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0" yWindow="2325" windowWidth="24240" windowHeight="12645" tabRatio="869"/>
  </bookViews>
  <sheets>
    <sheet name="ImportantDisclosures" sheetId="118" r:id="rId1"/>
    <sheet name="Earnings" sheetId="85" r:id="rId2"/>
    <sheet name="BullBaseBear" sheetId="83" r:id="rId3"/>
    <sheet name="sumry" sheetId="11" r:id="rId4"/>
    <sheet name="qtrP&amp;L" sheetId="1" r:id="rId5"/>
    <sheet name="qtrSales" sheetId="3" r:id="rId6"/>
    <sheet name="stores" sheetId="54" r:id="rId7"/>
    <sheet name="Segment Sales_New" sheetId="100" r:id="rId8"/>
    <sheet name="yrSales" sheetId="4" r:id="rId9"/>
    <sheet name="yrP&amp;L" sheetId="5" r:id="rId10"/>
    <sheet name="bal" sheetId="9" r:id="rId11"/>
    <sheet name="flow" sheetId="10" r:id="rId12"/>
    <sheet name="turn" sheetId="8" r:id="rId13"/>
    <sheet name="wc" sheetId="6" r:id="rId14"/>
    <sheet name="dtc" sheetId="7" r:id="rId15"/>
    <sheet name="DCF" sheetId="106" r:id="rId16"/>
    <sheet name="LEASES NEW" sheetId="67" r:id="rId17"/>
    <sheet name="IndexInformation" sheetId="119" r:id="rId18"/>
    <sheet name="ModPubIndex" sheetId="120" r:id="rId19"/>
    <sheet name="MW-Cache" sheetId="15" state="veryHidden" r:id="rId20"/>
  </sheets>
  <functionGroups builtInGroupCount="17"/>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s>
  <definedNames>
    <definedName name="__FDS_HYPERLINK_TOGGLE_STATE__" hidden="1">"ON"</definedName>
    <definedName name="__FDS_UNIQUE_RANGE_ID_GENERATOR_COUNTER" localSheetId="15" hidden="1">1</definedName>
    <definedName name="__FDS_UNIQUE_RANGE_ID_GENERATOR_COUNTER">155</definedName>
    <definedName name="__FDS_USED_FOR_REUSING_RANGE_IDS_RECYCLE" localSheetId="15">{1,1,1,1}</definedName>
    <definedName name="__FDS_USED_FOR_REUSING_RANGE_IDS_RECYCLE" hidden="1">{298,298,298,298,298,298,298,298,298}</definedName>
    <definedName name="_1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1__FDSAUDITLINK__" hidden="1">{"fdsup://Directions/FactSet Auditing Viewer?action=AUDIT_VALUE&amp;DB=129&amp;ID1=02313510&amp;VALUEID=01001&amp;SDATE=2005&amp;PERIODTYPE=ANN_STD&amp;window=popup_no_bar&amp;width=385&amp;height=120&amp;START_MAXIMIZED=FALSE&amp;creator=factset&amp;display_string=Audit"}</definedName>
    <definedName name="_10__123Graph_Aｸﾞﾗﾌ_2" hidden="1">[1]単独!$AR$14:$AR$18</definedName>
    <definedName name="_10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10__FDSAUDITLINK__" hidden="1">{"fdsup://Directions/FactSet Auditing Viewer?action=AUDIT_VALUE&amp;DB=129&amp;ID1=02313510&amp;VALUEID=04601&amp;SDATE=2009&amp;PERIODTYPE=ANN_STD&amp;window=popup_no_bar&amp;width=385&amp;height=120&amp;START_MAXIMIZED=FALSE&amp;creator=factset&amp;display_string=Audit"}</definedName>
    <definedName name="_100__FDSAUDITLINK__" localSheetId="15" hidden="1">{"fdsup://Directions/FactSet Auditing Viewer?action=AUDIT_VALUE&amp;DB=129&amp;ID1=07589610&amp;VALUEID=01001&amp;SDATE=200702&amp;PERIODTYPE=QTR_STD&amp;window=popup_no_bar&amp;width=385&amp;height=120&amp;START_MAXIMIZED=FALSE&amp;creator=factset&amp;display_string=Audit"}</definedName>
    <definedName name="_100__FDSAUDITLINK__" hidden="1">{"fdsup://Directions/FactSet Auditing Viewer?action=AUDIT_VALUE&amp;DB=129&amp;ID1=86923310&amp;VALUEID=01001&amp;SDATE=2007&amp;PERIODTYPE=ANN_STD&amp;window=popup_no_bar&amp;width=385&amp;height=120&amp;START_MAXIMIZED=FALSE&amp;creator=factset&amp;display_string=Audit"}</definedName>
    <definedName name="_1000__FDSAUDITLINK__" localSheetId="15" hidden="1">{"fdsup://Directions/FactSet Auditing Viewer?action=AUDIT_VALUE&amp;DB=129&amp;ID1=00289620&amp;VALUEID=02101&amp;SDATE=201001&amp;PERIODTYPE=QTR_STD&amp;window=popup_no_bar&amp;width=385&amp;height=120&amp;START_MAXIMIZED=FALSE&amp;creator=factset&amp;display_string=Audit"}</definedName>
    <definedName name="_1000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001__FDSAUDITLINK__" localSheetId="15" hidden="1">{"fdsup://Directions/FactSet Auditing Viewer?action=AUDIT_VALUE&amp;DB=129&amp;ID1=00289620&amp;VALUEID=13040&amp;SDATE=201001&amp;PERIODTYPE=QTR_STD&amp;window=popup_no_bar&amp;width=385&amp;height=120&amp;START_MAXIMIZED=FALSE&amp;creator=factset&amp;display_string=Audit"}</definedName>
    <definedName name="_1001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002__FDSAUDITLINK__" localSheetId="15" hidden="1">{"fdsup://Directions/FactSet Auditing Viewer?action=AUDIT_VALUE&amp;DB=129&amp;ID1=87416110&amp;VALUEID=01001&amp;SDATE=200904&amp;PERIODTYPE=QTR_STD&amp;window=popup_no_bar&amp;width=385&amp;height=120&amp;START_MAXIMIZED=FALSE&amp;creator=factset&amp;display_string=Audit"}</definedName>
    <definedName name="_1002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003__FDSAUDITLINK__" localSheetId="15"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003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004__FDSAUDITLINK__" localSheetId="15" hidden="1">{"fdsup://Directions/FactSet Auditing Viewer?action=AUDIT_VALUE&amp;DB=129&amp;ID1=46612H40&amp;VALUEID=01001&amp;SDATE=200904&amp;PERIODTYPE=QTR_STD&amp;window=popup_no_bar&amp;width=385&amp;height=120&amp;START_MAXIMIZED=FALSE&amp;creator=factset&amp;display_string=Audit"}</definedName>
    <definedName name="_1004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005__FDSAUDITLINK__" localSheetId="15" hidden="1">{"fdsup://Directions/FactSet Auditing Viewer?action=AUDIT_VALUE&amp;DB=129&amp;ID1=36476010&amp;VALUEID=01001&amp;SDATE=200904&amp;PERIODTYPE=QTR_STD&amp;window=popup_no_bar&amp;width=385&amp;height=120&amp;START_MAXIMIZED=FALSE&amp;creator=factset&amp;display_string=Audit"}</definedName>
    <definedName name="_1005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006__FDSAUDITLINK__" localSheetId="15" hidden="1">{"fdsup://Directions/FactSet Auditing Viewer?action=AUDIT_VALUE&amp;DB=129&amp;ID1=03611510&amp;VALUEID=01001&amp;SDATE=200904&amp;PERIODTYPE=QTR_STD&amp;window=popup_no_bar&amp;width=385&amp;height=120&amp;START_MAXIMIZED=FALSE&amp;creator=factset&amp;display_string=Audit"}</definedName>
    <definedName name="_1006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007__FDSAUDITLINK__" localSheetId="15" hidden="1">{"fdsup://Directions/FactSet Auditing Viewer?action=AUDIT_VALUE&amp;DB=129&amp;ID1=16890510&amp;VALUEID=01001&amp;SDATE=200904&amp;PERIODTYPE=QTR_STD&amp;window=popup_no_bar&amp;width=385&amp;height=120&amp;START_MAXIMIZED=FALSE&amp;creator=factset&amp;display_string=Audit"}</definedName>
    <definedName name="_1007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008__FDSAUDITLINK__" localSheetId="15" hidden="1">{"fdsup://Directions/FactSet Auditing Viewer?action=AUDIT_VALUE&amp;DB=129&amp;ID1=91704710&amp;VALUEID=01001&amp;SDATE=200904&amp;PERIODTYPE=QTR_STD&amp;window=popup_no_bar&amp;width=385&amp;height=120&amp;START_MAXIMIZED=FALSE&amp;creator=factset&amp;display_string=Audit"}</definedName>
    <definedName name="_1008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009__FDSAUDITLINK__" localSheetId="15" hidden="1">{"fdsup://Directions/FactSet Auditing Viewer?action=AUDIT_VALUE&amp;DB=129&amp;ID1=02553E10&amp;VALUEID=01001&amp;SDATE=200904&amp;PERIODTYPE=QTR_STD&amp;window=popup_no_bar&amp;width=385&amp;height=120&amp;START_MAXIMIZED=FALSE&amp;creator=factset&amp;display_string=Audit"}</definedName>
    <definedName name="_1009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01__FDSAUDITLINK__" localSheetId="15" hidden="1">{"fdsup://Directions/FactSet Auditing Viewer?action=AUDIT_VALUE&amp;DB=129&amp;ID1=07589610&amp;VALUEID=01001&amp;SDATE=200701&amp;PERIODTYPE=QTR_STD&amp;window=popup_no_bar&amp;width=385&amp;height=120&amp;START_MAXIMIZED=FALSE&amp;creator=factset&amp;display_string=Audit"}</definedName>
    <definedName name="_101__FDSAUDITLINK__" hidden="1">{"fdsup://Directions/FactSet Auditing Viewer?action=AUDIT_VALUE&amp;DB=129&amp;ID1=86923310&amp;VALUEID=04601&amp;SDATE=2007&amp;PERIODTYPE=ANN_STD&amp;window=popup_no_bar&amp;width=385&amp;height=120&amp;START_MAXIMIZED=FALSE&amp;creator=factset&amp;display_string=Audit"}</definedName>
    <definedName name="_1010__FDSAUDITLINK__" localSheetId="15" hidden="1">{"fdsup://Directions/FactSet Auditing Viewer?action=AUDIT_VALUE&amp;DB=129&amp;ID1=00786510&amp;VALUEID=01001&amp;SDATE=200904&amp;PERIODTYPE=QTR_STD&amp;window=popup_no_bar&amp;width=385&amp;height=120&amp;START_MAXIMIZED=FALSE&amp;creator=factset&amp;display_string=Audit"}</definedName>
    <definedName name="_1010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011__FDSAUDITLINK__" localSheetId="15" hidden="1">{"fdsup://Directions/FactSet Auditing Viewer?action=AUDIT_VALUE&amp;DB=129&amp;ID1=87416110&amp;VALUEID=02101&amp;SDATE=200903&amp;PERIODTYPE=QTR_STD&amp;window=popup_no_bar&amp;width=385&amp;height=120&amp;START_MAXIMIZED=FALSE&amp;creator=factset&amp;display_string=Audit"}</definedName>
    <definedName name="_1011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012__FDSAUDITLINK__" localSheetId="15" hidden="1">{"fdsup://Directions/FactSet Auditing Viewer?action=AUDIT_VALUE&amp;DB=129&amp;ID1=87416110&amp;VALUEID=01001&amp;SDATE=200903&amp;PERIODTYPE=QTR_STD&amp;window=popup_no_bar&amp;width=385&amp;height=120&amp;START_MAXIMIZED=FALSE&amp;creator=factset&amp;display_string=Audit"}</definedName>
    <definedName name="_1012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013__FDSAUDITLINK__" localSheetId="15" hidden="1">{"fdsup://Directions/FactSet Auditing Viewer?action=AUDIT_VALUE&amp;DB=129&amp;ID1=87416110&amp;VALUEID=13040&amp;SDATE=200903&amp;PERIODTYPE=QTR_STD&amp;window=popup_no_bar&amp;width=385&amp;height=120&amp;START_MAXIMIZED=FALSE&amp;creator=factset&amp;display_string=Audit"}</definedName>
    <definedName name="_1013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014__FDSAUDITLINK__" localSheetId="15"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014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015__FDSAUDITLINK__" localSheetId="15" hidden="1">{"fdsup://Directions/FactSet Auditing Viewer?action=AUDIT_VALUE&amp;DB=129&amp;ID1=53271610&amp;VALUEID=02101&amp;SDATE=200903&amp;PERIODTYPE=QTR_STD&amp;window=popup_no_bar&amp;width=385&amp;height=120&amp;START_MAXIMIZED=FALSE&amp;creator=factset&amp;display_string=Audit"}</definedName>
    <definedName name="_1015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016__FDSAUDITLINK__" localSheetId="15" hidden="1">{"fdsup://Directions/FactSet Auditing Viewer?action=AUDIT_VALUE&amp;DB=129&amp;ID1=53271610&amp;VALUEID=01001&amp;SDATE=200903&amp;PERIODTYPE=QTR_STD&amp;window=popup_no_bar&amp;width=385&amp;height=120&amp;START_MAXIMIZED=FALSE&amp;creator=factset&amp;display_string=Audit"}</definedName>
    <definedName name="_1016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017__FDSAUDITLINK__" localSheetId="15" hidden="1">{"fdsup://Directions/FactSet Auditing Viewer?action=AUDIT_VALUE&amp;DB=129&amp;ID1=53271610&amp;VALUEID=13040&amp;SDATE=200903&amp;PERIODTYPE=QTR_STD&amp;window=popup_no_bar&amp;width=385&amp;height=120&amp;START_MAXIMIZED=FALSE&amp;creator=factset&amp;display_string=Audit"}</definedName>
    <definedName name="_1017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018__FDSAUDITLINK__" localSheetId="15" hidden="1">{"fdsup://Directions/FactSet Auditing Viewer?action=AUDIT_VALUE&amp;DB=129&amp;ID1=46612H40&amp;VALUEID=02101&amp;SDATE=200903&amp;PERIODTYPE=QTR_STD&amp;window=popup_no_bar&amp;width=385&amp;height=120&amp;START_MAXIMIZED=FALSE&amp;creator=factset&amp;display_string=Audit"}</definedName>
    <definedName name="_1018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019__FDSAUDITLINK__" localSheetId="15" hidden="1">{"fdsup://Directions/FactSet Auditing Viewer?action=AUDIT_VALUE&amp;DB=129&amp;ID1=46612H40&amp;VALUEID=01001&amp;SDATE=200903&amp;PERIODTYPE=QTR_STD&amp;window=popup_no_bar&amp;width=385&amp;height=120&amp;START_MAXIMIZED=FALSE&amp;creator=factset&amp;display_string=Audit"}</definedName>
    <definedName name="_1019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02__FDSAUDITLINK__" localSheetId="15" hidden="1">{"fdsup://Directions/FactSet Auditing Viewer?action=AUDIT_VALUE&amp;DB=129&amp;ID1=07589610&amp;VALUEID=01001&amp;SDATE=200604&amp;PERIODTYPE=QTR_STD&amp;window=popup_no_bar&amp;width=385&amp;height=120&amp;START_MAXIMIZED=FALSE&amp;creator=factset&amp;display_string=Audit"}</definedName>
    <definedName name="_102__FDSAUDITLINK__" hidden="1">{"fdsup://Directions/FactSet Auditing Viewer?action=AUDIT_VALUE&amp;DB=129&amp;ID1=86923310&amp;VALUEID=01001&amp;SDATE=2008&amp;PERIODTYPE=ANN_STD&amp;window=popup_no_bar&amp;width=385&amp;height=120&amp;START_MAXIMIZED=FALSE&amp;creator=factset&amp;display_string=Audit"}</definedName>
    <definedName name="_1020__FDSAUDITLINK__" localSheetId="15" hidden="1">{"fdsup://Directions/FactSet Auditing Viewer?action=AUDIT_VALUE&amp;DB=129&amp;ID1=46612H40&amp;VALUEID=13040&amp;SDATE=200903&amp;PERIODTYPE=QTR_STD&amp;window=popup_no_bar&amp;width=385&amp;height=120&amp;START_MAXIMIZED=FALSE&amp;creator=factset&amp;display_string=Audit"}</definedName>
    <definedName name="_1020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021__FDSAUDITLINK__" localSheetId="15" hidden="1">{"fdsup://Directions/FactSet Auditing Viewer?action=AUDIT_VALUE&amp;DB=129&amp;ID1=36476010&amp;VALUEID=02101&amp;SDATE=200903&amp;PERIODTYPE=QTR_STD&amp;window=popup_no_bar&amp;width=385&amp;height=120&amp;START_MAXIMIZED=FALSE&amp;creator=factset&amp;display_string=Audit"}</definedName>
    <definedName name="_1021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022__FDSAUDITLINK__" localSheetId="15" hidden="1">{"fdsup://Directions/FactSet Auditing Viewer?action=AUDIT_VALUE&amp;DB=129&amp;ID1=36476010&amp;VALUEID=01001&amp;SDATE=200903&amp;PERIODTYPE=QTR_STD&amp;window=popup_no_bar&amp;width=385&amp;height=120&amp;START_MAXIMIZED=FALSE&amp;creator=factset&amp;display_string=Audit"}</definedName>
    <definedName name="_1022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023__FDSAUDITLINK__" localSheetId="15" hidden="1">{"fdsup://Directions/FactSet Auditing Viewer?action=AUDIT_VALUE&amp;DB=129&amp;ID1=36476010&amp;VALUEID=13040&amp;SDATE=200903&amp;PERIODTYPE=QTR_STD&amp;window=popup_no_bar&amp;width=385&amp;height=120&amp;START_MAXIMIZED=FALSE&amp;creator=factset&amp;display_string=Audit"}</definedName>
    <definedName name="_1023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024__FDSAUDITLINK__" localSheetId="15" hidden="1">{"fdsup://Directions/FactSet Auditing Viewer?action=AUDIT_VALUE&amp;DB=129&amp;ID1=03611510&amp;VALUEID=02101&amp;SDATE=200903&amp;PERIODTYPE=QTR_STD&amp;window=popup_no_bar&amp;width=385&amp;height=120&amp;START_MAXIMIZED=FALSE&amp;creator=factset&amp;display_string=Audit"}</definedName>
    <definedName name="_1024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025__FDSAUDITLINK__" localSheetId="15" hidden="1">{"fdsup://Directions/FactSet Auditing Viewer?action=AUDIT_VALUE&amp;DB=129&amp;ID1=03611510&amp;VALUEID=01001&amp;SDATE=200903&amp;PERIODTYPE=QTR_STD&amp;window=popup_no_bar&amp;width=385&amp;height=120&amp;START_MAXIMIZED=FALSE&amp;creator=factset&amp;display_string=Audit"}</definedName>
    <definedName name="_1025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026__FDSAUDITLINK__" localSheetId="15" hidden="1">{"fdsup://Directions/FactSet Auditing Viewer?action=AUDIT_VALUE&amp;DB=129&amp;ID1=03611510&amp;VALUEID=13040&amp;SDATE=200903&amp;PERIODTYPE=QTR_STD&amp;window=popup_no_bar&amp;width=385&amp;height=120&amp;START_MAXIMIZED=FALSE&amp;creator=factset&amp;display_string=Audit"}</definedName>
    <definedName name="_1026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027__FDSAUDITLINK__" localSheetId="15" hidden="1">{"fdsup://Directions/FactSet Auditing Viewer?action=AUDIT_VALUE&amp;DB=129&amp;ID1=16890510&amp;VALUEID=02101&amp;SDATE=200903&amp;PERIODTYPE=QTR_STD&amp;window=popup_no_bar&amp;width=385&amp;height=120&amp;START_MAXIMIZED=FALSE&amp;creator=factset&amp;display_string=Audit"}</definedName>
    <definedName name="_1027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028__FDSAUDITLINK__" localSheetId="15" hidden="1">{"fdsup://Directions/FactSet Auditing Viewer?action=AUDIT_VALUE&amp;DB=129&amp;ID1=16890510&amp;VALUEID=01001&amp;SDATE=200903&amp;PERIODTYPE=QTR_STD&amp;window=popup_no_bar&amp;width=385&amp;height=120&amp;START_MAXIMIZED=FALSE&amp;creator=factset&amp;display_string=Audit"}</definedName>
    <definedName name="_102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029__FDSAUDITLINK__" localSheetId="15" hidden="1">{"fdsup://Directions/FactSet Auditing Viewer?action=AUDIT_VALUE&amp;DB=129&amp;ID1=91704710&amp;VALUEID=02101&amp;SDATE=200903&amp;PERIODTYPE=QTR_STD&amp;window=popup_no_bar&amp;width=385&amp;height=120&amp;START_MAXIMIZED=FALSE&amp;creator=factset&amp;display_string=Audit"}</definedName>
    <definedName name="_1029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03__FDSAUDITLINK__" localSheetId="15" hidden="1">{"fdsup://Directions/FactSet Auditing Viewer?action=AUDIT_VALUE&amp;DB=129&amp;ID1=07589610&amp;VALUEID=01001&amp;SDATE=200603&amp;PERIODTYPE=QTR_STD&amp;window=popup_no_bar&amp;width=385&amp;height=120&amp;START_MAXIMIZED=FALSE&amp;creator=factset&amp;display_string=Audit"}</definedName>
    <definedName name="_103__FDSAUDITLINK__" hidden="1">{"fdsup://Directions/FactSet Auditing Viewer?action=AUDIT_VALUE&amp;DB=129&amp;ID1=86923310&amp;VALUEID=04601&amp;SDATE=2008&amp;PERIODTYPE=ANN_STD&amp;window=popup_no_bar&amp;width=385&amp;height=120&amp;START_MAXIMIZED=FALSE&amp;creator=factset&amp;display_string=Audit"}</definedName>
    <definedName name="_1030__FDSAUDITLINK__" localSheetId="15" hidden="1">{"fdsup://Directions/FactSet Auditing Viewer?action=AUDIT_VALUE&amp;DB=129&amp;ID1=91704710&amp;VALUEID=01001&amp;SDATE=200903&amp;PERIODTYPE=QTR_STD&amp;window=popup_no_bar&amp;width=385&amp;height=120&amp;START_MAXIMIZED=FALSE&amp;creator=factset&amp;display_string=Audit"}</definedName>
    <definedName name="_1030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031__FDSAUDITLINK__" localSheetId="15" hidden="1">{"fdsup://Directions/FactSet Auditing Viewer?action=AUDIT_VALUE&amp;DB=129&amp;ID1=91704710&amp;VALUEID=13040&amp;SDATE=200903&amp;PERIODTYPE=QTR_STD&amp;window=popup_no_bar&amp;width=385&amp;height=120&amp;START_MAXIMIZED=FALSE&amp;creator=factset&amp;display_string=Audit"}</definedName>
    <definedName name="_1031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032__FDSAUDITLINK__" localSheetId="15" hidden="1">{"fdsup://Directions/FactSet Auditing Viewer?action=AUDIT_VALUE&amp;DB=129&amp;ID1=02553E10&amp;VALUEID=02101&amp;SDATE=200903&amp;PERIODTYPE=QTR_STD&amp;window=popup_no_bar&amp;width=385&amp;height=120&amp;START_MAXIMIZED=FALSE&amp;creator=factset&amp;display_string=Audit"}</definedName>
    <definedName name="_1032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033__FDSAUDITLINK__" localSheetId="15" hidden="1">{"fdsup://Directions/FactSet Auditing Viewer?action=AUDIT_VALUE&amp;DB=129&amp;ID1=02553E10&amp;VALUEID=01001&amp;SDATE=200903&amp;PERIODTYPE=QTR_STD&amp;window=popup_no_bar&amp;width=385&amp;height=120&amp;START_MAXIMIZED=FALSE&amp;creator=factset&amp;display_string=Audit"}</definedName>
    <definedName name="_1033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034__FDSAUDITLINK__" localSheetId="15" hidden="1">{"fdsup://Directions/FactSet Auditing Viewer?action=AUDIT_VALUE&amp;DB=129&amp;ID1=00786510&amp;VALUEID=02101&amp;SDATE=200903&amp;PERIODTYPE=QTR_STD&amp;window=popup_no_bar&amp;width=385&amp;height=120&amp;START_MAXIMIZED=FALSE&amp;creator=factset&amp;display_string=Audit"}</definedName>
    <definedName name="_1034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035__FDSAUDITLINK__" localSheetId="15" hidden="1">{"fdsup://Directions/FactSet Auditing Viewer?action=AUDIT_VALUE&amp;DB=129&amp;ID1=00786510&amp;VALUEID=01001&amp;SDATE=200903&amp;PERIODTYPE=QTR_STD&amp;window=popup_no_bar&amp;width=385&amp;height=120&amp;START_MAXIMIZED=FALSE&amp;creator=factset&amp;display_string=Audit"}</definedName>
    <definedName name="_1035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036__FDSAUDITLINK__" localSheetId="15" hidden="1">{"fdsup://Directions/FactSet Auditing Viewer?action=AUDIT_VALUE&amp;DB=129&amp;ID1=00786510&amp;VALUEID=13040&amp;SDATE=200903&amp;PERIODTYPE=QTR_STD&amp;window=popup_no_bar&amp;width=385&amp;height=120&amp;START_MAXIMIZED=FALSE&amp;creator=factset&amp;display_string=Audit"}</definedName>
    <definedName name="_1036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037__FDSAUDITLINK__" localSheetId="15" hidden="1">{"fdsup://Directions/FactSet Auditing Viewer?action=AUDIT_VALUE&amp;DB=129&amp;ID1=00289620&amp;VALUEID=02101&amp;SDATE=200903&amp;PERIODTYPE=QTR_STD&amp;window=popup_no_bar&amp;width=385&amp;height=120&amp;START_MAXIMIZED=FALSE&amp;creator=factset&amp;display_string=Audit"}</definedName>
    <definedName name="_1037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038__FDSAUDITLINK__" localSheetId="15" hidden="1">{"fdsup://Directions/FactSet Auditing Viewer?action=AUDIT_VALUE&amp;DB=129&amp;ID1=00289620&amp;VALUEID=01001&amp;SDATE=200903&amp;PERIODTYPE=QTR_STD&amp;window=popup_no_bar&amp;width=385&amp;height=120&amp;START_MAXIMIZED=FALSE&amp;creator=factset&amp;display_string=Audit"}</definedName>
    <definedName name="_1038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039__FDSAUDITLINK__" localSheetId="15" hidden="1">{"fdsup://Directions/FactSet Auditing Viewer?action=AUDIT_VALUE&amp;DB=129&amp;ID1=00289620&amp;VALUEID=13040&amp;SDATE=200903&amp;PERIODTYPE=QTR_STD&amp;window=popup_no_bar&amp;width=385&amp;height=120&amp;START_MAXIMIZED=FALSE&amp;creator=factset&amp;display_string=Audit"}</definedName>
    <definedName name="_1039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04__FDSAUDITLINK__" localSheetId="15" hidden="1">{"fdsup://Directions/FactSet Auditing Viewer?action=AUDIT_VALUE&amp;DB=129&amp;ID1=07589610&amp;VALUEID=01001&amp;SDATE=200602&amp;PERIODTYPE=QTR_STD&amp;window=popup_no_bar&amp;width=385&amp;height=120&amp;START_MAXIMIZED=FALSE&amp;creator=factset&amp;display_string=Audit"}</definedName>
    <definedName name="_104__FDSAUDITLINK__" hidden="1">{"fdsup://Directions/FactSet Auditing Viewer?action=AUDIT_VALUE&amp;DB=129&amp;ID1=86923310&amp;VALUEID=01001&amp;SDATE=2009&amp;PERIODTYPE=ANN_STD&amp;window=popup_no_bar&amp;width=385&amp;height=120&amp;START_MAXIMIZED=FALSE&amp;creator=factset&amp;display_string=Audit"}</definedName>
    <definedName name="_1040__FDSAUDITLINK__" localSheetId="15" hidden="1">{"fdsup://Directions/FactSet Auditing Viewer?action=AUDIT_VALUE&amp;DB=129&amp;ID1=87416110&amp;VALUEID=02101&amp;SDATE=200902&amp;PERIODTYPE=QTR_STD&amp;window=popup_no_bar&amp;width=385&amp;height=120&amp;START_MAXIMIZED=FALSE&amp;creator=factset&amp;display_string=Audit"}</definedName>
    <definedName name="_1040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041__FDSAUDITLINK__" localSheetId="15" hidden="1">{"fdsup://Directions/FactSet Auditing Viewer?action=AUDIT_VALUE&amp;DB=129&amp;ID1=87416110&amp;VALUEID=01001&amp;SDATE=200902&amp;PERIODTYPE=QTR_STD&amp;window=popup_no_bar&amp;width=385&amp;height=120&amp;START_MAXIMIZED=FALSE&amp;creator=factset&amp;display_string=Audit"}</definedName>
    <definedName name="_1041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042__FDSAUDITLINK__" localSheetId="15" hidden="1">{"fdsup://Directions/FactSet Auditing Viewer?action=AUDIT_VALUE&amp;DB=129&amp;ID1=53271610&amp;VALUEID=02101&amp;SDATE=200902&amp;PERIODTYPE=QTR_STD&amp;window=popup_no_bar&amp;width=385&amp;height=120&amp;START_MAXIMIZED=FALSE&amp;creator=factset&amp;display_string=Audit"}</definedName>
    <definedName name="_1042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043__FDSAUDITLINK__" localSheetId="15" hidden="1">{"fdsup://Directions/FactSet Auditing Viewer?action=AUDIT_VALUE&amp;DB=129&amp;ID1=53271610&amp;VALUEID=01001&amp;SDATE=200902&amp;PERIODTYPE=QTR_STD&amp;window=popup_no_bar&amp;width=385&amp;height=120&amp;START_MAXIMIZED=FALSE&amp;creator=factset&amp;display_string=Audit"}</definedName>
    <definedName name="_1043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044__FDSAUDITLINK__" localSheetId="15" hidden="1">{"fdsup://Directions/FactSet Auditing Viewer?action=AUDIT_VALUE&amp;DB=129&amp;ID1=53271610&amp;VALUEID=13040&amp;SDATE=200902&amp;PERIODTYPE=QTR_STD&amp;window=popup_no_bar&amp;width=385&amp;height=120&amp;START_MAXIMIZED=FALSE&amp;creator=factset&amp;display_string=Audit"}</definedName>
    <definedName name="_1044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045__FDSAUDITLINK__" localSheetId="15" hidden="1">{"fdsup://Directions/FactSet Auditing Viewer?action=AUDIT_VALUE&amp;DB=129&amp;ID1=46612H40&amp;VALUEID=02101&amp;SDATE=200902&amp;PERIODTYPE=QTR_STD&amp;window=popup_no_bar&amp;width=385&amp;height=120&amp;START_MAXIMIZED=FALSE&amp;creator=factset&amp;display_string=Audit"}</definedName>
    <definedName name="_1045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046__FDSAUDITLINK__" localSheetId="15" hidden="1">{"fdsup://Directions/FactSet Auditing Viewer?action=AUDIT_VALUE&amp;DB=129&amp;ID1=46612H40&amp;VALUEID=01001&amp;SDATE=200902&amp;PERIODTYPE=QTR_STD&amp;window=popup_no_bar&amp;width=385&amp;height=120&amp;START_MAXIMIZED=FALSE&amp;creator=factset&amp;display_string=Audit"}</definedName>
    <definedName name="_1046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047__FDSAUDITLINK__" localSheetId="15" hidden="1">{"fdsup://Directions/FactSet Auditing Viewer?action=AUDIT_VALUE&amp;DB=129&amp;ID1=46612H40&amp;VALUEID=13040&amp;SDATE=200902&amp;PERIODTYPE=QTR_STD&amp;window=popup_no_bar&amp;width=385&amp;height=120&amp;START_MAXIMIZED=FALSE&amp;creator=factset&amp;display_string=Audit"}</definedName>
    <definedName name="_1047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048__FDSAUDITLINK__" localSheetId="15" hidden="1">{"fdsup://Directions/FactSet Auditing Viewer?action=AUDIT_VALUE&amp;DB=129&amp;ID1=36476010&amp;VALUEID=02101&amp;SDATE=200902&amp;PERIODTYPE=QTR_STD&amp;window=popup_no_bar&amp;width=385&amp;height=120&amp;START_MAXIMIZED=FALSE&amp;creator=factset&amp;display_string=Audit"}</definedName>
    <definedName name="_1048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049__FDSAUDITLINK__" localSheetId="15" hidden="1">{"fdsup://Directions/FactSet Auditing Viewer?action=AUDIT_VALUE&amp;DB=129&amp;ID1=36476010&amp;VALUEID=01001&amp;SDATE=200902&amp;PERIODTYPE=QTR_STD&amp;window=popup_no_bar&amp;width=385&amp;height=120&amp;START_MAXIMIZED=FALSE&amp;creator=factset&amp;display_string=Audit"}</definedName>
    <definedName name="_1049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05__FDSAUDITLINK__" localSheetId="15" hidden="1">{"fdsup://Directions/FactSet Auditing Viewer?action=AUDIT_VALUE&amp;DB=129&amp;ID1=07589610&amp;VALUEID=01001&amp;SDATE=200601&amp;PERIODTYPE=QTR_STD&amp;window=popup_no_bar&amp;width=385&amp;height=120&amp;START_MAXIMIZED=FALSE&amp;creator=factset&amp;display_string=Audit"}</definedName>
    <definedName name="_105__FDSAUDITLINK__" hidden="1">{"fdsup://Directions/FactSet Auditing Viewer?action=AUDIT_VALUE&amp;DB=129&amp;ID1=39006410&amp;VALUEID=01001&amp;SDATE=2005&amp;PERIODTYPE=ANN_STD&amp;window=popup_no_bar&amp;width=385&amp;height=120&amp;START_MAXIMIZED=FALSE&amp;creator=factset&amp;display_string=Audit"}</definedName>
    <definedName name="_1050__FDSAUDITLINK__" localSheetId="15" hidden="1">{"fdsup://Directions/FactSet Auditing Viewer?action=AUDIT_VALUE&amp;DB=129&amp;ID1=36476010&amp;VALUEID=13040&amp;SDATE=200902&amp;PERIODTYPE=QTR_STD&amp;window=popup_no_bar&amp;width=385&amp;height=120&amp;START_MAXIMIZED=FALSE&amp;creator=factset&amp;display_string=Audit"}</definedName>
    <definedName name="_1050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051__FDSAUDITLINK__" localSheetId="15" hidden="1">{"fdsup://Directions/FactSet Auditing Viewer?action=AUDIT_VALUE&amp;DB=129&amp;ID1=03611510&amp;VALUEID=02101&amp;SDATE=200902&amp;PERIODTYPE=QTR_STD&amp;window=popup_no_bar&amp;width=385&amp;height=120&amp;START_MAXIMIZED=FALSE&amp;creator=factset&amp;display_string=Audit"}</definedName>
    <definedName name="_1051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052__FDSAUDITLINK__" localSheetId="15" hidden="1">{"fdsup://Directions/FactSet Auditing Viewer?action=AUDIT_VALUE&amp;DB=129&amp;ID1=03611510&amp;VALUEID=01001&amp;SDATE=200902&amp;PERIODTYPE=QTR_STD&amp;window=popup_no_bar&amp;width=385&amp;height=120&amp;START_MAXIMIZED=FALSE&amp;creator=factset&amp;display_string=Audit"}</definedName>
    <definedName name="_1052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053__FDSAUDITLINK__" localSheetId="15" hidden="1">{"fdsup://Directions/FactSet Auditing Viewer?action=AUDIT_VALUE&amp;DB=129&amp;ID1=03611510&amp;VALUEID=13040&amp;SDATE=200902&amp;PERIODTYPE=QTR_STD&amp;window=popup_no_bar&amp;width=385&amp;height=120&amp;START_MAXIMIZED=FALSE&amp;creator=factset&amp;display_string=Audit"}</definedName>
    <definedName name="_1053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054__FDSAUDITLINK__" localSheetId="15" hidden="1">{"fdsup://Directions/FactSet Auditing Viewer?action=AUDIT_VALUE&amp;DB=129&amp;ID1=16890510&amp;VALUEID=02101&amp;SDATE=200902&amp;PERIODTYPE=QTR_STD&amp;window=popup_no_bar&amp;width=385&amp;height=120&amp;START_MAXIMIZED=FALSE&amp;creator=factset&amp;display_string=Audit"}</definedName>
    <definedName name="_1054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055__FDSAUDITLINK__" localSheetId="15" hidden="1">{"fdsup://Directions/FactSet Auditing Viewer?action=AUDIT_VALUE&amp;DB=129&amp;ID1=16890510&amp;VALUEID=01001&amp;SDATE=200902&amp;PERIODTYPE=QTR_STD&amp;window=popup_no_bar&amp;width=385&amp;height=120&amp;START_MAXIMIZED=FALSE&amp;creator=factset&amp;display_string=Audit"}</definedName>
    <definedName name="_105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056__FDSAUDITLINK__" localSheetId="15" hidden="1">{"fdsup://Directions/FactSet Auditing Viewer?action=AUDIT_VALUE&amp;DB=129&amp;ID1=91704710&amp;VALUEID=02101&amp;SDATE=200902&amp;PERIODTYPE=QTR_STD&amp;window=popup_no_bar&amp;width=385&amp;height=120&amp;START_MAXIMIZED=FALSE&amp;creator=factset&amp;display_string=Audit"}</definedName>
    <definedName name="_1056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057__FDSAUDITLINK__" localSheetId="15" hidden="1">{"fdsup://Directions/FactSet Auditing Viewer?action=AUDIT_VALUE&amp;DB=129&amp;ID1=91704710&amp;VALUEID=01001&amp;SDATE=200902&amp;PERIODTYPE=QTR_STD&amp;window=popup_no_bar&amp;width=385&amp;height=120&amp;START_MAXIMIZED=FALSE&amp;creator=factset&amp;display_string=Audit"}</definedName>
    <definedName name="_1057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058__FDSAUDITLINK__" localSheetId="15" hidden="1">{"fdsup://Directions/FactSet Auditing Viewer?action=AUDIT_VALUE&amp;DB=129&amp;ID1=02553E10&amp;VALUEID=02101&amp;SDATE=200902&amp;PERIODTYPE=QTR_STD&amp;window=popup_no_bar&amp;width=385&amp;height=120&amp;START_MAXIMIZED=FALSE&amp;creator=factset&amp;display_string=Audit"}</definedName>
    <definedName name="_1058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059__FDSAUDITLINK__" localSheetId="15" hidden="1">{"fdsup://Directions/FactSet Auditing Viewer?action=AUDIT_VALUE&amp;DB=129&amp;ID1=02553E10&amp;VALUEID=01001&amp;SDATE=200902&amp;PERIODTYPE=QTR_STD&amp;window=popup_no_bar&amp;width=385&amp;height=120&amp;START_MAXIMIZED=FALSE&amp;creator=factset&amp;display_string=Audit"}</definedName>
    <definedName name="_1059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06__FDSAUDITLINK__" localSheetId="15" hidden="1">{"fdsup://Directions/FactSet Auditing Viewer?action=AUDIT_VALUE&amp;DB=129&amp;ID1=07589610&amp;VALUEID=01001&amp;SDATE=200503&amp;PERIODTYPE=QTR_STD&amp;window=popup_no_bar&amp;width=385&amp;height=120&amp;START_MAXIMIZED=FALSE&amp;creator=factset&amp;display_string=Audit"}</definedName>
    <definedName name="_106__FDSAUDITLINK__" hidden="1">{"fdsup://Directions/FactSet Auditing Viewer?action=AUDIT_VALUE&amp;DB=129&amp;ID1=39006410&amp;VALUEID=04601&amp;SDATE=2005&amp;PERIODTYPE=ANN_STD&amp;window=popup_no_bar&amp;width=385&amp;height=120&amp;START_MAXIMIZED=FALSE&amp;creator=factset&amp;display_string=Audit"}</definedName>
    <definedName name="_1060__FDSAUDITLINK__" localSheetId="15" hidden="1">{"fdsup://Directions/FactSet Auditing Viewer?action=AUDIT_VALUE&amp;DB=129&amp;ID1=02553E10&amp;VALUEID=13040&amp;SDATE=200902&amp;PERIODTYPE=QTR_STD&amp;window=popup_no_bar&amp;width=385&amp;height=120&amp;START_MAXIMIZED=FALSE&amp;creator=factset&amp;display_string=Audit"}</definedName>
    <definedName name="_1060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061__FDSAUDITLINK__" localSheetId="15" hidden="1">{"fdsup://Directions/FactSet Auditing Viewer?action=AUDIT_VALUE&amp;DB=129&amp;ID1=00786510&amp;VALUEID=02101&amp;SDATE=200902&amp;PERIODTYPE=QTR_STD&amp;window=popup_no_bar&amp;width=385&amp;height=120&amp;START_MAXIMIZED=FALSE&amp;creator=factset&amp;display_string=Audit"}</definedName>
    <definedName name="_1061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062__FDSAUDITLINK__" localSheetId="15" hidden="1">{"fdsup://Directions/FactSet Auditing Viewer?action=AUDIT_VALUE&amp;DB=129&amp;ID1=00786510&amp;VALUEID=01001&amp;SDATE=200902&amp;PERIODTYPE=QTR_STD&amp;window=popup_no_bar&amp;width=385&amp;height=120&amp;START_MAXIMIZED=FALSE&amp;creator=factset&amp;display_string=Audit"}</definedName>
    <definedName name="_1062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063__FDSAUDITLINK__" localSheetId="15" hidden="1">{"fdsup://Directions/FactSet Auditing Viewer?action=AUDIT_VALUE&amp;DB=129&amp;ID1=00786510&amp;VALUEID=13040&amp;SDATE=200902&amp;PERIODTYPE=QTR_STD&amp;window=popup_no_bar&amp;width=385&amp;height=120&amp;START_MAXIMIZED=FALSE&amp;creator=factset&amp;display_string=Audit"}</definedName>
    <definedName name="_1063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064__FDSAUDITLINK__" localSheetId="15" hidden="1">{"fdsup://Directions/FactSet Auditing Viewer?action=AUDIT_VALUE&amp;DB=129&amp;ID1=00289620&amp;VALUEID=02101&amp;SDATE=200902&amp;PERIODTYPE=QTR_STD&amp;window=popup_no_bar&amp;width=385&amp;height=120&amp;START_MAXIMIZED=FALSE&amp;creator=factset&amp;display_string=Audit"}</definedName>
    <definedName name="_1064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065__FDSAUDITLINK__" localSheetId="15" hidden="1">{"fdsup://Directions/FactSet Auditing Viewer?action=AUDIT_VALUE&amp;DB=129&amp;ID1=00289620&amp;VALUEID=01001&amp;SDATE=200902&amp;PERIODTYPE=QTR_STD&amp;window=popup_no_bar&amp;width=385&amp;height=120&amp;START_MAXIMIZED=FALSE&amp;creator=factset&amp;display_string=Audit"}</definedName>
    <definedName name="_1065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066__FDSAUDITLINK__" localSheetId="15" hidden="1">{"fdsup://Directions/FactSet Auditing Viewer?action=AUDIT_VALUE&amp;DB=129&amp;ID1=00289620&amp;VALUEID=13040&amp;SDATE=200902&amp;PERIODTYPE=QTR_STD&amp;window=popup_no_bar&amp;width=385&amp;height=120&amp;START_MAXIMIZED=FALSE&amp;creator=factset&amp;display_string=Audit"}</definedName>
    <definedName name="_1066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067__FDSAUDITLINK__" localSheetId="15" hidden="1">{"fdsup://Directions/FactSet Auditing Viewer?action=AUDIT_VALUE&amp;DB=129&amp;ID1=87416110&amp;VALUEID=02101&amp;SDATE=200901&amp;PERIODTYPE=QTR_STD&amp;window=popup_no_bar&amp;width=385&amp;height=120&amp;START_MAXIMIZED=FALSE&amp;creator=factset&amp;display_string=Audit"}</definedName>
    <definedName name="_1067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068__FDSAUDITLINK__" localSheetId="15" hidden="1">{"fdsup://Directions/FactSet Auditing Viewer?action=AUDIT_VALUE&amp;DB=129&amp;ID1=87416110&amp;VALUEID=01001&amp;SDATE=200901&amp;PERIODTYPE=QTR_STD&amp;window=popup_no_bar&amp;width=385&amp;height=120&amp;START_MAXIMIZED=FALSE&amp;creator=factset&amp;display_string=Audit"}</definedName>
    <definedName name="_1068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069__FDSAUDITLINK__" localSheetId="15" hidden="1">{"fdsup://Directions/FactSet Auditing Viewer?action=AUDIT_VALUE&amp;DB=129&amp;ID1=87416110&amp;VALUEID=13040&amp;SDATE=200901&amp;PERIODTYPE=QTR_STD&amp;window=popup_no_bar&amp;width=385&amp;height=120&amp;START_MAXIMIZED=FALSE&amp;creator=factset&amp;display_string=Audit"}</definedName>
    <definedName name="_1069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07__FDSAUDITLINK__" localSheetId="15" hidden="1">{"fdsup://Directions/FactSet Auditing Viewer?action=AUDIT_VALUE&amp;DB=129&amp;ID1=96990410&amp;VALUEID=01001&amp;SDATE=200903&amp;PERIODTYPE=QTR_STD&amp;window=popup_no_bar&amp;width=385&amp;height=120&amp;START_MAXIMIZED=FALSE&amp;creator=factset&amp;display_string=Audit"}</definedName>
    <definedName name="_107__FDSAUDITLINK__" hidden="1">{"fdsup://Directions/FactSet Auditing Viewer?action=AUDIT_VALUE&amp;DB=129&amp;ID1=39006410&amp;VALUEID=01001&amp;SDATE=2006&amp;PERIODTYPE=ANN_STD&amp;window=popup_no_bar&amp;width=385&amp;height=120&amp;START_MAXIMIZED=FALSE&amp;creator=factset&amp;display_string=Audit"}</definedName>
    <definedName name="_1070__FDSAUDITLINK__" localSheetId="15"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070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071__FDSAUDITLINK__" localSheetId="15" hidden="1">{"fdsup://Directions/FactSet Auditing Viewer?action=AUDIT_VALUE&amp;DB=129&amp;ID1=53271610&amp;VALUEID=13040&amp;SDATE=200901&amp;PERIODTYPE=QTR_STD&amp;window=popup_no_bar&amp;width=385&amp;height=120&amp;START_MAXIMIZED=FALSE&amp;creator=factset&amp;display_string=Audit"}</definedName>
    <definedName name="_1071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072__FDSAUDITLINK__" localSheetId="15" hidden="1">{"fdsup://Directions/FactSet Auditing Viewer?action=AUDIT_VALUE&amp;DB=129&amp;ID1=46612H40&amp;VALUEID=02101&amp;SDATE=200901&amp;PERIODTYPE=QTR_STD&amp;window=popup_no_bar&amp;width=385&amp;height=120&amp;START_MAXIMIZED=FALSE&amp;creator=factset&amp;display_string=Audit"}</definedName>
    <definedName name="_1072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073__FDSAUDITLINK__" localSheetId="15" hidden="1">{"fdsup://Directions/FactSet Auditing Viewer?action=AUDIT_VALUE&amp;DB=129&amp;ID1=46612H40&amp;VALUEID=01001&amp;SDATE=200901&amp;PERIODTYPE=QTR_STD&amp;window=popup_no_bar&amp;width=385&amp;height=120&amp;START_MAXIMIZED=FALSE&amp;creator=factset&amp;display_string=Audit"}</definedName>
    <definedName name="_1073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074__FDSAUDITLINK__" localSheetId="15" hidden="1">{"fdsup://Directions/FactSet Auditing Viewer?action=AUDIT_VALUE&amp;DB=129&amp;ID1=46612H40&amp;VALUEID=13040&amp;SDATE=200901&amp;PERIODTYPE=QTR_STD&amp;window=popup_no_bar&amp;width=385&amp;height=120&amp;START_MAXIMIZED=FALSE&amp;creator=factset&amp;display_string=Audit"}</definedName>
    <definedName name="_1074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075__FDSAUDITLINK__" localSheetId="15" hidden="1">{"fdsup://Directions/FactSet Auditing Viewer?action=AUDIT_VALUE&amp;DB=129&amp;ID1=03611510&amp;VALUEID=02101&amp;SDATE=200901&amp;PERIODTYPE=QTR_STD&amp;window=popup_no_bar&amp;width=385&amp;height=120&amp;START_MAXIMIZED=FALSE&amp;creator=factset&amp;display_string=Audit"}</definedName>
    <definedName name="_1075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076__FDSAUDITLINK__" localSheetId="15" hidden="1">{"fdsup://Directions/FactSet Auditing Viewer?action=AUDIT_VALUE&amp;DB=129&amp;ID1=03611510&amp;VALUEID=01001&amp;SDATE=200901&amp;PERIODTYPE=QTR_STD&amp;window=popup_no_bar&amp;width=385&amp;height=120&amp;START_MAXIMIZED=FALSE&amp;creator=factset&amp;display_string=Audit"}</definedName>
    <definedName name="_1076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077__FDSAUDITLINK__" localSheetId="15" hidden="1">{"fdsup://Directions/FactSet Auditing Viewer?action=AUDIT_VALUE&amp;DB=129&amp;ID1=16890510&amp;VALUEID=02101&amp;SDATE=200901&amp;PERIODTYPE=QTR_STD&amp;window=popup_no_bar&amp;width=385&amp;height=120&amp;START_MAXIMIZED=FALSE&amp;creator=factset&amp;display_string=Audit"}</definedName>
    <definedName name="_1077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078__FDSAUDITLINK__" localSheetId="15" hidden="1">{"fdsup://Directions/FactSet Auditing Viewer?action=AUDIT_VALUE&amp;DB=129&amp;ID1=16890510&amp;VALUEID=01001&amp;SDATE=200901&amp;PERIODTYPE=QTR_STD&amp;window=popup_no_bar&amp;width=385&amp;height=120&amp;START_MAXIMIZED=FALSE&amp;creator=factset&amp;display_string=Audit"}</definedName>
    <definedName name="_1078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079__FDSAUDITLINK__" localSheetId="15" hidden="1">{"fdsup://Directions/FactSet Auditing Viewer?action=AUDIT_VALUE&amp;DB=129&amp;ID1=00786510&amp;VALUEID=02101&amp;SDATE=200901&amp;PERIODTYPE=QTR_STD&amp;window=popup_no_bar&amp;width=385&amp;height=120&amp;START_MAXIMIZED=FALSE&amp;creator=factset&amp;display_string=Audit"}</definedName>
    <definedName name="_1079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08__FDSAUDITLINK__" localSheetId="15" hidden="1">{"fdsup://Directions/FactSet Auditing Viewer?action=AUDIT_VALUE&amp;DB=129&amp;ID1=96990410&amp;VALUEID=01001&amp;SDATE=200902&amp;PERIODTYPE=QTR_STD&amp;window=popup_no_bar&amp;width=385&amp;height=120&amp;START_MAXIMIZED=FALSE&amp;creator=factset&amp;display_string=Audit"}</definedName>
    <definedName name="_108__FDSAUDITLINK__" hidden="1">{"fdsup://Directions/FactSet Auditing Viewer?action=AUDIT_VALUE&amp;DB=129&amp;ID1=39006410&amp;VALUEID=04601&amp;SDATE=2006&amp;PERIODTYPE=ANN_STD&amp;window=popup_no_bar&amp;width=385&amp;height=120&amp;START_MAXIMIZED=FALSE&amp;creator=factset&amp;display_string=Audit"}</definedName>
    <definedName name="_1080__FDSAUDITLINK__" localSheetId="15" hidden="1">{"fdsup://Directions/FactSet Auditing Viewer?action=AUDIT_VALUE&amp;DB=129&amp;ID1=00786510&amp;VALUEID=01001&amp;SDATE=200901&amp;PERIODTYPE=QTR_STD&amp;window=popup_no_bar&amp;width=385&amp;height=120&amp;START_MAXIMIZED=FALSE&amp;creator=factset&amp;display_string=Audit"}</definedName>
    <definedName name="_1080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081__FDSAUDITLINK__" localSheetId="15" hidden="1">{"fdsup://Directions/FactSet Auditing Viewer?action=AUDIT_VALUE&amp;DB=129&amp;ID1=00786510&amp;VALUEID=13040&amp;SDATE=200901&amp;PERIODTYPE=QTR_STD&amp;window=popup_no_bar&amp;width=385&amp;height=120&amp;START_MAXIMIZED=FALSE&amp;creator=factset&amp;display_string=Audit"}</definedName>
    <definedName name="_1081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82__FDSAUDITLINK__" localSheetId="15" hidden="1">{"fdsup://Directions/FactSet Auditing Viewer?action=AUDIT_VALUE&amp;DB=129&amp;ID1=00289620&amp;VALUEID=13040&amp;SDATE=200901&amp;PERIODTYPE=QTR_STD&amp;window=popup_no_bar&amp;width=385&amp;height=120&amp;START_MAXIMIZED=FALSE&amp;creator=factset&amp;display_string=Audit"}</definedName>
    <definedName name="_1082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83__FDSAUDITLINK__" localSheetId="15" hidden="1">{"fdsup://Directions/FactSet Auditing Viewer?action=AUDIT_VALUE&amp;DB=129&amp;ID1=87416110&amp;VALUEID=01001&amp;SDATE=200804&amp;PERIODTYPE=QTR_STD&amp;window=popup_no_bar&amp;width=385&amp;height=120&amp;START_MAXIMIZED=FALSE&amp;creator=factset&amp;display_string=Audit"}</definedName>
    <definedName name="_1083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84__FDSAUDITLINK__" localSheetId="15"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84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85__FDSAUDITLINK__" localSheetId="15" hidden="1">{"fdsup://Directions/FactSet Auditing Viewer?action=AUDIT_VALUE&amp;DB=129&amp;ID1=46612H40&amp;VALUEID=01001&amp;SDATE=200804&amp;PERIODTYPE=QTR_STD&amp;window=popup_no_bar&amp;width=385&amp;height=120&amp;START_MAXIMIZED=FALSE&amp;creator=factset&amp;display_string=Audit"}</definedName>
    <definedName name="_1085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86__FDSAUDITLINK__" localSheetId="15" hidden="1">{"fdsup://Directions/FactSet Auditing Viewer?action=AUDIT_VALUE&amp;DB=129&amp;ID1=46612H40&amp;VALUEID=13040&amp;SDATE=200804&amp;PERIODTYPE=QTR_STD&amp;window=popup_no_bar&amp;width=385&amp;height=120&amp;START_MAXIMIZED=FALSE&amp;creator=factset&amp;display_string=Audit"}</definedName>
    <definedName name="_1086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87__FDSAUDITLINK__" localSheetId="15" hidden="1">{"fdsup://Directions/FactSet Auditing Viewer?action=AUDIT_VALUE&amp;DB=129&amp;ID1=36476010&amp;VALUEID=01001&amp;SDATE=200804&amp;PERIODTYPE=QTR_STD&amp;window=popup_no_bar&amp;width=385&amp;height=120&amp;START_MAXIMIZED=FALSE&amp;creator=factset&amp;display_string=Audit"}</definedName>
    <definedName name="_1087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88__FDSAUDITLINK__" localSheetId="15" hidden="1">{"fdsup://Directions/FactSet Auditing Viewer?action=AUDIT_VALUE&amp;DB=129&amp;ID1=03611510&amp;VALUEID=01001&amp;SDATE=200804&amp;PERIODTYPE=QTR_STD&amp;window=popup_no_bar&amp;width=385&amp;height=120&amp;START_MAXIMIZED=FALSE&amp;creator=factset&amp;display_string=Audit"}</definedName>
    <definedName name="_1088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89__FDSAUDITLINK__" localSheetId="15" hidden="1">{"fdsup://Directions/FactSet Auditing Viewer?action=AUDIT_VALUE&amp;DB=129&amp;ID1=16890510&amp;VALUEID=01001&amp;SDATE=200804&amp;PERIODTYPE=QTR_STD&amp;window=popup_no_bar&amp;width=385&amp;height=120&amp;START_MAXIMIZED=FALSE&amp;creator=factset&amp;display_string=Audit"}</definedName>
    <definedName name="_1089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9__FDSAUDITLINK__" localSheetId="15" hidden="1">{"fdsup://Directions/FactSet Auditing Viewer?action=AUDIT_VALUE&amp;DB=129&amp;ID1=96990410&amp;VALUEID=01001&amp;SDATE=200901&amp;PERIODTYPE=QTR_STD&amp;window=popup_no_bar&amp;width=385&amp;height=120&amp;START_MAXIMIZED=FALSE&amp;creator=factset&amp;display_string=Audit"}</definedName>
    <definedName name="_109__FDSAUDITLINK__" hidden="1">{"fdsup://Directions/FactSet Auditing Viewer?action=AUDIT_VALUE&amp;DB=129&amp;ID1=39006410&amp;VALUEID=01001&amp;SDATE=2007&amp;PERIODTYPE=ANN_STD&amp;window=popup_no_bar&amp;width=385&amp;height=120&amp;START_MAXIMIZED=FALSE&amp;creator=factset&amp;display_string=Audit"}</definedName>
    <definedName name="_1090__FDSAUDITLINK__" localSheetId="15" hidden="1">{"fdsup://Directions/FactSet Auditing Viewer?action=AUDIT_VALUE&amp;DB=129&amp;ID1=00786510&amp;VALUEID=01001&amp;SDATE=200804&amp;PERIODTYPE=QTR_STD&amp;window=popup_no_bar&amp;width=385&amp;height=120&amp;START_MAXIMIZED=FALSE&amp;creator=factset&amp;display_string=Audit"}</definedName>
    <definedName name="_1090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1__FDSAUDITLINK__" localSheetId="15" hidden="1">{"fdsup://Directions/FactSet Auditing Viewer?action=AUDIT_VALUE&amp;DB=129&amp;ID1=87416110&amp;VALUEID=02101&amp;SDATE=200803&amp;PERIODTYPE=QTR_STD&amp;window=popup_no_bar&amp;width=385&amp;height=120&amp;START_MAXIMIZED=FALSE&amp;creator=factset&amp;display_string=Audit"}</definedName>
    <definedName name="_1091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092__FDSAUDITLINK__" localSheetId="15" hidden="1">{"fdsup://Directions/FactSet Auditing Viewer?action=AUDIT_VALUE&amp;DB=129&amp;ID1=87416110&amp;VALUEID=01001&amp;SDATE=200803&amp;PERIODTYPE=QTR_STD&amp;window=popup_no_bar&amp;width=385&amp;height=120&amp;START_MAXIMIZED=FALSE&amp;creator=factset&amp;display_string=Audit"}</definedName>
    <definedName name="_1092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093__FDSAUDITLINK__" localSheetId="15" hidden="1">{"fdsup://Directions/FactSet Auditing Viewer?action=AUDIT_VALUE&amp;DB=129&amp;ID1=87416110&amp;VALUEID=13040&amp;SDATE=200803&amp;PERIODTYPE=QTR_STD&amp;window=popup_no_bar&amp;width=385&amp;height=120&amp;START_MAXIMIZED=FALSE&amp;creator=factset&amp;display_string=Audit"}</definedName>
    <definedName name="_1093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094__FDSAUDITLINK__" localSheetId="15"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094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095__FDSAUDITLINK__" localSheetId="15" hidden="1">{"fdsup://Directions/FactSet Auditing Viewer?action=AUDIT_VALUE&amp;DB=129&amp;ID1=46612H40&amp;VALUEID=02101&amp;SDATE=200803&amp;PERIODTYPE=QTR_STD&amp;window=popup_no_bar&amp;width=385&amp;height=120&amp;START_MAXIMIZED=FALSE&amp;creator=factset&amp;display_string=Audit"}</definedName>
    <definedName name="_1095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096__FDSAUDITLINK__" localSheetId="15" hidden="1">{"fdsup://Directions/FactSet Auditing Viewer?action=AUDIT_VALUE&amp;DB=129&amp;ID1=46612H40&amp;VALUEID=01001&amp;SDATE=200803&amp;PERIODTYPE=QTR_STD&amp;window=popup_no_bar&amp;width=385&amp;height=120&amp;START_MAXIMIZED=FALSE&amp;creator=factset&amp;display_string=Audit"}</definedName>
    <definedName name="_1096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097__FDSAUDITLINK__" localSheetId="15" hidden="1">{"fdsup://Directions/FactSet Auditing Viewer?action=AUDIT_VALUE&amp;DB=129&amp;ID1=46612H40&amp;VALUEID=13040&amp;SDATE=200803&amp;PERIODTYPE=QTR_STD&amp;window=popup_no_bar&amp;width=385&amp;height=120&amp;START_MAXIMIZED=FALSE&amp;creator=factset&amp;display_string=Audit"}</definedName>
    <definedName name="_1097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098__FDSAUDITLINK__" localSheetId="15" hidden="1">{"fdsup://Directions/FactSet Auditing Viewer?action=AUDIT_VALUE&amp;DB=129&amp;ID1=36476010&amp;VALUEID=02101&amp;SDATE=200803&amp;PERIODTYPE=QTR_STD&amp;window=popup_no_bar&amp;width=385&amp;height=120&amp;START_MAXIMIZED=FALSE&amp;creator=factset&amp;display_string=Audit"}</definedName>
    <definedName name="_1098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099__FDSAUDITLINK__" localSheetId="15" hidden="1">{"fdsup://Directions/FactSet Auditing Viewer?action=AUDIT_VALUE&amp;DB=129&amp;ID1=36476010&amp;VALUEID=01001&amp;SDATE=200803&amp;PERIODTYPE=QTR_STD&amp;window=popup_no_bar&amp;width=385&amp;height=120&amp;START_MAXIMIZED=FALSE&amp;creator=factset&amp;display_string=Audit"}</definedName>
    <definedName name="_1099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__123Graph_XLIQUIDS" hidden="1">[2]P!$R$29:$AK$29</definedName>
    <definedName name="_11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11__FDSAUDITLINK__" hidden="1">{"fdsup://Directions/FactSet Auditing Viewer?action=AUDIT_VALUE&amp;DB=129&amp;ID1=03783310&amp;VALUEID=01001&amp;SDATE=2005&amp;PERIODTYPE=ANN_STD&amp;window=popup_no_bar&amp;width=385&amp;height=120&amp;START_MAXIMIZED=FALSE&amp;creator=factset&amp;display_string=Audit"}</definedName>
    <definedName name="_110__FDSAUDITLINK__" localSheetId="15" hidden="1">{"fdsup://Directions/FactSet Auditing Viewer?action=AUDIT_VALUE&amp;DB=129&amp;ID1=96990410&amp;VALUEID=01001&amp;SDATE=200804&amp;PERIODTYPE=QTR_STD&amp;window=popup_no_bar&amp;width=385&amp;height=120&amp;START_MAXIMIZED=FALSE&amp;creator=factset&amp;display_string=Audit"}</definedName>
    <definedName name="_110__FDSAUDITLINK__" hidden="1">{"fdsup://Directions/FactSet Auditing Viewer?action=AUDIT_VALUE&amp;DB=129&amp;ID1=39006410&amp;VALUEID=04601&amp;SDATE=2007&amp;PERIODTYPE=ANN_STD&amp;window=popup_no_bar&amp;width=385&amp;height=120&amp;START_MAXIMIZED=FALSE&amp;creator=factset&amp;display_string=Audit"}</definedName>
    <definedName name="_1100__FDSAUDITLINK__" localSheetId="15" hidden="1">{"fdsup://Directions/FactSet Auditing Viewer?action=AUDIT_VALUE&amp;DB=129&amp;ID1=36476010&amp;VALUEID=13040&amp;SDATE=200803&amp;PERIODTYPE=QTR_STD&amp;window=popup_no_bar&amp;width=385&amp;height=120&amp;START_MAXIMIZED=FALSE&amp;creator=factset&amp;display_string=Audit"}</definedName>
    <definedName name="_1100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01__FDSAUDITLINK__" localSheetId="15" hidden="1">{"fdsup://Directions/FactSet Auditing Viewer?action=AUDIT_VALUE&amp;DB=129&amp;ID1=03611510&amp;VALUEID=02101&amp;SDATE=200803&amp;PERIODTYPE=QTR_STD&amp;window=popup_no_bar&amp;width=385&amp;height=120&amp;START_MAXIMIZED=FALSE&amp;creator=factset&amp;display_string=Audit"}</definedName>
    <definedName name="_110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102__FDSAUDITLINK__" localSheetId="15" hidden="1">{"fdsup://Directions/FactSet Auditing Viewer?action=AUDIT_VALUE&amp;DB=129&amp;ID1=03611510&amp;VALUEID=01001&amp;SDATE=200803&amp;PERIODTYPE=QTR_STD&amp;window=popup_no_bar&amp;width=385&amp;height=120&amp;START_MAXIMIZED=FALSE&amp;creator=factset&amp;display_string=Audit"}</definedName>
    <definedName name="_1102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103__FDSAUDITLINK__" localSheetId="15" hidden="1">{"fdsup://Directions/FactSet Auditing Viewer?action=AUDIT_VALUE&amp;DB=129&amp;ID1=16890510&amp;VALUEID=02101&amp;SDATE=200803&amp;PERIODTYPE=QTR_STD&amp;window=popup_no_bar&amp;width=385&amp;height=120&amp;START_MAXIMIZED=FALSE&amp;creator=factset&amp;display_string=Audit"}</definedName>
    <definedName name="_1103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104__FDSAUDITLINK__" localSheetId="15" hidden="1">{"fdsup://Directions/FactSet Auditing Viewer?action=AUDIT_VALUE&amp;DB=129&amp;ID1=16890510&amp;VALUEID=01001&amp;SDATE=200803&amp;PERIODTYPE=QTR_STD&amp;window=popup_no_bar&amp;width=385&amp;height=120&amp;START_MAXIMIZED=FALSE&amp;creator=factset&amp;display_string=Audit"}</definedName>
    <definedName name="_1104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105__FDSAUDITLINK__" localSheetId="15" hidden="1">{"fdsup://Directions/FactSet Auditing Viewer?action=AUDIT_VALUE&amp;DB=129&amp;ID1=91704710&amp;VALUEID=02101&amp;SDATE=200803&amp;PERIODTYPE=QTR_STD&amp;window=popup_no_bar&amp;width=385&amp;height=120&amp;START_MAXIMIZED=FALSE&amp;creator=factset&amp;display_string=Audit"}</definedName>
    <definedName name="_1105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106__FDSAUDITLINK__" localSheetId="15" hidden="1">{"fdsup://Directions/FactSet Auditing Viewer?action=AUDIT_VALUE&amp;DB=129&amp;ID1=91704710&amp;VALUEID=01001&amp;SDATE=200803&amp;PERIODTYPE=QTR_STD&amp;window=popup_no_bar&amp;width=385&amp;height=120&amp;START_MAXIMIZED=FALSE&amp;creator=factset&amp;display_string=Audit"}</definedName>
    <definedName name="_1106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107__FDSAUDITLINK__" localSheetId="15" hidden="1">{"fdsup://Directions/FactSet Auditing Viewer?action=AUDIT_VALUE&amp;DB=129&amp;ID1=91704710&amp;VALUEID=13040&amp;SDATE=200803&amp;PERIODTYPE=QTR_STD&amp;window=popup_no_bar&amp;width=385&amp;height=120&amp;START_MAXIMIZED=FALSE&amp;creator=factset&amp;display_string=Audit"}</definedName>
    <definedName name="_1107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108__FDSAUDITLINK__" localSheetId="15" hidden="1">{"fdsup://Directions/FactSet Auditing Viewer?action=AUDIT_VALUE&amp;DB=129&amp;ID1=02553E10&amp;VALUEID=02101&amp;SDATE=200803&amp;PERIODTYPE=QTR_STD&amp;window=popup_no_bar&amp;width=385&amp;height=120&amp;START_MAXIMIZED=FALSE&amp;creator=factset&amp;display_string=Audit"}</definedName>
    <definedName name="_1108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109__FDSAUDITLINK__" localSheetId="15" hidden="1">{"fdsup://Directions/FactSet Auditing Viewer?action=AUDIT_VALUE&amp;DB=129&amp;ID1=02553E10&amp;VALUEID=01001&amp;SDATE=200803&amp;PERIODTYPE=QTR_STD&amp;window=popup_no_bar&amp;width=385&amp;height=120&amp;START_MAXIMIZED=FALSE&amp;creator=factset&amp;display_string=Audit"}</definedName>
    <definedName name="_1109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11__FDSAUDITLINK__" localSheetId="15" hidden="1">{"fdsup://Directions/FactSet Auditing Viewer?action=AUDIT_VALUE&amp;DB=129&amp;ID1=96990410&amp;VALUEID=01001&amp;SDATE=200803&amp;PERIODTYPE=QTR_STD&amp;window=popup_no_bar&amp;width=385&amp;height=120&amp;START_MAXIMIZED=FALSE&amp;creator=factset&amp;display_string=Audit"}</definedName>
    <definedName name="_111__FDSAUDITLINK__" hidden="1">{"fdsup://Directions/FactSet Auditing Viewer?action=AUDIT_VALUE&amp;DB=129&amp;ID1=39006410&amp;VALUEID=01001&amp;SDATE=2008&amp;PERIODTYPE=ANN_STD&amp;window=popup_no_bar&amp;width=385&amp;height=120&amp;START_MAXIMIZED=FALSE&amp;creator=factset&amp;display_string=Audit"}</definedName>
    <definedName name="_1110__FDSAUDITLINK__" localSheetId="15" hidden="1">{"fdsup://Directions/FactSet Auditing Viewer?action=AUDIT_VALUE&amp;DB=129&amp;ID1=02553E10&amp;VALUEID=13040&amp;SDATE=200803&amp;PERIODTYPE=QTR_STD&amp;window=popup_no_bar&amp;width=385&amp;height=120&amp;START_MAXIMIZED=FALSE&amp;creator=factset&amp;display_string=Audit"}</definedName>
    <definedName name="_1110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111__FDSAUDITLINK__" localSheetId="15" hidden="1">{"fdsup://Directions/FactSet Auditing Viewer?action=AUDIT_VALUE&amp;DB=129&amp;ID1=00786510&amp;VALUEID=02101&amp;SDATE=200803&amp;PERIODTYPE=QTR_STD&amp;window=popup_no_bar&amp;width=385&amp;height=120&amp;START_MAXIMIZED=FALSE&amp;creator=factset&amp;display_string=Audit"}</definedName>
    <definedName name="_1111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112__FDSAUDITLINK__" localSheetId="15" hidden="1">{"fdsup://Directions/FactSet Auditing Viewer?action=AUDIT_VALUE&amp;DB=129&amp;ID1=00786510&amp;VALUEID=01001&amp;SDATE=200803&amp;PERIODTYPE=QTR_STD&amp;window=popup_no_bar&amp;width=385&amp;height=120&amp;START_MAXIMIZED=FALSE&amp;creator=factset&amp;display_string=Audit"}</definedName>
    <definedName name="_1112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113__FDSAUDITLINK__" localSheetId="15" hidden="1">{"fdsup://Directions/FactSet Auditing Viewer?action=AUDIT_VALUE&amp;DB=129&amp;ID1=00786510&amp;VALUEID=13040&amp;SDATE=200803&amp;PERIODTYPE=QTR_STD&amp;window=popup_no_bar&amp;width=385&amp;height=120&amp;START_MAXIMIZED=FALSE&amp;creator=factset&amp;display_string=Audit"}</definedName>
    <definedName name="_1113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114__FDSAUDITLINK__" localSheetId="15" hidden="1">{"fdsup://Directions/FactSet Auditing Viewer?action=AUDIT_VALUE&amp;DB=129&amp;ID1=00289620&amp;VALUEID=02101&amp;SDATE=200803&amp;PERIODTYPE=QTR_STD&amp;window=popup_no_bar&amp;width=385&amp;height=120&amp;START_MAXIMIZED=FALSE&amp;creator=factset&amp;display_string=Audit"}</definedName>
    <definedName name="_1114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115__FDSAUDITLINK__" localSheetId="15" hidden="1">{"fdsup://Directions/FactSet Auditing Viewer?action=AUDIT_VALUE&amp;DB=129&amp;ID1=00289620&amp;VALUEID=01001&amp;SDATE=200803&amp;PERIODTYPE=QTR_STD&amp;window=popup_no_bar&amp;width=385&amp;height=120&amp;START_MAXIMIZED=FALSE&amp;creator=factset&amp;display_string=Audit"}</definedName>
    <definedName name="_1115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116__FDSAUDITLINK__" localSheetId="15" hidden="1">{"fdsup://Directions/FactSet Auditing Viewer?action=AUDIT_VALUE&amp;DB=129&amp;ID1=00289620&amp;VALUEID=13040&amp;SDATE=200803&amp;PERIODTYPE=QTR_STD&amp;window=popup_no_bar&amp;width=385&amp;height=120&amp;START_MAXIMIZED=FALSE&amp;creator=factset&amp;display_string=Audit"}</definedName>
    <definedName name="_1116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117__FDSAUDITLINK__" localSheetId="15" hidden="1">{"fdsup://Directions/FactSet Auditing Viewer?action=AUDIT_VALUE&amp;DB=129&amp;ID1=87416110&amp;VALUEID=02101&amp;SDATE=200802&amp;PERIODTYPE=QTR_STD&amp;window=popup_no_bar&amp;width=385&amp;height=120&amp;START_MAXIMIZED=FALSE&amp;creator=factset&amp;display_string=Audit"}</definedName>
    <definedName name="_1117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118__FDSAUDITLINK__" localSheetId="15" hidden="1">{"fdsup://Directions/FactSet Auditing Viewer?action=AUDIT_VALUE&amp;DB=129&amp;ID1=87416110&amp;VALUEID=01001&amp;SDATE=200802&amp;PERIODTYPE=QTR_STD&amp;window=popup_no_bar&amp;width=385&amp;height=120&amp;START_MAXIMIZED=FALSE&amp;creator=factset&amp;display_string=Audit"}</definedName>
    <definedName name="_1118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119__FDSAUDITLINK__" localSheetId="15" hidden="1">{"fdsup://Directions/FactSet Auditing Viewer?action=AUDIT_VALUE&amp;DB=129&amp;ID1=53271610&amp;VALUEID=02101&amp;SDATE=200802&amp;PERIODTYPE=QTR_STD&amp;window=popup_no_bar&amp;width=385&amp;height=120&amp;START_MAXIMIZED=FALSE&amp;creator=factset&amp;display_string=Audit"}</definedName>
    <definedName name="_1119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12__FDSAUDITLINK__" localSheetId="15" hidden="1">{"fdsup://Directions/FactSet Auditing Viewer?action=AUDIT_VALUE&amp;DB=129&amp;ID1=96990410&amp;VALUEID=01001&amp;SDATE=200802&amp;PERIODTYPE=QTR_STD&amp;window=popup_no_bar&amp;width=385&amp;height=120&amp;START_MAXIMIZED=FALSE&amp;creator=factset&amp;display_string=Audit"}</definedName>
    <definedName name="_112__FDSAUDITLINK__" hidden="1">{"fdsup://Directions/FactSet Auditing Viewer?action=AUDIT_VALUE&amp;DB=129&amp;ID1=39006410&amp;VALUEID=04601&amp;SDATE=2008&amp;PERIODTYPE=ANN_STD&amp;window=popup_no_bar&amp;width=385&amp;height=120&amp;START_MAXIMIZED=FALSE&amp;creator=factset&amp;display_string=Audit"}</definedName>
    <definedName name="_1120__FDSAUDITLINK__" localSheetId="15" hidden="1">{"fdsup://Directions/FactSet Auditing Viewer?action=AUDIT_VALUE&amp;DB=129&amp;ID1=53271610&amp;VALUEID=01001&amp;SDATE=200802&amp;PERIODTYPE=QTR_STD&amp;window=popup_no_bar&amp;width=385&amp;height=120&amp;START_MAXIMIZED=FALSE&amp;creator=factset&amp;display_string=Audit"}</definedName>
    <definedName name="_112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121__FDSAUDITLINK__" localSheetId="15" hidden="1">{"fdsup://Directions/FactSet Auditing Viewer?action=AUDIT_VALUE&amp;DB=129&amp;ID1=53271610&amp;VALUEID=13040&amp;SDATE=200802&amp;PERIODTYPE=QTR_STD&amp;window=popup_no_bar&amp;width=385&amp;height=120&amp;START_MAXIMIZED=FALSE&amp;creator=factset&amp;display_string=Audit"}</definedName>
    <definedName name="_1121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122__FDSAUDITLINK__" localSheetId="15" hidden="1">{"fdsup://Directions/FactSet Auditing Viewer?action=AUDIT_VALUE&amp;DB=129&amp;ID1=46612H40&amp;VALUEID=02101&amp;SDATE=200802&amp;PERIODTYPE=QTR_STD&amp;window=popup_no_bar&amp;width=385&amp;height=120&amp;START_MAXIMIZED=FALSE&amp;creator=factset&amp;display_string=Audit"}</definedName>
    <definedName name="_1122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123__FDSAUDITLINK__" localSheetId="15" hidden="1">{"fdsup://Directions/FactSet Auditing Viewer?action=AUDIT_VALUE&amp;DB=129&amp;ID1=46612H40&amp;VALUEID=01001&amp;SDATE=200802&amp;PERIODTYPE=QTR_STD&amp;window=popup_no_bar&amp;width=385&amp;height=120&amp;START_MAXIMIZED=FALSE&amp;creator=factset&amp;display_string=Audit"}</definedName>
    <definedName name="_1123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124__FDSAUDITLINK__" localSheetId="15" hidden="1">{"fdsup://Directions/FactSet Auditing Viewer?action=AUDIT_VALUE&amp;DB=129&amp;ID1=46612H40&amp;VALUEID=13040&amp;SDATE=200802&amp;PERIODTYPE=QTR_STD&amp;window=popup_no_bar&amp;width=385&amp;height=120&amp;START_MAXIMIZED=FALSE&amp;creator=factset&amp;display_string=Audit"}</definedName>
    <definedName name="_1124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125__FDSAUDITLINK__" localSheetId="15" hidden="1">{"fdsup://Directions/FactSet Auditing Viewer?action=AUDIT_VALUE&amp;DB=129&amp;ID1=36476010&amp;VALUEID=02101&amp;SDATE=200802&amp;PERIODTYPE=QTR_STD&amp;window=popup_no_bar&amp;width=385&amp;height=120&amp;START_MAXIMIZED=FALSE&amp;creator=factset&amp;display_string=Audit"}</definedName>
    <definedName name="_1125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126__FDSAUDITLINK__" localSheetId="15" hidden="1">{"fdsup://Directions/FactSet Auditing Viewer?action=AUDIT_VALUE&amp;DB=129&amp;ID1=36476010&amp;VALUEID=01001&amp;SDATE=200802&amp;PERIODTYPE=QTR_STD&amp;window=popup_no_bar&amp;width=385&amp;height=120&amp;START_MAXIMIZED=FALSE&amp;creator=factset&amp;display_string=Audit"}</definedName>
    <definedName name="_1126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127__FDSAUDITLINK__" localSheetId="15" hidden="1">{"fdsup://Directions/FactSet Auditing Viewer?action=AUDIT_VALUE&amp;DB=129&amp;ID1=36476010&amp;VALUEID=13040&amp;SDATE=200802&amp;PERIODTYPE=QTR_STD&amp;window=popup_no_bar&amp;width=385&amp;height=120&amp;START_MAXIMIZED=FALSE&amp;creator=factset&amp;display_string=Audit"}</definedName>
    <definedName name="_1127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128__FDSAUDITLINK__" localSheetId="15" hidden="1">{"fdsup://Directions/FactSet Auditing Viewer?action=AUDIT_VALUE&amp;DB=129&amp;ID1=03611510&amp;VALUEID=02101&amp;SDATE=200802&amp;PERIODTYPE=QTR_STD&amp;window=popup_no_bar&amp;width=385&amp;height=120&amp;START_MAXIMIZED=FALSE&amp;creator=factset&amp;display_string=Audit"}</definedName>
    <definedName name="_1128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129__FDSAUDITLINK__" localSheetId="15" hidden="1">{"fdsup://Directions/FactSet Auditing Viewer?action=AUDIT_VALUE&amp;DB=129&amp;ID1=03611510&amp;VALUEID=01001&amp;SDATE=200802&amp;PERIODTYPE=QTR_STD&amp;window=popup_no_bar&amp;width=385&amp;height=120&amp;START_MAXIMIZED=FALSE&amp;creator=factset&amp;display_string=Audit"}</definedName>
    <definedName name="_1129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13__FDSAUDITLINK__" localSheetId="15" hidden="1">{"fdsup://Directions/FactSet Auditing Viewer?action=AUDIT_VALUE&amp;DB=129&amp;ID1=96990410&amp;VALUEID=01001&amp;SDATE=200801&amp;PERIODTYPE=QTR_STD&amp;window=popup_no_bar&amp;width=385&amp;height=120&amp;START_MAXIMIZED=FALSE&amp;creator=factset&amp;display_string=Audit"}</definedName>
    <definedName name="_113__FDSAUDITLINK__" hidden="1">{"fdsup://Directions/FactSet Auditing Viewer?action=AUDIT_VALUE&amp;DB=129&amp;ID1=69865710&amp;VALUEID=01001&amp;SDATE=2005&amp;PERIODTYPE=ANN_STD&amp;window=popup_no_bar&amp;width=385&amp;height=120&amp;START_MAXIMIZED=FALSE&amp;creator=factset&amp;display_string=Audit"}</definedName>
    <definedName name="_1130__FDSAUDITLINK__" localSheetId="15" hidden="1">{"fdsup://Directions/FactSet Auditing Viewer?action=AUDIT_VALUE&amp;DB=129&amp;ID1=16890510&amp;VALUEID=02101&amp;SDATE=200802&amp;PERIODTYPE=QTR_STD&amp;window=popup_no_bar&amp;width=385&amp;height=120&amp;START_MAXIMIZED=FALSE&amp;creator=factset&amp;display_string=Audit"}</definedName>
    <definedName name="_1130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131__FDSAUDITLINK__" localSheetId="15" hidden="1">{"fdsup://Directions/FactSet Auditing Viewer?action=AUDIT_VALUE&amp;DB=129&amp;ID1=16890510&amp;VALUEID=01001&amp;SDATE=200802&amp;PERIODTYPE=QTR_STD&amp;window=popup_no_bar&amp;width=385&amp;height=120&amp;START_MAXIMIZED=FALSE&amp;creator=factset&amp;display_string=Audit"}</definedName>
    <definedName name="_1131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132__FDSAUDITLINK__" localSheetId="15" hidden="1">{"fdsup://Directions/FactSet Auditing Viewer?action=AUDIT_VALUE&amp;DB=129&amp;ID1=91704710&amp;VALUEID=02101&amp;SDATE=200802&amp;PERIODTYPE=QTR_STD&amp;window=popup_no_bar&amp;width=385&amp;height=120&amp;START_MAXIMIZED=FALSE&amp;creator=factset&amp;display_string=Audit"}</definedName>
    <definedName name="_1132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133__FDSAUDITLINK__" localSheetId="15" hidden="1">{"fdsup://Directions/FactSet Auditing Viewer?action=AUDIT_VALUE&amp;DB=129&amp;ID1=91704710&amp;VALUEID=01001&amp;SDATE=200802&amp;PERIODTYPE=QTR_STD&amp;window=popup_no_bar&amp;width=385&amp;height=120&amp;START_MAXIMIZED=FALSE&amp;creator=factset&amp;display_string=Audit"}</definedName>
    <definedName name="_1133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134__FDSAUDITLINK__" localSheetId="15" hidden="1">{"fdsup://Directions/FactSet Auditing Viewer?action=AUDIT_VALUE&amp;DB=129&amp;ID1=91704710&amp;VALUEID=13040&amp;SDATE=200802&amp;PERIODTYPE=QTR_STD&amp;window=popup_no_bar&amp;width=385&amp;height=120&amp;START_MAXIMIZED=FALSE&amp;creator=factset&amp;display_string=Audit"}</definedName>
    <definedName name="_1134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135__FDSAUDITLINK__" localSheetId="15" hidden="1">{"fdsup://Directions/FactSet Auditing Viewer?action=AUDIT_VALUE&amp;DB=129&amp;ID1=02553E10&amp;VALUEID=02101&amp;SDATE=200802&amp;PERIODTYPE=QTR_STD&amp;window=popup_no_bar&amp;width=385&amp;height=120&amp;START_MAXIMIZED=FALSE&amp;creator=factset&amp;display_string=Audit"}</definedName>
    <definedName name="_1135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136__FDSAUDITLINK__" localSheetId="15" hidden="1">{"fdsup://Directions/FactSet Auditing Viewer?action=AUDIT_VALUE&amp;DB=129&amp;ID1=02553E10&amp;VALUEID=01001&amp;SDATE=200802&amp;PERIODTYPE=QTR_STD&amp;window=popup_no_bar&amp;width=385&amp;height=120&amp;START_MAXIMIZED=FALSE&amp;creator=factset&amp;display_string=Audit"}</definedName>
    <definedName name="_1136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137__FDSAUDITLINK__" localSheetId="15" hidden="1">{"fdsup://Directions/FactSet Auditing Viewer?action=AUDIT_VALUE&amp;DB=129&amp;ID1=02553E10&amp;VALUEID=13040&amp;SDATE=200802&amp;PERIODTYPE=QTR_STD&amp;window=popup_no_bar&amp;width=385&amp;height=120&amp;START_MAXIMIZED=FALSE&amp;creator=factset&amp;display_string=Audit"}</definedName>
    <definedName name="_1137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138__FDSAUDITLINK__" localSheetId="15" hidden="1">{"fdsup://Directions/FactSet Auditing Viewer?action=AUDIT_VALUE&amp;DB=129&amp;ID1=00786510&amp;VALUEID=02101&amp;SDATE=200802&amp;PERIODTYPE=QTR_STD&amp;window=popup_no_bar&amp;width=385&amp;height=120&amp;START_MAXIMIZED=FALSE&amp;creator=factset&amp;display_string=Audit"}</definedName>
    <definedName name="_1138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139__FDSAUDITLINK__" localSheetId="15" hidden="1">{"fdsup://Directions/FactSet Auditing Viewer?action=AUDIT_VALUE&amp;DB=129&amp;ID1=00786510&amp;VALUEID=01001&amp;SDATE=200802&amp;PERIODTYPE=QTR_STD&amp;window=popup_no_bar&amp;width=385&amp;height=120&amp;START_MAXIMIZED=FALSE&amp;creator=factset&amp;display_string=Audit"}</definedName>
    <definedName name="_1139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14__FDSAUDITLINK__" localSheetId="15" hidden="1">{"fdsup://Directions/FactSet Auditing Viewer?action=AUDIT_VALUE&amp;DB=129&amp;ID1=96990410&amp;VALUEID=01001&amp;SDATE=200704&amp;PERIODTYPE=QTR_STD&amp;window=popup_no_bar&amp;width=385&amp;height=120&amp;START_MAXIMIZED=FALSE&amp;creator=factset&amp;display_string=Audit"}</definedName>
    <definedName name="_114__FDSAUDITLINK__" hidden="1">{"fdsup://Directions/FactSet Auditing Viewer?action=AUDIT_VALUE&amp;DB=129&amp;ID1=69865710&amp;VALUEID=04601&amp;SDATE=2005&amp;PERIODTYPE=ANN_STD&amp;window=popup_no_bar&amp;width=385&amp;height=120&amp;START_MAXIMIZED=FALSE&amp;creator=factset&amp;display_string=Audit"}</definedName>
    <definedName name="_1140__FDSAUDITLINK__" localSheetId="15" hidden="1">{"fdsup://Directions/FactSet Auditing Viewer?action=AUDIT_VALUE&amp;DB=129&amp;ID1=00786510&amp;VALUEID=13040&amp;SDATE=200802&amp;PERIODTYPE=QTR_STD&amp;window=popup_no_bar&amp;width=385&amp;height=120&amp;START_MAXIMIZED=FALSE&amp;creator=factset&amp;display_string=Audit"}</definedName>
    <definedName name="_1140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141__FDSAUDITLINK__" localSheetId="15" hidden="1">{"fdsup://Directions/FactSet Auditing Viewer?action=AUDIT_VALUE&amp;DB=129&amp;ID1=00289620&amp;VALUEID=02101&amp;SDATE=200802&amp;PERIODTYPE=QTR_STD&amp;window=popup_no_bar&amp;width=385&amp;height=120&amp;START_MAXIMIZED=FALSE&amp;creator=factset&amp;display_string=Audit"}</definedName>
    <definedName name="_1141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142__FDSAUDITLINK__" localSheetId="15" hidden="1">{"fdsup://Directions/FactSet Auditing Viewer?action=AUDIT_VALUE&amp;DB=129&amp;ID1=00289620&amp;VALUEID=01001&amp;SDATE=200802&amp;PERIODTYPE=QTR_STD&amp;window=popup_no_bar&amp;width=385&amp;height=120&amp;START_MAXIMIZED=FALSE&amp;creator=factset&amp;display_string=Audit"}</definedName>
    <definedName name="_1142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143__FDSAUDITLINK__" localSheetId="15" hidden="1">{"fdsup://Directions/FactSet Auditing Viewer?action=AUDIT_VALUE&amp;DB=129&amp;ID1=00289620&amp;VALUEID=13040&amp;SDATE=200802&amp;PERIODTYPE=QTR_STD&amp;window=popup_no_bar&amp;width=385&amp;height=120&amp;START_MAXIMIZED=FALSE&amp;creator=factset&amp;display_string=Audit"}</definedName>
    <definedName name="_1143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144__FDSAUDITLINK__" localSheetId="15" hidden="1">{"fdsup://Directions/FactSet Auditing Viewer?action=AUDIT_VALUE&amp;DB=129&amp;ID1=87416110&amp;VALUEID=02101&amp;SDATE=200801&amp;PERIODTYPE=QTR_STD&amp;window=popup_no_bar&amp;width=385&amp;height=120&amp;START_MAXIMIZED=FALSE&amp;creator=factset&amp;display_string=Audit"}</definedName>
    <definedName name="_1144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145__FDSAUDITLINK__" localSheetId="15" hidden="1">{"fdsup://Directions/FactSet Auditing Viewer?action=AUDIT_VALUE&amp;DB=129&amp;ID1=87416110&amp;VALUEID=01001&amp;SDATE=200801&amp;PERIODTYPE=QTR_STD&amp;window=popup_no_bar&amp;width=385&amp;height=120&amp;START_MAXIMIZED=FALSE&amp;creator=factset&amp;display_string=Audit"}</definedName>
    <definedName name="_1145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146__FDSAUDITLINK__" localSheetId="15" hidden="1">{"fdsup://Directions/FactSet Auditing Viewer?action=AUDIT_VALUE&amp;DB=129&amp;ID1=53271610&amp;VALUEID=02101&amp;SDATE=200801&amp;PERIODTYPE=QTR_STD&amp;window=popup_no_bar&amp;width=385&amp;height=120&amp;START_MAXIMIZED=FALSE&amp;creator=factset&amp;display_string=Audit"}</definedName>
    <definedName name="_1146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147__FDSAUDITLINK__" localSheetId="15" hidden="1">{"fdsup://Directions/FactSet Auditing Viewer?action=AUDIT_VALUE&amp;DB=129&amp;ID1=53271610&amp;VALUEID=01001&amp;SDATE=200801&amp;PERIODTYPE=QTR_STD&amp;window=popup_no_bar&amp;width=385&amp;height=120&amp;START_MAXIMIZED=FALSE&amp;creator=factset&amp;display_string=Audit"}</definedName>
    <definedName name="_114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148__FDSAUDITLINK__" localSheetId="15" hidden="1">{"fdsup://Directions/FactSet Auditing Viewer?action=AUDIT_VALUE&amp;DB=129&amp;ID1=53271610&amp;VALUEID=13040&amp;SDATE=200801&amp;PERIODTYPE=QTR_STD&amp;window=popup_no_bar&amp;width=385&amp;height=120&amp;START_MAXIMIZED=FALSE&amp;creator=factset&amp;display_string=Audit"}</definedName>
    <definedName name="_1148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149__FDSAUDITLINK__" localSheetId="15" hidden="1">{"fdsup://Directions/FactSet Auditing Viewer?action=AUDIT_VALUE&amp;DB=129&amp;ID1=46612H40&amp;VALUEID=02101&amp;SDATE=200801&amp;PERIODTYPE=QTR_STD&amp;window=popup_no_bar&amp;width=385&amp;height=120&amp;START_MAXIMIZED=FALSE&amp;creator=factset&amp;display_string=Audit"}</definedName>
    <definedName name="_1149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15__FDSAUDITLINK__" localSheetId="15" hidden="1">{"fdsup://Directions/FactSet Auditing Viewer?action=AUDIT_VALUE&amp;DB=129&amp;ID1=96990410&amp;VALUEID=01001&amp;SDATE=200703&amp;PERIODTYPE=QTR_STD&amp;window=popup_no_bar&amp;width=385&amp;height=120&amp;START_MAXIMIZED=FALSE&amp;creator=factset&amp;display_string=Audit"}</definedName>
    <definedName name="_115__FDSAUDITLINK__" hidden="1">{"fdsup://Directions/FactSet Auditing Viewer?action=AUDIT_VALUE&amp;DB=129&amp;ID1=69865710&amp;VALUEID=01001&amp;SDATE=2006&amp;PERIODTYPE=ANN_STD&amp;window=popup_no_bar&amp;width=385&amp;height=120&amp;START_MAXIMIZED=FALSE&amp;creator=factset&amp;display_string=Audit"}</definedName>
    <definedName name="_1150__FDSAUDITLINK__" localSheetId="15" hidden="1">{"fdsup://Directions/FactSet Auditing Viewer?action=AUDIT_VALUE&amp;DB=129&amp;ID1=46612H40&amp;VALUEID=01001&amp;SDATE=200801&amp;PERIODTYPE=QTR_STD&amp;window=popup_no_bar&amp;width=385&amp;height=120&amp;START_MAXIMIZED=FALSE&amp;creator=factset&amp;display_string=Audit"}</definedName>
    <definedName name="_1150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151__FDSAUDITLINK__" localSheetId="15" hidden="1">{"fdsup://Directions/FactSet Auditing Viewer?action=AUDIT_VALUE&amp;DB=129&amp;ID1=46612H40&amp;VALUEID=13040&amp;SDATE=200801&amp;PERIODTYPE=QTR_STD&amp;window=popup_no_bar&amp;width=385&amp;height=120&amp;START_MAXIMIZED=FALSE&amp;creator=factset&amp;display_string=Audit"}</definedName>
    <definedName name="_1151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152__FDSAUDITLINK__" localSheetId="15" hidden="1">{"fdsup://Directions/FactSet Auditing Viewer?action=AUDIT_VALUE&amp;DB=129&amp;ID1=36476010&amp;VALUEID=02101&amp;SDATE=200801&amp;PERIODTYPE=QTR_STD&amp;window=popup_no_bar&amp;width=385&amp;height=120&amp;START_MAXIMIZED=FALSE&amp;creator=factset&amp;display_string=Audit"}</definedName>
    <definedName name="_1152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153__FDSAUDITLINK__" localSheetId="15" hidden="1">{"fdsup://Directions/FactSet Auditing Viewer?action=AUDIT_VALUE&amp;DB=129&amp;ID1=36476010&amp;VALUEID=01001&amp;SDATE=200801&amp;PERIODTYPE=QTR_STD&amp;window=popup_no_bar&amp;width=385&amp;height=120&amp;START_MAXIMIZED=FALSE&amp;creator=factset&amp;display_string=Audit"}</definedName>
    <definedName name="_1153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154__FDSAUDITLINK__" localSheetId="15" hidden="1">{"fdsup://Directions/FactSet Auditing Viewer?action=AUDIT_VALUE&amp;DB=129&amp;ID1=36476010&amp;VALUEID=13040&amp;SDATE=200801&amp;PERIODTYPE=QTR_STD&amp;window=popup_no_bar&amp;width=385&amp;height=120&amp;START_MAXIMIZED=FALSE&amp;creator=factset&amp;display_string=Audit"}</definedName>
    <definedName name="_1154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155__FDSAUDITLINK__" localSheetId="15" hidden="1">{"fdsup://Directions/FactSet Auditing Viewer?action=AUDIT_VALUE&amp;DB=129&amp;ID1=03611510&amp;VALUEID=02101&amp;SDATE=200801&amp;PERIODTYPE=QTR_STD&amp;window=popup_no_bar&amp;width=385&amp;height=120&amp;START_MAXIMIZED=FALSE&amp;creator=factset&amp;display_string=Audit"}</definedName>
    <definedName name="_1155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156__FDSAUDITLINK__" localSheetId="15" hidden="1">{"fdsup://Directions/FactSet Auditing Viewer?action=AUDIT_VALUE&amp;DB=129&amp;ID1=03611510&amp;VALUEID=01001&amp;SDATE=200801&amp;PERIODTYPE=QTR_STD&amp;window=popup_no_bar&amp;width=385&amp;height=120&amp;START_MAXIMIZED=FALSE&amp;creator=factset&amp;display_string=Audit"}</definedName>
    <definedName name="_115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157__FDSAUDITLINK__" localSheetId="15" hidden="1">{"fdsup://Directions/FactSet Auditing Viewer?action=AUDIT_VALUE&amp;DB=129&amp;ID1=03611510&amp;VALUEID=13040&amp;SDATE=200801&amp;PERIODTYPE=QTR_STD&amp;window=popup_no_bar&amp;width=385&amp;height=120&amp;START_MAXIMIZED=FALSE&amp;creator=factset&amp;display_string=Audit"}</definedName>
    <definedName name="_1157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158__FDSAUDITLINK__" localSheetId="15" hidden="1">{"fdsup://Directions/FactSet Auditing Viewer?action=AUDIT_VALUE&amp;DB=129&amp;ID1=16890510&amp;VALUEID=02101&amp;SDATE=200801&amp;PERIODTYPE=QTR_STD&amp;window=popup_no_bar&amp;width=385&amp;height=120&amp;START_MAXIMIZED=FALSE&amp;creator=factset&amp;display_string=Audit"}</definedName>
    <definedName name="_1158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159__FDSAUDITLINK__" localSheetId="15" hidden="1">{"fdsup://Directions/FactSet Auditing Viewer?action=AUDIT_VALUE&amp;DB=129&amp;ID1=16890510&amp;VALUEID=01001&amp;SDATE=200801&amp;PERIODTYPE=QTR_STD&amp;window=popup_no_bar&amp;width=385&amp;height=120&amp;START_MAXIMIZED=FALSE&amp;creator=factset&amp;display_string=Audit"}</definedName>
    <definedName name="_1159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16__FDSAUDITLINK__" localSheetId="15" hidden="1">{"fdsup://Directions/FactSet Auditing Viewer?action=AUDIT_VALUE&amp;DB=129&amp;ID1=96990410&amp;VALUEID=01001&amp;SDATE=200702&amp;PERIODTYPE=QTR_STD&amp;window=popup_no_bar&amp;width=385&amp;height=120&amp;START_MAXIMIZED=FALSE&amp;creator=factset&amp;display_string=Audit"}</definedName>
    <definedName name="_116__FDSAUDITLINK__" hidden="1">{"fdsup://Directions/FactSet Auditing Viewer?action=AUDIT_VALUE&amp;DB=129&amp;ID1=69865710&amp;VALUEID=04601&amp;SDATE=2006&amp;PERIODTYPE=ANN_STD&amp;window=popup_no_bar&amp;width=385&amp;height=120&amp;START_MAXIMIZED=FALSE&amp;creator=factset&amp;display_string=Audit"}</definedName>
    <definedName name="_1160__FDSAUDITLINK__" localSheetId="15" hidden="1">{"fdsup://Directions/FactSet Auditing Viewer?action=AUDIT_VALUE&amp;DB=129&amp;ID1=91704710&amp;VALUEID=02101&amp;SDATE=200801&amp;PERIODTYPE=QTR_STD&amp;window=popup_no_bar&amp;width=385&amp;height=120&amp;START_MAXIMIZED=FALSE&amp;creator=factset&amp;display_string=Audit"}</definedName>
    <definedName name="_1160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161__FDSAUDITLINK__" localSheetId="15" hidden="1">{"fdsup://Directions/FactSet Auditing Viewer?action=AUDIT_VALUE&amp;DB=129&amp;ID1=91704710&amp;VALUEID=01001&amp;SDATE=200801&amp;PERIODTYPE=QTR_STD&amp;window=popup_no_bar&amp;width=385&amp;height=120&amp;START_MAXIMIZED=FALSE&amp;creator=factset&amp;display_string=Audit"}</definedName>
    <definedName name="_1161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162__FDSAUDITLINK__" localSheetId="15" hidden="1">{"fdsup://Directions/FactSet Auditing Viewer?action=AUDIT_VALUE&amp;DB=129&amp;ID1=91704710&amp;VALUEID=13040&amp;SDATE=200801&amp;PERIODTYPE=QTR_STD&amp;window=popup_no_bar&amp;width=385&amp;height=120&amp;START_MAXIMIZED=FALSE&amp;creator=factset&amp;display_string=Audit"}</definedName>
    <definedName name="_1162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163__FDSAUDITLINK__" localSheetId="15" hidden="1">{"fdsup://Directions/FactSet Auditing Viewer?action=AUDIT_VALUE&amp;DB=129&amp;ID1=02553E10&amp;VALUEID=02101&amp;SDATE=200801&amp;PERIODTYPE=QTR_STD&amp;window=popup_no_bar&amp;width=385&amp;height=120&amp;START_MAXIMIZED=FALSE&amp;creator=factset&amp;display_string=Audit"}</definedName>
    <definedName name="_1163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164__FDSAUDITLINK__" localSheetId="15" hidden="1">{"fdsup://Directions/FactSet Auditing Viewer?action=AUDIT_VALUE&amp;DB=129&amp;ID1=02553E10&amp;VALUEID=01001&amp;SDATE=200801&amp;PERIODTYPE=QTR_STD&amp;window=popup_no_bar&amp;width=385&amp;height=120&amp;START_MAXIMIZED=FALSE&amp;creator=factset&amp;display_string=Audit"}</definedName>
    <definedName name="_1164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165__FDSAUDITLINK__" localSheetId="15" hidden="1">{"fdsup://Directions/FactSet Auditing Viewer?action=AUDIT_VALUE&amp;DB=129&amp;ID1=02553E10&amp;VALUEID=13040&amp;SDATE=200801&amp;PERIODTYPE=QTR_STD&amp;window=popup_no_bar&amp;width=385&amp;height=120&amp;START_MAXIMIZED=FALSE&amp;creator=factset&amp;display_string=Audit"}</definedName>
    <definedName name="_1165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166__FDSAUDITLINK__" localSheetId="15" hidden="1">{"fdsup://Directions/FactSet Auditing Viewer?action=AUDIT_VALUE&amp;DB=129&amp;ID1=00786510&amp;VALUEID=02101&amp;SDATE=200801&amp;PERIODTYPE=QTR_STD&amp;window=popup_no_bar&amp;width=385&amp;height=120&amp;START_MAXIMIZED=FALSE&amp;creator=factset&amp;display_string=Audit"}</definedName>
    <definedName name="_1166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167__FDSAUDITLINK__" localSheetId="15" hidden="1">{"fdsup://Directions/FactSet Auditing Viewer?action=AUDIT_VALUE&amp;DB=129&amp;ID1=00786510&amp;VALUEID=01001&amp;SDATE=200801&amp;PERIODTYPE=QTR_STD&amp;window=popup_no_bar&amp;width=385&amp;height=120&amp;START_MAXIMIZED=FALSE&amp;creator=factset&amp;display_string=Audit"}</definedName>
    <definedName name="_1167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168__FDSAUDITLINK__" localSheetId="15" hidden="1">{"fdsup://Directions/FactSet Auditing Viewer?action=AUDIT_VALUE&amp;DB=129&amp;ID1=00786510&amp;VALUEID=13040&amp;SDATE=200801&amp;PERIODTYPE=QTR_STD&amp;window=popup_no_bar&amp;width=385&amp;height=120&amp;START_MAXIMIZED=FALSE&amp;creator=factset&amp;display_string=Audit"}</definedName>
    <definedName name="_1168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169__FDSAUDITLINK__" localSheetId="15" hidden="1">{"fdsup://Directions/FactSet Auditing Viewer?action=AUDIT_VALUE&amp;DB=129&amp;ID1=00289620&amp;VALUEID=02101&amp;SDATE=200801&amp;PERIODTYPE=QTR_STD&amp;window=popup_no_bar&amp;width=385&amp;height=120&amp;START_MAXIMIZED=FALSE&amp;creator=factset&amp;display_string=Audit"}</definedName>
    <definedName name="_1169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17__FDSAUDITLINK__" localSheetId="15" hidden="1">{"fdsup://Directions/FactSet Auditing Viewer?action=AUDIT_VALUE&amp;DB=129&amp;ID1=96990410&amp;VALUEID=01001&amp;SDATE=200701&amp;PERIODTYPE=QTR_STD&amp;window=popup_no_bar&amp;width=385&amp;height=120&amp;START_MAXIMIZED=FALSE&amp;creator=factset&amp;display_string=Audit"}</definedName>
    <definedName name="_117__FDSAUDITLINK__" hidden="1">{"fdsup://Directions/FactSet Auditing Viewer?action=AUDIT_VALUE&amp;DB=129&amp;ID1=69865710&amp;VALUEID=01001&amp;SDATE=2007&amp;PERIODTYPE=ANN_STD&amp;window=popup_no_bar&amp;width=385&amp;height=120&amp;START_MAXIMIZED=FALSE&amp;creator=factset&amp;display_string=Audit"}</definedName>
    <definedName name="_1170__FDSAUDITLINK__" localSheetId="15" hidden="1">{"fdsup://Directions/FactSet Auditing Viewer?action=AUDIT_VALUE&amp;DB=129&amp;ID1=00289620&amp;VALUEID=01001&amp;SDATE=200801&amp;PERIODTYPE=QTR_STD&amp;window=popup_no_bar&amp;width=385&amp;height=120&amp;START_MAXIMIZED=FALSE&amp;creator=factset&amp;display_string=Audit"}</definedName>
    <definedName name="_1170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171__FDSAUDITLINK__" localSheetId="15" hidden="1">{"fdsup://Directions/FactSet Auditing Viewer?action=AUDIT_VALUE&amp;DB=129&amp;ID1=00289620&amp;VALUEID=13040&amp;SDATE=200801&amp;PERIODTYPE=QTR_STD&amp;window=popup_no_bar&amp;width=385&amp;height=120&amp;START_MAXIMIZED=FALSE&amp;creator=factset&amp;display_string=Audit"}</definedName>
    <definedName name="_1171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172__FDSAUDITLINK__" localSheetId="15" hidden="1">{"fdsup://Directions/FactSet Auditing Viewer?action=AUDIT_VALUE&amp;DB=129&amp;ID1=87416110&amp;VALUEID=01001&amp;SDATE=200704&amp;PERIODTYPE=QTR_STD&amp;window=popup_no_bar&amp;width=385&amp;height=120&amp;START_MAXIMIZED=FALSE&amp;creator=factset&amp;display_string=Audit"}</definedName>
    <definedName name="_1172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173__FDSAUDITLINK__" localSheetId="15" hidden="1">{"fdsup://Directions/FactSet Auditing Viewer?action=AUDIT_VALUE&amp;DB=129&amp;ID1=46612H40&amp;VALUEID=01001&amp;SDATE=200704&amp;PERIODTYPE=QTR_STD&amp;window=popup_no_bar&amp;width=385&amp;height=120&amp;START_MAXIMIZED=FALSE&amp;creator=factset&amp;display_string=Audit"}</definedName>
    <definedName name="_1173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174__FDSAUDITLINK__" localSheetId="15" hidden="1">{"fdsup://Directions/FactSet Auditing Viewer?action=AUDIT_VALUE&amp;DB=129&amp;ID1=46612H40&amp;VALUEID=13040&amp;SDATE=200704&amp;PERIODTYPE=QTR_STD&amp;window=popup_no_bar&amp;width=385&amp;height=120&amp;START_MAXIMIZED=FALSE&amp;creator=factset&amp;display_string=Audit"}</definedName>
    <definedName name="_1174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175__FDSAUDITLINK__" localSheetId="15" hidden="1">{"fdsup://Directions/FactSet Auditing Viewer?action=AUDIT_VALUE&amp;DB=129&amp;ID1=36476010&amp;VALUEID=01001&amp;SDATE=200704&amp;PERIODTYPE=QTR_STD&amp;window=popup_no_bar&amp;width=385&amp;height=120&amp;START_MAXIMIZED=FALSE&amp;creator=factset&amp;display_string=Audit"}</definedName>
    <definedName name="_1175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176__FDSAUDITLINK__" localSheetId="15" hidden="1">{"fdsup://Directions/FactSet Auditing Viewer?action=AUDIT_VALUE&amp;DB=129&amp;ID1=03611510&amp;VALUEID=01001&amp;SDATE=200704&amp;PERIODTYPE=QTR_STD&amp;window=popup_no_bar&amp;width=385&amp;height=120&amp;START_MAXIMIZED=FALSE&amp;creator=factset&amp;display_string=Audit"}</definedName>
    <definedName name="_1176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177__FDSAUDITLINK__" localSheetId="15" hidden="1">{"fdsup://Directions/FactSet Auditing Viewer?action=AUDIT_VALUE&amp;DB=129&amp;ID1=03611510&amp;VALUEID=13040&amp;SDATE=200704&amp;PERIODTYPE=QTR_STD&amp;window=popup_no_bar&amp;width=385&amp;height=120&amp;START_MAXIMIZED=FALSE&amp;creator=factset&amp;display_string=Audit"}</definedName>
    <definedName name="_1177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178__FDSAUDITLINK__" localSheetId="15" hidden="1">{"fdsup://Directions/FactSet Auditing Viewer?action=AUDIT_VALUE&amp;DB=129&amp;ID1=16890510&amp;VALUEID=01001&amp;SDATE=200704&amp;PERIODTYPE=QTR_STD&amp;window=popup_no_bar&amp;width=385&amp;height=120&amp;START_MAXIMIZED=FALSE&amp;creator=factset&amp;display_string=Audit"}</definedName>
    <definedName name="_1178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179__FDSAUDITLINK__" localSheetId="15" hidden="1">{"fdsup://Directions/FactSet Auditing Viewer?action=AUDIT_VALUE&amp;DB=129&amp;ID1=00786510&amp;VALUEID=01001&amp;SDATE=200704&amp;PERIODTYPE=QTR_STD&amp;window=popup_no_bar&amp;width=385&amp;height=120&amp;START_MAXIMIZED=FALSE&amp;creator=factset&amp;display_string=Audit"}</definedName>
    <definedName name="_1179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18__FDSAUDITLINK__" localSheetId="15" hidden="1">{"fdsup://Directions/FactSet Auditing Viewer?action=AUDIT_VALUE&amp;DB=129&amp;ID1=96990410&amp;VALUEID=01001&amp;SDATE=200604&amp;PERIODTYPE=QTR_STD&amp;window=popup_no_bar&amp;width=385&amp;height=120&amp;START_MAXIMIZED=FALSE&amp;creator=factset&amp;display_string=Audit"}</definedName>
    <definedName name="_118__FDSAUDITLINK__" hidden="1">{"fdsup://Directions/FactSet Auditing Viewer?action=AUDIT_VALUE&amp;DB=129&amp;ID1=69865710&amp;VALUEID=04601&amp;SDATE=2007&amp;PERIODTYPE=ANN_STD&amp;window=popup_no_bar&amp;width=385&amp;height=120&amp;START_MAXIMIZED=FALSE&amp;creator=factset&amp;display_string=Audit"}</definedName>
    <definedName name="_1180__FDSAUDITLINK__" localSheetId="15" hidden="1">{"fdsup://Directions/FactSet Auditing Viewer?action=AUDIT_VALUE&amp;DB=129&amp;ID1=87416110&amp;VALUEID=02101&amp;SDATE=200703&amp;PERIODTYPE=QTR_STD&amp;window=popup_no_bar&amp;width=385&amp;height=120&amp;START_MAXIMIZED=FALSE&amp;creator=factset&amp;display_string=Audit"}</definedName>
    <definedName name="_1180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181__FDSAUDITLINK__" localSheetId="15" hidden="1">{"fdsup://Directions/FactSet Auditing Viewer?action=AUDIT_VALUE&amp;DB=129&amp;ID1=87416110&amp;VALUEID=01001&amp;SDATE=200703&amp;PERIODTYPE=QTR_STD&amp;window=popup_no_bar&amp;width=385&amp;height=120&amp;START_MAXIMIZED=FALSE&amp;creator=factset&amp;display_string=Audit"}</definedName>
    <definedName name="_1181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182__FDSAUDITLINK__" localSheetId="15" hidden="1">{"fdsup://Directions/FactSet Auditing Viewer?action=AUDIT_VALUE&amp;DB=129&amp;ID1=53271610&amp;VALUEID=02101&amp;SDATE=200703&amp;PERIODTYPE=QTR_STD&amp;window=popup_no_bar&amp;width=385&amp;height=120&amp;START_MAXIMIZED=FALSE&amp;creator=factset&amp;display_string=Audit"}</definedName>
    <definedName name="_1182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183__FDSAUDITLINK__" localSheetId="15" hidden="1">{"fdsup://Directions/FactSet Auditing Viewer?action=AUDIT_VALUE&amp;DB=129&amp;ID1=53271610&amp;VALUEID=01001&amp;SDATE=200703&amp;PERIODTYPE=QTR_STD&amp;window=popup_no_bar&amp;width=385&amp;height=120&amp;START_MAXIMIZED=FALSE&amp;creator=factset&amp;display_string=Audit"}</definedName>
    <definedName name="_1183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184__FDSAUDITLINK__" localSheetId="15" hidden="1">{"fdsup://Directions/FactSet Auditing Viewer?action=AUDIT_VALUE&amp;DB=129&amp;ID1=53271610&amp;VALUEID=13040&amp;SDATE=200703&amp;PERIODTYPE=QTR_STD&amp;window=popup_no_bar&amp;width=385&amp;height=120&amp;START_MAXIMIZED=FALSE&amp;creator=factset&amp;display_string=Audit"}</definedName>
    <definedName name="_1184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185__FDSAUDITLINK__" localSheetId="15" hidden="1">{"fdsup://Directions/FactSet Auditing Viewer?action=AUDIT_VALUE&amp;DB=129&amp;ID1=46612H40&amp;VALUEID=02101&amp;SDATE=200703&amp;PERIODTYPE=QTR_STD&amp;window=popup_no_bar&amp;width=385&amp;height=120&amp;START_MAXIMIZED=FALSE&amp;creator=factset&amp;display_string=Audit"}</definedName>
    <definedName name="_1185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186__FDSAUDITLINK__" localSheetId="15" hidden="1">{"fdsup://Directions/FactSet Auditing Viewer?action=AUDIT_VALUE&amp;DB=129&amp;ID1=46612H40&amp;VALUEID=01001&amp;SDATE=200703&amp;PERIODTYPE=QTR_STD&amp;window=popup_no_bar&amp;width=385&amp;height=120&amp;START_MAXIMIZED=FALSE&amp;creator=factset&amp;display_string=Audit"}</definedName>
    <definedName name="_1186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187__FDSAUDITLINK__" localSheetId="15" hidden="1">{"fdsup://Directions/FactSet Auditing Viewer?action=AUDIT_VALUE&amp;DB=129&amp;ID1=46612H40&amp;VALUEID=13040&amp;SDATE=200703&amp;PERIODTYPE=QTR_STD&amp;window=popup_no_bar&amp;width=385&amp;height=120&amp;START_MAXIMIZED=FALSE&amp;creator=factset&amp;display_string=Audit"}</definedName>
    <definedName name="_1187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188__FDSAUDITLINK__" localSheetId="15" hidden="1">{"fdsup://Directions/FactSet Auditing Viewer?action=AUDIT_VALUE&amp;DB=129&amp;ID1=36476010&amp;VALUEID=02101&amp;SDATE=200703&amp;PERIODTYPE=QTR_STD&amp;window=popup_no_bar&amp;width=385&amp;height=120&amp;START_MAXIMIZED=FALSE&amp;creator=factset&amp;display_string=Audit"}</definedName>
    <definedName name="_1188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189__FDSAUDITLINK__" localSheetId="15" hidden="1">{"fdsup://Directions/FactSet Auditing Viewer?action=AUDIT_VALUE&amp;DB=129&amp;ID1=36476010&amp;VALUEID=01001&amp;SDATE=200703&amp;PERIODTYPE=QTR_STD&amp;window=popup_no_bar&amp;width=385&amp;height=120&amp;START_MAXIMIZED=FALSE&amp;creator=factset&amp;display_string=Audit"}</definedName>
    <definedName name="_1189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19__FDSAUDITLINK__" localSheetId="15" hidden="1">{"fdsup://Directions/FactSet Auditing Viewer?action=AUDIT_VALUE&amp;DB=129&amp;ID1=96990410&amp;VALUEID=01001&amp;SDATE=200603&amp;PERIODTYPE=QTR_STD&amp;window=popup_no_bar&amp;width=385&amp;height=120&amp;START_MAXIMIZED=FALSE&amp;creator=factset&amp;display_string=Audit"}</definedName>
    <definedName name="_119__FDSAUDITLINK__" hidden="1">{"fdsup://Directions/FactSet Auditing Viewer?action=AUDIT_VALUE&amp;DB=129&amp;ID1=69865710&amp;VALUEID=01001&amp;SDATE=2008&amp;PERIODTYPE=ANN_STD&amp;window=popup_no_bar&amp;width=385&amp;height=120&amp;START_MAXIMIZED=FALSE&amp;creator=factset&amp;display_string=Audit"}</definedName>
    <definedName name="_1190__FDSAUDITLINK__" localSheetId="15" hidden="1">{"fdsup://Directions/FactSet Auditing Viewer?action=AUDIT_VALUE&amp;DB=129&amp;ID1=36476010&amp;VALUEID=13040&amp;SDATE=200703&amp;PERIODTYPE=QTR_STD&amp;window=popup_no_bar&amp;width=385&amp;height=120&amp;START_MAXIMIZED=FALSE&amp;creator=factset&amp;display_string=Audit"}</definedName>
    <definedName name="_1190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191__FDSAUDITLINK__" localSheetId="15" hidden="1">{"fdsup://Directions/FactSet Auditing Viewer?action=AUDIT_VALUE&amp;DB=129&amp;ID1=03611510&amp;VALUEID=02101&amp;SDATE=200703&amp;PERIODTYPE=QTR_STD&amp;window=popup_no_bar&amp;width=385&amp;height=120&amp;START_MAXIMIZED=FALSE&amp;creator=factset&amp;display_string=Audit"}</definedName>
    <definedName name="_1191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192__FDSAUDITLINK__" localSheetId="15" hidden="1">{"fdsup://Directions/FactSet Auditing Viewer?action=AUDIT_VALUE&amp;DB=129&amp;ID1=03611510&amp;VALUEID=01001&amp;SDATE=200703&amp;PERIODTYPE=QTR_STD&amp;window=popup_no_bar&amp;width=385&amp;height=120&amp;START_MAXIMIZED=FALSE&amp;creator=factset&amp;display_string=Audit"}</definedName>
    <definedName name="_1192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193__FDSAUDITLINK__" localSheetId="15" hidden="1">{"fdsup://Directions/FactSet Auditing Viewer?action=AUDIT_VALUE&amp;DB=129&amp;ID1=03611510&amp;VALUEID=13040&amp;SDATE=200703&amp;PERIODTYPE=QTR_STD&amp;window=popup_no_bar&amp;width=385&amp;height=120&amp;START_MAXIMIZED=FALSE&amp;creator=factset&amp;display_string=Audit"}</definedName>
    <definedName name="_1193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194__FDSAUDITLINK__" localSheetId="15" hidden="1">{"fdsup://Directions/FactSet Auditing Viewer?action=AUDIT_VALUE&amp;DB=129&amp;ID1=16890510&amp;VALUEID=02101&amp;SDATE=200703&amp;PERIODTYPE=QTR_STD&amp;window=popup_no_bar&amp;width=385&amp;height=120&amp;START_MAXIMIZED=FALSE&amp;creator=factset&amp;display_string=Audit"}</definedName>
    <definedName name="_1194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195__FDSAUDITLINK__" localSheetId="15" hidden="1">{"fdsup://Directions/FactSet Auditing Viewer?action=AUDIT_VALUE&amp;DB=129&amp;ID1=16890510&amp;VALUEID=01001&amp;SDATE=200703&amp;PERIODTYPE=QTR_STD&amp;window=popup_no_bar&amp;width=385&amp;height=120&amp;START_MAXIMIZED=FALSE&amp;creator=factset&amp;display_string=Audit"}</definedName>
    <definedName name="_1195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196__FDSAUDITLINK__" localSheetId="15" hidden="1">{"fdsup://Directions/FactSet Auditing Viewer?action=AUDIT_VALUE&amp;DB=129&amp;ID1=91704710&amp;VALUEID=02101&amp;SDATE=200703&amp;PERIODTYPE=QTR_STD&amp;window=popup_no_bar&amp;width=385&amp;height=120&amp;START_MAXIMIZED=FALSE&amp;creator=factset&amp;display_string=Audit"}</definedName>
    <definedName name="_1196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197__FDSAUDITLINK__" localSheetId="15" hidden="1">{"fdsup://Directions/FactSet Auditing Viewer?action=AUDIT_VALUE&amp;DB=129&amp;ID1=91704710&amp;VALUEID=01001&amp;SDATE=200703&amp;PERIODTYPE=QTR_STD&amp;window=popup_no_bar&amp;width=385&amp;height=120&amp;START_MAXIMIZED=FALSE&amp;creator=factset&amp;display_string=Audit"}</definedName>
    <definedName name="_1197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198__FDSAUDITLINK__" localSheetId="15" hidden="1">{"fdsup://Directions/FactSet Auditing Viewer?action=AUDIT_VALUE&amp;DB=129&amp;ID1=91704710&amp;VALUEID=13040&amp;SDATE=200703&amp;PERIODTYPE=QTR_STD&amp;window=popup_no_bar&amp;width=385&amp;height=120&amp;START_MAXIMIZED=FALSE&amp;creator=factset&amp;display_string=Audit"}</definedName>
    <definedName name="_1198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199__FDSAUDITLINK__" localSheetId="15" hidden="1">{"fdsup://Directions/FactSet Auditing Viewer?action=AUDIT_VALUE&amp;DB=129&amp;ID1=02553E10&amp;VALUEID=02101&amp;SDATE=200703&amp;PERIODTYPE=QTR_STD&amp;window=popup_no_bar&amp;width=385&amp;height=120&amp;START_MAXIMIZED=FALSE&amp;creator=factset&amp;display_string=Audit"}</definedName>
    <definedName name="_1199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2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12__FDSAUDITLINK__" hidden="1">{"fdsup://Directions/FactSet Auditing Viewer?action=AUDIT_VALUE&amp;DB=129&amp;ID1=03783310&amp;VALUEID=04601&amp;SDATE=2005&amp;PERIODTYPE=ANN_STD&amp;window=popup_no_bar&amp;width=385&amp;height=120&amp;START_MAXIMIZED=FALSE&amp;creator=factset&amp;display_string=Audit"}</definedName>
    <definedName name="_120__FDSAUDITLINK__" localSheetId="15" hidden="1">{"fdsup://Directions/FactSet Auditing Viewer?action=AUDIT_VALUE&amp;DB=129&amp;ID1=96990410&amp;VALUEID=01001&amp;SDATE=200602&amp;PERIODTYPE=QTR_STD&amp;window=popup_no_bar&amp;width=385&amp;height=120&amp;START_MAXIMIZED=FALSE&amp;creator=factset&amp;display_string=Audit"}</definedName>
    <definedName name="_120__FDSAUDITLINK__" hidden="1">{"fdsup://Directions/FactSet Auditing Viewer?action=AUDIT_VALUE&amp;DB=129&amp;ID1=69865710&amp;VALUEID=04601&amp;SDATE=2008&amp;PERIODTYPE=ANN_STD&amp;window=popup_no_bar&amp;width=385&amp;height=120&amp;START_MAXIMIZED=FALSE&amp;creator=factset&amp;display_string=Audit"}</definedName>
    <definedName name="_1200__FDSAUDITLINK__" localSheetId="15" hidden="1">{"fdsup://Directions/FactSet Auditing Viewer?action=AUDIT_VALUE&amp;DB=129&amp;ID1=02553E10&amp;VALUEID=01001&amp;SDATE=200703&amp;PERIODTYPE=QTR_STD&amp;window=popup_no_bar&amp;width=385&amp;height=120&amp;START_MAXIMIZED=FALSE&amp;creator=factset&amp;display_string=Audit"}</definedName>
    <definedName name="_1200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201__FDSAUDITLINK__" localSheetId="15" hidden="1">{"fdsup://Directions/FactSet Auditing Viewer?action=AUDIT_VALUE&amp;DB=129&amp;ID1=00786510&amp;VALUEID=02101&amp;SDATE=200703&amp;PERIODTYPE=QTR_STD&amp;window=popup_no_bar&amp;width=385&amp;height=120&amp;START_MAXIMIZED=FALSE&amp;creator=factset&amp;display_string=Audit"}</definedName>
    <definedName name="_1201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202__FDSAUDITLINK__" localSheetId="15" hidden="1">{"fdsup://Directions/FactSet Auditing Viewer?action=AUDIT_VALUE&amp;DB=129&amp;ID1=00786510&amp;VALUEID=01001&amp;SDATE=200703&amp;PERIODTYPE=QTR_STD&amp;window=popup_no_bar&amp;width=385&amp;height=120&amp;START_MAXIMIZED=FALSE&amp;creator=factset&amp;display_string=Audit"}</definedName>
    <definedName name="_1202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203__FDSAUDITLINK__" localSheetId="15" hidden="1">{"fdsup://Directions/FactSet Auditing Viewer?action=AUDIT_VALUE&amp;DB=129&amp;ID1=00786510&amp;VALUEID=13040&amp;SDATE=200703&amp;PERIODTYPE=QTR_STD&amp;window=popup_no_bar&amp;width=385&amp;height=120&amp;START_MAXIMIZED=FALSE&amp;creator=factset&amp;display_string=Audit"}</definedName>
    <definedName name="_1203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204__FDSAUDITLINK__" localSheetId="15" hidden="1">{"fdsup://Directions/FactSet Auditing Viewer?action=AUDIT_VALUE&amp;DB=129&amp;ID1=00289620&amp;VALUEID=02101&amp;SDATE=200703&amp;PERIODTYPE=QTR_STD&amp;window=popup_no_bar&amp;width=385&amp;height=120&amp;START_MAXIMIZED=FALSE&amp;creator=factset&amp;display_string=Audit"}</definedName>
    <definedName name="_1204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205__FDSAUDITLINK__" localSheetId="15" hidden="1">{"fdsup://Directions/FactSet Auditing Viewer?action=AUDIT_VALUE&amp;DB=129&amp;ID1=00289620&amp;VALUEID=01001&amp;SDATE=200703&amp;PERIODTYPE=QTR_STD&amp;window=popup_no_bar&amp;width=385&amp;height=120&amp;START_MAXIMIZED=FALSE&amp;creator=factset&amp;display_string=Audit"}</definedName>
    <definedName name="_1205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206__FDSAUDITLINK__" localSheetId="15" hidden="1">{"fdsup://Directions/FactSet Auditing Viewer?action=AUDIT_VALUE&amp;DB=129&amp;ID1=00289620&amp;VALUEID=13040&amp;SDATE=200703&amp;PERIODTYPE=QTR_STD&amp;window=popup_no_bar&amp;width=385&amp;height=120&amp;START_MAXIMIZED=FALSE&amp;creator=factset&amp;display_string=Audit"}</definedName>
    <definedName name="_1206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207__FDSAUDITLINK__" localSheetId="15" hidden="1">{"fdsup://Directions/FactSet Auditing Viewer?action=AUDIT_VALUE&amp;DB=129&amp;ID1=87416110&amp;VALUEID=02101&amp;SDATE=200702&amp;PERIODTYPE=QTR_STD&amp;window=popup_no_bar&amp;width=385&amp;height=120&amp;START_MAXIMIZED=FALSE&amp;creator=factset&amp;display_string=Audit"}</definedName>
    <definedName name="_1207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208__FDSAUDITLINK__" localSheetId="15" hidden="1">{"fdsup://Directions/FactSet Auditing Viewer?action=AUDIT_VALUE&amp;DB=129&amp;ID1=87416110&amp;VALUEID=01001&amp;SDATE=200702&amp;PERIODTYPE=QTR_STD&amp;window=popup_no_bar&amp;width=385&amp;height=120&amp;START_MAXIMIZED=FALSE&amp;creator=factset&amp;display_string=Audit"}</definedName>
    <definedName name="_1208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209__FDSAUDITLINK__" localSheetId="15" hidden="1">{"fdsup://Directions/FactSet Auditing Viewer?action=AUDIT_VALUE&amp;DB=129&amp;ID1=53271610&amp;VALUEID=02101&amp;SDATE=200702&amp;PERIODTYPE=QTR_STD&amp;window=popup_no_bar&amp;width=385&amp;height=120&amp;START_MAXIMIZED=FALSE&amp;creator=factset&amp;display_string=Audit"}</definedName>
    <definedName name="_1209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21__FDSAUDITLINK__" localSheetId="15" hidden="1">{"fdsup://Directions/FactSet Auditing Viewer?action=AUDIT_VALUE&amp;DB=129&amp;ID1=96990410&amp;VALUEID=01001&amp;SDATE=200601&amp;PERIODTYPE=QTR_STD&amp;window=popup_no_bar&amp;width=385&amp;height=120&amp;START_MAXIMIZED=FALSE&amp;creator=factset&amp;display_string=Audit"}</definedName>
    <definedName name="_121__FDSAUDITLINK__" hidden="1">{"fdsup://Directions/FactSet Auditing Viewer?action=AUDIT_VALUE&amp;DB=129&amp;ID1=69865710&amp;VALUEID=01001&amp;SDATE=2009&amp;PERIODTYPE=ANN_STD&amp;window=popup_no_bar&amp;width=385&amp;height=120&amp;START_MAXIMIZED=FALSE&amp;creator=factset&amp;display_string=Audit"}</definedName>
    <definedName name="_1210__FDSAUDITLINK__" localSheetId="15" hidden="1">{"fdsup://Directions/FactSet Auditing Viewer?action=AUDIT_VALUE&amp;DB=129&amp;ID1=53271610&amp;VALUEID=01001&amp;SDATE=200702&amp;PERIODTYPE=QTR_STD&amp;window=popup_no_bar&amp;width=385&amp;height=120&amp;START_MAXIMIZED=FALSE&amp;creator=factset&amp;display_string=Audit"}</definedName>
    <definedName name="_1210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211__FDSAUDITLINK__" localSheetId="15" hidden="1">{"fdsup://Directions/FactSet Auditing Viewer?action=AUDIT_VALUE&amp;DB=129&amp;ID1=53271610&amp;VALUEID=13040&amp;SDATE=200702&amp;PERIODTYPE=QTR_STD&amp;window=popup_no_bar&amp;width=385&amp;height=120&amp;START_MAXIMIZED=FALSE&amp;creator=factset&amp;display_string=Audit"}</definedName>
    <definedName name="_1211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212__FDSAUDITLINK__" localSheetId="15" hidden="1">{"fdsup://Directions/FactSet Auditing Viewer?action=AUDIT_VALUE&amp;DB=129&amp;ID1=46612H40&amp;VALUEID=02101&amp;SDATE=200702&amp;PERIODTYPE=QTR_STD&amp;window=popup_no_bar&amp;width=385&amp;height=120&amp;START_MAXIMIZED=FALSE&amp;creator=factset&amp;display_string=Audit"}</definedName>
    <definedName name="_1212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213__FDSAUDITLINK__" localSheetId="15" hidden="1">{"fdsup://Directions/FactSet Auditing Viewer?action=AUDIT_VALUE&amp;DB=129&amp;ID1=46612H40&amp;VALUEID=01001&amp;SDATE=200702&amp;PERIODTYPE=QTR_STD&amp;window=popup_no_bar&amp;width=385&amp;height=120&amp;START_MAXIMIZED=FALSE&amp;creator=factset&amp;display_string=Audit"}</definedName>
    <definedName name="_1213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214__FDSAUDITLINK__" localSheetId="15" hidden="1">{"fdsup://Directions/FactSet Auditing Viewer?action=AUDIT_VALUE&amp;DB=129&amp;ID1=46612H40&amp;VALUEID=13040&amp;SDATE=200702&amp;PERIODTYPE=QTR_STD&amp;window=popup_no_bar&amp;width=385&amp;height=120&amp;START_MAXIMIZED=FALSE&amp;creator=factset&amp;display_string=Audit"}</definedName>
    <definedName name="_1214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215__FDSAUDITLINK__" localSheetId="15" hidden="1">{"fdsup://Directions/FactSet Auditing Viewer?action=AUDIT_VALUE&amp;DB=129&amp;ID1=36476010&amp;VALUEID=02101&amp;SDATE=200702&amp;PERIODTYPE=QTR_STD&amp;window=popup_no_bar&amp;width=385&amp;height=120&amp;START_MAXIMIZED=FALSE&amp;creator=factset&amp;display_string=Audit"}</definedName>
    <definedName name="_1215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216__FDSAUDITLINK__" localSheetId="15" hidden="1">{"fdsup://Directions/FactSet Auditing Viewer?action=AUDIT_VALUE&amp;DB=129&amp;ID1=36476010&amp;VALUEID=01001&amp;SDATE=200702&amp;PERIODTYPE=QTR_STD&amp;window=popup_no_bar&amp;width=385&amp;height=120&amp;START_MAXIMIZED=FALSE&amp;creator=factset&amp;display_string=Audit"}</definedName>
    <definedName name="_1216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217__FDSAUDITLINK__" localSheetId="15" hidden="1">{"fdsup://Directions/FactSet Auditing Viewer?action=AUDIT_VALUE&amp;DB=129&amp;ID1=03611510&amp;VALUEID=02101&amp;SDATE=200702&amp;PERIODTYPE=QTR_STD&amp;window=popup_no_bar&amp;width=385&amp;height=120&amp;START_MAXIMIZED=FALSE&amp;creator=factset&amp;display_string=Audit"}</definedName>
    <definedName name="_1217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218__FDSAUDITLINK__" localSheetId="15" hidden="1">{"fdsup://Directions/FactSet Auditing Viewer?action=AUDIT_VALUE&amp;DB=129&amp;ID1=03611510&amp;VALUEID=01001&amp;SDATE=200702&amp;PERIODTYPE=QTR_STD&amp;window=popup_no_bar&amp;width=385&amp;height=120&amp;START_MAXIMIZED=FALSE&amp;creator=factset&amp;display_string=Audit"}</definedName>
    <definedName name="_12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219__FDSAUDITLINK__" localSheetId="15" hidden="1">{"fdsup://Directions/FactSet Auditing Viewer?action=AUDIT_VALUE&amp;DB=129&amp;ID1=03611510&amp;VALUEID=13040&amp;SDATE=200702&amp;PERIODTYPE=QTR_STD&amp;window=popup_no_bar&amp;width=385&amp;height=120&amp;START_MAXIMIZED=FALSE&amp;creator=factset&amp;display_string=Audit"}</definedName>
    <definedName name="_1219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22__FDSAUDITLINK__" localSheetId="15" hidden="1">{"fdsup://Directions/FactSet Auditing Viewer?action=AUDIT_VALUE&amp;DB=129&amp;ID1=81235010&amp;VALUEID=01001&amp;SDATE=200903&amp;PERIODTYPE=QTR_STD&amp;window=popup_no_bar&amp;width=385&amp;height=120&amp;START_MAXIMIZED=FALSE&amp;creator=factset&amp;display_string=Audit"}</definedName>
    <definedName name="_122__FDSAUDITLINK__" hidden="1">{"fdsup://Directions/FactSet Auditing Viewer?action=AUDIT_VALUE&amp;DB=129&amp;ID1=69865710&amp;VALUEID=04601&amp;SDATE=2009&amp;PERIODTYPE=ANN_STD&amp;window=popup_no_bar&amp;width=385&amp;height=120&amp;START_MAXIMIZED=FALSE&amp;creator=factset&amp;display_string=Audit"}</definedName>
    <definedName name="_1220__FDSAUDITLINK__" localSheetId="15" hidden="1">{"fdsup://Directions/FactSet Auditing Viewer?action=AUDIT_VALUE&amp;DB=129&amp;ID1=16890510&amp;VALUEID=02101&amp;SDATE=200702&amp;PERIODTYPE=QTR_STD&amp;window=popup_no_bar&amp;width=385&amp;height=120&amp;START_MAXIMIZED=FALSE&amp;creator=factset&amp;display_string=Audit"}</definedName>
    <definedName name="_1220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221__FDSAUDITLINK__" localSheetId="15" hidden="1">{"fdsup://Directions/FactSet Auditing Viewer?action=AUDIT_VALUE&amp;DB=129&amp;ID1=16890510&amp;VALUEID=01001&amp;SDATE=200702&amp;PERIODTYPE=QTR_STD&amp;window=popup_no_bar&amp;width=385&amp;height=120&amp;START_MAXIMIZED=FALSE&amp;creator=factset&amp;display_string=Audit"}</definedName>
    <definedName name="_1221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222__FDSAUDITLINK__" localSheetId="15" hidden="1">{"fdsup://Directions/FactSet Auditing Viewer?action=AUDIT_VALUE&amp;DB=129&amp;ID1=91704710&amp;VALUEID=02101&amp;SDATE=200702&amp;PERIODTYPE=QTR_STD&amp;window=popup_no_bar&amp;width=385&amp;height=120&amp;START_MAXIMIZED=FALSE&amp;creator=factset&amp;display_string=Audit"}</definedName>
    <definedName name="_1222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223__FDSAUDITLINK__" localSheetId="15" hidden="1">{"fdsup://Directions/FactSet Auditing Viewer?action=AUDIT_VALUE&amp;DB=129&amp;ID1=91704710&amp;VALUEID=01001&amp;SDATE=200702&amp;PERIODTYPE=QTR_STD&amp;window=popup_no_bar&amp;width=385&amp;height=120&amp;START_MAXIMIZED=FALSE&amp;creator=factset&amp;display_string=Audit"}</definedName>
    <definedName name="_1223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224__FDSAUDITLINK__" localSheetId="15" hidden="1">{"fdsup://Directions/FactSet Auditing Viewer?action=AUDIT_VALUE&amp;DB=129&amp;ID1=91704710&amp;VALUEID=13040&amp;SDATE=200702&amp;PERIODTYPE=QTR_STD&amp;window=popup_no_bar&amp;width=385&amp;height=120&amp;START_MAXIMIZED=FALSE&amp;creator=factset&amp;display_string=Audit"}</definedName>
    <definedName name="_1224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225__FDSAUDITLINK__" localSheetId="15" hidden="1">{"fdsup://Directions/FactSet Auditing Viewer?action=AUDIT_VALUE&amp;DB=129&amp;ID1=02553E10&amp;VALUEID=02101&amp;SDATE=200702&amp;PERIODTYPE=QTR_STD&amp;window=popup_no_bar&amp;width=385&amp;height=120&amp;START_MAXIMIZED=FALSE&amp;creator=factset&amp;display_string=Audit"}</definedName>
    <definedName name="_1225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226__FDSAUDITLINK__" localSheetId="15" hidden="1">{"fdsup://Directions/FactSet Auditing Viewer?action=AUDIT_VALUE&amp;DB=129&amp;ID1=02553E10&amp;VALUEID=01001&amp;SDATE=200702&amp;PERIODTYPE=QTR_STD&amp;window=popup_no_bar&amp;width=385&amp;height=120&amp;START_MAXIMIZED=FALSE&amp;creator=factset&amp;display_string=Audit"}</definedName>
    <definedName name="_1226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227__FDSAUDITLINK__" localSheetId="15" hidden="1">{"fdsup://Directions/FactSet Auditing Viewer?action=AUDIT_VALUE&amp;DB=129&amp;ID1=02553E10&amp;VALUEID=13040&amp;SDATE=200702&amp;PERIODTYPE=QTR_STD&amp;window=popup_no_bar&amp;width=385&amp;height=120&amp;START_MAXIMIZED=FALSE&amp;creator=factset&amp;display_string=Audit"}</definedName>
    <definedName name="_1227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228__FDSAUDITLINK__" localSheetId="15" hidden="1">{"fdsup://Directions/FactSet Auditing Viewer?action=AUDIT_VALUE&amp;DB=129&amp;ID1=00786510&amp;VALUEID=02101&amp;SDATE=200702&amp;PERIODTYPE=QTR_STD&amp;window=popup_no_bar&amp;width=385&amp;height=120&amp;START_MAXIMIZED=FALSE&amp;creator=factset&amp;display_string=Audit"}</definedName>
    <definedName name="_1228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229__FDSAUDITLINK__" localSheetId="15" hidden="1">{"fdsup://Directions/FactSet Auditing Viewer?action=AUDIT_VALUE&amp;DB=129&amp;ID1=00786510&amp;VALUEID=01001&amp;SDATE=200702&amp;PERIODTYPE=QTR_STD&amp;window=popup_no_bar&amp;width=385&amp;height=120&amp;START_MAXIMIZED=FALSE&amp;creator=factset&amp;display_string=Audit"}</definedName>
    <definedName name="_1229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23__FDSAUDITLINK__" localSheetId="15" hidden="1">{"fdsup://Directions/FactSet Auditing Viewer?action=AUDIT_VALUE&amp;DB=129&amp;ID1=81235010&amp;VALUEID=01001&amp;SDATE=200902&amp;PERIODTYPE=QTR_STD&amp;window=popup_no_bar&amp;width=385&amp;height=120&amp;START_MAXIMIZED=FALSE&amp;creator=factset&amp;display_string=Audit"}</definedName>
    <definedName name="_123__FDSAUDITLINK__" hidden="1">{"fdsup://Directions/FactSet Auditing Viewer?action=AUDIT_VALUE&amp;DB=129&amp;ID1=36467W10&amp;VALUEID=01001&amp;SDATE=2005&amp;PERIODTYPE=ANN_STD&amp;window=popup_no_bar&amp;width=385&amp;height=120&amp;START_MAXIMIZED=FALSE&amp;creator=factset&amp;display_string=Audit"}</definedName>
    <definedName name="_1230__FDSAUDITLINK__" localSheetId="15" hidden="1">{"fdsup://Directions/FactSet Auditing Viewer?action=AUDIT_VALUE&amp;DB=129&amp;ID1=00786510&amp;VALUEID=13040&amp;SDATE=200702&amp;PERIODTYPE=QTR_STD&amp;window=popup_no_bar&amp;width=385&amp;height=120&amp;START_MAXIMIZED=FALSE&amp;creator=factset&amp;display_string=Audit"}</definedName>
    <definedName name="_1230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231__FDSAUDITLINK__" localSheetId="15" hidden="1">{"fdsup://Directions/FactSet Auditing Viewer?action=AUDIT_VALUE&amp;DB=129&amp;ID1=00289620&amp;VALUEID=02101&amp;SDATE=200702&amp;PERIODTYPE=QTR_STD&amp;window=popup_no_bar&amp;width=385&amp;height=120&amp;START_MAXIMIZED=FALSE&amp;creator=factset&amp;display_string=Audit"}</definedName>
    <definedName name="_1231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232__FDSAUDITLINK__" localSheetId="15" hidden="1">{"fdsup://Directions/FactSet Auditing Viewer?action=AUDIT_VALUE&amp;DB=129&amp;ID1=00289620&amp;VALUEID=01001&amp;SDATE=200702&amp;PERIODTYPE=QTR_STD&amp;window=popup_no_bar&amp;width=385&amp;height=120&amp;START_MAXIMIZED=FALSE&amp;creator=factset&amp;display_string=Audit"}</definedName>
    <definedName name="_1232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233__FDSAUDITLINK__" localSheetId="15" hidden="1">{"fdsup://Directions/FactSet Auditing Viewer?action=AUDIT_VALUE&amp;DB=129&amp;ID1=87416110&amp;VALUEID=02101&amp;SDATE=200701&amp;PERIODTYPE=QTR_STD&amp;window=popup_no_bar&amp;width=385&amp;height=120&amp;START_MAXIMIZED=FALSE&amp;creator=factset&amp;display_string=Audit"}</definedName>
    <definedName name="_1233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234__FDSAUDITLINK__" localSheetId="15" hidden="1">{"fdsup://Directions/FactSet Auditing Viewer?action=AUDIT_VALUE&amp;DB=129&amp;ID1=87416110&amp;VALUEID=01001&amp;SDATE=200701&amp;PERIODTYPE=QTR_STD&amp;window=popup_no_bar&amp;width=385&amp;height=120&amp;START_MAXIMIZED=FALSE&amp;creator=factset&amp;display_string=Audit"}</definedName>
    <definedName name="_1234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235__FDSAUDITLINK__" localSheetId="15" hidden="1">{"fdsup://Directions/FactSet Auditing Viewer?action=AUDIT_VALUE&amp;DB=129&amp;ID1=53271610&amp;VALUEID=02101&amp;SDATE=200701&amp;PERIODTYPE=QTR_STD&amp;window=popup_no_bar&amp;width=385&amp;height=120&amp;START_MAXIMIZED=FALSE&amp;creator=factset&amp;display_string=Audit"}</definedName>
    <definedName name="_1235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236__FDSAUDITLINK__" localSheetId="15" hidden="1">{"fdsup://Directions/FactSet Auditing Viewer?action=AUDIT_VALUE&amp;DB=129&amp;ID1=53271610&amp;VALUEID=01001&amp;SDATE=200701&amp;PERIODTYPE=QTR_STD&amp;window=popup_no_bar&amp;width=385&amp;height=120&amp;START_MAXIMIZED=FALSE&amp;creator=factset&amp;display_string=Audit"}</definedName>
    <definedName name="_1236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237__FDSAUDITLINK__" localSheetId="15" hidden="1">{"fdsup://Directions/FactSet Auditing Viewer?action=AUDIT_VALUE&amp;DB=129&amp;ID1=53271610&amp;VALUEID=13040&amp;SDATE=200701&amp;PERIODTYPE=QTR_STD&amp;window=popup_no_bar&amp;width=385&amp;height=120&amp;START_MAXIMIZED=FALSE&amp;creator=factset&amp;display_string=Audit"}</definedName>
    <definedName name="_123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238__FDSAUDITLINK__" localSheetId="15" hidden="1">{"fdsup://Directions/FactSet Auditing Viewer?action=AUDIT_VALUE&amp;DB=129&amp;ID1=46612H40&amp;VALUEID=02101&amp;SDATE=200701&amp;PERIODTYPE=QTR_STD&amp;window=popup_no_bar&amp;width=385&amp;height=120&amp;START_MAXIMIZED=FALSE&amp;creator=factset&amp;display_string=Audit"}</definedName>
    <definedName name="_1238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239__FDSAUDITLINK__" localSheetId="15" hidden="1">{"fdsup://Directions/FactSet Auditing Viewer?action=AUDIT_VALUE&amp;DB=129&amp;ID1=46612H40&amp;VALUEID=01001&amp;SDATE=200701&amp;PERIODTYPE=QTR_STD&amp;window=popup_no_bar&amp;width=385&amp;height=120&amp;START_MAXIMIZED=FALSE&amp;creator=factset&amp;display_string=Audit"}</definedName>
    <definedName name="_1239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24__FDSAUDITLINK__" localSheetId="15" hidden="1">{"fdsup://Directions/FactSet Auditing Viewer?action=AUDIT_VALUE&amp;DB=129&amp;ID1=81235010&amp;VALUEID=01001&amp;SDATE=200901&amp;PERIODTYPE=QTR_STD&amp;window=popup_no_bar&amp;width=385&amp;height=120&amp;START_MAXIMIZED=FALSE&amp;creator=factset&amp;display_string=Audit"}</definedName>
    <definedName name="_124__FDSAUDITLINK__" hidden="1">{"fdsup://Directions/FactSet Auditing Viewer?action=AUDIT_VALUE&amp;DB=129&amp;ID1=36467W10&amp;VALUEID=04601&amp;SDATE=2005&amp;PERIODTYPE=ANN_STD&amp;window=popup_no_bar&amp;width=385&amp;height=120&amp;START_MAXIMIZED=FALSE&amp;creator=factset&amp;display_string=Audit"}</definedName>
    <definedName name="_1240__FDSAUDITLINK__" localSheetId="15" hidden="1">{"fdsup://Directions/FactSet Auditing Viewer?action=AUDIT_VALUE&amp;DB=129&amp;ID1=46612H40&amp;VALUEID=13040&amp;SDATE=200701&amp;PERIODTYPE=QTR_STD&amp;window=popup_no_bar&amp;width=385&amp;height=120&amp;START_MAXIMIZED=FALSE&amp;creator=factset&amp;display_string=Audit"}</definedName>
    <definedName name="_1240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241__FDSAUDITLINK__" localSheetId="15" hidden="1">{"fdsup://Directions/FactSet Auditing Viewer?action=AUDIT_VALUE&amp;DB=129&amp;ID1=36476010&amp;VALUEID=02101&amp;SDATE=200701&amp;PERIODTYPE=QTR_STD&amp;window=popup_no_bar&amp;width=385&amp;height=120&amp;START_MAXIMIZED=FALSE&amp;creator=factset&amp;display_string=Audit"}</definedName>
    <definedName name="_1241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242__FDSAUDITLINK__" localSheetId="15" hidden="1">{"fdsup://Directions/FactSet Auditing Viewer?action=AUDIT_VALUE&amp;DB=129&amp;ID1=36476010&amp;VALUEID=01001&amp;SDATE=200701&amp;PERIODTYPE=QTR_STD&amp;window=popup_no_bar&amp;width=385&amp;height=120&amp;START_MAXIMIZED=FALSE&amp;creator=factset&amp;display_string=Audit"}</definedName>
    <definedName name="_1242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243__FDSAUDITLINK__" localSheetId="15" hidden="1">{"fdsup://Directions/FactSet Auditing Viewer?action=AUDIT_VALUE&amp;DB=129&amp;ID1=36476010&amp;VALUEID=13040&amp;SDATE=200701&amp;PERIODTYPE=QTR_STD&amp;window=popup_no_bar&amp;width=385&amp;height=120&amp;START_MAXIMIZED=FALSE&amp;creator=factset&amp;display_string=Audit"}</definedName>
    <definedName name="_1243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244__FDSAUDITLINK__" localSheetId="15" hidden="1">{"fdsup://Directions/FactSet Auditing Viewer?action=AUDIT_VALUE&amp;DB=129&amp;ID1=03611510&amp;VALUEID=02101&amp;SDATE=200701&amp;PERIODTYPE=QTR_STD&amp;window=popup_no_bar&amp;width=385&amp;height=120&amp;START_MAXIMIZED=FALSE&amp;creator=factset&amp;display_string=Audit"}</definedName>
    <definedName name="_1244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245__FDSAUDITLINK__" localSheetId="15" hidden="1">{"fdsup://Directions/FactSet Auditing Viewer?action=AUDIT_VALUE&amp;DB=129&amp;ID1=03611510&amp;VALUEID=01001&amp;SDATE=200701&amp;PERIODTYPE=QTR_STD&amp;window=popup_no_bar&amp;width=385&amp;height=120&amp;START_MAXIMIZED=FALSE&amp;creator=factset&amp;display_string=Audit"}</definedName>
    <definedName name="_124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246__FDSAUDITLINK__" localSheetId="15" hidden="1">{"fdsup://Directions/FactSet Auditing Viewer?action=AUDIT_VALUE&amp;DB=129&amp;ID1=03611510&amp;VALUEID=13040&amp;SDATE=200701&amp;PERIODTYPE=QTR_STD&amp;window=popup_no_bar&amp;width=385&amp;height=120&amp;START_MAXIMIZED=FALSE&amp;creator=factset&amp;display_string=Audit"}</definedName>
    <definedName name="_1246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247__FDSAUDITLINK__" localSheetId="15" hidden="1">{"fdsup://Directions/FactSet Auditing Viewer?action=AUDIT_VALUE&amp;DB=129&amp;ID1=16890510&amp;VALUEID=02101&amp;SDATE=200701&amp;PERIODTYPE=QTR_STD&amp;window=popup_no_bar&amp;width=385&amp;height=120&amp;START_MAXIMIZED=FALSE&amp;creator=factset&amp;display_string=Audit"}</definedName>
    <definedName name="_1247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248__FDSAUDITLINK__" localSheetId="15" hidden="1">{"fdsup://Directions/FactSet Auditing Viewer?action=AUDIT_VALUE&amp;DB=129&amp;ID1=16890510&amp;VALUEID=01001&amp;SDATE=200701&amp;PERIODTYPE=QTR_STD&amp;window=popup_no_bar&amp;width=385&amp;height=120&amp;START_MAXIMIZED=FALSE&amp;creator=factset&amp;display_string=Audit"}</definedName>
    <definedName name="_1248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249__FDSAUDITLINK__" localSheetId="15" hidden="1">{"fdsup://Directions/FactSet Auditing Viewer?action=AUDIT_VALUE&amp;DB=129&amp;ID1=91704710&amp;VALUEID=02101&amp;SDATE=200701&amp;PERIODTYPE=QTR_STD&amp;window=popup_no_bar&amp;width=385&amp;height=120&amp;START_MAXIMIZED=FALSE&amp;creator=factset&amp;display_string=Audit"}</definedName>
    <definedName name="_1249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25__FDSAUDITLINK__" localSheetId="15" hidden="1">{"fdsup://Directions/FactSet Auditing Viewer?action=AUDIT_VALUE&amp;DB=129&amp;ID1=81235010&amp;VALUEID=01001&amp;SDATE=200804&amp;PERIODTYPE=QTR_STD&amp;window=popup_no_bar&amp;width=385&amp;height=120&amp;START_MAXIMIZED=FALSE&amp;creator=factset&amp;display_string=Audit"}</definedName>
    <definedName name="_125__FDSAUDITLINK__" hidden="1">{"fdsup://Directions/FactSet Auditing Viewer?action=AUDIT_VALUE&amp;DB=129&amp;ID1=36467W10&amp;VALUEID=01001&amp;SDATE=2006&amp;PERIODTYPE=ANN_STD&amp;window=popup_no_bar&amp;width=385&amp;height=120&amp;START_MAXIMIZED=FALSE&amp;creator=factset&amp;display_string=Audit"}</definedName>
    <definedName name="_1250__FDSAUDITLINK__" localSheetId="15" hidden="1">{"fdsup://Directions/FactSet Auditing Viewer?action=AUDIT_VALUE&amp;DB=129&amp;ID1=91704710&amp;VALUEID=01001&amp;SDATE=200701&amp;PERIODTYPE=QTR_STD&amp;window=popup_no_bar&amp;width=385&amp;height=120&amp;START_MAXIMIZED=FALSE&amp;creator=factset&amp;display_string=Audit"}</definedName>
    <definedName name="_1250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251__FDSAUDITLINK__" localSheetId="15" hidden="1">{"fdsup://Directions/FactSet Auditing Viewer?action=AUDIT_VALUE&amp;DB=129&amp;ID1=91704710&amp;VALUEID=13040&amp;SDATE=200701&amp;PERIODTYPE=QTR_STD&amp;window=popup_no_bar&amp;width=385&amp;height=120&amp;START_MAXIMIZED=FALSE&amp;creator=factset&amp;display_string=Audit"}</definedName>
    <definedName name="_1251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252__FDSAUDITLINK__" localSheetId="15" hidden="1">{"fdsup://Directions/FactSet Auditing Viewer?action=AUDIT_VALUE&amp;DB=129&amp;ID1=02553E10&amp;VALUEID=02101&amp;SDATE=200701&amp;PERIODTYPE=QTR_STD&amp;window=popup_no_bar&amp;width=385&amp;height=120&amp;START_MAXIMIZED=FALSE&amp;creator=factset&amp;display_string=Audit"}</definedName>
    <definedName name="_1252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253__FDSAUDITLINK__" localSheetId="15" hidden="1">{"fdsup://Directions/FactSet Auditing Viewer?action=AUDIT_VALUE&amp;DB=129&amp;ID1=02553E10&amp;VALUEID=01001&amp;SDATE=200701&amp;PERIODTYPE=QTR_STD&amp;window=popup_no_bar&amp;width=385&amp;height=120&amp;START_MAXIMIZED=FALSE&amp;creator=factset&amp;display_string=Audit"}</definedName>
    <definedName name="_1253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254__FDSAUDITLINK__" localSheetId="15" hidden="1">{"fdsup://Directions/FactSet Auditing Viewer?action=AUDIT_VALUE&amp;DB=129&amp;ID1=02553E10&amp;VALUEID=13040&amp;SDATE=200701&amp;PERIODTYPE=QTR_STD&amp;window=popup_no_bar&amp;width=385&amp;height=120&amp;START_MAXIMIZED=FALSE&amp;creator=factset&amp;display_string=Audit"}</definedName>
    <definedName name="_1254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255__FDSAUDITLINK__" localSheetId="15" hidden="1">{"fdsup://Directions/FactSet Auditing Viewer?action=AUDIT_VALUE&amp;DB=129&amp;ID1=00786510&amp;VALUEID=02101&amp;SDATE=200701&amp;PERIODTYPE=QTR_STD&amp;window=popup_no_bar&amp;width=385&amp;height=120&amp;START_MAXIMIZED=FALSE&amp;creator=factset&amp;display_string=Audit"}</definedName>
    <definedName name="_1255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256__FDSAUDITLINK__" localSheetId="15" hidden="1">{"fdsup://Directions/FactSet Auditing Viewer?action=AUDIT_VALUE&amp;DB=129&amp;ID1=00786510&amp;VALUEID=01001&amp;SDATE=200701&amp;PERIODTYPE=QTR_STD&amp;window=popup_no_bar&amp;width=385&amp;height=120&amp;START_MAXIMIZED=FALSE&amp;creator=factset&amp;display_string=Audit"}</definedName>
    <definedName name="_1256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257__FDSAUDITLINK__" localSheetId="15" hidden="1">{"fdsup://Directions/FactSet Auditing Viewer?action=AUDIT_VALUE&amp;DB=129&amp;ID1=00786510&amp;VALUEID=13040&amp;SDATE=200701&amp;PERIODTYPE=QTR_STD&amp;window=popup_no_bar&amp;width=385&amp;height=120&amp;START_MAXIMIZED=FALSE&amp;creator=factset&amp;display_string=Audit"}</definedName>
    <definedName name="_1257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258__FDSAUDITLINK__" localSheetId="15" hidden="1">{"fdsup://Directions/FactSet Auditing Viewer?action=AUDIT_VALUE&amp;DB=129&amp;ID1=00289620&amp;VALUEID=02101&amp;SDATE=200701&amp;PERIODTYPE=QTR_STD&amp;window=popup_no_bar&amp;width=385&amp;height=120&amp;START_MAXIMIZED=FALSE&amp;creator=factset&amp;display_string=Audit"}</definedName>
    <definedName name="_1258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259__FDSAUDITLINK__" localSheetId="15" hidden="1">{"fdsup://Directions/FactSet Auditing Viewer?action=AUDIT_VALUE&amp;DB=129&amp;ID1=00289620&amp;VALUEID=01001&amp;SDATE=200701&amp;PERIODTYPE=QTR_STD&amp;window=popup_no_bar&amp;width=385&amp;height=120&amp;START_MAXIMIZED=FALSE&amp;creator=factset&amp;display_string=Audit"}</definedName>
    <definedName name="_1259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26__FDSAUDITLINK__" localSheetId="15" hidden="1">{"fdsup://Directions/FactSet Auditing Viewer?action=AUDIT_VALUE&amp;DB=129&amp;ID1=81235010&amp;VALUEID=01001&amp;SDATE=200803&amp;PERIODTYPE=QTR_STD&amp;window=popup_no_bar&amp;width=385&amp;height=120&amp;START_MAXIMIZED=FALSE&amp;creator=factset&amp;display_string=Audit"}</definedName>
    <definedName name="_126__FDSAUDITLINK__" hidden="1">{"fdsup://Directions/FactSet Auditing Viewer?action=AUDIT_VALUE&amp;DB=129&amp;ID1=36467W10&amp;VALUEID=04601&amp;SDATE=2006&amp;PERIODTYPE=ANN_STD&amp;window=popup_no_bar&amp;width=385&amp;height=120&amp;START_MAXIMIZED=FALSE&amp;creator=factset&amp;display_string=Audit"}</definedName>
    <definedName name="_1260__FDSAUDITLINK__" localSheetId="15" hidden="1">{"fdsup://Directions/FactSet Auditing Viewer?action=AUDIT_VALUE&amp;DB=129&amp;ID1=00289620&amp;VALUEID=13040&amp;SDATE=200701&amp;PERIODTYPE=QTR_STD&amp;window=popup_no_bar&amp;width=385&amp;height=120&amp;START_MAXIMIZED=FALSE&amp;creator=factset&amp;display_string=Audit"}</definedName>
    <definedName name="_1260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261__FDSAUDITLINK__" localSheetId="15" hidden="1">{"fdsup://Directions/FactSet Auditing Viewer?action=AUDIT_VALUE&amp;DB=129&amp;ID1=87416110&amp;VALUEID=01001&amp;SDATE=200604&amp;PERIODTYPE=QTR_STD&amp;window=popup_no_bar&amp;width=385&amp;height=120&amp;START_MAXIMIZED=FALSE&amp;creator=factset&amp;display_string=Audit"}</definedName>
    <definedName name="_1261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262__FDSAUDITLINK__" localSheetId="15" hidden="1">{"fdsup://Directions/FactSet Auditing Viewer?action=AUDIT_VALUE&amp;DB=129&amp;ID1=46612H40&amp;VALUEID=01001&amp;SDATE=200604&amp;PERIODTYPE=QTR_STD&amp;window=popup_no_bar&amp;width=385&amp;height=120&amp;START_MAXIMIZED=FALSE&amp;creator=factset&amp;display_string=Audit"}</definedName>
    <definedName name="_1262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263__FDSAUDITLINK__" localSheetId="15" hidden="1">{"fdsup://Directions/FactSet Auditing Viewer?action=AUDIT_VALUE&amp;DB=129&amp;ID1=36476010&amp;VALUEID=01001&amp;SDATE=200604&amp;PERIODTYPE=QTR_STD&amp;window=popup_no_bar&amp;width=385&amp;height=120&amp;START_MAXIMIZED=FALSE&amp;creator=factset&amp;display_string=Audit"}</definedName>
    <definedName name="_1263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264__FDSAUDITLINK__" localSheetId="15" hidden="1">{"fdsup://Directions/FactSet Auditing Viewer?action=AUDIT_VALUE&amp;DB=129&amp;ID1=03611510&amp;VALUEID=01001&amp;SDATE=200604&amp;PERIODTYPE=QTR_STD&amp;window=popup_no_bar&amp;width=385&amp;height=120&amp;START_MAXIMIZED=FALSE&amp;creator=factset&amp;display_string=Audit"}</definedName>
    <definedName name="_1264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265__FDSAUDITLINK__" localSheetId="15" hidden="1">{"fdsup://Directions/FactSet Auditing Viewer?action=AUDIT_VALUE&amp;DB=129&amp;ID1=16890510&amp;VALUEID=01001&amp;SDATE=200604&amp;PERIODTYPE=QTR_STD&amp;window=popup_no_bar&amp;width=385&amp;height=120&amp;START_MAXIMIZED=FALSE&amp;creator=factset&amp;display_string=Audit"}</definedName>
    <definedName name="_1265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266__FDSAUDITLINK__" localSheetId="15"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266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267__FDSAUDITLINK__" localSheetId="15" hidden="1">{"fdsup://Directions/FactSet Auditing Viewer?action=AUDIT_VALUE&amp;DB=129&amp;ID1=00786510&amp;VALUEID=01001&amp;SDATE=200604&amp;PERIODTYPE=QTR_STD&amp;window=popup_no_bar&amp;width=385&amp;height=120&amp;START_MAXIMIZED=FALSE&amp;creator=factset&amp;display_string=Audit"}</definedName>
    <definedName name="_1267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268__FDSAUDITLINK__" localSheetId="15" hidden="1">{"fdsup://Directions/FactSet Auditing Viewer?action=AUDIT_VALUE&amp;DB=129&amp;ID1=87416110&amp;VALUEID=02101&amp;SDATE=200603&amp;PERIODTYPE=QTR_STD&amp;window=popup_no_bar&amp;width=385&amp;height=120&amp;START_MAXIMIZED=FALSE&amp;creator=factset&amp;display_string=Audit"}</definedName>
    <definedName name="_1268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269__FDSAUDITLINK__" localSheetId="15" hidden="1">{"fdsup://Directions/FactSet Auditing Viewer?action=AUDIT_VALUE&amp;DB=129&amp;ID1=87416110&amp;VALUEID=01001&amp;SDATE=200603&amp;PERIODTYPE=QTR_STD&amp;window=popup_no_bar&amp;width=385&amp;height=120&amp;START_MAXIMIZED=FALSE&amp;creator=factset&amp;display_string=Audit"}</definedName>
    <definedName name="_1269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27__FDSAUDITLINK__" localSheetId="15" hidden="1">{"fdsup://Directions/FactSet Auditing Viewer?action=AUDIT_VALUE&amp;DB=129&amp;ID1=81235010&amp;VALUEID=01001&amp;SDATE=200802&amp;PERIODTYPE=QTR_STD&amp;window=popup_no_bar&amp;width=385&amp;height=120&amp;START_MAXIMIZED=FALSE&amp;creator=factset&amp;display_string=Audit"}</definedName>
    <definedName name="_127__FDSAUDITLINK__" hidden="1">{"fdsup://Directions/FactSet Auditing Viewer?action=AUDIT_VALUE&amp;DB=129&amp;ID1=36467W10&amp;VALUEID=01001&amp;SDATE=2007&amp;PERIODTYPE=ANN_STD&amp;window=popup_no_bar&amp;width=385&amp;height=120&amp;START_MAXIMIZED=FALSE&amp;creator=factset&amp;display_string=Audit"}</definedName>
    <definedName name="_1270__FDSAUDITLINK__" localSheetId="15" hidden="1">{"fdsup://Directions/FactSet Auditing Viewer?action=AUDIT_VALUE&amp;DB=129&amp;ID1=53271610&amp;VALUEID=02101&amp;SDATE=200603&amp;PERIODTYPE=QTR_STD&amp;window=popup_no_bar&amp;width=385&amp;height=120&amp;START_MAXIMIZED=FALSE&amp;creator=factset&amp;display_string=Audit"}</definedName>
    <definedName name="_1270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271__FDSAUDITLINK__" localSheetId="15" hidden="1">{"fdsup://Directions/FactSet Auditing Viewer?action=AUDIT_VALUE&amp;DB=129&amp;ID1=53271610&amp;VALUEID=01001&amp;SDATE=200603&amp;PERIODTYPE=QTR_STD&amp;window=popup_no_bar&amp;width=385&amp;height=120&amp;START_MAXIMIZED=FALSE&amp;creator=factset&amp;display_string=Audit"}</definedName>
    <definedName name="_1271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272__FDSAUDITLINK__" localSheetId="15" hidden="1">{"fdsup://Directions/FactSet Auditing Viewer?action=AUDIT_VALUE&amp;DB=129&amp;ID1=53271610&amp;VALUEID=13040&amp;SDATE=200603&amp;PERIODTYPE=QTR_STD&amp;window=popup_no_bar&amp;width=385&amp;height=120&amp;START_MAXIMIZED=FALSE&amp;creator=factset&amp;display_string=Audit"}</definedName>
    <definedName name="_1272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273__FDSAUDITLINK__" localSheetId="15" hidden="1">{"fdsup://Directions/FactSet Auditing Viewer?action=AUDIT_VALUE&amp;DB=129&amp;ID1=46612H40&amp;VALUEID=02101&amp;SDATE=200603&amp;PERIODTYPE=QTR_STD&amp;window=popup_no_bar&amp;width=385&amp;height=120&amp;START_MAXIMIZED=FALSE&amp;creator=factset&amp;display_string=Audit"}</definedName>
    <definedName name="_1273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274__FDSAUDITLINK__" localSheetId="15" hidden="1">{"fdsup://Directions/FactSet Auditing Viewer?action=AUDIT_VALUE&amp;DB=129&amp;ID1=46612H40&amp;VALUEID=01001&amp;SDATE=200603&amp;PERIODTYPE=QTR_STD&amp;window=popup_no_bar&amp;width=385&amp;height=120&amp;START_MAXIMIZED=FALSE&amp;creator=factset&amp;display_string=Audit"}</definedName>
    <definedName name="_1274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275__FDSAUDITLINK__" localSheetId="15" hidden="1">{"fdsup://Directions/FactSet Auditing Viewer?action=AUDIT_VALUE&amp;DB=129&amp;ID1=46612H40&amp;VALUEID=13040&amp;SDATE=200603&amp;PERIODTYPE=QTR_STD&amp;window=popup_no_bar&amp;width=385&amp;height=120&amp;START_MAXIMIZED=FALSE&amp;creator=factset&amp;display_string=Audit"}</definedName>
    <definedName name="_1275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276__FDSAUDITLINK__" localSheetId="15" hidden="1">{"fdsup://Directions/FactSet Auditing Viewer?action=AUDIT_VALUE&amp;DB=129&amp;ID1=36476010&amp;VALUEID=02101&amp;SDATE=200603&amp;PERIODTYPE=QTR_STD&amp;window=popup_no_bar&amp;width=385&amp;height=120&amp;START_MAXIMIZED=FALSE&amp;creator=factset&amp;display_string=Audit"}</definedName>
    <definedName name="_1276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277__FDSAUDITLINK__" localSheetId="15" hidden="1">{"fdsup://Directions/FactSet Auditing Viewer?action=AUDIT_VALUE&amp;DB=129&amp;ID1=36476010&amp;VALUEID=01001&amp;SDATE=200603&amp;PERIODTYPE=QTR_STD&amp;window=popup_no_bar&amp;width=385&amp;height=120&amp;START_MAXIMIZED=FALSE&amp;creator=factset&amp;display_string=Audit"}</definedName>
    <definedName name="_1277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278__FDSAUDITLINK__" localSheetId="15" hidden="1">{"fdsup://Directions/FactSet Auditing Viewer?action=AUDIT_VALUE&amp;DB=129&amp;ID1=36476010&amp;VALUEID=13040&amp;SDATE=200603&amp;PERIODTYPE=QTR_STD&amp;window=popup_no_bar&amp;width=385&amp;height=120&amp;START_MAXIMIZED=FALSE&amp;creator=factset&amp;display_string=Audit"}</definedName>
    <definedName name="_1278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279__FDSAUDITLINK__" localSheetId="15" hidden="1">{"fdsup://Directions/FactSet Auditing Viewer?action=AUDIT_VALUE&amp;DB=129&amp;ID1=03611510&amp;VALUEID=02101&amp;SDATE=200603&amp;PERIODTYPE=QTR_STD&amp;window=popup_no_bar&amp;width=385&amp;height=120&amp;START_MAXIMIZED=FALSE&amp;creator=factset&amp;display_string=Audit"}</definedName>
    <definedName name="_1279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28__FDSAUDITLINK__" localSheetId="15" hidden="1">{"fdsup://Directions/FactSet Auditing Viewer?action=AUDIT_VALUE&amp;DB=129&amp;ID1=81235010&amp;VALUEID=01001&amp;SDATE=200801&amp;PERIODTYPE=QTR_STD&amp;window=popup_no_bar&amp;width=385&amp;height=120&amp;START_MAXIMIZED=FALSE&amp;creator=factset&amp;display_string=Audit"}</definedName>
    <definedName name="_128__FDSAUDITLINK__" hidden="1">{"fdsup://Directions/FactSet Auditing Viewer?action=AUDIT_VALUE&amp;DB=129&amp;ID1=36467W10&amp;VALUEID=04601&amp;SDATE=2007&amp;PERIODTYPE=ANN_STD&amp;window=popup_no_bar&amp;width=385&amp;height=120&amp;START_MAXIMIZED=FALSE&amp;creator=factset&amp;display_string=Audit"}</definedName>
    <definedName name="_1280__FDSAUDITLINK__" localSheetId="15" hidden="1">{"fdsup://Directions/FactSet Auditing Viewer?action=AUDIT_VALUE&amp;DB=129&amp;ID1=03611510&amp;VALUEID=01001&amp;SDATE=200603&amp;PERIODTYPE=QTR_STD&amp;window=popup_no_bar&amp;width=385&amp;height=120&amp;START_MAXIMIZED=FALSE&amp;creator=factset&amp;display_string=Audit"}</definedName>
    <definedName name="_1280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281__FDSAUDITLINK__" localSheetId="15" hidden="1">{"fdsup://Directions/FactSet Auditing Viewer?action=AUDIT_VALUE&amp;DB=129&amp;ID1=03611510&amp;VALUEID=13040&amp;SDATE=200603&amp;PERIODTYPE=QTR_STD&amp;window=popup_no_bar&amp;width=385&amp;height=120&amp;START_MAXIMIZED=FALSE&amp;creator=factset&amp;display_string=Audit"}</definedName>
    <definedName name="_1281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282__FDSAUDITLINK__" localSheetId="15" hidden="1">{"fdsup://Directions/FactSet Auditing Viewer?action=AUDIT_VALUE&amp;DB=129&amp;ID1=16890510&amp;VALUEID=02101&amp;SDATE=200603&amp;PERIODTYPE=QTR_STD&amp;window=popup_no_bar&amp;width=385&amp;height=120&amp;START_MAXIMIZED=FALSE&amp;creator=factset&amp;display_string=Audit"}</definedName>
    <definedName name="_1282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283__FDSAUDITLINK__" localSheetId="15" hidden="1">{"fdsup://Directions/FactSet Auditing Viewer?action=AUDIT_VALUE&amp;DB=129&amp;ID1=16890510&amp;VALUEID=01001&amp;SDATE=200603&amp;PERIODTYPE=QTR_STD&amp;window=popup_no_bar&amp;width=385&amp;height=120&amp;START_MAXIMIZED=FALSE&amp;creator=factset&amp;display_string=Audit"}</definedName>
    <definedName name="_1283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284__FDSAUDITLINK__" localSheetId="15" hidden="1">{"fdsup://Directions/FactSet Auditing Viewer?action=AUDIT_VALUE&amp;DB=129&amp;ID1=91704710&amp;VALUEID=02101&amp;SDATE=200603&amp;PERIODTYPE=QTR_STD&amp;window=popup_no_bar&amp;width=385&amp;height=120&amp;START_MAXIMIZED=FALSE&amp;creator=factset&amp;display_string=Audit"}</definedName>
    <definedName name="_1284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285__FDSAUDITLINK__" localSheetId="15" hidden="1">{"fdsup://Directions/FactSet Auditing Viewer?action=AUDIT_VALUE&amp;DB=129&amp;ID1=91704710&amp;VALUEID=01001&amp;SDATE=200603&amp;PERIODTYPE=QTR_STD&amp;window=popup_no_bar&amp;width=385&amp;height=120&amp;START_MAXIMIZED=FALSE&amp;creator=factset&amp;display_string=Audit"}</definedName>
    <definedName name="_1285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286__FDSAUDITLINK__" localSheetId="15" hidden="1">{"fdsup://Directions/FactSet Auditing Viewer?action=AUDIT_VALUE&amp;DB=129&amp;ID1=91704710&amp;VALUEID=13040&amp;SDATE=200603&amp;PERIODTYPE=QTR_STD&amp;window=popup_no_bar&amp;width=385&amp;height=120&amp;START_MAXIMIZED=FALSE&amp;creator=factset&amp;display_string=Audit"}</definedName>
    <definedName name="_1286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287__FDSAUDITLINK__" localSheetId="15"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287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288__FDSAUDITLINK__" localSheetId="15" hidden="1">{"fdsup://Directions/FactSet Auditing Viewer?action=AUDIT_VALUE&amp;DB=129&amp;ID1=00786510&amp;VALUEID=02101&amp;SDATE=200603&amp;PERIODTYPE=QTR_STD&amp;window=popup_no_bar&amp;width=385&amp;height=120&amp;START_MAXIMIZED=FALSE&amp;creator=factset&amp;display_string=Audit"}</definedName>
    <definedName name="_1288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289__FDSAUDITLINK__" localSheetId="15" hidden="1">{"fdsup://Directions/FactSet Auditing Viewer?action=AUDIT_VALUE&amp;DB=129&amp;ID1=00786510&amp;VALUEID=01001&amp;SDATE=200603&amp;PERIODTYPE=QTR_STD&amp;window=popup_no_bar&amp;width=385&amp;height=120&amp;START_MAXIMIZED=FALSE&amp;creator=factset&amp;display_string=Audit"}</definedName>
    <definedName name="_1289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29__FDSAUDITLINK__" localSheetId="15" hidden="1">{"fdsup://Directions/FactSet Auditing Viewer?action=AUDIT_VALUE&amp;DB=129&amp;ID1=81235010&amp;VALUEID=01001&amp;SDATE=200704&amp;PERIODTYPE=QTR_STD&amp;window=popup_no_bar&amp;width=385&amp;height=120&amp;START_MAXIMIZED=FALSE&amp;creator=factset&amp;display_string=Audit"}</definedName>
    <definedName name="_129__FDSAUDITLINK__" hidden="1">{"fdsup://Directions/FactSet Auditing Viewer?action=AUDIT_VALUE&amp;DB=129&amp;ID1=36467W10&amp;VALUEID=01001&amp;SDATE=2008&amp;PERIODTYPE=ANN_STD&amp;window=popup_no_bar&amp;width=385&amp;height=120&amp;START_MAXIMIZED=FALSE&amp;creator=factset&amp;display_string=Audit"}</definedName>
    <definedName name="_1290__FDSAUDITLINK__" localSheetId="15" hidden="1">{"fdsup://Directions/FactSet Auditing Viewer?action=AUDIT_VALUE&amp;DB=129&amp;ID1=00786510&amp;VALUEID=13040&amp;SDATE=200603&amp;PERIODTYPE=QTR_STD&amp;window=popup_no_bar&amp;width=385&amp;height=120&amp;START_MAXIMIZED=FALSE&amp;creator=factset&amp;display_string=Audit"}</definedName>
    <definedName name="_1290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291__FDSAUDITLINK__" localSheetId="15" hidden="1">{"fdsup://Directions/FactSet Auditing Viewer?action=AUDIT_VALUE&amp;DB=129&amp;ID1=00289620&amp;VALUEID=02101&amp;SDATE=200603&amp;PERIODTYPE=QTR_STD&amp;window=popup_no_bar&amp;width=385&amp;height=120&amp;START_MAXIMIZED=FALSE&amp;creator=factset&amp;display_string=Audit"}</definedName>
    <definedName name="_1291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292__FDSAUDITLINK__" localSheetId="15" hidden="1">{"fdsup://Directions/FactSet Auditing Viewer?action=AUDIT_VALUE&amp;DB=129&amp;ID1=00289620&amp;VALUEID=01001&amp;SDATE=200603&amp;PERIODTYPE=QTR_STD&amp;window=popup_no_bar&amp;width=385&amp;height=120&amp;START_MAXIMIZED=FALSE&amp;creator=factset&amp;display_string=Audit"}</definedName>
    <definedName name="_1292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293__FDSAUDITLINK__" localSheetId="15" hidden="1">{"fdsup://Directions/FactSet Auditing Viewer?action=AUDIT_VALUE&amp;DB=129&amp;ID1=00289620&amp;VALUEID=13040&amp;SDATE=200603&amp;PERIODTYPE=QTR_STD&amp;window=popup_no_bar&amp;width=385&amp;height=120&amp;START_MAXIMIZED=FALSE&amp;creator=factset&amp;display_string=Audit"}</definedName>
    <definedName name="_1293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294__FDSAUDITLINK__" localSheetId="15" hidden="1">{"fdsup://Directions/FactSet Auditing Viewer?action=AUDIT_VALUE&amp;DB=129&amp;ID1=87416110&amp;VALUEID=02101&amp;SDATE=200602&amp;PERIODTYPE=QTR_STD&amp;window=popup_no_bar&amp;width=385&amp;height=120&amp;START_MAXIMIZED=FALSE&amp;creator=factset&amp;display_string=Audit"}</definedName>
    <definedName name="_1294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295__FDSAUDITLINK__" localSheetId="15" hidden="1">{"fdsup://Directions/FactSet Auditing Viewer?action=AUDIT_VALUE&amp;DB=129&amp;ID1=87416110&amp;VALUEID=01001&amp;SDATE=200602&amp;PERIODTYPE=QTR_STD&amp;window=popup_no_bar&amp;width=385&amp;height=120&amp;START_MAXIMIZED=FALSE&amp;creator=factset&amp;display_string=Audit"}</definedName>
    <definedName name="_1295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296__FDSAUDITLINK__" localSheetId="15" hidden="1">{"fdsup://Directions/FactSet Auditing Viewer?action=AUDIT_VALUE&amp;DB=129&amp;ID1=53271610&amp;VALUEID=02101&amp;SDATE=200602&amp;PERIODTYPE=QTR_STD&amp;window=popup_no_bar&amp;width=385&amp;height=120&amp;START_MAXIMIZED=FALSE&amp;creator=factset&amp;display_string=Audit"}</definedName>
    <definedName name="_1296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297__FDSAUDITLINK__" localSheetId="15" hidden="1">{"fdsup://Directions/FactSet Auditing Viewer?action=AUDIT_VALUE&amp;DB=129&amp;ID1=53271610&amp;VALUEID=01001&amp;SDATE=200602&amp;PERIODTYPE=QTR_STD&amp;window=popup_no_bar&amp;width=385&amp;height=120&amp;START_MAXIMIZED=FALSE&amp;creator=factset&amp;display_string=Audit"}</definedName>
    <definedName name="_1297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298__FDSAUDITLINK__" localSheetId="15" hidden="1">{"fdsup://Directions/FactSet Auditing Viewer?action=AUDIT_VALUE&amp;DB=129&amp;ID1=53271610&amp;VALUEID=13040&amp;SDATE=200602&amp;PERIODTYPE=QTR_STD&amp;window=popup_no_bar&amp;width=385&amp;height=120&amp;START_MAXIMIZED=FALSE&amp;creator=factset&amp;display_string=Audit"}</definedName>
    <definedName name="_1298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299__FDSAUDITLINK__" localSheetId="15" hidden="1">{"fdsup://Directions/FactSet Auditing Viewer?action=AUDIT_VALUE&amp;DB=129&amp;ID1=46612H40&amp;VALUEID=02101&amp;SDATE=200602&amp;PERIODTYPE=QTR_STD&amp;window=popup_no_bar&amp;width=385&amp;height=120&amp;START_MAXIMIZED=FALSE&amp;creator=factset&amp;display_string=Audit"}</definedName>
    <definedName name="_1299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3__123Graph_Bｸﾞﾗﾌ_1" hidden="1">[1]ｾｸﾞﾒﾝﾄ!$E$165:$I$165</definedName>
    <definedName name="_13__123Graph_XR_M_MARG" hidden="1">[2]P!$R$29:$AK$29</definedName>
    <definedName name="_13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13__FDSAUDITLINK__" hidden="1">{"fdsup://Directions/FactSet Auditing Viewer?action=AUDIT_VALUE&amp;DB=129&amp;ID1=03783310&amp;VALUEID=01001&amp;SDATE=2006&amp;PERIODTYPE=ANN_STD&amp;window=popup_no_bar&amp;width=385&amp;height=120&amp;START_MAXIMIZED=FALSE&amp;creator=factset&amp;display_string=Audit"}</definedName>
    <definedName name="_130__FDSAUDITLINK__" localSheetId="15" hidden="1">{"fdsup://Directions/FactSet Auditing Viewer?action=AUDIT_VALUE&amp;DB=129&amp;ID1=81235010&amp;VALUEID=01001&amp;SDATE=200703&amp;PERIODTYPE=QTR_STD&amp;window=popup_no_bar&amp;width=385&amp;height=120&amp;START_MAXIMIZED=FALSE&amp;creator=factset&amp;display_string=Audit"}</definedName>
    <definedName name="_130__FDSAUDITLINK__" hidden="1">{"fdsup://Directions/FactSet Auditing Viewer?action=AUDIT_VALUE&amp;DB=129&amp;ID1=36467W10&amp;VALUEID=04601&amp;SDATE=2008&amp;PERIODTYPE=ANN_STD&amp;window=popup_no_bar&amp;width=385&amp;height=120&amp;START_MAXIMIZED=FALSE&amp;creator=factset&amp;display_string=Audit"}</definedName>
    <definedName name="_1300__FDSAUDITLINK__" localSheetId="15" hidden="1">{"fdsup://Directions/FactSet Auditing Viewer?action=AUDIT_VALUE&amp;DB=129&amp;ID1=46612H40&amp;VALUEID=01001&amp;SDATE=200602&amp;PERIODTYPE=QTR_STD&amp;window=popup_no_bar&amp;width=385&amp;height=120&amp;START_MAXIMIZED=FALSE&amp;creator=factset&amp;display_string=Audit"}</definedName>
    <definedName name="_1300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301__FDSAUDITLINK__" localSheetId="15" hidden="1">{"fdsup://Directions/FactSet Auditing Viewer?action=AUDIT_VALUE&amp;DB=129&amp;ID1=46612H40&amp;VALUEID=13040&amp;SDATE=200602&amp;PERIODTYPE=QTR_STD&amp;window=popup_no_bar&amp;width=385&amp;height=120&amp;START_MAXIMIZED=FALSE&amp;creator=factset&amp;display_string=Audit"}</definedName>
    <definedName name="_1301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302__FDSAUDITLINK__" localSheetId="15" hidden="1">{"fdsup://Directions/FactSet Auditing Viewer?action=AUDIT_VALUE&amp;DB=129&amp;ID1=36476010&amp;VALUEID=02101&amp;SDATE=200602&amp;PERIODTYPE=QTR_STD&amp;window=popup_no_bar&amp;width=385&amp;height=120&amp;START_MAXIMIZED=FALSE&amp;creator=factset&amp;display_string=Audit"}</definedName>
    <definedName name="_1302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303__FDSAUDITLINK__" localSheetId="15" hidden="1">{"fdsup://Directions/FactSet Auditing Viewer?action=AUDIT_VALUE&amp;DB=129&amp;ID1=36476010&amp;VALUEID=01001&amp;SDATE=200602&amp;PERIODTYPE=QTR_STD&amp;window=popup_no_bar&amp;width=385&amp;height=120&amp;START_MAXIMIZED=FALSE&amp;creator=factset&amp;display_string=Audit"}</definedName>
    <definedName name="_1303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304__FDSAUDITLINK__" localSheetId="15" hidden="1">{"fdsup://Directions/FactSet Auditing Viewer?action=AUDIT_VALUE&amp;DB=129&amp;ID1=36476010&amp;VALUEID=13040&amp;SDATE=200602&amp;PERIODTYPE=QTR_STD&amp;window=popup_no_bar&amp;width=385&amp;height=120&amp;START_MAXIMIZED=FALSE&amp;creator=factset&amp;display_string=Audit"}</definedName>
    <definedName name="_1304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305__FDSAUDITLINK__" localSheetId="15" hidden="1">{"fdsup://Directions/FactSet Auditing Viewer?action=AUDIT_VALUE&amp;DB=129&amp;ID1=03611510&amp;VALUEID=02101&amp;SDATE=200602&amp;PERIODTYPE=QTR_STD&amp;window=popup_no_bar&amp;width=385&amp;height=120&amp;START_MAXIMIZED=FALSE&amp;creator=factset&amp;display_string=Audit"}</definedName>
    <definedName name="_1305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306__FDSAUDITLINK__" localSheetId="15" hidden="1">{"fdsup://Directions/FactSet Auditing Viewer?action=AUDIT_VALUE&amp;DB=129&amp;ID1=03611510&amp;VALUEID=01001&amp;SDATE=200602&amp;PERIODTYPE=QTR_STD&amp;window=popup_no_bar&amp;width=385&amp;height=120&amp;START_MAXIMIZED=FALSE&amp;creator=factset&amp;display_string=Audit"}</definedName>
    <definedName name="_1306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307__FDSAUDITLINK__" localSheetId="15" hidden="1">{"fdsup://Directions/FactSet Auditing Viewer?action=AUDIT_VALUE&amp;DB=129&amp;ID1=03611510&amp;VALUEID=13040&amp;SDATE=200602&amp;PERIODTYPE=QTR_STD&amp;window=popup_no_bar&amp;width=385&amp;height=120&amp;START_MAXIMIZED=FALSE&amp;creator=factset&amp;display_string=Audit"}</definedName>
    <definedName name="_13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308__FDSAUDITLINK__" localSheetId="15" hidden="1">{"fdsup://Directions/FactSet Auditing Viewer?action=AUDIT_VALUE&amp;DB=129&amp;ID1=16890510&amp;VALUEID=02101&amp;SDATE=200602&amp;PERIODTYPE=QTR_STD&amp;window=popup_no_bar&amp;width=385&amp;height=120&amp;START_MAXIMIZED=FALSE&amp;creator=factset&amp;display_string=Audit"}</definedName>
    <definedName name="_1308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309__FDSAUDITLINK__" localSheetId="15" hidden="1">{"fdsup://Directions/FactSet Auditing Viewer?action=AUDIT_VALUE&amp;DB=129&amp;ID1=16890510&amp;VALUEID=01001&amp;SDATE=200602&amp;PERIODTYPE=QTR_STD&amp;window=popup_no_bar&amp;width=385&amp;height=120&amp;START_MAXIMIZED=FALSE&amp;creator=factset&amp;display_string=Audit"}</definedName>
    <definedName name="_1309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31__FDSAUDITLINK__" localSheetId="15" hidden="1">{"fdsup://Directions/FactSet Auditing Viewer?action=AUDIT_VALUE&amp;DB=129&amp;ID1=81235010&amp;VALUEID=01001&amp;SDATE=200702&amp;PERIODTYPE=QTR_STD&amp;window=popup_no_bar&amp;width=385&amp;height=120&amp;START_MAXIMIZED=FALSE&amp;creator=factset&amp;display_string=Audit"}</definedName>
    <definedName name="_131__FDSAUDITLINK__" hidden="1">{"fdsup://Directions/FactSet Auditing Viewer?action=AUDIT_VALUE&amp;DB=129&amp;ID1=25406710&amp;VALUEID=01001&amp;SDATE=2005&amp;PERIODTYPE=ANN_STD&amp;window=popup_no_bar&amp;width=385&amp;height=120&amp;START_MAXIMIZED=FALSE&amp;creator=factset&amp;display_string=Audit"}</definedName>
    <definedName name="_1310__FDSAUDITLINK__" localSheetId="15" hidden="1">{"fdsup://Directions/FactSet Auditing Viewer?action=AUDIT_VALUE&amp;DB=129&amp;ID1=91704710&amp;VALUEID=02101&amp;SDATE=200602&amp;PERIODTYPE=QTR_STD&amp;window=popup_no_bar&amp;width=385&amp;height=120&amp;START_MAXIMIZED=FALSE&amp;creator=factset&amp;display_string=Audit"}</definedName>
    <definedName name="_1310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311__FDSAUDITLINK__" localSheetId="15" hidden="1">{"fdsup://Directions/FactSet Auditing Viewer?action=AUDIT_VALUE&amp;DB=129&amp;ID1=91704710&amp;VALUEID=01001&amp;SDATE=200602&amp;PERIODTYPE=QTR_STD&amp;window=popup_no_bar&amp;width=385&amp;height=120&amp;START_MAXIMIZED=FALSE&amp;creator=factset&amp;display_string=Audit"}</definedName>
    <definedName name="_1311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312__FDSAUDITLINK__" localSheetId="15" hidden="1">{"fdsup://Directions/FactSet Auditing Viewer?action=AUDIT_VALUE&amp;DB=129&amp;ID1=91704710&amp;VALUEID=13040&amp;SDATE=200602&amp;PERIODTYPE=QTR_STD&amp;window=popup_no_bar&amp;width=385&amp;height=120&amp;START_MAXIMIZED=FALSE&amp;creator=factset&amp;display_string=Audit"}</definedName>
    <definedName name="_1312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313__FDSAUDITLINK__" localSheetId="15"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313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314__FDSAUDITLINK__" localSheetId="15" hidden="1">{"fdsup://Directions/FactSet Auditing Viewer?action=AUDIT_VALUE&amp;DB=129&amp;ID1=00786510&amp;VALUEID=02101&amp;SDATE=200602&amp;PERIODTYPE=QTR_STD&amp;window=popup_no_bar&amp;width=385&amp;height=120&amp;START_MAXIMIZED=FALSE&amp;creator=factset&amp;display_string=Audit"}</definedName>
    <definedName name="_1314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315__FDSAUDITLINK__" localSheetId="15" hidden="1">{"fdsup://Directions/FactSet Auditing Viewer?action=AUDIT_VALUE&amp;DB=129&amp;ID1=00786510&amp;VALUEID=01001&amp;SDATE=200602&amp;PERIODTYPE=QTR_STD&amp;window=popup_no_bar&amp;width=385&amp;height=120&amp;START_MAXIMIZED=FALSE&amp;creator=factset&amp;display_string=Audit"}</definedName>
    <definedName name="_1315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316__FDSAUDITLINK__" localSheetId="15" hidden="1">{"fdsup://Directions/FactSet Auditing Viewer?action=AUDIT_VALUE&amp;DB=129&amp;ID1=00786510&amp;VALUEID=13040&amp;SDATE=200602&amp;PERIODTYPE=QTR_STD&amp;window=popup_no_bar&amp;width=385&amp;height=120&amp;START_MAXIMIZED=FALSE&amp;creator=factset&amp;display_string=Audit"}</definedName>
    <definedName name="_1316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317__FDSAUDITLINK__" localSheetId="15" hidden="1">{"fdsup://Directions/FactSet Auditing Viewer?action=AUDIT_VALUE&amp;DB=129&amp;ID1=00289620&amp;VALUEID=02101&amp;SDATE=200602&amp;PERIODTYPE=QTR_STD&amp;window=popup_no_bar&amp;width=385&amp;height=120&amp;START_MAXIMIZED=FALSE&amp;creator=factset&amp;display_string=Audit"}</definedName>
    <definedName name="_1317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318__FDSAUDITLINK__" localSheetId="15" hidden="1">{"fdsup://Directions/FactSet Auditing Viewer?action=AUDIT_VALUE&amp;DB=129&amp;ID1=00289620&amp;VALUEID=01001&amp;SDATE=200602&amp;PERIODTYPE=QTR_STD&amp;window=popup_no_bar&amp;width=385&amp;height=120&amp;START_MAXIMIZED=FALSE&amp;creator=factset&amp;display_string=Audit"}</definedName>
    <definedName name="_1318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319__FDSAUDITLINK__" localSheetId="15" hidden="1">{"fdsup://Directions/FactSet Auditing Viewer?action=AUDIT_VALUE&amp;DB=129&amp;ID1=00289620&amp;VALUEID=13040&amp;SDATE=200602&amp;PERIODTYPE=QTR_STD&amp;window=popup_no_bar&amp;width=385&amp;height=120&amp;START_MAXIMIZED=FALSE&amp;creator=factset&amp;display_string=Audit"}</definedName>
    <definedName name="_1319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32__FDSAUDITLINK__" localSheetId="15" hidden="1">{"fdsup://Directions/FactSet Auditing Viewer?action=AUDIT_VALUE&amp;DB=129&amp;ID1=81235010&amp;VALUEID=01001&amp;SDATE=200701&amp;PERIODTYPE=QTR_STD&amp;window=popup_no_bar&amp;width=385&amp;height=120&amp;START_MAXIMIZED=FALSE&amp;creator=factset&amp;display_string=Audit"}</definedName>
    <definedName name="_132__FDSAUDITLINK__" hidden="1">{"fdsup://Directions/FactSet Auditing Viewer?action=AUDIT_VALUE&amp;DB=129&amp;ID1=25406710&amp;VALUEID=04601&amp;SDATE=2005&amp;PERIODTYPE=ANN_STD&amp;window=popup_no_bar&amp;width=385&amp;height=120&amp;START_MAXIMIZED=FALSE&amp;creator=factset&amp;display_string=Audit"}</definedName>
    <definedName name="_1320__FDSAUDITLINK__" localSheetId="15" hidden="1">{"fdsup://Directions/FactSet Auditing Viewer?action=AUDIT_VALUE&amp;DB=129&amp;ID1=87416110&amp;VALUEID=02101&amp;SDATE=200601&amp;PERIODTYPE=QTR_STD&amp;window=popup_no_bar&amp;width=385&amp;height=120&amp;START_MAXIMIZED=FALSE&amp;creator=factset&amp;display_string=Audit"}</definedName>
    <definedName name="_1320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321__FDSAUDITLINK__" localSheetId="15" hidden="1">{"fdsup://Directions/FactSet Auditing Viewer?action=AUDIT_VALUE&amp;DB=129&amp;ID1=87416110&amp;VALUEID=01001&amp;SDATE=200601&amp;PERIODTYPE=QTR_STD&amp;window=popup_no_bar&amp;width=385&amp;height=120&amp;START_MAXIMIZED=FALSE&amp;creator=factset&amp;display_string=Audit"}</definedName>
    <definedName name="_1321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322__FDSAUDITLINK__" localSheetId="15" hidden="1">{"fdsup://Directions/FactSet Auditing Viewer?action=AUDIT_VALUE&amp;DB=129&amp;ID1=87416110&amp;VALUEID=13040&amp;SDATE=200601&amp;PERIODTYPE=QTR_STD&amp;window=popup_no_bar&amp;width=385&amp;height=120&amp;START_MAXIMIZED=FALSE&amp;creator=factset&amp;display_string=Audit"}</definedName>
    <definedName name="_1322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323__FDSAUDITLINK__" localSheetId="15"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323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324__FDSAUDITLINK__" localSheetId="15" hidden="1">{"fdsup://Directions/FactSet Auditing Viewer?action=AUDIT_VALUE&amp;DB=129&amp;ID1=53271610&amp;VALUEID=02101&amp;SDATE=200601&amp;PERIODTYPE=QTR_STD&amp;window=popup_no_bar&amp;width=385&amp;height=120&amp;START_MAXIMIZED=FALSE&amp;creator=factset&amp;display_string=Audit"}</definedName>
    <definedName name="_1324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325__FDSAUDITLINK__" localSheetId="15" hidden="1">{"fdsup://Directions/FactSet Auditing Viewer?action=AUDIT_VALUE&amp;DB=129&amp;ID1=53271610&amp;VALUEID=01001&amp;SDATE=200601&amp;PERIODTYPE=QTR_STD&amp;window=popup_no_bar&amp;width=385&amp;height=120&amp;START_MAXIMIZED=FALSE&amp;creator=factset&amp;display_string=Audit"}</definedName>
    <definedName name="_1325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326__FDSAUDITLINK__" localSheetId="15" hidden="1">{"fdsup://Directions/FactSet Auditing Viewer?action=AUDIT_VALUE&amp;DB=129&amp;ID1=53271610&amp;VALUEID=13040&amp;SDATE=200601&amp;PERIODTYPE=QTR_STD&amp;window=popup_no_bar&amp;width=385&amp;height=120&amp;START_MAXIMIZED=FALSE&amp;creator=factset&amp;display_string=Audit"}</definedName>
    <definedName name="_1326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327__FDSAUDITLINK__" localSheetId="15" hidden="1">{"fdsup://Directions/FactSet Auditing Viewer?action=AUDIT_VALUE&amp;DB=129&amp;ID1=46612H40&amp;VALUEID=02101&amp;SDATE=200601&amp;PERIODTYPE=QTR_STD&amp;window=popup_no_bar&amp;width=385&amp;height=120&amp;START_MAXIMIZED=FALSE&amp;creator=factset&amp;display_string=Audit"}</definedName>
    <definedName name="_1327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328__FDSAUDITLINK__" localSheetId="15" hidden="1">{"fdsup://Directions/FactSet Auditing Viewer?action=AUDIT_VALUE&amp;DB=129&amp;ID1=46612H40&amp;VALUEID=01001&amp;SDATE=200601&amp;PERIODTYPE=QTR_STD&amp;window=popup_no_bar&amp;width=385&amp;height=120&amp;START_MAXIMIZED=FALSE&amp;creator=factset&amp;display_string=Audit"}</definedName>
    <definedName name="_1328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329__FDSAUDITLINK__" localSheetId="15" hidden="1">{"fdsup://Directions/FactSet Auditing Viewer?action=AUDIT_VALUE&amp;DB=129&amp;ID1=46612H40&amp;VALUEID=13040&amp;SDATE=200601&amp;PERIODTYPE=QTR_STD&amp;window=popup_no_bar&amp;width=385&amp;height=120&amp;START_MAXIMIZED=FALSE&amp;creator=factset&amp;display_string=Audit"}</definedName>
    <definedName name="_1329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33__FDSAUDITLINK__" localSheetId="15" hidden="1">{"fdsup://Directions/FactSet Auditing Viewer?action=AUDIT_VALUE&amp;DB=129&amp;ID1=81235010&amp;VALUEID=01001&amp;SDATE=200604&amp;PERIODTYPE=QTR_STD&amp;window=popup_no_bar&amp;width=385&amp;height=120&amp;START_MAXIMIZED=FALSE&amp;creator=factset&amp;display_string=Audit"}</definedName>
    <definedName name="_133__FDSAUDITLINK__" hidden="1">{"fdsup://Directions/FactSet Auditing Viewer?action=AUDIT_VALUE&amp;DB=129&amp;ID1=25406710&amp;VALUEID=01001&amp;SDATE=2006&amp;PERIODTYPE=ANN_STD&amp;window=popup_no_bar&amp;width=385&amp;height=120&amp;START_MAXIMIZED=FALSE&amp;creator=factset&amp;display_string=Audit"}</definedName>
    <definedName name="_1330__FDSAUDITLINK__" localSheetId="15" hidden="1">{"fdsup://Directions/FactSet Auditing Viewer?action=AUDIT_VALUE&amp;DB=129&amp;ID1=36476010&amp;VALUEID=02101&amp;SDATE=200601&amp;PERIODTYPE=QTR_STD&amp;window=popup_no_bar&amp;width=385&amp;height=120&amp;START_MAXIMIZED=FALSE&amp;creator=factset&amp;display_string=Audit"}</definedName>
    <definedName name="_1330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331__FDSAUDITLINK__" localSheetId="15" hidden="1">{"fdsup://Directions/FactSet Auditing Viewer?action=AUDIT_VALUE&amp;DB=129&amp;ID1=36476010&amp;VALUEID=01001&amp;SDATE=200601&amp;PERIODTYPE=QTR_STD&amp;window=popup_no_bar&amp;width=385&amp;height=120&amp;START_MAXIMIZED=FALSE&amp;creator=factset&amp;display_string=Audit"}</definedName>
    <definedName name="_1331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332__FDSAUDITLINK__" localSheetId="15" hidden="1">{"fdsup://Directions/FactSet Auditing Viewer?action=AUDIT_VALUE&amp;DB=129&amp;ID1=36476010&amp;VALUEID=13040&amp;SDATE=200601&amp;PERIODTYPE=QTR_STD&amp;window=popup_no_bar&amp;width=385&amp;height=120&amp;START_MAXIMIZED=FALSE&amp;creator=factset&amp;display_string=Audit"}</definedName>
    <definedName name="_1332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333__FDSAUDITLINK__" localSheetId="15" hidden="1">{"fdsup://Directions/FactSet Auditing Viewer?action=AUDIT_VALUE&amp;DB=129&amp;ID1=03611510&amp;VALUEID=02101&amp;SDATE=200601&amp;PERIODTYPE=QTR_STD&amp;window=popup_no_bar&amp;width=385&amp;height=120&amp;START_MAXIMIZED=FALSE&amp;creator=factset&amp;display_string=Audit"}</definedName>
    <definedName name="_1333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334__FDSAUDITLINK__" localSheetId="15" hidden="1">{"fdsup://Directions/FactSet Auditing Viewer?action=AUDIT_VALUE&amp;DB=129&amp;ID1=03611510&amp;VALUEID=13040&amp;SDATE=200601&amp;PERIODTYPE=QTR_STD&amp;window=popup_no_bar&amp;width=385&amp;height=120&amp;START_MAXIMIZED=FALSE&amp;creator=factset&amp;display_string=Audit"}</definedName>
    <definedName name="_1334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335__FDSAUDITLINK__" localSheetId="15" hidden="1">{"fdsup://Directions/FactSet Auditing Viewer?action=AUDIT_VALUE&amp;DB=129&amp;ID1=16890510&amp;VALUEID=02101&amp;SDATE=200601&amp;PERIODTYPE=QTR_STD&amp;window=popup_no_bar&amp;width=385&amp;height=120&amp;START_MAXIMIZED=FALSE&amp;creator=factset&amp;display_string=Audit"}</definedName>
    <definedName name="_1335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336__FDSAUDITLINK__" localSheetId="15" hidden="1">{"fdsup://Directions/FactSet Auditing Viewer?action=AUDIT_VALUE&amp;DB=129&amp;ID1=16890510&amp;VALUEID=01001&amp;SDATE=200601&amp;PERIODTYPE=QTR_STD&amp;window=popup_no_bar&amp;width=385&amp;height=120&amp;START_MAXIMIZED=FALSE&amp;creator=factset&amp;display_string=Audit"}</definedName>
    <definedName name="_1336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337__FDSAUDITLINK__" localSheetId="15" hidden="1">{"fdsup://Directions/FactSet Auditing Viewer?action=AUDIT_VALUE&amp;DB=129&amp;ID1=91704710&amp;VALUEID=02101&amp;SDATE=200601&amp;PERIODTYPE=QTR_STD&amp;window=popup_no_bar&amp;width=385&amp;height=120&amp;START_MAXIMIZED=FALSE&amp;creator=factset&amp;display_string=Audit"}</definedName>
    <definedName name="_1337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338__FDSAUDITLINK__" localSheetId="15" hidden="1">{"fdsup://Directions/FactSet Auditing Viewer?action=AUDIT_VALUE&amp;DB=129&amp;ID1=91704710&amp;VALUEID=01001&amp;SDATE=200601&amp;PERIODTYPE=QTR_STD&amp;window=popup_no_bar&amp;width=385&amp;height=120&amp;START_MAXIMIZED=FALSE&amp;creator=factset&amp;display_string=Audit"}</definedName>
    <definedName name="_1338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339__FDSAUDITLINK__" localSheetId="15" hidden="1">{"fdsup://Directions/FactSet Auditing Viewer?action=AUDIT_VALUE&amp;DB=129&amp;ID1=91704710&amp;VALUEID=13040&amp;SDATE=200601&amp;PERIODTYPE=QTR_STD&amp;window=popup_no_bar&amp;width=385&amp;height=120&amp;START_MAXIMIZED=FALSE&amp;creator=factset&amp;display_string=Audit"}</definedName>
    <definedName name="_1339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34__FDSAUDITLINK__" localSheetId="15" hidden="1">{"fdsup://Directions/FactSet Auditing Viewer?action=AUDIT_VALUE&amp;DB=129&amp;ID1=81235010&amp;VALUEID=01001&amp;SDATE=200603&amp;PERIODTYPE=QTR_STD&amp;window=popup_no_bar&amp;width=385&amp;height=120&amp;START_MAXIMIZED=FALSE&amp;creator=factset&amp;display_string=Audit"}</definedName>
    <definedName name="_134__FDSAUDITLINK__" hidden="1">{"fdsup://Directions/FactSet Auditing Viewer?action=AUDIT_VALUE&amp;DB=129&amp;ID1=25406710&amp;VALUEID=04601&amp;SDATE=2006&amp;PERIODTYPE=ANN_STD&amp;window=popup_no_bar&amp;width=385&amp;height=120&amp;START_MAXIMIZED=FALSE&amp;creator=factset&amp;display_string=Audit"}</definedName>
    <definedName name="_1340__FDSAUDITLINK__" localSheetId="15" hidden="1">{"fdsup://Directions/FactSet Auditing Viewer?action=AUDIT_VALUE&amp;DB=129&amp;ID1=02553E10&amp;VALUEID=02101&amp;SDATE=200601&amp;PERIODTYPE=QTR_STD&amp;window=popup_no_bar&amp;width=385&amp;height=120&amp;START_MAXIMIZED=FALSE&amp;creator=factset&amp;display_string=Audit"}</definedName>
    <definedName name="_1340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341__FDSAUDITLINK__" localSheetId="15" hidden="1">{"fdsup://Directions/FactSet Auditing Viewer?action=AUDIT_VALUE&amp;DB=129&amp;ID1=02553E10&amp;VALUEID=01001&amp;SDATE=200601&amp;PERIODTYPE=QTR_STD&amp;window=popup_no_bar&amp;width=385&amp;height=120&amp;START_MAXIMIZED=FALSE&amp;creator=factset&amp;display_string=Audit"}</definedName>
    <definedName name="_1341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342__FDSAUDITLINK__" localSheetId="15" hidden="1">{"fdsup://Directions/FactSet Auditing Viewer?action=AUDIT_VALUE&amp;DB=129&amp;ID1=02553E10&amp;VALUEID=13040&amp;SDATE=200601&amp;PERIODTYPE=QTR_STD&amp;window=popup_no_bar&amp;width=385&amp;height=120&amp;START_MAXIMIZED=FALSE&amp;creator=factset&amp;display_string=Audit"}</definedName>
    <definedName name="_1342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343__FDSAUDITLINK__" localSheetId="15"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343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344__FDSAUDITLINK__" localSheetId="15" hidden="1">{"fdsup://Directions/FactSet Auditing Viewer?action=AUDIT_VALUE&amp;DB=129&amp;ID1=00786510&amp;VALUEID=02101&amp;SDATE=200601&amp;PERIODTYPE=QTR_STD&amp;window=popup_no_bar&amp;width=385&amp;height=120&amp;START_MAXIMIZED=FALSE&amp;creator=factset&amp;display_string=Audit"}</definedName>
    <definedName name="_1344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345__FDSAUDITLINK__" localSheetId="15" hidden="1">{"fdsup://Directions/FactSet Auditing Viewer?action=AUDIT_VALUE&amp;DB=129&amp;ID1=00786510&amp;VALUEID=01001&amp;SDATE=200601&amp;PERIODTYPE=QTR_STD&amp;window=popup_no_bar&amp;width=385&amp;height=120&amp;START_MAXIMIZED=FALSE&amp;creator=factset&amp;display_string=Audit"}</definedName>
    <definedName name="_1345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346__FDSAUDITLINK__" localSheetId="15" hidden="1">{"fdsup://Directions/FactSet Auditing Viewer?action=AUDIT_VALUE&amp;DB=129&amp;ID1=00786510&amp;VALUEID=13040&amp;SDATE=200601&amp;PERIODTYPE=QTR_STD&amp;window=popup_no_bar&amp;width=385&amp;height=120&amp;START_MAXIMIZED=FALSE&amp;creator=factset&amp;display_string=Audit"}</definedName>
    <definedName name="_1346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347__FDSAUDITLINK__" localSheetId="15" hidden="1">{"fdsup://Directions/FactSet Auditing Viewer?action=AUDIT_VALUE&amp;DB=129&amp;ID1=00289620&amp;VALUEID=02101&amp;SDATE=200601&amp;PERIODTYPE=QTR_STD&amp;window=popup_no_bar&amp;width=385&amp;height=120&amp;START_MAXIMIZED=FALSE&amp;creator=factset&amp;display_string=Audit"}</definedName>
    <definedName name="_1347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348__FDSAUDITLINK__" localSheetId="15" hidden="1">{"fdsup://Directions/FactSet Auditing Viewer?action=AUDIT_VALUE&amp;DB=129&amp;ID1=00289620&amp;VALUEID=01001&amp;SDATE=200601&amp;PERIODTYPE=QTR_STD&amp;window=popup_no_bar&amp;width=385&amp;height=120&amp;START_MAXIMIZED=FALSE&amp;creator=factset&amp;display_string=Audit"}</definedName>
    <definedName name="_1348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349__FDSAUDITLINK__" localSheetId="15" hidden="1">{"fdsup://Directions/FactSet Auditing Viewer?action=AUDIT_VALUE&amp;DB=129&amp;ID1=00289620&amp;VALUEID=13040&amp;SDATE=200601&amp;PERIODTYPE=QTR_STD&amp;window=popup_no_bar&amp;width=385&amp;height=120&amp;START_MAXIMIZED=FALSE&amp;creator=factset&amp;display_string=Audit"}</definedName>
    <definedName name="_1349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35__FDSAUDITLINK__" localSheetId="15" hidden="1">{"fdsup://Directions/FactSet Auditing Viewer?action=AUDIT_VALUE&amp;DB=129&amp;ID1=81235010&amp;VALUEID=01001&amp;SDATE=200602&amp;PERIODTYPE=QTR_STD&amp;window=popup_no_bar&amp;width=385&amp;height=120&amp;START_MAXIMIZED=FALSE&amp;creator=factset&amp;display_string=Audit"}</definedName>
    <definedName name="_135__FDSAUDITLINK__" hidden="1">{"fdsup://Directions/FactSet Auditing Viewer?action=AUDIT_VALUE&amp;DB=129&amp;ID1=25406710&amp;VALUEID=01001&amp;SDATE=2007&amp;PERIODTYPE=ANN_STD&amp;window=popup_no_bar&amp;width=385&amp;height=120&amp;START_MAXIMIZED=FALSE&amp;creator=factset&amp;display_string=Audit"}</definedName>
    <definedName name="_1350__FDSAUDITLINK__" localSheetId="15"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350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351__FDSAUDITLINK__" localSheetId="15"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351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352__FDSAUDITLINK__" localSheetId="15"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352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353__FDSAUDITLINK__" localSheetId="15" hidden="1">{"fdsup://Directions/FactSet Auditing Viewer?action=AUDIT_VALUE&amp;DB=129&amp;ID1=03611510&amp;VALUEID=13040&amp;SDATE=200503&amp;PERIODTYPE=QTR_STD&amp;window=popup_no_bar&amp;width=385&amp;height=120&amp;START_MAXIMIZED=FALSE&amp;creator=factset&amp;display_string=Audit"}</definedName>
    <definedName name="_1353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354__FDSAUDITLINK__" localSheetId="15"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354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355__FDSAUDITLINK__" localSheetId="15"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355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356__FDSAUDITLINK__" localSheetId="15" hidden="1">{"fdsup://Directions/FactSet Auditing Viewer?action=AUDIT_VALUE&amp;DB=129&amp;ID1=03611510&amp;VALUEID=13040&amp;SDATE=200502&amp;PERIODTYPE=QTR_STD&amp;window=popup_no_bar&amp;width=385&amp;height=120&amp;START_MAXIMIZED=FALSE&amp;creator=factset&amp;display_string=Audit"}</definedName>
    <definedName name="_1356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357__FDSAUDITLINK__" localSheetId="15"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357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358__FDSAUDITLINK__" localSheetId="15"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358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359__FDSAUDITLINK__" localSheetId="15" hidden="1">{"fdsup://Directions/FactSet Auditing Viewer?action=AUDIT_VALUE&amp;DB=129&amp;ID1=03611510&amp;VALUEID=13040&amp;SDATE=200501&amp;PERIODTYPE=QTR_STD&amp;window=popup_no_bar&amp;width=385&amp;height=120&amp;START_MAXIMIZED=FALSE&amp;creator=factset&amp;display_string=Audit"}</definedName>
    <definedName name="_1359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36__FDSAUDITLINK__" localSheetId="15" hidden="1">{"fdsup://Directions/FactSet Auditing Viewer?action=AUDIT_VALUE&amp;DB=129&amp;ID1=81235010&amp;VALUEID=01001&amp;SDATE=200601&amp;PERIODTYPE=QTR_STD&amp;window=popup_no_bar&amp;width=385&amp;height=120&amp;START_MAXIMIZED=FALSE&amp;creator=factset&amp;display_string=Audit"}</definedName>
    <definedName name="_136__FDSAUDITLINK__" hidden="1">{"fdsup://Directions/FactSet Auditing Viewer?action=AUDIT_VALUE&amp;DB=129&amp;ID1=25406710&amp;VALUEID=04601&amp;SDATE=2007&amp;PERIODTYPE=ANN_STD&amp;window=popup_no_bar&amp;width=385&amp;height=120&amp;START_MAXIMIZED=FALSE&amp;creator=factset&amp;display_string=Audit"}</definedName>
    <definedName name="_1360__FDSAUDITLINK__" localSheetId="15"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360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361__FDSAUDITLINK__" localSheetId="15" hidden="1">{"fdsup://Directions/FactSet Auditing Viewer?action=AUDIT_VALUE&amp;DB=129&amp;ID1=16890510&amp;VALUEID=13040&amp;SDATE=200602&amp;PERIODTYPE=QTR_STD&amp;window=popup_no_bar&amp;width=385&amp;height=120&amp;START_MAXIMIZED=FALSE&amp;creator=factset&amp;display_string=Audit"}</definedName>
    <definedName name="_1361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362__FDSAUDITLINK__" localSheetId="15" hidden="1">{"fdsup://Directions/FactSet Auditing Viewer?action=AUDIT_VALUE&amp;DB=129&amp;ID1=16890510&amp;VALUEID=13040&amp;SDATE=200601&amp;PERIODTYPE=QTR_STD&amp;window=popup_no_bar&amp;width=385&amp;height=120&amp;START_MAXIMIZED=FALSE&amp;creator=factset&amp;display_string=Audit"}</definedName>
    <definedName name="_1362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363__FDSAUDITLINK__" localSheetId="15" hidden="1">{"fdsup://Directions/FactSet Auditing Viewer?action=AUDIT_VALUE&amp;DB=129&amp;ID1=16890510&amp;VALUEID=13040&amp;SDATE=200603&amp;PERIODTYPE=QTR_STD&amp;window=popup_no_bar&amp;width=385&amp;height=120&amp;START_MAXIMIZED=FALSE&amp;creator=factset&amp;display_string=Audit"}</definedName>
    <definedName name="_1363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364__FDSAUDITLINK__" localSheetId="15" hidden="1">{"fdsup://Directions/FactSet Auditing Viewer?action=AUDIT_VALUE&amp;DB=129&amp;ID1=16890510&amp;VALUEID=13040&amp;SDATE=200702&amp;PERIODTYPE=QTR_STD&amp;window=popup_no_bar&amp;width=385&amp;height=120&amp;START_MAXIMIZED=FALSE&amp;creator=factset&amp;display_string=Audit"}</definedName>
    <definedName name="_1364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365__FDSAUDITLINK__" localSheetId="15" hidden="1">{"fdsup://Directions/FactSet Auditing Viewer?action=AUDIT_VALUE&amp;DB=129&amp;ID1=16890510&amp;VALUEID=13040&amp;SDATE=200701&amp;PERIODTYPE=QTR_STD&amp;window=popup_no_bar&amp;width=385&amp;height=120&amp;START_MAXIMIZED=FALSE&amp;creator=factset&amp;display_string=Audit"}</definedName>
    <definedName name="_1365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366__FDSAUDITLINK__" localSheetId="15" hidden="1">{"fdsup://Directions/FactSet Auditing Viewer?action=AUDIT_VALUE&amp;DB=129&amp;ID1=16890510&amp;VALUEID=13040&amp;SDATE=200703&amp;PERIODTYPE=QTR_STD&amp;window=popup_no_bar&amp;width=385&amp;height=120&amp;START_MAXIMIZED=FALSE&amp;creator=factset&amp;display_string=Audit"}</definedName>
    <definedName name="_1366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367__FDSAUDITLINK__" localSheetId="15" hidden="1">{"fdsup://Directions/FactSet Auditing Viewer?action=AUDIT_VALUE&amp;DB=129&amp;ID1=16890510&amp;VALUEID=13040&amp;SDATE=200802&amp;PERIODTYPE=QTR_STD&amp;window=popup_no_bar&amp;width=385&amp;height=120&amp;START_MAXIMIZED=FALSE&amp;creator=factset&amp;display_string=Audit"}</definedName>
    <definedName name="_1367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368__FDSAUDITLINK__" localSheetId="15" hidden="1">{"fdsup://Directions/FactSet Auditing Viewer?action=AUDIT_VALUE&amp;DB=129&amp;ID1=16890510&amp;VALUEID=13040&amp;SDATE=200801&amp;PERIODTYPE=QTR_STD&amp;window=popup_no_bar&amp;width=385&amp;height=120&amp;START_MAXIMIZED=FALSE&amp;creator=factset&amp;display_string=Audit"}</definedName>
    <definedName name="_1368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369__FDSAUDITLINK__" localSheetId="15" hidden="1">{"fdsup://Directions/FactSet Auditing Viewer?action=AUDIT_VALUE&amp;DB=129&amp;ID1=16890510&amp;VALUEID=13040&amp;SDATE=200803&amp;PERIODTYPE=QTR_STD&amp;window=popup_no_bar&amp;width=385&amp;height=120&amp;START_MAXIMIZED=FALSE&amp;creator=factset&amp;display_string=Audit"}</definedName>
    <definedName name="_1369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37__FDSAUDITLINK__" localSheetId="15" hidden="1">{"fdsup://Directions/FactSet Auditing Viewer?action=AUDIT_VALUE&amp;DB=129&amp;ID1=82434810&amp;VALUEID=01001&amp;SDATE=200903&amp;PERIODTYPE=QTR_STD&amp;window=popup_no_bar&amp;width=385&amp;height=120&amp;START_MAXIMIZED=FALSE&amp;creator=factset&amp;display_string=Audit"}</definedName>
    <definedName name="_137__FDSAUDITLINK__" hidden="1">{"fdsup://Directions/FactSet Auditing Viewer?action=AUDIT_VALUE&amp;DB=129&amp;ID1=25406710&amp;VALUEID=01001&amp;SDATE=2008&amp;PERIODTYPE=ANN_STD&amp;window=popup_no_bar&amp;width=385&amp;height=120&amp;START_MAXIMIZED=FALSE&amp;creator=factset&amp;display_string=Audit"}</definedName>
    <definedName name="_1370__FDSAUDITLINK__" localSheetId="15" hidden="1">{"fdsup://Directions/FactSet Auditing Viewer?action=AUDIT_VALUE&amp;DB=129&amp;ID1=16890510&amp;VALUEID=13040&amp;SDATE=200902&amp;PERIODTYPE=QTR_STD&amp;window=popup_no_bar&amp;width=385&amp;height=120&amp;START_MAXIMIZED=FALSE&amp;creator=factset&amp;display_string=Audit"}</definedName>
    <definedName name="_1370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371__FDSAUDITLINK__" localSheetId="15" hidden="1">{"fdsup://Directions/FactSet Auditing Viewer?action=AUDIT_VALUE&amp;DB=129&amp;ID1=16890510&amp;VALUEID=13040&amp;SDATE=200903&amp;PERIODTYPE=QTR_STD&amp;window=popup_no_bar&amp;width=385&amp;height=120&amp;START_MAXIMIZED=FALSE&amp;creator=factset&amp;display_string=Audit"}</definedName>
    <definedName name="_1371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372__FDSAUDITLINK__" localSheetId="15" hidden="1">{"fdsup://Directions/FactSet Auditing Viewer?action=AUDIT_VALUE&amp;DB=129&amp;ID1=16890510&amp;VALUEID=13040&amp;SDATE=201001&amp;PERIODTYPE=QTR_STD&amp;window=popup_no_bar&amp;width=385&amp;height=120&amp;START_MAXIMIZED=FALSE&amp;creator=factset&amp;display_string=Audit"}</definedName>
    <definedName name="_1372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373__FDSAUDITLINK__" localSheetId="15" hidden="1">{"fdsup://Directions/FactSet Auditing Viewer?action=AUDIT_VALUE&amp;DB=129&amp;ID1=87416110&amp;VALUEID=01001&amp;SDATE=201001&amp;PERIODTYPE=QTR_STD&amp;window=popup_no_bar&amp;width=385&amp;height=120&amp;START_MAXIMIZED=FALSE&amp;creator=factset&amp;display_string=Audit"}</definedName>
    <definedName name="_1373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374__FDSAUDITLINK__" localSheetId="15" hidden="1">{"fdsup://Directions/FactSet Auditing Viewer?action=AUDIT_VALUE&amp;DB=129&amp;ID1=46612H40&amp;VALUEID=01001&amp;SDATE=201001&amp;PERIODTYPE=QTR_STD&amp;window=popup_no_bar&amp;width=385&amp;height=120&amp;START_MAXIMIZED=FALSE&amp;creator=factset&amp;display_string=Audit"}</definedName>
    <definedName name="_1374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375__FDSAUDITLINK__" localSheetId="15" hidden="1">{"fdsup://Directions/FactSet Auditing Viewer?action=AUDIT_VALUE&amp;DB=129&amp;ID1=03611510&amp;VALUEID=01001&amp;SDATE=201001&amp;PERIODTYPE=QTR_STD&amp;window=popup_no_bar&amp;width=385&amp;height=120&amp;START_MAXIMIZED=FALSE&amp;creator=factset&amp;display_string=Audit"}</definedName>
    <definedName name="_1375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376__FDSAUDITLINK__" localSheetId="15" hidden="1">{"fdsup://Directions/FactSet Auditing Viewer?action=AUDIT_VALUE&amp;DB=129&amp;ID1=16890510&amp;VALUEID=01001&amp;SDATE=201001&amp;PERIODTYPE=QTR_STD&amp;window=popup_no_bar&amp;width=385&amp;height=120&amp;START_MAXIMIZED=FALSE&amp;creator=factset&amp;display_string=Audit"}</definedName>
    <definedName name="_1376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377__FDSAUDITLINK__" localSheetId="15" hidden="1">{"fdsup://Directions/FactSet Auditing Viewer?action=AUDIT_VALUE&amp;DB=129&amp;ID1=91704710&amp;VALUEID=01001&amp;SDATE=201001&amp;PERIODTYPE=QTR_STD&amp;window=popup_no_bar&amp;width=385&amp;height=120&amp;START_MAXIMIZED=FALSE&amp;creator=factset&amp;display_string=Audit"}</definedName>
    <definedName name="_1377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378__FDSAUDITLINK__" localSheetId="15" hidden="1">{"fdsup://Directions/FactSet Auditing Viewer?action=AUDIT_VALUE&amp;DB=129&amp;ID1=02553E10&amp;VALUEID=01001&amp;SDATE=201001&amp;PERIODTYPE=QTR_STD&amp;window=popup_no_bar&amp;width=385&amp;height=120&amp;START_MAXIMIZED=FALSE&amp;creator=factset&amp;display_string=Audit"}</definedName>
    <definedName name="_1378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379__FDSAUDITLINK__" localSheetId="15" hidden="1">{"fdsup://Directions/FactSet Auditing Viewer?action=AUDIT_VALUE&amp;DB=129&amp;ID1=00786510&amp;VALUEID=01001&amp;SDATE=201001&amp;PERIODTYPE=QTR_STD&amp;window=popup_no_bar&amp;width=385&amp;height=120&amp;START_MAXIMIZED=FALSE&amp;creator=factset&amp;display_string=Audit"}</definedName>
    <definedName name="_1379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38__FDSAUDITLINK__" localSheetId="15" hidden="1">{"fdsup://Directions/FactSet Auditing Viewer?action=AUDIT_VALUE&amp;DB=129&amp;ID1=82434810&amp;VALUEID=01001&amp;SDATE=200902&amp;PERIODTYPE=QTR_STD&amp;window=popup_no_bar&amp;width=385&amp;height=120&amp;START_MAXIMIZED=FALSE&amp;creator=factset&amp;display_string=Audit"}</definedName>
    <definedName name="_138__FDSAUDITLINK__" hidden="1">{"fdsup://Directions/FactSet Auditing Viewer?action=AUDIT_VALUE&amp;DB=129&amp;ID1=25406710&amp;VALUEID=04601&amp;SDATE=2008&amp;PERIODTYPE=ANN_STD&amp;window=popup_no_bar&amp;width=385&amp;height=120&amp;START_MAXIMIZED=FALSE&amp;creator=factset&amp;display_string=Audit"}</definedName>
    <definedName name="_1380__FDSAUDITLINK__" localSheetId="15" hidden="1">{"fdsup://Directions/FactSet Auditing Viewer?action=AUDIT_VALUE&amp;DB=129&amp;ID1=00289620&amp;VALUEID=01001&amp;SDATE=201001&amp;PERIODTYPE=QTR_STD&amp;window=popup_no_bar&amp;width=385&amp;height=120&amp;START_MAXIMIZED=FALSE&amp;creator=factset&amp;display_string=Audit"}</definedName>
    <definedName name="_1380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381__FDSAUDITLINK__" localSheetId="15" hidden="1">{"fdsup://Directions/FactSet Auditing Viewer?action=AUDIT_VALUE&amp;DB=129&amp;ID1=53271610&amp;VALUEID=01001&amp;SDATE=201001&amp;PERIODTYPE=QTR_STD&amp;window=popup_no_bar&amp;width=385&amp;height=120&amp;START_MAXIMIZED=FALSE&amp;creator=factset&amp;display_string=Audit"}</definedName>
    <definedName name="_1381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382__FDSAUDITLINK__" localSheetId="15" hidden="1">{"fdsup://Directions/FactSet Auditing Viewer?action=AUDIT_VALUE&amp;DB=129&amp;ID1=36476010&amp;VALUEID=01001&amp;SDATE=201001&amp;PERIODTYPE=QTR_STD&amp;window=popup_no_bar&amp;width=385&amp;height=120&amp;START_MAXIMIZED=FALSE&amp;creator=factset&amp;display_string=Audit"}</definedName>
    <definedName name="_1382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383__FDSAUDITLINK__" localSheetId="15" hidden="1">{"fdsup://Directions/FactSet Auditing Viewer?action=AUDIT_VALUE&amp;DB=129&amp;ID1=40377710&amp;VALUEID=01001&amp;SDATE=200601&amp;PERIODTYPE=QTR_STD&amp;window=popup_no_bar&amp;width=385&amp;height=120&amp;START_MAXIMIZED=FALSE&amp;creator=factset&amp;display_string=Audit"}</definedName>
    <definedName name="_1383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384__FDSAUDITLINK__" localSheetId="15" hidden="1">{"fdsup://Directions/FactSet Auditing Viewer?action=AUDIT_VALUE&amp;DB=129&amp;ID1=40377710&amp;VALUEID=02101&amp;SDATE=200601&amp;PERIODTYPE=QTR_STD&amp;window=popup_no_bar&amp;width=385&amp;height=120&amp;START_MAXIMIZED=FALSE&amp;creator=factset&amp;display_string=Audit"}</definedName>
    <definedName name="_1384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385__FDSAUDITLINK__" localSheetId="15" hidden="1">{"fdsup://Directions/FactSet Auditing Viewer?action=AUDIT_VALUE&amp;DB=129&amp;ID1=40377710&amp;VALUEID=01001&amp;SDATE=200602&amp;PERIODTYPE=QTR_STD&amp;window=popup_no_bar&amp;width=385&amp;height=120&amp;START_MAXIMIZED=FALSE&amp;creator=factset&amp;display_string=Audit"}</definedName>
    <definedName name="_1385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386__FDSAUDITLINK__" localSheetId="15" hidden="1">{"fdsup://Directions/FactSet Auditing Viewer?action=AUDIT_VALUE&amp;DB=129&amp;ID1=40377710&amp;VALUEID=02101&amp;SDATE=200602&amp;PERIODTYPE=QTR_STD&amp;window=popup_no_bar&amp;width=385&amp;height=120&amp;START_MAXIMIZED=FALSE&amp;creator=factset&amp;display_string=Audit"}</definedName>
    <definedName name="_1386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387__FDSAUDITLINK__" localSheetId="15" hidden="1">{"fdsup://Directions/FactSet Auditing Viewer?action=AUDIT_VALUE&amp;DB=129&amp;ID1=40377710&amp;VALUEID=01001&amp;SDATE=200603&amp;PERIODTYPE=QTR_STD&amp;window=popup_no_bar&amp;width=385&amp;height=120&amp;START_MAXIMIZED=FALSE&amp;creator=factset&amp;display_string=Audit"}</definedName>
    <definedName name="_1387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388__FDSAUDITLINK__" localSheetId="15" hidden="1">{"fdsup://Directions/FactSet Auditing Viewer?action=AUDIT_VALUE&amp;DB=129&amp;ID1=40377710&amp;VALUEID=02101&amp;SDATE=200603&amp;PERIODTYPE=QTR_STD&amp;window=popup_no_bar&amp;width=385&amp;height=120&amp;START_MAXIMIZED=FALSE&amp;creator=factset&amp;display_string=Audit"}</definedName>
    <definedName name="_1388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389__FDSAUDITLINK__" localSheetId="15" hidden="1">{"fdsup://Directions/FactSet Auditing Viewer?action=AUDIT_VALUE&amp;DB=129&amp;ID1=40377710&amp;VALUEID=01001&amp;SDATE=200604&amp;PERIODTYPE=QTR_STD&amp;window=popup_no_bar&amp;width=385&amp;height=120&amp;START_MAXIMIZED=FALSE&amp;creator=factset&amp;display_string=Audit"}</definedName>
    <definedName name="_1389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39__FDSAUDITLINK__" localSheetId="15" hidden="1">{"fdsup://Directions/FactSet Auditing Viewer?action=AUDIT_VALUE&amp;DB=129&amp;ID1=82434810&amp;VALUEID=01001&amp;SDATE=200901&amp;PERIODTYPE=QTR_STD&amp;window=popup_no_bar&amp;width=385&amp;height=120&amp;START_MAXIMIZED=FALSE&amp;creator=factset&amp;display_string=Audit"}</definedName>
    <definedName name="_139__FDSAUDITLINK__" hidden="1">{"fdsup://Directions/FactSet Auditing Viewer?action=AUDIT_VALUE&amp;DB=129&amp;ID1=97428030&amp;VALUEID=01001&amp;SDATE=2005&amp;PERIODTYPE=ANN_STD&amp;window=popup_no_bar&amp;width=385&amp;height=120&amp;START_MAXIMIZED=FALSE&amp;creator=factset&amp;display_string=Audit"}</definedName>
    <definedName name="_1390__FDSAUDITLINK__" localSheetId="15" hidden="1">{"fdsup://Directions/FactSet Auditing Viewer?action=AUDIT_VALUE&amp;DB=129&amp;ID1=40377710&amp;VALUEID=01001&amp;SDATE=200701&amp;PERIODTYPE=QTR_STD&amp;window=popup_no_bar&amp;width=385&amp;height=120&amp;START_MAXIMIZED=FALSE&amp;creator=factset&amp;display_string=Audit"}</definedName>
    <definedName name="_1390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391__FDSAUDITLINK__" localSheetId="15" hidden="1">{"fdsup://Directions/FactSet Auditing Viewer?action=AUDIT_VALUE&amp;DB=129&amp;ID1=40377710&amp;VALUEID=02101&amp;SDATE=200701&amp;PERIODTYPE=QTR_STD&amp;window=popup_no_bar&amp;width=385&amp;height=120&amp;START_MAXIMIZED=FALSE&amp;creator=factset&amp;display_string=Audit"}</definedName>
    <definedName name="_1391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392__FDSAUDITLINK__" localSheetId="15" hidden="1">{"fdsup://Directions/FactSet Auditing Viewer?action=AUDIT_VALUE&amp;DB=129&amp;ID1=40377710&amp;VALUEID=01001&amp;SDATE=200702&amp;PERIODTYPE=QTR_STD&amp;window=popup_no_bar&amp;width=385&amp;height=120&amp;START_MAXIMIZED=FALSE&amp;creator=factset&amp;display_string=Audit"}</definedName>
    <definedName name="_1392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393__FDSAUDITLINK__" localSheetId="15" hidden="1">{"fdsup://Directions/FactSet Auditing Viewer?action=AUDIT_VALUE&amp;DB=129&amp;ID1=40377710&amp;VALUEID=02101&amp;SDATE=200702&amp;PERIODTYPE=QTR_STD&amp;window=popup_no_bar&amp;width=385&amp;height=120&amp;START_MAXIMIZED=FALSE&amp;creator=factset&amp;display_string=Audit"}</definedName>
    <definedName name="_1393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394__FDSAUDITLINK__" localSheetId="15" hidden="1">{"fdsup://Directions/FactSet Auditing Viewer?action=AUDIT_VALUE&amp;DB=129&amp;ID1=40377710&amp;VALUEID=01001&amp;SDATE=200703&amp;PERIODTYPE=QTR_STD&amp;window=popup_no_bar&amp;width=385&amp;height=120&amp;START_MAXIMIZED=FALSE&amp;creator=factset&amp;display_string=Audit"}</definedName>
    <definedName name="_1394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395__FDSAUDITLINK__" localSheetId="15" hidden="1">{"fdsup://Directions/FactSet Auditing Viewer?action=AUDIT_VALUE&amp;DB=129&amp;ID1=40377710&amp;VALUEID=02101&amp;SDATE=200703&amp;PERIODTYPE=QTR_STD&amp;window=popup_no_bar&amp;width=385&amp;height=120&amp;START_MAXIMIZED=FALSE&amp;creator=factset&amp;display_string=Audit"}</definedName>
    <definedName name="_1395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396__FDSAUDITLINK__" localSheetId="15" hidden="1">{"fdsup://Directions/FactSet Auditing Viewer?action=AUDIT_VALUE&amp;DB=129&amp;ID1=40377710&amp;VALUEID=01001&amp;SDATE=200704&amp;PERIODTYPE=QTR_STD&amp;window=popup_no_bar&amp;width=385&amp;height=120&amp;START_MAXIMIZED=FALSE&amp;creator=factset&amp;display_string=Audit"}</definedName>
    <definedName name="_1396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397__FDSAUDITLINK__" localSheetId="15" hidden="1">{"fdsup://Directions/FactSet Auditing Viewer?action=AUDIT_VALUE&amp;DB=129&amp;ID1=40377710&amp;VALUEID=01001&amp;SDATE=200801&amp;PERIODTYPE=QTR_STD&amp;window=popup_no_bar&amp;width=385&amp;height=120&amp;START_MAXIMIZED=FALSE&amp;creator=factset&amp;display_string=Audit"}</definedName>
    <definedName name="_1397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398__FDSAUDITLINK__" localSheetId="15" hidden="1">{"fdsup://Directions/FactSet Auditing Viewer?action=AUDIT_VALUE&amp;DB=129&amp;ID1=40377710&amp;VALUEID=02101&amp;SDATE=200801&amp;PERIODTYPE=QTR_STD&amp;window=popup_no_bar&amp;width=385&amp;height=120&amp;START_MAXIMIZED=FALSE&amp;creator=factset&amp;display_string=Audit"}</definedName>
    <definedName name="_1398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399__FDSAUDITLINK__" localSheetId="15" hidden="1">{"fdsup://Directions/FactSet Auditing Viewer?action=AUDIT_VALUE&amp;DB=129&amp;ID1=40377710&amp;VALUEID=01001&amp;SDATE=200802&amp;PERIODTYPE=QTR_STD&amp;window=popup_no_bar&amp;width=385&amp;height=120&amp;START_MAXIMIZED=FALSE&amp;creator=factset&amp;display_string=Audit"}</definedName>
    <definedName name="_1399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4__123Graph_Dｸﾞﾗﾌ_1" hidden="1">[1]ｾｸﾞﾒﾝﾄ!$E$167:$I$167</definedName>
    <definedName name="_14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14__FDSAUDITLINK__" hidden="1">{"fdsup://Directions/FactSet Auditing Viewer?action=AUDIT_VALUE&amp;DB=129&amp;ID1=03783310&amp;VALUEID=04601&amp;SDATE=2006&amp;PERIODTYPE=ANN_STD&amp;window=popup_no_bar&amp;width=385&amp;height=120&amp;START_MAXIMIZED=FALSE&amp;creator=factset&amp;display_string=Audit"}</definedName>
    <definedName name="_140__FDSAUDITLINK__" localSheetId="15" hidden="1">{"fdsup://Directions/FactSet Auditing Viewer?action=AUDIT_VALUE&amp;DB=129&amp;ID1=82434810&amp;VALUEID=01001&amp;SDATE=200803&amp;PERIODTYPE=QTR_STD&amp;window=popup_no_bar&amp;width=385&amp;height=120&amp;START_MAXIMIZED=FALSE&amp;creator=factset&amp;display_string=Audit"}</definedName>
    <definedName name="_140__FDSAUDITLINK__" hidden="1">{"fdsup://Directions/FactSet Auditing Viewer?action=AUDIT_VALUE&amp;DB=129&amp;ID1=97428030&amp;VALUEID=04601&amp;SDATE=2005&amp;PERIODTYPE=ANN_STD&amp;window=popup_no_bar&amp;width=385&amp;height=120&amp;START_MAXIMIZED=FALSE&amp;creator=factset&amp;display_string=Audit"}</definedName>
    <definedName name="_1400__FDSAUDITLINK__" localSheetId="15" hidden="1">{"fdsup://Directions/FactSet Auditing Viewer?action=AUDIT_VALUE&amp;DB=129&amp;ID1=40377710&amp;VALUEID=02101&amp;SDATE=200802&amp;PERIODTYPE=QTR_STD&amp;window=popup_no_bar&amp;width=385&amp;height=120&amp;START_MAXIMIZED=FALSE&amp;creator=factset&amp;display_string=Audit"}</definedName>
    <definedName name="_1400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401__FDSAUDITLINK__" localSheetId="15" hidden="1">{"fdsup://Directions/FactSet Auditing Viewer?action=AUDIT_VALUE&amp;DB=129&amp;ID1=40377710&amp;VALUEID=01001&amp;SDATE=200803&amp;PERIODTYPE=QTR_STD&amp;window=popup_no_bar&amp;width=385&amp;height=120&amp;START_MAXIMIZED=FALSE&amp;creator=factset&amp;display_string=Audit"}</definedName>
    <definedName name="_1401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402__FDSAUDITLINK__" localSheetId="15" hidden="1">{"fdsup://Directions/FactSet Auditing Viewer?action=AUDIT_VALUE&amp;DB=129&amp;ID1=40377710&amp;VALUEID=02101&amp;SDATE=200803&amp;PERIODTYPE=QTR_STD&amp;window=popup_no_bar&amp;width=385&amp;height=120&amp;START_MAXIMIZED=FALSE&amp;creator=factset&amp;display_string=Audit"}</definedName>
    <definedName name="_1402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403__FDSAUDITLINK__" localSheetId="15" hidden="1">{"fdsup://Directions/FactSet Auditing Viewer?action=AUDIT_VALUE&amp;DB=129&amp;ID1=40377710&amp;VALUEID=01001&amp;SDATE=200804&amp;PERIODTYPE=QTR_STD&amp;window=popup_no_bar&amp;width=385&amp;height=120&amp;START_MAXIMIZED=FALSE&amp;creator=factset&amp;display_string=Audit"}</definedName>
    <definedName name="_1403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404__FDSAUDITLINK__" localSheetId="15" hidden="1">{"fdsup://Directions/FactSet Auditing Viewer?action=AUDIT_VALUE&amp;DB=129&amp;ID1=40377710&amp;VALUEID=01001&amp;SDATE=200901&amp;PERIODTYPE=QTR_STD&amp;window=popup_no_bar&amp;width=385&amp;height=120&amp;START_MAXIMIZED=FALSE&amp;creator=factset&amp;display_string=Audit"}</definedName>
    <definedName name="_1404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405__FDSAUDITLINK__" localSheetId="15" hidden="1">{"fdsup://Directions/FactSet Auditing Viewer?action=AUDIT_VALUE&amp;DB=129&amp;ID1=40377710&amp;VALUEID=02101&amp;SDATE=200901&amp;PERIODTYPE=QTR_STD&amp;window=popup_no_bar&amp;width=385&amp;height=120&amp;START_MAXIMIZED=FALSE&amp;creator=factset&amp;display_string=Audit"}</definedName>
    <definedName name="_1405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406__FDSAUDITLINK__" localSheetId="15" hidden="1">{"fdsup://Directions/FactSet Auditing Viewer?action=AUDIT_VALUE&amp;DB=129&amp;ID1=40377710&amp;VALUEID=01001&amp;SDATE=200902&amp;PERIODTYPE=QTR_STD&amp;window=popup_no_bar&amp;width=385&amp;height=120&amp;START_MAXIMIZED=FALSE&amp;creator=factset&amp;display_string=Audit"}</definedName>
    <definedName name="_1406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407__FDSAUDITLINK__" localSheetId="15" hidden="1">{"fdsup://Directions/FactSet Auditing Viewer?action=AUDIT_VALUE&amp;DB=129&amp;ID1=40377710&amp;VALUEID=02101&amp;SDATE=200902&amp;PERIODTYPE=QTR_STD&amp;window=popup_no_bar&amp;width=385&amp;height=120&amp;START_MAXIMIZED=FALSE&amp;creator=factset&amp;display_string=Audit"}</definedName>
    <definedName name="_1407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408__FDSAUDITLINK__" localSheetId="15" hidden="1">{"fdsup://Directions/FactSet Auditing Viewer?action=AUDIT_VALUE&amp;DB=129&amp;ID1=40377710&amp;VALUEID=01001&amp;SDATE=200903&amp;PERIODTYPE=QTR_STD&amp;window=popup_no_bar&amp;width=385&amp;height=120&amp;START_MAXIMIZED=FALSE&amp;creator=factset&amp;display_string=Audit"}</definedName>
    <definedName name="_1408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409__FDSAUDITLINK__" localSheetId="15" hidden="1">{"fdsup://Directions/FactSet Auditing Viewer?action=AUDIT_VALUE&amp;DB=129&amp;ID1=40377710&amp;VALUEID=02101&amp;SDATE=200903&amp;PERIODTYPE=QTR_STD&amp;window=popup_no_bar&amp;width=385&amp;height=120&amp;START_MAXIMIZED=FALSE&amp;creator=factset&amp;display_string=Audit"}</definedName>
    <definedName name="_1409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41__FDSAUDITLINK__" localSheetId="15" hidden="1">{"fdsup://Directions/FactSet Auditing Viewer?action=AUDIT_VALUE&amp;DB=129&amp;ID1=82434810&amp;VALUEID=01001&amp;SDATE=200802&amp;PERIODTYPE=QTR_STD&amp;window=popup_no_bar&amp;width=385&amp;height=120&amp;START_MAXIMIZED=FALSE&amp;creator=factset&amp;display_string=Audit"}</definedName>
    <definedName name="_141__FDSAUDITLINK__" hidden="1">{"fdsup://Directions/FactSet Auditing Viewer?action=AUDIT_VALUE&amp;DB=129&amp;ID1=97428030&amp;VALUEID=01001&amp;SDATE=2006&amp;PERIODTYPE=ANN_STD&amp;window=popup_no_bar&amp;width=385&amp;height=120&amp;START_MAXIMIZED=FALSE&amp;creator=factset&amp;display_string=Audit"}</definedName>
    <definedName name="_1410__FDSAUDITLINK__" localSheetId="15" hidden="1">{"fdsup://Directions/FactSet Auditing Viewer?action=AUDIT_VALUE&amp;DB=129&amp;ID1=40377710&amp;VALUEID=01001&amp;SDATE=200904&amp;PERIODTYPE=QTR_STD&amp;window=popup_no_bar&amp;width=385&amp;height=120&amp;START_MAXIMIZED=FALSE&amp;creator=factset&amp;display_string=Audit"}</definedName>
    <definedName name="_1410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411__FDSAUDITLINK__" localSheetId="15" hidden="1">{"fdsup://Directions/FactSet Auditing Viewer?action=AUDIT_VALUE&amp;DB=129&amp;ID1=40377710&amp;VALUEID=01001&amp;SDATE=201001&amp;PERIODTYPE=QTR_STD&amp;window=popup_no_bar&amp;width=385&amp;height=120&amp;START_MAXIMIZED=FALSE&amp;creator=factset&amp;display_string=Audit"}</definedName>
    <definedName name="_141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412__FDSAUDITLINK__" localSheetId="15" hidden="1">{"fdsup://Directions/FactSet Auditing Viewer?action=AUDIT_VALUE&amp;DB=129&amp;ID1=40377710&amp;VALUEID=02101&amp;SDATE=201001&amp;PERIODTYPE=QTR_STD&amp;window=popup_no_bar&amp;width=385&amp;height=120&amp;START_MAXIMIZED=FALSE&amp;creator=factset&amp;display_string=Audit"}</definedName>
    <definedName name="_1412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413__FDSAUDITLINK__" localSheetId="15"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41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414__FDSAUDITLINK__" localSheetId="15"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41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415__FDSAUDITLINK__" localSheetId="15"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41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416__FDSAUDITLINK__" localSheetId="15"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41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417__FDSAUDITLINK__" localSheetId="15"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41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418__FDSAUDITLINK__" localSheetId="15"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41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419__FDSAUDITLINK__" localSheetId="15"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41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42__FDSAUDITLINK__" localSheetId="15" hidden="1">{"fdsup://Directions/FactSet Auditing Viewer?action=AUDIT_VALUE&amp;DB=129&amp;ID1=82434810&amp;VALUEID=01001&amp;SDATE=200801&amp;PERIODTYPE=QTR_STD&amp;window=popup_no_bar&amp;width=385&amp;height=120&amp;START_MAXIMIZED=FALSE&amp;creator=factset&amp;display_string=Audit"}</definedName>
    <definedName name="_142__FDSAUDITLINK__" hidden="1">{"fdsup://Directions/FactSet Auditing Viewer?action=AUDIT_VALUE&amp;DB=129&amp;ID1=97428030&amp;VALUEID=04601&amp;SDATE=2006&amp;PERIODTYPE=ANN_STD&amp;window=popup_no_bar&amp;width=385&amp;height=120&amp;START_MAXIMIZED=FALSE&amp;creator=factset&amp;display_string=Audit"}</definedName>
    <definedName name="_1420__FDSAUDITLINK__" localSheetId="15"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42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421__FDSAUDITLINK__" localSheetId="15"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42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422__FDSAUDITLINK__" localSheetId="15"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42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423__FDSAUDITLINK__" localSheetId="15"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42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424__FDSAUDITLINK__" localSheetId="15"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42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425__FDSAUDITLINK__" localSheetId="15"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42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426__FDSAUDITLINK__" localSheetId="15"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42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427__FDSAUDITLINK__" localSheetId="15"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42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428__FDSAUDITLINK__" localSheetId="15"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42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429__FDSAUDITLINK__" localSheetId="15"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42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43__FDSAUDITLINK__" localSheetId="15" hidden="1">{"fdsup://Directions/FactSet Auditing Viewer?action=AUDIT_VALUE&amp;DB=129&amp;ID1=82434810&amp;VALUEID=01001&amp;SDATE=200704&amp;PERIODTYPE=QTR_STD&amp;window=popup_no_bar&amp;width=385&amp;height=120&amp;START_MAXIMIZED=FALSE&amp;creator=factset&amp;display_string=Audit"}</definedName>
    <definedName name="_143__FDSAUDITLINK__" hidden="1">{"fdsup://Directions/FactSet Auditing Viewer?action=AUDIT_VALUE&amp;DB=129&amp;ID1=97428030&amp;VALUEID=01001&amp;SDATE=2008&amp;PERIODTYPE=ANN_STD&amp;window=popup_no_bar&amp;width=385&amp;height=120&amp;START_MAXIMIZED=FALSE&amp;creator=factset&amp;display_string=Audit"}</definedName>
    <definedName name="_1430__FDSAUDITLINK__" localSheetId="15"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43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431__FDSAUDITLINK__" localSheetId="15"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43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432__FDSAUDITLINK__" localSheetId="15"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143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1433__FDSAUDITLINK__" localSheetId="15"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143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1434__FDSAUDITLINK__" localSheetId="15"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143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1435__FDSAUDITLINK__" localSheetId="15"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143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1436__FDSAUDITLINK__" localSheetId="15"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143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1437__FDSAUDITLINK__" localSheetId="15"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143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1438__FDSAUDITLINK__" localSheetId="15"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143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1439__FDSAUDITLINK__" localSheetId="15"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143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144__FDSAUDITLINK__" localSheetId="15" hidden="1">{"fdsup://Directions/FactSet Auditing Viewer?action=AUDIT_VALUE&amp;DB=129&amp;ID1=82434810&amp;VALUEID=01001&amp;SDATE=200703&amp;PERIODTYPE=QTR_STD&amp;window=popup_no_bar&amp;width=385&amp;height=120&amp;START_MAXIMIZED=FALSE&amp;creator=factset&amp;display_string=Audit"}</definedName>
    <definedName name="_144__FDSAUDITLINK__" hidden="1">{"fdsup://Directions/FactSet Auditing Viewer?action=AUDIT_VALUE&amp;DB=129&amp;ID1=97428030&amp;VALUEID=04601&amp;SDATE=2008&amp;PERIODTYPE=ANN_STD&amp;window=popup_no_bar&amp;width=385&amp;height=120&amp;START_MAXIMIZED=FALSE&amp;creator=factset&amp;display_string=Audit"}</definedName>
    <definedName name="_1440__FDSAUDITLINK__" localSheetId="15" hidden="1">{"fdsup://Directions/FactSet Auditing Viewer?action=AUDIT_VALUE&amp;DB=129&amp;ID1=40377710&amp;VALUEID=13040&amp;SDATE=200802&amp;PERIODTYPE=QTR_STD&amp;window=popup_no_bar&amp;width=385&amp;height=120&amp;START_MAXIMIZED=FALSE&amp;creator=factset&amp;display_string=Audit"}</definedName>
    <definedName name="_1440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1441__FDSAUDITLINK__" localSheetId="15"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1441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1442__FDSAUDITLINK__" localSheetId="15" hidden="1">{"fdsup://Directions/FactSet Auditing Viewer?action=AUDIT_VALUE&amp;DB=129&amp;ID1=40377710&amp;VALUEID=13040&amp;SDATE=200803&amp;PERIODTYPE=QTR_STD&amp;window=popup_no_bar&amp;width=385&amp;height=120&amp;START_MAXIMIZED=FALSE&amp;creator=factset&amp;display_string=Audit"}</definedName>
    <definedName name="_144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1443__FDSAUDITLINK__" localSheetId="15"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1443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1444__FDSAUDITLINK__" localSheetId="15"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1444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1445__FDSAUDITLINK__" localSheetId="15" hidden="1">{"fdsup://Directions/FactSet Auditing Viewer?action=AUDIT_VALUE&amp;DB=129&amp;ID1=40377710&amp;VALUEID=13040&amp;SDATE=200901&amp;PERIODTYPE=QTR_STD&amp;window=popup_no_bar&amp;width=385&amp;height=120&amp;START_MAXIMIZED=FALSE&amp;creator=factset&amp;display_string=Audit"}</definedName>
    <definedName name="_1445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1446__FDSAUDITLINK__" localSheetId="15"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1446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1447__FDSAUDITLINK__" localSheetId="15" hidden="1">{"fdsup://Directions/FactSet Auditing Viewer?action=AUDIT_VALUE&amp;DB=129&amp;ID1=40377710&amp;VALUEID=13040&amp;SDATE=201001&amp;PERIODTYPE=QTR_STD&amp;window=popup_no_bar&amp;width=385&amp;height=120&amp;START_MAXIMIZED=FALSE&amp;creator=factset&amp;display_string=Audit"}</definedName>
    <definedName name="_1447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1448__FDSAUDITLINK__" localSheetId="15" hidden="1">{"fdsup://Directions/FactSet Auditing Viewer?action=AUDIT_VALUE&amp;DB=129&amp;ID1=40377710&amp;VALUEID=13040&amp;SDATE=200602&amp;PERIODTYPE=QTR_STD&amp;window=popup_no_bar&amp;width=385&amp;height=120&amp;START_MAXIMIZED=FALSE&amp;creator=factset&amp;display_string=Audit"}</definedName>
    <definedName name="_14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1449__FDSAUDITLINK__" localSheetId="15" hidden="1">{"fdsup://Directions/FactSet Auditing Viewer?action=AUDIT_VALUE&amp;DB=129&amp;ID1=40377710&amp;VALUEID=13040&amp;SDATE=200601&amp;PERIODTYPE=QTR_STD&amp;window=popup_no_bar&amp;width=385&amp;height=120&amp;START_MAXIMIZED=FALSE&amp;creator=factset&amp;display_string=Audit"}</definedName>
    <definedName name="_144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145__FDSAUDITLINK__" localSheetId="15" hidden="1">{"fdsup://Directions/FactSet Auditing Viewer?action=AUDIT_VALUE&amp;DB=129&amp;ID1=82434810&amp;VALUEID=01001&amp;SDATE=200702&amp;PERIODTYPE=QTR_STD&amp;window=popup_no_bar&amp;width=385&amp;height=120&amp;START_MAXIMIZED=FALSE&amp;creator=factset&amp;display_string=Audit"}</definedName>
    <definedName name="_145__FDSAUDITLINK__" hidden="1">{"fdsup://Directions/FactSet Auditing Viewer?action=AUDIT_VALUE&amp;DB=129&amp;ID1=97428030&amp;VALUEID=01001&amp;SDATE=2009&amp;PERIODTYPE=ANN_STD&amp;window=popup_no_bar&amp;width=385&amp;height=120&amp;START_MAXIMIZED=FALSE&amp;creator=factset&amp;display_string=Audit"}</definedName>
    <definedName name="_1450__FDSAUDITLINK__" localSheetId="15"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145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1451__FDSAUDITLINK__" localSheetId="15" hidden="1">{"fdsup://Directions/FactSet Auditing Viewer?action=AUDIT_VALUE&amp;DB=129&amp;ID1=40377710&amp;VALUEID=13040&amp;SDATE=200603&amp;PERIODTYPE=QTR_STD&amp;window=popup_no_bar&amp;width=385&amp;height=120&amp;START_MAXIMIZED=FALSE&amp;creator=factset&amp;display_string=Audit"}</definedName>
    <definedName name="_14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1452__FDSAUDITLINK__" localSheetId="15" hidden="1">{"fdsup://Directions/FactSet Auditing Viewer?action=AUDIT_VALUE&amp;DB=129&amp;ID1=40377710&amp;VALUEID=13040&amp;SDATE=200702&amp;PERIODTYPE=QTR_STD&amp;window=popup_no_bar&amp;width=385&amp;height=120&amp;START_MAXIMIZED=FALSE&amp;creator=factset&amp;display_string=Audit"}</definedName>
    <definedName name="_1452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1453__FDSAUDITLINK__" localSheetId="15" hidden="1">{"fdsup://Directions/FactSet Auditing Viewer?action=AUDIT_VALUE&amp;DB=129&amp;ID1=40377710&amp;VALUEID=13040&amp;SDATE=200701&amp;PERIODTYPE=QTR_STD&amp;window=popup_no_bar&amp;width=385&amp;height=120&amp;START_MAXIMIZED=FALSE&amp;creator=factset&amp;display_string=Audit"}</definedName>
    <definedName name="_1453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1454__FDSAUDITLINK__" localSheetId="15"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145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1455__FDSAUDITLINK__" localSheetId="15" hidden="1">{"fdsup://Directions/FactSet Auditing Viewer?action=AUDIT_VALUE&amp;DB=129&amp;ID1=40377710&amp;VALUEID=13040&amp;SDATE=200703&amp;PERIODTYPE=QTR_STD&amp;window=popup_no_bar&amp;width=385&amp;height=120&amp;START_MAXIMIZED=FALSE&amp;creator=factset&amp;display_string=Audit"}</definedName>
    <definedName name="_1455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1456__FDSAUDITLINK__" localSheetId="15" hidden="1">{"fdsup://Directions/FactSet Auditing Viewer?action=AUDIT_VALUE&amp;DB=129&amp;ID1=40377710&amp;VALUEID=13040&amp;SDATE=200801&amp;PERIODTYPE=QTR_STD&amp;window=popup_no_bar&amp;width=385&amp;height=120&amp;START_MAXIMIZED=FALSE&amp;creator=factset&amp;display_string=Audit"}</definedName>
    <definedName name="_145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1457__FDSAUDITLINK__" localSheetId="15" hidden="1">{"fdsup://Directions/FactSet Auditing Viewer?action=AUDIT_VALUE&amp;DB=129&amp;ID1=40377710&amp;VALUEID=13040&amp;SDATE=200704&amp;PERIODTYPE=QTR_STD&amp;window=popup_no_bar&amp;width=385&amp;height=120&amp;START_MAXIMIZED=FALSE&amp;creator=factset&amp;display_string=Audit"}</definedName>
    <definedName name="_1457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1458__FDSAUDITLINK__" localSheetId="15"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145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1459__FDSAUDITLINK__" localSheetId="15" hidden="1">{"fdsup://Directions/FactSet Auditing Viewer?action=AUDIT_VALUE&amp;DB=129&amp;ID1=40377710&amp;VALUEID=13040&amp;SDATE=200903&amp;PERIODTYPE=QTR_STD&amp;window=popup_no_bar&amp;width=385&amp;height=120&amp;START_MAXIMIZED=FALSE&amp;creator=factset&amp;display_string=Audit"}</definedName>
    <definedName name="_1459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146__FDSAUDITLINK__" localSheetId="15" hidden="1">{"fdsup://Directions/FactSet Auditing Viewer?action=AUDIT_VALUE&amp;DB=129&amp;ID1=82434810&amp;VALUEID=01001&amp;SDATE=200701&amp;PERIODTYPE=QTR_STD&amp;window=popup_no_bar&amp;width=385&amp;height=120&amp;START_MAXIMIZED=FALSE&amp;creator=factset&amp;display_string=Audit"}</definedName>
    <definedName name="_146__FDSAUDITLINK__" hidden="1">{"fdsup://Directions/FactSet Auditing Viewer?action=AUDIT_VALUE&amp;DB=129&amp;ID1=97428030&amp;VALUEID=04601&amp;SDATE=2009&amp;PERIODTYPE=ANN_STD&amp;window=popup_no_bar&amp;width=385&amp;height=120&amp;START_MAXIMIZED=FALSE&amp;creator=factset&amp;display_string=Audit"}</definedName>
    <definedName name="_1460__FDSAUDITLINK__" localSheetId="15" hidden="1">{"fdsup://Directions/FactSet Auditing Viewer?action=AUDIT_VALUE&amp;DB=129&amp;ID1=40377710&amp;VALUEID=13040&amp;SDATE=200902&amp;PERIODTYPE=QTR_STD&amp;window=popup_no_bar&amp;width=385&amp;height=120&amp;START_MAXIMIZED=FALSE&amp;creator=factset&amp;display_string=Audit"}</definedName>
    <definedName name="_146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1461__FDSAUDITLINK__" localSheetId="15" hidden="1">{"fdsup://Directions/FactSet Auditing Viewer?action=AUDIT_VALUE&amp;DB=129&amp;ID1=58711810&amp;VALUEID=13040&amp;SDATE=200601&amp;PERIODTYPE=QTR_STD&amp;window=popup_no_bar&amp;width=385&amp;height=120&amp;START_MAXIMIZED=FALSE&amp;creator=factset&amp;display_string=Audit"}</definedName>
    <definedName name="_1461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1462__FDSAUDITLINK__" localSheetId="15" hidden="1">{"fdsup://Directions/FactSet Auditing Viewer?action=AUDIT_VALUE&amp;DB=129&amp;ID1=58711810&amp;VALUEID=01001&amp;SDATE=200601&amp;PERIODTYPE=QTR_STD&amp;window=popup_no_bar&amp;width=385&amp;height=120&amp;START_MAXIMIZED=FALSE&amp;creator=factset&amp;display_string=Audit"}</definedName>
    <definedName name="_1462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1463__FDSAUDITLINK__" localSheetId="15" hidden="1">{"fdsup://Directions/FactSet Auditing Viewer?action=AUDIT_VALUE&amp;DB=129&amp;ID1=58711810&amp;VALUEID=02101&amp;SDATE=200601&amp;PERIODTYPE=QTR_STD&amp;window=popup_no_bar&amp;width=385&amp;height=120&amp;START_MAXIMIZED=FALSE&amp;creator=factset&amp;display_string=Audit"}</definedName>
    <definedName name="_1463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1464__FDSAUDITLINK__" localSheetId="15" hidden="1">{"fdsup://Directions/FactSet Auditing Viewer?action=AUDIT_VALUE&amp;DB=129&amp;ID1=58711810&amp;VALUEID=13040&amp;SDATE=200602&amp;PERIODTYPE=QTR_STD&amp;window=popup_no_bar&amp;width=385&amp;height=120&amp;START_MAXIMIZED=FALSE&amp;creator=factset&amp;display_string=Audit"}</definedName>
    <definedName name="_146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1465__FDSAUDITLINK__" localSheetId="15" hidden="1">{"fdsup://Directions/FactSet Auditing Viewer?action=AUDIT_VALUE&amp;DB=129&amp;ID1=58711810&amp;VALUEID=01001&amp;SDATE=200602&amp;PERIODTYPE=QTR_STD&amp;window=popup_no_bar&amp;width=385&amp;height=120&amp;START_MAXIMIZED=FALSE&amp;creator=factset&amp;display_string=Audit"}</definedName>
    <definedName name="_146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1466__FDSAUDITLINK__" localSheetId="15" hidden="1">{"fdsup://Directions/FactSet Auditing Viewer?action=AUDIT_VALUE&amp;DB=129&amp;ID1=58711810&amp;VALUEID=02101&amp;SDATE=200602&amp;PERIODTYPE=QTR_STD&amp;window=popup_no_bar&amp;width=385&amp;height=120&amp;START_MAXIMIZED=FALSE&amp;creator=factset&amp;display_string=Audit"}</definedName>
    <definedName name="_146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1467__FDSAUDITLINK__" localSheetId="15" hidden="1">{"fdsup://Directions/FactSet Auditing Viewer?action=AUDIT_VALUE&amp;DB=129&amp;ID1=58711810&amp;VALUEID=13040&amp;SDATE=200603&amp;PERIODTYPE=QTR_STD&amp;window=popup_no_bar&amp;width=385&amp;height=120&amp;START_MAXIMIZED=FALSE&amp;creator=factset&amp;display_string=Audit"}</definedName>
    <definedName name="_146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1468__FDSAUDITLINK__" localSheetId="15" hidden="1">{"fdsup://Directions/FactSet Auditing Viewer?action=AUDIT_VALUE&amp;DB=129&amp;ID1=58711810&amp;VALUEID=01001&amp;SDATE=200603&amp;PERIODTYPE=QTR_STD&amp;window=popup_no_bar&amp;width=385&amp;height=120&amp;START_MAXIMIZED=FALSE&amp;creator=factset&amp;display_string=Audit"}</definedName>
    <definedName name="_1468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1469__FDSAUDITLINK__" localSheetId="15" hidden="1">{"fdsup://Directions/FactSet Auditing Viewer?action=AUDIT_VALUE&amp;DB=129&amp;ID1=58711810&amp;VALUEID=02101&amp;SDATE=200603&amp;PERIODTYPE=QTR_STD&amp;window=popup_no_bar&amp;width=385&amp;height=120&amp;START_MAXIMIZED=FALSE&amp;creator=factset&amp;display_string=Audit"}</definedName>
    <definedName name="_1469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147__FDSAUDITLINK__" localSheetId="15" hidden="1">{"fdsup://Directions/FactSet Auditing Viewer?action=AUDIT_VALUE&amp;DB=129&amp;ID1=82434810&amp;VALUEID=01001&amp;SDATE=200603&amp;PERIODTYPE=QTR_STD&amp;window=popup_no_bar&amp;width=385&amp;height=120&amp;START_MAXIMIZED=FALSE&amp;creator=factset&amp;display_string=Audit"}</definedName>
    <definedName name="_147__FDSAUDITLINK__" hidden="1">{"fdsup://Directions/FactSet Auditing Viewer?action=AUDIT_VALUE&amp;DB=129&amp;ID1=09367910&amp;VALUEID=01001&amp;SDATE=2005&amp;PERIODTYPE=ANN_STD&amp;window=popup_no_bar&amp;width=385&amp;height=120&amp;START_MAXIMIZED=FALSE&amp;creator=factset&amp;display_string=Audit"}</definedName>
    <definedName name="_1470__FDSAUDITLINK__" localSheetId="15" hidden="1">{"fdsup://Directions/FactSet Auditing Viewer?action=AUDIT_VALUE&amp;DB=129&amp;ID1=58711810&amp;VALUEID=01001&amp;SDATE=200604&amp;PERIODTYPE=QTR_STD&amp;window=popup_no_bar&amp;width=385&amp;height=120&amp;START_MAXIMIZED=FALSE&amp;creator=factset&amp;display_string=Audit"}</definedName>
    <definedName name="_1470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1471__FDSAUDITLINK__" localSheetId="15" hidden="1">{"fdsup://Directions/FactSet Auditing Viewer?action=AUDIT_VALUE&amp;DB=129&amp;ID1=58711810&amp;VALUEID=13040&amp;SDATE=200701&amp;PERIODTYPE=QTR_STD&amp;window=popup_no_bar&amp;width=385&amp;height=120&amp;START_MAXIMIZED=FALSE&amp;creator=factset&amp;display_string=Audit"}</definedName>
    <definedName name="_1471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1472__FDSAUDITLINK__" localSheetId="15" hidden="1">{"fdsup://Directions/FactSet Auditing Viewer?action=AUDIT_VALUE&amp;DB=129&amp;ID1=58711810&amp;VALUEID=01001&amp;SDATE=200701&amp;PERIODTYPE=QTR_STD&amp;window=popup_no_bar&amp;width=385&amp;height=120&amp;START_MAXIMIZED=FALSE&amp;creator=factset&amp;display_string=Audit"}</definedName>
    <definedName name="_1472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1473__FDSAUDITLINK__" localSheetId="15" hidden="1">{"fdsup://Directions/FactSet Auditing Viewer?action=AUDIT_VALUE&amp;DB=129&amp;ID1=58711810&amp;VALUEID=02101&amp;SDATE=200701&amp;PERIODTYPE=QTR_STD&amp;window=popup_no_bar&amp;width=385&amp;height=120&amp;START_MAXIMIZED=FALSE&amp;creator=factset&amp;display_string=Audit"}</definedName>
    <definedName name="_1473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1474__FDSAUDITLINK__" localSheetId="15" hidden="1">{"fdsup://Directions/FactSet Auditing Viewer?action=AUDIT_VALUE&amp;DB=129&amp;ID1=58711810&amp;VALUEID=13040&amp;SDATE=200702&amp;PERIODTYPE=QTR_STD&amp;window=popup_no_bar&amp;width=385&amp;height=120&amp;START_MAXIMIZED=FALSE&amp;creator=factset&amp;display_string=Audit"}</definedName>
    <definedName name="_147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1475__FDSAUDITLINK__" localSheetId="15" hidden="1">{"fdsup://Directions/FactSet Auditing Viewer?action=AUDIT_VALUE&amp;DB=129&amp;ID1=58711810&amp;VALUEID=01001&amp;SDATE=200702&amp;PERIODTYPE=QTR_STD&amp;window=popup_no_bar&amp;width=385&amp;height=120&amp;START_MAXIMIZED=FALSE&amp;creator=factset&amp;display_string=Audit"}</definedName>
    <definedName name="_1475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1476__FDSAUDITLINK__" localSheetId="15" hidden="1">{"fdsup://Directions/FactSet Auditing Viewer?action=AUDIT_VALUE&amp;DB=129&amp;ID1=58711810&amp;VALUEID=02101&amp;SDATE=200702&amp;PERIODTYPE=QTR_STD&amp;window=popup_no_bar&amp;width=385&amp;height=120&amp;START_MAXIMIZED=FALSE&amp;creator=factset&amp;display_string=Audit"}</definedName>
    <definedName name="_1476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1477__FDSAUDITLINK__" localSheetId="15" hidden="1">{"fdsup://Directions/FactSet Auditing Viewer?action=AUDIT_VALUE&amp;DB=129&amp;ID1=58711810&amp;VALUEID=13040&amp;SDATE=200703&amp;PERIODTYPE=QTR_STD&amp;window=popup_no_bar&amp;width=385&amp;height=120&amp;START_MAXIMIZED=FALSE&amp;creator=factset&amp;display_string=Audit"}</definedName>
    <definedName name="_1477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1478__FDSAUDITLINK__" localSheetId="15" hidden="1">{"fdsup://Directions/FactSet Auditing Viewer?action=AUDIT_VALUE&amp;DB=129&amp;ID1=58711810&amp;VALUEID=01001&amp;SDATE=200703&amp;PERIODTYPE=QTR_STD&amp;window=popup_no_bar&amp;width=385&amp;height=120&amp;START_MAXIMIZED=FALSE&amp;creator=factset&amp;display_string=Audit"}</definedName>
    <definedName name="_1478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1479__FDSAUDITLINK__" localSheetId="15" hidden="1">{"fdsup://Directions/FactSet Auditing Viewer?action=AUDIT_VALUE&amp;DB=129&amp;ID1=58711810&amp;VALUEID=02101&amp;SDATE=200703&amp;PERIODTYPE=QTR_STD&amp;window=popup_no_bar&amp;width=385&amp;height=120&amp;START_MAXIMIZED=FALSE&amp;creator=factset&amp;display_string=Audit"}</definedName>
    <definedName name="_1479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148__FDSAUDITLINK__" localSheetId="15" hidden="1">{"fdsup://Directions/FactSet Auditing Viewer?action=AUDIT_VALUE&amp;DB=129&amp;ID1=82434810&amp;VALUEID=01001&amp;SDATE=200602&amp;PERIODTYPE=QTR_STD&amp;window=popup_no_bar&amp;width=385&amp;height=120&amp;START_MAXIMIZED=FALSE&amp;creator=factset&amp;display_string=Audit"}</definedName>
    <definedName name="_148__FDSAUDITLINK__" hidden="1">{"fdsup://Directions/FactSet Auditing Viewer?action=AUDIT_VALUE&amp;DB=129&amp;ID1=09367910&amp;VALUEID=04601&amp;SDATE=2005&amp;PERIODTYPE=ANN_STD&amp;window=popup_no_bar&amp;width=385&amp;height=120&amp;START_MAXIMIZED=FALSE&amp;creator=factset&amp;display_string=Audit"}</definedName>
    <definedName name="_1480__FDSAUDITLINK__" localSheetId="15" hidden="1">{"fdsup://Directions/FactSet Auditing Viewer?action=AUDIT_VALUE&amp;DB=129&amp;ID1=58711810&amp;VALUEID=01001&amp;SDATE=200704&amp;PERIODTYPE=QTR_STD&amp;window=popup_no_bar&amp;width=385&amp;height=120&amp;START_MAXIMIZED=FALSE&amp;creator=factset&amp;display_string=Audit"}</definedName>
    <definedName name="_1480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1481__FDSAUDITLINK__" localSheetId="15" hidden="1">{"fdsup://Directions/FactSet Auditing Viewer?action=AUDIT_VALUE&amp;DB=129&amp;ID1=58711810&amp;VALUEID=13040&amp;SDATE=200801&amp;PERIODTYPE=QTR_STD&amp;window=popup_no_bar&amp;width=385&amp;height=120&amp;START_MAXIMIZED=FALSE&amp;creator=factset&amp;display_string=Audit"}</definedName>
    <definedName name="_148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1482__FDSAUDITLINK__" localSheetId="15" hidden="1">{"fdsup://Directions/FactSet Auditing Viewer?action=AUDIT_VALUE&amp;DB=129&amp;ID1=58711810&amp;VALUEID=01001&amp;SDATE=200801&amp;PERIODTYPE=QTR_STD&amp;window=popup_no_bar&amp;width=385&amp;height=120&amp;START_MAXIMIZED=FALSE&amp;creator=factset&amp;display_string=Audit"}</definedName>
    <definedName name="_1482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1483__FDSAUDITLINK__" localSheetId="15" hidden="1">{"fdsup://Directions/FactSet Auditing Viewer?action=AUDIT_VALUE&amp;DB=129&amp;ID1=58711810&amp;VALUEID=02101&amp;SDATE=200801&amp;PERIODTYPE=QTR_STD&amp;window=popup_no_bar&amp;width=385&amp;height=120&amp;START_MAXIMIZED=FALSE&amp;creator=factset&amp;display_string=Audit"}</definedName>
    <definedName name="_1483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1484__FDSAUDITLINK__" localSheetId="15" hidden="1">{"fdsup://Directions/FactSet Auditing Viewer?action=AUDIT_VALUE&amp;DB=129&amp;ID1=58711810&amp;VALUEID=13040&amp;SDATE=200802&amp;PERIODTYPE=QTR_STD&amp;window=popup_no_bar&amp;width=385&amp;height=120&amp;START_MAXIMIZED=FALSE&amp;creator=factset&amp;display_string=Audit"}</definedName>
    <definedName name="_1484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1485__FDSAUDITLINK__" localSheetId="15" hidden="1">{"fdsup://Directions/FactSet Auditing Viewer?action=AUDIT_VALUE&amp;DB=129&amp;ID1=58711810&amp;VALUEID=01001&amp;SDATE=200802&amp;PERIODTYPE=QTR_STD&amp;window=popup_no_bar&amp;width=385&amp;height=120&amp;START_MAXIMIZED=FALSE&amp;creator=factset&amp;display_string=Audit"}</definedName>
    <definedName name="_148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1486__FDSAUDITLINK__" localSheetId="15" hidden="1">{"fdsup://Directions/FactSet Auditing Viewer?action=AUDIT_VALUE&amp;DB=129&amp;ID1=58711810&amp;VALUEID=02101&amp;SDATE=200802&amp;PERIODTYPE=QTR_STD&amp;window=popup_no_bar&amp;width=385&amp;height=120&amp;START_MAXIMIZED=FALSE&amp;creator=factset&amp;display_string=Audit"}</definedName>
    <definedName name="_148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1487__FDSAUDITLINK__" localSheetId="15" hidden="1">{"fdsup://Directions/FactSet Auditing Viewer?action=AUDIT_VALUE&amp;DB=129&amp;ID1=58711810&amp;VALUEID=13040&amp;SDATE=200803&amp;PERIODTYPE=QTR_STD&amp;window=popup_no_bar&amp;width=385&amp;height=120&amp;START_MAXIMIZED=FALSE&amp;creator=factset&amp;display_string=Audit"}</definedName>
    <definedName name="_1487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1488__FDSAUDITLINK__" localSheetId="15" hidden="1">{"fdsup://Directions/FactSet Auditing Viewer?action=AUDIT_VALUE&amp;DB=129&amp;ID1=58711810&amp;VALUEID=01001&amp;SDATE=200803&amp;PERIODTYPE=QTR_STD&amp;window=popup_no_bar&amp;width=385&amp;height=120&amp;START_MAXIMIZED=FALSE&amp;creator=factset&amp;display_string=Audit"}</definedName>
    <definedName name="_1488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1489__FDSAUDITLINK__" localSheetId="15" hidden="1">{"fdsup://Directions/FactSet Auditing Viewer?action=AUDIT_VALUE&amp;DB=129&amp;ID1=58711810&amp;VALUEID=02101&amp;SDATE=200803&amp;PERIODTYPE=QTR_STD&amp;window=popup_no_bar&amp;width=385&amp;height=120&amp;START_MAXIMIZED=FALSE&amp;creator=factset&amp;display_string=Audit"}</definedName>
    <definedName name="_1489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149__FDSAUDITLINK__" localSheetId="15" hidden="1">{"fdsup://Directions/FactSet Auditing Viewer?action=AUDIT_VALUE&amp;DB=129&amp;ID1=82434810&amp;VALUEID=01001&amp;SDATE=200601&amp;PERIODTYPE=QTR_STD&amp;window=popup_no_bar&amp;width=385&amp;height=120&amp;START_MAXIMIZED=FALSE&amp;creator=factset&amp;display_string=Audit"}</definedName>
    <definedName name="_149__FDSAUDITLINK__" hidden="1">{"fdsup://Directions/FactSet Auditing Viewer?action=AUDIT_VALUE&amp;DB=129&amp;ID1=09367910&amp;VALUEID=01001&amp;SDATE=2006&amp;PERIODTYPE=ANN_STD&amp;window=popup_no_bar&amp;width=385&amp;height=120&amp;START_MAXIMIZED=FALSE&amp;creator=factset&amp;display_string=Audit"}</definedName>
    <definedName name="_1490__FDSAUDITLINK__" localSheetId="15" hidden="1">{"fdsup://Directions/FactSet Auditing Viewer?action=AUDIT_VALUE&amp;DB=129&amp;ID1=58711810&amp;VALUEID=01001&amp;SDATE=200804&amp;PERIODTYPE=QTR_STD&amp;window=popup_no_bar&amp;width=385&amp;height=120&amp;START_MAXIMIZED=FALSE&amp;creator=factset&amp;display_string=Audit"}</definedName>
    <definedName name="_1490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1491__FDSAUDITLINK__" localSheetId="15" hidden="1">{"fdsup://Directions/FactSet Auditing Viewer?action=AUDIT_VALUE&amp;DB=129&amp;ID1=58711810&amp;VALUEID=13040&amp;SDATE=200902&amp;PERIODTYPE=QTR_STD&amp;window=popup_no_bar&amp;width=385&amp;height=120&amp;START_MAXIMIZED=FALSE&amp;creator=factset&amp;display_string=Audit"}</definedName>
    <definedName name="_14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1492__FDSAUDITLINK__" localSheetId="15" hidden="1">{"fdsup://Directions/FactSet Auditing Viewer?action=AUDIT_VALUE&amp;DB=129&amp;ID1=58711810&amp;VALUEID=01001&amp;SDATE=200902&amp;PERIODTYPE=QTR_STD&amp;window=popup_no_bar&amp;width=385&amp;height=120&amp;START_MAXIMIZED=FALSE&amp;creator=factset&amp;display_string=Audit"}</definedName>
    <definedName name="_1492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1493__FDSAUDITLINK__" localSheetId="15" hidden="1">{"fdsup://Directions/FactSet Auditing Viewer?action=AUDIT_VALUE&amp;DB=129&amp;ID1=58711810&amp;VALUEID=02101&amp;SDATE=200902&amp;PERIODTYPE=QTR_STD&amp;window=popup_no_bar&amp;width=385&amp;height=120&amp;START_MAXIMIZED=FALSE&amp;creator=factset&amp;display_string=Audit"}</definedName>
    <definedName name="_1493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1494__FDSAUDITLINK__" localSheetId="15" hidden="1">{"fdsup://Directions/FactSet Auditing Viewer?action=AUDIT_VALUE&amp;DB=129&amp;ID1=58711810&amp;VALUEID=13040&amp;SDATE=200903&amp;PERIODTYPE=QTR_STD&amp;window=popup_no_bar&amp;width=385&amp;height=120&amp;START_MAXIMIZED=FALSE&amp;creator=factset&amp;display_string=Audit"}</definedName>
    <definedName name="_1494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1495__FDSAUDITLINK__" localSheetId="15" hidden="1">{"fdsup://Directions/FactSet Auditing Viewer?action=AUDIT_VALUE&amp;DB=129&amp;ID1=58711810&amp;VALUEID=01001&amp;SDATE=200903&amp;PERIODTYPE=QTR_STD&amp;window=popup_no_bar&amp;width=385&amp;height=120&amp;START_MAXIMIZED=FALSE&amp;creator=factset&amp;display_string=Audit"}</definedName>
    <definedName name="_1495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1496__FDSAUDITLINK__" localSheetId="15" hidden="1">{"fdsup://Directions/FactSet Auditing Viewer?action=AUDIT_VALUE&amp;DB=129&amp;ID1=58711810&amp;VALUEID=02101&amp;SDATE=200903&amp;PERIODTYPE=QTR_STD&amp;window=popup_no_bar&amp;width=385&amp;height=120&amp;START_MAXIMIZED=FALSE&amp;creator=factset&amp;display_string=Audit"}</definedName>
    <definedName name="_1496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1497__FDSAUDITLINK__" localSheetId="15" hidden="1">{"fdsup://Directions/FactSet Auditing Viewer?action=AUDIT_VALUE&amp;DB=129&amp;ID1=58711810&amp;VALUEID=13040&amp;SDATE=200904&amp;PERIODTYPE=QTR_STD&amp;window=popup_no_bar&amp;width=385&amp;height=120&amp;START_MAXIMIZED=FALSE&amp;creator=factset&amp;display_string=Audit"}</definedName>
    <definedName name="_1497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1498__FDSAUDITLINK__" localSheetId="15" hidden="1">{"fdsup://Directions/FactSet Auditing Viewer?action=AUDIT_VALUE&amp;DB=129&amp;ID1=58711810&amp;VALUEID=01001&amp;SDATE=200904&amp;PERIODTYPE=QTR_STD&amp;window=popup_no_bar&amp;width=385&amp;height=120&amp;START_MAXIMIZED=FALSE&amp;creator=factset&amp;display_string=Audit"}</definedName>
    <definedName name="_149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1499__FDSAUDITLINK__" localSheetId="15" hidden="1">{"fdsup://Directions/FactSet Auditing Viewer?action=AUDIT_VALUE&amp;DB=129&amp;ID1=58711810&amp;VALUEID=13040&amp;SDATE=201001&amp;PERIODTYPE=QTR_STD&amp;window=popup_no_bar&amp;width=385&amp;height=120&amp;START_MAXIMIZED=FALSE&amp;creator=factset&amp;display_string=Audit"}</definedName>
    <definedName name="_14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15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15__FDSAUDITLINK__" hidden="1">{"fdsup://Directions/FactSet Auditing Viewer?action=AUDIT_VALUE&amp;DB=129&amp;ID1=03783310&amp;VALUEID=01001&amp;SDATE=2007&amp;PERIODTYPE=ANN_STD&amp;window=popup_no_bar&amp;width=385&amp;height=120&amp;START_MAXIMIZED=FALSE&amp;creator=factset&amp;display_string=Audit"}</definedName>
    <definedName name="_150__FDSAUDITLINK__" localSheetId="15" hidden="1">{"fdsup://Directions/FactSet Auditing Viewer?action=AUDIT_VALUE&amp;DB=129&amp;ID1=57459910&amp;VALUEID=01001&amp;SDATE=200903&amp;PERIODTYPE=QTR_STD&amp;window=popup_no_bar&amp;width=385&amp;height=120&amp;START_MAXIMIZED=FALSE&amp;creator=factset&amp;display_string=Audit"}</definedName>
    <definedName name="_150__FDSAUDITLINK__" hidden="1">{"fdsup://Directions/FactSet Auditing Viewer?action=AUDIT_VALUE&amp;DB=129&amp;ID1=09367910&amp;VALUEID=04601&amp;SDATE=2006&amp;PERIODTYPE=ANN_STD&amp;window=popup_no_bar&amp;width=385&amp;height=120&amp;START_MAXIMIZED=FALSE&amp;creator=factset&amp;display_string=Audit"}</definedName>
    <definedName name="_1500__FDSAUDITLINK__" localSheetId="15" hidden="1">{"fdsup://Directions/FactSet Auditing Viewer?action=AUDIT_VALUE&amp;DB=129&amp;ID1=58711810&amp;VALUEID=01001&amp;SDATE=201001&amp;PERIODTYPE=QTR_STD&amp;window=popup_no_bar&amp;width=385&amp;height=120&amp;START_MAXIMIZED=FALSE&amp;creator=factset&amp;display_string=Audit"}</definedName>
    <definedName name="_1500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1501__FDSAUDITLINK__" localSheetId="15" hidden="1">{"fdsup://Directions/FactSet Auditing Viewer?action=AUDIT_VALUE&amp;DB=129&amp;ID1=58711810&amp;VALUEID=02101&amp;SDATE=201001&amp;PERIODTYPE=QTR_STD&amp;window=popup_no_bar&amp;width=385&amp;height=120&amp;START_MAXIMIZED=FALSE&amp;creator=factset&amp;display_string=Audit"}</definedName>
    <definedName name="_1501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1502__FDSAUDITLINK__" localSheetId="15"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1502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1503__FDSAUDITLINK__" localSheetId="15"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1503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1504__FDSAUDITLINK__" localSheetId="15"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1504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1505__FDSAUDITLINK__" localSheetId="15"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1505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1506__FDSAUDITLINK__" localSheetId="15"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1506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1507__FDSAUDITLINK__" localSheetId="15"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1507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1508__FDSAUDITLINK__" localSheetId="15"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1508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1509__FDSAUDITLINK__" localSheetId="15"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1509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151__FDSAUDITLINK__" localSheetId="15" hidden="1">{"fdsup://Directions/FactSet Auditing Viewer?action=AUDIT_VALUE&amp;DB=129&amp;ID1=57459910&amp;VALUEID=01001&amp;SDATE=200902&amp;PERIODTYPE=QTR_STD&amp;window=popup_no_bar&amp;width=385&amp;height=120&amp;START_MAXIMIZED=FALSE&amp;creator=factset&amp;display_string=Audit"}</definedName>
    <definedName name="_151__FDSAUDITLINK__" hidden="1">{"fdsup://Directions/FactSet Auditing Viewer?action=AUDIT_VALUE&amp;DB=129&amp;ID1=09367910&amp;VALUEID=01001&amp;SDATE=2007&amp;PERIODTYPE=ANN_STD&amp;window=popup_no_bar&amp;width=385&amp;height=120&amp;START_MAXIMIZED=FALSE&amp;creator=factset&amp;display_string=Audit"}</definedName>
    <definedName name="_1510__FDSAUDITLINK__" localSheetId="15"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1510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1511__FDSAUDITLINK__" localSheetId="15"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1511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1512__FDSAUDITLINK__" localSheetId="15"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1512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1513__FDSAUDITLINK__" localSheetId="15"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1513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1514__FDSAUDITLINK__" localSheetId="15"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1514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1515__FDSAUDITLINK__" localSheetId="15"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1515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1516__FDSAUDITLINK__" localSheetId="15"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1516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1517__FDSAUDITLINK__" localSheetId="15"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1517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1518__FDSAUDITLINK__" localSheetId="15"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1518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1519__FDSAUDITLINK__" localSheetId="15"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1519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152__FDSAUDITLINK__" localSheetId="15" hidden="1">{"fdsup://Directions/FactSet Auditing Viewer?action=AUDIT_VALUE&amp;DB=129&amp;ID1=57459910&amp;VALUEID=01001&amp;SDATE=200901&amp;PERIODTYPE=QTR_STD&amp;window=popup_no_bar&amp;width=385&amp;height=120&amp;START_MAXIMIZED=FALSE&amp;creator=factset&amp;display_string=Audit"}</definedName>
    <definedName name="_152__FDSAUDITLINK__" hidden="1">{"fdsup://Directions/FactSet Auditing Viewer?action=AUDIT_VALUE&amp;DB=129&amp;ID1=09367910&amp;VALUEID=04601&amp;SDATE=2007&amp;PERIODTYPE=ANN_STD&amp;window=popup_no_bar&amp;width=385&amp;height=120&amp;START_MAXIMIZED=FALSE&amp;creator=factset&amp;display_string=Audit"}</definedName>
    <definedName name="_1520__FDSAUDITLINK__" localSheetId="15"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1520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1521__FDSAUDITLINK__" localSheetId="15"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1521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1522__FDSAUDITLINK__" localSheetId="15"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1522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1523__FDSAUDITLINK__" localSheetId="15"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1523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1524__FDSAUDITLINK__" localSheetId="15"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1524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1525__FDSAUDITLINK__" localSheetId="15"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1525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1526__FDSAUDITLINK__" localSheetId="15"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1526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1527__FDSAUDITLINK__" localSheetId="15"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1527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1528__FDSAUDITLINK__" localSheetId="15"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1528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1529__FDSAUDITLINK__" localSheetId="15"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152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153__FDSAUDITLINK__" localSheetId="15" hidden="1">{"fdsup://Directions/FactSet Auditing Viewer?action=AUDIT_VALUE&amp;DB=129&amp;ID1=57459910&amp;VALUEID=01001&amp;SDATE=200804&amp;PERIODTYPE=QTR_STD&amp;window=popup_no_bar&amp;width=385&amp;height=120&amp;START_MAXIMIZED=FALSE&amp;creator=factset&amp;display_string=Audit"}</definedName>
    <definedName name="_153__FDSAUDITLINK__" hidden="1">{"fdsup://Directions/FactSet Auditing Viewer?action=AUDIT_VALUE&amp;DB=129&amp;ID1=09367910&amp;VALUEID=01001&amp;SDATE=2008&amp;PERIODTYPE=ANN_STD&amp;window=popup_no_bar&amp;width=385&amp;height=120&amp;START_MAXIMIZED=FALSE&amp;creator=factset&amp;display_string=Audit"}</definedName>
    <definedName name="_1530__FDSAUDITLINK__" localSheetId="15" hidden="1">{"fdsup://directions/FAT Viewer?action=UPDATE&amp;creator=factset&amp;DYN_ARGS=TRUE&amp;DOC_NAME=FAT:FQL_AUDITING_CLIENT_TEMPLATE.FAT&amp;display_string=Audit&amp;VAR:KEY=RKPQDQZENU&amp;VAR:QUERY=RkZfUlRfU0ZfVE9UX0dST1NTKFFUUiwtMTYp&amp;WINDOW=FIRST_POPUP&amp;HEIGHT=450&amp;WIDTH=450&amp;START_MA","XIMIZED=FALSE&amp;VAR:CALENDAR=US&amp;VAR:SYMBOL=MW&amp;VAR:INDEX=0"}</definedName>
    <definedName name="_1530__FDSAUDITLINK__" hidden="1">{"fdsup://directions/FAT Viewer?action=UPDATE&amp;creator=factset&amp;DYN_ARGS=TRUE&amp;DOC_NAME=FAT:FQL_AUDITING_CLIENT_TEMPLATE.FAT&amp;display_string=Audit&amp;VAR:KEY=RKPQDQZENU&amp;VAR:QUERY=RkZfUlRfU0ZfVE9UX0dST1NTKFFUUiwtMTYp&amp;WINDOW=FIRST_POPUP&amp;HEIGHT=450&amp;WIDTH=450&amp;START_MA","XIMIZED=FALSE&amp;VAR:CALENDAR=US&amp;VAR:SYMBOL=MW&amp;VAR:INDEX=0"}</definedName>
    <definedName name="_1531__FDSAUDITLINK__" localSheetId="15" hidden="1">{"fdsup://directions/FAT Viewer?action=UPDATE&amp;creator=factset&amp;DYN_ARGS=TRUE&amp;DOC_NAME=FAT:FQL_AUDITING_CLIENT_TEMPLATE.FAT&amp;display_string=Audit&amp;VAR:KEY=DGFWHAXCHW&amp;VAR:QUERY=RkZfUlRfU0ZfVE9UX0dST1NTKFFUUiwtMTUp&amp;WINDOW=FIRST_POPUP&amp;HEIGHT=450&amp;WIDTH=450&amp;START_MA","XIMIZED=FALSE&amp;VAR:CALENDAR=US&amp;VAR:SYMBOL=MW&amp;VAR:INDEX=0"}</definedName>
    <definedName name="_1531__FDSAUDITLINK__" hidden="1">{"fdsup://directions/FAT Viewer?action=UPDATE&amp;creator=factset&amp;DYN_ARGS=TRUE&amp;DOC_NAME=FAT:FQL_AUDITING_CLIENT_TEMPLATE.FAT&amp;display_string=Audit&amp;VAR:KEY=DGFWHAXCHW&amp;VAR:QUERY=RkZfUlRfU0ZfVE9UX0dST1NTKFFUUiwtMTUp&amp;WINDOW=FIRST_POPUP&amp;HEIGHT=450&amp;WIDTH=450&amp;START_MA","XIMIZED=FALSE&amp;VAR:CALENDAR=US&amp;VAR:SYMBOL=MW&amp;VAR:INDEX=0"}</definedName>
    <definedName name="_1532__FDSAUDITLINK__" localSheetId="15" hidden="1">{"fdsup://directions/FAT Viewer?action=UPDATE&amp;creator=factset&amp;DYN_ARGS=TRUE&amp;DOC_NAME=FAT:FQL_AUDITING_CLIENT_TEMPLATE.FAT&amp;display_string=Audit&amp;VAR:KEY=RIPOZCVKJU&amp;VAR:QUERY=RkZfUlRfU0ZfVE9UX0dST1NTKFFUUiwtMTQp&amp;WINDOW=FIRST_POPUP&amp;HEIGHT=450&amp;WIDTH=450&amp;START_MA","XIMIZED=FALSE&amp;VAR:CALENDAR=US&amp;VAR:SYMBOL=MW&amp;VAR:INDEX=0"}</definedName>
    <definedName name="_1532__FDSAUDITLINK__" hidden="1">{"fdsup://directions/FAT Viewer?action=UPDATE&amp;creator=factset&amp;DYN_ARGS=TRUE&amp;DOC_NAME=FAT:FQL_AUDITING_CLIENT_TEMPLATE.FAT&amp;display_string=Audit&amp;VAR:KEY=RIPOZCVKJU&amp;VAR:QUERY=RkZfUlRfU0ZfVE9UX0dST1NTKFFUUiwtMTQp&amp;WINDOW=FIRST_POPUP&amp;HEIGHT=450&amp;WIDTH=450&amp;START_MA","XIMIZED=FALSE&amp;VAR:CALENDAR=US&amp;VAR:SYMBOL=MW&amp;VAR:INDEX=0"}</definedName>
    <definedName name="_1533__FDSAUDITLINK__" localSheetId="15"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1533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1534__FDSAUDITLINK__" localSheetId="15"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34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35__FDSAUDITLINK__" localSheetId="15"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35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36__FDSAUDITLINK__" localSheetId="15"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36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37__FDSAUDITLINK__" localSheetId="15"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1537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1538__FDSAUDITLINK__" localSheetId="15" hidden="1">{"fdsup://directions/FAT Viewer?action=UPDATE&amp;creator=factset&amp;DYN_ARGS=TRUE&amp;DOC_NAME=FAT:FQL_AUDITING_CLIENT_TEMPLATE.FAT&amp;display_string=Audit&amp;VAR:KEY=ZYBGTQFENI&amp;VAR:QUERY=RkZfUlRfU0ZfVE9UX0dST1NTKFFUUiwtOCk=&amp;WINDOW=FIRST_POPUP&amp;HEIGHT=450&amp;WIDTH=450&amp;START_MA","XIMIZED=FALSE&amp;VAR:CALENDAR=US&amp;VAR:SYMBOL=MW&amp;VAR:INDEX=0"}</definedName>
    <definedName name="_1538__FDSAUDITLINK__" hidden="1">{"fdsup://directions/FAT Viewer?action=UPDATE&amp;creator=factset&amp;DYN_ARGS=TRUE&amp;DOC_NAME=FAT:FQL_AUDITING_CLIENT_TEMPLATE.FAT&amp;display_string=Audit&amp;VAR:KEY=ZYBGTQFENI&amp;VAR:QUERY=RkZfUlRfU0ZfVE9UX0dST1NTKFFUUiwtOCk=&amp;WINDOW=FIRST_POPUP&amp;HEIGHT=450&amp;WIDTH=450&amp;START_MA","XIMIZED=FALSE&amp;VAR:CALENDAR=US&amp;VAR:SYMBOL=MW&amp;VAR:INDEX=0"}</definedName>
    <definedName name="_1539__FDSAUDITLINK__" localSheetId="15" hidden="1">{"fdsup://directions/FAT Viewer?action=UPDATE&amp;creator=factset&amp;DYN_ARGS=TRUE&amp;DOC_NAME=FAT:FQL_AUDITING_CLIENT_TEMPLATE.FAT&amp;display_string=Audit&amp;VAR:KEY=PKHARSBEJO&amp;VAR:QUERY=RkZfUlRfU0ZfVE9UX0dST1NTKFFUUiwtNyk=&amp;WINDOW=FIRST_POPUP&amp;HEIGHT=450&amp;WIDTH=450&amp;START_MA","XIMIZED=FALSE&amp;VAR:CALENDAR=US&amp;VAR:SYMBOL=MW&amp;VAR:INDEX=0"}</definedName>
    <definedName name="_1539__FDSAUDITLINK__" hidden="1">{"fdsup://directions/FAT Viewer?action=UPDATE&amp;creator=factset&amp;DYN_ARGS=TRUE&amp;DOC_NAME=FAT:FQL_AUDITING_CLIENT_TEMPLATE.FAT&amp;display_string=Audit&amp;VAR:KEY=PKHARSBEJO&amp;VAR:QUERY=RkZfUlRfU0ZfVE9UX0dST1NTKFFUUiwtNyk=&amp;WINDOW=FIRST_POPUP&amp;HEIGHT=450&amp;WIDTH=450&amp;START_MA","XIMIZED=FALSE&amp;VAR:CALENDAR=US&amp;VAR:SYMBOL=MW&amp;VAR:INDEX=0"}</definedName>
    <definedName name="_154__FDSAUDITLINK__" localSheetId="15" hidden="1">{"fdsup://Directions/FactSet Auditing Viewer?action=AUDIT_VALUE&amp;DB=129&amp;ID1=57459910&amp;VALUEID=01001&amp;SDATE=200803&amp;PERIODTYPE=QTR_STD&amp;window=popup_no_bar&amp;width=385&amp;height=120&amp;START_MAXIMIZED=FALSE&amp;creator=factset&amp;display_string=Audit"}</definedName>
    <definedName name="_154__FDSAUDITLINK__" hidden="1">{"fdsup://Directions/FactSet Auditing Viewer?action=AUDIT_VALUE&amp;DB=129&amp;ID1=09367910&amp;VALUEID=04601&amp;SDATE=2008&amp;PERIODTYPE=ANN_STD&amp;window=popup_no_bar&amp;width=385&amp;height=120&amp;START_MAXIMIZED=FALSE&amp;creator=factset&amp;display_string=Audit"}</definedName>
    <definedName name="_1540__FDSAUDITLINK__" localSheetId="15" hidden="1">{"fdsup://directions/FAT Viewer?action=UPDATE&amp;creator=factset&amp;DYN_ARGS=TRUE&amp;DOC_NAME=FAT:FQL_AUDITING_CLIENT_TEMPLATE.FAT&amp;display_string=Audit&amp;VAR:KEY=TUFIDOPGDK&amp;VAR:QUERY=RkZfUlRfU0ZfVE9UX0dST1NTKFFUUiwtNik=&amp;WINDOW=FIRST_POPUP&amp;HEIGHT=450&amp;WIDTH=450&amp;START_MA","XIMIZED=FALSE&amp;VAR:CALENDAR=US&amp;VAR:SYMBOL=MW&amp;VAR:INDEX=0"}</definedName>
    <definedName name="_1540__FDSAUDITLINK__" hidden="1">{"fdsup://directions/FAT Viewer?action=UPDATE&amp;creator=factset&amp;DYN_ARGS=TRUE&amp;DOC_NAME=FAT:FQL_AUDITING_CLIENT_TEMPLATE.FAT&amp;display_string=Audit&amp;VAR:KEY=TUFIDOPGDK&amp;VAR:QUERY=RkZfUlRfU0ZfVE9UX0dST1NTKFFUUiwtNik=&amp;WINDOW=FIRST_POPUP&amp;HEIGHT=450&amp;WIDTH=450&amp;START_MA","XIMIZED=FALSE&amp;VAR:CALENDAR=US&amp;VAR:SYMBOL=MW&amp;VAR:INDEX=0"}</definedName>
    <definedName name="_1541__FDSAUDITLINK__" localSheetId="15"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1541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1542__FDSAUDITLINK__" localSheetId="15" hidden="1">{"fdsup://directions/FAT Viewer?action=UPDATE&amp;creator=factset&amp;DYN_ARGS=TRUE&amp;DOC_NAME=FAT:FQL_AUDITING_CLIENT_TEMPLATE.FAT&amp;display_string=Audit&amp;VAR:KEY=VWLUVOLOTS&amp;VAR:QUERY=RkZfUlRfU0ZfVE9UX0dST1NTKFFUUiwtNCk=&amp;WINDOW=FIRST_POPUP&amp;HEIGHT=450&amp;WIDTH=450&amp;START_MA","XIMIZED=FALSE&amp;VAR:CALENDAR=US&amp;VAR:SYMBOL=MW&amp;VAR:INDEX=0"}</definedName>
    <definedName name="_1542__FDSAUDITLINK__" hidden="1">{"fdsup://directions/FAT Viewer?action=UPDATE&amp;creator=factset&amp;DYN_ARGS=TRUE&amp;DOC_NAME=FAT:FQL_AUDITING_CLIENT_TEMPLATE.FAT&amp;display_string=Audit&amp;VAR:KEY=VWLUVOLOTS&amp;VAR:QUERY=RkZfUlRfU0ZfVE9UX0dST1NTKFFUUiwtNCk=&amp;WINDOW=FIRST_POPUP&amp;HEIGHT=450&amp;WIDTH=450&amp;START_MA","XIMIZED=FALSE&amp;VAR:CALENDAR=US&amp;VAR:SYMBOL=MW&amp;VAR:INDEX=0"}</definedName>
    <definedName name="_1543__FDSAUDITLINK__" localSheetId="15" hidden="1">{"fdsup://directions/FAT Viewer?action=UPDATE&amp;creator=factset&amp;DYN_ARGS=TRUE&amp;DOC_NAME=FAT:FQL_AUDITING_CLIENT_TEMPLATE.FAT&amp;display_string=Audit&amp;VAR:KEY=NUNEHSBQVC&amp;VAR:QUERY=RkZfUlRfU0ZfVE9UX0dST1NTKFFUUiwtMyk=&amp;WINDOW=FIRST_POPUP&amp;HEIGHT=450&amp;WIDTH=450&amp;START_MA","XIMIZED=FALSE&amp;VAR:CALENDAR=US&amp;VAR:SYMBOL=MW&amp;VAR:INDEX=0"}</definedName>
    <definedName name="_1543__FDSAUDITLINK__" hidden="1">{"fdsup://directions/FAT Viewer?action=UPDATE&amp;creator=factset&amp;DYN_ARGS=TRUE&amp;DOC_NAME=FAT:FQL_AUDITING_CLIENT_TEMPLATE.FAT&amp;display_string=Audit&amp;VAR:KEY=NUNEHSBQVC&amp;VAR:QUERY=RkZfUlRfU0ZfVE9UX0dST1NTKFFUUiwtMyk=&amp;WINDOW=FIRST_POPUP&amp;HEIGHT=450&amp;WIDTH=450&amp;START_MA","XIMIZED=FALSE&amp;VAR:CALENDAR=US&amp;VAR:SYMBOL=MW&amp;VAR:INDEX=0"}</definedName>
    <definedName name="_1544__FDSAUDITLINK__" localSheetId="15" hidden="1">{"fdsup://directions/FAT Viewer?action=UPDATE&amp;creator=factset&amp;DYN_ARGS=TRUE&amp;DOC_NAME=FAT:FQL_AUDITING_CLIENT_TEMPLATE.FAT&amp;display_string=Audit&amp;VAR:KEY=DYVEJGLOTU&amp;VAR:QUERY=RkZfUlRfU0ZfVE9UX0dST1NTKFFUUiwtMik=&amp;WINDOW=FIRST_POPUP&amp;HEIGHT=450&amp;WIDTH=450&amp;START_MA","XIMIZED=FALSE&amp;VAR:CALENDAR=US&amp;VAR:SYMBOL=MW&amp;VAR:INDEX=0"}</definedName>
    <definedName name="_1544__FDSAUDITLINK__" hidden="1">{"fdsup://directions/FAT Viewer?action=UPDATE&amp;creator=factset&amp;DYN_ARGS=TRUE&amp;DOC_NAME=FAT:FQL_AUDITING_CLIENT_TEMPLATE.FAT&amp;display_string=Audit&amp;VAR:KEY=DYVEJGLOTU&amp;VAR:QUERY=RkZfUlRfU0ZfVE9UX0dST1NTKFFUUiwtMik=&amp;WINDOW=FIRST_POPUP&amp;HEIGHT=450&amp;WIDTH=450&amp;START_MA","XIMIZED=FALSE&amp;VAR:CALENDAR=US&amp;VAR:SYMBOL=MW&amp;VAR:INDEX=0"}</definedName>
    <definedName name="_1545__FDSAUDITLINK__" localSheetId="15"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1545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1546__FDSAUDITLINK__" localSheetId="15" hidden="1">{"fdsup://directions/FAT Viewer?action=UPDATE&amp;creator=factset&amp;DYN_ARGS=TRUE&amp;DOC_NAME=FAT:FQL_AUDITING_CLIENT_TEMPLATE.FAT&amp;display_string=Audit&amp;VAR:KEY=XIDOJQDIDO&amp;VAR:QUERY=RkZfUlRfU0ZfVE9UX0dST1NTKFFUUiwwKQ==&amp;WINDOW=FIRST_POPUP&amp;HEIGHT=450&amp;WIDTH=450&amp;START_MA","XIMIZED=FALSE&amp;VAR:CALENDAR=US&amp;VAR:SYMBOL=MW&amp;VAR:INDEX=0"}</definedName>
    <definedName name="_1546__FDSAUDITLINK__" hidden="1">{"fdsup://directions/FAT Viewer?action=UPDATE&amp;creator=factset&amp;DYN_ARGS=TRUE&amp;DOC_NAME=FAT:FQL_AUDITING_CLIENT_TEMPLATE.FAT&amp;display_string=Audit&amp;VAR:KEY=XIDOJQDIDO&amp;VAR:QUERY=RkZfUlRfU0ZfVE9UX0dST1NTKFFUUiwwKQ==&amp;WINDOW=FIRST_POPUP&amp;HEIGHT=450&amp;WIDTH=450&amp;START_MA","XIMIZED=FALSE&amp;VAR:CALENDAR=US&amp;VAR:SYMBOL=MW&amp;VAR:INDEX=0"}</definedName>
    <definedName name="_1547__FDSAUDITLINK__" localSheetId="15"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47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48__FDSAUDITLINK__" localSheetId="15"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48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49__FDSAUDITLINK__" localSheetId="15"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49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155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550__FDSAUDITLINK__" localSheetId="15" hidden="1">{"fdsup://Directions/FactSet Auditing Viewer?action=AUDIT_VALUE&amp;DB=129&amp;ID1=87416110&amp;VALUEID=02101&amp;SDATE=201001&amp;PERIODTYPE=QTR_STD&amp;window=popup_no_bar&amp;width=385&amp;height=120&amp;START_MAXIMIZED=FALSE&amp;creator=factset&amp;display_string=Audit"}</definedName>
    <definedName name="_1550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1551__FDSAUDITLINK__" localSheetId="15" hidden="1">{"fdsup://Directions/FactSet Auditing Viewer?action=AUDIT_VALUE&amp;DB=129&amp;ID1=87416110&amp;VALUEID=13040&amp;SDATE=201001&amp;PERIODTYPE=QTR_STD&amp;window=popup_no_bar&amp;width=385&amp;height=120&amp;START_MAXIMIZED=FALSE&amp;creator=factset&amp;display_string=Audit"}</definedName>
    <definedName name="_1551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1552__FDSAUDITLINK__" localSheetId="15"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1552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1553__FDSAUDITLINK__" localSheetId="15" hidden="1">{"fdsup://Directions/FactSet Auditing Viewer?action=AUDIT_VALUE&amp;DB=129&amp;ID1=53271610&amp;VALUEID=02101&amp;SDATE=201001&amp;PERIODTYPE=QTR_STD&amp;window=popup_no_bar&amp;width=385&amp;height=120&amp;START_MAXIMIZED=FALSE&amp;creator=factset&amp;display_string=Audit"}</definedName>
    <definedName name="_1553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1554__FDSAUDITLINK__" localSheetId="15" hidden="1">{"fdsup://Directions/FactSet Auditing Viewer?action=AUDIT_VALUE&amp;DB=129&amp;ID1=53271610&amp;VALUEID=13040&amp;SDATE=201001&amp;PERIODTYPE=QTR_STD&amp;window=popup_no_bar&amp;width=385&amp;height=120&amp;START_MAXIMIZED=FALSE&amp;creator=factset&amp;display_string=Audit"}</definedName>
    <definedName name="_1554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1555__FDSAUDITLINK__" localSheetId="15" hidden="1">{"fdsup://Directions/FactSet Auditing Viewer?action=AUDIT_VALUE&amp;DB=129&amp;ID1=46612H40&amp;VALUEID=02101&amp;SDATE=201001&amp;PERIODTYPE=QTR_STD&amp;window=popup_no_bar&amp;width=385&amp;height=120&amp;START_MAXIMIZED=FALSE&amp;creator=factset&amp;display_string=Audit"}</definedName>
    <definedName name="_1555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1556__FDSAUDITLINK__" localSheetId="15" hidden="1">{"fdsup://Directions/FactSet Auditing Viewer?action=AUDIT_VALUE&amp;DB=129&amp;ID1=46612H40&amp;VALUEID=13040&amp;SDATE=201001&amp;PERIODTYPE=QTR_STD&amp;window=popup_no_bar&amp;width=385&amp;height=120&amp;START_MAXIMIZED=FALSE&amp;creator=factset&amp;display_string=Audit"}</definedName>
    <definedName name="_1556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1557__FDSAUDITLINK__" localSheetId="15" hidden="1">{"fdsup://Directions/FactSet Auditing Viewer?action=AUDIT_VALUE&amp;DB=129&amp;ID1=36476010&amp;VALUEID=02101&amp;SDATE=201001&amp;PERIODTYPE=QTR_STD&amp;window=popup_no_bar&amp;width=385&amp;height=120&amp;START_MAXIMIZED=FALSE&amp;creator=factset&amp;display_string=Audit"}</definedName>
    <definedName name="_1557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1558__FDSAUDITLINK__" localSheetId="15" hidden="1">{"fdsup://Directions/FactSet Auditing Viewer?action=AUDIT_VALUE&amp;DB=129&amp;ID1=36476010&amp;VALUEID=13040&amp;SDATE=201001&amp;PERIODTYPE=QTR_STD&amp;window=popup_no_bar&amp;width=385&amp;height=120&amp;START_MAXIMIZED=FALSE&amp;creator=factset&amp;display_string=Audit"}</definedName>
    <definedName name="_1558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1559__FDSAUDITLINK__" localSheetId="15" hidden="1">{"fdsup://Directions/FactSet Auditing Viewer?action=AUDIT_VALUE&amp;DB=129&amp;ID1=03611510&amp;VALUEID=02101&amp;SDATE=201001&amp;PERIODTYPE=QTR_STD&amp;window=popup_no_bar&amp;width=385&amp;height=120&amp;START_MAXIMIZED=FALSE&amp;creator=factset&amp;display_string=Audit"}</definedName>
    <definedName name="_1559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5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156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560__FDSAUDITLINK__" localSheetId="15" hidden="1">{"fdsup://Directions/FactSet Auditing Viewer?action=AUDIT_VALUE&amp;DB=129&amp;ID1=03611510&amp;VALUEID=13040&amp;SDATE=201001&amp;PERIODTYPE=QTR_STD&amp;window=popup_no_bar&amp;width=385&amp;height=120&amp;START_MAXIMIZED=FALSE&amp;creator=factset&amp;display_string=Audit"}</definedName>
    <definedName name="_1560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561__FDSAUDITLINK__" localSheetId="15" hidden="1">{"fdsup://Directions/FactSet Auditing Viewer?action=AUDIT_VALUE&amp;DB=129&amp;ID1=16890510&amp;VALUEID=02101&amp;SDATE=201001&amp;PERIODTYPE=QTR_STD&amp;window=popup_no_bar&amp;width=385&amp;height=120&amp;START_MAXIMIZED=FALSE&amp;creator=factset&amp;display_string=Audit"}</definedName>
    <definedName name="_1561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562__FDSAUDITLINK__" localSheetId="15" hidden="1">{"fdsup://Directions/FactSet Auditing Viewer?action=AUDIT_VALUE&amp;DB=129&amp;ID1=91704710&amp;VALUEID=02101&amp;SDATE=201001&amp;PERIODTYPE=QTR_STD&amp;window=popup_no_bar&amp;width=385&amp;height=120&amp;START_MAXIMIZED=FALSE&amp;creator=factset&amp;display_string=Audit"}</definedName>
    <definedName name="_1562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563__FDSAUDITLINK__" localSheetId="15" hidden="1">{"fdsup://Directions/FactSet Auditing Viewer?action=AUDIT_VALUE&amp;DB=129&amp;ID1=91704710&amp;VALUEID=13040&amp;SDATE=201001&amp;PERIODTYPE=QTR_STD&amp;window=popup_no_bar&amp;width=385&amp;height=120&amp;START_MAXIMIZED=FALSE&amp;creator=factset&amp;display_string=Audit"}</definedName>
    <definedName name="_1563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564__FDSAUDITLINK__" localSheetId="15" hidden="1">{"fdsup://Directions/FactSet Auditing Viewer?action=AUDIT_VALUE&amp;DB=129&amp;ID1=02553E10&amp;VALUEID=02101&amp;SDATE=201001&amp;PERIODTYPE=QTR_STD&amp;window=popup_no_bar&amp;width=385&amp;height=120&amp;START_MAXIMIZED=FALSE&amp;creator=factset&amp;display_string=Audit"}</definedName>
    <definedName name="_1564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65__FDSAUDITLINK__" localSheetId="15" hidden="1">{"fdsup://Directions/FactSet Auditing Viewer?action=AUDIT_VALUE&amp;DB=129&amp;ID1=02553E10&amp;VALUEID=13040&amp;SDATE=201001&amp;PERIODTYPE=QTR_STD&amp;window=popup_no_bar&amp;width=385&amp;height=120&amp;START_MAXIMIZED=FALSE&amp;creator=factset&amp;display_string=Audit"}</definedName>
    <definedName name="_1565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566__FDSAUDITLINK__" localSheetId="15" hidden="1">{"fdsup://Directions/FactSet Auditing Viewer?action=AUDIT_VALUE&amp;DB=129&amp;ID1=00786510&amp;VALUEID=02101&amp;SDATE=201001&amp;PERIODTYPE=QTR_STD&amp;window=popup_no_bar&amp;width=385&amp;height=120&amp;START_MAXIMIZED=FALSE&amp;creator=factset&amp;display_string=Audit"}</definedName>
    <definedName name="_1566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567__FDSAUDITLINK__" localSheetId="15" hidden="1">{"fdsup://Directions/FactSet Auditing Viewer?action=AUDIT_VALUE&amp;DB=129&amp;ID1=00786510&amp;VALUEID=13040&amp;SDATE=201001&amp;PERIODTYPE=QTR_STD&amp;window=popup_no_bar&amp;width=385&amp;height=120&amp;START_MAXIMIZED=FALSE&amp;creator=factset&amp;display_string=Audit"}</definedName>
    <definedName name="_1567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568__FDSAUDITLINK__" localSheetId="15" hidden="1">{"fdsup://Directions/FactSet Auditing Viewer?action=AUDIT_VALUE&amp;DB=129&amp;ID1=00289620&amp;VALUEID=02101&amp;SDATE=201001&amp;PERIODTYPE=QTR_STD&amp;window=popup_no_bar&amp;width=385&amp;height=120&amp;START_MAXIMIZED=FALSE&amp;creator=factset&amp;display_string=Audit"}</definedName>
    <definedName name="_1568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569__FDSAUDITLINK__" localSheetId="15" hidden="1">{"fdsup://Directions/FactSet Auditing Viewer?action=AUDIT_VALUE&amp;DB=129&amp;ID1=00289620&amp;VALUEID=13040&amp;SDATE=201001&amp;PERIODTYPE=QTR_STD&amp;window=popup_no_bar&amp;width=385&amp;height=120&amp;START_MAXIMIZED=FALSE&amp;creator=factset&amp;display_string=Audit"}</definedName>
    <definedName name="_1569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5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157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570__FDSAUDITLINK__" localSheetId="15" hidden="1">{"fdsup://Directions/FactSet Auditing Viewer?action=AUDIT_VALUE&amp;DB=129&amp;ID1=87416110&amp;VALUEID=01001&amp;SDATE=200904&amp;PERIODTYPE=QTR_STD&amp;window=popup_no_bar&amp;width=385&amp;height=120&amp;START_MAXIMIZED=FALSE&amp;creator=factset&amp;display_string=Audit"}</definedName>
    <definedName name="_1570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571__FDSAUDITLINK__" localSheetId="15"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571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572__FDSAUDITLINK__" localSheetId="15" hidden="1">{"fdsup://Directions/FactSet Auditing Viewer?action=AUDIT_VALUE&amp;DB=129&amp;ID1=46612H40&amp;VALUEID=01001&amp;SDATE=200904&amp;PERIODTYPE=QTR_STD&amp;window=popup_no_bar&amp;width=385&amp;height=120&amp;START_MAXIMIZED=FALSE&amp;creator=factset&amp;display_string=Audit"}</definedName>
    <definedName name="_1572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573__FDSAUDITLINK__" localSheetId="15" hidden="1">{"fdsup://Directions/FactSet Auditing Viewer?action=AUDIT_VALUE&amp;DB=129&amp;ID1=36476010&amp;VALUEID=01001&amp;SDATE=200904&amp;PERIODTYPE=QTR_STD&amp;window=popup_no_bar&amp;width=385&amp;height=120&amp;START_MAXIMIZED=FALSE&amp;creator=factset&amp;display_string=Audit"}</definedName>
    <definedName name="_1573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574__FDSAUDITLINK__" localSheetId="15" hidden="1">{"fdsup://Directions/FactSet Auditing Viewer?action=AUDIT_VALUE&amp;DB=129&amp;ID1=03611510&amp;VALUEID=01001&amp;SDATE=200904&amp;PERIODTYPE=QTR_STD&amp;window=popup_no_bar&amp;width=385&amp;height=120&amp;START_MAXIMIZED=FALSE&amp;creator=factset&amp;display_string=Audit"}</definedName>
    <definedName name="_1574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575__FDSAUDITLINK__" localSheetId="15" hidden="1">{"fdsup://Directions/FactSet Auditing Viewer?action=AUDIT_VALUE&amp;DB=129&amp;ID1=16890510&amp;VALUEID=01001&amp;SDATE=200904&amp;PERIODTYPE=QTR_STD&amp;window=popup_no_bar&amp;width=385&amp;height=120&amp;START_MAXIMIZED=FALSE&amp;creator=factset&amp;display_string=Audit"}</definedName>
    <definedName name="_1575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576__FDSAUDITLINK__" localSheetId="15" hidden="1">{"fdsup://Directions/FactSet Auditing Viewer?action=AUDIT_VALUE&amp;DB=129&amp;ID1=91704710&amp;VALUEID=01001&amp;SDATE=200904&amp;PERIODTYPE=QTR_STD&amp;window=popup_no_bar&amp;width=385&amp;height=120&amp;START_MAXIMIZED=FALSE&amp;creator=factset&amp;display_string=Audit"}</definedName>
    <definedName name="_1576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577__FDSAUDITLINK__" localSheetId="15" hidden="1">{"fdsup://Directions/FactSet Auditing Viewer?action=AUDIT_VALUE&amp;DB=129&amp;ID1=02553E10&amp;VALUEID=01001&amp;SDATE=200904&amp;PERIODTYPE=QTR_STD&amp;window=popup_no_bar&amp;width=385&amp;height=120&amp;START_MAXIMIZED=FALSE&amp;creator=factset&amp;display_string=Audit"}</definedName>
    <definedName name="_1577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578__FDSAUDITLINK__" localSheetId="15" hidden="1">{"fdsup://Directions/FactSet Auditing Viewer?action=AUDIT_VALUE&amp;DB=129&amp;ID1=00786510&amp;VALUEID=01001&amp;SDATE=200904&amp;PERIODTYPE=QTR_STD&amp;window=popup_no_bar&amp;width=385&amp;height=120&amp;START_MAXIMIZED=FALSE&amp;creator=factset&amp;display_string=Audit"}</definedName>
    <definedName name="_1578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579__FDSAUDITLINK__" localSheetId="15" hidden="1">{"fdsup://Directions/FactSet Auditing Viewer?action=AUDIT_VALUE&amp;DB=129&amp;ID1=87416110&amp;VALUEID=02101&amp;SDATE=200903&amp;PERIODTYPE=QTR_STD&amp;window=popup_no_bar&amp;width=385&amp;height=120&amp;START_MAXIMIZED=FALSE&amp;creator=factset&amp;display_string=Audit"}</definedName>
    <definedName name="_1579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5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158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580__FDSAUDITLINK__" localSheetId="15" hidden="1">{"fdsup://Directions/FactSet Auditing Viewer?action=AUDIT_VALUE&amp;DB=129&amp;ID1=87416110&amp;VALUEID=01001&amp;SDATE=200903&amp;PERIODTYPE=QTR_STD&amp;window=popup_no_bar&amp;width=385&amp;height=120&amp;START_MAXIMIZED=FALSE&amp;creator=factset&amp;display_string=Audit"}</definedName>
    <definedName name="_1580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581__FDSAUDITLINK__" localSheetId="15" hidden="1">{"fdsup://Directions/FactSet Auditing Viewer?action=AUDIT_VALUE&amp;DB=129&amp;ID1=87416110&amp;VALUEID=13040&amp;SDATE=200903&amp;PERIODTYPE=QTR_STD&amp;window=popup_no_bar&amp;width=385&amp;height=120&amp;START_MAXIMIZED=FALSE&amp;creator=factset&amp;display_string=Audit"}</definedName>
    <definedName name="_1581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582__FDSAUDITLINK__" localSheetId="15"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582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583__FDSAUDITLINK__" localSheetId="15" hidden="1">{"fdsup://Directions/FactSet Auditing Viewer?action=AUDIT_VALUE&amp;DB=129&amp;ID1=53271610&amp;VALUEID=02101&amp;SDATE=200903&amp;PERIODTYPE=QTR_STD&amp;window=popup_no_bar&amp;width=385&amp;height=120&amp;START_MAXIMIZED=FALSE&amp;creator=factset&amp;display_string=Audit"}</definedName>
    <definedName name="_1583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584__FDSAUDITLINK__" localSheetId="15" hidden="1">{"fdsup://Directions/FactSet Auditing Viewer?action=AUDIT_VALUE&amp;DB=129&amp;ID1=53271610&amp;VALUEID=01001&amp;SDATE=200903&amp;PERIODTYPE=QTR_STD&amp;window=popup_no_bar&amp;width=385&amp;height=120&amp;START_MAXIMIZED=FALSE&amp;creator=factset&amp;display_string=Audit"}</definedName>
    <definedName name="_1584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585__FDSAUDITLINK__" localSheetId="15" hidden="1">{"fdsup://Directions/FactSet Auditing Viewer?action=AUDIT_VALUE&amp;DB=129&amp;ID1=53271610&amp;VALUEID=13040&amp;SDATE=200903&amp;PERIODTYPE=QTR_STD&amp;window=popup_no_bar&amp;width=385&amp;height=120&amp;START_MAXIMIZED=FALSE&amp;creator=factset&amp;display_string=Audit"}</definedName>
    <definedName name="_1585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586__FDSAUDITLINK__" localSheetId="15" hidden="1">{"fdsup://Directions/FactSet Auditing Viewer?action=AUDIT_VALUE&amp;DB=129&amp;ID1=46612H40&amp;VALUEID=02101&amp;SDATE=200903&amp;PERIODTYPE=QTR_STD&amp;window=popup_no_bar&amp;width=385&amp;height=120&amp;START_MAXIMIZED=FALSE&amp;creator=factset&amp;display_string=Audit"}</definedName>
    <definedName name="_1586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587__FDSAUDITLINK__" localSheetId="15" hidden="1">{"fdsup://Directions/FactSet Auditing Viewer?action=AUDIT_VALUE&amp;DB=129&amp;ID1=46612H40&amp;VALUEID=01001&amp;SDATE=200903&amp;PERIODTYPE=QTR_STD&amp;window=popup_no_bar&amp;width=385&amp;height=120&amp;START_MAXIMIZED=FALSE&amp;creator=factset&amp;display_string=Audit"}</definedName>
    <definedName name="_1587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588__FDSAUDITLINK__" localSheetId="15" hidden="1">{"fdsup://Directions/FactSet Auditing Viewer?action=AUDIT_VALUE&amp;DB=129&amp;ID1=46612H40&amp;VALUEID=13040&amp;SDATE=200903&amp;PERIODTYPE=QTR_STD&amp;window=popup_no_bar&amp;width=385&amp;height=120&amp;START_MAXIMIZED=FALSE&amp;creator=factset&amp;display_string=Audit"}</definedName>
    <definedName name="_1588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589__FDSAUDITLINK__" localSheetId="15" hidden="1">{"fdsup://Directions/FactSet Auditing Viewer?action=AUDIT_VALUE&amp;DB=129&amp;ID1=36476010&amp;VALUEID=02101&amp;SDATE=200903&amp;PERIODTYPE=QTR_STD&amp;window=popup_no_bar&amp;width=385&amp;height=120&amp;START_MAXIMIZED=FALSE&amp;creator=factset&amp;display_string=Audit"}</definedName>
    <definedName name="_1589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5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159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590__FDSAUDITLINK__" localSheetId="15" hidden="1">{"fdsup://Directions/FactSet Auditing Viewer?action=AUDIT_VALUE&amp;DB=129&amp;ID1=36476010&amp;VALUEID=01001&amp;SDATE=200903&amp;PERIODTYPE=QTR_STD&amp;window=popup_no_bar&amp;width=385&amp;height=120&amp;START_MAXIMIZED=FALSE&amp;creator=factset&amp;display_string=Audit"}</definedName>
    <definedName name="_1590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591__FDSAUDITLINK__" localSheetId="15" hidden="1">{"fdsup://Directions/FactSet Auditing Viewer?action=AUDIT_VALUE&amp;DB=129&amp;ID1=36476010&amp;VALUEID=13040&amp;SDATE=200903&amp;PERIODTYPE=QTR_STD&amp;window=popup_no_bar&amp;width=385&amp;height=120&amp;START_MAXIMIZED=FALSE&amp;creator=factset&amp;display_string=Audit"}</definedName>
    <definedName name="_1591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592__FDSAUDITLINK__" localSheetId="15" hidden="1">{"fdsup://Directions/FactSet Auditing Viewer?action=AUDIT_VALUE&amp;DB=129&amp;ID1=03611510&amp;VALUEID=02101&amp;SDATE=200903&amp;PERIODTYPE=QTR_STD&amp;window=popup_no_bar&amp;width=385&amp;height=120&amp;START_MAXIMIZED=FALSE&amp;creator=factset&amp;display_string=Audit"}</definedName>
    <definedName name="_1592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593__FDSAUDITLINK__" localSheetId="15" hidden="1">{"fdsup://Directions/FactSet Auditing Viewer?action=AUDIT_VALUE&amp;DB=129&amp;ID1=03611510&amp;VALUEID=01001&amp;SDATE=200903&amp;PERIODTYPE=QTR_STD&amp;window=popup_no_bar&amp;width=385&amp;height=120&amp;START_MAXIMIZED=FALSE&amp;creator=factset&amp;display_string=Audit"}</definedName>
    <definedName name="_1593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594__FDSAUDITLINK__" localSheetId="15" hidden="1">{"fdsup://Directions/FactSet Auditing Viewer?action=AUDIT_VALUE&amp;DB=129&amp;ID1=03611510&amp;VALUEID=13040&amp;SDATE=200903&amp;PERIODTYPE=QTR_STD&amp;window=popup_no_bar&amp;width=385&amp;height=120&amp;START_MAXIMIZED=FALSE&amp;creator=factset&amp;display_string=Audit"}</definedName>
    <definedName name="_1594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595__FDSAUDITLINK__" localSheetId="15" hidden="1">{"fdsup://Directions/FactSet Auditing Viewer?action=AUDIT_VALUE&amp;DB=129&amp;ID1=16890510&amp;VALUEID=02101&amp;SDATE=200903&amp;PERIODTYPE=QTR_STD&amp;window=popup_no_bar&amp;width=385&amp;height=120&amp;START_MAXIMIZED=FALSE&amp;creator=factset&amp;display_string=Audit"}</definedName>
    <definedName name="_1595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596__FDSAUDITLINK__" localSheetId="15" hidden="1">{"fdsup://Directions/FactSet Auditing Viewer?action=AUDIT_VALUE&amp;DB=129&amp;ID1=16890510&amp;VALUEID=01001&amp;SDATE=200903&amp;PERIODTYPE=QTR_STD&amp;window=popup_no_bar&amp;width=385&amp;height=120&amp;START_MAXIMIZED=FALSE&amp;creator=factset&amp;display_string=Audit"}</definedName>
    <definedName name="_1596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597__FDSAUDITLINK__" localSheetId="15" hidden="1">{"fdsup://Directions/FactSet Auditing Viewer?action=AUDIT_VALUE&amp;DB=129&amp;ID1=91704710&amp;VALUEID=02101&amp;SDATE=200903&amp;PERIODTYPE=QTR_STD&amp;window=popup_no_bar&amp;width=385&amp;height=120&amp;START_MAXIMIZED=FALSE&amp;creator=factset&amp;display_string=Audit"}</definedName>
    <definedName name="_1597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598__FDSAUDITLINK__" localSheetId="15" hidden="1">{"fdsup://Directions/FactSet Auditing Viewer?action=AUDIT_VALUE&amp;DB=129&amp;ID1=91704710&amp;VALUEID=01001&amp;SDATE=200903&amp;PERIODTYPE=QTR_STD&amp;window=popup_no_bar&amp;width=385&amp;height=120&amp;START_MAXIMIZED=FALSE&amp;creator=factset&amp;display_string=Audit"}</definedName>
    <definedName name="_1598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599__FDSAUDITLINK__" localSheetId="15" hidden="1">{"fdsup://Directions/FactSet Auditing Viewer?action=AUDIT_VALUE&amp;DB=129&amp;ID1=91704710&amp;VALUEID=13040&amp;SDATE=200903&amp;PERIODTYPE=QTR_STD&amp;window=popup_no_bar&amp;width=385&amp;height=120&amp;START_MAXIMIZED=FALSE&amp;creator=factset&amp;display_string=Audit"}</definedName>
    <definedName name="_1599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6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16__FDSAUDITLINK__" hidden="1">{"fdsup://Directions/FactSet Auditing Viewer?action=AUDIT_VALUE&amp;DB=129&amp;ID1=03783310&amp;VALUEID=04601&amp;SDATE=2007&amp;PERIODTYPE=ANN_STD&amp;window=popup_no_bar&amp;width=385&amp;height=120&amp;START_MAXIMIZED=FALSE&amp;creator=factset&amp;display_string=Audit"}</definedName>
    <definedName name="_16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160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600__FDSAUDITLINK__" localSheetId="15" hidden="1">{"fdsup://Directions/FactSet Auditing Viewer?action=AUDIT_VALUE&amp;DB=129&amp;ID1=02553E10&amp;VALUEID=02101&amp;SDATE=200903&amp;PERIODTYPE=QTR_STD&amp;window=popup_no_bar&amp;width=385&amp;height=120&amp;START_MAXIMIZED=FALSE&amp;creator=factset&amp;display_string=Audit"}</definedName>
    <definedName name="_1600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601__FDSAUDITLINK__" localSheetId="15" hidden="1">{"fdsup://Directions/FactSet Auditing Viewer?action=AUDIT_VALUE&amp;DB=129&amp;ID1=02553E10&amp;VALUEID=01001&amp;SDATE=200903&amp;PERIODTYPE=QTR_STD&amp;window=popup_no_bar&amp;width=385&amp;height=120&amp;START_MAXIMIZED=FALSE&amp;creator=factset&amp;display_string=Audit"}</definedName>
    <definedName name="_1601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602__FDSAUDITLINK__" localSheetId="15" hidden="1">{"fdsup://Directions/FactSet Auditing Viewer?action=AUDIT_VALUE&amp;DB=129&amp;ID1=00786510&amp;VALUEID=02101&amp;SDATE=200903&amp;PERIODTYPE=QTR_STD&amp;window=popup_no_bar&amp;width=385&amp;height=120&amp;START_MAXIMIZED=FALSE&amp;creator=factset&amp;display_string=Audit"}</definedName>
    <definedName name="_1602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603__FDSAUDITLINK__" localSheetId="15" hidden="1">{"fdsup://Directions/FactSet Auditing Viewer?action=AUDIT_VALUE&amp;DB=129&amp;ID1=00786510&amp;VALUEID=01001&amp;SDATE=200903&amp;PERIODTYPE=QTR_STD&amp;window=popup_no_bar&amp;width=385&amp;height=120&amp;START_MAXIMIZED=FALSE&amp;creator=factset&amp;display_string=Audit"}</definedName>
    <definedName name="_1603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604__FDSAUDITLINK__" localSheetId="15" hidden="1">{"fdsup://Directions/FactSet Auditing Viewer?action=AUDIT_VALUE&amp;DB=129&amp;ID1=00786510&amp;VALUEID=13040&amp;SDATE=200903&amp;PERIODTYPE=QTR_STD&amp;window=popup_no_bar&amp;width=385&amp;height=120&amp;START_MAXIMIZED=FALSE&amp;creator=factset&amp;display_string=Audit"}</definedName>
    <definedName name="_1604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605__FDSAUDITLINK__" localSheetId="15" hidden="1">{"fdsup://Directions/FactSet Auditing Viewer?action=AUDIT_VALUE&amp;DB=129&amp;ID1=00289620&amp;VALUEID=02101&amp;SDATE=200903&amp;PERIODTYPE=QTR_STD&amp;window=popup_no_bar&amp;width=385&amp;height=120&amp;START_MAXIMIZED=FALSE&amp;creator=factset&amp;display_string=Audit"}</definedName>
    <definedName name="_1605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606__FDSAUDITLINK__" localSheetId="15" hidden="1">{"fdsup://Directions/FactSet Auditing Viewer?action=AUDIT_VALUE&amp;DB=129&amp;ID1=00289620&amp;VALUEID=01001&amp;SDATE=200903&amp;PERIODTYPE=QTR_STD&amp;window=popup_no_bar&amp;width=385&amp;height=120&amp;START_MAXIMIZED=FALSE&amp;creator=factset&amp;display_string=Audit"}</definedName>
    <definedName name="_1606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607__FDSAUDITLINK__" localSheetId="15" hidden="1">{"fdsup://Directions/FactSet Auditing Viewer?action=AUDIT_VALUE&amp;DB=129&amp;ID1=00289620&amp;VALUEID=13040&amp;SDATE=200903&amp;PERIODTYPE=QTR_STD&amp;window=popup_no_bar&amp;width=385&amp;height=120&amp;START_MAXIMIZED=FALSE&amp;creator=factset&amp;display_string=Audit"}</definedName>
    <definedName name="_1607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608__FDSAUDITLINK__" localSheetId="15" hidden="1">{"fdsup://Directions/FactSet Auditing Viewer?action=AUDIT_VALUE&amp;DB=129&amp;ID1=87416110&amp;VALUEID=02101&amp;SDATE=200902&amp;PERIODTYPE=QTR_STD&amp;window=popup_no_bar&amp;width=385&amp;height=120&amp;START_MAXIMIZED=FALSE&amp;creator=factset&amp;display_string=Audit"}</definedName>
    <definedName name="_1608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609__FDSAUDITLINK__" localSheetId="15" hidden="1">{"fdsup://Directions/FactSet Auditing Viewer?action=AUDIT_VALUE&amp;DB=129&amp;ID1=87416110&amp;VALUEID=01001&amp;SDATE=200902&amp;PERIODTYPE=QTR_STD&amp;window=popup_no_bar&amp;width=385&amp;height=120&amp;START_MAXIMIZED=FALSE&amp;creator=factset&amp;display_string=Audit"}</definedName>
    <definedName name="_1609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6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161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610__FDSAUDITLINK__" localSheetId="15" hidden="1">{"fdsup://Directions/FactSet Auditing Viewer?action=AUDIT_VALUE&amp;DB=129&amp;ID1=53271610&amp;VALUEID=02101&amp;SDATE=200902&amp;PERIODTYPE=QTR_STD&amp;window=popup_no_bar&amp;width=385&amp;height=120&amp;START_MAXIMIZED=FALSE&amp;creator=factset&amp;display_string=Audit"}</definedName>
    <definedName name="_1610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611__FDSAUDITLINK__" localSheetId="15" hidden="1">{"fdsup://Directions/FactSet Auditing Viewer?action=AUDIT_VALUE&amp;DB=129&amp;ID1=53271610&amp;VALUEID=01001&amp;SDATE=200902&amp;PERIODTYPE=QTR_STD&amp;window=popup_no_bar&amp;width=385&amp;height=120&amp;START_MAXIMIZED=FALSE&amp;creator=factset&amp;display_string=Audit"}</definedName>
    <definedName name="_1611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612__FDSAUDITLINK__" localSheetId="15" hidden="1">{"fdsup://Directions/FactSet Auditing Viewer?action=AUDIT_VALUE&amp;DB=129&amp;ID1=53271610&amp;VALUEID=13040&amp;SDATE=200902&amp;PERIODTYPE=QTR_STD&amp;window=popup_no_bar&amp;width=385&amp;height=120&amp;START_MAXIMIZED=FALSE&amp;creator=factset&amp;display_string=Audit"}</definedName>
    <definedName name="_1612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613__FDSAUDITLINK__" localSheetId="15" hidden="1">{"fdsup://Directions/FactSet Auditing Viewer?action=AUDIT_VALUE&amp;DB=129&amp;ID1=46612H40&amp;VALUEID=02101&amp;SDATE=200902&amp;PERIODTYPE=QTR_STD&amp;window=popup_no_bar&amp;width=385&amp;height=120&amp;START_MAXIMIZED=FALSE&amp;creator=factset&amp;display_string=Audit"}</definedName>
    <definedName name="_1613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614__FDSAUDITLINK__" localSheetId="15" hidden="1">{"fdsup://Directions/FactSet Auditing Viewer?action=AUDIT_VALUE&amp;DB=129&amp;ID1=46612H40&amp;VALUEID=01001&amp;SDATE=200902&amp;PERIODTYPE=QTR_STD&amp;window=popup_no_bar&amp;width=385&amp;height=120&amp;START_MAXIMIZED=FALSE&amp;creator=factset&amp;display_string=Audit"}</definedName>
    <definedName name="_1614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615__FDSAUDITLINK__" localSheetId="15" hidden="1">{"fdsup://Directions/FactSet Auditing Viewer?action=AUDIT_VALUE&amp;DB=129&amp;ID1=46612H40&amp;VALUEID=13040&amp;SDATE=200902&amp;PERIODTYPE=QTR_STD&amp;window=popup_no_bar&amp;width=385&amp;height=120&amp;START_MAXIMIZED=FALSE&amp;creator=factset&amp;display_string=Audit"}</definedName>
    <definedName name="_1615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616__FDSAUDITLINK__" localSheetId="15" hidden="1">{"fdsup://Directions/FactSet Auditing Viewer?action=AUDIT_VALUE&amp;DB=129&amp;ID1=36476010&amp;VALUEID=02101&amp;SDATE=200902&amp;PERIODTYPE=QTR_STD&amp;window=popup_no_bar&amp;width=385&amp;height=120&amp;START_MAXIMIZED=FALSE&amp;creator=factset&amp;display_string=Audit"}</definedName>
    <definedName name="_1616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617__FDSAUDITLINK__" localSheetId="15" hidden="1">{"fdsup://Directions/FactSet Auditing Viewer?action=AUDIT_VALUE&amp;DB=129&amp;ID1=36476010&amp;VALUEID=01001&amp;SDATE=200902&amp;PERIODTYPE=QTR_STD&amp;window=popup_no_bar&amp;width=385&amp;height=120&amp;START_MAXIMIZED=FALSE&amp;creator=factset&amp;display_string=Audit"}</definedName>
    <definedName name="_1617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618__FDSAUDITLINK__" localSheetId="15" hidden="1">{"fdsup://Directions/FactSet Auditing Viewer?action=AUDIT_VALUE&amp;DB=129&amp;ID1=36476010&amp;VALUEID=13040&amp;SDATE=200902&amp;PERIODTYPE=QTR_STD&amp;window=popup_no_bar&amp;width=385&amp;height=120&amp;START_MAXIMIZED=FALSE&amp;creator=factset&amp;display_string=Audit"}</definedName>
    <definedName name="_1618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619__FDSAUDITLINK__" localSheetId="15" hidden="1">{"fdsup://Directions/FactSet Auditing Viewer?action=AUDIT_VALUE&amp;DB=129&amp;ID1=03611510&amp;VALUEID=02101&amp;SDATE=200902&amp;PERIODTYPE=QTR_STD&amp;window=popup_no_bar&amp;width=385&amp;height=120&amp;START_MAXIMIZED=FALSE&amp;creator=factset&amp;display_string=Audit"}</definedName>
    <definedName name="_1619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6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162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620__FDSAUDITLINK__" localSheetId="15" hidden="1">{"fdsup://Directions/FactSet Auditing Viewer?action=AUDIT_VALUE&amp;DB=129&amp;ID1=03611510&amp;VALUEID=01001&amp;SDATE=200902&amp;PERIODTYPE=QTR_STD&amp;window=popup_no_bar&amp;width=385&amp;height=120&amp;START_MAXIMIZED=FALSE&amp;creator=factset&amp;display_string=Audit"}</definedName>
    <definedName name="_1620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621__FDSAUDITLINK__" localSheetId="15" hidden="1">{"fdsup://Directions/FactSet Auditing Viewer?action=AUDIT_VALUE&amp;DB=129&amp;ID1=03611510&amp;VALUEID=13040&amp;SDATE=200902&amp;PERIODTYPE=QTR_STD&amp;window=popup_no_bar&amp;width=385&amp;height=120&amp;START_MAXIMIZED=FALSE&amp;creator=factset&amp;display_string=Audit"}</definedName>
    <definedName name="_1621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622__FDSAUDITLINK__" localSheetId="15" hidden="1">{"fdsup://Directions/FactSet Auditing Viewer?action=AUDIT_VALUE&amp;DB=129&amp;ID1=16890510&amp;VALUEID=02101&amp;SDATE=200902&amp;PERIODTYPE=QTR_STD&amp;window=popup_no_bar&amp;width=385&amp;height=120&amp;START_MAXIMIZED=FALSE&amp;creator=factset&amp;display_string=Audit"}</definedName>
    <definedName name="_1622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623__FDSAUDITLINK__" localSheetId="15" hidden="1">{"fdsup://Directions/FactSet Auditing Viewer?action=AUDIT_VALUE&amp;DB=129&amp;ID1=16890510&amp;VALUEID=01001&amp;SDATE=200902&amp;PERIODTYPE=QTR_STD&amp;window=popup_no_bar&amp;width=385&amp;height=120&amp;START_MAXIMIZED=FALSE&amp;creator=factset&amp;display_string=Audit"}</definedName>
    <definedName name="_1623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624__FDSAUDITLINK__" localSheetId="15" hidden="1">{"fdsup://Directions/FactSet Auditing Viewer?action=AUDIT_VALUE&amp;DB=129&amp;ID1=91704710&amp;VALUEID=02101&amp;SDATE=200902&amp;PERIODTYPE=QTR_STD&amp;window=popup_no_bar&amp;width=385&amp;height=120&amp;START_MAXIMIZED=FALSE&amp;creator=factset&amp;display_string=Audit"}</definedName>
    <definedName name="_1624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625__FDSAUDITLINK__" localSheetId="15" hidden="1">{"fdsup://Directions/FactSet Auditing Viewer?action=AUDIT_VALUE&amp;DB=129&amp;ID1=91704710&amp;VALUEID=01001&amp;SDATE=200902&amp;PERIODTYPE=QTR_STD&amp;window=popup_no_bar&amp;width=385&amp;height=120&amp;START_MAXIMIZED=FALSE&amp;creator=factset&amp;display_string=Audit"}</definedName>
    <definedName name="_1625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626__FDSAUDITLINK__" localSheetId="15" hidden="1">{"fdsup://Directions/FactSet Auditing Viewer?action=AUDIT_VALUE&amp;DB=129&amp;ID1=02553E10&amp;VALUEID=02101&amp;SDATE=200902&amp;PERIODTYPE=QTR_STD&amp;window=popup_no_bar&amp;width=385&amp;height=120&amp;START_MAXIMIZED=FALSE&amp;creator=factset&amp;display_string=Audit"}</definedName>
    <definedName name="_1626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627__FDSAUDITLINK__" localSheetId="15" hidden="1">{"fdsup://Directions/FactSet Auditing Viewer?action=AUDIT_VALUE&amp;DB=129&amp;ID1=02553E10&amp;VALUEID=01001&amp;SDATE=200902&amp;PERIODTYPE=QTR_STD&amp;window=popup_no_bar&amp;width=385&amp;height=120&amp;START_MAXIMIZED=FALSE&amp;creator=factset&amp;display_string=Audit"}</definedName>
    <definedName name="_1627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628__FDSAUDITLINK__" localSheetId="15" hidden="1">{"fdsup://Directions/FactSet Auditing Viewer?action=AUDIT_VALUE&amp;DB=129&amp;ID1=02553E10&amp;VALUEID=13040&amp;SDATE=200902&amp;PERIODTYPE=QTR_STD&amp;window=popup_no_bar&amp;width=385&amp;height=120&amp;START_MAXIMIZED=FALSE&amp;creator=factset&amp;display_string=Audit"}</definedName>
    <definedName name="_1628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629__FDSAUDITLINK__" localSheetId="15" hidden="1">{"fdsup://Directions/FactSet Auditing Viewer?action=AUDIT_VALUE&amp;DB=129&amp;ID1=00786510&amp;VALUEID=02101&amp;SDATE=200902&amp;PERIODTYPE=QTR_STD&amp;window=popup_no_bar&amp;width=385&amp;height=120&amp;START_MAXIMIZED=FALSE&amp;creator=factset&amp;display_string=Audit"}</definedName>
    <definedName name="_1629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6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163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630__FDSAUDITLINK__" localSheetId="15" hidden="1">{"fdsup://Directions/FactSet Auditing Viewer?action=AUDIT_VALUE&amp;DB=129&amp;ID1=00786510&amp;VALUEID=01001&amp;SDATE=200902&amp;PERIODTYPE=QTR_STD&amp;window=popup_no_bar&amp;width=385&amp;height=120&amp;START_MAXIMIZED=FALSE&amp;creator=factset&amp;display_string=Audit"}</definedName>
    <definedName name="_1630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631__FDSAUDITLINK__" localSheetId="15" hidden="1">{"fdsup://Directions/FactSet Auditing Viewer?action=AUDIT_VALUE&amp;DB=129&amp;ID1=00786510&amp;VALUEID=13040&amp;SDATE=200902&amp;PERIODTYPE=QTR_STD&amp;window=popup_no_bar&amp;width=385&amp;height=120&amp;START_MAXIMIZED=FALSE&amp;creator=factset&amp;display_string=Audit"}</definedName>
    <definedName name="_1631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632__FDSAUDITLINK__" localSheetId="15" hidden="1">{"fdsup://Directions/FactSet Auditing Viewer?action=AUDIT_VALUE&amp;DB=129&amp;ID1=00289620&amp;VALUEID=02101&amp;SDATE=200902&amp;PERIODTYPE=QTR_STD&amp;window=popup_no_bar&amp;width=385&amp;height=120&amp;START_MAXIMIZED=FALSE&amp;creator=factset&amp;display_string=Audit"}</definedName>
    <definedName name="_1632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633__FDSAUDITLINK__" localSheetId="15" hidden="1">{"fdsup://Directions/FactSet Auditing Viewer?action=AUDIT_VALUE&amp;DB=129&amp;ID1=00289620&amp;VALUEID=01001&amp;SDATE=200902&amp;PERIODTYPE=QTR_STD&amp;window=popup_no_bar&amp;width=385&amp;height=120&amp;START_MAXIMIZED=FALSE&amp;creator=factset&amp;display_string=Audit"}</definedName>
    <definedName name="_1633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634__FDSAUDITLINK__" localSheetId="15" hidden="1">{"fdsup://Directions/FactSet Auditing Viewer?action=AUDIT_VALUE&amp;DB=129&amp;ID1=00289620&amp;VALUEID=13040&amp;SDATE=200902&amp;PERIODTYPE=QTR_STD&amp;window=popup_no_bar&amp;width=385&amp;height=120&amp;START_MAXIMIZED=FALSE&amp;creator=factset&amp;display_string=Audit"}</definedName>
    <definedName name="_1634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635__FDSAUDITLINK__" localSheetId="15" hidden="1">{"fdsup://Directions/FactSet Auditing Viewer?action=AUDIT_VALUE&amp;DB=129&amp;ID1=87416110&amp;VALUEID=02101&amp;SDATE=200901&amp;PERIODTYPE=QTR_STD&amp;window=popup_no_bar&amp;width=385&amp;height=120&amp;START_MAXIMIZED=FALSE&amp;creator=factset&amp;display_string=Audit"}</definedName>
    <definedName name="_1635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636__FDSAUDITLINK__" localSheetId="15" hidden="1">{"fdsup://Directions/FactSet Auditing Viewer?action=AUDIT_VALUE&amp;DB=129&amp;ID1=87416110&amp;VALUEID=01001&amp;SDATE=200901&amp;PERIODTYPE=QTR_STD&amp;window=popup_no_bar&amp;width=385&amp;height=120&amp;START_MAXIMIZED=FALSE&amp;creator=factset&amp;display_string=Audit"}</definedName>
    <definedName name="_1636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637__FDSAUDITLINK__" localSheetId="15" hidden="1">{"fdsup://Directions/FactSet Auditing Viewer?action=AUDIT_VALUE&amp;DB=129&amp;ID1=87416110&amp;VALUEID=13040&amp;SDATE=200901&amp;PERIODTYPE=QTR_STD&amp;window=popup_no_bar&amp;width=385&amp;height=120&amp;START_MAXIMIZED=FALSE&amp;creator=factset&amp;display_string=Audit"}</definedName>
    <definedName name="_1637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638__FDSAUDITLINK__" localSheetId="15"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638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639__FDSAUDITLINK__" localSheetId="15" hidden="1">{"fdsup://Directions/FactSet Auditing Viewer?action=AUDIT_VALUE&amp;DB=129&amp;ID1=53271610&amp;VALUEID=13040&amp;SDATE=200901&amp;PERIODTYPE=QTR_STD&amp;window=popup_no_bar&amp;width=385&amp;height=120&amp;START_MAXIMIZED=FALSE&amp;creator=factset&amp;display_string=Audit"}</definedName>
    <definedName name="_1639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6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164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640__FDSAUDITLINK__" localSheetId="15" hidden="1">{"fdsup://Directions/FactSet Auditing Viewer?action=AUDIT_VALUE&amp;DB=129&amp;ID1=46612H40&amp;VALUEID=02101&amp;SDATE=200901&amp;PERIODTYPE=QTR_STD&amp;window=popup_no_bar&amp;width=385&amp;height=120&amp;START_MAXIMIZED=FALSE&amp;creator=factset&amp;display_string=Audit"}</definedName>
    <definedName name="_1640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641__FDSAUDITLINK__" localSheetId="15" hidden="1">{"fdsup://Directions/FactSet Auditing Viewer?action=AUDIT_VALUE&amp;DB=129&amp;ID1=46612H40&amp;VALUEID=01001&amp;SDATE=200901&amp;PERIODTYPE=QTR_STD&amp;window=popup_no_bar&amp;width=385&amp;height=120&amp;START_MAXIMIZED=FALSE&amp;creator=factset&amp;display_string=Audit"}</definedName>
    <definedName name="_1641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642__FDSAUDITLINK__" localSheetId="15" hidden="1">{"fdsup://Directions/FactSet Auditing Viewer?action=AUDIT_VALUE&amp;DB=129&amp;ID1=46612H40&amp;VALUEID=13040&amp;SDATE=200901&amp;PERIODTYPE=QTR_STD&amp;window=popup_no_bar&amp;width=385&amp;height=120&amp;START_MAXIMIZED=FALSE&amp;creator=factset&amp;display_string=Audit"}</definedName>
    <definedName name="_1642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643__FDSAUDITLINK__" localSheetId="15" hidden="1">{"fdsup://Directions/FactSet Auditing Viewer?action=AUDIT_VALUE&amp;DB=129&amp;ID1=03611510&amp;VALUEID=02101&amp;SDATE=200901&amp;PERIODTYPE=QTR_STD&amp;window=popup_no_bar&amp;width=385&amp;height=120&amp;START_MAXIMIZED=FALSE&amp;creator=factset&amp;display_string=Audit"}</definedName>
    <definedName name="_1643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644__FDSAUDITLINK__" localSheetId="15" hidden="1">{"fdsup://Directions/FactSet Auditing Viewer?action=AUDIT_VALUE&amp;DB=129&amp;ID1=03611510&amp;VALUEID=01001&amp;SDATE=200901&amp;PERIODTYPE=QTR_STD&amp;window=popup_no_bar&amp;width=385&amp;height=120&amp;START_MAXIMIZED=FALSE&amp;creator=factset&amp;display_string=Audit"}</definedName>
    <definedName name="_1644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645__FDSAUDITLINK__" localSheetId="15" hidden="1">{"fdsup://Directions/FactSet Auditing Viewer?action=AUDIT_VALUE&amp;DB=129&amp;ID1=16890510&amp;VALUEID=02101&amp;SDATE=200901&amp;PERIODTYPE=QTR_STD&amp;window=popup_no_bar&amp;width=385&amp;height=120&amp;START_MAXIMIZED=FALSE&amp;creator=factset&amp;display_string=Audit"}</definedName>
    <definedName name="_1645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646__FDSAUDITLINK__" localSheetId="15" hidden="1">{"fdsup://Directions/FactSet Auditing Viewer?action=AUDIT_VALUE&amp;DB=129&amp;ID1=16890510&amp;VALUEID=01001&amp;SDATE=200901&amp;PERIODTYPE=QTR_STD&amp;window=popup_no_bar&amp;width=385&amp;height=120&amp;START_MAXIMIZED=FALSE&amp;creator=factset&amp;display_string=Audit"}</definedName>
    <definedName name="_1646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647__FDSAUDITLINK__" localSheetId="15" hidden="1">{"fdsup://Directions/FactSet Auditing Viewer?action=AUDIT_VALUE&amp;DB=129&amp;ID1=00786510&amp;VALUEID=02101&amp;SDATE=200901&amp;PERIODTYPE=QTR_STD&amp;window=popup_no_bar&amp;width=385&amp;height=120&amp;START_MAXIMIZED=FALSE&amp;creator=factset&amp;display_string=Audit"}</definedName>
    <definedName name="_1647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648__FDSAUDITLINK__" localSheetId="15" hidden="1">{"fdsup://Directions/FactSet Auditing Viewer?action=AUDIT_VALUE&amp;DB=129&amp;ID1=00786510&amp;VALUEID=01001&amp;SDATE=200901&amp;PERIODTYPE=QTR_STD&amp;window=popup_no_bar&amp;width=385&amp;height=120&amp;START_MAXIMIZED=FALSE&amp;creator=factset&amp;display_string=Audit"}</definedName>
    <definedName name="_1648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649__FDSAUDITLINK__" localSheetId="15" hidden="1">{"fdsup://Directions/FactSet Auditing Viewer?action=AUDIT_VALUE&amp;DB=129&amp;ID1=00786510&amp;VALUEID=13040&amp;SDATE=200901&amp;PERIODTYPE=QTR_STD&amp;window=popup_no_bar&amp;width=385&amp;height=120&amp;START_MAXIMIZED=FALSE&amp;creator=factset&amp;display_string=Audit"}</definedName>
    <definedName name="_1649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6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165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650__FDSAUDITLINK__" localSheetId="15" hidden="1">{"fdsup://Directions/FactSet Auditing Viewer?action=AUDIT_VALUE&amp;DB=129&amp;ID1=00289620&amp;VALUEID=13040&amp;SDATE=200901&amp;PERIODTYPE=QTR_STD&amp;window=popup_no_bar&amp;width=385&amp;height=120&amp;START_MAXIMIZED=FALSE&amp;creator=factset&amp;display_string=Audit"}</definedName>
    <definedName name="_1650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651__FDSAUDITLINK__" localSheetId="15" hidden="1">{"fdsup://Directions/FactSet Auditing Viewer?action=AUDIT_VALUE&amp;DB=129&amp;ID1=87416110&amp;VALUEID=01001&amp;SDATE=200804&amp;PERIODTYPE=QTR_STD&amp;window=popup_no_bar&amp;width=385&amp;height=120&amp;START_MAXIMIZED=FALSE&amp;creator=factset&amp;display_string=Audit"}</definedName>
    <definedName name="_1651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652__FDSAUDITLINK__" localSheetId="15"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652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653__FDSAUDITLINK__" localSheetId="15" hidden="1">{"fdsup://Directions/FactSet Auditing Viewer?action=AUDIT_VALUE&amp;DB=129&amp;ID1=46612H40&amp;VALUEID=01001&amp;SDATE=200804&amp;PERIODTYPE=QTR_STD&amp;window=popup_no_bar&amp;width=385&amp;height=120&amp;START_MAXIMIZED=FALSE&amp;creator=factset&amp;display_string=Audit"}</definedName>
    <definedName name="_1653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654__FDSAUDITLINK__" localSheetId="15" hidden="1">{"fdsup://Directions/FactSet Auditing Viewer?action=AUDIT_VALUE&amp;DB=129&amp;ID1=46612H40&amp;VALUEID=13040&amp;SDATE=200804&amp;PERIODTYPE=QTR_STD&amp;window=popup_no_bar&amp;width=385&amp;height=120&amp;START_MAXIMIZED=FALSE&amp;creator=factset&amp;display_string=Audit"}</definedName>
    <definedName name="_1654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655__FDSAUDITLINK__" localSheetId="15" hidden="1">{"fdsup://Directions/FactSet Auditing Viewer?action=AUDIT_VALUE&amp;DB=129&amp;ID1=36476010&amp;VALUEID=01001&amp;SDATE=200804&amp;PERIODTYPE=QTR_STD&amp;window=popup_no_bar&amp;width=385&amp;height=120&amp;START_MAXIMIZED=FALSE&amp;creator=factset&amp;display_string=Audit"}</definedName>
    <definedName name="_1655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656__FDSAUDITLINK__" localSheetId="15" hidden="1">{"fdsup://Directions/FactSet Auditing Viewer?action=AUDIT_VALUE&amp;DB=129&amp;ID1=03611510&amp;VALUEID=01001&amp;SDATE=200804&amp;PERIODTYPE=QTR_STD&amp;window=popup_no_bar&amp;width=385&amp;height=120&amp;START_MAXIMIZED=FALSE&amp;creator=factset&amp;display_string=Audit"}</definedName>
    <definedName name="_1656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657__FDSAUDITLINK__" localSheetId="15" hidden="1">{"fdsup://Directions/FactSet Auditing Viewer?action=AUDIT_VALUE&amp;DB=129&amp;ID1=16890510&amp;VALUEID=01001&amp;SDATE=200804&amp;PERIODTYPE=QTR_STD&amp;window=popup_no_bar&amp;width=385&amp;height=120&amp;START_MAXIMIZED=FALSE&amp;creator=factset&amp;display_string=Audit"}</definedName>
    <definedName name="_1657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658__FDSAUDITLINK__" localSheetId="15" hidden="1">{"fdsup://Directions/FactSet Auditing Viewer?action=AUDIT_VALUE&amp;DB=129&amp;ID1=00786510&amp;VALUEID=01001&amp;SDATE=200804&amp;PERIODTYPE=QTR_STD&amp;window=popup_no_bar&amp;width=385&amp;height=120&amp;START_MAXIMIZED=FALSE&amp;creator=factset&amp;display_string=Audit"}</definedName>
    <definedName name="_1658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659__FDSAUDITLINK__" localSheetId="15" hidden="1">{"fdsup://Directions/FactSet Auditing Viewer?action=AUDIT_VALUE&amp;DB=129&amp;ID1=87416110&amp;VALUEID=02101&amp;SDATE=200803&amp;PERIODTYPE=QTR_STD&amp;window=popup_no_bar&amp;width=385&amp;height=120&amp;START_MAXIMIZED=FALSE&amp;creator=factset&amp;display_string=Audit"}</definedName>
    <definedName name="_1659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6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166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660__FDSAUDITLINK__" localSheetId="15" hidden="1">{"fdsup://Directions/FactSet Auditing Viewer?action=AUDIT_VALUE&amp;DB=129&amp;ID1=87416110&amp;VALUEID=01001&amp;SDATE=200803&amp;PERIODTYPE=QTR_STD&amp;window=popup_no_bar&amp;width=385&amp;height=120&amp;START_MAXIMIZED=FALSE&amp;creator=factset&amp;display_string=Audit"}</definedName>
    <definedName name="_1660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661__FDSAUDITLINK__" localSheetId="15" hidden="1">{"fdsup://Directions/FactSet Auditing Viewer?action=AUDIT_VALUE&amp;DB=129&amp;ID1=87416110&amp;VALUEID=13040&amp;SDATE=200803&amp;PERIODTYPE=QTR_STD&amp;window=popup_no_bar&amp;width=385&amp;height=120&amp;START_MAXIMIZED=FALSE&amp;creator=factset&amp;display_string=Audit"}</definedName>
    <definedName name="_1661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662__FDSAUDITLINK__" localSheetId="15"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662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663__FDSAUDITLINK__" localSheetId="15" hidden="1">{"fdsup://Directions/FactSet Auditing Viewer?action=AUDIT_VALUE&amp;DB=129&amp;ID1=46612H40&amp;VALUEID=02101&amp;SDATE=200803&amp;PERIODTYPE=QTR_STD&amp;window=popup_no_bar&amp;width=385&amp;height=120&amp;START_MAXIMIZED=FALSE&amp;creator=factset&amp;display_string=Audit"}</definedName>
    <definedName name="_1663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664__FDSAUDITLINK__" localSheetId="15" hidden="1">{"fdsup://Directions/FactSet Auditing Viewer?action=AUDIT_VALUE&amp;DB=129&amp;ID1=46612H40&amp;VALUEID=01001&amp;SDATE=200803&amp;PERIODTYPE=QTR_STD&amp;window=popup_no_bar&amp;width=385&amp;height=120&amp;START_MAXIMIZED=FALSE&amp;creator=factset&amp;display_string=Audit"}</definedName>
    <definedName name="_1664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665__FDSAUDITLINK__" localSheetId="15" hidden="1">{"fdsup://Directions/FactSet Auditing Viewer?action=AUDIT_VALUE&amp;DB=129&amp;ID1=46612H40&amp;VALUEID=13040&amp;SDATE=200803&amp;PERIODTYPE=QTR_STD&amp;window=popup_no_bar&amp;width=385&amp;height=120&amp;START_MAXIMIZED=FALSE&amp;creator=factset&amp;display_string=Audit"}</definedName>
    <definedName name="_1665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666__FDSAUDITLINK__" localSheetId="15" hidden="1">{"fdsup://Directions/FactSet Auditing Viewer?action=AUDIT_VALUE&amp;DB=129&amp;ID1=36476010&amp;VALUEID=02101&amp;SDATE=200803&amp;PERIODTYPE=QTR_STD&amp;window=popup_no_bar&amp;width=385&amp;height=120&amp;START_MAXIMIZED=FALSE&amp;creator=factset&amp;display_string=Audit"}</definedName>
    <definedName name="_1666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667__FDSAUDITLINK__" localSheetId="15" hidden="1">{"fdsup://Directions/FactSet Auditing Viewer?action=AUDIT_VALUE&amp;DB=129&amp;ID1=36476010&amp;VALUEID=01001&amp;SDATE=200803&amp;PERIODTYPE=QTR_STD&amp;window=popup_no_bar&amp;width=385&amp;height=120&amp;START_MAXIMIZED=FALSE&amp;creator=factset&amp;display_string=Audit"}</definedName>
    <definedName name="_1667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668__FDSAUDITLINK__" localSheetId="15" hidden="1">{"fdsup://Directions/FactSet Auditing Viewer?action=AUDIT_VALUE&amp;DB=129&amp;ID1=36476010&amp;VALUEID=13040&amp;SDATE=200803&amp;PERIODTYPE=QTR_STD&amp;window=popup_no_bar&amp;width=385&amp;height=120&amp;START_MAXIMIZED=FALSE&amp;creator=factset&amp;display_string=Audit"}</definedName>
    <definedName name="_1668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669__FDSAUDITLINK__" localSheetId="15" hidden="1">{"fdsup://Directions/FactSet Auditing Viewer?action=AUDIT_VALUE&amp;DB=129&amp;ID1=03611510&amp;VALUEID=02101&amp;SDATE=200803&amp;PERIODTYPE=QTR_STD&amp;window=popup_no_bar&amp;width=385&amp;height=120&amp;START_MAXIMIZED=FALSE&amp;creator=factset&amp;display_string=Audit"}</definedName>
    <definedName name="_1669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6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167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670__FDSAUDITLINK__" localSheetId="15" hidden="1">{"fdsup://Directions/FactSet Auditing Viewer?action=AUDIT_VALUE&amp;DB=129&amp;ID1=03611510&amp;VALUEID=01001&amp;SDATE=200803&amp;PERIODTYPE=QTR_STD&amp;window=popup_no_bar&amp;width=385&amp;height=120&amp;START_MAXIMIZED=FALSE&amp;creator=factset&amp;display_string=Audit"}</definedName>
    <definedName name="_167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671__FDSAUDITLINK__" localSheetId="15" hidden="1">{"fdsup://Directions/FactSet Auditing Viewer?action=AUDIT_VALUE&amp;DB=129&amp;ID1=16890510&amp;VALUEID=02101&amp;SDATE=200803&amp;PERIODTYPE=QTR_STD&amp;window=popup_no_bar&amp;width=385&amp;height=120&amp;START_MAXIMIZED=FALSE&amp;creator=factset&amp;display_string=Audit"}</definedName>
    <definedName name="_1671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672__FDSAUDITLINK__" localSheetId="15" hidden="1">{"fdsup://Directions/FactSet Auditing Viewer?action=AUDIT_VALUE&amp;DB=129&amp;ID1=16890510&amp;VALUEID=01001&amp;SDATE=200803&amp;PERIODTYPE=QTR_STD&amp;window=popup_no_bar&amp;width=385&amp;height=120&amp;START_MAXIMIZED=FALSE&amp;creator=factset&amp;display_string=Audit"}</definedName>
    <definedName name="_1672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673__FDSAUDITLINK__" localSheetId="15" hidden="1">{"fdsup://Directions/FactSet Auditing Viewer?action=AUDIT_VALUE&amp;DB=129&amp;ID1=91704710&amp;VALUEID=02101&amp;SDATE=200803&amp;PERIODTYPE=QTR_STD&amp;window=popup_no_bar&amp;width=385&amp;height=120&amp;START_MAXIMIZED=FALSE&amp;creator=factset&amp;display_string=Audit"}</definedName>
    <definedName name="_1673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674__FDSAUDITLINK__" localSheetId="15" hidden="1">{"fdsup://Directions/FactSet Auditing Viewer?action=AUDIT_VALUE&amp;DB=129&amp;ID1=91704710&amp;VALUEID=01001&amp;SDATE=200803&amp;PERIODTYPE=QTR_STD&amp;window=popup_no_bar&amp;width=385&amp;height=120&amp;START_MAXIMIZED=FALSE&amp;creator=factset&amp;display_string=Audit"}</definedName>
    <definedName name="_1674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675__FDSAUDITLINK__" localSheetId="15" hidden="1">{"fdsup://Directions/FactSet Auditing Viewer?action=AUDIT_VALUE&amp;DB=129&amp;ID1=91704710&amp;VALUEID=13040&amp;SDATE=200803&amp;PERIODTYPE=QTR_STD&amp;window=popup_no_bar&amp;width=385&amp;height=120&amp;START_MAXIMIZED=FALSE&amp;creator=factset&amp;display_string=Audit"}</definedName>
    <definedName name="_1675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676__FDSAUDITLINK__" localSheetId="15" hidden="1">{"fdsup://Directions/FactSet Auditing Viewer?action=AUDIT_VALUE&amp;DB=129&amp;ID1=02553E10&amp;VALUEID=02101&amp;SDATE=200803&amp;PERIODTYPE=QTR_STD&amp;window=popup_no_bar&amp;width=385&amp;height=120&amp;START_MAXIMIZED=FALSE&amp;creator=factset&amp;display_string=Audit"}</definedName>
    <definedName name="_1676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677__FDSAUDITLINK__" localSheetId="15" hidden="1">{"fdsup://Directions/FactSet Auditing Viewer?action=AUDIT_VALUE&amp;DB=129&amp;ID1=02553E10&amp;VALUEID=01001&amp;SDATE=200803&amp;PERIODTYPE=QTR_STD&amp;window=popup_no_bar&amp;width=385&amp;height=120&amp;START_MAXIMIZED=FALSE&amp;creator=factset&amp;display_string=Audit"}</definedName>
    <definedName name="_1677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678__FDSAUDITLINK__" localSheetId="15" hidden="1">{"fdsup://Directions/FactSet Auditing Viewer?action=AUDIT_VALUE&amp;DB=129&amp;ID1=02553E10&amp;VALUEID=13040&amp;SDATE=200803&amp;PERIODTYPE=QTR_STD&amp;window=popup_no_bar&amp;width=385&amp;height=120&amp;START_MAXIMIZED=FALSE&amp;creator=factset&amp;display_string=Audit"}</definedName>
    <definedName name="_1678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679__FDSAUDITLINK__" localSheetId="15" hidden="1">{"fdsup://Directions/FactSet Auditing Viewer?action=AUDIT_VALUE&amp;DB=129&amp;ID1=00786510&amp;VALUEID=02101&amp;SDATE=200803&amp;PERIODTYPE=QTR_STD&amp;window=popup_no_bar&amp;width=385&amp;height=120&amp;START_MAXIMIZED=FALSE&amp;creator=factset&amp;display_string=Audit"}</definedName>
    <definedName name="_1679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6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168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680__FDSAUDITLINK__" localSheetId="15" hidden="1">{"fdsup://Directions/FactSet Auditing Viewer?action=AUDIT_VALUE&amp;DB=129&amp;ID1=00786510&amp;VALUEID=01001&amp;SDATE=200803&amp;PERIODTYPE=QTR_STD&amp;window=popup_no_bar&amp;width=385&amp;height=120&amp;START_MAXIMIZED=FALSE&amp;creator=factset&amp;display_string=Audit"}</definedName>
    <definedName name="_1680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681__FDSAUDITLINK__" localSheetId="15" hidden="1">{"fdsup://Directions/FactSet Auditing Viewer?action=AUDIT_VALUE&amp;DB=129&amp;ID1=00786510&amp;VALUEID=13040&amp;SDATE=200803&amp;PERIODTYPE=QTR_STD&amp;window=popup_no_bar&amp;width=385&amp;height=120&amp;START_MAXIMIZED=FALSE&amp;creator=factset&amp;display_string=Audit"}</definedName>
    <definedName name="_1681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682__FDSAUDITLINK__" localSheetId="15" hidden="1">{"fdsup://Directions/FactSet Auditing Viewer?action=AUDIT_VALUE&amp;DB=129&amp;ID1=00289620&amp;VALUEID=02101&amp;SDATE=200803&amp;PERIODTYPE=QTR_STD&amp;window=popup_no_bar&amp;width=385&amp;height=120&amp;START_MAXIMIZED=FALSE&amp;creator=factset&amp;display_string=Audit"}</definedName>
    <definedName name="_1682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683__FDSAUDITLINK__" localSheetId="15" hidden="1">{"fdsup://Directions/FactSet Auditing Viewer?action=AUDIT_VALUE&amp;DB=129&amp;ID1=00289620&amp;VALUEID=01001&amp;SDATE=200803&amp;PERIODTYPE=QTR_STD&amp;window=popup_no_bar&amp;width=385&amp;height=120&amp;START_MAXIMIZED=FALSE&amp;creator=factset&amp;display_string=Audit"}</definedName>
    <definedName name="_1683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684__FDSAUDITLINK__" localSheetId="15" hidden="1">{"fdsup://Directions/FactSet Auditing Viewer?action=AUDIT_VALUE&amp;DB=129&amp;ID1=00289620&amp;VALUEID=13040&amp;SDATE=200803&amp;PERIODTYPE=QTR_STD&amp;window=popup_no_bar&amp;width=385&amp;height=120&amp;START_MAXIMIZED=FALSE&amp;creator=factset&amp;display_string=Audit"}</definedName>
    <definedName name="_1684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685__FDSAUDITLINK__" localSheetId="15" hidden="1">{"fdsup://Directions/FactSet Auditing Viewer?action=AUDIT_VALUE&amp;DB=129&amp;ID1=87416110&amp;VALUEID=02101&amp;SDATE=200802&amp;PERIODTYPE=QTR_STD&amp;window=popup_no_bar&amp;width=385&amp;height=120&amp;START_MAXIMIZED=FALSE&amp;creator=factset&amp;display_string=Audit"}</definedName>
    <definedName name="_1685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686__FDSAUDITLINK__" localSheetId="15" hidden="1">{"fdsup://Directions/FactSet Auditing Viewer?action=AUDIT_VALUE&amp;DB=129&amp;ID1=87416110&amp;VALUEID=01001&amp;SDATE=200802&amp;PERIODTYPE=QTR_STD&amp;window=popup_no_bar&amp;width=385&amp;height=120&amp;START_MAXIMIZED=FALSE&amp;creator=factset&amp;display_string=Audit"}</definedName>
    <definedName name="_1686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687__FDSAUDITLINK__" localSheetId="15" hidden="1">{"fdsup://Directions/FactSet Auditing Viewer?action=AUDIT_VALUE&amp;DB=129&amp;ID1=53271610&amp;VALUEID=02101&amp;SDATE=200802&amp;PERIODTYPE=QTR_STD&amp;window=popup_no_bar&amp;width=385&amp;height=120&amp;START_MAXIMIZED=FALSE&amp;creator=factset&amp;display_string=Audit"}</definedName>
    <definedName name="_1687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688__FDSAUDITLINK__" localSheetId="15" hidden="1">{"fdsup://Directions/FactSet Auditing Viewer?action=AUDIT_VALUE&amp;DB=129&amp;ID1=53271610&amp;VALUEID=01001&amp;SDATE=200802&amp;PERIODTYPE=QTR_STD&amp;window=popup_no_bar&amp;width=385&amp;height=120&amp;START_MAXIMIZED=FALSE&amp;creator=factset&amp;display_string=Audit"}</definedName>
    <definedName name="_1688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689__FDSAUDITLINK__" localSheetId="15" hidden="1">{"fdsup://Directions/FactSet Auditing Viewer?action=AUDIT_VALUE&amp;DB=129&amp;ID1=53271610&amp;VALUEID=13040&amp;SDATE=200802&amp;PERIODTYPE=QTR_STD&amp;window=popup_no_bar&amp;width=385&amp;height=120&amp;START_MAXIMIZED=FALSE&amp;creator=factset&amp;display_string=Audit"}</definedName>
    <definedName name="_168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6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169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690__FDSAUDITLINK__" localSheetId="15" hidden="1">{"fdsup://Directions/FactSet Auditing Viewer?action=AUDIT_VALUE&amp;DB=129&amp;ID1=46612H40&amp;VALUEID=02101&amp;SDATE=200802&amp;PERIODTYPE=QTR_STD&amp;window=popup_no_bar&amp;width=385&amp;height=120&amp;START_MAXIMIZED=FALSE&amp;creator=factset&amp;display_string=Audit"}</definedName>
    <definedName name="_1690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691__FDSAUDITLINK__" localSheetId="15" hidden="1">{"fdsup://Directions/FactSet Auditing Viewer?action=AUDIT_VALUE&amp;DB=129&amp;ID1=46612H40&amp;VALUEID=01001&amp;SDATE=200802&amp;PERIODTYPE=QTR_STD&amp;window=popup_no_bar&amp;width=385&amp;height=120&amp;START_MAXIMIZED=FALSE&amp;creator=factset&amp;display_string=Audit"}</definedName>
    <definedName name="_1691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692__FDSAUDITLINK__" localSheetId="15" hidden="1">{"fdsup://Directions/FactSet Auditing Viewer?action=AUDIT_VALUE&amp;DB=129&amp;ID1=46612H40&amp;VALUEID=13040&amp;SDATE=200802&amp;PERIODTYPE=QTR_STD&amp;window=popup_no_bar&amp;width=385&amp;height=120&amp;START_MAXIMIZED=FALSE&amp;creator=factset&amp;display_string=Audit"}</definedName>
    <definedName name="_1692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693__FDSAUDITLINK__" localSheetId="15" hidden="1">{"fdsup://Directions/FactSet Auditing Viewer?action=AUDIT_VALUE&amp;DB=129&amp;ID1=36476010&amp;VALUEID=02101&amp;SDATE=200802&amp;PERIODTYPE=QTR_STD&amp;window=popup_no_bar&amp;width=385&amp;height=120&amp;START_MAXIMIZED=FALSE&amp;creator=factset&amp;display_string=Audit"}</definedName>
    <definedName name="_1693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694__FDSAUDITLINK__" localSheetId="15" hidden="1">{"fdsup://Directions/FactSet Auditing Viewer?action=AUDIT_VALUE&amp;DB=129&amp;ID1=36476010&amp;VALUEID=01001&amp;SDATE=200802&amp;PERIODTYPE=QTR_STD&amp;window=popup_no_bar&amp;width=385&amp;height=120&amp;START_MAXIMIZED=FALSE&amp;creator=factset&amp;display_string=Audit"}</definedName>
    <definedName name="_1694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695__FDSAUDITLINK__" localSheetId="15" hidden="1">{"fdsup://Directions/FactSet Auditing Viewer?action=AUDIT_VALUE&amp;DB=129&amp;ID1=36476010&amp;VALUEID=13040&amp;SDATE=200802&amp;PERIODTYPE=QTR_STD&amp;window=popup_no_bar&amp;width=385&amp;height=120&amp;START_MAXIMIZED=FALSE&amp;creator=factset&amp;display_string=Audit"}</definedName>
    <definedName name="_1695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696__FDSAUDITLINK__" localSheetId="15" hidden="1">{"fdsup://Directions/FactSet Auditing Viewer?action=AUDIT_VALUE&amp;DB=129&amp;ID1=03611510&amp;VALUEID=02101&amp;SDATE=200802&amp;PERIODTYPE=QTR_STD&amp;window=popup_no_bar&amp;width=385&amp;height=120&amp;START_MAXIMIZED=FALSE&amp;creator=factset&amp;display_string=Audit"}</definedName>
    <definedName name="_1696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697__FDSAUDITLINK__" localSheetId="15" hidden="1">{"fdsup://Directions/FactSet Auditing Viewer?action=AUDIT_VALUE&amp;DB=129&amp;ID1=03611510&amp;VALUEID=01001&amp;SDATE=200802&amp;PERIODTYPE=QTR_STD&amp;window=popup_no_bar&amp;width=385&amp;height=120&amp;START_MAXIMIZED=FALSE&amp;creator=factset&amp;display_string=Audit"}</definedName>
    <definedName name="_1697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698__FDSAUDITLINK__" localSheetId="15" hidden="1">{"fdsup://Directions/FactSet Auditing Viewer?action=AUDIT_VALUE&amp;DB=129&amp;ID1=16890510&amp;VALUEID=02101&amp;SDATE=200802&amp;PERIODTYPE=QTR_STD&amp;window=popup_no_bar&amp;width=385&amp;height=120&amp;START_MAXIMIZED=FALSE&amp;creator=factset&amp;display_string=Audit"}</definedName>
    <definedName name="_1698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699__FDSAUDITLINK__" localSheetId="15" hidden="1">{"fdsup://Directions/FactSet Auditing Viewer?action=AUDIT_VALUE&amp;DB=129&amp;ID1=16890510&amp;VALUEID=01001&amp;SDATE=200802&amp;PERIODTYPE=QTR_STD&amp;window=popup_no_bar&amp;width=385&amp;height=120&amp;START_MAXIMIZED=FALSE&amp;creator=factset&amp;display_string=Audit"}</definedName>
    <definedName name="_1699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7__123Graph_XLIQUIDS" hidden="1">[2]P!$R$29:$AK$29</definedName>
    <definedName name="_17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17__FDSAUDITLINK__" hidden="1">{"fdsup://Directions/FactSet Auditing Viewer?action=AUDIT_VALUE&amp;DB=129&amp;ID1=03783310&amp;VALUEID=01001&amp;SDATE=2008&amp;PERIODTYPE=ANN_STD&amp;window=popup_no_bar&amp;width=385&amp;height=120&amp;START_MAXIMIZED=FALSE&amp;creator=factset&amp;display_string=Audit"}</definedName>
    <definedName name="_17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170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00__FDSAUDITLINK__" localSheetId="15" hidden="1">{"fdsup://Directions/FactSet Auditing Viewer?action=AUDIT_VALUE&amp;DB=129&amp;ID1=91704710&amp;VALUEID=02101&amp;SDATE=200802&amp;PERIODTYPE=QTR_STD&amp;window=popup_no_bar&amp;width=385&amp;height=120&amp;START_MAXIMIZED=FALSE&amp;creator=factset&amp;display_string=Audit"}</definedName>
    <definedName name="_1700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701__FDSAUDITLINK__" localSheetId="15" hidden="1">{"fdsup://Directions/FactSet Auditing Viewer?action=AUDIT_VALUE&amp;DB=129&amp;ID1=91704710&amp;VALUEID=01001&amp;SDATE=200802&amp;PERIODTYPE=QTR_STD&amp;window=popup_no_bar&amp;width=385&amp;height=120&amp;START_MAXIMIZED=FALSE&amp;creator=factset&amp;display_string=Audit"}</definedName>
    <definedName name="_1701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702__FDSAUDITLINK__" localSheetId="15" hidden="1">{"fdsup://Directions/FactSet Auditing Viewer?action=AUDIT_VALUE&amp;DB=129&amp;ID1=91704710&amp;VALUEID=13040&amp;SDATE=200802&amp;PERIODTYPE=QTR_STD&amp;window=popup_no_bar&amp;width=385&amp;height=120&amp;START_MAXIMIZED=FALSE&amp;creator=factset&amp;display_string=Audit"}</definedName>
    <definedName name="_1702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703__FDSAUDITLINK__" localSheetId="15" hidden="1">{"fdsup://Directions/FactSet Auditing Viewer?action=AUDIT_VALUE&amp;DB=129&amp;ID1=02553E10&amp;VALUEID=02101&amp;SDATE=200802&amp;PERIODTYPE=QTR_STD&amp;window=popup_no_bar&amp;width=385&amp;height=120&amp;START_MAXIMIZED=FALSE&amp;creator=factset&amp;display_string=Audit"}</definedName>
    <definedName name="_1703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704__FDSAUDITLINK__" localSheetId="15" hidden="1">{"fdsup://Directions/FactSet Auditing Viewer?action=AUDIT_VALUE&amp;DB=129&amp;ID1=02553E10&amp;VALUEID=01001&amp;SDATE=200802&amp;PERIODTYPE=QTR_STD&amp;window=popup_no_bar&amp;width=385&amp;height=120&amp;START_MAXIMIZED=FALSE&amp;creator=factset&amp;display_string=Audit"}</definedName>
    <definedName name="_1704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705__FDSAUDITLINK__" localSheetId="15" hidden="1">{"fdsup://Directions/FactSet Auditing Viewer?action=AUDIT_VALUE&amp;DB=129&amp;ID1=02553E10&amp;VALUEID=13040&amp;SDATE=200802&amp;PERIODTYPE=QTR_STD&amp;window=popup_no_bar&amp;width=385&amp;height=120&amp;START_MAXIMIZED=FALSE&amp;creator=factset&amp;display_string=Audit"}</definedName>
    <definedName name="_1705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706__FDSAUDITLINK__" localSheetId="15" hidden="1">{"fdsup://Directions/FactSet Auditing Viewer?action=AUDIT_VALUE&amp;DB=129&amp;ID1=00786510&amp;VALUEID=02101&amp;SDATE=200802&amp;PERIODTYPE=QTR_STD&amp;window=popup_no_bar&amp;width=385&amp;height=120&amp;START_MAXIMIZED=FALSE&amp;creator=factset&amp;display_string=Audit"}</definedName>
    <definedName name="_1706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707__FDSAUDITLINK__" localSheetId="15" hidden="1">{"fdsup://Directions/FactSet Auditing Viewer?action=AUDIT_VALUE&amp;DB=129&amp;ID1=00786510&amp;VALUEID=01001&amp;SDATE=200802&amp;PERIODTYPE=QTR_STD&amp;window=popup_no_bar&amp;width=385&amp;height=120&amp;START_MAXIMIZED=FALSE&amp;creator=factset&amp;display_string=Audit"}</definedName>
    <definedName name="_1707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708__FDSAUDITLINK__" localSheetId="15" hidden="1">{"fdsup://Directions/FactSet Auditing Viewer?action=AUDIT_VALUE&amp;DB=129&amp;ID1=00786510&amp;VALUEID=13040&amp;SDATE=200802&amp;PERIODTYPE=QTR_STD&amp;window=popup_no_bar&amp;width=385&amp;height=120&amp;START_MAXIMIZED=FALSE&amp;creator=factset&amp;display_string=Audit"}</definedName>
    <definedName name="_1708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709__FDSAUDITLINK__" localSheetId="15" hidden="1">{"fdsup://Directions/FactSet Auditing Viewer?action=AUDIT_VALUE&amp;DB=129&amp;ID1=00289620&amp;VALUEID=02101&amp;SDATE=200802&amp;PERIODTYPE=QTR_STD&amp;window=popup_no_bar&amp;width=385&amp;height=120&amp;START_MAXIMIZED=FALSE&amp;creator=factset&amp;display_string=Audit"}</definedName>
    <definedName name="_1709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7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171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10__FDSAUDITLINK__" localSheetId="15" hidden="1">{"fdsup://Directions/FactSet Auditing Viewer?action=AUDIT_VALUE&amp;DB=129&amp;ID1=00289620&amp;VALUEID=01001&amp;SDATE=200802&amp;PERIODTYPE=QTR_STD&amp;window=popup_no_bar&amp;width=385&amp;height=120&amp;START_MAXIMIZED=FALSE&amp;creator=factset&amp;display_string=Audit"}</definedName>
    <definedName name="_1710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711__FDSAUDITLINK__" localSheetId="15" hidden="1">{"fdsup://Directions/FactSet Auditing Viewer?action=AUDIT_VALUE&amp;DB=129&amp;ID1=00289620&amp;VALUEID=13040&amp;SDATE=200802&amp;PERIODTYPE=QTR_STD&amp;window=popup_no_bar&amp;width=385&amp;height=120&amp;START_MAXIMIZED=FALSE&amp;creator=factset&amp;display_string=Audit"}</definedName>
    <definedName name="_1711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712__FDSAUDITLINK__" localSheetId="15" hidden="1">{"fdsup://Directions/FactSet Auditing Viewer?action=AUDIT_VALUE&amp;DB=129&amp;ID1=87416110&amp;VALUEID=02101&amp;SDATE=200801&amp;PERIODTYPE=QTR_STD&amp;window=popup_no_bar&amp;width=385&amp;height=120&amp;START_MAXIMIZED=FALSE&amp;creator=factset&amp;display_string=Audit"}</definedName>
    <definedName name="_1712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713__FDSAUDITLINK__" localSheetId="15" hidden="1">{"fdsup://Directions/FactSet Auditing Viewer?action=AUDIT_VALUE&amp;DB=129&amp;ID1=87416110&amp;VALUEID=01001&amp;SDATE=200801&amp;PERIODTYPE=QTR_STD&amp;window=popup_no_bar&amp;width=385&amp;height=120&amp;START_MAXIMIZED=FALSE&amp;creator=factset&amp;display_string=Audit"}</definedName>
    <definedName name="_1713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714__FDSAUDITLINK__" localSheetId="15" hidden="1">{"fdsup://Directions/FactSet Auditing Viewer?action=AUDIT_VALUE&amp;DB=129&amp;ID1=53271610&amp;VALUEID=02101&amp;SDATE=200801&amp;PERIODTYPE=QTR_STD&amp;window=popup_no_bar&amp;width=385&amp;height=120&amp;START_MAXIMIZED=FALSE&amp;creator=factset&amp;display_string=Audit"}</definedName>
    <definedName name="_1714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715__FDSAUDITLINK__" localSheetId="15" hidden="1">{"fdsup://Directions/FactSet Auditing Viewer?action=AUDIT_VALUE&amp;DB=129&amp;ID1=53271610&amp;VALUEID=01001&amp;SDATE=200801&amp;PERIODTYPE=QTR_STD&amp;window=popup_no_bar&amp;width=385&amp;height=120&amp;START_MAXIMIZED=FALSE&amp;creator=factset&amp;display_string=Audit"}</definedName>
    <definedName name="_1715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716__FDSAUDITLINK__" localSheetId="15" hidden="1">{"fdsup://Directions/FactSet Auditing Viewer?action=AUDIT_VALUE&amp;DB=129&amp;ID1=53271610&amp;VALUEID=13040&amp;SDATE=200801&amp;PERIODTYPE=QTR_STD&amp;window=popup_no_bar&amp;width=385&amp;height=120&amp;START_MAXIMIZED=FALSE&amp;creator=factset&amp;display_string=Audit"}</definedName>
    <definedName name="_171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717__FDSAUDITLINK__" localSheetId="15" hidden="1">{"fdsup://Directions/FactSet Auditing Viewer?action=AUDIT_VALUE&amp;DB=129&amp;ID1=46612H40&amp;VALUEID=02101&amp;SDATE=200801&amp;PERIODTYPE=QTR_STD&amp;window=popup_no_bar&amp;width=385&amp;height=120&amp;START_MAXIMIZED=FALSE&amp;creator=factset&amp;display_string=Audit"}</definedName>
    <definedName name="_1717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718__FDSAUDITLINK__" localSheetId="15" hidden="1">{"fdsup://Directions/FactSet Auditing Viewer?action=AUDIT_VALUE&amp;DB=129&amp;ID1=46612H40&amp;VALUEID=01001&amp;SDATE=200801&amp;PERIODTYPE=QTR_STD&amp;window=popup_no_bar&amp;width=385&amp;height=120&amp;START_MAXIMIZED=FALSE&amp;creator=factset&amp;display_string=Audit"}</definedName>
    <definedName name="_1718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719__FDSAUDITLINK__" localSheetId="15" hidden="1">{"fdsup://Directions/FactSet Auditing Viewer?action=AUDIT_VALUE&amp;DB=129&amp;ID1=46612H40&amp;VALUEID=13040&amp;SDATE=200801&amp;PERIODTYPE=QTR_STD&amp;window=popup_no_bar&amp;width=385&amp;height=120&amp;START_MAXIMIZED=FALSE&amp;creator=factset&amp;display_string=Audit"}</definedName>
    <definedName name="_1719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172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0__FDSAUDITLINK__" localSheetId="15" hidden="1">{"fdsup://Directions/FactSet Auditing Viewer?action=AUDIT_VALUE&amp;DB=129&amp;ID1=36476010&amp;VALUEID=02101&amp;SDATE=200801&amp;PERIODTYPE=QTR_STD&amp;window=popup_no_bar&amp;width=385&amp;height=120&amp;START_MAXIMIZED=FALSE&amp;creator=factset&amp;display_string=Audit"}</definedName>
    <definedName name="_1720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21__FDSAUDITLINK__" localSheetId="15" hidden="1">{"fdsup://Directions/FactSet Auditing Viewer?action=AUDIT_VALUE&amp;DB=129&amp;ID1=36476010&amp;VALUEID=01001&amp;SDATE=200801&amp;PERIODTYPE=QTR_STD&amp;window=popup_no_bar&amp;width=385&amp;height=120&amp;START_MAXIMIZED=FALSE&amp;creator=factset&amp;display_string=Audit"}</definedName>
    <definedName name="_1721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2__FDSAUDITLINK__" localSheetId="15" hidden="1">{"fdsup://Directions/FactSet Auditing Viewer?action=AUDIT_VALUE&amp;DB=129&amp;ID1=36476010&amp;VALUEID=13040&amp;SDATE=200801&amp;PERIODTYPE=QTR_STD&amp;window=popup_no_bar&amp;width=385&amp;height=120&amp;START_MAXIMIZED=FALSE&amp;creator=factset&amp;display_string=Audit"}</definedName>
    <definedName name="_1722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23__FDSAUDITLINK__" localSheetId="15" hidden="1">{"fdsup://Directions/FactSet Auditing Viewer?action=AUDIT_VALUE&amp;DB=129&amp;ID1=03611510&amp;VALUEID=02101&amp;SDATE=200801&amp;PERIODTYPE=QTR_STD&amp;window=popup_no_bar&amp;width=385&amp;height=120&amp;START_MAXIMIZED=FALSE&amp;creator=factset&amp;display_string=Audit"}</definedName>
    <definedName name="_1723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24__FDSAUDITLINK__" localSheetId="15" hidden="1">{"fdsup://Directions/FactSet Auditing Viewer?action=AUDIT_VALUE&amp;DB=129&amp;ID1=03611510&amp;VALUEID=01001&amp;SDATE=200801&amp;PERIODTYPE=QTR_STD&amp;window=popup_no_bar&amp;width=385&amp;height=120&amp;START_MAXIMIZED=FALSE&amp;creator=factset&amp;display_string=Audit"}</definedName>
    <definedName name="_1724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25__FDSAUDITLINK__" localSheetId="15" hidden="1">{"fdsup://Directions/FactSet Auditing Viewer?action=AUDIT_VALUE&amp;DB=129&amp;ID1=03611510&amp;VALUEID=13040&amp;SDATE=200801&amp;PERIODTYPE=QTR_STD&amp;window=popup_no_bar&amp;width=385&amp;height=120&amp;START_MAXIMIZED=FALSE&amp;creator=factset&amp;display_string=Audit"}</definedName>
    <definedName name="_17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26__FDSAUDITLINK__" localSheetId="15" hidden="1">{"fdsup://Directions/FactSet Auditing Viewer?action=AUDIT_VALUE&amp;DB=129&amp;ID1=16890510&amp;VALUEID=02101&amp;SDATE=200801&amp;PERIODTYPE=QTR_STD&amp;window=popup_no_bar&amp;width=385&amp;height=120&amp;START_MAXIMIZED=FALSE&amp;creator=factset&amp;display_string=Audit"}</definedName>
    <definedName name="_1726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27__FDSAUDITLINK__" localSheetId="15" hidden="1">{"fdsup://Directions/FactSet Auditing Viewer?action=AUDIT_VALUE&amp;DB=129&amp;ID1=16890510&amp;VALUEID=01001&amp;SDATE=200801&amp;PERIODTYPE=QTR_STD&amp;window=popup_no_bar&amp;width=385&amp;height=120&amp;START_MAXIMIZED=FALSE&amp;creator=factset&amp;display_string=Audit"}</definedName>
    <definedName name="_1727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28__FDSAUDITLINK__" localSheetId="15" hidden="1">{"fdsup://Directions/FactSet Auditing Viewer?action=AUDIT_VALUE&amp;DB=129&amp;ID1=91704710&amp;VALUEID=02101&amp;SDATE=200801&amp;PERIODTYPE=QTR_STD&amp;window=popup_no_bar&amp;width=385&amp;height=120&amp;START_MAXIMIZED=FALSE&amp;creator=factset&amp;display_string=Audit"}</definedName>
    <definedName name="_1728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29__FDSAUDITLINK__" localSheetId="15" hidden="1">{"fdsup://Directions/FactSet Auditing Viewer?action=AUDIT_VALUE&amp;DB=129&amp;ID1=91704710&amp;VALUEID=01001&amp;SDATE=200801&amp;PERIODTYPE=QTR_STD&amp;window=popup_no_bar&amp;width=385&amp;height=120&amp;START_MAXIMIZED=FALSE&amp;creator=factset&amp;display_string=Audit"}</definedName>
    <definedName name="_1729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7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173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30__FDSAUDITLINK__" localSheetId="15" hidden="1">{"fdsup://Directions/FactSet Auditing Viewer?action=AUDIT_VALUE&amp;DB=129&amp;ID1=91704710&amp;VALUEID=13040&amp;SDATE=200801&amp;PERIODTYPE=QTR_STD&amp;window=popup_no_bar&amp;width=385&amp;height=120&amp;START_MAXIMIZED=FALSE&amp;creator=factset&amp;display_string=Audit"}</definedName>
    <definedName name="_1730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731__FDSAUDITLINK__" localSheetId="15" hidden="1">{"fdsup://Directions/FactSet Auditing Viewer?action=AUDIT_VALUE&amp;DB=129&amp;ID1=02553E10&amp;VALUEID=02101&amp;SDATE=200801&amp;PERIODTYPE=QTR_STD&amp;window=popup_no_bar&amp;width=385&amp;height=120&amp;START_MAXIMIZED=FALSE&amp;creator=factset&amp;display_string=Audit"}</definedName>
    <definedName name="_1731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732__FDSAUDITLINK__" localSheetId="15" hidden="1">{"fdsup://Directions/FactSet Auditing Viewer?action=AUDIT_VALUE&amp;DB=129&amp;ID1=02553E10&amp;VALUEID=01001&amp;SDATE=200801&amp;PERIODTYPE=QTR_STD&amp;window=popup_no_bar&amp;width=385&amp;height=120&amp;START_MAXIMIZED=FALSE&amp;creator=factset&amp;display_string=Audit"}</definedName>
    <definedName name="_1732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733__FDSAUDITLINK__" localSheetId="15" hidden="1">{"fdsup://Directions/FactSet Auditing Viewer?action=AUDIT_VALUE&amp;DB=129&amp;ID1=02553E10&amp;VALUEID=13040&amp;SDATE=200801&amp;PERIODTYPE=QTR_STD&amp;window=popup_no_bar&amp;width=385&amp;height=120&amp;START_MAXIMIZED=FALSE&amp;creator=factset&amp;display_string=Audit"}</definedName>
    <definedName name="_1733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734__FDSAUDITLINK__" localSheetId="15" hidden="1">{"fdsup://Directions/FactSet Auditing Viewer?action=AUDIT_VALUE&amp;DB=129&amp;ID1=00786510&amp;VALUEID=02101&amp;SDATE=200801&amp;PERIODTYPE=QTR_STD&amp;window=popup_no_bar&amp;width=385&amp;height=120&amp;START_MAXIMIZED=FALSE&amp;creator=factset&amp;display_string=Audit"}</definedName>
    <definedName name="_1734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735__FDSAUDITLINK__" localSheetId="15" hidden="1">{"fdsup://Directions/FactSet Auditing Viewer?action=AUDIT_VALUE&amp;DB=129&amp;ID1=00786510&amp;VALUEID=01001&amp;SDATE=200801&amp;PERIODTYPE=QTR_STD&amp;window=popup_no_bar&amp;width=385&amp;height=120&amp;START_MAXIMIZED=FALSE&amp;creator=factset&amp;display_string=Audit"}</definedName>
    <definedName name="_1735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736__FDSAUDITLINK__" localSheetId="15" hidden="1">{"fdsup://Directions/FactSet Auditing Viewer?action=AUDIT_VALUE&amp;DB=129&amp;ID1=00786510&amp;VALUEID=13040&amp;SDATE=200801&amp;PERIODTYPE=QTR_STD&amp;window=popup_no_bar&amp;width=385&amp;height=120&amp;START_MAXIMIZED=FALSE&amp;creator=factset&amp;display_string=Audit"}</definedName>
    <definedName name="_1736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737__FDSAUDITLINK__" localSheetId="15" hidden="1">{"fdsup://Directions/FactSet Auditing Viewer?action=AUDIT_VALUE&amp;DB=129&amp;ID1=00289620&amp;VALUEID=02101&amp;SDATE=200801&amp;PERIODTYPE=QTR_STD&amp;window=popup_no_bar&amp;width=385&amp;height=120&amp;START_MAXIMIZED=FALSE&amp;creator=factset&amp;display_string=Audit"}</definedName>
    <definedName name="_1737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738__FDSAUDITLINK__" localSheetId="15" hidden="1">{"fdsup://Directions/FactSet Auditing Viewer?action=AUDIT_VALUE&amp;DB=129&amp;ID1=00289620&amp;VALUEID=01001&amp;SDATE=200801&amp;PERIODTYPE=QTR_STD&amp;window=popup_no_bar&amp;width=385&amp;height=120&amp;START_MAXIMIZED=FALSE&amp;creator=factset&amp;display_string=Audit"}</definedName>
    <definedName name="_1738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739__FDSAUDITLINK__" localSheetId="15" hidden="1">{"fdsup://Directions/FactSet Auditing Viewer?action=AUDIT_VALUE&amp;DB=129&amp;ID1=00289620&amp;VALUEID=13040&amp;SDATE=200801&amp;PERIODTYPE=QTR_STD&amp;window=popup_no_bar&amp;width=385&amp;height=120&amp;START_MAXIMIZED=FALSE&amp;creator=factset&amp;display_string=Audit"}</definedName>
    <definedName name="_1739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7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174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40__FDSAUDITLINK__" localSheetId="15" hidden="1">{"fdsup://Directions/FactSet Auditing Viewer?action=AUDIT_VALUE&amp;DB=129&amp;ID1=87416110&amp;VALUEID=01001&amp;SDATE=200704&amp;PERIODTYPE=QTR_STD&amp;window=popup_no_bar&amp;width=385&amp;height=120&amp;START_MAXIMIZED=FALSE&amp;creator=factset&amp;display_string=Audit"}</definedName>
    <definedName name="_1740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741__FDSAUDITLINK__" localSheetId="15" hidden="1">{"fdsup://Directions/FactSet Auditing Viewer?action=AUDIT_VALUE&amp;DB=129&amp;ID1=46612H40&amp;VALUEID=01001&amp;SDATE=200704&amp;PERIODTYPE=QTR_STD&amp;window=popup_no_bar&amp;width=385&amp;height=120&amp;START_MAXIMIZED=FALSE&amp;creator=factset&amp;display_string=Audit"}</definedName>
    <definedName name="_1741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742__FDSAUDITLINK__" localSheetId="15" hidden="1">{"fdsup://Directions/FactSet Auditing Viewer?action=AUDIT_VALUE&amp;DB=129&amp;ID1=46612H40&amp;VALUEID=13040&amp;SDATE=200704&amp;PERIODTYPE=QTR_STD&amp;window=popup_no_bar&amp;width=385&amp;height=120&amp;START_MAXIMIZED=FALSE&amp;creator=factset&amp;display_string=Audit"}</definedName>
    <definedName name="_1742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743__FDSAUDITLINK__" localSheetId="15" hidden="1">{"fdsup://Directions/FactSet Auditing Viewer?action=AUDIT_VALUE&amp;DB=129&amp;ID1=36476010&amp;VALUEID=01001&amp;SDATE=200704&amp;PERIODTYPE=QTR_STD&amp;window=popup_no_bar&amp;width=385&amp;height=120&amp;START_MAXIMIZED=FALSE&amp;creator=factset&amp;display_string=Audit"}</definedName>
    <definedName name="_1743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744__FDSAUDITLINK__" localSheetId="15" hidden="1">{"fdsup://Directions/FactSet Auditing Viewer?action=AUDIT_VALUE&amp;DB=129&amp;ID1=03611510&amp;VALUEID=01001&amp;SDATE=200704&amp;PERIODTYPE=QTR_STD&amp;window=popup_no_bar&amp;width=385&amp;height=120&amp;START_MAXIMIZED=FALSE&amp;creator=factset&amp;display_string=Audit"}</definedName>
    <definedName name="_174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745__FDSAUDITLINK__" localSheetId="15" hidden="1">{"fdsup://Directions/FactSet Auditing Viewer?action=AUDIT_VALUE&amp;DB=129&amp;ID1=03611510&amp;VALUEID=13040&amp;SDATE=200704&amp;PERIODTYPE=QTR_STD&amp;window=popup_no_bar&amp;width=385&amp;height=120&amp;START_MAXIMIZED=FALSE&amp;creator=factset&amp;display_string=Audit"}</definedName>
    <definedName name="_1745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746__FDSAUDITLINK__" localSheetId="15" hidden="1">{"fdsup://Directions/FactSet Auditing Viewer?action=AUDIT_VALUE&amp;DB=129&amp;ID1=16890510&amp;VALUEID=01001&amp;SDATE=200704&amp;PERIODTYPE=QTR_STD&amp;window=popup_no_bar&amp;width=385&amp;height=120&amp;START_MAXIMIZED=FALSE&amp;creator=factset&amp;display_string=Audit"}</definedName>
    <definedName name="_1746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747__FDSAUDITLINK__" localSheetId="15" hidden="1">{"fdsup://Directions/FactSet Auditing Viewer?action=AUDIT_VALUE&amp;DB=129&amp;ID1=00786510&amp;VALUEID=01001&amp;SDATE=200704&amp;PERIODTYPE=QTR_STD&amp;window=popup_no_bar&amp;width=385&amp;height=120&amp;START_MAXIMIZED=FALSE&amp;creator=factset&amp;display_string=Audit"}</definedName>
    <definedName name="_1747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748__FDSAUDITLINK__" localSheetId="15" hidden="1">{"fdsup://Directions/FactSet Auditing Viewer?action=AUDIT_VALUE&amp;DB=129&amp;ID1=87416110&amp;VALUEID=02101&amp;SDATE=200703&amp;PERIODTYPE=QTR_STD&amp;window=popup_no_bar&amp;width=385&amp;height=120&amp;START_MAXIMIZED=FALSE&amp;creator=factset&amp;display_string=Audit"}</definedName>
    <definedName name="_1748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749__FDSAUDITLINK__" localSheetId="15" hidden="1">{"fdsup://Directions/FactSet Auditing Viewer?action=AUDIT_VALUE&amp;DB=129&amp;ID1=87416110&amp;VALUEID=01001&amp;SDATE=200703&amp;PERIODTYPE=QTR_STD&amp;window=popup_no_bar&amp;width=385&amp;height=120&amp;START_MAXIMIZED=FALSE&amp;creator=factset&amp;display_string=Audit"}</definedName>
    <definedName name="_1749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7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175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50__FDSAUDITLINK__" localSheetId="15" hidden="1">{"fdsup://Directions/FactSet Auditing Viewer?action=AUDIT_VALUE&amp;DB=129&amp;ID1=53271610&amp;VALUEID=02101&amp;SDATE=200703&amp;PERIODTYPE=QTR_STD&amp;window=popup_no_bar&amp;width=385&amp;height=120&amp;START_MAXIMIZED=FALSE&amp;creator=factset&amp;display_string=Audit"}</definedName>
    <definedName name="_1750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751__FDSAUDITLINK__" localSheetId="15" hidden="1">{"fdsup://Directions/FactSet Auditing Viewer?action=AUDIT_VALUE&amp;DB=129&amp;ID1=53271610&amp;VALUEID=01001&amp;SDATE=200703&amp;PERIODTYPE=QTR_STD&amp;window=popup_no_bar&amp;width=385&amp;height=120&amp;START_MAXIMIZED=FALSE&amp;creator=factset&amp;display_string=Audit"}</definedName>
    <definedName name="_1751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752__FDSAUDITLINK__" localSheetId="15" hidden="1">{"fdsup://Directions/FactSet Auditing Viewer?action=AUDIT_VALUE&amp;DB=129&amp;ID1=53271610&amp;VALUEID=13040&amp;SDATE=200703&amp;PERIODTYPE=QTR_STD&amp;window=popup_no_bar&amp;width=385&amp;height=120&amp;START_MAXIMIZED=FALSE&amp;creator=factset&amp;display_string=Audit"}</definedName>
    <definedName name="_1752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753__FDSAUDITLINK__" localSheetId="15" hidden="1">{"fdsup://Directions/FactSet Auditing Viewer?action=AUDIT_VALUE&amp;DB=129&amp;ID1=46612H40&amp;VALUEID=02101&amp;SDATE=200703&amp;PERIODTYPE=QTR_STD&amp;window=popup_no_bar&amp;width=385&amp;height=120&amp;START_MAXIMIZED=FALSE&amp;creator=factset&amp;display_string=Audit"}</definedName>
    <definedName name="_1753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754__FDSAUDITLINK__" localSheetId="15" hidden="1">{"fdsup://Directions/FactSet Auditing Viewer?action=AUDIT_VALUE&amp;DB=129&amp;ID1=46612H40&amp;VALUEID=01001&amp;SDATE=200703&amp;PERIODTYPE=QTR_STD&amp;window=popup_no_bar&amp;width=385&amp;height=120&amp;START_MAXIMIZED=FALSE&amp;creator=factset&amp;display_string=Audit"}</definedName>
    <definedName name="_1754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755__FDSAUDITLINK__" localSheetId="15" hidden="1">{"fdsup://Directions/FactSet Auditing Viewer?action=AUDIT_VALUE&amp;DB=129&amp;ID1=46612H40&amp;VALUEID=13040&amp;SDATE=200703&amp;PERIODTYPE=QTR_STD&amp;window=popup_no_bar&amp;width=385&amp;height=120&amp;START_MAXIMIZED=FALSE&amp;creator=factset&amp;display_string=Audit"}</definedName>
    <definedName name="_1755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756__FDSAUDITLINK__" localSheetId="15" hidden="1">{"fdsup://Directions/FactSet Auditing Viewer?action=AUDIT_VALUE&amp;DB=129&amp;ID1=36476010&amp;VALUEID=02101&amp;SDATE=200703&amp;PERIODTYPE=QTR_STD&amp;window=popup_no_bar&amp;width=385&amp;height=120&amp;START_MAXIMIZED=FALSE&amp;creator=factset&amp;display_string=Audit"}</definedName>
    <definedName name="_1756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757__FDSAUDITLINK__" localSheetId="15" hidden="1">{"fdsup://Directions/FactSet Auditing Viewer?action=AUDIT_VALUE&amp;DB=129&amp;ID1=36476010&amp;VALUEID=01001&amp;SDATE=200703&amp;PERIODTYPE=QTR_STD&amp;window=popup_no_bar&amp;width=385&amp;height=120&amp;START_MAXIMIZED=FALSE&amp;creator=factset&amp;display_string=Audit"}</definedName>
    <definedName name="_1757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758__FDSAUDITLINK__" localSheetId="15" hidden="1">{"fdsup://Directions/FactSet Auditing Viewer?action=AUDIT_VALUE&amp;DB=129&amp;ID1=36476010&amp;VALUEID=13040&amp;SDATE=200703&amp;PERIODTYPE=QTR_STD&amp;window=popup_no_bar&amp;width=385&amp;height=120&amp;START_MAXIMIZED=FALSE&amp;creator=factset&amp;display_string=Audit"}</definedName>
    <definedName name="_1758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759__FDSAUDITLINK__" localSheetId="15" hidden="1">{"fdsup://Directions/FactSet Auditing Viewer?action=AUDIT_VALUE&amp;DB=129&amp;ID1=03611510&amp;VALUEID=02101&amp;SDATE=200703&amp;PERIODTYPE=QTR_STD&amp;window=popup_no_bar&amp;width=385&amp;height=120&amp;START_MAXIMIZED=FALSE&amp;creator=factset&amp;display_string=Audit"}</definedName>
    <definedName name="_1759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7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176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60__FDSAUDITLINK__" localSheetId="15" hidden="1">{"fdsup://Directions/FactSet Auditing Viewer?action=AUDIT_VALUE&amp;DB=129&amp;ID1=03611510&amp;VALUEID=01001&amp;SDATE=200703&amp;PERIODTYPE=QTR_STD&amp;window=popup_no_bar&amp;width=385&amp;height=120&amp;START_MAXIMIZED=FALSE&amp;creator=factset&amp;display_string=Audit"}</definedName>
    <definedName name="_1760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761__FDSAUDITLINK__" localSheetId="15" hidden="1">{"fdsup://Directions/FactSet Auditing Viewer?action=AUDIT_VALUE&amp;DB=129&amp;ID1=03611510&amp;VALUEID=13040&amp;SDATE=200703&amp;PERIODTYPE=QTR_STD&amp;window=popup_no_bar&amp;width=385&amp;height=120&amp;START_MAXIMIZED=FALSE&amp;creator=factset&amp;display_string=Audit"}</definedName>
    <definedName name="_1761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762__FDSAUDITLINK__" localSheetId="15" hidden="1">{"fdsup://Directions/FactSet Auditing Viewer?action=AUDIT_VALUE&amp;DB=129&amp;ID1=16890510&amp;VALUEID=02101&amp;SDATE=200703&amp;PERIODTYPE=QTR_STD&amp;window=popup_no_bar&amp;width=385&amp;height=120&amp;START_MAXIMIZED=FALSE&amp;creator=factset&amp;display_string=Audit"}</definedName>
    <definedName name="_1762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763__FDSAUDITLINK__" localSheetId="15" hidden="1">{"fdsup://Directions/FactSet Auditing Viewer?action=AUDIT_VALUE&amp;DB=129&amp;ID1=16890510&amp;VALUEID=01001&amp;SDATE=200703&amp;PERIODTYPE=QTR_STD&amp;window=popup_no_bar&amp;width=385&amp;height=120&amp;START_MAXIMIZED=FALSE&amp;creator=factset&amp;display_string=Audit"}</definedName>
    <definedName name="_1763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764__FDSAUDITLINK__" localSheetId="15" hidden="1">{"fdsup://Directions/FactSet Auditing Viewer?action=AUDIT_VALUE&amp;DB=129&amp;ID1=91704710&amp;VALUEID=02101&amp;SDATE=200703&amp;PERIODTYPE=QTR_STD&amp;window=popup_no_bar&amp;width=385&amp;height=120&amp;START_MAXIMIZED=FALSE&amp;creator=factset&amp;display_string=Audit"}</definedName>
    <definedName name="_1764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765__FDSAUDITLINK__" localSheetId="15" hidden="1">{"fdsup://Directions/FactSet Auditing Viewer?action=AUDIT_VALUE&amp;DB=129&amp;ID1=91704710&amp;VALUEID=01001&amp;SDATE=200703&amp;PERIODTYPE=QTR_STD&amp;window=popup_no_bar&amp;width=385&amp;height=120&amp;START_MAXIMIZED=FALSE&amp;creator=factset&amp;display_string=Audit"}</definedName>
    <definedName name="_1765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766__FDSAUDITLINK__" localSheetId="15" hidden="1">{"fdsup://Directions/FactSet Auditing Viewer?action=AUDIT_VALUE&amp;DB=129&amp;ID1=91704710&amp;VALUEID=13040&amp;SDATE=200703&amp;PERIODTYPE=QTR_STD&amp;window=popup_no_bar&amp;width=385&amp;height=120&amp;START_MAXIMIZED=FALSE&amp;creator=factset&amp;display_string=Audit"}</definedName>
    <definedName name="_1766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767__FDSAUDITLINK__" localSheetId="15" hidden="1">{"fdsup://Directions/FactSet Auditing Viewer?action=AUDIT_VALUE&amp;DB=129&amp;ID1=02553E10&amp;VALUEID=02101&amp;SDATE=200703&amp;PERIODTYPE=QTR_STD&amp;window=popup_no_bar&amp;width=385&amp;height=120&amp;START_MAXIMIZED=FALSE&amp;creator=factset&amp;display_string=Audit"}</definedName>
    <definedName name="_1767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768__FDSAUDITLINK__" localSheetId="15" hidden="1">{"fdsup://Directions/FactSet Auditing Viewer?action=AUDIT_VALUE&amp;DB=129&amp;ID1=02553E10&amp;VALUEID=01001&amp;SDATE=200703&amp;PERIODTYPE=QTR_STD&amp;window=popup_no_bar&amp;width=385&amp;height=120&amp;START_MAXIMIZED=FALSE&amp;creator=factset&amp;display_string=Audit"}</definedName>
    <definedName name="_1768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769__FDSAUDITLINK__" localSheetId="15" hidden="1">{"fdsup://Directions/FactSet Auditing Viewer?action=AUDIT_VALUE&amp;DB=129&amp;ID1=00786510&amp;VALUEID=02101&amp;SDATE=200703&amp;PERIODTYPE=QTR_STD&amp;window=popup_no_bar&amp;width=385&amp;height=120&amp;START_MAXIMIZED=FALSE&amp;creator=factset&amp;display_string=Audit"}</definedName>
    <definedName name="_1769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7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177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70__FDSAUDITLINK__" localSheetId="15" hidden="1">{"fdsup://Directions/FactSet Auditing Viewer?action=AUDIT_VALUE&amp;DB=129&amp;ID1=00786510&amp;VALUEID=01001&amp;SDATE=200703&amp;PERIODTYPE=QTR_STD&amp;window=popup_no_bar&amp;width=385&amp;height=120&amp;START_MAXIMIZED=FALSE&amp;creator=factset&amp;display_string=Audit"}</definedName>
    <definedName name="_1770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771__FDSAUDITLINK__" localSheetId="15" hidden="1">{"fdsup://Directions/FactSet Auditing Viewer?action=AUDIT_VALUE&amp;DB=129&amp;ID1=00786510&amp;VALUEID=13040&amp;SDATE=200703&amp;PERIODTYPE=QTR_STD&amp;window=popup_no_bar&amp;width=385&amp;height=120&amp;START_MAXIMIZED=FALSE&amp;creator=factset&amp;display_string=Audit"}</definedName>
    <definedName name="_1771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772__FDSAUDITLINK__" localSheetId="15" hidden="1">{"fdsup://Directions/FactSet Auditing Viewer?action=AUDIT_VALUE&amp;DB=129&amp;ID1=00289620&amp;VALUEID=02101&amp;SDATE=200703&amp;PERIODTYPE=QTR_STD&amp;window=popup_no_bar&amp;width=385&amp;height=120&amp;START_MAXIMIZED=FALSE&amp;creator=factset&amp;display_string=Audit"}</definedName>
    <definedName name="_1772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773__FDSAUDITLINK__" localSheetId="15" hidden="1">{"fdsup://Directions/FactSet Auditing Viewer?action=AUDIT_VALUE&amp;DB=129&amp;ID1=00289620&amp;VALUEID=01001&amp;SDATE=200703&amp;PERIODTYPE=QTR_STD&amp;window=popup_no_bar&amp;width=385&amp;height=120&amp;START_MAXIMIZED=FALSE&amp;creator=factset&amp;display_string=Audit"}</definedName>
    <definedName name="_1773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774__FDSAUDITLINK__" localSheetId="15" hidden="1">{"fdsup://Directions/FactSet Auditing Viewer?action=AUDIT_VALUE&amp;DB=129&amp;ID1=00289620&amp;VALUEID=13040&amp;SDATE=200703&amp;PERIODTYPE=QTR_STD&amp;window=popup_no_bar&amp;width=385&amp;height=120&amp;START_MAXIMIZED=FALSE&amp;creator=factset&amp;display_string=Audit"}</definedName>
    <definedName name="_1774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775__FDSAUDITLINK__" localSheetId="15" hidden="1">{"fdsup://Directions/FactSet Auditing Viewer?action=AUDIT_VALUE&amp;DB=129&amp;ID1=87416110&amp;VALUEID=02101&amp;SDATE=200702&amp;PERIODTYPE=QTR_STD&amp;window=popup_no_bar&amp;width=385&amp;height=120&amp;START_MAXIMIZED=FALSE&amp;creator=factset&amp;display_string=Audit"}</definedName>
    <definedName name="_1775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776__FDSAUDITLINK__" localSheetId="15" hidden="1">{"fdsup://Directions/FactSet Auditing Viewer?action=AUDIT_VALUE&amp;DB=129&amp;ID1=87416110&amp;VALUEID=01001&amp;SDATE=200702&amp;PERIODTYPE=QTR_STD&amp;window=popup_no_bar&amp;width=385&amp;height=120&amp;START_MAXIMIZED=FALSE&amp;creator=factset&amp;display_string=Audit"}</definedName>
    <definedName name="_1776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777__FDSAUDITLINK__" localSheetId="15" hidden="1">{"fdsup://Directions/FactSet Auditing Viewer?action=AUDIT_VALUE&amp;DB=129&amp;ID1=53271610&amp;VALUEID=02101&amp;SDATE=200702&amp;PERIODTYPE=QTR_STD&amp;window=popup_no_bar&amp;width=385&amp;height=120&amp;START_MAXIMIZED=FALSE&amp;creator=factset&amp;display_string=Audit"}</definedName>
    <definedName name="_1777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778__FDSAUDITLINK__" localSheetId="15" hidden="1">{"fdsup://Directions/FactSet Auditing Viewer?action=AUDIT_VALUE&amp;DB=129&amp;ID1=53271610&amp;VALUEID=01001&amp;SDATE=200702&amp;PERIODTYPE=QTR_STD&amp;window=popup_no_bar&amp;width=385&amp;height=120&amp;START_MAXIMIZED=FALSE&amp;creator=factset&amp;display_string=Audit"}</definedName>
    <definedName name="_1778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779__FDSAUDITLINK__" localSheetId="15" hidden="1">{"fdsup://Directions/FactSet Auditing Viewer?action=AUDIT_VALUE&amp;DB=129&amp;ID1=53271610&amp;VALUEID=13040&amp;SDATE=200702&amp;PERIODTYPE=QTR_STD&amp;window=popup_no_bar&amp;width=385&amp;height=120&amp;START_MAXIMIZED=FALSE&amp;creator=factset&amp;display_string=Audit"}</definedName>
    <definedName name="_1779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7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178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80__FDSAUDITLINK__" localSheetId="15" hidden="1">{"fdsup://Directions/FactSet Auditing Viewer?action=AUDIT_VALUE&amp;DB=129&amp;ID1=46612H40&amp;VALUEID=02101&amp;SDATE=200702&amp;PERIODTYPE=QTR_STD&amp;window=popup_no_bar&amp;width=385&amp;height=120&amp;START_MAXIMIZED=FALSE&amp;creator=factset&amp;display_string=Audit"}</definedName>
    <definedName name="_1780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781__FDSAUDITLINK__" localSheetId="15" hidden="1">{"fdsup://Directions/FactSet Auditing Viewer?action=AUDIT_VALUE&amp;DB=129&amp;ID1=46612H40&amp;VALUEID=01001&amp;SDATE=200702&amp;PERIODTYPE=QTR_STD&amp;window=popup_no_bar&amp;width=385&amp;height=120&amp;START_MAXIMIZED=FALSE&amp;creator=factset&amp;display_string=Audit"}</definedName>
    <definedName name="_1781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782__FDSAUDITLINK__" localSheetId="15" hidden="1">{"fdsup://Directions/FactSet Auditing Viewer?action=AUDIT_VALUE&amp;DB=129&amp;ID1=46612H40&amp;VALUEID=13040&amp;SDATE=200702&amp;PERIODTYPE=QTR_STD&amp;window=popup_no_bar&amp;width=385&amp;height=120&amp;START_MAXIMIZED=FALSE&amp;creator=factset&amp;display_string=Audit"}</definedName>
    <definedName name="_1782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783__FDSAUDITLINK__" localSheetId="15" hidden="1">{"fdsup://Directions/FactSet Auditing Viewer?action=AUDIT_VALUE&amp;DB=129&amp;ID1=36476010&amp;VALUEID=02101&amp;SDATE=200702&amp;PERIODTYPE=QTR_STD&amp;window=popup_no_bar&amp;width=385&amp;height=120&amp;START_MAXIMIZED=FALSE&amp;creator=factset&amp;display_string=Audit"}</definedName>
    <definedName name="_1783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784__FDSAUDITLINK__" localSheetId="15" hidden="1">{"fdsup://Directions/FactSet Auditing Viewer?action=AUDIT_VALUE&amp;DB=129&amp;ID1=36476010&amp;VALUEID=01001&amp;SDATE=200702&amp;PERIODTYPE=QTR_STD&amp;window=popup_no_bar&amp;width=385&amp;height=120&amp;START_MAXIMIZED=FALSE&amp;creator=factset&amp;display_string=Audit"}</definedName>
    <definedName name="_1784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785__FDSAUDITLINK__" localSheetId="15" hidden="1">{"fdsup://Directions/FactSet Auditing Viewer?action=AUDIT_VALUE&amp;DB=129&amp;ID1=03611510&amp;VALUEID=02101&amp;SDATE=200702&amp;PERIODTYPE=QTR_STD&amp;window=popup_no_bar&amp;width=385&amp;height=120&amp;START_MAXIMIZED=FALSE&amp;creator=factset&amp;display_string=Audit"}</definedName>
    <definedName name="_1785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786__FDSAUDITLINK__" localSheetId="15" hidden="1">{"fdsup://Directions/FactSet Auditing Viewer?action=AUDIT_VALUE&amp;DB=129&amp;ID1=03611510&amp;VALUEID=01001&amp;SDATE=200702&amp;PERIODTYPE=QTR_STD&amp;window=popup_no_bar&amp;width=385&amp;height=120&amp;START_MAXIMIZED=FALSE&amp;creator=factset&amp;display_string=Audit"}</definedName>
    <definedName name="_1786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787__FDSAUDITLINK__" localSheetId="15" hidden="1">{"fdsup://Directions/FactSet Auditing Viewer?action=AUDIT_VALUE&amp;DB=129&amp;ID1=03611510&amp;VALUEID=13040&amp;SDATE=200702&amp;PERIODTYPE=QTR_STD&amp;window=popup_no_bar&amp;width=385&amp;height=120&amp;START_MAXIMIZED=FALSE&amp;creator=factset&amp;display_string=Audit"}</definedName>
    <definedName name="_178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788__FDSAUDITLINK__" localSheetId="15" hidden="1">{"fdsup://Directions/FactSet Auditing Viewer?action=AUDIT_VALUE&amp;DB=129&amp;ID1=16890510&amp;VALUEID=02101&amp;SDATE=200702&amp;PERIODTYPE=QTR_STD&amp;window=popup_no_bar&amp;width=385&amp;height=120&amp;START_MAXIMIZED=FALSE&amp;creator=factset&amp;display_string=Audit"}</definedName>
    <definedName name="_1788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789__FDSAUDITLINK__" localSheetId="15" hidden="1">{"fdsup://Directions/FactSet Auditing Viewer?action=AUDIT_VALUE&amp;DB=129&amp;ID1=16890510&amp;VALUEID=01001&amp;SDATE=200702&amp;PERIODTYPE=QTR_STD&amp;window=popup_no_bar&amp;width=385&amp;height=120&amp;START_MAXIMIZED=FALSE&amp;creator=factset&amp;display_string=Audit"}</definedName>
    <definedName name="_1789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7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179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90__FDSAUDITLINK__" localSheetId="15" hidden="1">{"fdsup://Directions/FactSet Auditing Viewer?action=AUDIT_VALUE&amp;DB=129&amp;ID1=91704710&amp;VALUEID=02101&amp;SDATE=200702&amp;PERIODTYPE=QTR_STD&amp;window=popup_no_bar&amp;width=385&amp;height=120&amp;START_MAXIMIZED=FALSE&amp;creator=factset&amp;display_string=Audit"}</definedName>
    <definedName name="_1790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791__FDSAUDITLINK__" localSheetId="15" hidden="1">{"fdsup://Directions/FactSet Auditing Viewer?action=AUDIT_VALUE&amp;DB=129&amp;ID1=91704710&amp;VALUEID=01001&amp;SDATE=200702&amp;PERIODTYPE=QTR_STD&amp;window=popup_no_bar&amp;width=385&amp;height=120&amp;START_MAXIMIZED=FALSE&amp;creator=factset&amp;display_string=Audit"}</definedName>
    <definedName name="_1791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792__FDSAUDITLINK__" localSheetId="15" hidden="1">{"fdsup://Directions/FactSet Auditing Viewer?action=AUDIT_VALUE&amp;DB=129&amp;ID1=91704710&amp;VALUEID=13040&amp;SDATE=200702&amp;PERIODTYPE=QTR_STD&amp;window=popup_no_bar&amp;width=385&amp;height=120&amp;START_MAXIMIZED=FALSE&amp;creator=factset&amp;display_string=Audit"}</definedName>
    <definedName name="_1792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793__FDSAUDITLINK__" localSheetId="15" hidden="1">{"fdsup://Directions/FactSet Auditing Viewer?action=AUDIT_VALUE&amp;DB=129&amp;ID1=02553E10&amp;VALUEID=02101&amp;SDATE=200702&amp;PERIODTYPE=QTR_STD&amp;window=popup_no_bar&amp;width=385&amp;height=120&amp;START_MAXIMIZED=FALSE&amp;creator=factset&amp;display_string=Audit"}</definedName>
    <definedName name="_1793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794__FDSAUDITLINK__" localSheetId="15" hidden="1">{"fdsup://Directions/FactSet Auditing Viewer?action=AUDIT_VALUE&amp;DB=129&amp;ID1=02553E10&amp;VALUEID=01001&amp;SDATE=200702&amp;PERIODTYPE=QTR_STD&amp;window=popup_no_bar&amp;width=385&amp;height=120&amp;START_MAXIMIZED=FALSE&amp;creator=factset&amp;display_string=Audit"}</definedName>
    <definedName name="_1794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795__FDSAUDITLINK__" localSheetId="15" hidden="1">{"fdsup://Directions/FactSet Auditing Viewer?action=AUDIT_VALUE&amp;DB=129&amp;ID1=02553E10&amp;VALUEID=13040&amp;SDATE=200702&amp;PERIODTYPE=QTR_STD&amp;window=popup_no_bar&amp;width=385&amp;height=120&amp;START_MAXIMIZED=FALSE&amp;creator=factset&amp;display_string=Audit"}</definedName>
    <definedName name="_1795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796__FDSAUDITLINK__" localSheetId="15" hidden="1">{"fdsup://Directions/FactSet Auditing Viewer?action=AUDIT_VALUE&amp;DB=129&amp;ID1=00786510&amp;VALUEID=02101&amp;SDATE=200702&amp;PERIODTYPE=QTR_STD&amp;window=popup_no_bar&amp;width=385&amp;height=120&amp;START_MAXIMIZED=FALSE&amp;creator=factset&amp;display_string=Audit"}</definedName>
    <definedName name="_1796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797__FDSAUDITLINK__" localSheetId="15" hidden="1">{"fdsup://Directions/FactSet Auditing Viewer?action=AUDIT_VALUE&amp;DB=129&amp;ID1=00786510&amp;VALUEID=01001&amp;SDATE=200702&amp;PERIODTYPE=QTR_STD&amp;window=popup_no_bar&amp;width=385&amp;height=120&amp;START_MAXIMIZED=FALSE&amp;creator=factset&amp;display_string=Audit"}</definedName>
    <definedName name="_1797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798__FDSAUDITLINK__" localSheetId="15" hidden="1">{"fdsup://Directions/FactSet Auditing Viewer?action=AUDIT_VALUE&amp;DB=129&amp;ID1=00786510&amp;VALUEID=13040&amp;SDATE=200702&amp;PERIODTYPE=QTR_STD&amp;window=popup_no_bar&amp;width=385&amp;height=120&amp;START_MAXIMIZED=FALSE&amp;creator=factset&amp;display_string=Audit"}</definedName>
    <definedName name="_1798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799__FDSAUDITLINK__" localSheetId="15" hidden="1">{"fdsup://Directions/FactSet Auditing Viewer?action=AUDIT_VALUE&amp;DB=129&amp;ID1=00289620&amp;VALUEID=02101&amp;SDATE=200702&amp;PERIODTYPE=QTR_STD&amp;window=popup_no_bar&amp;width=385&amp;height=120&amp;START_MAXIMIZED=FALSE&amp;creator=factset&amp;display_string=Audit"}</definedName>
    <definedName name="_1799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8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18__FDSAUDITLINK__" hidden="1">{"fdsup://Directions/FactSet Auditing Viewer?action=AUDIT_VALUE&amp;DB=129&amp;ID1=03783310&amp;VALUEID=04601&amp;SDATE=2008&amp;PERIODTYPE=ANN_STD&amp;window=popup_no_bar&amp;width=385&amp;height=120&amp;START_MAXIMIZED=FALSE&amp;creator=factset&amp;display_string=Audit"}</definedName>
    <definedName name="_18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180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800__FDSAUDITLINK__" localSheetId="15" hidden="1">{"fdsup://Directions/FactSet Auditing Viewer?action=AUDIT_VALUE&amp;DB=129&amp;ID1=00289620&amp;VALUEID=01001&amp;SDATE=200702&amp;PERIODTYPE=QTR_STD&amp;window=popup_no_bar&amp;width=385&amp;height=120&amp;START_MAXIMIZED=FALSE&amp;creator=factset&amp;display_string=Audit"}</definedName>
    <definedName name="_1800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801__FDSAUDITLINK__" localSheetId="15" hidden="1">{"fdsup://Directions/FactSet Auditing Viewer?action=AUDIT_VALUE&amp;DB=129&amp;ID1=87416110&amp;VALUEID=02101&amp;SDATE=200701&amp;PERIODTYPE=QTR_STD&amp;window=popup_no_bar&amp;width=385&amp;height=120&amp;START_MAXIMIZED=FALSE&amp;creator=factset&amp;display_string=Audit"}</definedName>
    <definedName name="_1801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802__FDSAUDITLINK__" localSheetId="15" hidden="1">{"fdsup://Directions/FactSet Auditing Viewer?action=AUDIT_VALUE&amp;DB=129&amp;ID1=87416110&amp;VALUEID=01001&amp;SDATE=200701&amp;PERIODTYPE=QTR_STD&amp;window=popup_no_bar&amp;width=385&amp;height=120&amp;START_MAXIMIZED=FALSE&amp;creator=factset&amp;display_string=Audit"}</definedName>
    <definedName name="_1802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803__FDSAUDITLINK__" localSheetId="15" hidden="1">{"fdsup://Directions/FactSet Auditing Viewer?action=AUDIT_VALUE&amp;DB=129&amp;ID1=53271610&amp;VALUEID=02101&amp;SDATE=200701&amp;PERIODTYPE=QTR_STD&amp;window=popup_no_bar&amp;width=385&amp;height=120&amp;START_MAXIMIZED=FALSE&amp;creator=factset&amp;display_string=Audit"}</definedName>
    <definedName name="_1803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804__FDSAUDITLINK__" localSheetId="15" hidden="1">{"fdsup://Directions/FactSet Auditing Viewer?action=AUDIT_VALUE&amp;DB=129&amp;ID1=53271610&amp;VALUEID=01001&amp;SDATE=200701&amp;PERIODTYPE=QTR_STD&amp;window=popup_no_bar&amp;width=385&amp;height=120&amp;START_MAXIMIZED=FALSE&amp;creator=factset&amp;display_string=Audit"}</definedName>
    <definedName name="_1804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805__FDSAUDITLINK__" localSheetId="15" hidden="1">{"fdsup://Directions/FactSet Auditing Viewer?action=AUDIT_VALUE&amp;DB=129&amp;ID1=53271610&amp;VALUEID=13040&amp;SDATE=200701&amp;PERIODTYPE=QTR_STD&amp;window=popup_no_bar&amp;width=385&amp;height=120&amp;START_MAXIMIZED=FALSE&amp;creator=factset&amp;display_string=Audit"}</definedName>
    <definedName name="_1805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806__FDSAUDITLINK__" localSheetId="15" hidden="1">{"fdsup://Directions/FactSet Auditing Viewer?action=AUDIT_VALUE&amp;DB=129&amp;ID1=46612H40&amp;VALUEID=02101&amp;SDATE=200701&amp;PERIODTYPE=QTR_STD&amp;window=popup_no_bar&amp;width=385&amp;height=120&amp;START_MAXIMIZED=FALSE&amp;creator=factset&amp;display_string=Audit"}</definedName>
    <definedName name="_1806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807__FDSAUDITLINK__" localSheetId="15" hidden="1">{"fdsup://Directions/FactSet Auditing Viewer?action=AUDIT_VALUE&amp;DB=129&amp;ID1=46612H40&amp;VALUEID=01001&amp;SDATE=200701&amp;PERIODTYPE=QTR_STD&amp;window=popup_no_bar&amp;width=385&amp;height=120&amp;START_MAXIMIZED=FALSE&amp;creator=factset&amp;display_string=Audit"}</definedName>
    <definedName name="_1807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808__FDSAUDITLINK__" localSheetId="15" hidden="1">{"fdsup://Directions/FactSet Auditing Viewer?action=AUDIT_VALUE&amp;DB=129&amp;ID1=46612H40&amp;VALUEID=13040&amp;SDATE=200701&amp;PERIODTYPE=QTR_STD&amp;window=popup_no_bar&amp;width=385&amp;height=120&amp;START_MAXIMIZED=FALSE&amp;creator=factset&amp;display_string=Audit"}</definedName>
    <definedName name="_1808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809__FDSAUDITLINK__" localSheetId="15" hidden="1">{"fdsup://Directions/FactSet Auditing Viewer?action=AUDIT_VALUE&amp;DB=129&amp;ID1=36476010&amp;VALUEID=02101&amp;SDATE=200701&amp;PERIODTYPE=QTR_STD&amp;window=popup_no_bar&amp;width=385&amp;height=120&amp;START_MAXIMIZED=FALSE&amp;creator=factset&amp;display_string=Audit"}</definedName>
    <definedName name="_1809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8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181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810__FDSAUDITLINK__" localSheetId="15" hidden="1">{"fdsup://Directions/FactSet Auditing Viewer?action=AUDIT_VALUE&amp;DB=129&amp;ID1=36476010&amp;VALUEID=01001&amp;SDATE=200701&amp;PERIODTYPE=QTR_STD&amp;window=popup_no_bar&amp;width=385&amp;height=120&amp;START_MAXIMIZED=FALSE&amp;creator=factset&amp;display_string=Audit"}</definedName>
    <definedName name="_1810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811__FDSAUDITLINK__" localSheetId="15" hidden="1">{"fdsup://Directions/FactSet Auditing Viewer?action=AUDIT_VALUE&amp;DB=129&amp;ID1=36476010&amp;VALUEID=13040&amp;SDATE=200701&amp;PERIODTYPE=QTR_STD&amp;window=popup_no_bar&amp;width=385&amp;height=120&amp;START_MAXIMIZED=FALSE&amp;creator=factset&amp;display_string=Audit"}</definedName>
    <definedName name="_1811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812__FDSAUDITLINK__" localSheetId="15" hidden="1">{"fdsup://Directions/FactSet Auditing Viewer?action=AUDIT_VALUE&amp;DB=129&amp;ID1=03611510&amp;VALUEID=02101&amp;SDATE=200701&amp;PERIODTYPE=QTR_STD&amp;window=popup_no_bar&amp;width=385&amp;height=120&amp;START_MAXIMIZED=FALSE&amp;creator=factset&amp;display_string=Audit"}</definedName>
    <definedName name="_1812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813__FDSAUDITLINK__" localSheetId="15" hidden="1">{"fdsup://Directions/FactSet Auditing Viewer?action=AUDIT_VALUE&amp;DB=129&amp;ID1=03611510&amp;VALUEID=01001&amp;SDATE=200701&amp;PERIODTYPE=QTR_STD&amp;window=popup_no_bar&amp;width=385&amp;height=120&amp;START_MAXIMIZED=FALSE&amp;creator=factset&amp;display_string=Audit"}</definedName>
    <definedName name="_1813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814__FDSAUDITLINK__" localSheetId="15" hidden="1">{"fdsup://Directions/FactSet Auditing Viewer?action=AUDIT_VALUE&amp;DB=129&amp;ID1=03611510&amp;VALUEID=13040&amp;SDATE=200701&amp;PERIODTYPE=QTR_STD&amp;window=popup_no_bar&amp;width=385&amp;height=120&amp;START_MAXIMIZED=FALSE&amp;creator=factset&amp;display_string=Audit"}</definedName>
    <definedName name="_18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815__FDSAUDITLINK__" localSheetId="15" hidden="1">{"fdsup://Directions/FactSet Auditing Viewer?action=AUDIT_VALUE&amp;DB=129&amp;ID1=16890510&amp;VALUEID=02101&amp;SDATE=200701&amp;PERIODTYPE=QTR_STD&amp;window=popup_no_bar&amp;width=385&amp;height=120&amp;START_MAXIMIZED=FALSE&amp;creator=factset&amp;display_string=Audit"}</definedName>
    <definedName name="_1815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816__FDSAUDITLINK__" localSheetId="15" hidden="1">{"fdsup://Directions/FactSet Auditing Viewer?action=AUDIT_VALUE&amp;DB=129&amp;ID1=16890510&amp;VALUEID=01001&amp;SDATE=200701&amp;PERIODTYPE=QTR_STD&amp;window=popup_no_bar&amp;width=385&amp;height=120&amp;START_MAXIMIZED=FALSE&amp;creator=factset&amp;display_string=Audit"}</definedName>
    <definedName name="_1816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817__FDSAUDITLINK__" localSheetId="15" hidden="1">{"fdsup://Directions/FactSet Auditing Viewer?action=AUDIT_VALUE&amp;DB=129&amp;ID1=91704710&amp;VALUEID=02101&amp;SDATE=200701&amp;PERIODTYPE=QTR_STD&amp;window=popup_no_bar&amp;width=385&amp;height=120&amp;START_MAXIMIZED=FALSE&amp;creator=factset&amp;display_string=Audit"}</definedName>
    <definedName name="_1817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818__FDSAUDITLINK__" localSheetId="15" hidden="1">{"fdsup://Directions/FactSet Auditing Viewer?action=AUDIT_VALUE&amp;DB=129&amp;ID1=91704710&amp;VALUEID=01001&amp;SDATE=200701&amp;PERIODTYPE=QTR_STD&amp;window=popup_no_bar&amp;width=385&amp;height=120&amp;START_MAXIMIZED=FALSE&amp;creator=factset&amp;display_string=Audit"}</definedName>
    <definedName name="_1818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819__FDSAUDITLINK__" localSheetId="15" hidden="1">{"fdsup://Directions/FactSet Auditing Viewer?action=AUDIT_VALUE&amp;DB=129&amp;ID1=91704710&amp;VALUEID=13040&amp;SDATE=200701&amp;PERIODTYPE=QTR_STD&amp;window=popup_no_bar&amp;width=385&amp;height=120&amp;START_MAXIMIZED=FALSE&amp;creator=factset&amp;display_string=Audit"}</definedName>
    <definedName name="_1819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8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182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820__FDSAUDITLINK__" localSheetId="15" hidden="1">{"fdsup://Directions/FactSet Auditing Viewer?action=AUDIT_VALUE&amp;DB=129&amp;ID1=02553E10&amp;VALUEID=02101&amp;SDATE=200701&amp;PERIODTYPE=QTR_STD&amp;window=popup_no_bar&amp;width=385&amp;height=120&amp;START_MAXIMIZED=FALSE&amp;creator=factset&amp;display_string=Audit"}</definedName>
    <definedName name="_1820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821__FDSAUDITLINK__" localSheetId="15" hidden="1">{"fdsup://Directions/FactSet Auditing Viewer?action=AUDIT_VALUE&amp;DB=129&amp;ID1=02553E10&amp;VALUEID=01001&amp;SDATE=200701&amp;PERIODTYPE=QTR_STD&amp;window=popup_no_bar&amp;width=385&amp;height=120&amp;START_MAXIMIZED=FALSE&amp;creator=factset&amp;display_string=Audit"}</definedName>
    <definedName name="_1821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822__FDSAUDITLINK__" localSheetId="15" hidden="1">{"fdsup://Directions/FactSet Auditing Viewer?action=AUDIT_VALUE&amp;DB=129&amp;ID1=02553E10&amp;VALUEID=13040&amp;SDATE=200701&amp;PERIODTYPE=QTR_STD&amp;window=popup_no_bar&amp;width=385&amp;height=120&amp;START_MAXIMIZED=FALSE&amp;creator=factset&amp;display_string=Audit"}</definedName>
    <definedName name="_1822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823__FDSAUDITLINK__" localSheetId="15" hidden="1">{"fdsup://Directions/FactSet Auditing Viewer?action=AUDIT_VALUE&amp;DB=129&amp;ID1=00786510&amp;VALUEID=02101&amp;SDATE=200701&amp;PERIODTYPE=QTR_STD&amp;window=popup_no_bar&amp;width=385&amp;height=120&amp;START_MAXIMIZED=FALSE&amp;creator=factset&amp;display_string=Audit"}</definedName>
    <definedName name="_1823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824__FDSAUDITLINK__" localSheetId="15" hidden="1">{"fdsup://Directions/FactSet Auditing Viewer?action=AUDIT_VALUE&amp;DB=129&amp;ID1=00786510&amp;VALUEID=01001&amp;SDATE=200701&amp;PERIODTYPE=QTR_STD&amp;window=popup_no_bar&amp;width=385&amp;height=120&amp;START_MAXIMIZED=FALSE&amp;creator=factset&amp;display_string=Audit"}</definedName>
    <definedName name="_1824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825__FDSAUDITLINK__" localSheetId="15" hidden="1">{"fdsup://Directions/FactSet Auditing Viewer?action=AUDIT_VALUE&amp;DB=129&amp;ID1=00786510&amp;VALUEID=13040&amp;SDATE=200701&amp;PERIODTYPE=QTR_STD&amp;window=popup_no_bar&amp;width=385&amp;height=120&amp;START_MAXIMIZED=FALSE&amp;creator=factset&amp;display_string=Audit"}</definedName>
    <definedName name="_1825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826__FDSAUDITLINK__" localSheetId="15" hidden="1">{"fdsup://Directions/FactSet Auditing Viewer?action=AUDIT_VALUE&amp;DB=129&amp;ID1=00289620&amp;VALUEID=02101&amp;SDATE=200701&amp;PERIODTYPE=QTR_STD&amp;window=popup_no_bar&amp;width=385&amp;height=120&amp;START_MAXIMIZED=FALSE&amp;creator=factset&amp;display_string=Audit"}</definedName>
    <definedName name="_1826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827__FDSAUDITLINK__" localSheetId="15" hidden="1">{"fdsup://Directions/FactSet Auditing Viewer?action=AUDIT_VALUE&amp;DB=129&amp;ID1=00289620&amp;VALUEID=01001&amp;SDATE=200701&amp;PERIODTYPE=QTR_STD&amp;window=popup_no_bar&amp;width=385&amp;height=120&amp;START_MAXIMIZED=FALSE&amp;creator=factset&amp;display_string=Audit"}</definedName>
    <definedName name="_1827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828__FDSAUDITLINK__" localSheetId="15" hidden="1">{"fdsup://Directions/FactSet Auditing Viewer?action=AUDIT_VALUE&amp;DB=129&amp;ID1=00289620&amp;VALUEID=13040&amp;SDATE=200701&amp;PERIODTYPE=QTR_STD&amp;window=popup_no_bar&amp;width=385&amp;height=120&amp;START_MAXIMIZED=FALSE&amp;creator=factset&amp;display_string=Audit"}</definedName>
    <definedName name="_1828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829__FDSAUDITLINK__" localSheetId="15" hidden="1">{"fdsup://Directions/FactSet Auditing Viewer?action=AUDIT_VALUE&amp;DB=129&amp;ID1=87416110&amp;VALUEID=01001&amp;SDATE=200604&amp;PERIODTYPE=QTR_STD&amp;window=popup_no_bar&amp;width=385&amp;height=120&amp;START_MAXIMIZED=FALSE&amp;creator=factset&amp;display_string=Audit"}</definedName>
    <definedName name="_1829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8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183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830__FDSAUDITLINK__" localSheetId="15" hidden="1">{"fdsup://Directions/FactSet Auditing Viewer?action=AUDIT_VALUE&amp;DB=129&amp;ID1=46612H40&amp;VALUEID=01001&amp;SDATE=200604&amp;PERIODTYPE=QTR_STD&amp;window=popup_no_bar&amp;width=385&amp;height=120&amp;START_MAXIMIZED=FALSE&amp;creator=factset&amp;display_string=Audit"}</definedName>
    <definedName name="_1830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831__FDSAUDITLINK__" localSheetId="15" hidden="1">{"fdsup://Directions/FactSet Auditing Viewer?action=AUDIT_VALUE&amp;DB=129&amp;ID1=36476010&amp;VALUEID=01001&amp;SDATE=200604&amp;PERIODTYPE=QTR_STD&amp;window=popup_no_bar&amp;width=385&amp;height=120&amp;START_MAXIMIZED=FALSE&amp;creator=factset&amp;display_string=Audit"}</definedName>
    <definedName name="_1831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832__FDSAUDITLINK__" localSheetId="15" hidden="1">{"fdsup://Directions/FactSet Auditing Viewer?action=AUDIT_VALUE&amp;DB=129&amp;ID1=03611510&amp;VALUEID=01001&amp;SDATE=200604&amp;PERIODTYPE=QTR_STD&amp;window=popup_no_bar&amp;width=385&amp;height=120&amp;START_MAXIMIZED=FALSE&amp;creator=factset&amp;display_string=Audit"}</definedName>
    <definedName name="_1832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833__FDSAUDITLINK__" localSheetId="15" hidden="1">{"fdsup://Directions/FactSet Auditing Viewer?action=AUDIT_VALUE&amp;DB=129&amp;ID1=16890510&amp;VALUEID=01001&amp;SDATE=200604&amp;PERIODTYPE=QTR_STD&amp;window=popup_no_bar&amp;width=385&amp;height=120&amp;START_MAXIMIZED=FALSE&amp;creator=factset&amp;display_string=Audit"}</definedName>
    <definedName name="_1833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834__FDSAUDITLINK__" localSheetId="15"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834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835__FDSAUDITLINK__" localSheetId="15" hidden="1">{"fdsup://Directions/FactSet Auditing Viewer?action=AUDIT_VALUE&amp;DB=129&amp;ID1=00786510&amp;VALUEID=01001&amp;SDATE=200604&amp;PERIODTYPE=QTR_STD&amp;window=popup_no_bar&amp;width=385&amp;height=120&amp;START_MAXIMIZED=FALSE&amp;creator=factset&amp;display_string=Audit"}</definedName>
    <definedName name="_1835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836__FDSAUDITLINK__" localSheetId="15" hidden="1">{"fdsup://Directions/FactSet Auditing Viewer?action=AUDIT_VALUE&amp;DB=129&amp;ID1=87416110&amp;VALUEID=02101&amp;SDATE=200603&amp;PERIODTYPE=QTR_STD&amp;window=popup_no_bar&amp;width=385&amp;height=120&amp;START_MAXIMIZED=FALSE&amp;creator=factset&amp;display_string=Audit"}</definedName>
    <definedName name="_1836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837__FDSAUDITLINK__" localSheetId="15" hidden="1">{"fdsup://Directions/FactSet Auditing Viewer?action=AUDIT_VALUE&amp;DB=129&amp;ID1=87416110&amp;VALUEID=01001&amp;SDATE=200603&amp;PERIODTYPE=QTR_STD&amp;window=popup_no_bar&amp;width=385&amp;height=120&amp;START_MAXIMIZED=FALSE&amp;creator=factset&amp;display_string=Audit"}</definedName>
    <definedName name="_1837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838__FDSAUDITLINK__" localSheetId="15" hidden="1">{"fdsup://Directions/FactSet Auditing Viewer?action=AUDIT_VALUE&amp;DB=129&amp;ID1=53271610&amp;VALUEID=02101&amp;SDATE=200603&amp;PERIODTYPE=QTR_STD&amp;window=popup_no_bar&amp;width=385&amp;height=120&amp;START_MAXIMIZED=FALSE&amp;creator=factset&amp;display_string=Audit"}</definedName>
    <definedName name="_1838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839__FDSAUDITLINK__" localSheetId="15" hidden="1">{"fdsup://Directions/FactSet Auditing Viewer?action=AUDIT_VALUE&amp;DB=129&amp;ID1=53271610&amp;VALUEID=01001&amp;SDATE=200603&amp;PERIODTYPE=QTR_STD&amp;window=popup_no_bar&amp;width=385&amp;height=120&amp;START_MAXIMIZED=FALSE&amp;creator=factset&amp;display_string=Audit"}</definedName>
    <definedName name="_1839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8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184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840__FDSAUDITLINK__" localSheetId="15" hidden="1">{"fdsup://Directions/FactSet Auditing Viewer?action=AUDIT_VALUE&amp;DB=129&amp;ID1=53271610&amp;VALUEID=13040&amp;SDATE=200603&amp;PERIODTYPE=QTR_STD&amp;window=popup_no_bar&amp;width=385&amp;height=120&amp;START_MAXIMIZED=FALSE&amp;creator=factset&amp;display_string=Audit"}</definedName>
    <definedName name="_1840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841__FDSAUDITLINK__" localSheetId="15" hidden="1">{"fdsup://Directions/FactSet Auditing Viewer?action=AUDIT_VALUE&amp;DB=129&amp;ID1=46612H40&amp;VALUEID=02101&amp;SDATE=200603&amp;PERIODTYPE=QTR_STD&amp;window=popup_no_bar&amp;width=385&amp;height=120&amp;START_MAXIMIZED=FALSE&amp;creator=factset&amp;display_string=Audit"}</definedName>
    <definedName name="_1841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842__FDSAUDITLINK__" localSheetId="15" hidden="1">{"fdsup://Directions/FactSet Auditing Viewer?action=AUDIT_VALUE&amp;DB=129&amp;ID1=46612H40&amp;VALUEID=01001&amp;SDATE=200603&amp;PERIODTYPE=QTR_STD&amp;window=popup_no_bar&amp;width=385&amp;height=120&amp;START_MAXIMIZED=FALSE&amp;creator=factset&amp;display_string=Audit"}</definedName>
    <definedName name="_1842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843__FDSAUDITLINK__" localSheetId="15" hidden="1">{"fdsup://Directions/FactSet Auditing Viewer?action=AUDIT_VALUE&amp;DB=129&amp;ID1=46612H40&amp;VALUEID=13040&amp;SDATE=200603&amp;PERIODTYPE=QTR_STD&amp;window=popup_no_bar&amp;width=385&amp;height=120&amp;START_MAXIMIZED=FALSE&amp;creator=factset&amp;display_string=Audit"}</definedName>
    <definedName name="_1843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844__FDSAUDITLINK__" localSheetId="15" hidden="1">{"fdsup://Directions/FactSet Auditing Viewer?action=AUDIT_VALUE&amp;DB=129&amp;ID1=36476010&amp;VALUEID=02101&amp;SDATE=200603&amp;PERIODTYPE=QTR_STD&amp;window=popup_no_bar&amp;width=385&amp;height=120&amp;START_MAXIMIZED=FALSE&amp;creator=factset&amp;display_string=Audit"}</definedName>
    <definedName name="_1844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845__FDSAUDITLINK__" localSheetId="15" hidden="1">{"fdsup://Directions/FactSet Auditing Viewer?action=AUDIT_VALUE&amp;DB=129&amp;ID1=36476010&amp;VALUEID=01001&amp;SDATE=200603&amp;PERIODTYPE=QTR_STD&amp;window=popup_no_bar&amp;width=385&amp;height=120&amp;START_MAXIMIZED=FALSE&amp;creator=factset&amp;display_string=Audit"}</definedName>
    <definedName name="_1845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846__FDSAUDITLINK__" localSheetId="15" hidden="1">{"fdsup://Directions/FactSet Auditing Viewer?action=AUDIT_VALUE&amp;DB=129&amp;ID1=36476010&amp;VALUEID=13040&amp;SDATE=200603&amp;PERIODTYPE=QTR_STD&amp;window=popup_no_bar&amp;width=385&amp;height=120&amp;START_MAXIMIZED=FALSE&amp;creator=factset&amp;display_string=Audit"}</definedName>
    <definedName name="_1846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847__FDSAUDITLINK__" localSheetId="15" hidden="1">{"fdsup://Directions/FactSet Auditing Viewer?action=AUDIT_VALUE&amp;DB=129&amp;ID1=03611510&amp;VALUEID=02101&amp;SDATE=200603&amp;PERIODTYPE=QTR_STD&amp;window=popup_no_bar&amp;width=385&amp;height=120&amp;START_MAXIMIZED=FALSE&amp;creator=factset&amp;display_string=Audit"}</definedName>
    <definedName name="_1847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848__FDSAUDITLINK__" localSheetId="15" hidden="1">{"fdsup://Directions/FactSet Auditing Viewer?action=AUDIT_VALUE&amp;DB=129&amp;ID1=03611510&amp;VALUEID=01001&amp;SDATE=200603&amp;PERIODTYPE=QTR_STD&amp;window=popup_no_bar&amp;width=385&amp;height=120&amp;START_MAXIMIZED=FALSE&amp;creator=factset&amp;display_string=Audit"}</definedName>
    <definedName name="_1848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849__FDSAUDITLINK__" localSheetId="15" hidden="1">{"fdsup://Directions/FactSet Auditing Viewer?action=AUDIT_VALUE&amp;DB=129&amp;ID1=03611510&amp;VALUEID=13040&amp;SDATE=200603&amp;PERIODTYPE=QTR_STD&amp;window=popup_no_bar&amp;width=385&amp;height=120&amp;START_MAXIMIZED=FALSE&amp;creator=factset&amp;display_string=Audit"}</definedName>
    <definedName name="_1849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8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185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850__FDSAUDITLINK__" localSheetId="15" hidden="1">{"fdsup://Directions/FactSet Auditing Viewer?action=AUDIT_VALUE&amp;DB=129&amp;ID1=16890510&amp;VALUEID=02101&amp;SDATE=200603&amp;PERIODTYPE=QTR_STD&amp;window=popup_no_bar&amp;width=385&amp;height=120&amp;START_MAXIMIZED=FALSE&amp;creator=factset&amp;display_string=Audit"}</definedName>
    <definedName name="_185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851__FDSAUDITLINK__" localSheetId="15" hidden="1">{"fdsup://Directions/FactSet Auditing Viewer?action=AUDIT_VALUE&amp;DB=129&amp;ID1=16890510&amp;VALUEID=01001&amp;SDATE=200603&amp;PERIODTYPE=QTR_STD&amp;window=popup_no_bar&amp;width=385&amp;height=120&amp;START_MAXIMIZED=FALSE&amp;creator=factset&amp;display_string=Audit"}</definedName>
    <definedName name="_1851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852__FDSAUDITLINK__" localSheetId="15" hidden="1">{"fdsup://Directions/FactSet Auditing Viewer?action=AUDIT_VALUE&amp;DB=129&amp;ID1=91704710&amp;VALUEID=02101&amp;SDATE=200603&amp;PERIODTYPE=QTR_STD&amp;window=popup_no_bar&amp;width=385&amp;height=120&amp;START_MAXIMIZED=FALSE&amp;creator=factset&amp;display_string=Audit"}</definedName>
    <definedName name="_1852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853__FDSAUDITLINK__" localSheetId="15" hidden="1">{"fdsup://Directions/FactSet Auditing Viewer?action=AUDIT_VALUE&amp;DB=129&amp;ID1=91704710&amp;VALUEID=01001&amp;SDATE=200603&amp;PERIODTYPE=QTR_STD&amp;window=popup_no_bar&amp;width=385&amp;height=120&amp;START_MAXIMIZED=FALSE&amp;creator=factset&amp;display_string=Audit"}</definedName>
    <definedName name="_1853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854__FDSAUDITLINK__" localSheetId="15" hidden="1">{"fdsup://Directions/FactSet Auditing Viewer?action=AUDIT_VALUE&amp;DB=129&amp;ID1=91704710&amp;VALUEID=13040&amp;SDATE=200603&amp;PERIODTYPE=QTR_STD&amp;window=popup_no_bar&amp;width=385&amp;height=120&amp;START_MAXIMIZED=FALSE&amp;creator=factset&amp;display_string=Audit"}</definedName>
    <definedName name="_1854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855__FDSAUDITLINK__" localSheetId="15"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855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856__FDSAUDITLINK__" localSheetId="15" hidden="1">{"fdsup://Directions/FactSet Auditing Viewer?action=AUDIT_VALUE&amp;DB=129&amp;ID1=00786510&amp;VALUEID=02101&amp;SDATE=200603&amp;PERIODTYPE=QTR_STD&amp;window=popup_no_bar&amp;width=385&amp;height=120&amp;START_MAXIMIZED=FALSE&amp;creator=factset&amp;display_string=Audit"}</definedName>
    <definedName name="_1856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857__FDSAUDITLINK__" localSheetId="15" hidden="1">{"fdsup://Directions/FactSet Auditing Viewer?action=AUDIT_VALUE&amp;DB=129&amp;ID1=00786510&amp;VALUEID=01001&amp;SDATE=200603&amp;PERIODTYPE=QTR_STD&amp;window=popup_no_bar&amp;width=385&amp;height=120&amp;START_MAXIMIZED=FALSE&amp;creator=factset&amp;display_string=Audit"}</definedName>
    <definedName name="_1857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858__FDSAUDITLINK__" localSheetId="15" hidden="1">{"fdsup://Directions/FactSet Auditing Viewer?action=AUDIT_VALUE&amp;DB=129&amp;ID1=00786510&amp;VALUEID=13040&amp;SDATE=200603&amp;PERIODTYPE=QTR_STD&amp;window=popup_no_bar&amp;width=385&amp;height=120&amp;START_MAXIMIZED=FALSE&amp;creator=factset&amp;display_string=Audit"}</definedName>
    <definedName name="_1858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859__FDSAUDITLINK__" localSheetId="15" hidden="1">{"fdsup://Directions/FactSet Auditing Viewer?action=AUDIT_VALUE&amp;DB=129&amp;ID1=00289620&amp;VALUEID=02101&amp;SDATE=200603&amp;PERIODTYPE=QTR_STD&amp;window=popup_no_bar&amp;width=385&amp;height=120&amp;START_MAXIMIZED=FALSE&amp;creator=factset&amp;display_string=Audit"}</definedName>
    <definedName name="_1859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8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186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860__FDSAUDITLINK__" localSheetId="15" hidden="1">{"fdsup://Directions/FactSet Auditing Viewer?action=AUDIT_VALUE&amp;DB=129&amp;ID1=00289620&amp;VALUEID=01001&amp;SDATE=200603&amp;PERIODTYPE=QTR_STD&amp;window=popup_no_bar&amp;width=385&amp;height=120&amp;START_MAXIMIZED=FALSE&amp;creator=factset&amp;display_string=Audit"}</definedName>
    <definedName name="_1860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861__FDSAUDITLINK__" localSheetId="15" hidden="1">{"fdsup://Directions/FactSet Auditing Viewer?action=AUDIT_VALUE&amp;DB=129&amp;ID1=00289620&amp;VALUEID=13040&amp;SDATE=200603&amp;PERIODTYPE=QTR_STD&amp;window=popup_no_bar&amp;width=385&amp;height=120&amp;START_MAXIMIZED=FALSE&amp;creator=factset&amp;display_string=Audit"}</definedName>
    <definedName name="_1861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862__FDSAUDITLINK__" localSheetId="15" hidden="1">{"fdsup://Directions/FactSet Auditing Viewer?action=AUDIT_VALUE&amp;DB=129&amp;ID1=87416110&amp;VALUEID=02101&amp;SDATE=200602&amp;PERIODTYPE=QTR_STD&amp;window=popup_no_bar&amp;width=385&amp;height=120&amp;START_MAXIMIZED=FALSE&amp;creator=factset&amp;display_string=Audit"}</definedName>
    <definedName name="_1862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863__FDSAUDITLINK__" localSheetId="15" hidden="1">{"fdsup://Directions/FactSet Auditing Viewer?action=AUDIT_VALUE&amp;DB=129&amp;ID1=87416110&amp;VALUEID=01001&amp;SDATE=200602&amp;PERIODTYPE=QTR_STD&amp;window=popup_no_bar&amp;width=385&amp;height=120&amp;START_MAXIMIZED=FALSE&amp;creator=factset&amp;display_string=Audit"}</definedName>
    <definedName name="_1863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864__FDSAUDITLINK__" localSheetId="15" hidden="1">{"fdsup://Directions/FactSet Auditing Viewer?action=AUDIT_VALUE&amp;DB=129&amp;ID1=53271610&amp;VALUEID=02101&amp;SDATE=200602&amp;PERIODTYPE=QTR_STD&amp;window=popup_no_bar&amp;width=385&amp;height=120&amp;START_MAXIMIZED=FALSE&amp;creator=factset&amp;display_string=Audit"}</definedName>
    <definedName name="_1864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865__FDSAUDITLINK__" localSheetId="15" hidden="1">{"fdsup://Directions/FactSet Auditing Viewer?action=AUDIT_VALUE&amp;DB=129&amp;ID1=53271610&amp;VALUEID=01001&amp;SDATE=200602&amp;PERIODTYPE=QTR_STD&amp;window=popup_no_bar&amp;width=385&amp;height=120&amp;START_MAXIMIZED=FALSE&amp;creator=factset&amp;display_string=Audit"}</definedName>
    <definedName name="_1865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866__FDSAUDITLINK__" localSheetId="15" hidden="1">{"fdsup://Directions/FactSet Auditing Viewer?action=AUDIT_VALUE&amp;DB=129&amp;ID1=53271610&amp;VALUEID=13040&amp;SDATE=200602&amp;PERIODTYPE=QTR_STD&amp;window=popup_no_bar&amp;width=385&amp;height=120&amp;START_MAXIMIZED=FALSE&amp;creator=factset&amp;display_string=Audit"}</definedName>
    <definedName name="_1866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867__FDSAUDITLINK__" localSheetId="15" hidden="1">{"fdsup://Directions/FactSet Auditing Viewer?action=AUDIT_VALUE&amp;DB=129&amp;ID1=46612H40&amp;VALUEID=02101&amp;SDATE=200602&amp;PERIODTYPE=QTR_STD&amp;window=popup_no_bar&amp;width=385&amp;height=120&amp;START_MAXIMIZED=FALSE&amp;creator=factset&amp;display_string=Audit"}</definedName>
    <definedName name="_1867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868__FDSAUDITLINK__" localSheetId="15" hidden="1">{"fdsup://Directions/FactSet Auditing Viewer?action=AUDIT_VALUE&amp;DB=129&amp;ID1=46612H40&amp;VALUEID=01001&amp;SDATE=200602&amp;PERIODTYPE=QTR_STD&amp;window=popup_no_bar&amp;width=385&amp;height=120&amp;START_MAXIMIZED=FALSE&amp;creator=factset&amp;display_string=Audit"}</definedName>
    <definedName name="_1868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869__FDSAUDITLINK__" localSheetId="15" hidden="1">{"fdsup://Directions/FactSet Auditing Viewer?action=AUDIT_VALUE&amp;DB=129&amp;ID1=46612H40&amp;VALUEID=13040&amp;SDATE=200602&amp;PERIODTYPE=QTR_STD&amp;window=popup_no_bar&amp;width=385&amp;height=120&amp;START_MAXIMIZED=FALSE&amp;creator=factset&amp;display_string=Audit"}</definedName>
    <definedName name="_1869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8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187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870__FDSAUDITLINK__" localSheetId="15" hidden="1">{"fdsup://Directions/FactSet Auditing Viewer?action=AUDIT_VALUE&amp;DB=129&amp;ID1=36476010&amp;VALUEID=02101&amp;SDATE=200602&amp;PERIODTYPE=QTR_STD&amp;window=popup_no_bar&amp;width=385&amp;height=120&amp;START_MAXIMIZED=FALSE&amp;creator=factset&amp;display_string=Audit"}</definedName>
    <definedName name="_1870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871__FDSAUDITLINK__" localSheetId="15" hidden="1">{"fdsup://Directions/FactSet Auditing Viewer?action=AUDIT_VALUE&amp;DB=129&amp;ID1=36476010&amp;VALUEID=01001&amp;SDATE=200602&amp;PERIODTYPE=QTR_STD&amp;window=popup_no_bar&amp;width=385&amp;height=120&amp;START_MAXIMIZED=FALSE&amp;creator=factset&amp;display_string=Audit"}</definedName>
    <definedName name="_1871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872__FDSAUDITLINK__" localSheetId="15" hidden="1">{"fdsup://Directions/FactSet Auditing Viewer?action=AUDIT_VALUE&amp;DB=129&amp;ID1=36476010&amp;VALUEID=13040&amp;SDATE=200602&amp;PERIODTYPE=QTR_STD&amp;window=popup_no_bar&amp;width=385&amp;height=120&amp;START_MAXIMIZED=FALSE&amp;creator=factset&amp;display_string=Audit"}</definedName>
    <definedName name="_1872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873__FDSAUDITLINK__" localSheetId="15" hidden="1">{"fdsup://Directions/FactSet Auditing Viewer?action=AUDIT_VALUE&amp;DB=129&amp;ID1=03611510&amp;VALUEID=02101&amp;SDATE=200602&amp;PERIODTYPE=QTR_STD&amp;window=popup_no_bar&amp;width=385&amp;height=120&amp;START_MAXIMIZED=FALSE&amp;creator=factset&amp;display_string=Audit"}</definedName>
    <definedName name="_1873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874__FDSAUDITLINK__" localSheetId="15" hidden="1">{"fdsup://Directions/FactSet Auditing Viewer?action=AUDIT_VALUE&amp;DB=129&amp;ID1=03611510&amp;VALUEID=01001&amp;SDATE=200602&amp;PERIODTYPE=QTR_STD&amp;window=popup_no_bar&amp;width=385&amp;height=120&amp;START_MAXIMIZED=FALSE&amp;creator=factset&amp;display_string=Audit"}</definedName>
    <definedName name="_1874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875__FDSAUDITLINK__" localSheetId="15" hidden="1">{"fdsup://Directions/FactSet Auditing Viewer?action=AUDIT_VALUE&amp;DB=129&amp;ID1=03611510&amp;VALUEID=13040&amp;SDATE=200602&amp;PERIODTYPE=QTR_STD&amp;window=popup_no_bar&amp;width=385&amp;height=120&amp;START_MAXIMIZED=FALSE&amp;creator=factset&amp;display_string=Audit"}</definedName>
    <definedName name="_1875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876__FDSAUDITLINK__" localSheetId="15" hidden="1">{"fdsup://Directions/FactSet Auditing Viewer?action=AUDIT_VALUE&amp;DB=129&amp;ID1=16890510&amp;VALUEID=02101&amp;SDATE=200602&amp;PERIODTYPE=QTR_STD&amp;window=popup_no_bar&amp;width=385&amp;height=120&amp;START_MAXIMIZED=FALSE&amp;creator=factset&amp;display_string=Audit"}</definedName>
    <definedName name="_1876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877__FDSAUDITLINK__" localSheetId="15" hidden="1">{"fdsup://Directions/FactSet Auditing Viewer?action=AUDIT_VALUE&amp;DB=129&amp;ID1=16890510&amp;VALUEID=01001&amp;SDATE=200602&amp;PERIODTYPE=QTR_STD&amp;window=popup_no_bar&amp;width=385&amp;height=120&amp;START_MAXIMIZED=FALSE&amp;creator=factset&amp;display_string=Audit"}</definedName>
    <definedName name="_1877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878__FDSAUDITLINK__" localSheetId="15" hidden="1">{"fdsup://Directions/FactSet Auditing Viewer?action=AUDIT_VALUE&amp;DB=129&amp;ID1=91704710&amp;VALUEID=02101&amp;SDATE=200602&amp;PERIODTYPE=QTR_STD&amp;window=popup_no_bar&amp;width=385&amp;height=120&amp;START_MAXIMIZED=FALSE&amp;creator=factset&amp;display_string=Audit"}</definedName>
    <definedName name="_1878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879__FDSAUDITLINK__" localSheetId="15" hidden="1">{"fdsup://Directions/FactSet Auditing Viewer?action=AUDIT_VALUE&amp;DB=129&amp;ID1=91704710&amp;VALUEID=01001&amp;SDATE=200602&amp;PERIODTYPE=QTR_STD&amp;window=popup_no_bar&amp;width=385&amp;height=120&amp;START_MAXIMIZED=FALSE&amp;creator=factset&amp;display_string=Audit"}</definedName>
    <definedName name="_1879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8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188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880__FDSAUDITLINK__" localSheetId="15" hidden="1">{"fdsup://Directions/FactSet Auditing Viewer?action=AUDIT_VALUE&amp;DB=129&amp;ID1=91704710&amp;VALUEID=13040&amp;SDATE=200602&amp;PERIODTYPE=QTR_STD&amp;window=popup_no_bar&amp;width=385&amp;height=120&amp;START_MAXIMIZED=FALSE&amp;creator=factset&amp;display_string=Audit"}</definedName>
    <definedName name="_1880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881__FDSAUDITLINK__" localSheetId="15"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881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882__FDSAUDITLINK__" localSheetId="15" hidden="1">{"fdsup://Directions/FactSet Auditing Viewer?action=AUDIT_VALUE&amp;DB=129&amp;ID1=00786510&amp;VALUEID=02101&amp;SDATE=200602&amp;PERIODTYPE=QTR_STD&amp;window=popup_no_bar&amp;width=385&amp;height=120&amp;START_MAXIMIZED=FALSE&amp;creator=factset&amp;display_string=Audit"}</definedName>
    <definedName name="_1882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883__FDSAUDITLINK__" localSheetId="15" hidden="1">{"fdsup://Directions/FactSet Auditing Viewer?action=AUDIT_VALUE&amp;DB=129&amp;ID1=00786510&amp;VALUEID=01001&amp;SDATE=200602&amp;PERIODTYPE=QTR_STD&amp;window=popup_no_bar&amp;width=385&amp;height=120&amp;START_MAXIMIZED=FALSE&amp;creator=factset&amp;display_string=Audit"}</definedName>
    <definedName name="_1883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884__FDSAUDITLINK__" localSheetId="15" hidden="1">{"fdsup://Directions/FactSet Auditing Viewer?action=AUDIT_VALUE&amp;DB=129&amp;ID1=00786510&amp;VALUEID=13040&amp;SDATE=200602&amp;PERIODTYPE=QTR_STD&amp;window=popup_no_bar&amp;width=385&amp;height=120&amp;START_MAXIMIZED=FALSE&amp;creator=factset&amp;display_string=Audit"}</definedName>
    <definedName name="_1884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885__FDSAUDITLINK__" localSheetId="15" hidden="1">{"fdsup://Directions/FactSet Auditing Viewer?action=AUDIT_VALUE&amp;DB=129&amp;ID1=00289620&amp;VALUEID=02101&amp;SDATE=200602&amp;PERIODTYPE=QTR_STD&amp;window=popup_no_bar&amp;width=385&amp;height=120&amp;START_MAXIMIZED=FALSE&amp;creator=factset&amp;display_string=Audit"}</definedName>
    <definedName name="_1885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886__FDSAUDITLINK__" localSheetId="15" hidden="1">{"fdsup://Directions/FactSet Auditing Viewer?action=AUDIT_VALUE&amp;DB=129&amp;ID1=00289620&amp;VALUEID=01001&amp;SDATE=200602&amp;PERIODTYPE=QTR_STD&amp;window=popup_no_bar&amp;width=385&amp;height=120&amp;START_MAXIMIZED=FALSE&amp;creator=factset&amp;display_string=Audit"}</definedName>
    <definedName name="_1886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887__FDSAUDITLINK__" localSheetId="15" hidden="1">{"fdsup://Directions/FactSet Auditing Viewer?action=AUDIT_VALUE&amp;DB=129&amp;ID1=00289620&amp;VALUEID=13040&amp;SDATE=200602&amp;PERIODTYPE=QTR_STD&amp;window=popup_no_bar&amp;width=385&amp;height=120&amp;START_MAXIMIZED=FALSE&amp;creator=factset&amp;display_string=Audit"}</definedName>
    <definedName name="_1887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888__FDSAUDITLINK__" localSheetId="15" hidden="1">{"fdsup://Directions/FactSet Auditing Viewer?action=AUDIT_VALUE&amp;DB=129&amp;ID1=87416110&amp;VALUEID=02101&amp;SDATE=200601&amp;PERIODTYPE=QTR_STD&amp;window=popup_no_bar&amp;width=385&amp;height=120&amp;START_MAXIMIZED=FALSE&amp;creator=factset&amp;display_string=Audit"}</definedName>
    <definedName name="_1888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889__FDSAUDITLINK__" localSheetId="15" hidden="1">{"fdsup://Directions/FactSet Auditing Viewer?action=AUDIT_VALUE&amp;DB=129&amp;ID1=87416110&amp;VALUEID=01001&amp;SDATE=200601&amp;PERIODTYPE=QTR_STD&amp;window=popup_no_bar&amp;width=385&amp;height=120&amp;START_MAXIMIZED=FALSE&amp;creator=factset&amp;display_string=Audit"}</definedName>
    <definedName name="_1889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8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189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890__FDSAUDITLINK__" localSheetId="15" hidden="1">{"fdsup://Directions/FactSet Auditing Viewer?action=AUDIT_VALUE&amp;DB=129&amp;ID1=87416110&amp;VALUEID=13040&amp;SDATE=200601&amp;PERIODTYPE=QTR_STD&amp;window=popup_no_bar&amp;width=385&amp;height=120&amp;START_MAXIMIZED=FALSE&amp;creator=factset&amp;display_string=Audit"}</definedName>
    <definedName name="_1890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891__FDSAUDITLINK__" localSheetId="15"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891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892__FDSAUDITLINK__" localSheetId="15" hidden="1">{"fdsup://Directions/FactSet Auditing Viewer?action=AUDIT_VALUE&amp;DB=129&amp;ID1=53271610&amp;VALUEID=02101&amp;SDATE=200601&amp;PERIODTYPE=QTR_STD&amp;window=popup_no_bar&amp;width=385&amp;height=120&amp;START_MAXIMIZED=FALSE&amp;creator=factset&amp;display_string=Audit"}</definedName>
    <definedName name="_1892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893__FDSAUDITLINK__" localSheetId="15" hidden="1">{"fdsup://Directions/FactSet Auditing Viewer?action=AUDIT_VALUE&amp;DB=129&amp;ID1=53271610&amp;VALUEID=01001&amp;SDATE=200601&amp;PERIODTYPE=QTR_STD&amp;window=popup_no_bar&amp;width=385&amp;height=120&amp;START_MAXIMIZED=FALSE&amp;creator=factset&amp;display_string=Audit"}</definedName>
    <definedName name="_1893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894__FDSAUDITLINK__" localSheetId="15" hidden="1">{"fdsup://Directions/FactSet Auditing Viewer?action=AUDIT_VALUE&amp;DB=129&amp;ID1=53271610&amp;VALUEID=13040&amp;SDATE=200601&amp;PERIODTYPE=QTR_STD&amp;window=popup_no_bar&amp;width=385&amp;height=120&amp;START_MAXIMIZED=FALSE&amp;creator=factset&amp;display_string=Audit"}</definedName>
    <definedName name="_1894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895__FDSAUDITLINK__" localSheetId="15" hidden="1">{"fdsup://Directions/FactSet Auditing Viewer?action=AUDIT_VALUE&amp;DB=129&amp;ID1=46612H40&amp;VALUEID=02101&amp;SDATE=200601&amp;PERIODTYPE=QTR_STD&amp;window=popup_no_bar&amp;width=385&amp;height=120&amp;START_MAXIMIZED=FALSE&amp;creator=factset&amp;display_string=Audit"}</definedName>
    <definedName name="_1895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896__FDSAUDITLINK__" localSheetId="15" hidden="1">{"fdsup://Directions/FactSet Auditing Viewer?action=AUDIT_VALUE&amp;DB=129&amp;ID1=46612H40&amp;VALUEID=01001&amp;SDATE=200601&amp;PERIODTYPE=QTR_STD&amp;window=popup_no_bar&amp;width=385&amp;height=120&amp;START_MAXIMIZED=FALSE&amp;creator=factset&amp;display_string=Audit"}</definedName>
    <definedName name="_1896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897__FDSAUDITLINK__" localSheetId="15" hidden="1">{"fdsup://Directions/FactSet Auditing Viewer?action=AUDIT_VALUE&amp;DB=129&amp;ID1=46612H40&amp;VALUEID=13040&amp;SDATE=200601&amp;PERIODTYPE=QTR_STD&amp;window=popup_no_bar&amp;width=385&amp;height=120&amp;START_MAXIMIZED=FALSE&amp;creator=factset&amp;display_string=Audit"}</definedName>
    <definedName name="_1897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898__FDSAUDITLINK__" localSheetId="15" hidden="1">{"fdsup://Directions/FactSet Auditing Viewer?action=AUDIT_VALUE&amp;DB=129&amp;ID1=36476010&amp;VALUEID=02101&amp;SDATE=200601&amp;PERIODTYPE=QTR_STD&amp;window=popup_no_bar&amp;width=385&amp;height=120&amp;START_MAXIMIZED=FALSE&amp;creator=factset&amp;display_string=Audit"}</definedName>
    <definedName name="_1898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899__FDSAUDITLINK__" localSheetId="15" hidden="1">{"fdsup://Directions/FactSet Auditing Viewer?action=AUDIT_VALUE&amp;DB=129&amp;ID1=36476010&amp;VALUEID=01001&amp;SDATE=200601&amp;PERIODTYPE=QTR_STD&amp;window=popup_no_bar&amp;width=385&amp;height=120&amp;START_MAXIMIZED=FALSE&amp;creator=factset&amp;display_string=Audit"}</definedName>
    <definedName name="_1899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9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19__FDSAUDITLINK__" hidden="1">{"fdsup://Directions/FactSet Auditing Viewer?action=AUDIT_VALUE&amp;DB=129&amp;ID1=03783310&amp;VALUEID=01001&amp;SDATE=2009&amp;PERIODTYPE=ANN_STD&amp;window=popup_no_bar&amp;width=385&amp;height=120&amp;START_MAXIMIZED=FALSE&amp;creator=factset&amp;display_string=Audit"}</definedName>
    <definedName name="_19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190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900__FDSAUDITLINK__" localSheetId="15" hidden="1">{"fdsup://Directions/FactSet Auditing Viewer?action=AUDIT_VALUE&amp;DB=129&amp;ID1=36476010&amp;VALUEID=13040&amp;SDATE=200601&amp;PERIODTYPE=QTR_STD&amp;window=popup_no_bar&amp;width=385&amp;height=120&amp;START_MAXIMIZED=FALSE&amp;creator=factset&amp;display_string=Audit"}</definedName>
    <definedName name="_1900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901__FDSAUDITLINK__" localSheetId="15" hidden="1">{"fdsup://Directions/FactSet Auditing Viewer?action=AUDIT_VALUE&amp;DB=129&amp;ID1=03611510&amp;VALUEID=02101&amp;SDATE=200601&amp;PERIODTYPE=QTR_STD&amp;window=popup_no_bar&amp;width=385&amp;height=120&amp;START_MAXIMIZED=FALSE&amp;creator=factset&amp;display_string=Audit"}</definedName>
    <definedName name="_1901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902__FDSAUDITLINK__" localSheetId="15" hidden="1">{"fdsup://Directions/FactSet Auditing Viewer?action=AUDIT_VALUE&amp;DB=129&amp;ID1=03611510&amp;VALUEID=13040&amp;SDATE=200601&amp;PERIODTYPE=QTR_STD&amp;window=popup_no_bar&amp;width=385&amp;height=120&amp;START_MAXIMIZED=FALSE&amp;creator=factset&amp;display_string=Audit"}</definedName>
    <definedName name="_1902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903__FDSAUDITLINK__" localSheetId="15" hidden="1">{"fdsup://Directions/FactSet Auditing Viewer?action=AUDIT_VALUE&amp;DB=129&amp;ID1=16890510&amp;VALUEID=02101&amp;SDATE=200601&amp;PERIODTYPE=QTR_STD&amp;window=popup_no_bar&amp;width=385&amp;height=120&amp;START_MAXIMIZED=FALSE&amp;creator=factset&amp;display_string=Audit"}</definedName>
    <definedName name="_19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904__FDSAUDITLINK__" localSheetId="15" hidden="1">{"fdsup://Directions/FactSet Auditing Viewer?action=AUDIT_VALUE&amp;DB=129&amp;ID1=16890510&amp;VALUEID=01001&amp;SDATE=200601&amp;PERIODTYPE=QTR_STD&amp;window=popup_no_bar&amp;width=385&amp;height=120&amp;START_MAXIMIZED=FALSE&amp;creator=factset&amp;display_string=Audit"}</definedName>
    <definedName name="_1904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905__FDSAUDITLINK__" localSheetId="15" hidden="1">{"fdsup://Directions/FactSet Auditing Viewer?action=AUDIT_VALUE&amp;DB=129&amp;ID1=91704710&amp;VALUEID=02101&amp;SDATE=200601&amp;PERIODTYPE=QTR_STD&amp;window=popup_no_bar&amp;width=385&amp;height=120&amp;START_MAXIMIZED=FALSE&amp;creator=factset&amp;display_string=Audit"}</definedName>
    <definedName name="_1905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906__FDSAUDITLINK__" localSheetId="15" hidden="1">{"fdsup://Directions/FactSet Auditing Viewer?action=AUDIT_VALUE&amp;DB=129&amp;ID1=91704710&amp;VALUEID=01001&amp;SDATE=200601&amp;PERIODTYPE=QTR_STD&amp;window=popup_no_bar&amp;width=385&amp;height=120&amp;START_MAXIMIZED=FALSE&amp;creator=factset&amp;display_string=Audit"}</definedName>
    <definedName name="_1906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907__FDSAUDITLINK__" localSheetId="15" hidden="1">{"fdsup://Directions/FactSet Auditing Viewer?action=AUDIT_VALUE&amp;DB=129&amp;ID1=91704710&amp;VALUEID=13040&amp;SDATE=200601&amp;PERIODTYPE=QTR_STD&amp;window=popup_no_bar&amp;width=385&amp;height=120&amp;START_MAXIMIZED=FALSE&amp;creator=factset&amp;display_string=Audit"}</definedName>
    <definedName name="_1907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908__FDSAUDITLINK__" localSheetId="15" hidden="1">{"fdsup://Directions/FactSet Auditing Viewer?action=AUDIT_VALUE&amp;DB=129&amp;ID1=02553E10&amp;VALUEID=02101&amp;SDATE=200601&amp;PERIODTYPE=QTR_STD&amp;window=popup_no_bar&amp;width=385&amp;height=120&amp;START_MAXIMIZED=FALSE&amp;creator=factset&amp;display_string=Audit"}</definedName>
    <definedName name="_1908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909__FDSAUDITLINK__" localSheetId="15" hidden="1">{"fdsup://Directions/FactSet Auditing Viewer?action=AUDIT_VALUE&amp;DB=129&amp;ID1=02553E10&amp;VALUEID=01001&amp;SDATE=200601&amp;PERIODTYPE=QTR_STD&amp;window=popup_no_bar&amp;width=385&amp;height=120&amp;START_MAXIMIZED=FALSE&amp;creator=factset&amp;display_string=Audit"}</definedName>
    <definedName name="_1909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9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191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910__FDSAUDITLINK__" localSheetId="15" hidden="1">{"fdsup://Directions/FactSet Auditing Viewer?action=AUDIT_VALUE&amp;DB=129&amp;ID1=02553E10&amp;VALUEID=13040&amp;SDATE=200601&amp;PERIODTYPE=QTR_STD&amp;window=popup_no_bar&amp;width=385&amp;height=120&amp;START_MAXIMIZED=FALSE&amp;creator=factset&amp;display_string=Audit"}</definedName>
    <definedName name="_1910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911__FDSAUDITLINK__" localSheetId="15"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911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912__FDSAUDITLINK__" localSheetId="15" hidden="1">{"fdsup://Directions/FactSet Auditing Viewer?action=AUDIT_VALUE&amp;DB=129&amp;ID1=00786510&amp;VALUEID=02101&amp;SDATE=200601&amp;PERIODTYPE=QTR_STD&amp;window=popup_no_bar&amp;width=385&amp;height=120&amp;START_MAXIMIZED=FALSE&amp;creator=factset&amp;display_string=Audit"}</definedName>
    <definedName name="_1912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913__FDSAUDITLINK__" localSheetId="15" hidden="1">{"fdsup://Directions/FactSet Auditing Viewer?action=AUDIT_VALUE&amp;DB=129&amp;ID1=00786510&amp;VALUEID=01001&amp;SDATE=200601&amp;PERIODTYPE=QTR_STD&amp;window=popup_no_bar&amp;width=385&amp;height=120&amp;START_MAXIMIZED=FALSE&amp;creator=factset&amp;display_string=Audit"}</definedName>
    <definedName name="_1913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914__FDSAUDITLINK__" localSheetId="15" hidden="1">{"fdsup://Directions/FactSet Auditing Viewer?action=AUDIT_VALUE&amp;DB=129&amp;ID1=00786510&amp;VALUEID=13040&amp;SDATE=200601&amp;PERIODTYPE=QTR_STD&amp;window=popup_no_bar&amp;width=385&amp;height=120&amp;START_MAXIMIZED=FALSE&amp;creator=factset&amp;display_string=Audit"}</definedName>
    <definedName name="_1914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915__FDSAUDITLINK__" localSheetId="15" hidden="1">{"fdsup://Directions/FactSet Auditing Viewer?action=AUDIT_VALUE&amp;DB=129&amp;ID1=00289620&amp;VALUEID=02101&amp;SDATE=200601&amp;PERIODTYPE=QTR_STD&amp;window=popup_no_bar&amp;width=385&amp;height=120&amp;START_MAXIMIZED=FALSE&amp;creator=factset&amp;display_string=Audit"}</definedName>
    <definedName name="_1915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916__FDSAUDITLINK__" localSheetId="15" hidden="1">{"fdsup://Directions/FactSet Auditing Viewer?action=AUDIT_VALUE&amp;DB=129&amp;ID1=00289620&amp;VALUEID=01001&amp;SDATE=200601&amp;PERIODTYPE=QTR_STD&amp;window=popup_no_bar&amp;width=385&amp;height=120&amp;START_MAXIMIZED=FALSE&amp;creator=factset&amp;display_string=Audit"}</definedName>
    <definedName name="_1916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917__FDSAUDITLINK__" localSheetId="15" hidden="1">{"fdsup://Directions/FactSet Auditing Viewer?action=AUDIT_VALUE&amp;DB=129&amp;ID1=00289620&amp;VALUEID=13040&amp;SDATE=200601&amp;PERIODTYPE=QTR_STD&amp;window=popup_no_bar&amp;width=385&amp;height=120&amp;START_MAXIMIZED=FALSE&amp;creator=factset&amp;display_string=Audit"}</definedName>
    <definedName name="_1917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918__FDSAUDITLINK__" localSheetId="15"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918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919__FDSAUDITLINK__" localSheetId="15"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919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9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192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920__FDSAUDITLINK__" localSheetId="15"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920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921__FDSAUDITLINK__" localSheetId="15" hidden="1">{"fdsup://Directions/FactSet Auditing Viewer?action=AUDIT_VALUE&amp;DB=129&amp;ID1=03611510&amp;VALUEID=13040&amp;SDATE=200503&amp;PERIODTYPE=QTR_STD&amp;window=popup_no_bar&amp;width=385&amp;height=120&amp;START_MAXIMIZED=FALSE&amp;creator=factset&amp;display_string=Audit"}</definedName>
    <definedName name="_1921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922__FDSAUDITLINK__" localSheetId="15"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922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923__FDSAUDITLINK__" localSheetId="15"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923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924__FDSAUDITLINK__" localSheetId="15" hidden="1">{"fdsup://Directions/FactSet Auditing Viewer?action=AUDIT_VALUE&amp;DB=129&amp;ID1=03611510&amp;VALUEID=13040&amp;SDATE=200502&amp;PERIODTYPE=QTR_STD&amp;window=popup_no_bar&amp;width=385&amp;height=120&amp;START_MAXIMIZED=FALSE&amp;creator=factset&amp;display_string=Audit"}</definedName>
    <definedName name="_1924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925__FDSAUDITLINK__" localSheetId="15"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925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926__FDSAUDITLINK__" localSheetId="15"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926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927__FDSAUDITLINK__" localSheetId="15" hidden="1">{"fdsup://Directions/FactSet Auditing Viewer?action=AUDIT_VALUE&amp;DB=129&amp;ID1=03611510&amp;VALUEID=13040&amp;SDATE=200501&amp;PERIODTYPE=QTR_STD&amp;window=popup_no_bar&amp;width=385&amp;height=120&amp;START_MAXIMIZED=FALSE&amp;creator=factset&amp;display_string=Audit"}</definedName>
    <definedName name="_1927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928__FDSAUDITLINK__" localSheetId="15"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928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929__FDSAUDITLINK__" localSheetId="15" hidden="1">{"fdsup://Directions/FactSet Auditing Viewer?action=AUDIT_VALUE&amp;DB=129&amp;ID1=16890510&amp;VALUEID=13040&amp;SDATE=200602&amp;PERIODTYPE=QTR_STD&amp;window=popup_no_bar&amp;width=385&amp;height=120&amp;START_MAXIMIZED=FALSE&amp;creator=factset&amp;display_string=Audit"}</definedName>
    <definedName name="_1929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9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193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930__FDSAUDITLINK__" localSheetId="15" hidden="1">{"fdsup://Directions/FactSet Auditing Viewer?action=AUDIT_VALUE&amp;DB=129&amp;ID1=16890510&amp;VALUEID=13040&amp;SDATE=200601&amp;PERIODTYPE=QTR_STD&amp;window=popup_no_bar&amp;width=385&amp;height=120&amp;START_MAXIMIZED=FALSE&amp;creator=factset&amp;display_string=Audit"}</definedName>
    <definedName name="_1930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931__FDSAUDITLINK__" localSheetId="15" hidden="1">{"fdsup://Directions/FactSet Auditing Viewer?action=AUDIT_VALUE&amp;DB=129&amp;ID1=16890510&amp;VALUEID=13040&amp;SDATE=200603&amp;PERIODTYPE=QTR_STD&amp;window=popup_no_bar&amp;width=385&amp;height=120&amp;START_MAXIMIZED=FALSE&amp;creator=factset&amp;display_string=Audit"}</definedName>
    <definedName name="_1931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932__FDSAUDITLINK__" localSheetId="15" hidden="1">{"fdsup://Directions/FactSet Auditing Viewer?action=AUDIT_VALUE&amp;DB=129&amp;ID1=16890510&amp;VALUEID=13040&amp;SDATE=200702&amp;PERIODTYPE=QTR_STD&amp;window=popup_no_bar&amp;width=385&amp;height=120&amp;START_MAXIMIZED=FALSE&amp;creator=factset&amp;display_string=Audit"}</definedName>
    <definedName name="_1932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933__FDSAUDITLINK__" localSheetId="15" hidden="1">{"fdsup://Directions/FactSet Auditing Viewer?action=AUDIT_VALUE&amp;DB=129&amp;ID1=16890510&amp;VALUEID=13040&amp;SDATE=200701&amp;PERIODTYPE=QTR_STD&amp;window=popup_no_bar&amp;width=385&amp;height=120&amp;START_MAXIMIZED=FALSE&amp;creator=factset&amp;display_string=Audit"}</definedName>
    <definedName name="_1933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934__FDSAUDITLINK__" localSheetId="15" hidden="1">{"fdsup://Directions/FactSet Auditing Viewer?action=AUDIT_VALUE&amp;DB=129&amp;ID1=16890510&amp;VALUEID=13040&amp;SDATE=200703&amp;PERIODTYPE=QTR_STD&amp;window=popup_no_bar&amp;width=385&amp;height=120&amp;START_MAXIMIZED=FALSE&amp;creator=factset&amp;display_string=Audit"}</definedName>
    <definedName name="_1934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935__FDSAUDITLINK__" localSheetId="15" hidden="1">{"fdsup://Directions/FactSet Auditing Viewer?action=AUDIT_VALUE&amp;DB=129&amp;ID1=16890510&amp;VALUEID=13040&amp;SDATE=200802&amp;PERIODTYPE=QTR_STD&amp;window=popup_no_bar&amp;width=385&amp;height=120&amp;START_MAXIMIZED=FALSE&amp;creator=factset&amp;display_string=Audit"}</definedName>
    <definedName name="_193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936__FDSAUDITLINK__" localSheetId="15" hidden="1">{"fdsup://Directions/FactSet Auditing Viewer?action=AUDIT_VALUE&amp;DB=129&amp;ID1=16890510&amp;VALUEID=13040&amp;SDATE=200801&amp;PERIODTYPE=QTR_STD&amp;window=popup_no_bar&amp;width=385&amp;height=120&amp;START_MAXIMIZED=FALSE&amp;creator=factset&amp;display_string=Audit"}</definedName>
    <definedName name="_1936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937__FDSAUDITLINK__" localSheetId="15" hidden="1">{"fdsup://Directions/FactSet Auditing Viewer?action=AUDIT_VALUE&amp;DB=129&amp;ID1=16890510&amp;VALUEID=13040&amp;SDATE=200803&amp;PERIODTYPE=QTR_STD&amp;window=popup_no_bar&amp;width=385&amp;height=120&amp;START_MAXIMIZED=FALSE&amp;creator=factset&amp;display_string=Audit"}</definedName>
    <definedName name="_1937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938__FDSAUDITLINK__" localSheetId="15" hidden="1">{"fdsup://Directions/FactSet Auditing Viewer?action=AUDIT_VALUE&amp;DB=129&amp;ID1=16890510&amp;VALUEID=13040&amp;SDATE=200902&amp;PERIODTYPE=QTR_STD&amp;window=popup_no_bar&amp;width=385&amp;height=120&amp;START_MAXIMIZED=FALSE&amp;creator=factset&amp;display_string=Audit"}</definedName>
    <definedName name="_1938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939__FDSAUDITLINK__" localSheetId="15" hidden="1">{"fdsup://Directions/FactSet Auditing Viewer?action=AUDIT_VALUE&amp;DB=129&amp;ID1=16890510&amp;VALUEID=13040&amp;SDATE=200903&amp;PERIODTYPE=QTR_STD&amp;window=popup_no_bar&amp;width=385&amp;height=120&amp;START_MAXIMIZED=FALSE&amp;creator=factset&amp;display_string=Audit"}</definedName>
    <definedName name="_1939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9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194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940__FDSAUDITLINK__" localSheetId="15" hidden="1">{"fdsup://Directions/FactSet Auditing Viewer?action=AUDIT_VALUE&amp;DB=129&amp;ID1=16890510&amp;VALUEID=13040&amp;SDATE=201001&amp;PERIODTYPE=QTR_STD&amp;window=popup_no_bar&amp;width=385&amp;height=120&amp;START_MAXIMIZED=FALSE&amp;creator=factset&amp;display_string=Audit"}</definedName>
    <definedName name="_1940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941__FDSAUDITLINK__" localSheetId="15" hidden="1">{"fdsup://Directions/FactSet Auditing Viewer?action=AUDIT_VALUE&amp;DB=129&amp;ID1=87416110&amp;VALUEID=01001&amp;SDATE=201001&amp;PERIODTYPE=QTR_STD&amp;window=popup_no_bar&amp;width=385&amp;height=120&amp;START_MAXIMIZED=FALSE&amp;creator=factset&amp;display_string=Audit"}</definedName>
    <definedName name="_1941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942__FDSAUDITLINK__" localSheetId="15" hidden="1">{"fdsup://Directions/FactSet Auditing Viewer?action=AUDIT_VALUE&amp;DB=129&amp;ID1=46612H40&amp;VALUEID=01001&amp;SDATE=201001&amp;PERIODTYPE=QTR_STD&amp;window=popup_no_bar&amp;width=385&amp;height=120&amp;START_MAXIMIZED=FALSE&amp;creator=factset&amp;display_string=Audit"}</definedName>
    <definedName name="_1942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943__FDSAUDITLINK__" localSheetId="15" hidden="1">{"fdsup://Directions/FactSet Auditing Viewer?action=AUDIT_VALUE&amp;DB=129&amp;ID1=03611510&amp;VALUEID=01001&amp;SDATE=201001&amp;PERIODTYPE=QTR_STD&amp;window=popup_no_bar&amp;width=385&amp;height=120&amp;START_MAXIMIZED=FALSE&amp;creator=factset&amp;display_string=Audit"}</definedName>
    <definedName name="_19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944__FDSAUDITLINK__" localSheetId="15" hidden="1">{"fdsup://Directions/FactSet Auditing Viewer?action=AUDIT_VALUE&amp;DB=129&amp;ID1=16890510&amp;VALUEID=01001&amp;SDATE=201001&amp;PERIODTYPE=QTR_STD&amp;window=popup_no_bar&amp;width=385&amp;height=120&amp;START_MAXIMIZED=FALSE&amp;creator=factset&amp;display_string=Audit"}</definedName>
    <definedName name="_1944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945__FDSAUDITLINK__" localSheetId="15" hidden="1">{"fdsup://Directions/FactSet Auditing Viewer?action=AUDIT_VALUE&amp;DB=129&amp;ID1=91704710&amp;VALUEID=01001&amp;SDATE=201001&amp;PERIODTYPE=QTR_STD&amp;window=popup_no_bar&amp;width=385&amp;height=120&amp;START_MAXIMIZED=FALSE&amp;creator=factset&amp;display_string=Audit"}</definedName>
    <definedName name="_194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946__FDSAUDITLINK__" localSheetId="15" hidden="1">{"fdsup://Directions/FactSet Auditing Viewer?action=AUDIT_VALUE&amp;DB=129&amp;ID1=02553E10&amp;VALUEID=01001&amp;SDATE=201001&amp;PERIODTYPE=QTR_STD&amp;window=popup_no_bar&amp;width=385&amp;height=120&amp;START_MAXIMIZED=FALSE&amp;creator=factset&amp;display_string=Audit"}</definedName>
    <definedName name="_1946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947__FDSAUDITLINK__" localSheetId="15" hidden="1">{"fdsup://Directions/FactSet Auditing Viewer?action=AUDIT_VALUE&amp;DB=129&amp;ID1=00786510&amp;VALUEID=01001&amp;SDATE=201001&amp;PERIODTYPE=QTR_STD&amp;window=popup_no_bar&amp;width=385&amp;height=120&amp;START_MAXIMIZED=FALSE&amp;creator=factset&amp;display_string=Audit"}</definedName>
    <definedName name="_1947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948__FDSAUDITLINK__" localSheetId="15" hidden="1">{"fdsup://Directions/FactSet Auditing Viewer?action=AUDIT_VALUE&amp;DB=129&amp;ID1=00289620&amp;VALUEID=01001&amp;SDATE=201001&amp;PERIODTYPE=QTR_STD&amp;window=popup_no_bar&amp;width=385&amp;height=120&amp;START_MAXIMIZED=FALSE&amp;creator=factset&amp;display_string=Audit"}</definedName>
    <definedName name="_1948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949__FDSAUDITLINK__" localSheetId="15" hidden="1">{"fdsup://Directions/FactSet Auditing Viewer?action=AUDIT_VALUE&amp;DB=129&amp;ID1=53271610&amp;VALUEID=01001&amp;SDATE=201001&amp;PERIODTYPE=QTR_STD&amp;window=popup_no_bar&amp;width=385&amp;height=120&amp;START_MAXIMIZED=FALSE&amp;creator=factset&amp;display_string=Audit"}</definedName>
    <definedName name="_1949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9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195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950__FDSAUDITLINK__" localSheetId="15" hidden="1">{"fdsup://Directions/FactSet Auditing Viewer?action=AUDIT_VALUE&amp;DB=129&amp;ID1=36476010&amp;VALUEID=01001&amp;SDATE=201001&amp;PERIODTYPE=QTR_STD&amp;window=popup_no_bar&amp;width=385&amp;height=120&amp;START_MAXIMIZED=FALSE&amp;creator=factset&amp;display_string=Audit"}</definedName>
    <definedName name="_1950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951__FDSAUDITLINK__" localSheetId="15" hidden="1">{"fdsup://Directions/FactSet Auditing Viewer?action=AUDIT_VALUE&amp;DB=129&amp;ID1=40377710&amp;VALUEID=01001&amp;SDATE=200601&amp;PERIODTYPE=QTR_STD&amp;window=popup_no_bar&amp;width=385&amp;height=120&amp;START_MAXIMIZED=FALSE&amp;creator=factset&amp;display_string=Audit"}</definedName>
    <definedName name="_1951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952__FDSAUDITLINK__" localSheetId="15" hidden="1">{"fdsup://Directions/FactSet Auditing Viewer?action=AUDIT_VALUE&amp;DB=129&amp;ID1=40377710&amp;VALUEID=02101&amp;SDATE=200601&amp;PERIODTYPE=QTR_STD&amp;window=popup_no_bar&amp;width=385&amp;height=120&amp;START_MAXIMIZED=FALSE&amp;creator=factset&amp;display_string=Audit"}</definedName>
    <definedName name="_1952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953__FDSAUDITLINK__" localSheetId="15" hidden="1">{"fdsup://Directions/FactSet Auditing Viewer?action=AUDIT_VALUE&amp;DB=129&amp;ID1=40377710&amp;VALUEID=01001&amp;SDATE=200602&amp;PERIODTYPE=QTR_STD&amp;window=popup_no_bar&amp;width=385&amp;height=120&amp;START_MAXIMIZED=FALSE&amp;creator=factset&amp;display_string=Audit"}</definedName>
    <definedName name="_1953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954__FDSAUDITLINK__" localSheetId="15" hidden="1">{"fdsup://Directions/FactSet Auditing Viewer?action=AUDIT_VALUE&amp;DB=129&amp;ID1=40377710&amp;VALUEID=02101&amp;SDATE=200602&amp;PERIODTYPE=QTR_STD&amp;window=popup_no_bar&amp;width=385&amp;height=120&amp;START_MAXIMIZED=FALSE&amp;creator=factset&amp;display_string=Audit"}</definedName>
    <definedName name="_1954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955__FDSAUDITLINK__" localSheetId="15" hidden="1">{"fdsup://Directions/FactSet Auditing Viewer?action=AUDIT_VALUE&amp;DB=129&amp;ID1=40377710&amp;VALUEID=01001&amp;SDATE=200603&amp;PERIODTYPE=QTR_STD&amp;window=popup_no_bar&amp;width=385&amp;height=120&amp;START_MAXIMIZED=FALSE&amp;creator=factset&amp;display_string=Audit"}</definedName>
    <definedName name="_1955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956__FDSAUDITLINK__" localSheetId="15" hidden="1">{"fdsup://Directions/FactSet Auditing Viewer?action=AUDIT_VALUE&amp;DB=129&amp;ID1=40377710&amp;VALUEID=02101&amp;SDATE=200603&amp;PERIODTYPE=QTR_STD&amp;window=popup_no_bar&amp;width=385&amp;height=120&amp;START_MAXIMIZED=FALSE&amp;creator=factset&amp;display_string=Audit"}</definedName>
    <definedName name="_1956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957__FDSAUDITLINK__" localSheetId="15" hidden="1">{"fdsup://Directions/FactSet Auditing Viewer?action=AUDIT_VALUE&amp;DB=129&amp;ID1=40377710&amp;VALUEID=01001&amp;SDATE=200604&amp;PERIODTYPE=QTR_STD&amp;window=popup_no_bar&amp;width=385&amp;height=120&amp;START_MAXIMIZED=FALSE&amp;creator=factset&amp;display_string=Audit"}</definedName>
    <definedName name="_1957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958__FDSAUDITLINK__" localSheetId="15" hidden="1">{"fdsup://Directions/FactSet Auditing Viewer?action=AUDIT_VALUE&amp;DB=129&amp;ID1=40377710&amp;VALUEID=01001&amp;SDATE=200701&amp;PERIODTYPE=QTR_STD&amp;window=popup_no_bar&amp;width=385&amp;height=120&amp;START_MAXIMIZED=FALSE&amp;creator=factset&amp;display_string=Audit"}</definedName>
    <definedName name="_1958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959__FDSAUDITLINK__" localSheetId="15" hidden="1">{"fdsup://Directions/FactSet Auditing Viewer?action=AUDIT_VALUE&amp;DB=129&amp;ID1=40377710&amp;VALUEID=02101&amp;SDATE=200701&amp;PERIODTYPE=QTR_STD&amp;window=popup_no_bar&amp;width=385&amp;height=120&amp;START_MAXIMIZED=FALSE&amp;creator=factset&amp;display_string=Audit"}</definedName>
    <definedName name="_1959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9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196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960__FDSAUDITLINK__" localSheetId="15" hidden="1">{"fdsup://Directions/FactSet Auditing Viewer?action=AUDIT_VALUE&amp;DB=129&amp;ID1=40377710&amp;VALUEID=01001&amp;SDATE=200702&amp;PERIODTYPE=QTR_STD&amp;window=popup_no_bar&amp;width=385&amp;height=120&amp;START_MAXIMIZED=FALSE&amp;creator=factset&amp;display_string=Audit"}</definedName>
    <definedName name="_1960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961__FDSAUDITLINK__" localSheetId="15" hidden="1">{"fdsup://Directions/FactSet Auditing Viewer?action=AUDIT_VALUE&amp;DB=129&amp;ID1=40377710&amp;VALUEID=02101&amp;SDATE=200702&amp;PERIODTYPE=QTR_STD&amp;window=popup_no_bar&amp;width=385&amp;height=120&amp;START_MAXIMIZED=FALSE&amp;creator=factset&amp;display_string=Audit"}</definedName>
    <definedName name="_1961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962__FDSAUDITLINK__" localSheetId="15" hidden="1">{"fdsup://Directions/FactSet Auditing Viewer?action=AUDIT_VALUE&amp;DB=129&amp;ID1=40377710&amp;VALUEID=01001&amp;SDATE=200703&amp;PERIODTYPE=QTR_STD&amp;window=popup_no_bar&amp;width=385&amp;height=120&amp;START_MAXIMIZED=FALSE&amp;creator=factset&amp;display_string=Audit"}</definedName>
    <definedName name="_19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963__FDSAUDITLINK__" localSheetId="15" hidden="1">{"fdsup://Directions/FactSet Auditing Viewer?action=AUDIT_VALUE&amp;DB=129&amp;ID1=40377710&amp;VALUEID=02101&amp;SDATE=200703&amp;PERIODTYPE=QTR_STD&amp;window=popup_no_bar&amp;width=385&amp;height=120&amp;START_MAXIMIZED=FALSE&amp;creator=factset&amp;display_string=Audit"}</definedName>
    <definedName name="_19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964__FDSAUDITLINK__" localSheetId="15" hidden="1">{"fdsup://Directions/FactSet Auditing Viewer?action=AUDIT_VALUE&amp;DB=129&amp;ID1=40377710&amp;VALUEID=01001&amp;SDATE=200704&amp;PERIODTYPE=QTR_STD&amp;window=popup_no_bar&amp;width=385&amp;height=120&amp;START_MAXIMIZED=FALSE&amp;creator=factset&amp;display_string=Audit"}</definedName>
    <definedName name="_19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965__FDSAUDITLINK__" localSheetId="15" hidden="1">{"fdsup://Directions/FactSet Auditing Viewer?action=AUDIT_VALUE&amp;DB=129&amp;ID1=40377710&amp;VALUEID=01001&amp;SDATE=200801&amp;PERIODTYPE=QTR_STD&amp;window=popup_no_bar&amp;width=385&amp;height=120&amp;START_MAXIMIZED=FALSE&amp;creator=factset&amp;display_string=Audit"}</definedName>
    <definedName name="_19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966__FDSAUDITLINK__" localSheetId="15" hidden="1">{"fdsup://Directions/FactSet Auditing Viewer?action=AUDIT_VALUE&amp;DB=129&amp;ID1=40377710&amp;VALUEID=02101&amp;SDATE=200801&amp;PERIODTYPE=QTR_STD&amp;window=popup_no_bar&amp;width=385&amp;height=120&amp;START_MAXIMIZED=FALSE&amp;creator=factset&amp;display_string=Audit"}</definedName>
    <definedName name="_19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967__FDSAUDITLINK__" localSheetId="15" hidden="1">{"fdsup://Directions/FactSet Auditing Viewer?action=AUDIT_VALUE&amp;DB=129&amp;ID1=40377710&amp;VALUEID=01001&amp;SDATE=200802&amp;PERIODTYPE=QTR_STD&amp;window=popup_no_bar&amp;width=385&amp;height=120&amp;START_MAXIMIZED=FALSE&amp;creator=factset&amp;display_string=Audit"}</definedName>
    <definedName name="_1967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968__FDSAUDITLINK__" localSheetId="15" hidden="1">{"fdsup://Directions/FactSet Auditing Viewer?action=AUDIT_VALUE&amp;DB=129&amp;ID1=40377710&amp;VALUEID=02101&amp;SDATE=200802&amp;PERIODTYPE=QTR_STD&amp;window=popup_no_bar&amp;width=385&amp;height=120&amp;START_MAXIMIZED=FALSE&amp;creator=factset&amp;display_string=Audit"}</definedName>
    <definedName name="_1968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969__FDSAUDITLINK__" localSheetId="15" hidden="1">{"fdsup://Directions/FactSet Auditing Viewer?action=AUDIT_VALUE&amp;DB=129&amp;ID1=40377710&amp;VALUEID=01001&amp;SDATE=200803&amp;PERIODTYPE=QTR_STD&amp;window=popup_no_bar&amp;width=385&amp;height=120&amp;START_MAXIMIZED=FALSE&amp;creator=factset&amp;display_string=Audit"}</definedName>
    <definedName name="_1969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9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197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970__FDSAUDITLINK__" localSheetId="15" hidden="1">{"fdsup://Directions/FactSet Auditing Viewer?action=AUDIT_VALUE&amp;DB=129&amp;ID1=40377710&amp;VALUEID=02101&amp;SDATE=200803&amp;PERIODTYPE=QTR_STD&amp;window=popup_no_bar&amp;width=385&amp;height=120&amp;START_MAXIMIZED=FALSE&amp;creator=factset&amp;display_string=Audit"}</definedName>
    <definedName name="_1970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971__FDSAUDITLINK__" localSheetId="15" hidden="1">{"fdsup://Directions/FactSet Auditing Viewer?action=AUDIT_VALUE&amp;DB=129&amp;ID1=40377710&amp;VALUEID=01001&amp;SDATE=200804&amp;PERIODTYPE=QTR_STD&amp;window=popup_no_bar&amp;width=385&amp;height=120&amp;START_MAXIMIZED=FALSE&amp;creator=factset&amp;display_string=Audit"}</definedName>
    <definedName name="_1971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972__FDSAUDITLINK__" localSheetId="15" hidden="1">{"fdsup://Directions/FactSet Auditing Viewer?action=AUDIT_VALUE&amp;DB=129&amp;ID1=40377710&amp;VALUEID=01001&amp;SDATE=200901&amp;PERIODTYPE=QTR_STD&amp;window=popup_no_bar&amp;width=385&amp;height=120&amp;START_MAXIMIZED=FALSE&amp;creator=factset&amp;display_string=Audit"}</definedName>
    <definedName name="_1972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973__FDSAUDITLINK__" localSheetId="15" hidden="1">{"fdsup://Directions/FactSet Auditing Viewer?action=AUDIT_VALUE&amp;DB=129&amp;ID1=40377710&amp;VALUEID=02101&amp;SDATE=200901&amp;PERIODTYPE=QTR_STD&amp;window=popup_no_bar&amp;width=385&amp;height=120&amp;START_MAXIMIZED=FALSE&amp;creator=factset&amp;display_string=Audit"}</definedName>
    <definedName name="_1973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974__FDSAUDITLINK__" localSheetId="15" hidden="1">{"fdsup://Directions/FactSet Auditing Viewer?action=AUDIT_VALUE&amp;DB=129&amp;ID1=40377710&amp;VALUEID=01001&amp;SDATE=200902&amp;PERIODTYPE=QTR_STD&amp;window=popup_no_bar&amp;width=385&amp;height=120&amp;START_MAXIMIZED=FALSE&amp;creator=factset&amp;display_string=Audit"}</definedName>
    <definedName name="_1974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975__FDSAUDITLINK__" localSheetId="15" hidden="1">{"fdsup://Directions/FactSet Auditing Viewer?action=AUDIT_VALUE&amp;DB=129&amp;ID1=40377710&amp;VALUEID=02101&amp;SDATE=200902&amp;PERIODTYPE=QTR_STD&amp;window=popup_no_bar&amp;width=385&amp;height=120&amp;START_MAXIMIZED=FALSE&amp;creator=factset&amp;display_string=Audit"}</definedName>
    <definedName name="_1975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976__FDSAUDITLINK__" localSheetId="15" hidden="1">{"fdsup://Directions/FactSet Auditing Viewer?action=AUDIT_VALUE&amp;DB=129&amp;ID1=40377710&amp;VALUEID=01001&amp;SDATE=200903&amp;PERIODTYPE=QTR_STD&amp;window=popup_no_bar&amp;width=385&amp;height=120&amp;START_MAXIMIZED=FALSE&amp;creator=factset&amp;display_string=Audit"}</definedName>
    <definedName name="_1976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977__FDSAUDITLINK__" localSheetId="15" hidden="1">{"fdsup://Directions/FactSet Auditing Viewer?action=AUDIT_VALUE&amp;DB=129&amp;ID1=40377710&amp;VALUEID=02101&amp;SDATE=200903&amp;PERIODTYPE=QTR_STD&amp;window=popup_no_bar&amp;width=385&amp;height=120&amp;START_MAXIMIZED=FALSE&amp;creator=factset&amp;display_string=Audit"}</definedName>
    <definedName name="_1977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978__FDSAUDITLINK__" localSheetId="15" hidden="1">{"fdsup://Directions/FactSet Auditing Viewer?action=AUDIT_VALUE&amp;DB=129&amp;ID1=40377710&amp;VALUEID=01001&amp;SDATE=200904&amp;PERIODTYPE=QTR_STD&amp;window=popup_no_bar&amp;width=385&amp;height=120&amp;START_MAXIMIZED=FALSE&amp;creator=factset&amp;display_string=Audit"}</definedName>
    <definedName name="_1978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979__FDSAUDITLINK__" localSheetId="15" hidden="1">{"fdsup://Directions/FactSet Auditing Viewer?action=AUDIT_VALUE&amp;DB=129&amp;ID1=40377710&amp;VALUEID=01001&amp;SDATE=201001&amp;PERIODTYPE=QTR_STD&amp;window=popup_no_bar&amp;width=385&amp;height=120&amp;START_MAXIMIZED=FALSE&amp;creator=factset&amp;display_string=Audit"}</definedName>
    <definedName name="_1979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9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198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980__FDSAUDITLINK__" localSheetId="15" hidden="1">{"fdsup://Directions/FactSet Auditing Viewer?action=AUDIT_VALUE&amp;DB=129&amp;ID1=40377710&amp;VALUEID=02101&amp;SDATE=201001&amp;PERIODTYPE=QTR_STD&amp;window=popup_no_bar&amp;width=385&amp;height=120&amp;START_MAXIMIZED=FALSE&amp;creator=factset&amp;display_string=Audit"}</definedName>
    <definedName name="_1980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981__FDSAUDITLINK__" localSheetId="15"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981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982__FDSAUDITLINK__" localSheetId="15"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982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983__FDSAUDITLINK__" localSheetId="15"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983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984__FDSAUDITLINK__" localSheetId="15"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984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985__FDSAUDITLINK__" localSheetId="15"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985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986__FDSAUDITLINK__" localSheetId="15"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986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987__FDSAUDITLINK__" localSheetId="15"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987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988__FDSAUDITLINK__" localSheetId="15"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988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989__FDSAUDITLINK__" localSheetId="15"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989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9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199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990__FDSAUDITLINK__" localSheetId="15"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990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991__FDSAUDITLINK__" localSheetId="15"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991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992__FDSAUDITLINK__" localSheetId="15"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992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993__FDSAUDITLINK__" localSheetId="15"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993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994__FDSAUDITLINK__" localSheetId="15"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994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995__FDSAUDITLINK__" localSheetId="15"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995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996__FDSAUDITLINK__" localSheetId="15"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996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997__FDSAUDITLINK__" localSheetId="15"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997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998__FDSAUDITLINK__" localSheetId="15"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998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999__FDSAUDITLINK__" localSheetId="15"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999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__FDSAUDITLINK__" hidden="1">{"fdsup://Directions/FactSet Auditing Viewer?action=AUDIT_VALUE&amp;DB=129&amp;ID1=02313510&amp;VALUEID=04601&amp;SDATE=2005&amp;PERIODTYPE=ANN_STD&amp;window=popup_no_bar&amp;width=385&amp;height=120&amp;START_MAXIMIZED=FALSE&amp;creator=factset&amp;display_string=Audit"}</definedName>
    <definedName name="_20__123Graph_XR_M_MARG" hidden="1">[2]P!$R$29:$AK$29</definedName>
    <definedName name="_20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0__FDSAUDITLINK__" hidden="1">{"fdsup://Directions/FactSet Auditing Viewer?action=AUDIT_VALUE&amp;DB=129&amp;ID1=03783310&amp;VALUEID=04601&amp;SDATE=2009&amp;PERIODTYPE=ANN_STD&amp;window=popup_no_bar&amp;width=385&amp;height=120&amp;START_MAXIMIZED=FALSE&amp;creator=factset&amp;display_string=Audit"}</definedName>
    <definedName name="_20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00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000__FDSAUDITLINK__" localSheetId="15"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000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001__FDSAUDITLINK__" localSheetId="15"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001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002__FDSAUDITLINK__" localSheetId="15"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002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003__FDSAUDITLINK__" localSheetId="15"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003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004__FDSAUDITLINK__" localSheetId="15"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004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005__FDSAUDITLINK__" localSheetId="15"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005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006__FDSAUDITLINK__" localSheetId="15"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006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007__FDSAUDITLINK__" localSheetId="15"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007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008__FDSAUDITLINK__" localSheetId="15" hidden="1">{"fdsup://Directions/FactSet Auditing Viewer?action=AUDIT_VALUE&amp;DB=129&amp;ID1=40377710&amp;VALUEID=13040&amp;SDATE=200802&amp;PERIODTYPE=QTR_STD&amp;window=popup_no_bar&amp;width=385&amp;height=120&amp;START_MAXIMIZED=FALSE&amp;creator=factset&amp;display_string=Audit"}</definedName>
    <definedName name="_2008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009__FDSAUDITLINK__" localSheetId="15"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009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0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01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010__FDSAUDITLINK__" localSheetId="15" hidden="1">{"fdsup://Directions/FactSet Auditing Viewer?action=AUDIT_VALUE&amp;DB=129&amp;ID1=40377710&amp;VALUEID=13040&amp;SDATE=200803&amp;PERIODTYPE=QTR_STD&amp;window=popup_no_bar&amp;width=385&amp;height=120&amp;START_MAXIMIZED=FALSE&amp;creator=factset&amp;display_string=Audit"}</definedName>
    <definedName name="_2010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011__FDSAUDITLINK__" localSheetId="15"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01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012__FDSAUDITLINK__" localSheetId="15"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01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013__FDSAUDITLINK__" localSheetId="15" hidden="1">{"fdsup://Directions/FactSet Auditing Viewer?action=AUDIT_VALUE&amp;DB=129&amp;ID1=40377710&amp;VALUEID=13040&amp;SDATE=200901&amp;PERIODTYPE=QTR_STD&amp;window=popup_no_bar&amp;width=385&amp;height=120&amp;START_MAXIMIZED=FALSE&amp;creator=factset&amp;display_string=Audit"}</definedName>
    <definedName name="_2013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014__FDSAUDITLINK__" localSheetId="15"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014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015__FDSAUDITLINK__" localSheetId="15" hidden="1">{"fdsup://Directions/FactSet Auditing Viewer?action=AUDIT_VALUE&amp;DB=129&amp;ID1=40377710&amp;VALUEID=13040&amp;SDATE=201001&amp;PERIODTYPE=QTR_STD&amp;window=popup_no_bar&amp;width=385&amp;height=120&amp;START_MAXIMIZED=FALSE&amp;creator=factset&amp;display_string=Audit"}</definedName>
    <definedName name="_2015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016__FDSAUDITLINK__" localSheetId="15" hidden="1">{"fdsup://Directions/FactSet Auditing Viewer?action=AUDIT_VALUE&amp;DB=129&amp;ID1=40377710&amp;VALUEID=13040&amp;SDATE=200602&amp;PERIODTYPE=QTR_STD&amp;window=popup_no_bar&amp;width=385&amp;height=120&amp;START_MAXIMIZED=FALSE&amp;creator=factset&amp;display_string=Audit"}</definedName>
    <definedName name="_2016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017__FDSAUDITLINK__" localSheetId="15" hidden="1">{"fdsup://Directions/FactSet Auditing Viewer?action=AUDIT_VALUE&amp;DB=129&amp;ID1=40377710&amp;VALUEID=13040&amp;SDATE=200601&amp;PERIODTYPE=QTR_STD&amp;window=popup_no_bar&amp;width=385&amp;height=120&amp;START_MAXIMIZED=FALSE&amp;creator=factset&amp;display_string=Audit"}</definedName>
    <definedName name="_201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018__FDSAUDITLINK__" localSheetId="15"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018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019__FDSAUDITLINK__" localSheetId="15" hidden="1">{"fdsup://Directions/FactSet Auditing Viewer?action=AUDIT_VALUE&amp;DB=129&amp;ID1=40377710&amp;VALUEID=13040&amp;SDATE=200603&amp;PERIODTYPE=QTR_STD&amp;window=popup_no_bar&amp;width=385&amp;height=120&amp;START_MAXIMIZED=FALSE&amp;creator=factset&amp;display_string=Audit"}</definedName>
    <definedName name="_2019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0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02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020__FDSAUDITLINK__" localSheetId="15" hidden="1">{"fdsup://Directions/FactSet Auditing Viewer?action=AUDIT_VALUE&amp;DB=129&amp;ID1=40377710&amp;VALUEID=13040&amp;SDATE=200702&amp;PERIODTYPE=QTR_STD&amp;window=popup_no_bar&amp;width=385&amp;height=120&amp;START_MAXIMIZED=FALSE&amp;creator=factset&amp;display_string=Audit"}</definedName>
    <definedName name="_2020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021__FDSAUDITLINK__" localSheetId="15" hidden="1">{"fdsup://Directions/FactSet Auditing Viewer?action=AUDIT_VALUE&amp;DB=129&amp;ID1=40377710&amp;VALUEID=13040&amp;SDATE=200701&amp;PERIODTYPE=QTR_STD&amp;window=popup_no_bar&amp;width=385&amp;height=120&amp;START_MAXIMIZED=FALSE&amp;creator=factset&amp;display_string=Audit"}</definedName>
    <definedName name="_2021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022__FDSAUDITLINK__" localSheetId="15"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022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023__FDSAUDITLINK__" localSheetId="15" hidden="1">{"fdsup://Directions/FactSet Auditing Viewer?action=AUDIT_VALUE&amp;DB=129&amp;ID1=40377710&amp;VALUEID=13040&amp;SDATE=200703&amp;PERIODTYPE=QTR_STD&amp;window=popup_no_bar&amp;width=385&amp;height=120&amp;START_MAXIMIZED=FALSE&amp;creator=factset&amp;display_string=Audit"}</definedName>
    <definedName name="_2023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024__FDSAUDITLINK__" localSheetId="15" hidden="1">{"fdsup://Directions/FactSet Auditing Viewer?action=AUDIT_VALUE&amp;DB=129&amp;ID1=40377710&amp;VALUEID=13040&amp;SDATE=200801&amp;PERIODTYPE=QTR_STD&amp;window=popup_no_bar&amp;width=385&amp;height=120&amp;START_MAXIMIZED=FALSE&amp;creator=factset&amp;display_string=Audit"}</definedName>
    <definedName name="_2024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025__FDSAUDITLINK__" localSheetId="15" hidden="1">{"fdsup://Directions/FactSet Auditing Viewer?action=AUDIT_VALUE&amp;DB=129&amp;ID1=40377710&amp;VALUEID=13040&amp;SDATE=200704&amp;PERIODTYPE=QTR_STD&amp;window=popup_no_bar&amp;width=385&amp;height=120&amp;START_MAXIMIZED=FALSE&amp;creator=factset&amp;display_string=Audit"}</definedName>
    <definedName name="_202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026__FDSAUDITLINK__" localSheetId="15"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026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027__FDSAUDITLINK__" localSheetId="15" hidden="1">{"fdsup://Directions/FactSet Auditing Viewer?action=AUDIT_VALUE&amp;DB=129&amp;ID1=40377710&amp;VALUEID=13040&amp;SDATE=200903&amp;PERIODTYPE=QTR_STD&amp;window=popup_no_bar&amp;width=385&amp;height=120&amp;START_MAXIMIZED=FALSE&amp;creator=factset&amp;display_string=Audit"}</definedName>
    <definedName name="_2027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028__FDSAUDITLINK__" localSheetId="15" hidden="1">{"fdsup://Directions/FactSet Auditing Viewer?action=AUDIT_VALUE&amp;DB=129&amp;ID1=40377710&amp;VALUEID=13040&amp;SDATE=200902&amp;PERIODTYPE=QTR_STD&amp;window=popup_no_bar&amp;width=385&amp;height=120&amp;START_MAXIMIZED=FALSE&amp;creator=factset&amp;display_string=Audit"}</definedName>
    <definedName name="_2028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029__FDSAUDITLINK__" localSheetId="15" hidden="1">{"fdsup://Directions/FactSet Auditing Viewer?action=AUDIT_VALUE&amp;DB=129&amp;ID1=58711810&amp;VALUEID=01001&amp;SDATE=200601&amp;PERIODTYPE=QTR_STD&amp;window=popup_no_bar&amp;width=385&amp;height=120&amp;START_MAXIMIZED=FALSE&amp;creator=factset&amp;display_string=Audit"}</definedName>
    <definedName name="_2029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0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0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030__FDSAUDITLINK__" localSheetId="15" hidden="1">{"fdsup://Directions/FactSet Auditing Viewer?action=AUDIT_VALUE&amp;DB=129&amp;ID1=58711810&amp;VALUEID=02101&amp;SDATE=200601&amp;PERIODTYPE=QTR_STD&amp;window=popup_no_bar&amp;width=385&amp;height=120&amp;START_MAXIMIZED=FALSE&amp;creator=factset&amp;display_string=Audit"}</definedName>
    <definedName name="_2030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031__FDSAUDITLINK__" localSheetId="15" hidden="1">{"fdsup://Directions/FactSet Auditing Viewer?action=AUDIT_VALUE&amp;DB=129&amp;ID1=58711810&amp;VALUEID=01001&amp;SDATE=200602&amp;PERIODTYPE=QTR_STD&amp;window=popup_no_bar&amp;width=385&amp;height=120&amp;START_MAXIMIZED=FALSE&amp;creator=factset&amp;display_string=Audit"}</definedName>
    <definedName name="_2031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032__FDSAUDITLINK__" localSheetId="15" hidden="1">{"fdsup://Directions/FactSet Auditing Viewer?action=AUDIT_VALUE&amp;DB=129&amp;ID1=58711810&amp;VALUEID=02101&amp;SDATE=200602&amp;PERIODTYPE=QTR_STD&amp;window=popup_no_bar&amp;width=385&amp;height=120&amp;START_MAXIMIZED=FALSE&amp;creator=factset&amp;display_string=Audit"}</definedName>
    <definedName name="_2032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033__FDSAUDITLINK__" localSheetId="15" hidden="1">{"fdsup://Directions/FactSet Auditing Viewer?action=AUDIT_VALUE&amp;DB=129&amp;ID1=58711810&amp;VALUEID=01001&amp;SDATE=200603&amp;PERIODTYPE=QTR_STD&amp;window=popup_no_bar&amp;width=385&amp;height=120&amp;START_MAXIMIZED=FALSE&amp;creator=factset&amp;display_string=Audit"}</definedName>
    <definedName name="_2033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034__FDSAUDITLINK__" localSheetId="15" hidden="1">{"fdsup://Directions/FactSet Auditing Viewer?action=AUDIT_VALUE&amp;DB=129&amp;ID1=58711810&amp;VALUEID=02101&amp;SDATE=200603&amp;PERIODTYPE=QTR_STD&amp;window=popup_no_bar&amp;width=385&amp;height=120&amp;START_MAXIMIZED=FALSE&amp;creator=factset&amp;display_string=Audit"}</definedName>
    <definedName name="_2034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035__FDSAUDITLINK__" localSheetId="15" hidden="1">{"fdsup://Directions/FactSet Auditing Viewer?action=AUDIT_VALUE&amp;DB=129&amp;ID1=58711810&amp;VALUEID=01001&amp;SDATE=200604&amp;PERIODTYPE=QTR_STD&amp;window=popup_no_bar&amp;width=385&amp;height=120&amp;START_MAXIMIZED=FALSE&amp;creator=factset&amp;display_string=Audit"}</definedName>
    <definedName name="_2035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036__FDSAUDITLINK__" localSheetId="15" hidden="1">{"fdsup://Directions/FactSet Auditing Viewer?action=AUDIT_VALUE&amp;DB=129&amp;ID1=58711810&amp;VALUEID=01001&amp;SDATE=200701&amp;PERIODTYPE=QTR_STD&amp;window=popup_no_bar&amp;width=385&amp;height=120&amp;START_MAXIMIZED=FALSE&amp;creator=factset&amp;display_string=Audit"}</definedName>
    <definedName name="_2036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037__FDSAUDITLINK__" localSheetId="15" hidden="1">{"fdsup://Directions/FactSet Auditing Viewer?action=AUDIT_VALUE&amp;DB=129&amp;ID1=58711810&amp;VALUEID=02101&amp;SDATE=200701&amp;PERIODTYPE=QTR_STD&amp;window=popup_no_bar&amp;width=385&amp;height=120&amp;START_MAXIMIZED=FALSE&amp;creator=factset&amp;display_string=Audit"}</definedName>
    <definedName name="_2037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038__FDSAUDITLINK__" localSheetId="15" hidden="1">{"fdsup://Directions/FactSet Auditing Viewer?action=AUDIT_VALUE&amp;DB=129&amp;ID1=58711810&amp;VALUEID=01001&amp;SDATE=200702&amp;PERIODTYPE=QTR_STD&amp;window=popup_no_bar&amp;width=385&amp;height=120&amp;START_MAXIMIZED=FALSE&amp;creator=factset&amp;display_string=Audit"}</definedName>
    <definedName name="_2038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039__FDSAUDITLINK__" localSheetId="15" hidden="1">{"fdsup://Directions/FactSet Auditing Viewer?action=AUDIT_VALUE&amp;DB=129&amp;ID1=58711810&amp;VALUEID=02101&amp;SDATE=200702&amp;PERIODTYPE=QTR_STD&amp;window=popup_no_bar&amp;width=385&amp;height=120&amp;START_MAXIMIZED=FALSE&amp;creator=factset&amp;display_string=Audit"}</definedName>
    <definedName name="_2039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0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04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040__FDSAUDITLINK__" localSheetId="15" hidden="1">{"fdsup://Directions/FactSet Auditing Viewer?action=AUDIT_VALUE&amp;DB=129&amp;ID1=58711810&amp;VALUEID=01001&amp;SDATE=200703&amp;PERIODTYPE=QTR_STD&amp;window=popup_no_bar&amp;width=385&amp;height=120&amp;START_MAXIMIZED=FALSE&amp;creator=factset&amp;display_string=Audit"}</definedName>
    <definedName name="_2040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041__FDSAUDITLINK__" localSheetId="15" hidden="1">{"fdsup://Directions/FactSet Auditing Viewer?action=AUDIT_VALUE&amp;DB=129&amp;ID1=58711810&amp;VALUEID=02101&amp;SDATE=200703&amp;PERIODTYPE=QTR_STD&amp;window=popup_no_bar&amp;width=385&amp;height=120&amp;START_MAXIMIZED=FALSE&amp;creator=factset&amp;display_string=Audit"}</definedName>
    <definedName name="_2041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042__FDSAUDITLINK__" localSheetId="15" hidden="1">{"fdsup://Directions/FactSet Auditing Viewer?action=AUDIT_VALUE&amp;DB=129&amp;ID1=58711810&amp;VALUEID=01001&amp;SDATE=200704&amp;PERIODTYPE=QTR_STD&amp;window=popup_no_bar&amp;width=385&amp;height=120&amp;START_MAXIMIZED=FALSE&amp;creator=factset&amp;display_string=Audit"}</definedName>
    <definedName name="_2042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043__FDSAUDITLINK__" localSheetId="15" hidden="1">{"fdsup://Directions/FactSet Auditing Viewer?action=AUDIT_VALUE&amp;DB=129&amp;ID1=58711810&amp;VALUEID=01001&amp;SDATE=200801&amp;PERIODTYPE=QTR_STD&amp;window=popup_no_bar&amp;width=385&amp;height=120&amp;START_MAXIMIZED=FALSE&amp;creator=factset&amp;display_string=Audit"}</definedName>
    <definedName name="_2043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044__FDSAUDITLINK__" localSheetId="15" hidden="1">{"fdsup://Directions/FactSet Auditing Viewer?action=AUDIT_VALUE&amp;DB=129&amp;ID1=58711810&amp;VALUEID=02101&amp;SDATE=200801&amp;PERIODTYPE=QTR_STD&amp;window=popup_no_bar&amp;width=385&amp;height=120&amp;START_MAXIMIZED=FALSE&amp;creator=factset&amp;display_string=Audit"}</definedName>
    <definedName name="_2044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045__FDSAUDITLINK__" localSheetId="15" hidden="1">{"fdsup://Directions/FactSet Auditing Viewer?action=AUDIT_VALUE&amp;DB=129&amp;ID1=58711810&amp;VALUEID=01001&amp;SDATE=200802&amp;PERIODTYPE=QTR_STD&amp;window=popup_no_bar&amp;width=385&amp;height=120&amp;START_MAXIMIZED=FALSE&amp;creator=factset&amp;display_string=Audit"}</definedName>
    <definedName name="_204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046__FDSAUDITLINK__" localSheetId="15" hidden="1">{"fdsup://Directions/FactSet Auditing Viewer?action=AUDIT_VALUE&amp;DB=129&amp;ID1=58711810&amp;VALUEID=02101&amp;SDATE=200802&amp;PERIODTYPE=QTR_STD&amp;window=popup_no_bar&amp;width=385&amp;height=120&amp;START_MAXIMIZED=FALSE&amp;creator=factset&amp;display_string=Audit"}</definedName>
    <definedName name="_204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047__FDSAUDITLINK__" localSheetId="15" hidden="1">{"fdsup://Directions/FactSet Auditing Viewer?action=AUDIT_VALUE&amp;DB=129&amp;ID1=58711810&amp;VALUEID=01001&amp;SDATE=200803&amp;PERIODTYPE=QTR_STD&amp;window=popup_no_bar&amp;width=385&amp;height=120&amp;START_MAXIMIZED=FALSE&amp;creator=factset&amp;display_string=Audit"}</definedName>
    <definedName name="_2047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048__FDSAUDITLINK__" localSheetId="15" hidden="1">{"fdsup://Directions/FactSet Auditing Viewer?action=AUDIT_VALUE&amp;DB=129&amp;ID1=58711810&amp;VALUEID=02101&amp;SDATE=200803&amp;PERIODTYPE=QTR_STD&amp;window=popup_no_bar&amp;width=385&amp;height=120&amp;START_MAXIMIZED=FALSE&amp;creator=factset&amp;display_string=Audit"}</definedName>
    <definedName name="_2048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049__FDSAUDITLINK__" localSheetId="15" hidden="1">{"fdsup://Directions/FactSet Auditing Viewer?action=AUDIT_VALUE&amp;DB=129&amp;ID1=58711810&amp;VALUEID=01001&amp;SDATE=200804&amp;PERIODTYPE=QTR_STD&amp;window=popup_no_bar&amp;width=385&amp;height=120&amp;START_MAXIMIZED=FALSE&amp;creator=factset&amp;display_string=Audit"}</definedName>
    <definedName name="_2049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0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05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050__FDSAUDITLINK__" localSheetId="15" hidden="1">{"fdsup://Directions/FactSet Auditing Viewer?action=AUDIT_VALUE&amp;DB=129&amp;ID1=58711810&amp;VALUEID=01001&amp;SDATE=200902&amp;PERIODTYPE=QTR_STD&amp;window=popup_no_bar&amp;width=385&amp;height=120&amp;START_MAXIMIZED=FALSE&amp;creator=factset&amp;display_string=Audit"}</definedName>
    <definedName name="_2050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051__FDSAUDITLINK__" localSheetId="15" hidden="1">{"fdsup://Directions/FactSet Auditing Viewer?action=AUDIT_VALUE&amp;DB=129&amp;ID1=58711810&amp;VALUEID=02101&amp;SDATE=200902&amp;PERIODTYPE=QTR_STD&amp;window=popup_no_bar&amp;width=385&amp;height=120&amp;START_MAXIMIZED=FALSE&amp;creator=factset&amp;display_string=Audit"}</definedName>
    <definedName name="_2051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052__FDSAUDITLINK__" localSheetId="15" hidden="1">{"fdsup://Directions/FactSet Auditing Viewer?action=AUDIT_VALUE&amp;DB=129&amp;ID1=58711810&amp;VALUEID=01001&amp;SDATE=200903&amp;PERIODTYPE=QTR_STD&amp;window=popup_no_bar&amp;width=385&amp;height=120&amp;START_MAXIMIZED=FALSE&amp;creator=factset&amp;display_string=Audit"}</definedName>
    <definedName name="_2052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053__FDSAUDITLINK__" localSheetId="15" hidden="1">{"fdsup://Directions/FactSet Auditing Viewer?action=AUDIT_VALUE&amp;DB=129&amp;ID1=58711810&amp;VALUEID=02101&amp;SDATE=200903&amp;PERIODTYPE=QTR_STD&amp;window=popup_no_bar&amp;width=385&amp;height=120&amp;START_MAXIMIZED=FALSE&amp;creator=factset&amp;display_string=Audit"}</definedName>
    <definedName name="_2053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054__FDSAUDITLINK__" localSheetId="15" hidden="1">{"fdsup://Directions/FactSet Auditing Viewer?action=AUDIT_VALUE&amp;DB=129&amp;ID1=58711810&amp;VALUEID=01001&amp;SDATE=200904&amp;PERIODTYPE=QTR_STD&amp;window=popup_no_bar&amp;width=385&amp;height=120&amp;START_MAXIMIZED=FALSE&amp;creator=factset&amp;display_string=Audit"}</definedName>
    <definedName name="_2054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055__FDSAUDITLINK__" localSheetId="15" hidden="1">{"fdsup://Directions/FactSet Auditing Viewer?action=AUDIT_VALUE&amp;DB=129&amp;ID1=58711810&amp;VALUEID=01001&amp;SDATE=201001&amp;PERIODTYPE=QTR_STD&amp;window=popup_no_bar&amp;width=385&amp;height=120&amp;START_MAXIMIZED=FALSE&amp;creator=factset&amp;display_string=Audit"}</definedName>
    <definedName name="_2055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056__FDSAUDITLINK__" localSheetId="15" hidden="1">{"fdsup://Directions/FactSet Auditing Viewer?action=AUDIT_VALUE&amp;DB=129&amp;ID1=58711810&amp;VALUEID=02101&amp;SDATE=201001&amp;PERIODTYPE=QTR_STD&amp;window=popup_no_bar&amp;width=385&amp;height=120&amp;START_MAXIMIZED=FALSE&amp;creator=factset&amp;display_string=Audit"}</definedName>
    <definedName name="_2056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057__FDSAUDITLINK__" localSheetId="15"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057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058__FDSAUDITLINK__" localSheetId="15"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058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059__FDSAUDITLINK__" localSheetId="15"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059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0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06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060__FDSAUDITLINK__" localSheetId="15"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060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061__FDSAUDITLINK__" localSheetId="15"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061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062__FDSAUDITLINK__" localSheetId="15"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062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063__FDSAUDITLINK__" localSheetId="15"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063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064__FDSAUDITLINK__" localSheetId="15"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064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065__FDSAUDITLINK__" localSheetId="15"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065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066__FDSAUDITLINK__" localSheetId="15"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066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067__FDSAUDITLINK__" localSheetId="15"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067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068__FDSAUDITLINK__" localSheetId="15"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068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069__FDSAUDITLINK__" localSheetId="15"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069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0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07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070__FDSAUDITLINK__" localSheetId="15"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070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071__FDSAUDITLINK__" localSheetId="15"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071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072__FDSAUDITLINK__" localSheetId="15"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072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073__FDSAUDITLINK__" localSheetId="15"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073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074__FDSAUDITLINK__" localSheetId="15"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074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075__FDSAUDITLINK__" localSheetId="15"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075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076__FDSAUDITLINK__" localSheetId="15"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076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077__FDSAUDITLINK__" localSheetId="15"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077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078__FDSAUDITLINK__" localSheetId="15"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078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079__FDSAUDITLINK__" localSheetId="15"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079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0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08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080__FDSAUDITLINK__" localSheetId="15"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080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081__FDSAUDITLINK__" localSheetId="15"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081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082__FDSAUDITLINK__" localSheetId="15"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082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083__FDSAUDITLINK__" localSheetId="15"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083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084__FDSAUDITLINK__" localSheetId="15" hidden="1">{"fdsup://Directions/FactSet Auditing Viewer?action=AUDIT_VALUE&amp;DB=129&amp;ID1=58711810&amp;VALUEID=13040&amp;SDATE=200702&amp;PERIODTYPE=QTR_STD&amp;window=popup_no_bar&amp;width=385&amp;height=120&amp;START_MAXIMIZED=FALSE&amp;creator=factset&amp;display_string=Audit"}</definedName>
    <definedName name="_208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085__FDSAUDITLINK__" localSheetId="15" hidden="1">{"fdsup://Directions/FactSet Auditing Viewer?action=AUDIT_VALUE&amp;DB=129&amp;ID1=58711810&amp;VALUEID=13040&amp;SDATE=200701&amp;PERIODTYPE=QTR_STD&amp;window=popup_no_bar&amp;width=385&amp;height=120&amp;START_MAXIMIZED=FALSE&amp;creator=factset&amp;display_string=Audit"}</definedName>
    <definedName name="_2085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086__FDSAUDITLINK__" localSheetId="15" hidden="1">{"fdsup://Directions/FactSet Auditing Viewer?action=AUDIT_VALUE&amp;DB=129&amp;ID1=58711810&amp;VALUEID=13040&amp;SDATE=200703&amp;PERIODTYPE=QTR_STD&amp;window=popup_no_bar&amp;width=385&amp;height=120&amp;START_MAXIMIZED=FALSE&amp;creator=factset&amp;display_string=Audit"}</definedName>
    <definedName name="_2086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087__FDSAUDITLINK__" localSheetId="15" hidden="1">{"fdsup://Directions/FactSet Auditing Viewer?action=AUDIT_VALUE&amp;DB=129&amp;ID1=58711810&amp;VALUEID=13040&amp;SDATE=200802&amp;PERIODTYPE=QTR_STD&amp;window=popup_no_bar&amp;width=385&amp;height=120&amp;START_MAXIMIZED=FALSE&amp;creator=factset&amp;display_string=Audit"}</definedName>
    <definedName name="_2087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088__FDSAUDITLINK__" localSheetId="15" hidden="1">{"fdsup://Directions/FactSet Auditing Viewer?action=AUDIT_VALUE&amp;DB=129&amp;ID1=58711810&amp;VALUEID=13040&amp;SDATE=200801&amp;PERIODTYPE=QTR_STD&amp;window=popup_no_bar&amp;width=385&amp;height=120&amp;START_MAXIMIZED=FALSE&amp;creator=factset&amp;display_string=Audit"}</definedName>
    <definedName name="_2088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089__FDSAUDITLINK__" localSheetId="15"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089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0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09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090__FDSAUDITLINK__" localSheetId="15" hidden="1">{"fdsup://Directions/FactSet Auditing Viewer?action=AUDIT_VALUE&amp;DB=129&amp;ID1=58711810&amp;VALUEID=13040&amp;SDATE=200803&amp;PERIODTYPE=QTR_STD&amp;window=popup_no_bar&amp;width=385&amp;height=120&amp;START_MAXIMIZED=FALSE&amp;creator=factset&amp;display_string=Audit"}</definedName>
    <definedName name="_2090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091__FDSAUDITLINK__" localSheetId="15" hidden="1">{"fdsup://Directions/FactSet Auditing Viewer?action=AUDIT_VALUE&amp;DB=129&amp;ID1=58711810&amp;VALUEID=13040&amp;SDATE=200902&amp;PERIODTYPE=QTR_STD&amp;window=popup_no_bar&amp;width=385&amp;height=120&amp;START_MAXIMIZED=FALSE&amp;creator=factset&amp;display_string=Audit"}</definedName>
    <definedName name="_20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092__FDSAUDITLINK__" localSheetId="15"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092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093__FDSAUDITLINK__" localSheetId="15" hidden="1">{"fdsup://Directions/FactSet Auditing Viewer?action=AUDIT_VALUE&amp;DB=129&amp;ID1=58711810&amp;VALUEID=13040&amp;SDATE=200903&amp;PERIODTYPE=QTR_STD&amp;window=popup_no_bar&amp;width=385&amp;height=120&amp;START_MAXIMIZED=FALSE&amp;creator=factset&amp;display_string=Audit"}</definedName>
    <definedName name="_2093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094__FDSAUDITLINK__" localSheetId="15" hidden="1">{"fdsup://Directions/FactSet Auditing Viewer?action=AUDIT_VALUE&amp;DB=129&amp;ID1=58711810&amp;VALUEID=13040&amp;SDATE=200602&amp;PERIODTYPE=QTR_STD&amp;window=popup_no_bar&amp;width=385&amp;height=120&amp;START_MAXIMIZED=FALSE&amp;creator=factset&amp;display_string=Audit"}</definedName>
    <definedName name="_209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095__FDSAUDITLINK__" localSheetId="15" hidden="1">{"fdsup://Directions/FactSet Auditing Viewer?action=AUDIT_VALUE&amp;DB=129&amp;ID1=58711810&amp;VALUEID=13040&amp;SDATE=200601&amp;PERIODTYPE=QTR_STD&amp;window=popup_no_bar&amp;width=385&amp;height=120&amp;START_MAXIMIZED=FALSE&amp;creator=factset&amp;display_string=Audit"}</definedName>
    <definedName name="_2095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096__FDSAUDITLINK__" localSheetId="15"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096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097__FDSAUDITLINK__" localSheetId="15" hidden="1">{"fdsup://Directions/FactSet Auditing Viewer?action=AUDIT_VALUE&amp;DB=129&amp;ID1=58711810&amp;VALUEID=13040&amp;SDATE=200603&amp;PERIODTYPE=QTR_STD&amp;window=popup_no_bar&amp;width=385&amp;height=120&amp;START_MAXIMIZED=FALSE&amp;creator=factset&amp;display_string=Audit"}</definedName>
    <definedName name="_209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098__FDSAUDITLINK__" localSheetId="15"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098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099__FDSAUDITLINK__" localSheetId="15" hidden="1">{"fdsup://Directions/FactSet Auditing Viewer?action=AUDIT_VALUE&amp;DB=129&amp;ID1=58711810&amp;VALUEID=13040&amp;SDATE=201001&amp;PERIODTYPE=QTR_STD&amp;window=popup_no_bar&amp;width=385&amp;height=120&amp;START_MAXIMIZED=FALSE&amp;creator=factset&amp;display_string=Audit"}</definedName>
    <definedName name="_20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1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1__FDSAUDITLINK__" hidden="1">{"fdsup://Directions/FactSet Auditing Viewer?action=AUDIT_VALUE&amp;DB=129&amp;ID1=86923310&amp;VALUEID=01001&amp;SDATE=2006&amp;PERIODTYPE=ANN_STD&amp;window=popup_no_bar&amp;width=385&amp;height=120&amp;START_MAXIMIZED=FALSE&amp;creator=factset&amp;display_string=Audit"}</definedName>
    <definedName name="_21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10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00__FDSAUDITLINK__" localSheetId="15" hidden="1">{"fdsup://Directions/FactSet Auditing Viewer?action=AUDIT_VALUE&amp;DB=129&amp;ID1=58711810&amp;VALUEID=13040&amp;SDATE=200904&amp;PERIODTYPE=QTR_STD&amp;window=popup_no_bar&amp;width=385&amp;height=120&amp;START_MAXIMIZED=FALSE&amp;creator=factset&amp;display_string=Audit"}</definedName>
    <definedName name="_2100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101__FDSAUDITLINK__" localSheetId="15"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101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102__FDSAUDITLINK__" localSheetId="15" hidden="1">{"fdsup://Directions/FactSet Auditing Viewer?action=AUDIT_VALUE&amp;DB=129&amp;ID1=03611510&amp;VALUEID=13040&amp;SDATE=200501&amp;PERIODTYPE=QTR_STD&amp;window=popup_no_bar&amp;width=385&amp;height=120&amp;START_MAXIMIZED=FALSE&amp;creator=factset&amp;display_string=Audit"}</definedName>
    <definedName name="_210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103__FDSAUDITLINK__" localSheetId="15" hidden="1">{"fdsup://Directions/FactSet Auditing Viewer?action=AUDIT_VALUE&amp;DB=129&amp;ID1=03611510&amp;VALUEID=13040&amp;SDATE=200502&amp;PERIODTYPE=QTR_STD&amp;window=popup_no_bar&amp;width=385&amp;height=120&amp;START_MAXIMIZED=FALSE&amp;creator=factset&amp;display_string=Audit"}</definedName>
    <definedName name="_2103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104__FDSAUDITLINK__" localSheetId="15" hidden="1">{"fdsup://Directions/FactSet Auditing Viewer?action=AUDIT_VALUE&amp;DB=129&amp;ID1=03611510&amp;VALUEID=13040&amp;SDATE=200503&amp;PERIODTYPE=QTR_STD&amp;window=popup_no_bar&amp;width=385&amp;height=120&amp;START_MAXIMIZED=FALSE&amp;creator=factset&amp;display_string=Audit"}</definedName>
    <definedName name="_2104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105__FDSAUDITLINK__" localSheetId="15" hidden="1">{"fdsup://Directions/FactSet Auditing Viewer?action=AUDIT_VALUE&amp;DB=129&amp;ID1=03611510&amp;VALUEID=13040&amp;SDATE=200601&amp;PERIODTYPE=QTR_STD&amp;window=popup_no_bar&amp;width=385&amp;height=120&amp;START_MAXIMIZED=FALSE&amp;creator=factset&amp;display_string=Audit"}</definedName>
    <definedName name="_2105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106__FDSAUDITLINK__" localSheetId="15" hidden="1">{"fdsup://Directions/FactSet Auditing Viewer?action=AUDIT_VALUE&amp;DB=129&amp;ID1=03611510&amp;VALUEID=02101&amp;SDATE=200601&amp;PERIODTYPE=QTR_STD&amp;window=popup_no_bar&amp;width=385&amp;height=120&amp;START_MAXIMIZED=FALSE&amp;creator=factset&amp;display_string=Audit"}</definedName>
    <definedName name="_210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107__FDSAUDITLINK__" localSheetId="15" hidden="1">{"fdsup://Directions/FactSet Auditing Viewer?action=AUDIT_VALUE&amp;DB=129&amp;ID1=03611510&amp;VALUEID=13040&amp;SDATE=200602&amp;PERIODTYPE=QTR_STD&amp;window=popup_no_bar&amp;width=385&amp;height=120&amp;START_MAXIMIZED=FALSE&amp;creator=factset&amp;display_string=Audit"}</definedName>
    <definedName name="_21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108__FDSAUDITLINK__" localSheetId="15" hidden="1">{"fdsup://Directions/FactSet Auditing Viewer?action=AUDIT_VALUE&amp;DB=129&amp;ID1=03611510&amp;VALUEID=01001&amp;SDATE=200602&amp;PERIODTYPE=QTR_STD&amp;window=popup_no_bar&amp;width=385&amp;height=120&amp;START_MAXIMIZED=FALSE&amp;creator=factset&amp;display_string=Audit"}</definedName>
    <definedName name="_210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109__FDSAUDITLINK__" localSheetId="15" hidden="1">{"fdsup://Directions/FactSet Auditing Viewer?action=AUDIT_VALUE&amp;DB=129&amp;ID1=03611510&amp;VALUEID=02101&amp;SDATE=200602&amp;PERIODTYPE=QTR_STD&amp;window=popup_no_bar&amp;width=385&amp;height=120&amp;START_MAXIMIZED=FALSE&amp;creator=factset&amp;display_string=Audit"}</definedName>
    <definedName name="_2109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1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1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10__FDSAUDITLINK__" localSheetId="15" hidden="1">{"fdsup://Directions/FactSet Auditing Viewer?action=AUDIT_VALUE&amp;DB=129&amp;ID1=03611510&amp;VALUEID=13040&amp;SDATE=200603&amp;PERIODTYPE=QTR_STD&amp;window=popup_no_bar&amp;width=385&amp;height=120&amp;START_MAXIMIZED=FALSE&amp;creator=factset&amp;display_string=Audit"}</definedName>
    <definedName name="_211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111__FDSAUDITLINK__" localSheetId="15" hidden="1">{"fdsup://Directions/FactSet Auditing Viewer?action=AUDIT_VALUE&amp;DB=129&amp;ID1=03611510&amp;VALUEID=01001&amp;SDATE=200603&amp;PERIODTYPE=QTR_STD&amp;window=popup_no_bar&amp;width=385&amp;height=120&amp;START_MAXIMIZED=FALSE&amp;creator=factset&amp;display_string=Audit"}</definedName>
    <definedName name="_2111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112__FDSAUDITLINK__" localSheetId="15" hidden="1">{"fdsup://Directions/FactSet Auditing Viewer?action=AUDIT_VALUE&amp;DB=129&amp;ID1=03611510&amp;VALUEID=02101&amp;SDATE=200603&amp;PERIODTYPE=QTR_STD&amp;window=popup_no_bar&amp;width=385&amp;height=120&amp;START_MAXIMIZED=FALSE&amp;creator=factset&amp;display_string=Audit"}</definedName>
    <definedName name="_211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113__FDSAUDITLINK__" localSheetId="15" hidden="1">{"fdsup://Directions/FactSet Auditing Viewer?action=AUDIT_VALUE&amp;DB=129&amp;ID1=03611510&amp;VALUEID=01001&amp;SDATE=200604&amp;PERIODTYPE=QTR_STD&amp;window=popup_no_bar&amp;width=385&amp;height=120&amp;START_MAXIMIZED=FALSE&amp;creator=factset&amp;display_string=Audit"}</definedName>
    <definedName name="_211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114__FDSAUDITLINK__" localSheetId="15" hidden="1">{"fdsup://Directions/FactSet Auditing Viewer?action=AUDIT_VALUE&amp;DB=129&amp;ID1=03611510&amp;VALUEID=13040&amp;SDATE=200701&amp;PERIODTYPE=QTR_STD&amp;window=popup_no_bar&amp;width=385&amp;height=120&amp;START_MAXIMIZED=FALSE&amp;creator=factset&amp;display_string=Audit"}</definedName>
    <definedName name="_21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115__FDSAUDITLINK__" localSheetId="15" hidden="1">{"fdsup://Directions/FactSet Auditing Viewer?action=AUDIT_VALUE&amp;DB=129&amp;ID1=03611510&amp;VALUEID=01001&amp;SDATE=200701&amp;PERIODTYPE=QTR_STD&amp;window=popup_no_bar&amp;width=385&amp;height=120&amp;START_MAXIMIZED=FALSE&amp;creator=factset&amp;display_string=Audit"}</definedName>
    <definedName name="_211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116__FDSAUDITLINK__" localSheetId="15" hidden="1">{"fdsup://Directions/FactSet Auditing Viewer?action=AUDIT_VALUE&amp;DB=129&amp;ID1=03611510&amp;VALUEID=02101&amp;SDATE=200701&amp;PERIODTYPE=QTR_STD&amp;window=popup_no_bar&amp;width=385&amp;height=120&amp;START_MAXIMIZED=FALSE&amp;creator=factset&amp;display_string=Audit"}</definedName>
    <definedName name="_211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117__FDSAUDITLINK__" localSheetId="15" hidden="1">{"fdsup://Directions/FactSet Auditing Viewer?action=AUDIT_VALUE&amp;DB=129&amp;ID1=03611510&amp;VALUEID=13040&amp;SDATE=200702&amp;PERIODTYPE=QTR_STD&amp;window=popup_no_bar&amp;width=385&amp;height=120&amp;START_MAXIMIZED=FALSE&amp;creator=factset&amp;display_string=Audit"}</definedName>
    <definedName name="_211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118__FDSAUDITLINK__" localSheetId="15" hidden="1">{"fdsup://Directions/FactSet Auditing Viewer?action=AUDIT_VALUE&amp;DB=129&amp;ID1=03611510&amp;VALUEID=01001&amp;SDATE=200702&amp;PERIODTYPE=QTR_STD&amp;window=popup_no_bar&amp;width=385&amp;height=120&amp;START_MAXIMIZED=FALSE&amp;creator=factset&amp;display_string=Audit"}</definedName>
    <definedName name="_21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119__FDSAUDITLINK__" localSheetId="15" hidden="1">{"fdsup://Directions/FactSet Auditing Viewer?action=AUDIT_VALUE&amp;DB=129&amp;ID1=03611510&amp;VALUEID=02101&amp;SDATE=200702&amp;PERIODTYPE=QTR_STD&amp;window=popup_no_bar&amp;width=385&amp;height=120&amp;START_MAXIMIZED=FALSE&amp;creator=factset&amp;display_string=Audit"}</definedName>
    <definedName name="_211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1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12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0__FDSAUDITLINK__" localSheetId="15" hidden="1">{"fdsup://Directions/FactSet Auditing Viewer?action=AUDIT_VALUE&amp;DB=129&amp;ID1=03611510&amp;VALUEID=13040&amp;SDATE=200703&amp;PERIODTYPE=QTR_STD&amp;window=popup_no_bar&amp;width=385&amp;height=120&amp;START_MAXIMIZED=FALSE&amp;creator=factset&amp;display_string=Audit"}</definedName>
    <definedName name="_2120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1__FDSAUDITLINK__" localSheetId="15" hidden="1">{"fdsup://Directions/FactSet Auditing Viewer?action=AUDIT_VALUE&amp;DB=129&amp;ID1=03611510&amp;VALUEID=01001&amp;SDATE=200703&amp;PERIODTYPE=QTR_STD&amp;window=popup_no_bar&amp;width=385&amp;height=120&amp;START_MAXIMIZED=FALSE&amp;creator=factset&amp;display_string=Audit"}</definedName>
    <definedName name="_212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22__FDSAUDITLINK__" localSheetId="15" hidden="1">{"fdsup://Directions/FactSet Auditing Viewer?action=AUDIT_VALUE&amp;DB=129&amp;ID1=03611510&amp;VALUEID=02101&amp;SDATE=200703&amp;PERIODTYPE=QTR_STD&amp;window=popup_no_bar&amp;width=385&amp;height=120&amp;START_MAXIMIZED=FALSE&amp;creator=factset&amp;display_string=Audit"}</definedName>
    <definedName name="_2122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23__FDSAUDITLINK__" localSheetId="15" hidden="1">{"fdsup://Directions/FactSet Auditing Viewer?action=AUDIT_VALUE&amp;DB=129&amp;ID1=03611510&amp;VALUEID=13040&amp;SDATE=200704&amp;PERIODTYPE=QTR_STD&amp;window=popup_no_bar&amp;width=385&amp;height=120&amp;START_MAXIMIZED=FALSE&amp;creator=factset&amp;display_string=Audit"}</definedName>
    <definedName name="_2123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124__FDSAUDITLINK__" localSheetId="15" hidden="1">{"fdsup://Directions/FactSet Auditing Viewer?action=AUDIT_VALUE&amp;DB=129&amp;ID1=03611510&amp;VALUEID=01001&amp;SDATE=200704&amp;PERIODTYPE=QTR_STD&amp;window=popup_no_bar&amp;width=385&amp;height=120&amp;START_MAXIMIZED=FALSE&amp;creator=factset&amp;display_string=Audit"}</definedName>
    <definedName name="_212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125__FDSAUDITLINK__" localSheetId="15" hidden="1">{"fdsup://Directions/FactSet Auditing Viewer?action=AUDIT_VALUE&amp;DB=129&amp;ID1=03611510&amp;VALUEID=13040&amp;SDATE=200801&amp;PERIODTYPE=QTR_STD&amp;window=popup_no_bar&amp;width=385&amp;height=120&amp;START_MAXIMIZED=FALSE&amp;creator=factset&amp;display_string=Audit"}</definedName>
    <definedName name="_21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126__FDSAUDITLINK__" localSheetId="15" hidden="1">{"fdsup://Directions/FactSet Auditing Viewer?action=AUDIT_VALUE&amp;DB=129&amp;ID1=03611510&amp;VALUEID=01001&amp;SDATE=200801&amp;PERIODTYPE=QTR_STD&amp;window=popup_no_bar&amp;width=385&amp;height=120&amp;START_MAXIMIZED=FALSE&amp;creator=factset&amp;display_string=Audit"}</definedName>
    <definedName name="_212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127__FDSAUDITLINK__" localSheetId="15" hidden="1">{"fdsup://Directions/FactSet Auditing Viewer?action=AUDIT_VALUE&amp;DB=129&amp;ID1=03611510&amp;VALUEID=02101&amp;SDATE=200801&amp;PERIODTYPE=QTR_STD&amp;window=popup_no_bar&amp;width=385&amp;height=120&amp;START_MAXIMIZED=FALSE&amp;creator=factset&amp;display_string=Audit"}</definedName>
    <definedName name="_212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128__FDSAUDITLINK__" localSheetId="15" hidden="1">{"fdsup://Directions/FactSet Auditing Viewer?action=AUDIT_VALUE&amp;DB=129&amp;ID1=03611510&amp;VALUEID=01001&amp;SDATE=200802&amp;PERIODTYPE=QTR_STD&amp;window=popup_no_bar&amp;width=385&amp;height=120&amp;START_MAXIMIZED=FALSE&amp;creator=factset&amp;display_string=Audit"}</definedName>
    <definedName name="_212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129__FDSAUDITLINK__" localSheetId="15" hidden="1">{"fdsup://Directions/FactSet Auditing Viewer?action=AUDIT_VALUE&amp;DB=129&amp;ID1=03611510&amp;VALUEID=02101&amp;SDATE=200802&amp;PERIODTYPE=QTR_STD&amp;window=popup_no_bar&amp;width=385&amp;height=120&amp;START_MAXIMIZED=FALSE&amp;creator=factset&amp;display_string=Audit"}</definedName>
    <definedName name="_2129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1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13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130__FDSAUDITLINK__" localSheetId="15" hidden="1">{"fdsup://Directions/FactSet Auditing Viewer?action=AUDIT_VALUE&amp;DB=129&amp;ID1=03611510&amp;VALUEID=01001&amp;SDATE=200803&amp;PERIODTYPE=QTR_STD&amp;window=popup_no_bar&amp;width=385&amp;height=120&amp;START_MAXIMIZED=FALSE&amp;creator=factset&amp;display_string=Audit"}</definedName>
    <definedName name="_213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131__FDSAUDITLINK__" localSheetId="15" hidden="1">{"fdsup://Directions/FactSet Auditing Viewer?action=AUDIT_VALUE&amp;DB=129&amp;ID1=03611510&amp;VALUEID=02101&amp;SDATE=200803&amp;PERIODTYPE=QTR_STD&amp;window=popup_no_bar&amp;width=385&amp;height=120&amp;START_MAXIMIZED=FALSE&amp;creator=factset&amp;display_string=Audit"}</definedName>
    <definedName name="_213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132__FDSAUDITLINK__" localSheetId="15" hidden="1">{"fdsup://Directions/FactSet Auditing Viewer?action=AUDIT_VALUE&amp;DB=129&amp;ID1=03611510&amp;VALUEID=01001&amp;SDATE=200804&amp;PERIODTYPE=QTR_STD&amp;window=popup_no_bar&amp;width=385&amp;height=120&amp;START_MAXIMIZED=FALSE&amp;creator=factset&amp;display_string=Audit"}</definedName>
    <definedName name="_2132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133__FDSAUDITLINK__" localSheetId="15" hidden="1">{"fdsup://Directions/FactSet Auditing Viewer?action=AUDIT_VALUE&amp;DB=129&amp;ID1=03611510&amp;VALUEID=01001&amp;SDATE=200901&amp;PERIODTYPE=QTR_STD&amp;window=popup_no_bar&amp;width=385&amp;height=120&amp;START_MAXIMIZED=FALSE&amp;creator=factset&amp;display_string=Audit"}</definedName>
    <definedName name="_2133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134__FDSAUDITLINK__" localSheetId="15" hidden="1">{"fdsup://Directions/FactSet Auditing Viewer?action=AUDIT_VALUE&amp;DB=129&amp;ID1=03611510&amp;VALUEID=02101&amp;SDATE=200901&amp;PERIODTYPE=QTR_STD&amp;window=popup_no_bar&amp;width=385&amp;height=120&amp;START_MAXIMIZED=FALSE&amp;creator=factset&amp;display_string=Audit"}</definedName>
    <definedName name="_213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135__FDSAUDITLINK__" localSheetId="15" hidden="1">{"fdsup://Directions/FactSet Auditing Viewer?action=AUDIT_VALUE&amp;DB=129&amp;ID1=03611510&amp;VALUEID=13040&amp;SDATE=200902&amp;PERIODTYPE=QTR_STD&amp;window=popup_no_bar&amp;width=385&amp;height=120&amp;START_MAXIMIZED=FALSE&amp;creator=factset&amp;display_string=Audit"}</definedName>
    <definedName name="_213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136__FDSAUDITLINK__" localSheetId="15" hidden="1">{"fdsup://Directions/FactSet Auditing Viewer?action=AUDIT_VALUE&amp;DB=129&amp;ID1=03611510&amp;VALUEID=01001&amp;SDATE=200902&amp;PERIODTYPE=QTR_STD&amp;window=popup_no_bar&amp;width=385&amp;height=120&amp;START_MAXIMIZED=FALSE&amp;creator=factset&amp;display_string=Audit"}</definedName>
    <definedName name="_2136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137__FDSAUDITLINK__" localSheetId="15" hidden="1">{"fdsup://Directions/FactSet Auditing Viewer?action=AUDIT_VALUE&amp;DB=129&amp;ID1=03611510&amp;VALUEID=02101&amp;SDATE=200902&amp;PERIODTYPE=QTR_STD&amp;window=popup_no_bar&amp;width=385&amp;height=120&amp;START_MAXIMIZED=FALSE&amp;creator=factset&amp;display_string=Audit"}</definedName>
    <definedName name="_2137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138__FDSAUDITLINK__" localSheetId="15" hidden="1">{"fdsup://Directions/FactSet Auditing Viewer?action=AUDIT_VALUE&amp;DB=129&amp;ID1=03611510&amp;VALUEID=13040&amp;SDATE=200903&amp;PERIODTYPE=QTR_STD&amp;window=popup_no_bar&amp;width=385&amp;height=120&amp;START_MAXIMIZED=FALSE&amp;creator=factset&amp;display_string=Audit"}</definedName>
    <definedName name="_213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39__FDSAUDITLINK__" localSheetId="15" hidden="1">{"fdsup://Directions/FactSet Auditing Viewer?action=AUDIT_VALUE&amp;DB=129&amp;ID1=03611510&amp;VALUEID=01001&amp;SDATE=200903&amp;PERIODTYPE=QTR_STD&amp;window=popup_no_bar&amp;width=385&amp;height=120&amp;START_MAXIMIZED=FALSE&amp;creator=factset&amp;display_string=Audit"}</definedName>
    <definedName name="_2139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14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140__FDSAUDITLINK__" localSheetId="15" hidden="1">{"fdsup://Directions/FactSet Auditing Viewer?action=AUDIT_VALUE&amp;DB=129&amp;ID1=03611510&amp;VALUEID=02101&amp;SDATE=200903&amp;PERIODTYPE=QTR_STD&amp;window=popup_no_bar&amp;width=385&amp;height=120&amp;START_MAXIMIZED=FALSE&amp;creator=factset&amp;display_string=Audit"}</definedName>
    <definedName name="_2140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41__FDSAUDITLINK__" localSheetId="15" hidden="1">{"fdsup://Directions/FactSet Auditing Viewer?action=AUDIT_VALUE&amp;DB=129&amp;ID1=03611510&amp;VALUEID=01001&amp;SDATE=200904&amp;PERIODTYPE=QTR_STD&amp;window=popup_no_bar&amp;width=385&amp;height=120&amp;START_MAXIMIZED=FALSE&amp;creator=factset&amp;display_string=Audit"}</definedName>
    <definedName name="_2141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42__FDSAUDITLINK__" localSheetId="15" hidden="1">{"fdsup://Directions/FactSet Auditing Viewer?action=AUDIT_VALUE&amp;DB=129&amp;ID1=03611510&amp;VALUEID=13040&amp;SDATE=201001&amp;PERIODTYPE=QTR_STD&amp;window=popup_no_bar&amp;width=385&amp;height=120&amp;START_MAXIMIZED=FALSE&amp;creator=factset&amp;display_string=Audit"}</definedName>
    <definedName name="_214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43__FDSAUDITLINK__" localSheetId="15" hidden="1">{"fdsup://Directions/FactSet Auditing Viewer?action=AUDIT_VALUE&amp;DB=129&amp;ID1=03611510&amp;VALUEID=01001&amp;SDATE=201001&amp;PERIODTYPE=QTR_STD&amp;window=popup_no_bar&amp;width=385&amp;height=120&amp;START_MAXIMIZED=FALSE&amp;creator=factset&amp;display_string=Audit"}</definedName>
    <definedName name="_21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144__FDSAUDITLINK__" localSheetId="15" hidden="1">{"fdsup://Directions/FactSet Auditing Viewer?action=AUDIT_VALUE&amp;DB=129&amp;ID1=03611510&amp;VALUEID=02101&amp;SDATE=201001&amp;PERIODTYPE=QTR_STD&amp;window=popup_no_bar&amp;width=385&amp;height=120&amp;START_MAXIMIZED=FALSE&amp;creator=factset&amp;display_string=Audit"}</definedName>
    <definedName name="_214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45__FDSAUDITLINK__" localSheetId="15" hidden="1">{"fdsup://Directions/FactSet Auditing Viewer?action=AUDIT_VALUE&amp;DB=129&amp;ID1=87416110&amp;VALUEID=02101&amp;SDATE=201001&amp;PERIODTYPE=QTR_STD&amp;window=popup_no_bar&amp;width=385&amp;height=120&amp;START_MAXIMIZED=FALSE&amp;creator=factset&amp;display_string=Audit"}</definedName>
    <definedName name="_2145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2146__FDSAUDITLINK__" localSheetId="15" hidden="1">{"fdsup://Directions/FactSet Auditing Viewer?action=AUDIT_VALUE&amp;DB=129&amp;ID1=87416110&amp;VALUEID=13040&amp;SDATE=201001&amp;PERIODTYPE=QTR_STD&amp;window=popup_no_bar&amp;width=385&amp;height=120&amp;START_MAXIMIZED=FALSE&amp;creator=factset&amp;display_string=Audit"}</definedName>
    <definedName name="_2146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2147__FDSAUDITLINK__" localSheetId="15"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2147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2148__FDSAUDITLINK__" localSheetId="15" hidden="1">{"fdsup://Directions/FactSet Auditing Viewer?action=AUDIT_VALUE&amp;DB=129&amp;ID1=53271610&amp;VALUEID=02101&amp;SDATE=201001&amp;PERIODTYPE=QTR_STD&amp;window=popup_no_bar&amp;width=385&amp;height=120&amp;START_MAXIMIZED=FALSE&amp;creator=factset&amp;display_string=Audit"}</definedName>
    <definedName name="_2148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2149__FDSAUDITLINK__" localSheetId="15" hidden="1">{"fdsup://Directions/FactSet Auditing Viewer?action=AUDIT_VALUE&amp;DB=129&amp;ID1=53271610&amp;VALUEID=13040&amp;SDATE=201001&amp;PERIODTYPE=QTR_STD&amp;window=popup_no_bar&amp;width=385&amp;height=120&amp;START_MAXIMIZED=FALSE&amp;creator=factset&amp;display_string=Audit"}</definedName>
    <definedName name="_214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21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15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150__FDSAUDITLINK__" localSheetId="15" hidden="1">{"fdsup://Directions/FactSet Auditing Viewer?action=AUDIT_VALUE&amp;DB=129&amp;ID1=46612H40&amp;VALUEID=02101&amp;SDATE=201001&amp;PERIODTYPE=QTR_STD&amp;window=popup_no_bar&amp;width=385&amp;height=120&amp;START_MAXIMIZED=FALSE&amp;creator=factset&amp;display_string=Audit"}</definedName>
    <definedName name="_2150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2151__FDSAUDITLINK__" localSheetId="15" hidden="1">{"fdsup://Directions/FactSet Auditing Viewer?action=AUDIT_VALUE&amp;DB=129&amp;ID1=46612H40&amp;VALUEID=13040&amp;SDATE=201001&amp;PERIODTYPE=QTR_STD&amp;window=popup_no_bar&amp;width=385&amp;height=120&amp;START_MAXIMIZED=FALSE&amp;creator=factset&amp;display_string=Audit"}</definedName>
    <definedName name="_2151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2152__FDSAUDITLINK__" localSheetId="15" hidden="1">{"fdsup://Directions/FactSet Auditing Viewer?action=AUDIT_VALUE&amp;DB=129&amp;ID1=36476010&amp;VALUEID=02101&amp;SDATE=201001&amp;PERIODTYPE=QTR_STD&amp;window=popup_no_bar&amp;width=385&amp;height=120&amp;START_MAXIMIZED=FALSE&amp;creator=factset&amp;display_string=Audit"}</definedName>
    <definedName name="_2152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2153__FDSAUDITLINK__" localSheetId="15" hidden="1">{"fdsup://Directions/FactSet Auditing Viewer?action=AUDIT_VALUE&amp;DB=129&amp;ID1=36476010&amp;VALUEID=13040&amp;SDATE=201001&amp;PERIODTYPE=QTR_STD&amp;window=popup_no_bar&amp;width=385&amp;height=120&amp;START_MAXIMIZED=FALSE&amp;creator=factset&amp;display_string=Audit"}</definedName>
    <definedName name="_2153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2154__FDSAUDITLINK__" localSheetId="15" hidden="1">{"fdsup://Directions/FactSet Auditing Viewer?action=AUDIT_VALUE&amp;DB=129&amp;ID1=03611510&amp;VALUEID=02101&amp;SDATE=201001&amp;PERIODTYPE=QTR_STD&amp;window=popup_no_bar&amp;width=385&amp;height=120&amp;START_MAXIMIZED=FALSE&amp;creator=factset&amp;display_string=Audit"}</definedName>
    <definedName name="_215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55__FDSAUDITLINK__" localSheetId="15" hidden="1">{"fdsup://Directions/FactSet Auditing Viewer?action=AUDIT_VALUE&amp;DB=129&amp;ID1=03611510&amp;VALUEID=13040&amp;SDATE=201001&amp;PERIODTYPE=QTR_STD&amp;window=popup_no_bar&amp;width=385&amp;height=120&amp;START_MAXIMIZED=FALSE&amp;creator=factset&amp;display_string=Audit"}</definedName>
    <definedName name="_2155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56__FDSAUDITLINK__" localSheetId="15" hidden="1">{"fdsup://Directions/FactSet Auditing Viewer?action=AUDIT_VALUE&amp;DB=129&amp;ID1=16890510&amp;VALUEID=02101&amp;SDATE=201001&amp;PERIODTYPE=QTR_STD&amp;window=popup_no_bar&amp;width=385&amp;height=120&amp;START_MAXIMIZED=FALSE&amp;creator=factset&amp;display_string=Audit"}</definedName>
    <definedName name="_2156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2157__FDSAUDITLINK__" localSheetId="15" hidden="1">{"fdsup://Directions/FactSet Auditing Viewer?action=AUDIT_VALUE&amp;DB=129&amp;ID1=91704710&amp;VALUEID=02101&amp;SDATE=201001&amp;PERIODTYPE=QTR_STD&amp;window=popup_no_bar&amp;width=385&amp;height=120&amp;START_MAXIMIZED=FALSE&amp;creator=factset&amp;display_string=Audit"}</definedName>
    <definedName name="_2157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2158__FDSAUDITLINK__" localSheetId="15" hidden="1">{"fdsup://Directions/FactSet Auditing Viewer?action=AUDIT_VALUE&amp;DB=129&amp;ID1=91704710&amp;VALUEID=13040&amp;SDATE=201001&amp;PERIODTYPE=QTR_STD&amp;window=popup_no_bar&amp;width=385&amp;height=120&amp;START_MAXIMIZED=FALSE&amp;creator=factset&amp;display_string=Audit"}</definedName>
    <definedName name="_2158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2159__FDSAUDITLINK__" localSheetId="15" hidden="1">{"fdsup://Directions/FactSet Auditing Viewer?action=AUDIT_VALUE&amp;DB=129&amp;ID1=02553E10&amp;VALUEID=02101&amp;SDATE=201001&amp;PERIODTYPE=QTR_STD&amp;window=popup_no_bar&amp;width=385&amp;height=120&amp;START_MAXIMIZED=FALSE&amp;creator=factset&amp;display_string=Audit"}</definedName>
    <definedName name="_2159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21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16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160__FDSAUDITLINK__" localSheetId="15" hidden="1">{"fdsup://Directions/FactSet Auditing Viewer?action=AUDIT_VALUE&amp;DB=129&amp;ID1=02553E10&amp;VALUEID=13040&amp;SDATE=201001&amp;PERIODTYPE=QTR_STD&amp;window=popup_no_bar&amp;width=385&amp;height=120&amp;START_MAXIMIZED=FALSE&amp;creator=factset&amp;display_string=Audit"}</definedName>
    <definedName name="_2160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2161__FDSAUDITLINK__" localSheetId="15" hidden="1">{"fdsup://Directions/FactSet Auditing Viewer?action=AUDIT_VALUE&amp;DB=129&amp;ID1=00786510&amp;VALUEID=02101&amp;SDATE=201001&amp;PERIODTYPE=QTR_STD&amp;window=popup_no_bar&amp;width=385&amp;height=120&amp;START_MAXIMIZED=FALSE&amp;creator=factset&amp;display_string=Audit"}</definedName>
    <definedName name="_2161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2162__FDSAUDITLINK__" localSheetId="15" hidden="1">{"fdsup://Directions/FactSet Auditing Viewer?action=AUDIT_VALUE&amp;DB=129&amp;ID1=00786510&amp;VALUEID=13040&amp;SDATE=201001&amp;PERIODTYPE=QTR_STD&amp;window=popup_no_bar&amp;width=385&amp;height=120&amp;START_MAXIMIZED=FALSE&amp;creator=factset&amp;display_string=Audit"}</definedName>
    <definedName name="_2162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2163__FDSAUDITLINK__" localSheetId="15" hidden="1">{"fdsup://Directions/FactSet Auditing Viewer?action=AUDIT_VALUE&amp;DB=129&amp;ID1=00289620&amp;VALUEID=02101&amp;SDATE=201001&amp;PERIODTYPE=QTR_STD&amp;window=popup_no_bar&amp;width=385&amp;height=120&amp;START_MAXIMIZED=FALSE&amp;creator=factset&amp;display_string=Audit"}</definedName>
    <definedName name="_2163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2164__FDSAUDITLINK__" localSheetId="15" hidden="1">{"fdsup://Directions/FactSet Auditing Viewer?action=AUDIT_VALUE&amp;DB=129&amp;ID1=00289620&amp;VALUEID=13040&amp;SDATE=201001&amp;PERIODTYPE=QTR_STD&amp;window=popup_no_bar&amp;width=385&amp;height=120&amp;START_MAXIMIZED=FALSE&amp;creator=factset&amp;display_string=Audit"}</definedName>
    <definedName name="_2164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165__FDSAUDITLINK__" localSheetId="15" hidden="1">{"fdsup://Directions/FactSet Auditing Viewer?action=AUDIT_VALUE&amp;DB=129&amp;ID1=87416110&amp;VALUEID=01001&amp;SDATE=200904&amp;PERIODTYPE=QTR_STD&amp;window=popup_no_bar&amp;width=385&amp;height=120&amp;START_MAXIMIZED=FALSE&amp;creator=factset&amp;display_string=Audit"}</definedName>
    <definedName name="_2165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66__FDSAUDITLINK__" localSheetId="15"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166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167__FDSAUDITLINK__" localSheetId="15" hidden="1">{"fdsup://Directions/FactSet Auditing Viewer?action=AUDIT_VALUE&amp;DB=129&amp;ID1=46612H40&amp;VALUEID=01001&amp;SDATE=200904&amp;PERIODTYPE=QTR_STD&amp;window=popup_no_bar&amp;width=385&amp;height=120&amp;START_MAXIMIZED=FALSE&amp;creator=factset&amp;display_string=Audit"}</definedName>
    <definedName name="_2167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168__FDSAUDITLINK__" localSheetId="15" hidden="1">{"fdsup://Directions/FactSet Auditing Viewer?action=AUDIT_VALUE&amp;DB=129&amp;ID1=36476010&amp;VALUEID=01001&amp;SDATE=200904&amp;PERIODTYPE=QTR_STD&amp;window=popup_no_bar&amp;width=385&amp;height=120&amp;START_MAXIMIZED=FALSE&amp;creator=factset&amp;display_string=Audit"}</definedName>
    <definedName name="_2168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169__FDSAUDITLINK__" localSheetId="15" hidden="1">{"fdsup://Directions/FactSet Auditing Viewer?action=AUDIT_VALUE&amp;DB=129&amp;ID1=03611510&amp;VALUEID=01001&amp;SDATE=200904&amp;PERIODTYPE=QTR_STD&amp;window=popup_no_bar&amp;width=385&amp;height=120&amp;START_MAXIMIZED=FALSE&amp;creator=factset&amp;display_string=Audit"}</definedName>
    <definedName name="_2169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17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170__FDSAUDITLINK__" localSheetId="15" hidden="1">{"fdsup://Directions/FactSet Auditing Viewer?action=AUDIT_VALUE&amp;DB=129&amp;ID1=16890510&amp;VALUEID=01001&amp;SDATE=200904&amp;PERIODTYPE=QTR_STD&amp;window=popup_no_bar&amp;width=385&amp;height=120&amp;START_MAXIMIZED=FALSE&amp;creator=factset&amp;display_string=Audit"}</definedName>
    <definedName name="_217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171__FDSAUDITLINK__" localSheetId="15" hidden="1">{"fdsup://Directions/FactSet Auditing Viewer?action=AUDIT_VALUE&amp;DB=129&amp;ID1=91704710&amp;VALUEID=01001&amp;SDATE=200904&amp;PERIODTYPE=QTR_STD&amp;window=popup_no_bar&amp;width=385&amp;height=120&amp;START_MAXIMIZED=FALSE&amp;creator=factset&amp;display_string=Audit"}</definedName>
    <definedName name="_2171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172__FDSAUDITLINK__" localSheetId="15" hidden="1">{"fdsup://Directions/FactSet Auditing Viewer?action=AUDIT_VALUE&amp;DB=129&amp;ID1=02553E10&amp;VALUEID=01001&amp;SDATE=200904&amp;PERIODTYPE=QTR_STD&amp;window=popup_no_bar&amp;width=385&amp;height=120&amp;START_MAXIMIZED=FALSE&amp;creator=factset&amp;display_string=Audit"}</definedName>
    <definedName name="_2172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173__FDSAUDITLINK__" localSheetId="15" hidden="1">{"fdsup://Directions/FactSet Auditing Viewer?action=AUDIT_VALUE&amp;DB=129&amp;ID1=00786510&amp;VALUEID=01001&amp;SDATE=200904&amp;PERIODTYPE=QTR_STD&amp;window=popup_no_bar&amp;width=385&amp;height=120&amp;START_MAXIMIZED=FALSE&amp;creator=factset&amp;display_string=Audit"}</definedName>
    <definedName name="_2173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174__FDSAUDITLINK__" localSheetId="15" hidden="1">{"fdsup://Directions/FactSet Auditing Viewer?action=AUDIT_VALUE&amp;DB=129&amp;ID1=87416110&amp;VALUEID=02101&amp;SDATE=200903&amp;PERIODTYPE=QTR_STD&amp;window=popup_no_bar&amp;width=385&amp;height=120&amp;START_MAXIMIZED=FALSE&amp;creator=factset&amp;display_string=Audit"}</definedName>
    <definedName name="_2174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2175__FDSAUDITLINK__" localSheetId="15" hidden="1">{"fdsup://Directions/FactSet Auditing Viewer?action=AUDIT_VALUE&amp;DB=129&amp;ID1=87416110&amp;VALUEID=01001&amp;SDATE=200903&amp;PERIODTYPE=QTR_STD&amp;window=popup_no_bar&amp;width=385&amp;height=120&amp;START_MAXIMIZED=FALSE&amp;creator=factset&amp;display_string=Audit"}</definedName>
    <definedName name="_2175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2176__FDSAUDITLINK__" localSheetId="15" hidden="1">{"fdsup://Directions/FactSet Auditing Viewer?action=AUDIT_VALUE&amp;DB=129&amp;ID1=87416110&amp;VALUEID=13040&amp;SDATE=200903&amp;PERIODTYPE=QTR_STD&amp;window=popup_no_bar&amp;width=385&amp;height=120&amp;START_MAXIMIZED=FALSE&amp;creator=factset&amp;display_string=Audit"}</definedName>
    <definedName name="_2176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2177__FDSAUDITLINK__" localSheetId="15"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2177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2178__FDSAUDITLINK__" localSheetId="15" hidden="1">{"fdsup://Directions/FactSet Auditing Viewer?action=AUDIT_VALUE&amp;DB=129&amp;ID1=53271610&amp;VALUEID=02101&amp;SDATE=200903&amp;PERIODTYPE=QTR_STD&amp;window=popup_no_bar&amp;width=385&amp;height=120&amp;START_MAXIMIZED=FALSE&amp;creator=factset&amp;display_string=Audit"}</definedName>
    <definedName name="_21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2179__FDSAUDITLINK__" localSheetId="15" hidden="1">{"fdsup://Directions/FactSet Auditing Viewer?action=AUDIT_VALUE&amp;DB=129&amp;ID1=53271610&amp;VALUEID=01001&amp;SDATE=200903&amp;PERIODTYPE=QTR_STD&amp;window=popup_no_bar&amp;width=385&amp;height=120&amp;START_MAXIMIZED=FALSE&amp;creator=factset&amp;display_string=Audit"}</definedName>
    <definedName name="_2179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21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18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180__FDSAUDITLINK__" localSheetId="15" hidden="1">{"fdsup://Directions/FactSet Auditing Viewer?action=AUDIT_VALUE&amp;DB=129&amp;ID1=53271610&amp;VALUEID=13040&amp;SDATE=200903&amp;PERIODTYPE=QTR_STD&amp;window=popup_no_bar&amp;width=385&amp;height=120&amp;START_MAXIMIZED=FALSE&amp;creator=factset&amp;display_string=Audit"}</definedName>
    <definedName name="_2180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2181__FDSAUDITLINK__" localSheetId="15" hidden="1">{"fdsup://Directions/FactSet Auditing Viewer?action=AUDIT_VALUE&amp;DB=129&amp;ID1=46612H40&amp;VALUEID=02101&amp;SDATE=200903&amp;PERIODTYPE=QTR_STD&amp;window=popup_no_bar&amp;width=385&amp;height=120&amp;START_MAXIMIZED=FALSE&amp;creator=factset&amp;display_string=Audit"}</definedName>
    <definedName name="_2181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2182__FDSAUDITLINK__" localSheetId="15" hidden="1">{"fdsup://Directions/FactSet Auditing Viewer?action=AUDIT_VALUE&amp;DB=129&amp;ID1=46612H40&amp;VALUEID=01001&amp;SDATE=200903&amp;PERIODTYPE=QTR_STD&amp;window=popup_no_bar&amp;width=385&amp;height=120&amp;START_MAXIMIZED=FALSE&amp;creator=factset&amp;display_string=Audit"}</definedName>
    <definedName name="_2182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2183__FDSAUDITLINK__" localSheetId="15" hidden="1">{"fdsup://Directions/FactSet Auditing Viewer?action=AUDIT_VALUE&amp;DB=129&amp;ID1=46612H40&amp;VALUEID=13040&amp;SDATE=200903&amp;PERIODTYPE=QTR_STD&amp;window=popup_no_bar&amp;width=385&amp;height=120&amp;START_MAXIMIZED=FALSE&amp;creator=factset&amp;display_string=Audit"}</definedName>
    <definedName name="_2183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2184__FDSAUDITLINK__" localSheetId="15" hidden="1">{"fdsup://Directions/FactSet Auditing Viewer?action=AUDIT_VALUE&amp;DB=129&amp;ID1=36476010&amp;VALUEID=02101&amp;SDATE=200903&amp;PERIODTYPE=QTR_STD&amp;window=popup_no_bar&amp;width=385&amp;height=120&amp;START_MAXIMIZED=FALSE&amp;creator=factset&amp;display_string=Audit"}</definedName>
    <definedName name="_2184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2185__FDSAUDITLINK__" localSheetId="15" hidden="1">{"fdsup://Directions/FactSet Auditing Viewer?action=AUDIT_VALUE&amp;DB=129&amp;ID1=36476010&amp;VALUEID=01001&amp;SDATE=200903&amp;PERIODTYPE=QTR_STD&amp;window=popup_no_bar&amp;width=385&amp;height=120&amp;START_MAXIMIZED=FALSE&amp;creator=factset&amp;display_string=Audit"}</definedName>
    <definedName name="_2185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2186__FDSAUDITLINK__" localSheetId="15" hidden="1">{"fdsup://Directions/FactSet Auditing Viewer?action=AUDIT_VALUE&amp;DB=129&amp;ID1=36476010&amp;VALUEID=13040&amp;SDATE=200903&amp;PERIODTYPE=QTR_STD&amp;window=popup_no_bar&amp;width=385&amp;height=120&amp;START_MAXIMIZED=FALSE&amp;creator=factset&amp;display_string=Audit"}</definedName>
    <definedName name="_2186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2187__FDSAUDITLINK__" localSheetId="15" hidden="1">{"fdsup://Directions/FactSet Auditing Viewer?action=AUDIT_VALUE&amp;DB=129&amp;ID1=03611510&amp;VALUEID=02101&amp;SDATE=200903&amp;PERIODTYPE=QTR_STD&amp;window=popup_no_bar&amp;width=385&amp;height=120&amp;START_MAXIMIZED=FALSE&amp;creator=factset&amp;display_string=Audit"}</definedName>
    <definedName name="_2187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88__FDSAUDITLINK__" localSheetId="15" hidden="1">{"fdsup://Directions/FactSet Auditing Viewer?action=AUDIT_VALUE&amp;DB=129&amp;ID1=03611510&amp;VALUEID=01001&amp;SDATE=200903&amp;PERIODTYPE=QTR_STD&amp;window=popup_no_bar&amp;width=385&amp;height=120&amp;START_MAXIMIZED=FALSE&amp;creator=factset&amp;display_string=Audit"}</definedName>
    <definedName name="_2188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89__FDSAUDITLINK__" localSheetId="15" hidden="1">{"fdsup://Directions/FactSet Auditing Viewer?action=AUDIT_VALUE&amp;DB=129&amp;ID1=03611510&amp;VALUEID=13040&amp;SDATE=200903&amp;PERIODTYPE=QTR_STD&amp;window=popup_no_bar&amp;width=385&amp;height=120&amp;START_MAXIMIZED=FALSE&amp;creator=factset&amp;display_string=Audit"}</definedName>
    <definedName name="_2189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19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190__FDSAUDITLINK__" localSheetId="15" hidden="1">{"fdsup://Directions/FactSet Auditing Viewer?action=AUDIT_VALUE&amp;DB=129&amp;ID1=16890510&amp;VALUEID=02101&amp;SDATE=200903&amp;PERIODTYPE=QTR_STD&amp;window=popup_no_bar&amp;width=385&amp;height=120&amp;START_MAXIMIZED=FALSE&amp;creator=factset&amp;display_string=Audit"}</definedName>
    <definedName name="_2190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2191__FDSAUDITLINK__" localSheetId="15" hidden="1">{"fdsup://Directions/FactSet Auditing Viewer?action=AUDIT_VALUE&amp;DB=129&amp;ID1=16890510&amp;VALUEID=01001&amp;SDATE=200903&amp;PERIODTYPE=QTR_STD&amp;window=popup_no_bar&amp;width=385&amp;height=120&amp;START_MAXIMIZED=FALSE&amp;creator=factset&amp;display_string=Audit"}</definedName>
    <definedName name="_2191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2192__FDSAUDITLINK__" localSheetId="15" hidden="1">{"fdsup://Directions/FactSet Auditing Viewer?action=AUDIT_VALUE&amp;DB=129&amp;ID1=91704710&amp;VALUEID=02101&amp;SDATE=200903&amp;PERIODTYPE=QTR_STD&amp;window=popup_no_bar&amp;width=385&amp;height=120&amp;START_MAXIMIZED=FALSE&amp;creator=factset&amp;display_string=Audit"}</definedName>
    <definedName name="_2192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2193__FDSAUDITLINK__" localSheetId="15" hidden="1">{"fdsup://Directions/FactSet Auditing Viewer?action=AUDIT_VALUE&amp;DB=129&amp;ID1=91704710&amp;VALUEID=01001&amp;SDATE=200903&amp;PERIODTYPE=QTR_STD&amp;window=popup_no_bar&amp;width=385&amp;height=120&amp;START_MAXIMIZED=FALSE&amp;creator=factset&amp;display_string=Audit"}</definedName>
    <definedName name="_2193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2194__FDSAUDITLINK__" localSheetId="15" hidden="1">{"fdsup://Directions/FactSet Auditing Viewer?action=AUDIT_VALUE&amp;DB=129&amp;ID1=91704710&amp;VALUEID=13040&amp;SDATE=200903&amp;PERIODTYPE=QTR_STD&amp;window=popup_no_bar&amp;width=385&amp;height=120&amp;START_MAXIMIZED=FALSE&amp;creator=factset&amp;display_string=Audit"}</definedName>
    <definedName name="_2194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2195__FDSAUDITLINK__" localSheetId="15" hidden="1">{"fdsup://Directions/FactSet Auditing Viewer?action=AUDIT_VALUE&amp;DB=129&amp;ID1=02553E10&amp;VALUEID=02101&amp;SDATE=200903&amp;PERIODTYPE=QTR_STD&amp;window=popup_no_bar&amp;width=385&amp;height=120&amp;START_MAXIMIZED=FALSE&amp;creator=factset&amp;display_string=Audit"}</definedName>
    <definedName name="_2195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2196__FDSAUDITLINK__" localSheetId="15" hidden="1">{"fdsup://Directions/FactSet Auditing Viewer?action=AUDIT_VALUE&amp;DB=129&amp;ID1=02553E10&amp;VALUEID=01001&amp;SDATE=200903&amp;PERIODTYPE=QTR_STD&amp;window=popup_no_bar&amp;width=385&amp;height=120&amp;START_MAXIMIZED=FALSE&amp;creator=factset&amp;display_string=Audit"}</definedName>
    <definedName name="_2196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2197__FDSAUDITLINK__" localSheetId="15" hidden="1">{"fdsup://Directions/FactSet Auditing Viewer?action=AUDIT_VALUE&amp;DB=129&amp;ID1=00786510&amp;VALUEID=02101&amp;SDATE=200903&amp;PERIODTYPE=QTR_STD&amp;window=popup_no_bar&amp;width=385&amp;height=120&amp;START_MAXIMIZED=FALSE&amp;creator=factset&amp;display_string=Audit"}</definedName>
    <definedName name="_2197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2198__FDSAUDITLINK__" localSheetId="15" hidden="1">{"fdsup://Directions/FactSet Auditing Viewer?action=AUDIT_VALUE&amp;DB=129&amp;ID1=00786510&amp;VALUEID=01001&amp;SDATE=200903&amp;PERIODTYPE=QTR_STD&amp;window=popup_no_bar&amp;width=385&amp;height=120&amp;START_MAXIMIZED=FALSE&amp;creator=factset&amp;display_string=Audit"}</definedName>
    <definedName name="_2198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2199__FDSAUDITLINK__" localSheetId="15" hidden="1">{"fdsup://Directions/FactSet Auditing Viewer?action=AUDIT_VALUE&amp;DB=129&amp;ID1=00786510&amp;VALUEID=13040&amp;SDATE=200903&amp;PERIODTYPE=QTR_STD&amp;window=popup_no_bar&amp;width=385&amp;height=120&amp;START_MAXIMIZED=FALSE&amp;creator=factset&amp;display_string=Audit"}</definedName>
    <definedName name="_2199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22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2__FDSAUDITLINK__" hidden="1">{"fdsup://Directions/FactSet Auditing Viewer?action=AUDIT_VALUE&amp;DB=129&amp;ID1=86923310&amp;VALUEID=04601&amp;SDATE=2006&amp;PERIODTYPE=ANN_STD&amp;window=popup_no_bar&amp;width=385&amp;height=120&amp;START_MAXIMIZED=FALSE&amp;creator=factset&amp;display_string=Audit"}</definedName>
    <definedName name="_22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20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200__FDSAUDITLINK__" localSheetId="15" hidden="1">{"fdsup://Directions/FactSet Auditing Viewer?action=AUDIT_VALUE&amp;DB=129&amp;ID1=00289620&amp;VALUEID=02101&amp;SDATE=200903&amp;PERIODTYPE=QTR_STD&amp;window=popup_no_bar&amp;width=385&amp;height=120&amp;START_MAXIMIZED=FALSE&amp;creator=factset&amp;display_string=Audit"}</definedName>
    <definedName name="_2200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2201__FDSAUDITLINK__" localSheetId="15" hidden="1">{"fdsup://Directions/FactSet Auditing Viewer?action=AUDIT_VALUE&amp;DB=129&amp;ID1=00289620&amp;VALUEID=01001&amp;SDATE=200903&amp;PERIODTYPE=QTR_STD&amp;window=popup_no_bar&amp;width=385&amp;height=120&amp;START_MAXIMIZED=FALSE&amp;creator=factset&amp;display_string=Audit"}</definedName>
    <definedName name="_2201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2202__FDSAUDITLINK__" localSheetId="15" hidden="1">{"fdsup://Directions/FactSet Auditing Viewer?action=AUDIT_VALUE&amp;DB=129&amp;ID1=00289620&amp;VALUEID=13040&amp;SDATE=200903&amp;PERIODTYPE=QTR_STD&amp;window=popup_no_bar&amp;width=385&amp;height=120&amp;START_MAXIMIZED=FALSE&amp;creator=factset&amp;display_string=Audit"}</definedName>
    <definedName name="_2202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2203__FDSAUDITLINK__" localSheetId="15" hidden="1">{"fdsup://Directions/FactSet Auditing Viewer?action=AUDIT_VALUE&amp;DB=129&amp;ID1=87416110&amp;VALUEID=02101&amp;SDATE=200902&amp;PERIODTYPE=QTR_STD&amp;window=popup_no_bar&amp;width=385&amp;height=120&amp;START_MAXIMIZED=FALSE&amp;creator=factset&amp;display_string=Audit"}</definedName>
    <definedName name="_2203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2204__FDSAUDITLINK__" localSheetId="15" hidden="1">{"fdsup://Directions/FactSet Auditing Viewer?action=AUDIT_VALUE&amp;DB=129&amp;ID1=87416110&amp;VALUEID=01001&amp;SDATE=200902&amp;PERIODTYPE=QTR_STD&amp;window=popup_no_bar&amp;width=385&amp;height=120&amp;START_MAXIMIZED=FALSE&amp;creator=factset&amp;display_string=Audit"}</definedName>
    <definedName name="_2204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2205__FDSAUDITLINK__" localSheetId="15" hidden="1">{"fdsup://Directions/FactSet Auditing Viewer?action=AUDIT_VALUE&amp;DB=129&amp;ID1=53271610&amp;VALUEID=02101&amp;SDATE=200902&amp;PERIODTYPE=QTR_STD&amp;window=popup_no_bar&amp;width=385&amp;height=120&amp;START_MAXIMIZED=FALSE&amp;creator=factset&amp;display_string=Audit"}</definedName>
    <definedName name="_220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2206__FDSAUDITLINK__" localSheetId="15" hidden="1">{"fdsup://Directions/FactSet Auditing Viewer?action=AUDIT_VALUE&amp;DB=129&amp;ID1=53271610&amp;VALUEID=01001&amp;SDATE=200902&amp;PERIODTYPE=QTR_STD&amp;window=popup_no_bar&amp;width=385&amp;height=120&amp;START_MAXIMIZED=FALSE&amp;creator=factset&amp;display_string=Audit"}</definedName>
    <definedName name="_2206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2207__FDSAUDITLINK__" localSheetId="15" hidden="1">{"fdsup://Directions/FactSet Auditing Viewer?action=AUDIT_VALUE&amp;DB=129&amp;ID1=53271610&amp;VALUEID=13040&amp;SDATE=200902&amp;PERIODTYPE=QTR_STD&amp;window=popup_no_bar&amp;width=385&amp;height=120&amp;START_MAXIMIZED=FALSE&amp;creator=factset&amp;display_string=Audit"}</definedName>
    <definedName name="_2207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2208__FDSAUDITLINK__" localSheetId="15" hidden="1">{"fdsup://Directions/FactSet Auditing Viewer?action=AUDIT_VALUE&amp;DB=129&amp;ID1=46612H40&amp;VALUEID=02101&amp;SDATE=200902&amp;PERIODTYPE=QTR_STD&amp;window=popup_no_bar&amp;width=385&amp;height=120&amp;START_MAXIMIZED=FALSE&amp;creator=factset&amp;display_string=Audit"}</definedName>
    <definedName name="_2208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2209__FDSAUDITLINK__" localSheetId="15" hidden="1">{"fdsup://Directions/FactSet Auditing Viewer?action=AUDIT_VALUE&amp;DB=129&amp;ID1=46612H40&amp;VALUEID=01001&amp;SDATE=200902&amp;PERIODTYPE=QTR_STD&amp;window=popup_no_bar&amp;width=385&amp;height=120&amp;START_MAXIMIZED=FALSE&amp;creator=factset&amp;display_string=Audit"}</definedName>
    <definedName name="_2209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22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21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210__FDSAUDITLINK__" localSheetId="15" hidden="1">{"fdsup://Directions/FactSet Auditing Viewer?action=AUDIT_VALUE&amp;DB=129&amp;ID1=46612H40&amp;VALUEID=13040&amp;SDATE=200902&amp;PERIODTYPE=QTR_STD&amp;window=popup_no_bar&amp;width=385&amp;height=120&amp;START_MAXIMIZED=FALSE&amp;creator=factset&amp;display_string=Audit"}</definedName>
    <definedName name="_2210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2211__FDSAUDITLINK__" localSheetId="15" hidden="1">{"fdsup://Directions/FactSet Auditing Viewer?action=AUDIT_VALUE&amp;DB=129&amp;ID1=36476010&amp;VALUEID=02101&amp;SDATE=200902&amp;PERIODTYPE=QTR_STD&amp;window=popup_no_bar&amp;width=385&amp;height=120&amp;START_MAXIMIZED=FALSE&amp;creator=factset&amp;display_string=Audit"}</definedName>
    <definedName name="_2211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2212__FDSAUDITLINK__" localSheetId="15" hidden="1">{"fdsup://Directions/FactSet Auditing Viewer?action=AUDIT_VALUE&amp;DB=129&amp;ID1=36476010&amp;VALUEID=01001&amp;SDATE=200902&amp;PERIODTYPE=QTR_STD&amp;window=popup_no_bar&amp;width=385&amp;height=120&amp;START_MAXIMIZED=FALSE&amp;creator=factset&amp;display_string=Audit"}</definedName>
    <definedName name="_2212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2213__FDSAUDITLINK__" localSheetId="15" hidden="1">{"fdsup://Directions/FactSet Auditing Viewer?action=AUDIT_VALUE&amp;DB=129&amp;ID1=36476010&amp;VALUEID=13040&amp;SDATE=200902&amp;PERIODTYPE=QTR_STD&amp;window=popup_no_bar&amp;width=385&amp;height=120&amp;START_MAXIMIZED=FALSE&amp;creator=factset&amp;display_string=Audit"}</definedName>
    <definedName name="_2213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2214__FDSAUDITLINK__" localSheetId="15" hidden="1">{"fdsup://Directions/FactSet Auditing Viewer?action=AUDIT_VALUE&amp;DB=129&amp;ID1=03611510&amp;VALUEID=02101&amp;SDATE=200902&amp;PERIODTYPE=QTR_STD&amp;window=popup_no_bar&amp;width=385&amp;height=120&amp;START_MAXIMIZED=FALSE&amp;creator=factset&amp;display_string=Audit"}</definedName>
    <definedName name="_2214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215__FDSAUDITLINK__" localSheetId="15" hidden="1">{"fdsup://Directions/FactSet Auditing Viewer?action=AUDIT_VALUE&amp;DB=129&amp;ID1=03611510&amp;VALUEID=01001&amp;SDATE=200902&amp;PERIODTYPE=QTR_STD&amp;window=popup_no_bar&amp;width=385&amp;height=120&amp;START_MAXIMIZED=FALSE&amp;creator=factset&amp;display_string=Audit"}</definedName>
    <definedName name="_2215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216__FDSAUDITLINK__" localSheetId="15" hidden="1">{"fdsup://Directions/FactSet Auditing Viewer?action=AUDIT_VALUE&amp;DB=129&amp;ID1=03611510&amp;VALUEID=13040&amp;SDATE=200902&amp;PERIODTYPE=QTR_STD&amp;window=popup_no_bar&amp;width=385&amp;height=120&amp;START_MAXIMIZED=FALSE&amp;creator=factset&amp;display_string=Audit"}</definedName>
    <definedName name="_2216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217__FDSAUDITLINK__" localSheetId="15" hidden="1">{"fdsup://Directions/FactSet Auditing Viewer?action=AUDIT_VALUE&amp;DB=129&amp;ID1=16890510&amp;VALUEID=02101&amp;SDATE=200902&amp;PERIODTYPE=QTR_STD&amp;window=popup_no_bar&amp;width=385&amp;height=120&amp;START_MAXIMIZED=FALSE&amp;creator=factset&amp;display_string=Audit"}</definedName>
    <definedName name="_2217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2218__FDSAUDITLINK__" localSheetId="15" hidden="1">{"fdsup://Directions/FactSet Auditing Viewer?action=AUDIT_VALUE&amp;DB=129&amp;ID1=16890510&amp;VALUEID=01001&amp;SDATE=200902&amp;PERIODTYPE=QTR_STD&amp;window=popup_no_bar&amp;width=385&amp;height=120&amp;START_MAXIMIZED=FALSE&amp;creator=factset&amp;display_string=Audit"}</definedName>
    <definedName name="_2218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2219__FDSAUDITLINK__" localSheetId="15" hidden="1">{"fdsup://Directions/FactSet Auditing Viewer?action=AUDIT_VALUE&amp;DB=129&amp;ID1=91704710&amp;VALUEID=02101&amp;SDATE=200902&amp;PERIODTYPE=QTR_STD&amp;window=popup_no_bar&amp;width=385&amp;height=120&amp;START_MAXIMIZED=FALSE&amp;creator=factset&amp;display_string=Audit"}</definedName>
    <definedName name="_2219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22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22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220__FDSAUDITLINK__" localSheetId="15" hidden="1">{"fdsup://Directions/FactSet Auditing Viewer?action=AUDIT_VALUE&amp;DB=129&amp;ID1=91704710&amp;VALUEID=01001&amp;SDATE=200902&amp;PERIODTYPE=QTR_STD&amp;window=popup_no_bar&amp;width=385&amp;height=120&amp;START_MAXIMIZED=FALSE&amp;creator=factset&amp;display_string=Audit"}</definedName>
    <definedName name="_2220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2221__FDSAUDITLINK__" localSheetId="15" hidden="1">{"fdsup://Directions/FactSet Auditing Viewer?action=AUDIT_VALUE&amp;DB=129&amp;ID1=02553E10&amp;VALUEID=02101&amp;SDATE=200902&amp;PERIODTYPE=QTR_STD&amp;window=popup_no_bar&amp;width=385&amp;height=120&amp;START_MAXIMIZED=FALSE&amp;creator=factset&amp;display_string=Audit"}</definedName>
    <definedName name="_2221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2222__FDSAUDITLINK__" localSheetId="15" hidden="1">{"fdsup://Directions/FactSet Auditing Viewer?action=AUDIT_VALUE&amp;DB=129&amp;ID1=02553E10&amp;VALUEID=01001&amp;SDATE=200902&amp;PERIODTYPE=QTR_STD&amp;window=popup_no_bar&amp;width=385&amp;height=120&amp;START_MAXIMIZED=FALSE&amp;creator=factset&amp;display_string=Audit"}</definedName>
    <definedName name="_2222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2223__FDSAUDITLINK__" localSheetId="15" hidden="1">{"fdsup://Directions/FactSet Auditing Viewer?action=AUDIT_VALUE&amp;DB=129&amp;ID1=02553E10&amp;VALUEID=13040&amp;SDATE=200902&amp;PERIODTYPE=QTR_STD&amp;window=popup_no_bar&amp;width=385&amp;height=120&amp;START_MAXIMIZED=FALSE&amp;creator=factset&amp;display_string=Audit"}</definedName>
    <definedName name="_2223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2224__FDSAUDITLINK__" localSheetId="15" hidden="1">{"fdsup://Directions/FactSet Auditing Viewer?action=AUDIT_VALUE&amp;DB=129&amp;ID1=00786510&amp;VALUEID=02101&amp;SDATE=200902&amp;PERIODTYPE=QTR_STD&amp;window=popup_no_bar&amp;width=385&amp;height=120&amp;START_MAXIMIZED=FALSE&amp;creator=factset&amp;display_string=Audit"}</definedName>
    <definedName name="_2224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2225__FDSAUDITLINK__" localSheetId="15" hidden="1">{"fdsup://Directions/FactSet Auditing Viewer?action=AUDIT_VALUE&amp;DB=129&amp;ID1=00786510&amp;VALUEID=01001&amp;SDATE=200902&amp;PERIODTYPE=QTR_STD&amp;window=popup_no_bar&amp;width=385&amp;height=120&amp;START_MAXIMIZED=FALSE&amp;creator=factset&amp;display_string=Audit"}</definedName>
    <definedName name="_2225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2226__FDSAUDITLINK__" localSheetId="15" hidden="1">{"fdsup://Directions/FactSet Auditing Viewer?action=AUDIT_VALUE&amp;DB=129&amp;ID1=00786510&amp;VALUEID=13040&amp;SDATE=200902&amp;PERIODTYPE=QTR_STD&amp;window=popup_no_bar&amp;width=385&amp;height=120&amp;START_MAXIMIZED=FALSE&amp;creator=factset&amp;display_string=Audit"}</definedName>
    <definedName name="_2226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2227__FDSAUDITLINK__" localSheetId="15" hidden="1">{"fdsup://Directions/FactSet Auditing Viewer?action=AUDIT_VALUE&amp;DB=129&amp;ID1=00289620&amp;VALUEID=02101&amp;SDATE=200902&amp;PERIODTYPE=QTR_STD&amp;window=popup_no_bar&amp;width=385&amp;height=120&amp;START_MAXIMIZED=FALSE&amp;creator=factset&amp;display_string=Audit"}</definedName>
    <definedName name="_2227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2228__FDSAUDITLINK__" localSheetId="15" hidden="1">{"fdsup://Directions/FactSet Auditing Viewer?action=AUDIT_VALUE&amp;DB=129&amp;ID1=00289620&amp;VALUEID=01001&amp;SDATE=200902&amp;PERIODTYPE=QTR_STD&amp;window=popup_no_bar&amp;width=385&amp;height=120&amp;START_MAXIMIZED=FALSE&amp;creator=factset&amp;display_string=Audit"}</definedName>
    <definedName name="_2228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2229__FDSAUDITLINK__" localSheetId="15" hidden="1">{"fdsup://Directions/FactSet Auditing Viewer?action=AUDIT_VALUE&amp;DB=129&amp;ID1=00289620&amp;VALUEID=13040&amp;SDATE=200902&amp;PERIODTYPE=QTR_STD&amp;window=popup_no_bar&amp;width=385&amp;height=120&amp;START_MAXIMIZED=FALSE&amp;creator=factset&amp;display_string=Audit"}</definedName>
    <definedName name="_2229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22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23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230__FDSAUDITLINK__" localSheetId="15" hidden="1">{"fdsup://Directions/FactSet Auditing Viewer?action=AUDIT_VALUE&amp;DB=129&amp;ID1=87416110&amp;VALUEID=02101&amp;SDATE=200901&amp;PERIODTYPE=QTR_STD&amp;window=popup_no_bar&amp;width=385&amp;height=120&amp;START_MAXIMIZED=FALSE&amp;creator=factset&amp;display_string=Audit"}</definedName>
    <definedName name="_2230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2231__FDSAUDITLINK__" localSheetId="15" hidden="1">{"fdsup://Directions/FactSet Auditing Viewer?action=AUDIT_VALUE&amp;DB=129&amp;ID1=87416110&amp;VALUEID=01001&amp;SDATE=200901&amp;PERIODTYPE=QTR_STD&amp;window=popup_no_bar&amp;width=385&amp;height=120&amp;START_MAXIMIZED=FALSE&amp;creator=factset&amp;display_string=Audit"}</definedName>
    <definedName name="_2231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2232__FDSAUDITLINK__" localSheetId="15" hidden="1">{"fdsup://Directions/FactSet Auditing Viewer?action=AUDIT_VALUE&amp;DB=129&amp;ID1=87416110&amp;VALUEID=13040&amp;SDATE=200901&amp;PERIODTYPE=QTR_STD&amp;window=popup_no_bar&amp;width=385&amp;height=120&amp;START_MAXIMIZED=FALSE&amp;creator=factset&amp;display_string=Audit"}</definedName>
    <definedName name="_2232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2233__FDSAUDITLINK__" localSheetId="15"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2233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2234__FDSAUDITLINK__" localSheetId="15" hidden="1">{"fdsup://Directions/FactSet Auditing Viewer?action=AUDIT_VALUE&amp;DB=129&amp;ID1=53271610&amp;VALUEID=13040&amp;SDATE=200901&amp;PERIODTYPE=QTR_STD&amp;window=popup_no_bar&amp;width=385&amp;height=120&amp;START_MAXIMIZED=FALSE&amp;creator=factset&amp;display_string=Audit"}</definedName>
    <definedName name="_2234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2235__FDSAUDITLINK__" localSheetId="15" hidden="1">{"fdsup://Directions/FactSet Auditing Viewer?action=AUDIT_VALUE&amp;DB=129&amp;ID1=46612H40&amp;VALUEID=02101&amp;SDATE=200901&amp;PERIODTYPE=QTR_STD&amp;window=popup_no_bar&amp;width=385&amp;height=120&amp;START_MAXIMIZED=FALSE&amp;creator=factset&amp;display_string=Audit"}</definedName>
    <definedName name="_2235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2236__FDSAUDITLINK__" localSheetId="15" hidden="1">{"fdsup://Directions/FactSet Auditing Viewer?action=AUDIT_VALUE&amp;DB=129&amp;ID1=46612H40&amp;VALUEID=01001&amp;SDATE=200901&amp;PERIODTYPE=QTR_STD&amp;window=popup_no_bar&amp;width=385&amp;height=120&amp;START_MAXIMIZED=FALSE&amp;creator=factset&amp;display_string=Audit"}</definedName>
    <definedName name="_2236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2237__FDSAUDITLINK__" localSheetId="15" hidden="1">{"fdsup://Directions/FactSet Auditing Viewer?action=AUDIT_VALUE&amp;DB=129&amp;ID1=46612H40&amp;VALUEID=13040&amp;SDATE=200901&amp;PERIODTYPE=QTR_STD&amp;window=popup_no_bar&amp;width=385&amp;height=120&amp;START_MAXIMIZED=FALSE&amp;creator=factset&amp;display_string=Audit"}</definedName>
    <definedName name="_2237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2238__FDSAUDITLINK__" localSheetId="15" hidden="1">{"fdsup://Directions/FactSet Auditing Viewer?action=AUDIT_VALUE&amp;DB=129&amp;ID1=03611510&amp;VALUEID=02101&amp;SDATE=200901&amp;PERIODTYPE=QTR_STD&amp;window=popup_no_bar&amp;width=385&amp;height=120&amp;START_MAXIMIZED=FALSE&amp;creator=factset&amp;display_string=Audit"}</definedName>
    <definedName name="_2238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239__FDSAUDITLINK__" localSheetId="15" hidden="1">{"fdsup://Directions/FactSet Auditing Viewer?action=AUDIT_VALUE&amp;DB=129&amp;ID1=03611510&amp;VALUEID=01001&amp;SDATE=200901&amp;PERIODTYPE=QTR_STD&amp;window=popup_no_bar&amp;width=385&amp;height=120&amp;START_MAXIMIZED=FALSE&amp;creator=factset&amp;display_string=Audit"}</definedName>
    <definedName name="_2239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2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24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240__FDSAUDITLINK__" localSheetId="15" hidden="1">{"fdsup://Directions/FactSet Auditing Viewer?action=AUDIT_VALUE&amp;DB=129&amp;ID1=16890510&amp;VALUEID=02101&amp;SDATE=200901&amp;PERIODTYPE=QTR_STD&amp;window=popup_no_bar&amp;width=385&amp;height=120&amp;START_MAXIMIZED=FALSE&amp;creator=factset&amp;display_string=Audit"}</definedName>
    <definedName name="_2240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2241__FDSAUDITLINK__" localSheetId="15" hidden="1">{"fdsup://Directions/FactSet Auditing Viewer?action=AUDIT_VALUE&amp;DB=129&amp;ID1=16890510&amp;VALUEID=01001&amp;SDATE=200901&amp;PERIODTYPE=QTR_STD&amp;window=popup_no_bar&amp;width=385&amp;height=120&amp;START_MAXIMIZED=FALSE&amp;creator=factset&amp;display_string=Audit"}</definedName>
    <definedName name="_2241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2242__FDSAUDITLINK__" localSheetId="15" hidden="1">{"fdsup://Directions/FactSet Auditing Viewer?action=AUDIT_VALUE&amp;DB=129&amp;ID1=00786510&amp;VALUEID=02101&amp;SDATE=200901&amp;PERIODTYPE=QTR_STD&amp;window=popup_no_bar&amp;width=385&amp;height=120&amp;START_MAXIMIZED=FALSE&amp;creator=factset&amp;display_string=Audit"}</definedName>
    <definedName name="_2242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2243__FDSAUDITLINK__" localSheetId="15" hidden="1">{"fdsup://Directions/FactSet Auditing Viewer?action=AUDIT_VALUE&amp;DB=129&amp;ID1=00786510&amp;VALUEID=01001&amp;SDATE=200901&amp;PERIODTYPE=QTR_STD&amp;window=popup_no_bar&amp;width=385&amp;height=120&amp;START_MAXIMIZED=FALSE&amp;creator=factset&amp;display_string=Audit"}</definedName>
    <definedName name="_2243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2244__FDSAUDITLINK__" localSheetId="15" hidden="1">{"fdsup://Directions/FactSet Auditing Viewer?action=AUDIT_VALUE&amp;DB=129&amp;ID1=00786510&amp;VALUEID=13040&amp;SDATE=200901&amp;PERIODTYPE=QTR_STD&amp;window=popup_no_bar&amp;width=385&amp;height=120&amp;START_MAXIMIZED=FALSE&amp;creator=factset&amp;display_string=Audit"}</definedName>
    <definedName name="_2244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2245__FDSAUDITLINK__" localSheetId="15" hidden="1">{"fdsup://Directions/FactSet Auditing Viewer?action=AUDIT_VALUE&amp;DB=129&amp;ID1=00289620&amp;VALUEID=13040&amp;SDATE=200901&amp;PERIODTYPE=QTR_STD&amp;window=popup_no_bar&amp;width=385&amp;height=120&amp;START_MAXIMIZED=FALSE&amp;creator=factset&amp;display_string=Audit"}</definedName>
    <definedName name="_2245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2246__FDSAUDITLINK__" localSheetId="15" hidden="1">{"fdsup://Directions/FactSet Auditing Viewer?action=AUDIT_VALUE&amp;DB=129&amp;ID1=87416110&amp;VALUEID=01001&amp;SDATE=200804&amp;PERIODTYPE=QTR_STD&amp;window=popup_no_bar&amp;width=385&amp;height=120&amp;START_MAXIMIZED=FALSE&amp;creator=factset&amp;display_string=Audit"}</definedName>
    <definedName name="_2246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2247__FDSAUDITLINK__" localSheetId="15"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2247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2248__FDSAUDITLINK__" localSheetId="15" hidden="1">{"fdsup://Directions/FactSet Auditing Viewer?action=AUDIT_VALUE&amp;DB=129&amp;ID1=46612H40&amp;VALUEID=01001&amp;SDATE=200804&amp;PERIODTYPE=QTR_STD&amp;window=popup_no_bar&amp;width=385&amp;height=120&amp;START_MAXIMIZED=FALSE&amp;creator=factset&amp;display_string=Audit"}</definedName>
    <definedName name="_2248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2249__FDSAUDITLINK__" localSheetId="15" hidden="1">{"fdsup://Directions/FactSet Auditing Viewer?action=AUDIT_VALUE&amp;DB=129&amp;ID1=46612H40&amp;VALUEID=13040&amp;SDATE=200804&amp;PERIODTYPE=QTR_STD&amp;window=popup_no_bar&amp;width=385&amp;height=120&amp;START_MAXIMIZED=FALSE&amp;creator=factset&amp;display_string=Audit"}</definedName>
    <definedName name="_2249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22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25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250__FDSAUDITLINK__" localSheetId="15" hidden="1">{"fdsup://Directions/FactSet Auditing Viewer?action=AUDIT_VALUE&amp;DB=129&amp;ID1=36476010&amp;VALUEID=01001&amp;SDATE=200804&amp;PERIODTYPE=QTR_STD&amp;window=popup_no_bar&amp;width=385&amp;height=120&amp;START_MAXIMIZED=FALSE&amp;creator=factset&amp;display_string=Audit"}</definedName>
    <definedName name="_2250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2251__FDSAUDITLINK__" localSheetId="15" hidden="1">{"fdsup://Directions/FactSet Auditing Viewer?action=AUDIT_VALUE&amp;DB=129&amp;ID1=03611510&amp;VALUEID=01001&amp;SDATE=200804&amp;PERIODTYPE=QTR_STD&amp;window=popup_no_bar&amp;width=385&amp;height=120&amp;START_MAXIMIZED=FALSE&amp;creator=factset&amp;display_string=Audit"}</definedName>
    <definedName name="_2251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252__FDSAUDITLINK__" localSheetId="15" hidden="1">{"fdsup://Directions/FactSet Auditing Viewer?action=AUDIT_VALUE&amp;DB=129&amp;ID1=16890510&amp;VALUEID=01001&amp;SDATE=200804&amp;PERIODTYPE=QTR_STD&amp;window=popup_no_bar&amp;width=385&amp;height=120&amp;START_MAXIMIZED=FALSE&amp;creator=factset&amp;display_string=Audit"}</definedName>
    <definedName name="_2252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2253__FDSAUDITLINK__" localSheetId="15" hidden="1">{"fdsup://Directions/FactSet Auditing Viewer?action=AUDIT_VALUE&amp;DB=129&amp;ID1=00786510&amp;VALUEID=01001&amp;SDATE=200804&amp;PERIODTYPE=QTR_STD&amp;window=popup_no_bar&amp;width=385&amp;height=120&amp;START_MAXIMIZED=FALSE&amp;creator=factset&amp;display_string=Audit"}</definedName>
    <definedName name="_2253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2254__FDSAUDITLINK__" localSheetId="15" hidden="1">{"fdsup://Directions/FactSet Auditing Viewer?action=AUDIT_VALUE&amp;DB=129&amp;ID1=87416110&amp;VALUEID=02101&amp;SDATE=200803&amp;PERIODTYPE=QTR_STD&amp;window=popup_no_bar&amp;width=385&amp;height=120&amp;START_MAXIMIZED=FALSE&amp;creator=factset&amp;display_string=Audit"}</definedName>
    <definedName name="_2254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2255__FDSAUDITLINK__" localSheetId="15" hidden="1">{"fdsup://Directions/FactSet Auditing Viewer?action=AUDIT_VALUE&amp;DB=129&amp;ID1=87416110&amp;VALUEID=01001&amp;SDATE=200803&amp;PERIODTYPE=QTR_STD&amp;window=popup_no_bar&amp;width=385&amp;height=120&amp;START_MAXIMIZED=FALSE&amp;creator=factset&amp;display_string=Audit"}</definedName>
    <definedName name="_2255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2256__FDSAUDITLINK__" localSheetId="15" hidden="1">{"fdsup://Directions/FactSet Auditing Viewer?action=AUDIT_VALUE&amp;DB=129&amp;ID1=87416110&amp;VALUEID=13040&amp;SDATE=200803&amp;PERIODTYPE=QTR_STD&amp;window=popup_no_bar&amp;width=385&amp;height=120&amp;START_MAXIMIZED=FALSE&amp;creator=factset&amp;display_string=Audit"}</definedName>
    <definedName name="_2256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2257__FDSAUDITLINK__" localSheetId="15"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2257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2258__FDSAUDITLINK__" localSheetId="15" hidden="1">{"fdsup://Directions/FactSet Auditing Viewer?action=AUDIT_VALUE&amp;DB=129&amp;ID1=46612H40&amp;VALUEID=02101&amp;SDATE=200803&amp;PERIODTYPE=QTR_STD&amp;window=popup_no_bar&amp;width=385&amp;height=120&amp;START_MAXIMIZED=FALSE&amp;creator=factset&amp;display_string=Audit"}</definedName>
    <definedName name="_2258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2259__FDSAUDITLINK__" localSheetId="15" hidden="1">{"fdsup://Directions/FactSet Auditing Viewer?action=AUDIT_VALUE&amp;DB=129&amp;ID1=46612H40&amp;VALUEID=01001&amp;SDATE=200803&amp;PERIODTYPE=QTR_STD&amp;window=popup_no_bar&amp;width=385&amp;height=120&amp;START_MAXIMIZED=FALSE&amp;creator=factset&amp;display_string=Audit"}</definedName>
    <definedName name="_2259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22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26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260__FDSAUDITLINK__" localSheetId="15" hidden="1">{"fdsup://Directions/FactSet Auditing Viewer?action=AUDIT_VALUE&amp;DB=129&amp;ID1=46612H40&amp;VALUEID=13040&amp;SDATE=200803&amp;PERIODTYPE=QTR_STD&amp;window=popup_no_bar&amp;width=385&amp;height=120&amp;START_MAXIMIZED=FALSE&amp;creator=factset&amp;display_string=Audit"}</definedName>
    <definedName name="_2260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2261__FDSAUDITLINK__" localSheetId="15" hidden="1">{"fdsup://Directions/FactSet Auditing Viewer?action=AUDIT_VALUE&amp;DB=129&amp;ID1=36476010&amp;VALUEID=02101&amp;SDATE=200803&amp;PERIODTYPE=QTR_STD&amp;window=popup_no_bar&amp;width=385&amp;height=120&amp;START_MAXIMIZED=FALSE&amp;creator=factset&amp;display_string=Audit"}</definedName>
    <definedName name="_2261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2262__FDSAUDITLINK__" localSheetId="15" hidden="1">{"fdsup://Directions/FactSet Auditing Viewer?action=AUDIT_VALUE&amp;DB=129&amp;ID1=36476010&amp;VALUEID=01001&amp;SDATE=200803&amp;PERIODTYPE=QTR_STD&amp;window=popup_no_bar&amp;width=385&amp;height=120&amp;START_MAXIMIZED=FALSE&amp;creator=factset&amp;display_string=Audit"}</definedName>
    <definedName name="_2262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2263__FDSAUDITLINK__" localSheetId="15" hidden="1">{"fdsup://Directions/FactSet Auditing Viewer?action=AUDIT_VALUE&amp;DB=129&amp;ID1=36476010&amp;VALUEID=13040&amp;SDATE=200803&amp;PERIODTYPE=QTR_STD&amp;window=popup_no_bar&amp;width=385&amp;height=120&amp;START_MAXIMIZED=FALSE&amp;creator=factset&amp;display_string=Audit"}</definedName>
    <definedName name="_2263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2264__FDSAUDITLINK__" localSheetId="15" hidden="1">{"fdsup://Directions/FactSet Auditing Viewer?action=AUDIT_VALUE&amp;DB=129&amp;ID1=03611510&amp;VALUEID=02101&amp;SDATE=200803&amp;PERIODTYPE=QTR_STD&amp;window=popup_no_bar&amp;width=385&amp;height=120&amp;START_MAXIMIZED=FALSE&amp;creator=factset&amp;display_string=Audit"}</definedName>
    <definedName name="_2264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265__FDSAUDITLINK__" localSheetId="15" hidden="1">{"fdsup://Directions/FactSet Auditing Viewer?action=AUDIT_VALUE&amp;DB=129&amp;ID1=03611510&amp;VALUEID=01001&amp;SDATE=200803&amp;PERIODTYPE=QTR_STD&amp;window=popup_no_bar&amp;width=385&amp;height=120&amp;START_MAXIMIZED=FALSE&amp;creator=factset&amp;display_string=Audit"}</definedName>
    <definedName name="_2265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266__FDSAUDITLINK__" localSheetId="15" hidden="1">{"fdsup://Directions/FactSet Auditing Viewer?action=AUDIT_VALUE&amp;DB=129&amp;ID1=16890510&amp;VALUEID=02101&amp;SDATE=200803&amp;PERIODTYPE=QTR_STD&amp;window=popup_no_bar&amp;width=385&amp;height=120&amp;START_MAXIMIZED=FALSE&amp;creator=factset&amp;display_string=Audit"}</definedName>
    <definedName name="_2266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2267__FDSAUDITLINK__" localSheetId="15" hidden="1">{"fdsup://Directions/FactSet Auditing Viewer?action=AUDIT_VALUE&amp;DB=129&amp;ID1=16890510&amp;VALUEID=01001&amp;SDATE=200803&amp;PERIODTYPE=QTR_STD&amp;window=popup_no_bar&amp;width=385&amp;height=120&amp;START_MAXIMIZED=FALSE&amp;creator=factset&amp;display_string=Audit"}</definedName>
    <definedName name="_2267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2268__FDSAUDITLINK__" localSheetId="15" hidden="1">{"fdsup://Directions/FactSet Auditing Viewer?action=AUDIT_VALUE&amp;DB=129&amp;ID1=91704710&amp;VALUEID=02101&amp;SDATE=200803&amp;PERIODTYPE=QTR_STD&amp;window=popup_no_bar&amp;width=385&amp;height=120&amp;START_MAXIMIZED=FALSE&amp;creator=factset&amp;display_string=Audit"}</definedName>
    <definedName name="_2268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2269__FDSAUDITLINK__" localSheetId="15" hidden="1">{"fdsup://Directions/FactSet Auditing Viewer?action=AUDIT_VALUE&amp;DB=129&amp;ID1=91704710&amp;VALUEID=01001&amp;SDATE=200803&amp;PERIODTYPE=QTR_STD&amp;window=popup_no_bar&amp;width=385&amp;height=120&amp;START_MAXIMIZED=FALSE&amp;creator=factset&amp;display_string=Audit"}</definedName>
    <definedName name="_2269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22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27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270__FDSAUDITLINK__" localSheetId="15" hidden="1">{"fdsup://Directions/FactSet Auditing Viewer?action=AUDIT_VALUE&amp;DB=129&amp;ID1=91704710&amp;VALUEID=13040&amp;SDATE=200803&amp;PERIODTYPE=QTR_STD&amp;window=popup_no_bar&amp;width=385&amp;height=120&amp;START_MAXIMIZED=FALSE&amp;creator=factset&amp;display_string=Audit"}</definedName>
    <definedName name="_2270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2271__FDSAUDITLINK__" localSheetId="15" hidden="1">{"fdsup://Directions/FactSet Auditing Viewer?action=AUDIT_VALUE&amp;DB=129&amp;ID1=02553E10&amp;VALUEID=02101&amp;SDATE=200803&amp;PERIODTYPE=QTR_STD&amp;window=popup_no_bar&amp;width=385&amp;height=120&amp;START_MAXIMIZED=FALSE&amp;creator=factset&amp;display_string=Audit"}</definedName>
    <definedName name="_2271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2272__FDSAUDITLINK__" localSheetId="15" hidden="1">{"fdsup://Directions/FactSet Auditing Viewer?action=AUDIT_VALUE&amp;DB=129&amp;ID1=02553E10&amp;VALUEID=01001&amp;SDATE=200803&amp;PERIODTYPE=QTR_STD&amp;window=popup_no_bar&amp;width=385&amp;height=120&amp;START_MAXIMIZED=FALSE&amp;creator=factset&amp;display_string=Audit"}</definedName>
    <definedName name="_2272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2273__FDSAUDITLINK__" localSheetId="15" hidden="1">{"fdsup://Directions/FactSet Auditing Viewer?action=AUDIT_VALUE&amp;DB=129&amp;ID1=02553E10&amp;VALUEID=13040&amp;SDATE=200803&amp;PERIODTYPE=QTR_STD&amp;window=popup_no_bar&amp;width=385&amp;height=120&amp;START_MAXIMIZED=FALSE&amp;creator=factset&amp;display_string=Audit"}</definedName>
    <definedName name="_2273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2274__FDSAUDITLINK__" localSheetId="15" hidden="1">{"fdsup://Directions/FactSet Auditing Viewer?action=AUDIT_VALUE&amp;DB=129&amp;ID1=00786510&amp;VALUEID=02101&amp;SDATE=200803&amp;PERIODTYPE=QTR_STD&amp;window=popup_no_bar&amp;width=385&amp;height=120&amp;START_MAXIMIZED=FALSE&amp;creator=factset&amp;display_string=Audit"}</definedName>
    <definedName name="_2274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2275__FDSAUDITLINK__" localSheetId="15" hidden="1">{"fdsup://Directions/FactSet Auditing Viewer?action=AUDIT_VALUE&amp;DB=129&amp;ID1=00786510&amp;VALUEID=01001&amp;SDATE=200803&amp;PERIODTYPE=QTR_STD&amp;window=popup_no_bar&amp;width=385&amp;height=120&amp;START_MAXIMIZED=FALSE&amp;creator=factset&amp;display_string=Audit"}</definedName>
    <definedName name="_2275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2276__FDSAUDITLINK__" localSheetId="15" hidden="1">{"fdsup://Directions/FactSet Auditing Viewer?action=AUDIT_VALUE&amp;DB=129&amp;ID1=00786510&amp;VALUEID=13040&amp;SDATE=200803&amp;PERIODTYPE=QTR_STD&amp;window=popup_no_bar&amp;width=385&amp;height=120&amp;START_MAXIMIZED=FALSE&amp;creator=factset&amp;display_string=Audit"}</definedName>
    <definedName name="_2276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2277__FDSAUDITLINK__" localSheetId="15" hidden="1">{"fdsup://Directions/FactSet Auditing Viewer?action=AUDIT_VALUE&amp;DB=129&amp;ID1=00289620&amp;VALUEID=02101&amp;SDATE=200803&amp;PERIODTYPE=QTR_STD&amp;window=popup_no_bar&amp;width=385&amp;height=120&amp;START_MAXIMIZED=FALSE&amp;creator=factset&amp;display_string=Audit"}</definedName>
    <definedName name="_2277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2278__FDSAUDITLINK__" localSheetId="15" hidden="1">{"fdsup://Directions/FactSet Auditing Viewer?action=AUDIT_VALUE&amp;DB=129&amp;ID1=00289620&amp;VALUEID=01001&amp;SDATE=200803&amp;PERIODTYPE=QTR_STD&amp;window=popup_no_bar&amp;width=385&amp;height=120&amp;START_MAXIMIZED=FALSE&amp;creator=factset&amp;display_string=Audit"}</definedName>
    <definedName name="_2278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2279__FDSAUDITLINK__" localSheetId="15" hidden="1">{"fdsup://Directions/FactSet Auditing Viewer?action=AUDIT_VALUE&amp;DB=129&amp;ID1=00289620&amp;VALUEID=13040&amp;SDATE=200803&amp;PERIODTYPE=QTR_STD&amp;window=popup_no_bar&amp;width=385&amp;height=120&amp;START_MAXIMIZED=FALSE&amp;creator=factset&amp;display_string=Audit"}</definedName>
    <definedName name="_2279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22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28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280__FDSAUDITLINK__" localSheetId="15" hidden="1">{"fdsup://Directions/FactSet Auditing Viewer?action=AUDIT_VALUE&amp;DB=129&amp;ID1=87416110&amp;VALUEID=02101&amp;SDATE=200802&amp;PERIODTYPE=QTR_STD&amp;window=popup_no_bar&amp;width=385&amp;height=120&amp;START_MAXIMIZED=FALSE&amp;creator=factset&amp;display_string=Audit"}</definedName>
    <definedName name="_2280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2281__FDSAUDITLINK__" localSheetId="15" hidden="1">{"fdsup://Directions/FactSet Auditing Viewer?action=AUDIT_VALUE&amp;DB=129&amp;ID1=87416110&amp;VALUEID=01001&amp;SDATE=200802&amp;PERIODTYPE=QTR_STD&amp;window=popup_no_bar&amp;width=385&amp;height=120&amp;START_MAXIMIZED=FALSE&amp;creator=factset&amp;display_string=Audit"}</definedName>
    <definedName name="_2281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2282__FDSAUDITLINK__" localSheetId="15" hidden="1">{"fdsup://Directions/FactSet Auditing Viewer?action=AUDIT_VALUE&amp;DB=129&amp;ID1=53271610&amp;VALUEID=02101&amp;SDATE=200802&amp;PERIODTYPE=QTR_STD&amp;window=popup_no_bar&amp;width=385&amp;height=120&amp;START_MAXIMIZED=FALSE&amp;creator=factset&amp;display_string=Audit"}</definedName>
    <definedName name="_2282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2283__FDSAUDITLINK__" localSheetId="15" hidden="1">{"fdsup://Directions/FactSet Auditing Viewer?action=AUDIT_VALUE&amp;DB=129&amp;ID1=53271610&amp;VALUEID=01001&amp;SDATE=200802&amp;PERIODTYPE=QTR_STD&amp;window=popup_no_bar&amp;width=385&amp;height=120&amp;START_MAXIMIZED=FALSE&amp;creator=factset&amp;display_string=Audit"}</definedName>
    <definedName name="_2283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2284__FDSAUDITLINK__" localSheetId="15" hidden="1">{"fdsup://Directions/FactSet Auditing Viewer?action=AUDIT_VALUE&amp;DB=129&amp;ID1=53271610&amp;VALUEID=13040&amp;SDATE=200802&amp;PERIODTYPE=QTR_STD&amp;window=popup_no_bar&amp;width=385&amp;height=120&amp;START_MAXIMIZED=FALSE&amp;creator=factset&amp;display_string=Audit"}</definedName>
    <definedName name="_2284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2285__FDSAUDITLINK__" localSheetId="15" hidden="1">{"fdsup://Directions/FactSet Auditing Viewer?action=AUDIT_VALUE&amp;DB=129&amp;ID1=46612H40&amp;VALUEID=02101&amp;SDATE=200802&amp;PERIODTYPE=QTR_STD&amp;window=popup_no_bar&amp;width=385&amp;height=120&amp;START_MAXIMIZED=FALSE&amp;creator=factset&amp;display_string=Audit"}</definedName>
    <definedName name="_2285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2286__FDSAUDITLINK__" localSheetId="15" hidden="1">{"fdsup://Directions/FactSet Auditing Viewer?action=AUDIT_VALUE&amp;DB=129&amp;ID1=46612H40&amp;VALUEID=01001&amp;SDATE=200802&amp;PERIODTYPE=QTR_STD&amp;window=popup_no_bar&amp;width=385&amp;height=120&amp;START_MAXIMIZED=FALSE&amp;creator=factset&amp;display_string=Audit"}</definedName>
    <definedName name="_2286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2287__FDSAUDITLINK__" localSheetId="15" hidden="1">{"fdsup://Directions/FactSet Auditing Viewer?action=AUDIT_VALUE&amp;DB=129&amp;ID1=46612H40&amp;VALUEID=13040&amp;SDATE=200802&amp;PERIODTYPE=QTR_STD&amp;window=popup_no_bar&amp;width=385&amp;height=120&amp;START_MAXIMIZED=FALSE&amp;creator=factset&amp;display_string=Audit"}</definedName>
    <definedName name="_2287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2288__FDSAUDITLINK__" localSheetId="15" hidden="1">{"fdsup://Directions/FactSet Auditing Viewer?action=AUDIT_VALUE&amp;DB=129&amp;ID1=36476010&amp;VALUEID=02101&amp;SDATE=200802&amp;PERIODTYPE=QTR_STD&amp;window=popup_no_bar&amp;width=385&amp;height=120&amp;START_MAXIMIZED=FALSE&amp;creator=factset&amp;display_string=Audit"}</definedName>
    <definedName name="_2288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2289__FDSAUDITLINK__" localSheetId="15" hidden="1">{"fdsup://Directions/FactSet Auditing Viewer?action=AUDIT_VALUE&amp;DB=129&amp;ID1=36476010&amp;VALUEID=01001&amp;SDATE=200802&amp;PERIODTYPE=QTR_STD&amp;window=popup_no_bar&amp;width=385&amp;height=120&amp;START_MAXIMIZED=FALSE&amp;creator=factset&amp;display_string=Audit"}</definedName>
    <definedName name="_2289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22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29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290__FDSAUDITLINK__" localSheetId="15" hidden="1">{"fdsup://Directions/FactSet Auditing Viewer?action=AUDIT_VALUE&amp;DB=129&amp;ID1=36476010&amp;VALUEID=13040&amp;SDATE=200802&amp;PERIODTYPE=QTR_STD&amp;window=popup_no_bar&amp;width=385&amp;height=120&amp;START_MAXIMIZED=FALSE&amp;creator=factset&amp;display_string=Audit"}</definedName>
    <definedName name="_2290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2291__FDSAUDITLINK__" localSheetId="15" hidden="1">{"fdsup://Directions/FactSet Auditing Viewer?action=AUDIT_VALUE&amp;DB=129&amp;ID1=03611510&amp;VALUEID=02101&amp;SDATE=200802&amp;PERIODTYPE=QTR_STD&amp;window=popup_no_bar&amp;width=385&amp;height=120&amp;START_MAXIMIZED=FALSE&amp;creator=factset&amp;display_string=Audit"}</definedName>
    <definedName name="_2291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292__FDSAUDITLINK__" localSheetId="15" hidden="1">{"fdsup://Directions/FactSet Auditing Viewer?action=AUDIT_VALUE&amp;DB=129&amp;ID1=03611510&amp;VALUEID=01001&amp;SDATE=200802&amp;PERIODTYPE=QTR_STD&amp;window=popup_no_bar&amp;width=385&amp;height=120&amp;START_MAXIMIZED=FALSE&amp;creator=factset&amp;display_string=Audit"}</definedName>
    <definedName name="_2292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293__FDSAUDITLINK__" localSheetId="15" hidden="1">{"fdsup://Directions/FactSet Auditing Viewer?action=AUDIT_VALUE&amp;DB=129&amp;ID1=16890510&amp;VALUEID=02101&amp;SDATE=200802&amp;PERIODTYPE=QTR_STD&amp;window=popup_no_bar&amp;width=385&amp;height=120&amp;START_MAXIMIZED=FALSE&amp;creator=factset&amp;display_string=Audit"}</definedName>
    <definedName name="_2293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2294__FDSAUDITLINK__" localSheetId="15" hidden="1">{"fdsup://Directions/FactSet Auditing Viewer?action=AUDIT_VALUE&amp;DB=129&amp;ID1=16890510&amp;VALUEID=01001&amp;SDATE=200802&amp;PERIODTYPE=QTR_STD&amp;window=popup_no_bar&amp;width=385&amp;height=120&amp;START_MAXIMIZED=FALSE&amp;creator=factset&amp;display_string=Audit"}</definedName>
    <definedName name="_2294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2295__FDSAUDITLINK__" localSheetId="15" hidden="1">{"fdsup://Directions/FactSet Auditing Viewer?action=AUDIT_VALUE&amp;DB=129&amp;ID1=91704710&amp;VALUEID=02101&amp;SDATE=200802&amp;PERIODTYPE=QTR_STD&amp;window=popup_no_bar&amp;width=385&amp;height=120&amp;START_MAXIMIZED=FALSE&amp;creator=factset&amp;display_string=Audit"}</definedName>
    <definedName name="_2295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2296__FDSAUDITLINK__" localSheetId="15" hidden="1">{"fdsup://Directions/FactSet Auditing Viewer?action=AUDIT_VALUE&amp;DB=129&amp;ID1=91704710&amp;VALUEID=01001&amp;SDATE=200802&amp;PERIODTYPE=QTR_STD&amp;window=popup_no_bar&amp;width=385&amp;height=120&amp;START_MAXIMIZED=FALSE&amp;creator=factset&amp;display_string=Audit"}</definedName>
    <definedName name="_2296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2297__FDSAUDITLINK__" localSheetId="15" hidden="1">{"fdsup://Directions/FactSet Auditing Viewer?action=AUDIT_VALUE&amp;DB=129&amp;ID1=91704710&amp;VALUEID=13040&amp;SDATE=200802&amp;PERIODTYPE=QTR_STD&amp;window=popup_no_bar&amp;width=385&amp;height=120&amp;START_MAXIMIZED=FALSE&amp;creator=factset&amp;display_string=Audit"}</definedName>
    <definedName name="_2297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2298__FDSAUDITLINK__" localSheetId="15" hidden="1">{"fdsup://Directions/FactSet Auditing Viewer?action=AUDIT_VALUE&amp;DB=129&amp;ID1=02553E10&amp;VALUEID=02101&amp;SDATE=200802&amp;PERIODTYPE=QTR_STD&amp;window=popup_no_bar&amp;width=385&amp;height=120&amp;START_MAXIMIZED=FALSE&amp;creator=factset&amp;display_string=Audit"}</definedName>
    <definedName name="_2298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2299__FDSAUDITLINK__" localSheetId="15" hidden="1">{"fdsup://Directions/FactSet Auditing Viewer?action=AUDIT_VALUE&amp;DB=129&amp;ID1=02553E10&amp;VALUEID=01001&amp;SDATE=200802&amp;PERIODTYPE=QTR_STD&amp;window=popup_no_bar&amp;width=385&amp;height=120&amp;START_MAXIMIZED=FALSE&amp;creator=factset&amp;display_string=Audit"}</definedName>
    <definedName name="_2299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23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3__FDSAUDITLINK__" hidden="1">{"fdsup://Directions/FactSet Auditing Viewer?action=AUDIT_VALUE&amp;DB=129&amp;ID1=86923310&amp;VALUEID=01001&amp;SDATE=2007&amp;PERIODTYPE=ANN_STD&amp;window=popup_no_bar&amp;width=385&amp;height=120&amp;START_MAXIMIZED=FALSE&amp;creator=factset&amp;display_string=Audit"}</definedName>
    <definedName name="_23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3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00__FDSAUDITLINK__" localSheetId="15" hidden="1">{"fdsup://Directions/FactSet Auditing Viewer?action=AUDIT_VALUE&amp;DB=129&amp;ID1=02553E10&amp;VALUEID=13040&amp;SDATE=200802&amp;PERIODTYPE=QTR_STD&amp;window=popup_no_bar&amp;width=385&amp;height=120&amp;START_MAXIMIZED=FALSE&amp;creator=factset&amp;display_string=Audit"}</definedName>
    <definedName name="_2300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2301__FDSAUDITLINK__" localSheetId="15" hidden="1">{"fdsup://Directions/FactSet Auditing Viewer?action=AUDIT_VALUE&amp;DB=129&amp;ID1=00786510&amp;VALUEID=02101&amp;SDATE=200802&amp;PERIODTYPE=QTR_STD&amp;window=popup_no_bar&amp;width=385&amp;height=120&amp;START_MAXIMIZED=FALSE&amp;creator=factset&amp;display_string=Audit"}</definedName>
    <definedName name="_2301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2302__FDSAUDITLINK__" localSheetId="15" hidden="1">{"fdsup://Directions/FactSet Auditing Viewer?action=AUDIT_VALUE&amp;DB=129&amp;ID1=00786510&amp;VALUEID=01001&amp;SDATE=200802&amp;PERIODTYPE=QTR_STD&amp;window=popup_no_bar&amp;width=385&amp;height=120&amp;START_MAXIMIZED=FALSE&amp;creator=factset&amp;display_string=Audit"}</definedName>
    <definedName name="_2302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2303__FDSAUDITLINK__" localSheetId="15" hidden="1">{"fdsup://Directions/FactSet Auditing Viewer?action=AUDIT_VALUE&amp;DB=129&amp;ID1=00786510&amp;VALUEID=13040&amp;SDATE=200802&amp;PERIODTYPE=QTR_STD&amp;window=popup_no_bar&amp;width=385&amp;height=120&amp;START_MAXIMIZED=FALSE&amp;creator=factset&amp;display_string=Audit"}</definedName>
    <definedName name="_2303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2304__FDSAUDITLINK__" localSheetId="15" hidden="1">{"fdsup://Directions/FactSet Auditing Viewer?action=AUDIT_VALUE&amp;DB=129&amp;ID1=00289620&amp;VALUEID=02101&amp;SDATE=200802&amp;PERIODTYPE=QTR_STD&amp;window=popup_no_bar&amp;width=385&amp;height=120&amp;START_MAXIMIZED=FALSE&amp;creator=factset&amp;display_string=Audit"}</definedName>
    <definedName name="_2304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2305__FDSAUDITLINK__" localSheetId="15" hidden="1">{"fdsup://Directions/FactSet Auditing Viewer?action=AUDIT_VALUE&amp;DB=129&amp;ID1=00289620&amp;VALUEID=01001&amp;SDATE=200802&amp;PERIODTYPE=QTR_STD&amp;window=popup_no_bar&amp;width=385&amp;height=120&amp;START_MAXIMIZED=FALSE&amp;creator=factset&amp;display_string=Audit"}</definedName>
    <definedName name="_2305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2306__FDSAUDITLINK__" localSheetId="15" hidden="1">{"fdsup://Directions/FactSet Auditing Viewer?action=AUDIT_VALUE&amp;DB=129&amp;ID1=00289620&amp;VALUEID=13040&amp;SDATE=200802&amp;PERIODTYPE=QTR_STD&amp;window=popup_no_bar&amp;width=385&amp;height=120&amp;START_MAXIMIZED=FALSE&amp;creator=factset&amp;display_string=Audit"}</definedName>
    <definedName name="_2306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2307__FDSAUDITLINK__" localSheetId="15" hidden="1">{"fdsup://Directions/FactSet Auditing Viewer?action=AUDIT_VALUE&amp;DB=129&amp;ID1=87416110&amp;VALUEID=02101&amp;SDATE=200801&amp;PERIODTYPE=QTR_STD&amp;window=popup_no_bar&amp;width=385&amp;height=120&amp;START_MAXIMIZED=FALSE&amp;creator=factset&amp;display_string=Audit"}</definedName>
    <definedName name="_2307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2308__FDSAUDITLINK__" localSheetId="15" hidden="1">{"fdsup://Directions/FactSet Auditing Viewer?action=AUDIT_VALUE&amp;DB=129&amp;ID1=87416110&amp;VALUEID=01001&amp;SDATE=200801&amp;PERIODTYPE=QTR_STD&amp;window=popup_no_bar&amp;width=385&amp;height=120&amp;START_MAXIMIZED=FALSE&amp;creator=factset&amp;display_string=Audit"}</definedName>
    <definedName name="_2308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2309__FDSAUDITLINK__" localSheetId="15" hidden="1">{"fdsup://Directions/FactSet Auditing Viewer?action=AUDIT_VALUE&amp;DB=129&amp;ID1=53271610&amp;VALUEID=02101&amp;SDATE=200801&amp;PERIODTYPE=QTR_STD&amp;window=popup_no_bar&amp;width=385&amp;height=120&amp;START_MAXIMIZED=FALSE&amp;creator=factset&amp;display_string=Audit"}</definedName>
    <definedName name="_2309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23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31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10__FDSAUDITLINK__" localSheetId="15" hidden="1">{"fdsup://Directions/FactSet Auditing Viewer?action=AUDIT_VALUE&amp;DB=129&amp;ID1=53271610&amp;VALUEID=01001&amp;SDATE=200801&amp;PERIODTYPE=QTR_STD&amp;window=popup_no_bar&amp;width=385&amp;height=120&amp;START_MAXIMIZED=FALSE&amp;creator=factset&amp;display_string=Audit"}</definedName>
    <definedName name="_2310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2311__FDSAUDITLINK__" localSheetId="15" hidden="1">{"fdsup://Directions/FactSet Auditing Viewer?action=AUDIT_VALUE&amp;DB=129&amp;ID1=53271610&amp;VALUEID=13040&amp;SDATE=200801&amp;PERIODTYPE=QTR_STD&amp;window=popup_no_bar&amp;width=385&amp;height=120&amp;START_MAXIMIZED=FALSE&amp;creator=factset&amp;display_string=Audit"}</definedName>
    <definedName name="_2311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2312__FDSAUDITLINK__" localSheetId="15" hidden="1">{"fdsup://Directions/FactSet Auditing Viewer?action=AUDIT_VALUE&amp;DB=129&amp;ID1=46612H40&amp;VALUEID=02101&amp;SDATE=200801&amp;PERIODTYPE=QTR_STD&amp;window=popup_no_bar&amp;width=385&amp;height=120&amp;START_MAXIMIZED=FALSE&amp;creator=factset&amp;display_string=Audit"}</definedName>
    <definedName name="_2312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2313__FDSAUDITLINK__" localSheetId="15" hidden="1">{"fdsup://Directions/FactSet Auditing Viewer?action=AUDIT_VALUE&amp;DB=129&amp;ID1=46612H40&amp;VALUEID=01001&amp;SDATE=200801&amp;PERIODTYPE=QTR_STD&amp;window=popup_no_bar&amp;width=385&amp;height=120&amp;START_MAXIMIZED=FALSE&amp;creator=factset&amp;display_string=Audit"}</definedName>
    <definedName name="_2313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2314__FDSAUDITLINK__" localSheetId="15" hidden="1">{"fdsup://Directions/FactSet Auditing Viewer?action=AUDIT_VALUE&amp;DB=129&amp;ID1=46612H40&amp;VALUEID=13040&amp;SDATE=200801&amp;PERIODTYPE=QTR_STD&amp;window=popup_no_bar&amp;width=385&amp;height=120&amp;START_MAXIMIZED=FALSE&amp;creator=factset&amp;display_string=Audit"}</definedName>
    <definedName name="_2314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2315__FDSAUDITLINK__" localSheetId="15" hidden="1">{"fdsup://Directions/FactSet Auditing Viewer?action=AUDIT_VALUE&amp;DB=129&amp;ID1=36476010&amp;VALUEID=02101&amp;SDATE=200801&amp;PERIODTYPE=QTR_STD&amp;window=popup_no_bar&amp;width=385&amp;height=120&amp;START_MAXIMIZED=FALSE&amp;creator=factset&amp;display_string=Audit"}</definedName>
    <definedName name="_2315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2316__FDSAUDITLINK__" localSheetId="15" hidden="1">{"fdsup://Directions/FactSet Auditing Viewer?action=AUDIT_VALUE&amp;DB=129&amp;ID1=36476010&amp;VALUEID=01001&amp;SDATE=200801&amp;PERIODTYPE=QTR_STD&amp;window=popup_no_bar&amp;width=385&amp;height=120&amp;START_MAXIMIZED=FALSE&amp;creator=factset&amp;display_string=Audit"}</definedName>
    <definedName name="_2316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2317__FDSAUDITLINK__" localSheetId="15" hidden="1">{"fdsup://Directions/FactSet Auditing Viewer?action=AUDIT_VALUE&amp;DB=129&amp;ID1=36476010&amp;VALUEID=13040&amp;SDATE=200801&amp;PERIODTYPE=QTR_STD&amp;window=popup_no_bar&amp;width=385&amp;height=120&amp;START_MAXIMIZED=FALSE&amp;creator=factset&amp;display_string=Audit"}</definedName>
    <definedName name="_2317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2318__FDSAUDITLINK__" localSheetId="15" hidden="1">{"fdsup://Directions/FactSet Auditing Viewer?action=AUDIT_VALUE&amp;DB=129&amp;ID1=03611510&amp;VALUEID=02101&amp;SDATE=200801&amp;PERIODTYPE=QTR_STD&amp;window=popup_no_bar&amp;width=385&amp;height=120&amp;START_MAXIMIZED=FALSE&amp;creator=factset&amp;display_string=Audit"}</definedName>
    <definedName name="_2318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319__FDSAUDITLINK__" localSheetId="15" hidden="1">{"fdsup://Directions/FactSet Auditing Viewer?action=AUDIT_VALUE&amp;DB=129&amp;ID1=03611510&amp;VALUEID=01001&amp;SDATE=200801&amp;PERIODTYPE=QTR_STD&amp;window=popup_no_bar&amp;width=385&amp;height=120&amp;START_MAXIMIZED=FALSE&amp;creator=factset&amp;display_string=Audit"}</definedName>
    <definedName name="_2319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3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32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20__FDSAUDITLINK__" localSheetId="15" hidden="1">{"fdsup://Directions/FactSet Auditing Viewer?action=AUDIT_VALUE&amp;DB=129&amp;ID1=03611510&amp;VALUEID=13040&amp;SDATE=200801&amp;PERIODTYPE=QTR_STD&amp;window=popup_no_bar&amp;width=385&amp;height=120&amp;START_MAXIMIZED=FALSE&amp;creator=factset&amp;display_string=Audit"}</definedName>
    <definedName name="_2320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321__FDSAUDITLINK__" localSheetId="15" hidden="1">{"fdsup://Directions/FactSet Auditing Viewer?action=AUDIT_VALUE&amp;DB=129&amp;ID1=16890510&amp;VALUEID=02101&amp;SDATE=200801&amp;PERIODTYPE=QTR_STD&amp;window=popup_no_bar&amp;width=385&amp;height=120&amp;START_MAXIMIZED=FALSE&amp;creator=factset&amp;display_string=Audit"}</definedName>
    <definedName name="_2321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2322__FDSAUDITLINK__" localSheetId="15" hidden="1">{"fdsup://Directions/FactSet Auditing Viewer?action=AUDIT_VALUE&amp;DB=129&amp;ID1=16890510&amp;VALUEID=01001&amp;SDATE=200801&amp;PERIODTYPE=QTR_STD&amp;window=popup_no_bar&amp;width=385&amp;height=120&amp;START_MAXIMIZED=FALSE&amp;creator=factset&amp;display_string=Audit"}</definedName>
    <definedName name="_23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2323__FDSAUDITLINK__" localSheetId="15" hidden="1">{"fdsup://Directions/FactSet Auditing Viewer?action=AUDIT_VALUE&amp;DB=129&amp;ID1=91704710&amp;VALUEID=02101&amp;SDATE=200801&amp;PERIODTYPE=QTR_STD&amp;window=popup_no_bar&amp;width=385&amp;height=120&amp;START_MAXIMIZED=FALSE&amp;creator=factset&amp;display_string=Audit"}</definedName>
    <definedName name="_2323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2324__FDSAUDITLINK__" localSheetId="15" hidden="1">{"fdsup://Directions/FactSet Auditing Viewer?action=AUDIT_VALUE&amp;DB=129&amp;ID1=91704710&amp;VALUEID=01001&amp;SDATE=200801&amp;PERIODTYPE=QTR_STD&amp;window=popup_no_bar&amp;width=385&amp;height=120&amp;START_MAXIMIZED=FALSE&amp;creator=factset&amp;display_string=Audit"}</definedName>
    <definedName name="_2324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2325__FDSAUDITLINK__" localSheetId="15" hidden="1">{"fdsup://Directions/FactSet Auditing Viewer?action=AUDIT_VALUE&amp;DB=129&amp;ID1=91704710&amp;VALUEID=13040&amp;SDATE=200801&amp;PERIODTYPE=QTR_STD&amp;window=popup_no_bar&amp;width=385&amp;height=120&amp;START_MAXIMIZED=FALSE&amp;creator=factset&amp;display_string=Audit"}</definedName>
    <definedName name="_2325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2326__FDSAUDITLINK__" localSheetId="15" hidden="1">{"fdsup://Directions/FactSet Auditing Viewer?action=AUDIT_VALUE&amp;DB=129&amp;ID1=02553E10&amp;VALUEID=02101&amp;SDATE=200801&amp;PERIODTYPE=QTR_STD&amp;window=popup_no_bar&amp;width=385&amp;height=120&amp;START_MAXIMIZED=FALSE&amp;creator=factset&amp;display_string=Audit"}</definedName>
    <definedName name="_2326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2327__FDSAUDITLINK__" localSheetId="15" hidden="1">{"fdsup://Directions/FactSet Auditing Viewer?action=AUDIT_VALUE&amp;DB=129&amp;ID1=02553E10&amp;VALUEID=01001&amp;SDATE=200801&amp;PERIODTYPE=QTR_STD&amp;window=popup_no_bar&amp;width=385&amp;height=120&amp;START_MAXIMIZED=FALSE&amp;creator=factset&amp;display_string=Audit"}</definedName>
    <definedName name="_2327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2328__FDSAUDITLINK__" localSheetId="15" hidden="1">{"fdsup://Directions/FactSet Auditing Viewer?action=AUDIT_VALUE&amp;DB=129&amp;ID1=02553E10&amp;VALUEID=13040&amp;SDATE=200801&amp;PERIODTYPE=QTR_STD&amp;window=popup_no_bar&amp;width=385&amp;height=120&amp;START_MAXIMIZED=FALSE&amp;creator=factset&amp;display_string=Audit"}</definedName>
    <definedName name="_2328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2329__FDSAUDITLINK__" localSheetId="15" hidden="1">{"fdsup://Directions/FactSet Auditing Viewer?action=AUDIT_VALUE&amp;DB=129&amp;ID1=00786510&amp;VALUEID=02101&amp;SDATE=200801&amp;PERIODTYPE=QTR_STD&amp;window=popup_no_bar&amp;width=385&amp;height=120&amp;START_MAXIMIZED=FALSE&amp;creator=factset&amp;display_string=Audit"}</definedName>
    <definedName name="_2329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23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33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30__FDSAUDITLINK__" localSheetId="15" hidden="1">{"fdsup://Directions/FactSet Auditing Viewer?action=AUDIT_VALUE&amp;DB=129&amp;ID1=00786510&amp;VALUEID=01001&amp;SDATE=200801&amp;PERIODTYPE=QTR_STD&amp;window=popup_no_bar&amp;width=385&amp;height=120&amp;START_MAXIMIZED=FALSE&amp;creator=factset&amp;display_string=Audit"}</definedName>
    <definedName name="_2330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2331__FDSAUDITLINK__" localSheetId="15" hidden="1">{"fdsup://Directions/FactSet Auditing Viewer?action=AUDIT_VALUE&amp;DB=129&amp;ID1=00786510&amp;VALUEID=13040&amp;SDATE=200801&amp;PERIODTYPE=QTR_STD&amp;window=popup_no_bar&amp;width=385&amp;height=120&amp;START_MAXIMIZED=FALSE&amp;creator=factset&amp;display_string=Audit"}</definedName>
    <definedName name="_2331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2332__FDSAUDITLINK__" localSheetId="15" hidden="1">{"fdsup://Directions/FactSet Auditing Viewer?action=AUDIT_VALUE&amp;DB=129&amp;ID1=00289620&amp;VALUEID=02101&amp;SDATE=200801&amp;PERIODTYPE=QTR_STD&amp;window=popup_no_bar&amp;width=385&amp;height=120&amp;START_MAXIMIZED=FALSE&amp;creator=factset&amp;display_string=Audit"}</definedName>
    <definedName name="_2332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2333__FDSAUDITLINK__" localSheetId="15" hidden="1">{"fdsup://Directions/FactSet Auditing Viewer?action=AUDIT_VALUE&amp;DB=129&amp;ID1=00289620&amp;VALUEID=01001&amp;SDATE=200801&amp;PERIODTYPE=QTR_STD&amp;window=popup_no_bar&amp;width=385&amp;height=120&amp;START_MAXIMIZED=FALSE&amp;creator=factset&amp;display_string=Audit"}</definedName>
    <definedName name="_2333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2334__FDSAUDITLINK__" localSheetId="15" hidden="1">{"fdsup://Directions/FactSet Auditing Viewer?action=AUDIT_VALUE&amp;DB=129&amp;ID1=00289620&amp;VALUEID=13040&amp;SDATE=200801&amp;PERIODTYPE=QTR_STD&amp;window=popup_no_bar&amp;width=385&amp;height=120&amp;START_MAXIMIZED=FALSE&amp;creator=factset&amp;display_string=Audit"}</definedName>
    <definedName name="_2334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2335__FDSAUDITLINK__" localSheetId="15" hidden="1">{"fdsup://Directions/FactSet Auditing Viewer?action=AUDIT_VALUE&amp;DB=129&amp;ID1=87416110&amp;VALUEID=01001&amp;SDATE=200704&amp;PERIODTYPE=QTR_STD&amp;window=popup_no_bar&amp;width=385&amp;height=120&amp;START_MAXIMIZED=FALSE&amp;creator=factset&amp;display_string=Audit"}</definedName>
    <definedName name="_2335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2336__FDSAUDITLINK__" localSheetId="15" hidden="1">{"fdsup://Directions/FactSet Auditing Viewer?action=AUDIT_VALUE&amp;DB=129&amp;ID1=46612H40&amp;VALUEID=01001&amp;SDATE=200704&amp;PERIODTYPE=QTR_STD&amp;window=popup_no_bar&amp;width=385&amp;height=120&amp;START_MAXIMIZED=FALSE&amp;creator=factset&amp;display_string=Audit"}</definedName>
    <definedName name="_2336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2337__FDSAUDITLINK__" localSheetId="15" hidden="1">{"fdsup://Directions/FactSet Auditing Viewer?action=AUDIT_VALUE&amp;DB=129&amp;ID1=46612H40&amp;VALUEID=13040&amp;SDATE=200704&amp;PERIODTYPE=QTR_STD&amp;window=popup_no_bar&amp;width=385&amp;height=120&amp;START_MAXIMIZED=FALSE&amp;creator=factset&amp;display_string=Audit"}</definedName>
    <definedName name="_2337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2338__FDSAUDITLINK__" localSheetId="15" hidden="1">{"fdsup://Directions/FactSet Auditing Viewer?action=AUDIT_VALUE&amp;DB=129&amp;ID1=36476010&amp;VALUEID=01001&amp;SDATE=200704&amp;PERIODTYPE=QTR_STD&amp;window=popup_no_bar&amp;width=385&amp;height=120&amp;START_MAXIMIZED=FALSE&amp;creator=factset&amp;display_string=Audit"}</definedName>
    <definedName name="_2338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2339__FDSAUDITLINK__" localSheetId="15" hidden="1">{"fdsup://Directions/FactSet Auditing Viewer?action=AUDIT_VALUE&amp;DB=129&amp;ID1=03611510&amp;VALUEID=01001&amp;SDATE=200704&amp;PERIODTYPE=QTR_STD&amp;window=popup_no_bar&amp;width=385&amp;height=120&amp;START_MAXIMIZED=FALSE&amp;creator=factset&amp;display_string=Audit"}</definedName>
    <definedName name="_2339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3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34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40__FDSAUDITLINK__" localSheetId="15" hidden="1">{"fdsup://Directions/FactSet Auditing Viewer?action=AUDIT_VALUE&amp;DB=129&amp;ID1=03611510&amp;VALUEID=13040&amp;SDATE=200704&amp;PERIODTYPE=QTR_STD&amp;window=popup_no_bar&amp;width=385&amp;height=120&amp;START_MAXIMIZED=FALSE&amp;creator=factset&amp;display_string=Audit"}</definedName>
    <definedName name="_2340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341__FDSAUDITLINK__" localSheetId="15" hidden="1">{"fdsup://Directions/FactSet Auditing Viewer?action=AUDIT_VALUE&amp;DB=129&amp;ID1=16890510&amp;VALUEID=01001&amp;SDATE=200704&amp;PERIODTYPE=QTR_STD&amp;window=popup_no_bar&amp;width=385&amp;height=120&amp;START_MAXIMIZED=FALSE&amp;creator=factset&amp;display_string=Audit"}</definedName>
    <definedName name="_234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2342__FDSAUDITLINK__" localSheetId="15" hidden="1">{"fdsup://Directions/FactSet Auditing Viewer?action=AUDIT_VALUE&amp;DB=129&amp;ID1=00786510&amp;VALUEID=01001&amp;SDATE=200704&amp;PERIODTYPE=QTR_STD&amp;window=popup_no_bar&amp;width=385&amp;height=120&amp;START_MAXIMIZED=FALSE&amp;creator=factset&amp;display_string=Audit"}</definedName>
    <definedName name="_2342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2343__FDSAUDITLINK__" localSheetId="15" hidden="1">{"fdsup://Directions/FactSet Auditing Viewer?action=AUDIT_VALUE&amp;DB=129&amp;ID1=87416110&amp;VALUEID=02101&amp;SDATE=200703&amp;PERIODTYPE=QTR_STD&amp;window=popup_no_bar&amp;width=385&amp;height=120&amp;START_MAXIMIZED=FALSE&amp;creator=factset&amp;display_string=Audit"}</definedName>
    <definedName name="_2343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2344__FDSAUDITLINK__" localSheetId="15" hidden="1">{"fdsup://Directions/FactSet Auditing Viewer?action=AUDIT_VALUE&amp;DB=129&amp;ID1=87416110&amp;VALUEID=01001&amp;SDATE=200703&amp;PERIODTYPE=QTR_STD&amp;window=popup_no_bar&amp;width=385&amp;height=120&amp;START_MAXIMIZED=FALSE&amp;creator=factset&amp;display_string=Audit"}</definedName>
    <definedName name="_2344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345__FDSAUDITLINK__" localSheetId="15" hidden="1">{"fdsup://Directions/FactSet Auditing Viewer?action=AUDIT_VALUE&amp;DB=129&amp;ID1=53271610&amp;VALUEID=02101&amp;SDATE=200703&amp;PERIODTYPE=QTR_STD&amp;window=popup_no_bar&amp;width=385&amp;height=120&amp;START_MAXIMIZED=FALSE&amp;creator=factset&amp;display_string=Audit"}</definedName>
    <definedName name="_234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346__FDSAUDITLINK__" localSheetId="15" hidden="1">{"fdsup://Directions/FactSet Auditing Viewer?action=AUDIT_VALUE&amp;DB=129&amp;ID1=53271610&amp;VALUEID=01001&amp;SDATE=200703&amp;PERIODTYPE=QTR_STD&amp;window=popup_no_bar&amp;width=385&amp;height=120&amp;START_MAXIMIZED=FALSE&amp;creator=factset&amp;display_string=Audit"}</definedName>
    <definedName name="_2346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347__FDSAUDITLINK__" localSheetId="15" hidden="1">{"fdsup://Directions/FactSet Auditing Viewer?action=AUDIT_VALUE&amp;DB=129&amp;ID1=53271610&amp;VALUEID=13040&amp;SDATE=200703&amp;PERIODTYPE=QTR_STD&amp;window=popup_no_bar&amp;width=385&amp;height=120&amp;START_MAXIMIZED=FALSE&amp;creator=factset&amp;display_string=Audit"}</definedName>
    <definedName name="_2347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348__FDSAUDITLINK__" localSheetId="15" hidden="1">{"fdsup://Directions/FactSet Auditing Viewer?action=AUDIT_VALUE&amp;DB=129&amp;ID1=46612H40&amp;VALUEID=02101&amp;SDATE=200703&amp;PERIODTYPE=QTR_STD&amp;window=popup_no_bar&amp;width=385&amp;height=120&amp;START_MAXIMIZED=FALSE&amp;creator=factset&amp;display_string=Audit"}</definedName>
    <definedName name="_2348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349__FDSAUDITLINK__" localSheetId="15" hidden="1">{"fdsup://Directions/FactSet Auditing Viewer?action=AUDIT_VALUE&amp;DB=129&amp;ID1=46612H40&amp;VALUEID=01001&amp;SDATE=200703&amp;PERIODTYPE=QTR_STD&amp;window=popup_no_bar&amp;width=385&amp;height=120&amp;START_MAXIMIZED=FALSE&amp;creator=factset&amp;display_string=Audit"}</definedName>
    <definedName name="_2349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3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35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50__FDSAUDITLINK__" localSheetId="15" hidden="1">{"fdsup://Directions/FactSet Auditing Viewer?action=AUDIT_VALUE&amp;DB=129&amp;ID1=46612H40&amp;VALUEID=13040&amp;SDATE=200703&amp;PERIODTYPE=QTR_STD&amp;window=popup_no_bar&amp;width=385&amp;height=120&amp;START_MAXIMIZED=FALSE&amp;creator=factset&amp;display_string=Audit"}</definedName>
    <definedName name="_2350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351__FDSAUDITLINK__" localSheetId="15" hidden="1">{"fdsup://Directions/FactSet Auditing Viewer?action=AUDIT_VALUE&amp;DB=129&amp;ID1=36476010&amp;VALUEID=02101&amp;SDATE=200703&amp;PERIODTYPE=QTR_STD&amp;window=popup_no_bar&amp;width=385&amp;height=120&amp;START_MAXIMIZED=FALSE&amp;creator=factset&amp;display_string=Audit"}</definedName>
    <definedName name="_2351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352__FDSAUDITLINK__" localSheetId="15" hidden="1">{"fdsup://Directions/FactSet Auditing Viewer?action=AUDIT_VALUE&amp;DB=129&amp;ID1=36476010&amp;VALUEID=01001&amp;SDATE=200703&amp;PERIODTYPE=QTR_STD&amp;window=popup_no_bar&amp;width=385&amp;height=120&amp;START_MAXIMIZED=FALSE&amp;creator=factset&amp;display_string=Audit"}</definedName>
    <definedName name="_2352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353__FDSAUDITLINK__" localSheetId="15" hidden="1">{"fdsup://Directions/FactSet Auditing Viewer?action=AUDIT_VALUE&amp;DB=129&amp;ID1=36476010&amp;VALUEID=13040&amp;SDATE=200703&amp;PERIODTYPE=QTR_STD&amp;window=popup_no_bar&amp;width=385&amp;height=120&amp;START_MAXIMIZED=FALSE&amp;creator=factset&amp;display_string=Audit"}</definedName>
    <definedName name="_2353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354__FDSAUDITLINK__" localSheetId="15" hidden="1">{"fdsup://Directions/FactSet Auditing Viewer?action=AUDIT_VALUE&amp;DB=129&amp;ID1=03611510&amp;VALUEID=02101&amp;SDATE=200703&amp;PERIODTYPE=QTR_STD&amp;window=popup_no_bar&amp;width=385&amp;height=120&amp;START_MAXIMIZED=FALSE&amp;creator=factset&amp;display_string=Audit"}</definedName>
    <definedName name="_2354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355__FDSAUDITLINK__" localSheetId="15" hidden="1">{"fdsup://Directions/FactSet Auditing Viewer?action=AUDIT_VALUE&amp;DB=129&amp;ID1=03611510&amp;VALUEID=01001&amp;SDATE=200703&amp;PERIODTYPE=QTR_STD&amp;window=popup_no_bar&amp;width=385&amp;height=120&amp;START_MAXIMIZED=FALSE&amp;creator=factset&amp;display_string=Audit"}</definedName>
    <definedName name="_2355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356__FDSAUDITLINK__" localSheetId="15" hidden="1">{"fdsup://Directions/FactSet Auditing Viewer?action=AUDIT_VALUE&amp;DB=129&amp;ID1=03611510&amp;VALUEID=13040&amp;SDATE=200703&amp;PERIODTYPE=QTR_STD&amp;window=popup_no_bar&amp;width=385&amp;height=120&amp;START_MAXIMIZED=FALSE&amp;creator=factset&amp;display_string=Audit"}</definedName>
    <definedName name="_2356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357__FDSAUDITLINK__" localSheetId="15" hidden="1">{"fdsup://Directions/FactSet Auditing Viewer?action=AUDIT_VALUE&amp;DB=129&amp;ID1=16890510&amp;VALUEID=02101&amp;SDATE=200703&amp;PERIODTYPE=QTR_STD&amp;window=popup_no_bar&amp;width=385&amp;height=120&amp;START_MAXIMIZED=FALSE&amp;creator=factset&amp;display_string=Audit"}</definedName>
    <definedName name="_2357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358__FDSAUDITLINK__" localSheetId="15" hidden="1">{"fdsup://Directions/FactSet Auditing Viewer?action=AUDIT_VALUE&amp;DB=129&amp;ID1=16890510&amp;VALUEID=01001&amp;SDATE=200703&amp;PERIODTYPE=QTR_STD&amp;window=popup_no_bar&amp;width=385&amp;height=120&amp;START_MAXIMIZED=FALSE&amp;creator=factset&amp;display_string=Audit"}</definedName>
    <definedName name="_2358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359__FDSAUDITLINK__" localSheetId="15" hidden="1">{"fdsup://Directions/FactSet Auditing Viewer?action=AUDIT_VALUE&amp;DB=129&amp;ID1=91704710&amp;VALUEID=02101&amp;SDATE=200703&amp;PERIODTYPE=QTR_STD&amp;window=popup_no_bar&amp;width=385&amp;height=120&amp;START_MAXIMIZED=FALSE&amp;creator=factset&amp;display_string=Audit"}</definedName>
    <definedName name="_2359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3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36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60__FDSAUDITLINK__" localSheetId="15" hidden="1">{"fdsup://Directions/FactSet Auditing Viewer?action=AUDIT_VALUE&amp;DB=129&amp;ID1=91704710&amp;VALUEID=01001&amp;SDATE=200703&amp;PERIODTYPE=QTR_STD&amp;window=popup_no_bar&amp;width=385&amp;height=120&amp;START_MAXIMIZED=FALSE&amp;creator=factset&amp;display_string=Audit"}</definedName>
    <definedName name="_2360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361__FDSAUDITLINK__" localSheetId="15" hidden="1">{"fdsup://Directions/FactSet Auditing Viewer?action=AUDIT_VALUE&amp;DB=129&amp;ID1=91704710&amp;VALUEID=13040&amp;SDATE=200703&amp;PERIODTYPE=QTR_STD&amp;window=popup_no_bar&amp;width=385&amp;height=120&amp;START_MAXIMIZED=FALSE&amp;creator=factset&amp;display_string=Audit"}</definedName>
    <definedName name="_2361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362__FDSAUDITLINK__" localSheetId="15" hidden="1">{"fdsup://Directions/FactSet Auditing Viewer?action=AUDIT_VALUE&amp;DB=129&amp;ID1=02553E10&amp;VALUEID=02101&amp;SDATE=200703&amp;PERIODTYPE=QTR_STD&amp;window=popup_no_bar&amp;width=385&amp;height=120&amp;START_MAXIMIZED=FALSE&amp;creator=factset&amp;display_string=Audit"}</definedName>
    <definedName name="_2362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363__FDSAUDITLINK__" localSheetId="15" hidden="1">{"fdsup://Directions/FactSet Auditing Viewer?action=AUDIT_VALUE&amp;DB=129&amp;ID1=02553E10&amp;VALUEID=01001&amp;SDATE=200703&amp;PERIODTYPE=QTR_STD&amp;window=popup_no_bar&amp;width=385&amp;height=120&amp;START_MAXIMIZED=FALSE&amp;creator=factset&amp;display_string=Audit"}</definedName>
    <definedName name="_2363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364__FDSAUDITLINK__" localSheetId="15" hidden="1">{"fdsup://Directions/FactSet Auditing Viewer?action=AUDIT_VALUE&amp;DB=129&amp;ID1=00786510&amp;VALUEID=02101&amp;SDATE=200703&amp;PERIODTYPE=QTR_STD&amp;window=popup_no_bar&amp;width=385&amp;height=120&amp;START_MAXIMIZED=FALSE&amp;creator=factset&amp;display_string=Audit"}</definedName>
    <definedName name="_2364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365__FDSAUDITLINK__" localSheetId="15" hidden="1">{"fdsup://Directions/FactSet Auditing Viewer?action=AUDIT_VALUE&amp;DB=129&amp;ID1=00786510&amp;VALUEID=01001&amp;SDATE=200703&amp;PERIODTYPE=QTR_STD&amp;window=popup_no_bar&amp;width=385&amp;height=120&amp;START_MAXIMIZED=FALSE&amp;creator=factset&amp;display_string=Audit"}</definedName>
    <definedName name="_2365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366__FDSAUDITLINK__" localSheetId="15" hidden="1">{"fdsup://Directions/FactSet Auditing Viewer?action=AUDIT_VALUE&amp;DB=129&amp;ID1=00786510&amp;VALUEID=13040&amp;SDATE=200703&amp;PERIODTYPE=QTR_STD&amp;window=popup_no_bar&amp;width=385&amp;height=120&amp;START_MAXIMIZED=FALSE&amp;creator=factset&amp;display_string=Audit"}</definedName>
    <definedName name="_2366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367__FDSAUDITLINK__" localSheetId="15" hidden="1">{"fdsup://Directions/FactSet Auditing Viewer?action=AUDIT_VALUE&amp;DB=129&amp;ID1=00289620&amp;VALUEID=02101&amp;SDATE=200703&amp;PERIODTYPE=QTR_STD&amp;window=popup_no_bar&amp;width=385&amp;height=120&amp;START_MAXIMIZED=FALSE&amp;creator=factset&amp;display_string=Audit"}</definedName>
    <definedName name="_2367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368__FDSAUDITLINK__" localSheetId="15" hidden="1">{"fdsup://Directions/FactSet Auditing Viewer?action=AUDIT_VALUE&amp;DB=129&amp;ID1=00289620&amp;VALUEID=01001&amp;SDATE=200703&amp;PERIODTYPE=QTR_STD&amp;window=popup_no_bar&amp;width=385&amp;height=120&amp;START_MAXIMIZED=FALSE&amp;creator=factset&amp;display_string=Audit"}</definedName>
    <definedName name="_2368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369__FDSAUDITLINK__" localSheetId="15" hidden="1">{"fdsup://Directions/FactSet Auditing Viewer?action=AUDIT_VALUE&amp;DB=129&amp;ID1=00289620&amp;VALUEID=13040&amp;SDATE=200703&amp;PERIODTYPE=QTR_STD&amp;window=popup_no_bar&amp;width=385&amp;height=120&amp;START_MAXIMIZED=FALSE&amp;creator=factset&amp;display_string=Audit"}</definedName>
    <definedName name="_2369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3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37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70__FDSAUDITLINK__" localSheetId="15" hidden="1">{"fdsup://Directions/FactSet Auditing Viewer?action=AUDIT_VALUE&amp;DB=129&amp;ID1=87416110&amp;VALUEID=02101&amp;SDATE=200702&amp;PERIODTYPE=QTR_STD&amp;window=popup_no_bar&amp;width=385&amp;height=120&amp;START_MAXIMIZED=FALSE&amp;creator=factset&amp;display_string=Audit"}</definedName>
    <definedName name="_2370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371__FDSAUDITLINK__" localSheetId="15" hidden="1">{"fdsup://Directions/FactSet Auditing Viewer?action=AUDIT_VALUE&amp;DB=129&amp;ID1=87416110&amp;VALUEID=01001&amp;SDATE=200702&amp;PERIODTYPE=QTR_STD&amp;window=popup_no_bar&amp;width=385&amp;height=120&amp;START_MAXIMIZED=FALSE&amp;creator=factset&amp;display_string=Audit"}</definedName>
    <definedName name="_2371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372__FDSAUDITLINK__" localSheetId="15" hidden="1">{"fdsup://Directions/FactSet Auditing Viewer?action=AUDIT_VALUE&amp;DB=129&amp;ID1=53271610&amp;VALUEID=02101&amp;SDATE=200702&amp;PERIODTYPE=QTR_STD&amp;window=popup_no_bar&amp;width=385&amp;height=120&amp;START_MAXIMIZED=FALSE&amp;creator=factset&amp;display_string=Audit"}</definedName>
    <definedName name="_237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373__FDSAUDITLINK__" localSheetId="15" hidden="1">{"fdsup://Directions/FactSet Auditing Viewer?action=AUDIT_VALUE&amp;DB=129&amp;ID1=53271610&amp;VALUEID=01001&amp;SDATE=200702&amp;PERIODTYPE=QTR_STD&amp;window=popup_no_bar&amp;width=385&amp;height=120&amp;START_MAXIMIZED=FALSE&amp;creator=factset&amp;display_string=Audit"}</definedName>
    <definedName name="_2373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374__FDSAUDITLINK__" localSheetId="15" hidden="1">{"fdsup://Directions/FactSet Auditing Viewer?action=AUDIT_VALUE&amp;DB=129&amp;ID1=53271610&amp;VALUEID=13040&amp;SDATE=200702&amp;PERIODTYPE=QTR_STD&amp;window=popup_no_bar&amp;width=385&amp;height=120&amp;START_MAXIMIZED=FALSE&amp;creator=factset&amp;display_string=Audit"}</definedName>
    <definedName name="_2374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75__FDSAUDITLINK__" localSheetId="15" hidden="1">{"fdsup://Directions/FactSet Auditing Viewer?action=AUDIT_VALUE&amp;DB=129&amp;ID1=46612H40&amp;VALUEID=02101&amp;SDATE=200702&amp;PERIODTYPE=QTR_STD&amp;window=popup_no_bar&amp;width=385&amp;height=120&amp;START_MAXIMIZED=FALSE&amp;creator=factset&amp;display_string=Audit"}</definedName>
    <definedName name="_2375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76__FDSAUDITLINK__" localSheetId="15" hidden="1">{"fdsup://Directions/FactSet Auditing Viewer?action=AUDIT_VALUE&amp;DB=129&amp;ID1=46612H40&amp;VALUEID=01001&amp;SDATE=200702&amp;PERIODTYPE=QTR_STD&amp;window=popup_no_bar&amp;width=385&amp;height=120&amp;START_MAXIMIZED=FALSE&amp;creator=factset&amp;display_string=Audit"}</definedName>
    <definedName name="_2376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77__FDSAUDITLINK__" localSheetId="15" hidden="1">{"fdsup://Directions/FactSet Auditing Viewer?action=AUDIT_VALUE&amp;DB=129&amp;ID1=46612H40&amp;VALUEID=13040&amp;SDATE=200702&amp;PERIODTYPE=QTR_STD&amp;window=popup_no_bar&amp;width=385&amp;height=120&amp;START_MAXIMIZED=FALSE&amp;creator=factset&amp;display_string=Audit"}</definedName>
    <definedName name="_2377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78__FDSAUDITLINK__" localSheetId="15" hidden="1">{"fdsup://Directions/FactSet Auditing Viewer?action=AUDIT_VALUE&amp;DB=129&amp;ID1=36476010&amp;VALUEID=02101&amp;SDATE=200702&amp;PERIODTYPE=QTR_STD&amp;window=popup_no_bar&amp;width=385&amp;height=120&amp;START_MAXIMIZED=FALSE&amp;creator=factset&amp;display_string=Audit"}</definedName>
    <definedName name="_2378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79__FDSAUDITLINK__" localSheetId="15" hidden="1">{"fdsup://Directions/FactSet Auditing Viewer?action=AUDIT_VALUE&amp;DB=129&amp;ID1=36476010&amp;VALUEID=01001&amp;SDATE=200702&amp;PERIODTYPE=QTR_STD&amp;window=popup_no_bar&amp;width=385&amp;height=120&amp;START_MAXIMIZED=FALSE&amp;creator=factset&amp;display_string=Audit"}</definedName>
    <definedName name="_2379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38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0__FDSAUDITLINK__" localSheetId="15" hidden="1">{"fdsup://Directions/FactSet Auditing Viewer?action=AUDIT_VALUE&amp;DB=129&amp;ID1=03611510&amp;VALUEID=02101&amp;SDATE=200702&amp;PERIODTYPE=QTR_STD&amp;window=popup_no_bar&amp;width=385&amp;height=120&amp;START_MAXIMIZED=FALSE&amp;creator=factset&amp;display_string=Audit"}</definedName>
    <definedName name="_2380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81__FDSAUDITLINK__" localSheetId="15" hidden="1">{"fdsup://Directions/FactSet Auditing Viewer?action=AUDIT_VALUE&amp;DB=129&amp;ID1=03611510&amp;VALUEID=01001&amp;SDATE=200702&amp;PERIODTYPE=QTR_STD&amp;window=popup_no_bar&amp;width=385&amp;height=120&amp;START_MAXIMIZED=FALSE&amp;creator=factset&amp;display_string=Audit"}</definedName>
    <definedName name="_2381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82__FDSAUDITLINK__" localSheetId="15" hidden="1">{"fdsup://Directions/FactSet Auditing Viewer?action=AUDIT_VALUE&amp;DB=129&amp;ID1=03611510&amp;VALUEID=13040&amp;SDATE=200702&amp;PERIODTYPE=QTR_STD&amp;window=popup_no_bar&amp;width=385&amp;height=120&amp;START_MAXIMIZED=FALSE&amp;creator=factset&amp;display_string=Audit"}</definedName>
    <definedName name="_2382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3__FDSAUDITLINK__" localSheetId="15" hidden="1">{"fdsup://Directions/FactSet Auditing Viewer?action=AUDIT_VALUE&amp;DB=129&amp;ID1=16890510&amp;VALUEID=02101&amp;SDATE=200702&amp;PERIODTYPE=QTR_STD&amp;window=popup_no_bar&amp;width=385&amp;height=120&amp;START_MAXIMIZED=FALSE&amp;creator=factset&amp;display_string=Audit"}</definedName>
    <definedName name="_2383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84__FDSAUDITLINK__" localSheetId="15" hidden="1">{"fdsup://Directions/FactSet Auditing Viewer?action=AUDIT_VALUE&amp;DB=129&amp;ID1=16890510&amp;VALUEID=01001&amp;SDATE=200702&amp;PERIODTYPE=QTR_STD&amp;window=popup_no_bar&amp;width=385&amp;height=120&amp;START_MAXIMIZED=FALSE&amp;creator=factset&amp;display_string=Audit"}</definedName>
    <definedName name="_2384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385__FDSAUDITLINK__" localSheetId="15" hidden="1">{"fdsup://Directions/FactSet Auditing Viewer?action=AUDIT_VALUE&amp;DB=129&amp;ID1=91704710&amp;VALUEID=02101&amp;SDATE=200702&amp;PERIODTYPE=QTR_STD&amp;window=popup_no_bar&amp;width=385&amp;height=120&amp;START_MAXIMIZED=FALSE&amp;creator=factset&amp;display_string=Audit"}</definedName>
    <definedName name="_2385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386__FDSAUDITLINK__" localSheetId="15" hidden="1">{"fdsup://Directions/FactSet Auditing Viewer?action=AUDIT_VALUE&amp;DB=129&amp;ID1=91704710&amp;VALUEID=01001&amp;SDATE=200702&amp;PERIODTYPE=QTR_STD&amp;window=popup_no_bar&amp;width=385&amp;height=120&amp;START_MAXIMIZED=FALSE&amp;creator=factset&amp;display_string=Audit"}</definedName>
    <definedName name="_2386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387__FDSAUDITLINK__" localSheetId="15" hidden="1">{"fdsup://Directions/FactSet Auditing Viewer?action=AUDIT_VALUE&amp;DB=129&amp;ID1=91704710&amp;VALUEID=13040&amp;SDATE=200702&amp;PERIODTYPE=QTR_STD&amp;window=popup_no_bar&amp;width=385&amp;height=120&amp;START_MAXIMIZED=FALSE&amp;creator=factset&amp;display_string=Audit"}</definedName>
    <definedName name="_2387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388__FDSAUDITLINK__" localSheetId="15" hidden="1">{"fdsup://Directions/FactSet Auditing Viewer?action=AUDIT_VALUE&amp;DB=129&amp;ID1=02553E10&amp;VALUEID=02101&amp;SDATE=200702&amp;PERIODTYPE=QTR_STD&amp;window=popup_no_bar&amp;width=385&amp;height=120&amp;START_MAXIMIZED=FALSE&amp;creator=factset&amp;display_string=Audit"}</definedName>
    <definedName name="_2388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389__FDSAUDITLINK__" localSheetId="15" hidden="1">{"fdsup://Directions/FactSet Auditing Viewer?action=AUDIT_VALUE&amp;DB=129&amp;ID1=02553E10&amp;VALUEID=01001&amp;SDATE=200702&amp;PERIODTYPE=QTR_STD&amp;window=popup_no_bar&amp;width=385&amp;height=120&amp;START_MAXIMIZED=FALSE&amp;creator=factset&amp;display_string=Audit"}</definedName>
    <definedName name="_2389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3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39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90__FDSAUDITLINK__" localSheetId="15" hidden="1">{"fdsup://Directions/FactSet Auditing Viewer?action=AUDIT_VALUE&amp;DB=129&amp;ID1=02553E10&amp;VALUEID=13040&amp;SDATE=200702&amp;PERIODTYPE=QTR_STD&amp;window=popup_no_bar&amp;width=385&amp;height=120&amp;START_MAXIMIZED=FALSE&amp;creator=factset&amp;display_string=Audit"}</definedName>
    <definedName name="_2390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391__FDSAUDITLINK__" localSheetId="15" hidden="1">{"fdsup://Directions/FactSet Auditing Viewer?action=AUDIT_VALUE&amp;DB=129&amp;ID1=00786510&amp;VALUEID=02101&amp;SDATE=200702&amp;PERIODTYPE=QTR_STD&amp;window=popup_no_bar&amp;width=385&amp;height=120&amp;START_MAXIMIZED=FALSE&amp;creator=factset&amp;display_string=Audit"}</definedName>
    <definedName name="_2391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392__FDSAUDITLINK__" localSheetId="15" hidden="1">{"fdsup://Directions/FactSet Auditing Viewer?action=AUDIT_VALUE&amp;DB=129&amp;ID1=00786510&amp;VALUEID=01001&amp;SDATE=200702&amp;PERIODTYPE=QTR_STD&amp;window=popup_no_bar&amp;width=385&amp;height=120&amp;START_MAXIMIZED=FALSE&amp;creator=factset&amp;display_string=Audit"}</definedName>
    <definedName name="_2392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393__FDSAUDITLINK__" localSheetId="15" hidden="1">{"fdsup://Directions/FactSet Auditing Viewer?action=AUDIT_VALUE&amp;DB=129&amp;ID1=00786510&amp;VALUEID=13040&amp;SDATE=200702&amp;PERIODTYPE=QTR_STD&amp;window=popup_no_bar&amp;width=385&amp;height=120&amp;START_MAXIMIZED=FALSE&amp;creator=factset&amp;display_string=Audit"}</definedName>
    <definedName name="_2393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394__FDSAUDITLINK__" localSheetId="15" hidden="1">{"fdsup://Directions/FactSet Auditing Viewer?action=AUDIT_VALUE&amp;DB=129&amp;ID1=00289620&amp;VALUEID=02101&amp;SDATE=200702&amp;PERIODTYPE=QTR_STD&amp;window=popup_no_bar&amp;width=385&amp;height=120&amp;START_MAXIMIZED=FALSE&amp;creator=factset&amp;display_string=Audit"}</definedName>
    <definedName name="_2394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395__FDSAUDITLINK__" localSheetId="15" hidden="1">{"fdsup://Directions/FactSet Auditing Viewer?action=AUDIT_VALUE&amp;DB=129&amp;ID1=00289620&amp;VALUEID=01001&amp;SDATE=200702&amp;PERIODTYPE=QTR_STD&amp;window=popup_no_bar&amp;width=385&amp;height=120&amp;START_MAXIMIZED=FALSE&amp;creator=factset&amp;display_string=Audit"}</definedName>
    <definedName name="_2395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396__FDSAUDITLINK__" localSheetId="15" hidden="1">{"fdsup://Directions/FactSet Auditing Viewer?action=AUDIT_VALUE&amp;DB=129&amp;ID1=87416110&amp;VALUEID=02101&amp;SDATE=200701&amp;PERIODTYPE=QTR_STD&amp;window=popup_no_bar&amp;width=385&amp;height=120&amp;START_MAXIMIZED=FALSE&amp;creator=factset&amp;display_string=Audit"}</definedName>
    <definedName name="_2396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397__FDSAUDITLINK__" localSheetId="15" hidden="1">{"fdsup://Directions/FactSet Auditing Viewer?action=AUDIT_VALUE&amp;DB=129&amp;ID1=87416110&amp;VALUEID=01001&amp;SDATE=200701&amp;PERIODTYPE=QTR_STD&amp;window=popup_no_bar&amp;width=385&amp;height=120&amp;START_MAXIMIZED=FALSE&amp;creator=factset&amp;display_string=Audit"}</definedName>
    <definedName name="_2397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398__FDSAUDITLINK__" localSheetId="15" hidden="1">{"fdsup://Directions/FactSet Auditing Viewer?action=AUDIT_VALUE&amp;DB=129&amp;ID1=53271610&amp;VALUEID=02101&amp;SDATE=200701&amp;PERIODTYPE=QTR_STD&amp;window=popup_no_bar&amp;width=385&amp;height=120&amp;START_MAXIMIZED=FALSE&amp;creator=factset&amp;display_string=Audit"}</definedName>
    <definedName name="_2398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399__FDSAUDITLINK__" localSheetId="15" hidden="1">{"fdsup://Directions/FactSet Auditing Viewer?action=AUDIT_VALUE&amp;DB=129&amp;ID1=53271610&amp;VALUEID=01001&amp;SDATE=200701&amp;PERIODTYPE=QTR_STD&amp;window=popup_no_bar&amp;width=385&amp;height=120&amp;START_MAXIMIZED=FALSE&amp;creator=factset&amp;display_string=Audit"}</definedName>
    <definedName name="_2399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4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4__FDSAUDITLINK__" hidden="1">{"fdsup://Directions/FactSet Auditing Viewer?action=AUDIT_VALUE&amp;DB=129&amp;ID1=86923310&amp;VALUEID=04601&amp;SDATE=2007&amp;PERIODTYPE=ANN_STD&amp;window=popup_no_bar&amp;width=385&amp;height=120&amp;START_MAXIMIZED=FALSE&amp;creator=factset&amp;display_string=Audit"}</definedName>
    <definedName name="_24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40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400__FDSAUDITLINK__" localSheetId="15" hidden="1">{"fdsup://Directions/FactSet Auditing Viewer?action=AUDIT_VALUE&amp;DB=129&amp;ID1=53271610&amp;VALUEID=13040&amp;SDATE=200701&amp;PERIODTYPE=QTR_STD&amp;window=popup_no_bar&amp;width=385&amp;height=120&amp;START_MAXIMIZED=FALSE&amp;creator=factset&amp;display_string=Audit"}</definedName>
    <definedName name="_2400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401__FDSAUDITLINK__" localSheetId="15" hidden="1">{"fdsup://Directions/FactSet Auditing Viewer?action=AUDIT_VALUE&amp;DB=129&amp;ID1=46612H40&amp;VALUEID=02101&amp;SDATE=200701&amp;PERIODTYPE=QTR_STD&amp;window=popup_no_bar&amp;width=385&amp;height=120&amp;START_MAXIMIZED=FALSE&amp;creator=factset&amp;display_string=Audit"}</definedName>
    <definedName name="_2401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402__FDSAUDITLINK__" localSheetId="15" hidden="1">{"fdsup://Directions/FactSet Auditing Viewer?action=AUDIT_VALUE&amp;DB=129&amp;ID1=46612H40&amp;VALUEID=01001&amp;SDATE=200701&amp;PERIODTYPE=QTR_STD&amp;window=popup_no_bar&amp;width=385&amp;height=120&amp;START_MAXIMIZED=FALSE&amp;creator=factset&amp;display_string=Audit"}</definedName>
    <definedName name="_2402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403__FDSAUDITLINK__" localSheetId="15" hidden="1">{"fdsup://Directions/FactSet Auditing Viewer?action=AUDIT_VALUE&amp;DB=129&amp;ID1=46612H40&amp;VALUEID=13040&amp;SDATE=200701&amp;PERIODTYPE=QTR_STD&amp;window=popup_no_bar&amp;width=385&amp;height=120&amp;START_MAXIMIZED=FALSE&amp;creator=factset&amp;display_string=Audit"}</definedName>
    <definedName name="_2403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404__FDSAUDITLINK__" localSheetId="15" hidden="1">{"fdsup://Directions/FactSet Auditing Viewer?action=AUDIT_VALUE&amp;DB=129&amp;ID1=36476010&amp;VALUEID=02101&amp;SDATE=200701&amp;PERIODTYPE=QTR_STD&amp;window=popup_no_bar&amp;width=385&amp;height=120&amp;START_MAXIMIZED=FALSE&amp;creator=factset&amp;display_string=Audit"}</definedName>
    <definedName name="_2404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405__FDSAUDITLINK__" localSheetId="15" hidden="1">{"fdsup://Directions/FactSet Auditing Viewer?action=AUDIT_VALUE&amp;DB=129&amp;ID1=36476010&amp;VALUEID=01001&amp;SDATE=200701&amp;PERIODTYPE=QTR_STD&amp;window=popup_no_bar&amp;width=385&amp;height=120&amp;START_MAXIMIZED=FALSE&amp;creator=factset&amp;display_string=Audit"}</definedName>
    <definedName name="_2405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406__FDSAUDITLINK__" localSheetId="15" hidden="1">{"fdsup://Directions/FactSet Auditing Viewer?action=AUDIT_VALUE&amp;DB=129&amp;ID1=36476010&amp;VALUEID=13040&amp;SDATE=200701&amp;PERIODTYPE=QTR_STD&amp;window=popup_no_bar&amp;width=385&amp;height=120&amp;START_MAXIMIZED=FALSE&amp;creator=factset&amp;display_string=Audit"}</definedName>
    <definedName name="_2406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407__FDSAUDITLINK__" localSheetId="15" hidden="1">{"fdsup://Directions/FactSet Auditing Viewer?action=AUDIT_VALUE&amp;DB=129&amp;ID1=03611510&amp;VALUEID=02101&amp;SDATE=200701&amp;PERIODTYPE=QTR_STD&amp;window=popup_no_bar&amp;width=385&amp;height=120&amp;START_MAXIMIZED=FALSE&amp;creator=factset&amp;display_string=Audit"}</definedName>
    <definedName name="_2407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408__FDSAUDITLINK__" localSheetId="15" hidden="1">{"fdsup://Directions/FactSet Auditing Viewer?action=AUDIT_VALUE&amp;DB=129&amp;ID1=03611510&amp;VALUEID=01001&amp;SDATE=200701&amp;PERIODTYPE=QTR_STD&amp;window=popup_no_bar&amp;width=385&amp;height=120&amp;START_MAXIMIZED=FALSE&amp;creator=factset&amp;display_string=Audit"}</definedName>
    <definedName name="_2408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409__FDSAUDITLINK__" localSheetId="15" hidden="1">{"fdsup://Directions/FactSet Auditing Viewer?action=AUDIT_VALUE&amp;DB=129&amp;ID1=03611510&amp;VALUEID=13040&amp;SDATE=200701&amp;PERIODTYPE=QTR_STD&amp;window=popup_no_bar&amp;width=385&amp;height=120&amp;START_MAXIMIZED=FALSE&amp;creator=factset&amp;display_string=Audit"}</definedName>
    <definedName name="_2409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41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41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410__FDSAUDITLINK__" localSheetId="15" hidden="1">{"fdsup://Directions/FactSet Auditing Viewer?action=AUDIT_VALUE&amp;DB=129&amp;ID1=16890510&amp;VALUEID=02101&amp;SDATE=200701&amp;PERIODTYPE=QTR_STD&amp;window=popup_no_bar&amp;width=385&amp;height=120&amp;START_MAXIMIZED=FALSE&amp;creator=factset&amp;display_string=Audit"}</definedName>
    <definedName name="_2410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411__FDSAUDITLINK__" localSheetId="15" hidden="1">{"fdsup://Directions/FactSet Auditing Viewer?action=AUDIT_VALUE&amp;DB=129&amp;ID1=16890510&amp;VALUEID=01001&amp;SDATE=200701&amp;PERIODTYPE=QTR_STD&amp;window=popup_no_bar&amp;width=385&amp;height=120&amp;START_MAXIMIZED=FALSE&amp;creator=factset&amp;display_string=Audit"}</definedName>
    <definedName name="_2411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412__FDSAUDITLINK__" localSheetId="15" hidden="1">{"fdsup://Directions/FactSet Auditing Viewer?action=AUDIT_VALUE&amp;DB=129&amp;ID1=91704710&amp;VALUEID=02101&amp;SDATE=200701&amp;PERIODTYPE=QTR_STD&amp;window=popup_no_bar&amp;width=385&amp;height=120&amp;START_MAXIMIZED=FALSE&amp;creator=factset&amp;display_string=Audit"}</definedName>
    <definedName name="_2412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413__FDSAUDITLINK__" localSheetId="15" hidden="1">{"fdsup://Directions/FactSet Auditing Viewer?action=AUDIT_VALUE&amp;DB=129&amp;ID1=91704710&amp;VALUEID=01001&amp;SDATE=200701&amp;PERIODTYPE=QTR_STD&amp;window=popup_no_bar&amp;width=385&amp;height=120&amp;START_MAXIMIZED=FALSE&amp;creator=factset&amp;display_string=Audit"}</definedName>
    <definedName name="_2413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414__FDSAUDITLINK__" localSheetId="15" hidden="1">{"fdsup://Directions/FactSet Auditing Viewer?action=AUDIT_VALUE&amp;DB=129&amp;ID1=91704710&amp;VALUEID=13040&amp;SDATE=200701&amp;PERIODTYPE=QTR_STD&amp;window=popup_no_bar&amp;width=385&amp;height=120&amp;START_MAXIMIZED=FALSE&amp;creator=factset&amp;display_string=Audit"}</definedName>
    <definedName name="_2414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415__FDSAUDITLINK__" localSheetId="15" hidden="1">{"fdsup://Directions/FactSet Auditing Viewer?action=AUDIT_VALUE&amp;DB=129&amp;ID1=02553E10&amp;VALUEID=02101&amp;SDATE=200701&amp;PERIODTYPE=QTR_STD&amp;window=popup_no_bar&amp;width=385&amp;height=120&amp;START_MAXIMIZED=FALSE&amp;creator=factset&amp;display_string=Audit"}</definedName>
    <definedName name="_2415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416__FDSAUDITLINK__" localSheetId="15" hidden="1">{"fdsup://Directions/FactSet Auditing Viewer?action=AUDIT_VALUE&amp;DB=129&amp;ID1=02553E10&amp;VALUEID=01001&amp;SDATE=200701&amp;PERIODTYPE=QTR_STD&amp;window=popup_no_bar&amp;width=385&amp;height=120&amp;START_MAXIMIZED=FALSE&amp;creator=factset&amp;display_string=Audit"}</definedName>
    <definedName name="_2416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417__FDSAUDITLINK__" localSheetId="15" hidden="1">{"fdsup://Directions/FactSet Auditing Viewer?action=AUDIT_VALUE&amp;DB=129&amp;ID1=02553E10&amp;VALUEID=13040&amp;SDATE=200701&amp;PERIODTYPE=QTR_STD&amp;window=popup_no_bar&amp;width=385&amp;height=120&amp;START_MAXIMIZED=FALSE&amp;creator=factset&amp;display_string=Audit"}</definedName>
    <definedName name="_2417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418__FDSAUDITLINK__" localSheetId="15" hidden="1">{"fdsup://Directions/FactSet Auditing Viewer?action=AUDIT_VALUE&amp;DB=129&amp;ID1=00786510&amp;VALUEID=02101&amp;SDATE=200701&amp;PERIODTYPE=QTR_STD&amp;window=popup_no_bar&amp;width=385&amp;height=120&amp;START_MAXIMIZED=FALSE&amp;creator=factset&amp;display_string=Audit"}</definedName>
    <definedName name="_2418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419__FDSAUDITLINK__" localSheetId="15" hidden="1">{"fdsup://Directions/FactSet Auditing Viewer?action=AUDIT_VALUE&amp;DB=129&amp;ID1=00786510&amp;VALUEID=01001&amp;SDATE=200701&amp;PERIODTYPE=QTR_STD&amp;window=popup_no_bar&amp;width=385&amp;height=120&amp;START_MAXIMIZED=FALSE&amp;creator=factset&amp;display_string=Audit"}</definedName>
    <definedName name="_2419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42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42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420__FDSAUDITLINK__" localSheetId="15" hidden="1">{"fdsup://Directions/FactSet Auditing Viewer?action=AUDIT_VALUE&amp;DB=129&amp;ID1=00786510&amp;VALUEID=13040&amp;SDATE=200701&amp;PERIODTYPE=QTR_STD&amp;window=popup_no_bar&amp;width=385&amp;height=120&amp;START_MAXIMIZED=FALSE&amp;creator=factset&amp;display_string=Audit"}</definedName>
    <definedName name="_2420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421__FDSAUDITLINK__" localSheetId="15" hidden="1">{"fdsup://Directions/FactSet Auditing Viewer?action=AUDIT_VALUE&amp;DB=129&amp;ID1=00289620&amp;VALUEID=02101&amp;SDATE=200701&amp;PERIODTYPE=QTR_STD&amp;window=popup_no_bar&amp;width=385&amp;height=120&amp;START_MAXIMIZED=FALSE&amp;creator=factset&amp;display_string=Audit"}</definedName>
    <definedName name="_2421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422__FDSAUDITLINK__" localSheetId="15" hidden="1">{"fdsup://Directions/FactSet Auditing Viewer?action=AUDIT_VALUE&amp;DB=129&amp;ID1=00289620&amp;VALUEID=01001&amp;SDATE=200701&amp;PERIODTYPE=QTR_STD&amp;window=popup_no_bar&amp;width=385&amp;height=120&amp;START_MAXIMIZED=FALSE&amp;creator=factset&amp;display_string=Audit"}</definedName>
    <definedName name="_2422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423__FDSAUDITLINK__" localSheetId="15" hidden="1">{"fdsup://Directions/FactSet Auditing Viewer?action=AUDIT_VALUE&amp;DB=129&amp;ID1=00289620&amp;VALUEID=13040&amp;SDATE=200701&amp;PERIODTYPE=QTR_STD&amp;window=popup_no_bar&amp;width=385&amp;height=120&amp;START_MAXIMIZED=FALSE&amp;creator=factset&amp;display_string=Audit"}</definedName>
    <definedName name="_2423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424__FDSAUDITLINK__" localSheetId="15" hidden="1">{"fdsup://Directions/FactSet Auditing Viewer?action=AUDIT_VALUE&amp;DB=129&amp;ID1=87416110&amp;VALUEID=01001&amp;SDATE=200604&amp;PERIODTYPE=QTR_STD&amp;window=popup_no_bar&amp;width=385&amp;height=120&amp;START_MAXIMIZED=FALSE&amp;creator=factset&amp;display_string=Audit"}</definedName>
    <definedName name="_2424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425__FDSAUDITLINK__" localSheetId="15" hidden="1">{"fdsup://Directions/FactSet Auditing Viewer?action=AUDIT_VALUE&amp;DB=129&amp;ID1=46612H40&amp;VALUEID=01001&amp;SDATE=200604&amp;PERIODTYPE=QTR_STD&amp;window=popup_no_bar&amp;width=385&amp;height=120&amp;START_MAXIMIZED=FALSE&amp;creator=factset&amp;display_string=Audit"}</definedName>
    <definedName name="_2425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426__FDSAUDITLINK__" localSheetId="15" hidden="1">{"fdsup://Directions/FactSet Auditing Viewer?action=AUDIT_VALUE&amp;DB=129&amp;ID1=36476010&amp;VALUEID=01001&amp;SDATE=200604&amp;PERIODTYPE=QTR_STD&amp;window=popup_no_bar&amp;width=385&amp;height=120&amp;START_MAXIMIZED=FALSE&amp;creator=factset&amp;display_string=Audit"}</definedName>
    <definedName name="_2426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427__FDSAUDITLINK__" localSheetId="15" hidden="1">{"fdsup://Directions/FactSet Auditing Viewer?action=AUDIT_VALUE&amp;DB=129&amp;ID1=03611510&amp;VALUEID=01001&amp;SDATE=200604&amp;PERIODTYPE=QTR_STD&amp;window=popup_no_bar&amp;width=385&amp;height=120&amp;START_MAXIMIZED=FALSE&amp;creator=factset&amp;display_string=Audit"}</definedName>
    <definedName name="_2427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428__FDSAUDITLINK__" localSheetId="15" hidden="1">{"fdsup://Directions/FactSet Auditing Viewer?action=AUDIT_VALUE&amp;DB=129&amp;ID1=16890510&amp;VALUEID=01001&amp;SDATE=200604&amp;PERIODTYPE=QTR_STD&amp;window=popup_no_bar&amp;width=385&amp;height=120&amp;START_MAXIMIZED=FALSE&amp;creator=factset&amp;display_string=Audit"}</definedName>
    <definedName name="_2428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429__FDSAUDITLINK__" localSheetId="15"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429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43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43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430__FDSAUDITLINK__" localSheetId="15" hidden="1">{"fdsup://Directions/FactSet Auditing Viewer?action=AUDIT_VALUE&amp;DB=129&amp;ID1=00786510&amp;VALUEID=01001&amp;SDATE=200604&amp;PERIODTYPE=QTR_STD&amp;window=popup_no_bar&amp;width=385&amp;height=120&amp;START_MAXIMIZED=FALSE&amp;creator=factset&amp;display_string=Audit"}</definedName>
    <definedName name="_2430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431__FDSAUDITLINK__" localSheetId="15" hidden="1">{"fdsup://Directions/FactSet Auditing Viewer?action=AUDIT_VALUE&amp;DB=129&amp;ID1=87416110&amp;VALUEID=02101&amp;SDATE=200603&amp;PERIODTYPE=QTR_STD&amp;window=popup_no_bar&amp;width=385&amp;height=120&amp;START_MAXIMIZED=FALSE&amp;creator=factset&amp;display_string=Audit"}</definedName>
    <definedName name="_2431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432__FDSAUDITLINK__" localSheetId="15" hidden="1">{"fdsup://Directions/FactSet Auditing Viewer?action=AUDIT_VALUE&amp;DB=129&amp;ID1=87416110&amp;VALUEID=01001&amp;SDATE=200603&amp;PERIODTYPE=QTR_STD&amp;window=popup_no_bar&amp;width=385&amp;height=120&amp;START_MAXIMIZED=FALSE&amp;creator=factset&amp;display_string=Audit"}</definedName>
    <definedName name="_2432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433__FDSAUDITLINK__" localSheetId="15" hidden="1">{"fdsup://Directions/FactSet Auditing Viewer?action=AUDIT_VALUE&amp;DB=129&amp;ID1=53271610&amp;VALUEID=02101&amp;SDATE=200603&amp;PERIODTYPE=QTR_STD&amp;window=popup_no_bar&amp;width=385&amp;height=120&amp;START_MAXIMIZED=FALSE&amp;creator=factset&amp;display_string=Audit"}</definedName>
    <definedName name="_2433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434__FDSAUDITLINK__" localSheetId="15" hidden="1">{"fdsup://Directions/FactSet Auditing Viewer?action=AUDIT_VALUE&amp;DB=129&amp;ID1=53271610&amp;VALUEID=01001&amp;SDATE=200603&amp;PERIODTYPE=QTR_STD&amp;window=popup_no_bar&amp;width=385&amp;height=120&amp;START_MAXIMIZED=FALSE&amp;creator=factset&amp;display_string=Audit"}</definedName>
    <definedName name="_2434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435__FDSAUDITLINK__" localSheetId="15" hidden="1">{"fdsup://Directions/FactSet Auditing Viewer?action=AUDIT_VALUE&amp;DB=129&amp;ID1=53271610&amp;VALUEID=13040&amp;SDATE=200603&amp;PERIODTYPE=QTR_STD&amp;window=popup_no_bar&amp;width=385&amp;height=120&amp;START_MAXIMIZED=FALSE&amp;creator=factset&amp;display_string=Audit"}</definedName>
    <definedName name="_2435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436__FDSAUDITLINK__" localSheetId="15" hidden="1">{"fdsup://Directions/FactSet Auditing Viewer?action=AUDIT_VALUE&amp;DB=129&amp;ID1=46612H40&amp;VALUEID=02101&amp;SDATE=200603&amp;PERIODTYPE=QTR_STD&amp;window=popup_no_bar&amp;width=385&amp;height=120&amp;START_MAXIMIZED=FALSE&amp;creator=factset&amp;display_string=Audit"}</definedName>
    <definedName name="_2436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437__FDSAUDITLINK__" localSheetId="15" hidden="1">{"fdsup://Directions/FactSet Auditing Viewer?action=AUDIT_VALUE&amp;DB=129&amp;ID1=46612H40&amp;VALUEID=01001&amp;SDATE=200603&amp;PERIODTYPE=QTR_STD&amp;window=popup_no_bar&amp;width=385&amp;height=120&amp;START_MAXIMIZED=FALSE&amp;creator=factset&amp;display_string=Audit"}</definedName>
    <definedName name="_2437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438__FDSAUDITLINK__" localSheetId="15" hidden="1">{"fdsup://Directions/FactSet Auditing Viewer?action=AUDIT_VALUE&amp;DB=129&amp;ID1=46612H40&amp;VALUEID=13040&amp;SDATE=200603&amp;PERIODTYPE=QTR_STD&amp;window=popup_no_bar&amp;width=385&amp;height=120&amp;START_MAXIMIZED=FALSE&amp;creator=factset&amp;display_string=Audit"}</definedName>
    <definedName name="_2438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439__FDSAUDITLINK__" localSheetId="15" hidden="1">{"fdsup://Directions/FactSet Auditing Viewer?action=AUDIT_VALUE&amp;DB=129&amp;ID1=36476010&amp;VALUEID=02101&amp;SDATE=200603&amp;PERIODTYPE=QTR_STD&amp;window=popup_no_bar&amp;width=385&amp;height=120&amp;START_MAXIMIZED=FALSE&amp;creator=factset&amp;display_string=Audit"}</definedName>
    <definedName name="_2439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44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44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440__FDSAUDITLINK__" localSheetId="15" hidden="1">{"fdsup://Directions/FactSet Auditing Viewer?action=AUDIT_VALUE&amp;DB=129&amp;ID1=36476010&amp;VALUEID=01001&amp;SDATE=200603&amp;PERIODTYPE=QTR_STD&amp;window=popup_no_bar&amp;width=385&amp;height=120&amp;START_MAXIMIZED=FALSE&amp;creator=factset&amp;display_string=Audit"}</definedName>
    <definedName name="_2440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441__FDSAUDITLINK__" localSheetId="15" hidden="1">{"fdsup://Directions/FactSet Auditing Viewer?action=AUDIT_VALUE&amp;DB=129&amp;ID1=36476010&amp;VALUEID=13040&amp;SDATE=200603&amp;PERIODTYPE=QTR_STD&amp;window=popup_no_bar&amp;width=385&amp;height=120&amp;START_MAXIMIZED=FALSE&amp;creator=factset&amp;display_string=Audit"}</definedName>
    <definedName name="_2441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442__FDSAUDITLINK__" localSheetId="15" hidden="1">{"fdsup://Directions/FactSet Auditing Viewer?action=AUDIT_VALUE&amp;DB=129&amp;ID1=03611510&amp;VALUEID=02101&amp;SDATE=200603&amp;PERIODTYPE=QTR_STD&amp;window=popup_no_bar&amp;width=385&amp;height=120&amp;START_MAXIMIZED=FALSE&amp;creator=factset&amp;display_string=Audit"}</definedName>
    <definedName name="_244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443__FDSAUDITLINK__" localSheetId="15" hidden="1">{"fdsup://Directions/FactSet Auditing Viewer?action=AUDIT_VALUE&amp;DB=129&amp;ID1=03611510&amp;VALUEID=01001&amp;SDATE=200603&amp;PERIODTYPE=QTR_STD&amp;window=popup_no_bar&amp;width=385&amp;height=120&amp;START_MAXIMIZED=FALSE&amp;creator=factset&amp;display_string=Audit"}</definedName>
    <definedName name="_2443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444__FDSAUDITLINK__" localSheetId="15" hidden="1">{"fdsup://Directions/FactSet Auditing Viewer?action=AUDIT_VALUE&amp;DB=129&amp;ID1=03611510&amp;VALUEID=13040&amp;SDATE=200603&amp;PERIODTYPE=QTR_STD&amp;window=popup_no_bar&amp;width=385&amp;height=120&amp;START_MAXIMIZED=FALSE&amp;creator=factset&amp;display_string=Audit"}</definedName>
    <definedName name="_2444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445__FDSAUDITLINK__" localSheetId="15" hidden="1">{"fdsup://Directions/FactSet Auditing Viewer?action=AUDIT_VALUE&amp;DB=129&amp;ID1=16890510&amp;VALUEID=02101&amp;SDATE=200603&amp;PERIODTYPE=QTR_STD&amp;window=popup_no_bar&amp;width=385&amp;height=120&amp;START_MAXIMIZED=FALSE&amp;creator=factset&amp;display_string=Audit"}</definedName>
    <definedName name="_2445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2446__FDSAUDITLINK__" localSheetId="15" hidden="1">{"fdsup://Directions/FactSet Auditing Viewer?action=AUDIT_VALUE&amp;DB=129&amp;ID1=16890510&amp;VALUEID=01001&amp;SDATE=200603&amp;PERIODTYPE=QTR_STD&amp;window=popup_no_bar&amp;width=385&amp;height=120&amp;START_MAXIMIZED=FALSE&amp;creator=factset&amp;display_string=Audit"}</definedName>
    <definedName name="_2446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2447__FDSAUDITLINK__" localSheetId="15" hidden="1">{"fdsup://Directions/FactSet Auditing Viewer?action=AUDIT_VALUE&amp;DB=129&amp;ID1=91704710&amp;VALUEID=02101&amp;SDATE=200603&amp;PERIODTYPE=QTR_STD&amp;window=popup_no_bar&amp;width=385&amp;height=120&amp;START_MAXIMIZED=FALSE&amp;creator=factset&amp;display_string=Audit"}</definedName>
    <definedName name="_2447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2448__FDSAUDITLINK__" localSheetId="15" hidden="1">{"fdsup://Directions/FactSet Auditing Viewer?action=AUDIT_VALUE&amp;DB=129&amp;ID1=91704710&amp;VALUEID=01001&amp;SDATE=200603&amp;PERIODTYPE=QTR_STD&amp;window=popup_no_bar&amp;width=385&amp;height=120&amp;START_MAXIMIZED=FALSE&amp;creator=factset&amp;display_string=Audit"}</definedName>
    <definedName name="_2448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2449__FDSAUDITLINK__" localSheetId="15" hidden="1">{"fdsup://Directions/FactSet Auditing Viewer?action=AUDIT_VALUE&amp;DB=129&amp;ID1=91704710&amp;VALUEID=13040&amp;SDATE=200603&amp;PERIODTYPE=QTR_STD&amp;window=popup_no_bar&amp;width=385&amp;height=120&amp;START_MAXIMIZED=FALSE&amp;creator=factset&amp;display_string=Audit"}</definedName>
    <definedName name="_2449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245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45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450__FDSAUDITLINK__" localSheetId="15"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2450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2451__FDSAUDITLINK__" localSheetId="15" hidden="1">{"fdsup://Directions/FactSet Auditing Viewer?action=AUDIT_VALUE&amp;DB=129&amp;ID1=00786510&amp;VALUEID=02101&amp;SDATE=200603&amp;PERIODTYPE=QTR_STD&amp;window=popup_no_bar&amp;width=385&amp;height=120&amp;START_MAXIMIZED=FALSE&amp;creator=factset&amp;display_string=Audit"}</definedName>
    <definedName name="_2451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2452__FDSAUDITLINK__" localSheetId="15" hidden="1">{"fdsup://Directions/FactSet Auditing Viewer?action=AUDIT_VALUE&amp;DB=129&amp;ID1=00786510&amp;VALUEID=01001&amp;SDATE=200603&amp;PERIODTYPE=QTR_STD&amp;window=popup_no_bar&amp;width=385&amp;height=120&amp;START_MAXIMIZED=FALSE&amp;creator=factset&amp;display_string=Audit"}</definedName>
    <definedName name="_2452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2453__FDSAUDITLINK__" localSheetId="15" hidden="1">{"fdsup://Directions/FactSet Auditing Viewer?action=AUDIT_VALUE&amp;DB=129&amp;ID1=00786510&amp;VALUEID=13040&amp;SDATE=200603&amp;PERIODTYPE=QTR_STD&amp;window=popup_no_bar&amp;width=385&amp;height=120&amp;START_MAXIMIZED=FALSE&amp;creator=factset&amp;display_string=Audit"}</definedName>
    <definedName name="_2453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2454__FDSAUDITLINK__" localSheetId="15" hidden="1">{"fdsup://Directions/FactSet Auditing Viewer?action=AUDIT_VALUE&amp;DB=129&amp;ID1=00289620&amp;VALUEID=02101&amp;SDATE=200603&amp;PERIODTYPE=QTR_STD&amp;window=popup_no_bar&amp;width=385&amp;height=120&amp;START_MAXIMIZED=FALSE&amp;creator=factset&amp;display_string=Audit"}</definedName>
    <definedName name="_2454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2455__FDSAUDITLINK__" localSheetId="15" hidden="1">{"fdsup://Directions/FactSet Auditing Viewer?action=AUDIT_VALUE&amp;DB=129&amp;ID1=00289620&amp;VALUEID=01001&amp;SDATE=200603&amp;PERIODTYPE=QTR_STD&amp;window=popup_no_bar&amp;width=385&amp;height=120&amp;START_MAXIMIZED=FALSE&amp;creator=factset&amp;display_string=Audit"}</definedName>
    <definedName name="_2455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2456__FDSAUDITLINK__" localSheetId="15" hidden="1">{"fdsup://Directions/FactSet Auditing Viewer?action=AUDIT_VALUE&amp;DB=129&amp;ID1=00289620&amp;VALUEID=13040&amp;SDATE=200603&amp;PERIODTYPE=QTR_STD&amp;window=popup_no_bar&amp;width=385&amp;height=120&amp;START_MAXIMIZED=FALSE&amp;creator=factset&amp;display_string=Audit"}</definedName>
    <definedName name="_2456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2457__FDSAUDITLINK__" localSheetId="15" hidden="1">{"fdsup://Directions/FactSet Auditing Viewer?action=AUDIT_VALUE&amp;DB=129&amp;ID1=87416110&amp;VALUEID=02101&amp;SDATE=200602&amp;PERIODTYPE=QTR_STD&amp;window=popup_no_bar&amp;width=385&amp;height=120&amp;START_MAXIMIZED=FALSE&amp;creator=factset&amp;display_string=Audit"}</definedName>
    <definedName name="_2457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2458__FDSAUDITLINK__" localSheetId="15" hidden="1">{"fdsup://Directions/FactSet Auditing Viewer?action=AUDIT_VALUE&amp;DB=129&amp;ID1=87416110&amp;VALUEID=01001&amp;SDATE=200602&amp;PERIODTYPE=QTR_STD&amp;window=popup_no_bar&amp;width=385&amp;height=120&amp;START_MAXIMIZED=FALSE&amp;creator=factset&amp;display_string=Audit"}</definedName>
    <definedName name="_2458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2459__FDSAUDITLINK__" localSheetId="15" hidden="1">{"fdsup://Directions/FactSet Auditing Viewer?action=AUDIT_VALUE&amp;DB=129&amp;ID1=53271610&amp;VALUEID=02101&amp;SDATE=200602&amp;PERIODTYPE=QTR_STD&amp;window=popup_no_bar&amp;width=385&amp;height=120&amp;START_MAXIMIZED=FALSE&amp;creator=factset&amp;display_string=Audit"}</definedName>
    <definedName name="_2459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246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46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460__FDSAUDITLINK__" localSheetId="15" hidden="1">{"fdsup://Directions/FactSet Auditing Viewer?action=AUDIT_VALUE&amp;DB=129&amp;ID1=53271610&amp;VALUEID=01001&amp;SDATE=200602&amp;PERIODTYPE=QTR_STD&amp;window=popup_no_bar&amp;width=385&amp;height=120&amp;START_MAXIMIZED=FALSE&amp;creator=factset&amp;display_string=Audit"}</definedName>
    <definedName name="_2460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2461__FDSAUDITLINK__" localSheetId="15" hidden="1">{"fdsup://Directions/FactSet Auditing Viewer?action=AUDIT_VALUE&amp;DB=129&amp;ID1=53271610&amp;VALUEID=13040&amp;SDATE=200602&amp;PERIODTYPE=QTR_STD&amp;window=popup_no_bar&amp;width=385&amp;height=120&amp;START_MAXIMIZED=FALSE&amp;creator=factset&amp;display_string=Audit"}</definedName>
    <definedName name="_246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2462__FDSAUDITLINK__" localSheetId="15" hidden="1">{"fdsup://Directions/FactSet Auditing Viewer?action=AUDIT_VALUE&amp;DB=129&amp;ID1=46612H40&amp;VALUEID=02101&amp;SDATE=200602&amp;PERIODTYPE=QTR_STD&amp;window=popup_no_bar&amp;width=385&amp;height=120&amp;START_MAXIMIZED=FALSE&amp;creator=factset&amp;display_string=Audit"}</definedName>
    <definedName name="_2462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2463__FDSAUDITLINK__" localSheetId="15" hidden="1">{"fdsup://Directions/FactSet Auditing Viewer?action=AUDIT_VALUE&amp;DB=129&amp;ID1=46612H40&amp;VALUEID=01001&amp;SDATE=200602&amp;PERIODTYPE=QTR_STD&amp;window=popup_no_bar&amp;width=385&amp;height=120&amp;START_MAXIMIZED=FALSE&amp;creator=factset&amp;display_string=Audit"}</definedName>
    <definedName name="_2463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2464__FDSAUDITLINK__" localSheetId="15" hidden="1">{"fdsup://Directions/FactSet Auditing Viewer?action=AUDIT_VALUE&amp;DB=129&amp;ID1=46612H40&amp;VALUEID=13040&amp;SDATE=200602&amp;PERIODTYPE=QTR_STD&amp;window=popup_no_bar&amp;width=385&amp;height=120&amp;START_MAXIMIZED=FALSE&amp;creator=factset&amp;display_string=Audit"}</definedName>
    <definedName name="_2464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2465__FDSAUDITLINK__" localSheetId="15" hidden="1">{"fdsup://Directions/FactSet Auditing Viewer?action=AUDIT_VALUE&amp;DB=129&amp;ID1=36476010&amp;VALUEID=02101&amp;SDATE=200602&amp;PERIODTYPE=QTR_STD&amp;window=popup_no_bar&amp;width=385&amp;height=120&amp;START_MAXIMIZED=FALSE&amp;creator=factset&amp;display_string=Audit"}</definedName>
    <definedName name="_2465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2466__FDSAUDITLINK__" localSheetId="15" hidden="1">{"fdsup://Directions/FactSet Auditing Viewer?action=AUDIT_VALUE&amp;DB=129&amp;ID1=36476010&amp;VALUEID=01001&amp;SDATE=200602&amp;PERIODTYPE=QTR_STD&amp;window=popup_no_bar&amp;width=385&amp;height=120&amp;START_MAXIMIZED=FALSE&amp;creator=factset&amp;display_string=Audit"}</definedName>
    <definedName name="_2466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2467__FDSAUDITLINK__" localSheetId="15" hidden="1">{"fdsup://Directions/FactSet Auditing Viewer?action=AUDIT_VALUE&amp;DB=129&amp;ID1=36476010&amp;VALUEID=13040&amp;SDATE=200602&amp;PERIODTYPE=QTR_STD&amp;window=popup_no_bar&amp;width=385&amp;height=120&amp;START_MAXIMIZED=FALSE&amp;creator=factset&amp;display_string=Audit"}</definedName>
    <definedName name="_2467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2468__FDSAUDITLINK__" localSheetId="15" hidden="1">{"fdsup://Directions/FactSet Auditing Viewer?action=AUDIT_VALUE&amp;DB=129&amp;ID1=03611510&amp;VALUEID=02101&amp;SDATE=200602&amp;PERIODTYPE=QTR_STD&amp;window=popup_no_bar&amp;width=385&amp;height=120&amp;START_MAXIMIZED=FALSE&amp;creator=factset&amp;display_string=Audit"}</definedName>
    <definedName name="_2468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469__FDSAUDITLINK__" localSheetId="15" hidden="1">{"fdsup://Directions/FactSet Auditing Viewer?action=AUDIT_VALUE&amp;DB=129&amp;ID1=03611510&amp;VALUEID=01001&amp;SDATE=200602&amp;PERIODTYPE=QTR_STD&amp;window=popup_no_bar&amp;width=385&amp;height=120&amp;START_MAXIMIZED=FALSE&amp;creator=factset&amp;display_string=Audit"}</definedName>
    <definedName name="_2469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47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47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470__FDSAUDITLINK__" localSheetId="15" hidden="1">{"fdsup://Directions/FactSet Auditing Viewer?action=AUDIT_VALUE&amp;DB=129&amp;ID1=03611510&amp;VALUEID=13040&amp;SDATE=200602&amp;PERIODTYPE=QTR_STD&amp;window=popup_no_bar&amp;width=385&amp;height=120&amp;START_MAXIMIZED=FALSE&amp;creator=factset&amp;display_string=Audit"}</definedName>
    <definedName name="_2470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471__FDSAUDITLINK__" localSheetId="15" hidden="1">{"fdsup://Directions/FactSet Auditing Viewer?action=AUDIT_VALUE&amp;DB=129&amp;ID1=16890510&amp;VALUEID=02101&amp;SDATE=200602&amp;PERIODTYPE=QTR_STD&amp;window=popup_no_bar&amp;width=385&amp;height=120&amp;START_MAXIMIZED=FALSE&amp;creator=factset&amp;display_string=Audit"}</definedName>
    <definedName name="_2471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2472__FDSAUDITLINK__" localSheetId="15" hidden="1">{"fdsup://Directions/FactSet Auditing Viewer?action=AUDIT_VALUE&amp;DB=129&amp;ID1=16890510&amp;VALUEID=01001&amp;SDATE=200602&amp;PERIODTYPE=QTR_STD&amp;window=popup_no_bar&amp;width=385&amp;height=120&amp;START_MAXIMIZED=FALSE&amp;creator=factset&amp;display_string=Audit"}</definedName>
    <definedName name="_2472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2473__FDSAUDITLINK__" localSheetId="15" hidden="1">{"fdsup://Directions/FactSet Auditing Viewer?action=AUDIT_VALUE&amp;DB=129&amp;ID1=91704710&amp;VALUEID=02101&amp;SDATE=200602&amp;PERIODTYPE=QTR_STD&amp;window=popup_no_bar&amp;width=385&amp;height=120&amp;START_MAXIMIZED=FALSE&amp;creator=factset&amp;display_string=Audit"}</definedName>
    <definedName name="_2473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2474__FDSAUDITLINK__" localSheetId="15" hidden="1">{"fdsup://Directions/FactSet Auditing Viewer?action=AUDIT_VALUE&amp;DB=129&amp;ID1=91704710&amp;VALUEID=01001&amp;SDATE=200602&amp;PERIODTYPE=QTR_STD&amp;window=popup_no_bar&amp;width=385&amp;height=120&amp;START_MAXIMIZED=FALSE&amp;creator=factset&amp;display_string=Audit"}</definedName>
    <definedName name="_2474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2475__FDSAUDITLINK__" localSheetId="15" hidden="1">{"fdsup://Directions/FactSet Auditing Viewer?action=AUDIT_VALUE&amp;DB=129&amp;ID1=91704710&amp;VALUEID=13040&amp;SDATE=200602&amp;PERIODTYPE=QTR_STD&amp;window=popup_no_bar&amp;width=385&amp;height=120&amp;START_MAXIMIZED=FALSE&amp;creator=factset&amp;display_string=Audit"}</definedName>
    <definedName name="_2475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2476__FDSAUDITLINK__" localSheetId="15"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2476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2477__FDSAUDITLINK__" localSheetId="15" hidden="1">{"fdsup://Directions/FactSet Auditing Viewer?action=AUDIT_VALUE&amp;DB=129&amp;ID1=00786510&amp;VALUEID=02101&amp;SDATE=200602&amp;PERIODTYPE=QTR_STD&amp;window=popup_no_bar&amp;width=385&amp;height=120&amp;START_MAXIMIZED=FALSE&amp;creator=factset&amp;display_string=Audit"}</definedName>
    <definedName name="_2477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2478__FDSAUDITLINK__" localSheetId="15" hidden="1">{"fdsup://Directions/FactSet Auditing Viewer?action=AUDIT_VALUE&amp;DB=129&amp;ID1=00786510&amp;VALUEID=01001&amp;SDATE=200602&amp;PERIODTYPE=QTR_STD&amp;window=popup_no_bar&amp;width=385&amp;height=120&amp;START_MAXIMIZED=FALSE&amp;creator=factset&amp;display_string=Audit"}</definedName>
    <definedName name="_2478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2479__FDSAUDITLINK__" localSheetId="15" hidden="1">{"fdsup://Directions/FactSet Auditing Viewer?action=AUDIT_VALUE&amp;DB=129&amp;ID1=00786510&amp;VALUEID=13040&amp;SDATE=200602&amp;PERIODTYPE=QTR_STD&amp;window=popup_no_bar&amp;width=385&amp;height=120&amp;START_MAXIMIZED=FALSE&amp;creator=factset&amp;display_string=Audit"}</definedName>
    <definedName name="_2479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248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48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480__FDSAUDITLINK__" localSheetId="15" hidden="1">{"fdsup://Directions/FactSet Auditing Viewer?action=AUDIT_VALUE&amp;DB=129&amp;ID1=00289620&amp;VALUEID=02101&amp;SDATE=200602&amp;PERIODTYPE=QTR_STD&amp;window=popup_no_bar&amp;width=385&amp;height=120&amp;START_MAXIMIZED=FALSE&amp;creator=factset&amp;display_string=Audit"}</definedName>
    <definedName name="_2480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2481__FDSAUDITLINK__" localSheetId="15" hidden="1">{"fdsup://Directions/FactSet Auditing Viewer?action=AUDIT_VALUE&amp;DB=129&amp;ID1=00289620&amp;VALUEID=01001&amp;SDATE=200602&amp;PERIODTYPE=QTR_STD&amp;window=popup_no_bar&amp;width=385&amp;height=120&amp;START_MAXIMIZED=FALSE&amp;creator=factset&amp;display_string=Audit"}</definedName>
    <definedName name="_2481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2482__FDSAUDITLINK__" localSheetId="15" hidden="1">{"fdsup://Directions/FactSet Auditing Viewer?action=AUDIT_VALUE&amp;DB=129&amp;ID1=00289620&amp;VALUEID=13040&amp;SDATE=200602&amp;PERIODTYPE=QTR_STD&amp;window=popup_no_bar&amp;width=385&amp;height=120&amp;START_MAXIMIZED=FALSE&amp;creator=factset&amp;display_string=Audit"}</definedName>
    <definedName name="_2482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2483__FDSAUDITLINK__" localSheetId="15" hidden="1">{"fdsup://Directions/FactSet Auditing Viewer?action=AUDIT_VALUE&amp;DB=129&amp;ID1=87416110&amp;VALUEID=02101&amp;SDATE=200601&amp;PERIODTYPE=QTR_STD&amp;window=popup_no_bar&amp;width=385&amp;height=120&amp;START_MAXIMIZED=FALSE&amp;creator=factset&amp;display_string=Audit"}</definedName>
    <definedName name="_2483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2484__FDSAUDITLINK__" localSheetId="15" hidden="1">{"fdsup://Directions/FactSet Auditing Viewer?action=AUDIT_VALUE&amp;DB=129&amp;ID1=87416110&amp;VALUEID=01001&amp;SDATE=200601&amp;PERIODTYPE=QTR_STD&amp;window=popup_no_bar&amp;width=385&amp;height=120&amp;START_MAXIMIZED=FALSE&amp;creator=factset&amp;display_string=Audit"}</definedName>
    <definedName name="_2484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2485__FDSAUDITLINK__" localSheetId="15" hidden="1">{"fdsup://Directions/FactSet Auditing Viewer?action=AUDIT_VALUE&amp;DB=129&amp;ID1=87416110&amp;VALUEID=13040&amp;SDATE=200601&amp;PERIODTYPE=QTR_STD&amp;window=popup_no_bar&amp;width=385&amp;height=120&amp;START_MAXIMIZED=FALSE&amp;creator=factset&amp;display_string=Audit"}</definedName>
    <definedName name="_2485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2486__FDSAUDITLINK__" localSheetId="15"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2486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2487__FDSAUDITLINK__" localSheetId="15" hidden="1">{"fdsup://Directions/FactSet Auditing Viewer?action=AUDIT_VALUE&amp;DB=129&amp;ID1=53271610&amp;VALUEID=02101&amp;SDATE=200601&amp;PERIODTYPE=QTR_STD&amp;window=popup_no_bar&amp;width=385&amp;height=120&amp;START_MAXIMIZED=FALSE&amp;creator=factset&amp;display_string=Audit"}</definedName>
    <definedName name="_2487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2488__FDSAUDITLINK__" localSheetId="15" hidden="1">{"fdsup://Directions/FactSet Auditing Viewer?action=AUDIT_VALUE&amp;DB=129&amp;ID1=53271610&amp;VALUEID=01001&amp;SDATE=200601&amp;PERIODTYPE=QTR_STD&amp;window=popup_no_bar&amp;width=385&amp;height=120&amp;START_MAXIMIZED=FALSE&amp;creator=factset&amp;display_string=Audit"}</definedName>
    <definedName name="_2488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2489__FDSAUDITLINK__" localSheetId="15" hidden="1">{"fdsup://Directions/FactSet Auditing Viewer?action=AUDIT_VALUE&amp;DB=129&amp;ID1=53271610&amp;VALUEID=13040&amp;SDATE=200601&amp;PERIODTYPE=QTR_STD&amp;window=popup_no_bar&amp;width=385&amp;height=120&amp;START_MAXIMIZED=FALSE&amp;creator=factset&amp;display_string=Audit"}</definedName>
    <definedName name="_2489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249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49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490__FDSAUDITLINK__" localSheetId="15" hidden="1">{"fdsup://Directions/FactSet Auditing Viewer?action=AUDIT_VALUE&amp;DB=129&amp;ID1=46612H40&amp;VALUEID=02101&amp;SDATE=200601&amp;PERIODTYPE=QTR_STD&amp;window=popup_no_bar&amp;width=385&amp;height=120&amp;START_MAXIMIZED=FALSE&amp;creator=factset&amp;display_string=Audit"}</definedName>
    <definedName name="_2490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2491__FDSAUDITLINK__" localSheetId="15" hidden="1">{"fdsup://Directions/FactSet Auditing Viewer?action=AUDIT_VALUE&amp;DB=129&amp;ID1=46612H40&amp;VALUEID=01001&amp;SDATE=200601&amp;PERIODTYPE=QTR_STD&amp;window=popup_no_bar&amp;width=385&amp;height=120&amp;START_MAXIMIZED=FALSE&amp;creator=factset&amp;display_string=Audit"}</definedName>
    <definedName name="_2491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2492__FDSAUDITLINK__" localSheetId="15" hidden="1">{"fdsup://Directions/FactSet Auditing Viewer?action=AUDIT_VALUE&amp;DB=129&amp;ID1=46612H40&amp;VALUEID=13040&amp;SDATE=200601&amp;PERIODTYPE=QTR_STD&amp;window=popup_no_bar&amp;width=385&amp;height=120&amp;START_MAXIMIZED=FALSE&amp;creator=factset&amp;display_string=Audit"}</definedName>
    <definedName name="_2492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2493__FDSAUDITLINK__" localSheetId="15" hidden="1">{"fdsup://Directions/FactSet Auditing Viewer?action=AUDIT_VALUE&amp;DB=129&amp;ID1=36476010&amp;VALUEID=02101&amp;SDATE=200601&amp;PERIODTYPE=QTR_STD&amp;window=popup_no_bar&amp;width=385&amp;height=120&amp;START_MAXIMIZED=FALSE&amp;creator=factset&amp;display_string=Audit"}</definedName>
    <definedName name="_2493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2494__FDSAUDITLINK__" localSheetId="15" hidden="1">{"fdsup://Directions/FactSet Auditing Viewer?action=AUDIT_VALUE&amp;DB=129&amp;ID1=36476010&amp;VALUEID=01001&amp;SDATE=200601&amp;PERIODTYPE=QTR_STD&amp;window=popup_no_bar&amp;width=385&amp;height=120&amp;START_MAXIMIZED=FALSE&amp;creator=factset&amp;display_string=Audit"}</definedName>
    <definedName name="_2494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2495__FDSAUDITLINK__" localSheetId="15" hidden="1">{"fdsup://Directions/FactSet Auditing Viewer?action=AUDIT_VALUE&amp;DB=129&amp;ID1=36476010&amp;VALUEID=13040&amp;SDATE=200601&amp;PERIODTYPE=QTR_STD&amp;window=popup_no_bar&amp;width=385&amp;height=120&amp;START_MAXIMIZED=FALSE&amp;creator=factset&amp;display_string=Audit"}</definedName>
    <definedName name="_2495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2496__FDSAUDITLINK__" localSheetId="15" hidden="1">{"fdsup://Directions/FactSet Auditing Viewer?action=AUDIT_VALUE&amp;DB=129&amp;ID1=03611510&amp;VALUEID=02101&amp;SDATE=200601&amp;PERIODTYPE=QTR_STD&amp;window=popup_no_bar&amp;width=385&amp;height=120&amp;START_MAXIMIZED=FALSE&amp;creator=factset&amp;display_string=Audit"}</definedName>
    <definedName name="_249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497__FDSAUDITLINK__" localSheetId="15" hidden="1">{"fdsup://Directions/FactSet Auditing Viewer?action=AUDIT_VALUE&amp;DB=129&amp;ID1=03611510&amp;VALUEID=13040&amp;SDATE=200601&amp;PERIODTYPE=QTR_STD&amp;window=popup_no_bar&amp;width=385&amp;height=120&amp;START_MAXIMIZED=FALSE&amp;creator=factset&amp;display_string=Audit"}</definedName>
    <definedName name="_2497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498__FDSAUDITLINK__" localSheetId="15" hidden="1">{"fdsup://Directions/FactSet Auditing Viewer?action=AUDIT_VALUE&amp;DB=129&amp;ID1=16890510&amp;VALUEID=02101&amp;SDATE=200601&amp;PERIODTYPE=QTR_STD&amp;window=popup_no_bar&amp;width=385&amp;height=120&amp;START_MAXIMIZED=FALSE&amp;creator=factset&amp;display_string=Audit"}</definedName>
    <definedName name="_2498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2499__FDSAUDITLINK__" localSheetId="15" hidden="1">{"fdsup://Directions/FactSet Auditing Viewer?action=AUDIT_VALUE&amp;DB=129&amp;ID1=16890510&amp;VALUEID=01001&amp;SDATE=200601&amp;PERIODTYPE=QTR_STD&amp;window=popup_no_bar&amp;width=385&amp;height=120&amp;START_MAXIMIZED=FALSE&amp;creator=factset&amp;display_string=Audit"}</definedName>
    <definedName name="_2499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2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5__FDSAUDITLINK__" hidden="1">{"fdsup://Directions/FactSet Auditing Viewer?action=AUDIT_VALUE&amp;DB=129&amp;ID1=86923310&amp;VALUEID=01001&amp;SDATE=2008&amp;PERIODTYPE=ANN_STD&amp;window=popup_no_bar&amp;width=385&amp;height=120&amp;START_MAXIMIZED=FALSE&amp;creator=factset&amp;display_string=Audit"}</definedName>
    <definedName name="_250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50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500__FDSAUDITLINK__" localSheetId="15" hidden="1">{"fdsup://Directions/FactSet Auditing Viewer?action=AUDIT_VALUE&amp;DB=129&amp;ID1=91704710&amp;VALUEID=02101&amp;SDATE=200601&amp;PERIODTYPE=QTR_STD&amp;window=popup_no_bar&amp;width=385&amp;height=120&amp;START_MAXIMIZED=FALSE&amp;creator=factset&amp;display_string=Audit"}</definedName>
    <definedName name="_2500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2501__FDSAUDITLINK__" localSheetId="15" hidden="1">{"fdsup://Directions/FactSet Auditing Viewer?action=AUDIT_VALUE&amp;DB=129&amp;ID1=91704710&amp;VALUEID=01001&amp;SDATE=200601&amp;PERIODTYPE=QTR_STD&amp;window=popup_no_bar&amp;width=385&amp;height=120&amp;START_MAXIMIZED=FALSE&amp;creator=factset&amp;display_string=Audit"}</definedName>
    <definedName name="_2501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2502__FDSAUDITLINK__" localSheetId="15" hidden="1">{"fdsup://Directions/FactSet Auditing Viewer?action=AUDIT_VALUE&amp;DB=129&amp;ID1=91704710&amp;VALUEID=13040&amp;SDATE=200601&amp;PERIODTYPE=QTR_STD&amp;window=popup_no_bar&amp;width=385&amp;height=120&amp;START_MAXIMIZED=FALSE&amp;creator=factset&amp;display_string=Audit"}</definedName>
    <definedName name="_2502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2503__FDSAUDITLINK__" localSheetId="15" hidden="1">{"fdsup://Directions/FactSet Auditing Viewer?action=AUDIT_VALUE&amp;DB=129&amp;ID1=02553E10&amp;VALUEID=02101&amp;SDATE=200601&amp;PERIODTYPE=QTR_STD&amp;window=popup_no_bar&amp;width=385&amp;height=120&amp;START_MAXIMIZED=FALSE&amp;creator=factset&amp;display_string=Audit"}</definedName>
    <definedName name="_2503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2504__FDSAUDITLINK__" localSheetId="15" hidden="1">{"fdsup://Directions/FactSet Auditing Viewer?action=AUDIT_VALUE&amp;DB=129&amp;ID1=02553E10&amp;VALUEID=01001&amp;SDATE=200601&amp;PERIODTYPE=QTR_STD&amp;window=popup_no_bar&amp;width=385&amp;height=120&amp;START_MAXIMIZED=FALSE&amp;creator=factset&amp;display_string=Audit"}</definedName>
    <definedName name="_2504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2505__FDSAUDITLINK__" localSheetId="15" hidden="1">{"fdsup://Directions/FactSet Auditing Viewer?action=AUDIT_VALUE&amp;DB=129&amp;ID1=02553E10&amp;VALUEID=13040&amp;SDATE=200601&amp;PERIODTYPE=QTR_STD&amp;window=popup_no_bar&amp;width=385&amp;height=120&amp;START_MAXIMIZED=FALSE&amp;creator=factset&amp;display_string=Audit"}</definedName>
    <definedName name="_2505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2506__FDSAUDITLINK__" localSheetId="15"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2506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2507__FDSAUDITLINK__" localSheetId="15" hidden="1">{"fdsup://Directions/FactSet Auditing Viewer?action=AUDIT_VALUE&amp;DB=129&amp;ID1=00786510&amp;VALUEID=02101&amp;SDATE=200601&amp;PERIODTYPE=QTR_STD&amp;window=popup_no_bar&amp;width=385&amp;height=120&amp;START_MAXIMIZED=FALSE&amp;creator=factset&amp;display_string=Audit"}</definedName>
    <definedName name="_2507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2508__FDSAUDITLINK__" localSheetId="15" hidden="1">{"fdsup://Directions/FactSet Auditing Viewer?action=AUDIT_VALUE&amp;DB=129&amp;ID1=00786510&amp;VALUEID=01001&amp;SDATE=200601&amp;PERIODTYPE=QTR_STD&amp;window=popup_no_bar&amp;width=385&amp;height=120&amp;START_MAXIMIZED=FALSE&amp;creator=factset&amp;display_string=Audit"}</definedName>
    <definedName name="_2508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2509__FDSAUDITLINK__" localSheetId="15" hidden="1">{"fdsup://Directions/FactSet Auditing Viewer?action=AUDIT_VALUE&amp;DB=129&amp;ID1=00786510&amp;VALUEID=13040&amp;SDATE=200601&amp;PERIODTYPE=QTR_STD&amp;window=popup_no_bar&amp;width=385&amp;height=120&amp;START_MAXIMIZED=FALSE&amp;creator=factset&amp;display_string=Audit"}</definedName>
    <definedName name="_2509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251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51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510__FDSAUDITLINK__" localSheetId="15" hidden="1">{"fdsup://Directions/FactSet Auditing Viewer?action=AUDIT_VALUE&amp;DB=129&amp;ID1=00289620&amp;VALUEID=02101&amp;SDATE=200601&amp;PERIODTYPE=QTR_STD&amp;window=popup_no_bar&amp;width=385&amp;height=120&amp;START_MAXIMIZED=FALSE&amp;creator=factset&amp;display_string=Audit"}</definedName>
    <definedName name="_2510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2511__FDSAUDITLINK__" localSheetId="15" hidden="1">{"fdsup://Directions/FactSet Auditing Viewer?action=AUDIT_VALUE&amp;DB=129&amp;ID1=00289620&amp;VALUEID=01001&amp;SDATE=200601&amp;PERIODTYPE=QTR_STD&amp;window=popup_no_bar&amp;width=385&amp;height=120&amp;START_MAXIMIZED=FALSE&amp;creator=factset&amp;display_string=Audit"}</definedName>
    <definedName name="_2511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2512__FDSAUDITLINK__" localSheetId="15" hidden="1">{"fdsup://Directions/FactSet Auditing Viewer?action=AUDIT_VALUE&amp;DB=129&amp;ID1=00289620&amp;VALUEID=13040&amp;SDATE=200601&amp;PERIODTYPE=QTR_STD&amp;window=popup_no_bar&amp;width=385&amp;height=120&amp;START_MAXIMIZED=FALSE&amp;creator=factset&amp;display_string=Audit"}</definedName>
    <definedName name="_2512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2513__FDSAUDITLINK__" localSheetId="15"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2513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2514__FDSAUDITLINK__" localSheetId="15"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2514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2515__FDSAUDITLINK__" localSheetId="15"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2515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2516__FDSAUDITLINK__" localSheetId="15" hidden="1">{"fdsup://Directions/FactSet Auditing Viewer?action=AUDIT_VALUE&amp;DB=129&amp;ID1=03611510&amp;VALUEID=13040&amp;SDATE=200503&amp;PERIODTYPE=QTR_STD&amp;window=popup_no_bar&amp;width=385&amp;height=120&amp;START_MAXIMIZED=FALSE&amp;creator=factset&amp;display_string=Audit"}</definedName>
    <definedName name="_2516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517__FDSAUDITLINK__" localSheetId="15"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2517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2518__FDSAUDITLINK__" localSheetId="15"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2518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2519__FDSAUDITLINK__" localSheetId="15" hidden="1">{"fdsup://Directions/FactSet Auditing Viewer?action=AUDIT_VALUE&amp;DB=129&amp;ID1=03611510&amp;VALUEID=13040&amp;SDATE=200502&amp;PERIODTYPE=QTR_STD&amp;window=popup_no_bar&amp;width=385&amp;height=120&amp;START_MAXIMIZED=FALSE&amp;creator=factset&amp;display_string=Audit"}</definedName>
    <definedName name="_2519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52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52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520__FDSAUDITLINK__" localSheetId="15"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2520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2521__FDSAUDITLINK__" localSheetId="15"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2521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2522__FDSAUDITLINK__" localSheetId="15" hidden="1">{"fdsup://Directions/FactSet Auditing Viewer?action=AUDIT_VALUE&amp;DB=129&amp;ID1=03611510&amp;VALUEID=13040&amp;SDATE=200501&amp;PERIODTYPE=QTR_STD&amp;window=popup_no_bar&amp;width=385&amp;height=120&amp;START_MAXIMIZED=FALSE&amp;creator=factset&amp;display_string=Audit"}</definedName>
    <definedName name="_252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523__FDSAUDITLINK__" localSheetId="15"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2523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2524__FDSAUDITLINK__" localSheetId="15" hidden="1">{"fdsup://Directions/FactSet Auditing Viewer?action=AUDIT_VALUE&amp;DB=129&amp;ID1=16890510&amp;VALUEID=13040&amp;SDATE=200602&amp;PERIODTYPE=QTR_STD&amp;window=popup_no_bar&amp;width=385&amp;height=120&amp;START_MAXIMIZED=FALSE&amp;creator=factset&amp;display_string=Audit"}</definedName>
    <definedName name="_2524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2525__FDSAUDITLINK__" localSheetId="15" hidden="1">{"fdsup://Directions/FactSet Auditing Viewer?action=AUDIT_VALUE&amp;DB=129&amp;ID1=16890510&amp;VALUEID=13040&amp;SDATE=200601&amp;PERIODTYPE=QTR_STD&amp;window=popup_no_bar&amp;width=385&amp;height=120&amp;START_MAXIMIZED=FALSE&amp;creator=factset&amp;display_string=Audit"}</definedName>
    <definedName name="_2525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2526__FDSAUDITLINK__" localSheetId="15" hidden="1">{"fdsup://Directions/FactSet Auditing Viewer?action=AUDIT_VALUE&amp;DB=129&amp;ID1=16890510&amp;VALUEID=13040&amp;SDATE=200603&amp;PERIODTYPE=QTR_STD&amp;window=popup_no_bar&amp;width=385&amp;height=120&amp;START_MAXIMIZED=FALSE&amp;creator=factset&amp;display_string=Audit"}</definedName>
    <definedName name="_2526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2527__FDSAUDITLINK__" localSheetId="15" hidden="1">{"fdsup://Directions/FactSet Auditing Viewer?action=AUDIT_VALUE&amp;DB=129&amp;ID1=16890510&amp;VALUEID=13040&amp;SDATE=200702&amp;PERIODTYPE=QTR_STD&amp;window=popup_no_bar&amp;width=385&amp;height=120&amp;START_MAXIMIZED=FALSE&amp;creator=factset&amp;display_string=Audit"}</definedName>
    <definedName name="_2527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2528__FDSAUDITLINK__" localSheetId="15" hidden="1">{"fdsup://Directions/FactSet Auditing Viewer?action=AUDIT_VALUE&amp;DB=129&amp;ID1=16890510&amp;VALUEID=13040&amp;SDATE=200701&amp;PERIODTYPE=QTR_STD&amp;window=popup_no_bar&amp;width=385&amp;height=120&amp;START_MAXIMIZED=FALSE&amp;creator=factset&amp;display_string=Audit"}</definedName>
    <definedName name="_2528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2529__FDSAUDITLINK__" localSheetId="15" hidden="1">{"fdsup://Directions/FactSet Auditing Viewer?action=AUDIT_VALUE&amp;DB=129&amp;ID1=16890510&amp;VALUEID=13040&amp;SDATE=200703&amp;PERIODTYPE=QTR_STD&amp;window=popup_no_bar&amp;width=385&amp;height=120&amp;START_MAXIMIZED=FALSE&amp;creator=factset&amp;display_string=Audit"}</definedName>
    <definedName name="_2529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253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53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530__FDSAUDITLINK__" localSheetId="15" hidden="1">{"fdsup://Directions/FactSet Auditing Viewer?action=AUDIT_VALUE&amp;DB=129&amp;ID1=16890510&amp;VALUEID=13040&amp;SDATE=200802&amp;PERIODTYPE=QTR_STD&amp;window=popup_no_bar&amp;width=385&amp;height=120&amp;START_MAXIMIZED=FALSE&amp;creator=factset&amp;display_string=Audit"}</definedName>
    <definedName name="_2530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2531__FDSAUDITLINK__" localSheetId="15" hidden="1">{"fdsup://Directions/FactSet Auditing Viewer?action=AUDIT_VALUE&amp;DB=129&amp;ID1=16890510&amp;VALUEID=13040&amp;SDATE=200801&amp;PERIODTYPE=QTR_STD&amp;window=popup_no_bar&amp;width=385&amp;height=120&amp;START_MAXIMIZED=FALSE&amp;creator=factset&amp;display_string=Audit"}</definedName>
    <definedName name="_2531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2532__FDSAUDITLINK__" localSheetId="15" hidden="1">{"fdsup://Directions/FactSet Auditing Viewer?action=AUDIT_VALUE&amp;DB=129&amp;ID1=16890510&amp;VALUEID=13040&amp;SDATE=200803&amp;PERIODTYPE=QTR_STD&amp;window=popup_no_bar&amp;width=385&amp;height=120&amp;START_MAXIMIZED=FALSE&amp;creator=factset&amp;display_string=Audit"}</definedName>
    <definedName name="_2532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2533__FDSAUDITLINK__" localSheetId="15" hidden="1">{"fdsup://Directions/FactSet Auditing Viewer?action=AUDIT_VALUE&amp;DB=129&amp;ID1=16890510&amp;VALUEID=13040&amp;SDATE=200902&amp;PERIODTYPE=QTR_STD&amp;window=popup_no_bar&amp;width=385&amp;height=120&amp;START_MAXIMIZED=FALSE&amp;creator=factset&amp;display_string=Audit"}</definedName>
    <definedName name="_2533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2534__FDSAUDITLINK__" localSheetId="15" hidden="1">{"fdsup://Directions/FactSet Auditing Viewer?action=AUDIT_VALUE&amp;DB=129&amp;ID1=16890510&amp;VALUEID=13040&amp;SDATE=200903&amp;PERIODTYPE=QTR_STD&amp;window=popup_no_bar&amp;width=385&amp;height=120&amp;START_MAXIMIZED=FALSE&amp;creator=factset&amp;display_string=Audit"}</definedName>
    <definedName name="_2534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2535__FDSAUDITLINK__" localSheetId="15" hidden="1">{"fdsup://Directions/FactSet Auditing Viewer?action=AUDIT_VALUE&amp;DB=129&amp;ID1=16890510&amp;VALUEID=13040&amp;SDATE=201001&amp;PERIODTYPE=QTR_STD&amp;window=popup_no_bar&amp;width=385&amp;height=120&amp;START_MAXIMIZED=FALSE&amp;creator=factset&amp;display_string=Audit"}</definedName>
    <definedName name="_2535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2536__FDSAUDITLINK__" localSheetId="15" hidden="1">{"fdsup://Directions/FactSet Auditing Viewer?action=AUDIT_VALUE&amp;DB=129&amp;ID1=40377710&amp;VALUEID=01001&amp;SDATE=200601&amp;PERIODTYPE=QTR_STD&amp;window=popup_no_bar&amp;width=385&amp;height=120&amp;START_MAXIMIZED=FALSE&amp;creator=factset&amp;display_string=Audit"}</definedName>
    <definedName name="_2536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2537__FDSAUDITLINK__" localSheetId="15" hidden="1">{"fdsup://Directions/FactSet Auditing Viewer?action=AUDIT_VALUE&amp;DB=129&amp;ID1=40377710&amp;VALUEID=02101&amp;SDATE=200601&amp;PERIODTYPE=QTR_STD&amp;window=popup_no_bar&amp;width=385&amp;height=120&amp;START_MAXIMIZED=FALSE&amp;creator=factset&amp;display_string=Audit"}</definedName>
    <definedName name="_2537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2538__FDSAUDITLINK__" localSheetId="15" hidden="1">{"fdsup://Directions/FactSet Auditing Viewer?action=AUDIT_VALUE&amp;DB=129&amp;ID1=40377710&amp;VALUEID=01001&amp;SDATE=200602&amp;PERIODTYPE=QTR_STD&amp;window=popup_no_bar&amp;width=385&amp;height=120&amp;START_MAXIMIZED=FALSE&amp;creator=factset&amp;display_string=Audit"}</definedName>
    <definedName name="_2538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2539__FDSAUDITLINK__" localSheetId="15" hidden="1">{"fdsup://Directions/FactSet Auditing Viewer?action=AUDIT_VALUE&amp;DB=129&amp;ID1=40377710&amp;VALUEID=02101&amp;SDATE=200602&amp;PERIODTYPE=QTR_STD&amp;window=popup_no_bar&amp;width=385&amp;height=120&amp;START_MAXIMIZED=FALSE&amp;creator=factset&amp;display_string=Audit"}</definedName>
    <definedName name="_2539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254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54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540__FDSAUDITLINK__" localSheetId="15" hidden="1">{"fdsup://Directions/FactSet Auditing Viewer?action=AUDIT_VALUE&amp;DB=129&amp;ID1=40377710&amp;VALUEID=01001&amp;SDATE=200603&amp;PERIODTYPE=QTR_STD&amp;window=popup_no_bar&amp;width=385&amp;height=120&amp;START_MAXIMIZED=FALSE&amp;creator=factset&amp;display_string=Audit"}</definedName>
    <definedName name="_2540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2541__FDSAUDITLINK__" localSheetId="15" hidden="1">{"fdsup://Directions/FactSet Auditing Viewer?action=AUDIT_VALUE&amp;DB=129&amp;ID1=40377710&amp;VALUEID=02101&amp;SDATE=200603&amp;PERIODTYPE=QTR_STD&amp;window=popup_no_bar&amp;width=385&amp;height=120&amp;START_MAXIMIZED=FALSE&amp;creator=factset&amp;display_string=Audit"}</definedName>
    <definedName name="_2541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2542__FDSAUDITLINK__" localSheetId="15" hidden="1">{"fdsup://Directions/FactSet Auditing Viewer?action=AUDIT_VALUE&amp;DB=129&amp;ID1=40377710&amp;VALUEID=01001&amp;SDATE=200604&amp;PERIODTYPE=QTR_STD&amp;window=popup_no_bar&amp;width=385&amp;height=120&amp;START_MAXIMIZED=FALSE&amp;creator=factset&amp;display_string=Audit"}</definedName>
    <definedName name="_2542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2543__FDSAUDITLINK__" localSheetId="15" hidden="1">{"fdsup://Directions/FactSet Auditing Viewer?action=AUDIT_VALUE&amp;DB=129&amp;ID1=40377710&amp;VALUEID=01001&amp;SDATE=200701&amp;PERIODTYPE=QTR_STD&amp;window=popup_no_bar&amp;width=385&amp;height=120&amp;START_MAXIMIZED=FALSE&amp;creator=factset&amp;display_string=Audit"}</definedName>
    <definedName name="_2543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2544__FDSAUDITLINK__" localSheetId="15" hidden="1">{"fdsup://Directions/FactSet Auditing Viewer?action=AUDIT_VALUE&amp;DB=129&amp;ID1=40377710&amp;VALUEID=02101&amp;SDATE=200701&amp;PERIODTYPE=QTR_STD&amp;window=popup_no_bar&amp;width=385&amp;height=120&amp;START_MAXIMIZED=FALSE&amp;creator=factset&amp;display_string=Audit"}</definedName>
    <definedName name="_2544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2545__FDSAUDITLINK__" localSheetId="15" hidden="1">{"fdsup://Directions/FactSet Auditing Viewer?action=AUDIT_VALUE&amp;DB=129&amp;ID1=40377710&amp;VALUEID=01001&amp;SDATE=200702&amp;PERIODTYPE=QTR_STD&amp;window=popup_no_bar&amp;width=385&amp;height=120&amp;START_MAXIMIZED=FALSE&amp;creator=factset&amp;display_string=Audit"}</definedName>
    <definedName name="_2545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2546__FDSAUDITLINK__" localSheetId="15" hidden="1">{"fdsup://Directions/FactSet Auditing Viewer?action=AUDIT_VALUE&amp;DB=129&amp;ID1=40377710&amp;VALUEID=02101&amp;SDATE=200702&amp;PERIODTYPE=QTR_STD&amp;window=popup_no_bar&amp;width=385&amp;height=120&amp;START_MAXIMIZED=FALSE&amp;creator=factset&amp;display_string=Audit"}</definedName>
    <definedName name="_2546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2547__FDSAUDITLINK__" localSheetId="15" hidden="1">{"fdsup://Directions/FactSet Auditing Viewer?action=AUDIT_VALUE&amp;DB=129&amp;ID1=40377710&amp;VALUEID=01001&amp;SDATE=200703&amp;PERIODTYPE=QTR_STD&amp;window=popup_no_bar&amp;width=385&amp;height=120&amp;START_MAXIMIZED=FALSE&amp;creator=factset&amp;display_string=Audit"}</definedName>
    <definedName name="_2547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2548__FDSAUDITLINK__" localSheetId="15" hidden="1">{"fdsup://Directions/FactSet Auditing Viewer?action=AUDIT_VALUE&amp;DB=129&amp;ID1=40377710&amp;VALUEID=02101&amp;SDATE=200703&amp;PERIODTYPE=QTR_STD&amp;window=popup_no_bar&amp;width=385&amp;height=120&amp;START_MAXIMIZED=FALSE&amp;creator=factset&amp;display_string=Audit"}</definedName>
    <definedName name="_2548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2549__FDSAUDITLINK__" localSheetId="15" hidden="1">{"fdsup://Directions/FactSet Auditing Viewer?action=AUDIT_VALUE&amp;DB=129&amp;ID1=40377710&amp;VALUEID=01001&amp;SDATE=200704&amp;PERIODTYPE=QTR_STD&amp;window=popup_no_bar&amp;width=385&amp;height=120&amp;START_MAXIMIZED=FALSE&amp;creator=factset&amp;display_string=Audit"}</definedName>
    <definedName name="_2549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255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55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550__FDSAUDITLINK__" localSheetId="15" hidden="1">{"fdsup://Directions/FactSet Auditing Viewer?action=AUDIT_VALUE&amp;DB=129&amp;ID1=40377710&amp;VALUEID=01001&amp;SDATE=200801&amp;PERIODTYPE=QTR_STD&amp;window=popup_no_bar&amp;width=385&amp;height=120&amp;START_MAXIMIZED=FALSE&amp;creator=factset&amp;display_string=Audit"}</definedName>
    <definedName name="_2550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2551__FDSAUDITLINK__" localSheetId="15" hidden="1">{"fdsup://Directions/FactSet Auditing Viewer?action=AUDIT_VALUE&amp;DB=129&amp;ID1=40377710&amp;VALUEID=02101&amp;SDATE=200801&amp;PERIODTYPE=QTR_STD&amp;window=popup_no_bar&amp;width=385&amp;height=120&amp;START_MAXIMIZED=FALSE&amp;creator=factset&amp;display_string=Audit"}</definedName>
    <definedName name="_2551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2552__FDSAUDITLINK__" localSheetId="15" hidden="1">{"fdsup://Directions/FactSet Auditing Viewer?action=AUDIT_VALUE&amp;DB=129&amp;ID1=40377710&amp;VALUEID=01001&amp;SDATE=200802&amp;PERIODTYPE=QTR_STD&amp;window=popup_no_bar&amp;width=385&amp;height=120&amp;START_MAXIMIZED=FALSE&amp;creator=factset&amp;display_string=Audit"}</definedName>
    <definedName name="_2552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2553__FDSAUDITLINK__" localSheetId="15" hidden="1">{"fdsup://Directions/FactSet Auditing Viewer?action=AUDIT_VALUE&amp;DB=129&amp;ID1=40377710&amp;VALUEID=02101&amp;SDATE=200802&amp;PERIODTYPE=QTR_STD&amp;window=popup_no_bar&amp;width=385&amp;height=120&amp;START_MAXIMIZED=FALSE&amp;creator=factset&amp;display_string=Audit"}</definedName>
    <definedName name="_2553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2554__FDSAUDITLINK__" localSheetId="15" hidden="1">{"fdsup://Directions/FactSet Auditing Viewer?action=AUDIT_VALUE&amp;DB=129&amp;ID1=40377710&amp;VALUEID=01001&amp;SDATE=200803&amp;PERIODTYPE=QTR_STD&amp;window=popup_no_bar&amp;width=385&amp;height=120&amp;START_MAXIMIZED=FALSE&amp;creator=factset&amp;display_string=Audit"}</definedName>
    <definedName name="_2554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2555__FDSAUDITLINK__" localSheetId="15" hidden="1">{"fdsup://Directions/FactSet Auditing Viewer?action=AUDIT_VALUE&amp;DB=129&amp;ID1=40377710&amp;VALUEID=02101&amp;SDATE=200803&amp;PERIODTYPE=QTR_STD&amp;window=popup_no_bar&amp;width=385&amp;height=120&amp;START_MAXIMIZED=FALSE&amp;creator=factset&amp;display_string=Audit"}</definedName>
    <definedName name="_2555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2556__FDSAUDITLINK__" localSheetId="15" hidden="1">{"fdsup://Directions/FactSet Auditing Viewer?action=AUDIT_VALUE&amp;DB=129&amp;ID1=40377710&amp;VALUEID=01001&amp;SDATE=200804&amp;PERIODTYPE=QTR_STD&amp;window=popup_no_bar&amp;width=385&amp;height=120&amp;START_MAXIMIZED=FALSE&amp;creator=factset&amp;display_string=Audit"}</definedName>
    <definedName name="_2556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2557__FDSAUDITLINK__" localSheetId="15" hidden="1">{"fdsup://Directions/FactSet Auditing Viewer?action=AUDIT_VALUE&amp;DB=129&amp;ID1=40377710&amp;VALUEID=01001&amp;SDATE=200901&amp;PERIODTYPE=QTR_STD&amp;window=popup_no_bar&amp;width=385&amp;height=120&amp;START_MAXIMIZED=FALSE&amp;creator=factset&amp;display_string=Audit"}</definedName>
    <definedName name="_2557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2558__FDSAUDITLINK__" localSheetId="15" hidden="1">{"fdsup://Directions/FactSet Auditing Viewer?action=AUDIT_VALUE&amp;DB=129&amp;ID1=40377710&amp;VALUEID=02101&amp;SDATE=200901&amp;PERIODTYPE=QTR_STD&amp;window=popup_no_bar&amp;width=385&amp;height=120&amp;START_MAXIMIZED=FALSE&amp;creator=factset&amp;display_string=Audit"}</definedName>
    <definedName name="_2558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2559__FDSAUDITLINK__" localSheetId="15" hidden="1">{"fdsup://Directions/FactSet Auditing Viewer?action=AUDIT_VALUE&amp;DB=129&amp;ID1=40377710&amp;VALUEID=01001&amp;SDATE=200902&amp;PERIODTYPE=QTR_STD&amp;window=popup_no_bar&amp;width=385&amp;height=120&amp;START_MAXIMIZED=FALSE&amp;creator=factset&amp;display_string=Audit"}</definedName>
    <definedName name="_2559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256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56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560__FDSAUDITLINK__" localSheetId="15" hidden="1">{"fdsup://Directions/FactSet Auditing Viewer?action=AUDIT_VALUE&amp;DB=129&amp;ID1=40377710&amp;VALUEID=02101&amp;SDATE=200902&amp;PERIODTYPE=QTR_STD&amp;window=popup_no_bar&amp;width=385&amp;height=120&amp;START_MAXIMIZED=FALSE&amp;creator=factset&amp;display_string=Audit"}</definedName>
    <definedName name="_2560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2561__FDSAUDITLINK__" localSheetId="15" hidden="1">{"fdsup://Directions/FactSet Auditing Viewer?action=AUDIT_VALUE&amp;DB=129&amp;ID1=40377710&amp;VALUEID=01001&amp;SDATE=200903&amp;PERIODTYPE=QTR_STD&amp;window=popup_no_bar&amp;width=385&amp;height=120&amp;START_MAXIMIZED=FALSE&amp;creator=factset&amp;display_string=Audit"}</definedName>
    <definedName name="_2561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2562__FDSAUDITLINK__" localSheetId="15" hidden="1">{"fdsup://Directions/FactSet Auditing Viewer?action=AUDIT_VALUE&amp;DB=129&amp;ID1=40377710&amp;VALUEID=02101&amp;SDATE=200903&amp;PERIODTYPE=QTR_STD&amp;window=popup_no_bar&amp;width=385&amp;height=120&amp;START_MAXIMIZED=FALSE&amp;creator=factset&amp;display_string=Audit"}</definedName>
    <definedName name="_2562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2563__FDSAUDITLINK__" localSheetId="15" hidden="1">{"fdsup://Directions/FactSet Auditing Viewer?action=AUDIT_VALUE&amp;DB=129&amp;ID1=40377710&amp;VALUEID=01001&amp;SDATE=200904&amp;PERIODTYPE=QTR_STD&amp;window=popup_no_bar&amp;width=385&amp;height=120&amp;START_MAXIMIZED=FALSE&amp;creator=factset&amp;display_string=Audit"}</definedName>
    <definedName name="_2563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2564__FDSAUDITLINK__" localSheetId="15" hidden="1">{"fdsup://Directions/FactSet Auditing Viewer?action=AUDIT_VALUE&amp;DB=129&amp;ID1=40377710&amp;VALUEID=02101&amp;SDATE=201001&amp;PERIODTYPE=QTR_STD&amp;window=popup_no_bar&amp;width=385&amp;height=120&amp;START_MAXIMIZED=FALSE&amp;creator=factset&amp;display_string=Audit"}</definedName>
    <definedName name="_2564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2565__FDSAUDITLINK__" localSheetId="15"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2565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2566__FDSAUDITLINK__" localSheetId="15"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2566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2567__FDSAUDITLINK__" localSheetId="15"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2567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2568__FDSAUDITLINK__" localSheetId="15"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2568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2569__FDSAUDITLINK__" localSheetId="15"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2569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257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57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570__FDSAUDITLINK__" localSheetId="15"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2570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2571__FDSAUDITLINK__" localSheetId="15"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2571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2572__FDSAUDITLINK__" localSheetId="15"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2572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2573__FDSAUDITLINK__" localSheetId="15"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2573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2574__FDSAUDITLINK__" localSheetId="15"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2574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2575__FDSAUDITLINK__" localSheetId="15"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2575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2576__FDSAUDITLINK__" localSheetId="15"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2576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2577__FDSAUDITLINK__" localSheetId="15"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2577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2578__FDSAUDITLINK__" localSheetId="15"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2578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2579__FDSAUDITLINK__" localSheetId="15"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2579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258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58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580__FDSAUDITLINK__" localSheetId="15"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2580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2581__FDSAUDITLINK__" localSheetId="15"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2581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2582__FDSAUDITLINK__" localSheetId="15"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2582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2583__FDSAUDITLINK__" localSheetId="15"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583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584__FDSAUDITLINK__" localSheetId="15"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584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585__FDSAUDITLINK__" localSheetId="15"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585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586__FDSAUDITLINK__" localSheetId="15"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586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587__FDSAUDITLINK__" localSheetId="15"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587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588__FDSAUDITLINK__" localSheetId="15"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588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589__FDSAUDITLINK__" localSheetId="15"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589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59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59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590__FDSAUDITLINK__" localSheetId="15"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590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591__FDSAUDITLINK__" localSheetId="15"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591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592__FDSAUDITLINK__" localSheetId="15" hidden="1">{"fdsup://Directions/FactSet Auditing Viewer?action=AUDIT_VALUE&amp;DB=129&amp;ID1=40377710&amp;VALUEID=13040&amp;SDATE=200802&amp;PERIODTYPE=QTR_STD&amp;window=popup_no_bar&amp;width=385&amp;height=120&amp;START_MAXIMIZED=FALSE&amp;creator=factset&amp;display_string=Audit"}</definedName>
    <definedName name="_2592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593__FDSAUDITLINK__" localSheetId="15"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593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594__FDSAUDITLINK__" localSheetId="15" hidden="1">{"fdsup://Directions/FactSet Auditing Viewer?action=AUDIT_VALUE&amp;DB=129&amp;ID1=40377710&amp;VALUEID=13040&amp;SDATE=200803&amp;PERIODTYPE=QTR_STD&amp;window=popup_no_bar&amp;width=385&amp;height=120&amp;START_MAXIMIZED=FALSE&amp;creator=factset&amp;display_string=Audit"}</definedName>
    <definedName name="_2594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595__FDSAUDITLINK__" localSheetId="15"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595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596__FDSAUDITLINK__" localSheetId="15"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596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597__FDSAUDITLINK__" localSheetId="15" hidden="1">{"fdsup://Directions/FactSet Auditing Viewer?action=AUDIT_VALUE&amp;DB=129&amp;ID1=40377710&amp;VALUEID=13040&amp;SDATE=200901&amp;PERIODTYPE=QTR_STD&amp;window=popup_no_bar&amp;width=385&amp;height=120&amp;START_MAXIMIZED=FALSE&amp;creator=factset&amp;display_string=Audit"}</definedName>
    <definedName name="_2597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598__FDSAUDITLINK__" localSheetId="15"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598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599__FDSAUDITLINK__" localSheetId="15" hidden="1">{"fdsup://Directions/FactSet Auditing Viewer?action=AUDIT_VALUE&amp;DB=129&amp;ID1=40377710&amp;VALUEID=13040&amp;SDATE=201001&amp;PERIODTYPE=QTR_STD&amp;window=popup_no_bar&amp;width=385&amp;height=120&amp;START_MAXIMIZED=FALSE&amp;creator=factset&amp;display_string=Audit"}</definedName>
    <definedName name="_2599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6__FDSAUDITLINK__" hidden="1">{"fdsup://Directions/FactSet Auditing Viewer?action=AUDIT_VALUE&amp;DB=129&amp;ID1=86923310&amp;VALUEID=04601&amp;SDATE=2008&amp;PERIODTYPE=ANN_STD&amp;window=popup_no_bar&amp;width=385&amp;height=120&amp;START_MAXIMIZED=FALSE&amp;creator=factset&amp;display_string=Audit"}</definedName>
    <definedName name="_260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60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600__FDSAUDITLINK__" localSheetId="15" hidden="1">{"fdsup://Directions/FactSet Auditing Viewer?action=AUDIT_VALUE&amp;DB=129&amp;ID1=40377710&amp;VALUEID=13040&amp;SDATE=200602&amp;PERIODTYPE=QTR_STD&amp;window=popup_no_bar&amp;width=385&amp;height=120&amp;START_MAXIMIZED=FALSE&amp;creator=factset&amp;display_string=Audit"}</definedName>
    <definedName name="_260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601__FDSAUDITLINK__" localSheetId="15" hidden="1">{"fdsup://Directions/FactSet Auditing Viewer?action=AUDIT_VALUE&amp;DB=129&amp;ID1=40377710&amp;VALUEID=13040&amp;SDATE=200601&amp;PERIODTYPE=QTR_STD&amp;window=popup_no_bar&amp;width=385&amp;height=120&amp;START_MAXIMIZED=FALSE&amp;creator=factset&amp;display_string=Audit"}</definedName>
    <definedName name="_2601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602__FDSAUDITLINK__" localSheetId="15"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602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603__FDSAUDITLINK__" localSheetId="15" hidden="1">{"fdsup://Directions/FactSet Auditing Viewer?action=AUDIT_VALUE&amp;DB=129&amp;ID1=40377710&amp;VALUEID=13040&amp;SDATE=200603&amp;PERIODTYPE=QTR_STD&amp;window=popup_no_bar&amp;width=385&amp;height=120&amp;START_MAXIMIZED=FALSE&amp;creator=factset&amp;display_string=Audit"}</definedName>
    <definedName name="_2603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604__FDSAUDITLINK__" localSheetId="15" hidden="1">{"fdsup://Directions/FactSet Auditing Viewer?action=AUDIT_VALUE&amp;DB=129&amp;ID1=40377710&amp;VALUEID=13040&amp;SDATE=200702&amp;PERIODTYPE=QTR_STD&amp;window=popup_no_bar&amp;width=385&amp;height=120&amp;START_MAXIMIZED=FALSE&amp;creator=factset&amp;display_string=Audit"}</definedName>
    <definedName name="_2604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605__FDSAUDITLINK__" localSheetId="15" hidden="1">{"fdsup://Directions/FactSet Auditing Viewer?action=AUDIT_VALUE&amp;DB=129&amp;ID1=40377710&amp;VALUEID=13040&amp;SDATE=200701&amp;PERIODTYPE=QTR_STD&amp;window=popup_no_bar&amp;width=385&amp;height=120&amp;START_MAXIMIZED=FALSE&amp;creator=factset&amp;display_string=Audit"}</definedName>
    <definedName name="_2605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606__FDSAUDITLINK__" localSheetId="15"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606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607__FDSAUDITLINK__" localSheetId="15" hidden="1">{"fdsup://Directions/FactSet Auditing Viewer?action=AUDIT_VALUE&amp;DB=129&amp;ID1=40377710&amp;VALUEID=13040&amp;SDATE=200703&amp;PERIODTYPE=QTR_STD&amp;window=popup_no_bar&amp;width=385&amp;height=120&amp;START_MAXIMIZED=FALSE&amp;creator=factset&amp;display_string=Audit"}</definedName>
    <definedName name="_2607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608__FDSAUDITLINK__" localSheetId="15" hidden="1">{"fdsup://Directions/FactSet Auditing Viewer?action=AUDIT_VALUE&amp;DB=129&amp;ID1=40377710&amp;VALUEID=13040&amp;SDATE=200801&amp;PERIODTYPE=QTR_STD&amp;window=popup_no_bar&amp;width=385&amp;height=120&amp;START_MAXIMIZED=FALSE&amp;creator=factset&amp;display_string=Audit"}</definedName>
    <definedName name="_2608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609__FDSAUDITLINK__" localSheetId="15" hidden="1">{"fdsup://Directions/FactSet Auditing Viewer?action=AUDIT_VALUE&amp;DB=129&amp;ID1=40377710&amp;VALUEID=13040&amp;SDATE=200704&amp;PERIODTYPE=QTR_STD&amp;window=popup_no_bar&amp;width=385&amp;height=120&amp;START_MAXIMIZED=FALSE&amp;creator=factset&amp;display_string=Audit"}</definedName>
    <definedName name="_2609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61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61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610__FDSAUDITLINK__" localSheetId="15"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610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611__FDSAUDITLINK__" localSheetId="15" hidden="1">{"fdsup://Directions/FactSet Auditing Viewer?action=AUDIT_VALUE&amp;DB=129&amp;ID1=40377710&amp;VALUEID=13040&amp;SDATE=200903&amp;PERIODTYPE=QTR_STD&amp;window=popup_no_bar&amp;width=385&amp;height=120&amp;START_MAXIMIZED=FALSE&amp;creator=factset&amp;display_string=Audit"}</definedName>
    <definedName name="_261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612__FDSAUDITLINK__" localSheetId="15" hidden="1">{"fdsup://Directions/FactSet Auditing Viewer?action=AUDIT_VALUE&amp;DB=129&amp;ID1=40377710&amp;VALUEID=13040&amp;SDATE=200902&amp;PERIODTYPE=QTR_STD&amp;window=popup_no_bar&amp;width=385&amp;height=120&amp;START_MAXIMIZED=FALSE&amp;creator=factset&amp;display_string=Audit"}</definedName>
    <definedName name="_2612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613__FDSAUDITLINK__" localSheetId="15" hidden="1">{"fdsup://Directions/FactSet Auditing Viewer?action=AUDIT_VALUE&amp;DB=129&amp;ID1=58711810&amp;VALUEID=01001&amp;SDATE=200601&amp;PERIODTYPE=QTR_STD&amp;window=popup_no_bar&amp;width=385&amp;height=120&amp;START_MAXIMIZED=FALSE&amp;creator=factset&amp;display_string=Audit"}</definedName>
    <definedName name="_2613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614__FDSAUDITLINK__" localSheetId="15" hidden="1">{"fdsup://Directions/FactSet Auditing Viewer?action=AUDIT_VALUE&amp;DB=129&amp;ID1=58711810&amp;VALUEID=02101&amp;SDATE=200601&amp;PERIODTYPE=QTR_STD&amp;window=popup_no_bar&amp;width=385&amp;height=120&amp;START_MAXIMIZED=FALSE&amp;creator=factset&amp;display_string=Audit"}</definedName>
    <definedName name="_2614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615__FDSAUDITLINK__" localSheetId="15" hidden="1">{"fdsup://Directions/FactSet Auditing Viewer?action=AUDIT_VALUE&amp;DB=129&amp;ID1=58711810&amp;VALUEID=01001&amp;SDATE=200602&amp;PERIODTYPE=QTR_STD&amp;window=popup_no_bar&amp;width=385&amp;height=120&amp;START_MAXIMIZED=FALSE&amp;creator=factset&amp;display_string=Audit"}</definedName>
    <definedName name="_261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616__FDSAUDITLINK__" localSheetId="15" hidden="1">{"fdsup://Directions/FactSet Auditing Viewer?action=AUDIT_VALUE&amp;DB=129&amp;ID1=58711810&amp;VALUEID=02101&amp;SDATE=200602&amp;PERIODTYPE=QTR_STD&amp;window=popup_no_bar&amp;width=385&amp;height=120&amp;START_MAXIMIZED=FALSE&amp;creator=factset&amp;display_string=Audit"}</definedName>
    <definedName name="_261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617__FDSAUDITLINK__" localSheetId="15" hidden="1">{"fdsup://Directions/FactSet Auditing Viewer?action=AUDIT_VALUE&amp;DB=129&amp;ID1=58711810&amp;VALUEID=01001&amp;SDATE=200603&amp;PERIODTYPE=QTR_STD&amp;window=popup_no_bar&amp;width=385&amp;height=120&amp;START_MAXIMIZED=FALSE&amp;creator=factset&amp;display_string=Audit"}</definedName>
    <definedName name="_2617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618__FDSAUDITLINK__" localSheetId="15" hidden="1">{"fdsup://Directions/FactSet Auditing Viewer?action=AUDIT_VALUE&amp;DB=129&amp;ID1=58711810&amp;VALUEID=02101&amp;SDATE=200603&amp;PERIODTYPE=QTR_STD&amp;window=popup_no_bar&amp;width=385&amp;height=120&amp;START_MAXIMIZED=FALSE&amp;creator=factset&amp;display_string=Audit"}</definedName>
    <definedName name="_2618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619__FDSAUDITLINK__" localSheetId="15" hidden="1">{"fdsup://Directions/FactSet Auditing Viewer?action=AUDIT_VALUE&amp;DB=129&amp;ID1=58711810&amp;VALUEID=01001&amp;SDATE=200604&amp;PERIODTYPE=QTR_STD&amp;window=popup_no_bar&amp;width=385&amp;height=120&amp;START_MAXIMIZED=FALSE&amp;creator=factset&amp;display_string=Audit"}</definedName>
    <definedName name="_2619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62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62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620__FDSAUDITLINK__" localSheetId="15" hidden="1">{"fdsup://Directions/FactSet Auditing Viewer?action=AUDIT_VALUE&amp;DB=129&amp;ID1=58711810&amp;VALUEID=01001&amp;SDATE=200701&amp;PERIODTYPE=QTR_STD&amp;window=popup_no_bar&amp;width=385&amp;height=120&amp;START_MAXIMIZED=FALSE&amp;creator=factset&amp;display_string=Audit"}</definedName>
    <definedName name="_2620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621__FDSAUDITLINK__" localSheetId="15" hidden="1">{"fdsup://Directions/FactSet Auditing Viewer?action=AUDIT_VALUE&amp;DB=129&amp;ID1=58711810&amp;VALUEID=02101&amp;SDATE=200701&amp;PERIODTYPE=QTR_STD&amp;window=popup_no_bar&amp;width=385&amp;height=120&amp;START_MAXIMIZED=FALSE&amp;creator=factset&amp;display_string=Audit"}</definedName>
    <definedName name="_2621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622__FDSAUDITLINK__" localSheetId="15" hidden="1">{"fdsup://Directions/FactSet Auditing Viewer?action=AUDIT_VALUE&amp;DB=129&amp;ID1=58711810&amp;VALUEID=01001&amp;SDATE=200702&amp;PERIODTYPE=QTR_STD&amp;window=popup_no_bar&amp;width=385&amp;height=120&amp;START_MAXIMIZED=FALSE&amp;creator=factset&amp;display_string=Audit"}</definedName>
    <definedName name="_2622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623__FDSAUDITLINK__" localSheetId="15" hidden="1">{"fdsup://Directions/FactSet Auditing Viewer?action=AUDIT_VALUE&amp;DB=129&amp;ID1=58711810&amp;VALUEID=02101&amp;SDATE=200702&amp;PERIODTYPE=QTR_STD&amp;window=popup_no_bar&amp;width=385&amp;height=120&amp;START_MAXIMIZED=FALSE&amp;creator=factset&amp;display_string=Audit"}</definedName>
    <definedName name="_2623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624__FDSAUDITLINK__" localSheetId="15" hidden="1">{"fdsup://Directions/FactSet Auditing Viewer?action=AUDIT_VALUE&amp;DB=129&amp;ID1=58711810&amp;VALUEID=01001&amp;SDATE=200703&amp;PERIODTYPE=QTR_STD&amp;window=popup_no_bar&amp;width=385&amp;height=120&amp;START_MAXIMIZED=FALSE&amp;creator=factset&amp;display_string=Audit"}</definedName>
    <definedName name="_2624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625__FDSAUDITLINK__" localSheetId="15" hidden="1">{"fdsup://Directions/FactSet Auditing Viewer?action=AUDIT_VALUE&amp;DB=129&amp;ID1=58711810&amp;VALUEID=02101&amp;SDATE=200703&amp;PERIODTYPE=QTR_STD&amp;window=popup_no_bar&amp;width=385&amp;height=120&amp;START_MAXIMIZED=FALSE&amp;creator=factset&amp;display_string=Audit"}</definedName>
    <definedName name="_2625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626__FDSAUDITLINK__" localSheetId="15" hidden="1">{"fdsup://Directions/FactSet Auditing Viewer?action=AUDIT_VALUE&amp;DB=129&amp;ID1=58711810&amp;VALUEID=01001&amp;SDATE=200704&amp;PERIODTYPE=QTR_STD&amp;window=popup_no_bar&amp;width=385&amp;height=120&amp;START_MAXIMIZED=FALSE&amp;creator=factset&amp;display_string=Audit"}</definedName>
    <definedName name="_2626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627__FDSAUDITLINK__" localSheetId="15" hidden="1">{"fdsup://Directions/FactSet Auditing Viewer?action=AUDIT_VALUE&amp;DB=129&amp;ID1=58711810&amp;VALUEID=01001&amp;SDATE=200801&amp;PERIODTYPE=QTR_STD&amp;window=popup_no_bar&amp;width=385&amp;height=120&amp;START_MAXIMIZED=FALSE&amp;creator=factset&amp;display_string=Audit"}</definedName>
    <definedName name="_2627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628__FDSAUDITLINK__" localSheetId="15" hidden="1">{"fdsup://Directions/FactSet Auditing Viewer?action=AUDIT_VALUE&amp;DB=129&amp;ID1=58711810&amp;VALUEID=02101&amp;SDATE=200801&amp;PERIODTYPE=QTR_STD&amp;window=popup_no_bar&amp;width=385&amp;height=120&amp;START_MAXIMIZED=FALSE&amp;creator=factset&amp;display_string=Audit"}</definedName>
    <definedName name="_2628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629__FDSAUDITLINK__" localSheetId="15" hidden="1">{"fdsup://Directions/FactSet Auditing Viewer?action=AUDIT_VALUE&amp;DB=129&amp;ID1=58711810&amp;VALUEID=01001&amp;SDATE=200802&amp;PERIODTYPE=QTR_STD&amp;window=popup_no_bar&amp;width=385&amp;height=120&amp;START_MAXIMIZED=FALSE&amp;creator=factset&amp;display_string=Audit"}</definedName>
    <definedName name="_2629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63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63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630__FDSAUDITLINK__" localSheetId="15" hidden="1">{"fdsup://Directions/FactSet Auditing Viewer?action=AUDIT_VALUE&amp;DB=129&amp;ID1=58711810&amp;VALUEID=02101&amp;SDATE=200802&amp;PERIODTYPE=QTR_STD&amp;window=popup_no_bar&amp;width=385&amp;height=120&amp;START_MAXIMIZED=FALSE&amp;creator=factset&amp;display_string=Audit"}</definedName>
    <definedName name="_2630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631__FDSAUDITLINK__" localSheetId="15" hidden="1">{"fdsup://Directions/FactSet Auditing Viewer?action=AUDIT_VALUE&amp;DB=129&amp;ID1=58711810&amp;VALUEID=01001&amp;SDATE=200803&amp;PERIODTYPE=QTR_STD&amp;window=popup_no_bar&amp;width=385&amp;height=120&amp;START_MAXIMIZED=FALSE&amp;creator=factset&amp;display_string=Audit"}</definedName>
    <definedName name="_2631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632__FDSAUDITLINK__" localSheetId="15" hidden="1">{"fdsup://Directions/FactSet Auditing Viewer?action=AUDIT_VALUE&amp;DB=129&amp;ID1=58711810&amp;VALUEID=02101&amp;SDATE=200803&amp;PERIODTYPE=QTR_STD&amp;window=popup_no_bar&amp;width=385&amp;height=120&amp;START_MAXIMIZED=FALSE&amp;creator=factset&amp;display_string=Audit"}</definedName>
    <definedName name="_2632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633__FDSAUDITLINK__" localSheetId="15" hidden="1">{"fdsup://Directions/FactSet Auditing Viewer?action=AUDIT_VALUE&amp;DB=129&amp;ID1=58711810&amp;VALUEID=01001&amp;SDATE=200804&amp;PERIODTYPE=QTR_STD&amp;window=popup_no_bar&amp;width=385&amp;height=120&amp;START_MAXIMIZED=FALSE&amp;creator=factset&amp;display_string=Audit"}</definedName>
    <definedName name="_2633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634__FDSAUDITLINK__" localSheetId="15" hidden="1">{"fdsup://Directions/FactSet Auditing Viewer?action=AUDIT_VALUE&amp;DB=129&amp;ID1=58711810&amp;VALUEID=01001&amp;SDATE=200902&amp;PERIODTYPE=QTR_STD&amp;window=popup_no_bar&amp;width=385&amp;height=120&amp;START_MAXIMIZED=FALSE&amp;creator=factset&amp;display_string=Audit"}</definedName>
    <definedName name="_2634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635__FDSAUDITLINK__" localSheetId="15" hidden="1">{"fdsup://Directions/FactSet Auditing Viewer?action=AUDIT_VALUE&amp;DB=129&amp;ID1=58711810&amp;VALUEID=02101&amp;SDATE=200902&amp;PERIODTYPE=QTR_STD&amp;window=popup_no_bar&amp;width=385&amp;height=120&amp;START_MAXIMIZED=FALSE&amp;creator=factset&amp;display_string=Audit"}</definedName>
    <definedName name="_2635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636__FDSAUDITLINK__" localSheetId="15" hidden="1">{"fdsup://Directions/FactSet Auditing Viewer?action=AUDIT_VALUE&amp;DB=129&amp;ID1=58711810&amp;VALUEID=01001&amp;SDATE=200903&amp;PERIODTYPE=QTR_STD&amp;window=popup_no_bar&amp;width=385&amp;height=120&amp;START_MAXIMIZED=FALSE&amp;creator=factset&amp;display_string=Audit"}</definedName>
    <definedName name="_2636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637__FDSAUDITLINK__" localSheetId="15" hidden="1">{"fdsup://Directions/FactSet Auditing Viewer?action=AUDIT_VALUE&amp;DB=129&amp;ID1=58711810&amp;VALUEID=02101&amp;SDATE=200903&amp;PERIODTYPE=QTR_STD&amp;window=popup_no_bar&amp;width=385&amp;height=120&amp;START_MAXIMIZED=FALSE&amp;creator=factset&amp;display_string=Audit"}</definedName>
    <definedName name="_2637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638__FDSAUDITLINK__" localSheetId="15" hidden="1">{"fdsup://Directions/FactSet Auditing Viewer?action=AUDIT_VALUE&amp;DB=129&amp;ID1=58711810&amp;VALUEID=01001&amp;SDATE=200904&amp;PERIODTYPE=QTR_STD&amp;window=popup_no_bar&amp;width=385&amp;height=120&amp;START_MAXIMIZED=FALSE&amp;creator=factset&amp;display_string=Audit"}</definedName>
    <definedName name="_263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639__FDSAUDITLINK__" localSheetId="15" hidden="1">{"fdsup://Directions/FactSet Auditing Viewer?action=AUDIT_VALUE&amp;DB=129&amp;ID1=58711810&amp;VALUEID=02101&amp;SDATE=201001&amp;PERIODTYPE=QTR_STD&amp;window=popup_no_bar&amp;width=385&amp;height=120&amp;START_MAXIMIZED=FALSE&amp;creator=factset&amp;display_string=Audit"}</definedName>
    <definedName name="_2639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64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64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640__FDSAUDITLINK__" localSheetId="15"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640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641__FDSAUDITLINK__" localSheetId="15"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641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642__FDSAUDITLINK__" localSheetId="15"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642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643__FDSAUDITLINK__" localSheetId="15"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643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644__FDSAUDITLINK__" localSheetId="15"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644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645__FDSAUDITLINK__" localSheetId="15"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645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646__FDSAUDITLINK__" localSheetId="15"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646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647__FDSAUDITLINK__" localSheetId="15"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647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648__FDSAUDITLINK__" localSheetId="15"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648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649__FDSAUDITLINK__" localSheetId="15"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649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65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65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650__FDSAUDITLINK__" localSheetId="15"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650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651__FDSAUDITLINK__" localSheetId="15"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651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652__FDSAUDITLINK__" localSheetId="15"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652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653__FDSAUDITLINK__" localSheetId="15"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653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654__FDSAUDITLINK__" localSheetId="15"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654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655__FDSAUDITLINK__" localSheetId="15"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655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656__FDSAUDITLINK__" localSheetId="15"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656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657__FDSAUDITLINK__" localSheetId="15"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657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658__FDSAUDITLINK__" localSheetId="15"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658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659__FDSAUDITLINK__" localSheetId="15"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659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66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66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660__FDSAUDITLINK__" localSheetId="15"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660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661__FDSAUDITLINK__" localSheetId="15"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661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662__FDSAUDITLINK__" localSheetId="15"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662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663__FDSAUDITLINK__" localSheetId="15"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663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664__FDSAUDITLINK__" localSheetId="15"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664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665__FDSAUDITLINK__" localSheetId="15"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665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666__FDSAUDITLINK__" localSheetId="15"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666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667__FDSAUDITLINK__" localSheetId="15" hidden="1">{"fdsup://Directions/FactSet Auditing Viewer?action=AUDIT_VALUE&amp;DB=129&amp;ID1=58711810&amp;VALUEID=13040&amp;SDATE=200702&amp;PERIODTYPE=QTR_STD&amp;window=popup_no_bar&amp;width=385&amp;height=120&amp;START_MAXIMIZED=FALSE&amp;creator=factset&amp;display_string=Audit"}</definedName>
    <definedName name="_2667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668__FDSAUDITLINK__" localSheetId="15" hidden="1">{"fdsup://Directions/FactSet Auditing Viewer?action=AUDIT_VALUE&amp;DB=129&amp;ID1=58711810&amp;VALUEID=13040&amp;SDATE=200701&amp;PERIODTYPE=QTR_STD&amp;window=popup_no_bar&amp;width=385&amp;height=120&amp;START_MAXIMIZED=FALSE&amp;creator=factset&amp;display_string=Audit"}</definedName>
    <definedName name="_2668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669__FDSAUDITLINK__" localSheetId="15" hidden="1">{"fdsup://Directions/FactSet Auditing Viewer?action=AUDIT_VALUE&amp;DB=129&amp;ID1=58711810&amp;VALUEID=13040&amp;SDATE=200703&amp;PERIODTYPE=QTR_STD&amp;window=popup_no_bar&amp;width=385&amp;height=120&amp;START_MAXIMIZED=FALSE&amp;creator=factset&amp;display_string=Audit"}</definedName>
    <definedName name="_2669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67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67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670__FDSAUDITLINK__" localSheetId="15" hidden="1">{"fdsup://Directions/FactSet Auditing Viewer?action=AUDIT_VALUE&amp;DB=129&amp;ID1=58711810&amp;VALUEID=13040&amp;SDATE=200802&amp;PERIODTYPE=QTR_STD&amp;window=popup_no_bar&amp;width=385&amp;height=120&amp;START_MAXIMIZED=FALSE&amp;creator=factset&amp;display_string=Audit"}</definedName>
    <definedName name="_2670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671__FDSAUDITLINK__" localSheetId="15" hidden="1">{"fdsup://Directions/FactSet Auditing Viewer?action=AUDIT_VALUE&amp;DB=129&amp;ID1=58711810&amp;VALUEID=13040&amp;SDATE=200801&amp;PERIODTYPE=QTR_STD&amp;window=popup_no_bar&amp;width=385&amp;height=120&amp;START_MAXIMIZED=FALSE&amp;creator=factset&amp;display_string=Audit"}</definedName>
    <definedName name="_267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672__FDSAUDITLINK__" localSheetId="15"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672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673__FDSAUDITLINK__" localSheetId="15" hidden="1">{"fdsup://Directions/FactSet Auditing Viewer?action=AUDIT_VALUE&amp;DB=129&amp;ID1=58711810&amp;VALUEID=13040&amp;SDATE=200803&amp;PERIODTYPE=QTR_STD&amp;window=popup_no_bar&amp;width=385&amp;height=120&amp;START_MAXIMIZED=FALSE&amp;creator=factset&amp;display_string=Audit"}</definedName>
    <definedName name="_2673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674__FDSAUDITLINK__" localSheetId="15" hidden="1">{"fdsup://Directions/FactSet Auditing Viewer?action=AUDIT_VALUE&amp;DB=129&amp;ID1=58711810&amp;VALUEID=13040&amp;SDATE=200902&amp;PERIODTYPE=QTR_STD&amp;window=popup_no_bar&amp;width=385&amp;height=120&amp;START_MAXIMIZED=FALSE&amp;creator=factset&amp;display_string=Audit"}</definedName>
    <definedName name="_2674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675__FDSAUDITLINK__" localSheetId="15"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675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676__FDSAUDITLINK__" localSheetId="15" hidden="1">{"fdsup://Directions/FactSet Auditing Viewer?action=AUDIT_VALUE&amp;DB=129&amp;ID1=58711810&amp;VALUEID=13040&amp;SDATE=200903&amp;PERIODTYPE=QTR_STD&amp;window=popup_no_bar&amp;width=385&amp;height=120&amp;START_MAXIMIZED=FALSE&amp;creator=factset&amp;display_string=Audit"}</definedName>
    <definedName name="_2676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677__FDSAUDITLINK__" localSheetId="15" hidden="1">{"fdsup://Directions/FactSet Auditing Viewer?action=AUDIT_VALUE&amp;DB=129&amp;ID1=58711810&amp;VALUEID=13040&amp;SDATE=200602&amp;PERIODTYPE=QTR_STD&amp;window=popup_no_bar&amp;width=385&amp;height=120&amp;START_MAXIMIZED=FALSE&amp;creator=factset&amp;display_string=Audit"}</definedName>
    <definedName name="_2677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678__FDSAUDITLINK__" localSheetId="15" hidden="1">{"fdsup://Directions/FactSet Auditing Viewer?action=AUDIT_VALUE&amp;DB=129&amp;ID1=58711810&amp;VALUEID=13040&amp;SDATE=200601&amp;PERIODTYPE=QTR_STD&amp;window=popup_no_bar&amp;width=385&amp;height=120&amp;START_MAXIMIZED=FALSE&amp;creator=factset&amp;display_string=Audit"}</definedName>
    <definedName name="_2678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679__FDSAUDITLINK__" localSheetId="15"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67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68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68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680__FDSAUDITLINK__" localSheetId="15" hidden="1">{"fdsup://Directions/FactSet Auditing Viewer?action=AUDIT_VALUE&amp;DB=129&amp;ID1=58711810&amp;VALUEID=13040&amp;SDATE=200603&amp;PERIODTYPE=QTR_STD&amp;window=popup_no_bar&amp;width=385&amp;height=120&amp;START_MAXIMIZED=FALSE&amp;creator=factset&amp;display_string=Audit"}</definedName>
    <definedName name="_2680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681__FDSAUDITLINK__" localSheetId="15"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681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682__FDSAUDITLINK__" localSheetId="15" hidden="1">{"fdsup://Directions/FactSet Auditing Viewer?action=AUDIT_VALUE&amp;DB=129&amp;ID1=58711810&amp;VALUEID=13040&amp;SDATE=201001&amp;PERIODTYPE=QTR_STD&amp;window=popup_no_bar&amp;width=385&amp;height=120&amp;START_MAXIMIZED=FALSE&amp;creator=factset&amp;display_string=Audit"}</definedName>
    <definedName name="_2682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683__FDSAUDITLINK__" localSheetId="15" hidden="1">{"fdsup://Directions/FactSet Auditing Viewer?action=AUDIT_VALUE&amp;DB=129&amp;ID1=58711810&amp;VALUEID=13040&amp;SDATE=200904&amp;PERIODTYPE=QTR_STD&amp;window=popup_no_bar&amp;width=385&amp;height=120&amp;START_MAXIMIZED=FALSE&amp;creator=factset&amp;display_string=Audit"}</definedName>
    <definedName name="_2683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684__FDSAUDITLINK__" localSheetId="15"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684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685__FDSAUDITLINK__" localSheetId="15" hidden="1">{"fdsup://Directions/FactSet Auditing Viewer?action=AUDIT_VALUE&amp;DB=129&amp;ID1=87416110&amp;VALUEID=01001&amp;SDATE=201001&amp;PERIODTYPE=QTR_STD&amp;window=popup_no_bar&amp;width=385&amp;height=120&amp;START_MAXIMIZED=FALSE&amp;creator=factset&amp;display_string=Audit"}</definedName>
    <definedName name="_268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2686__FDSAUDITLINK__" localSheetId="15" hidden="1">{"fdsup://Directions/FactSet Auditing Viewer?action=AUDIT_VALUE&amp;DB=129&amp;ID1=58711810&amp;VALUEID=01001&amp;SDATE=201001&amp;PERIODTYPE=QTR_STD&amp;window=popup_no_bar&amp;width=385&amp;height=120&amp;START_MAXIMIZED=FALSE&amp;creator=factset&amp;display_string=Audit"}</definedName>
    <definedName name="_2686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687__FDSAUDITLINK__" localSheetId="15" hidden="1">{"fdsup://Directions/FactSet Auditing Viewer?action=AUDIT_VALUE&amp;DB=129&amp;ID1=53271610&amp;VALUEID=01001&amp;SDATE=201001&amp;PERIODTYPE=QTR_STD&amp;window=popup_no_bar&amp;width=385&amp;height=120&amp;START_MAXIMIZED=FALSE&amp;creator=factset&amp;display_string=Audit"}</definedName>
    <definedName name="_2687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2688__FDSAUDITLINK__" localSheetId="15" hidden="1">{"fdsup://Directions/FactSet Auditing Viewer?action=AUDIT_VALUE&amp;DB=129&amp;ID1=46612H40&amp;VALUEID=01001&amp;SDATE=201001&amp;PERIODTYPE=QTR_STD&amp;window=popup_no_bar&amp;width=385&amp;height=120&amp;START_MAXIMIZED=FALSE&amp;creator=factset&amp;display_string=Audit"}</definedName>
    <definedName name="_2688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2689__FDSAUDITLINK__" localSheetId="15" hidden="1">{"fdsup://Directions/FactSet Auditing Viewer?action=AUDIT_VALUE&amp;DB=129&amp;ID1=36476010&amp;VALUEID=01001&amp;SDATE=201001&amp;PERIODTYPE=QTR_STD&amp;window=popup_no_bar&amp;width=385&amp;height=120&amp;START_MAXIMIZED=FALSE&amp;creator=factset&amp;display_string=Audit"}</definedName>
    <definedName name="_2689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269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69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690__FDSAUDITLINK__" localSheetId="15" hidden="1">{"fdsup://Directions/FactSet Auditing Viewer?action=AUDIT_VALUE&amp;DB=129&amp;ID1=03611510&amp;VALUEID=01001&amp;SDATE=201001&amp;PERIODTYPE=QTR_STD&amp;window=popup_no_bar&amp;width=385&amp;height=120&amp;START_MAXIMIZED=FALSE&amp;creator=factset&amp;display_string=Audit"}</definedName>
    <definedName name="_2690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691__FDSAUDITLINK__" localSheetId="15" hidden="1">{"fdsup://Directions/FactSet Auditing Viewer?action=AUDIT_VALUE&amp;DB=129&amp;ID1=40377710&amp;VALUEID=01001&amp;SDATE=201001&amp;PERIODTYPE=QTR_STD&amp;window=popup_no_bar&amp;width=385&amp;height=120&amp;START_MAXIMIZED=FALSE&amp;creator=factset&amp;display_string=Audit"}</definedName>
    <definedName name="_269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2692__FDSAUDITLINK__" localSheetId="15" hidden="1">{"fdsup://Directions/FactSet Auditing Viewer?action=AUDIT_VALUE&amp;DB=129&amp;ID1=16890510&amp;VALUEID=01001&amp;SDATE=201001&amp;PERIODTYPE=QTR_STD&amp;window=popup_no_bar&amp;width=385&amp;height=120&amp;START_MAXIMIZED=FALSE&amp;creator=factset&amp;display_string=Audit"}</definedName>
    <definedName name="_269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2693__FDSAUDITLINK__" localSheetId="15" hidden="1">{"fdsup://Directions/FactSet Auditing Viewer?action=AUDIT_VALUE&amp;DB=129&amp;ID1=91704710&amp;VALUEID=01001&amp;SDATE=201001&amp;PERIODTYPE=QTR_STD&amp;window=popup_no_bar&amp;width=385&amp;height=120&amp;START_MAXIMIZED=FALSE&amp;creator=factset&amp;display_string=Audit"}</definedName>
    <definedName name="_2693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2694__FDSAUDITLINK__" localSheetId="15" hidden="1">{"fdsup://Directions/FactSet Auditing Viewer?action=AUDIT_VALUE&amp;DB=129&amp;ID1=02553E10&amp;VALUEID=01001&amp;SDATE=201001&amp;PERIODTYPE=QTR_STD&amp;window=popup_no_bar&amp;width=385&amp;height=120&amp;START_MAXIMIZED=FALSE&amp;creator=factset&amp;display_string=Audit"}</definedName>
    <definedName name="_2694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2695__FDSAUDITLINK__" localSheetId="15" hidden="1">{"fdsup://Directions/FactSet Auditing Viewer?action=AUDIT_VALUE&amp;DB=129&amp;ID1=00786510&amp;VALUEID=01001&amp;SDATE=201001&amp;PERIODTYPE=QTR_STD&amp;window=popup_no_bar&amp;width=385&amp;height=120&amp;START_MAXIMIZED=FALSE&amp;creator=factset&amp;display_string=Audit"}</definedName>
    <definedName name="_2695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2696__FDSAUDITLINK__" localSheetId="15" hidden="1">{"fdsup://Directions/FactSet Auditing Viewer?action=AUDIT_VALUE&amp;DB=129&amp;ID1=00289620&amp;VALUEID=01001&amp;SDATE=201001&amp;PERIODTYPE=QTR_STD&amp;window=popup_no_bar&amp;width=385&amp;height=120&amp;START_MAXIMIZED=FALSE&amp;creator=factset&amp;display_string=Audit"}</definedName>
    <definedName name="_2696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2697__FDSAUDITLINK__" localSheetId="15" hidden="1">{"fdsup://Directions/FactSet Auditing Viewer?action=AUDIT_VALUE&amp;DB=129&amp;ID1=26157010&amp;VALUEID=13040&amp;SDATE=200602&amp;PERIODTYPE=QTR_STD&amp;window=popup_no_bar&amp;width=385&amp;height=120&amp;START_MAXIMIZED=FALSE&amp;creator=factset&amp;display_string=Audit"}</definedName>
    <definedName name="_2697__FDSAUDITLINK__" hidden="1">{"fdsup://Directions/FactSet Auditing Viewer?action=AUDIT_VALUE&amp;DB=129&amp;ID1=26157010&amp;VALUEID=13040&amp;SDATE=200602&amp;PERIODTYPE=QTR_STD&amp;window=popup_no_bar&amp;width=385&amp;height=120&amp;START_MAXIMIZED=FALSE&amp;creator=factset&amp;display_string=Audit"}</definedName>
    <definedName name="_2698__FDSAUDITLINK__" localSheetId="15" hidden="1">{"fdsup://Directions/FactSet Auditing Viewer?action=AUDIT_VALUE&amp;DB=129&amp;ID1=26157010&amp;VALUEID=01001&amp;SDATE=200602&amp;PERIODTYPE=QTR_STD&amp;window=popup_no_bar&amp;width=385&amp;height=120&amp;START_MAXIMIZED=FALSE&amp;creator=factset&amp;display_string=Audit"}</definedName>
    <definedName name="_2698__FDSAUDITLINK__" hidden="1">{"fdsup://Directions/FactSet Auditing Viewer?action=AUDIT_VALUE&amp;DB=129&amp;ID1=26157010&amp;VALUEID=01001&amp;SDATE=200602&amp;PERIODTYPE=QTR_STD&amp;window=popup_no_bar&amp;width=385&amp;height=120&amp;START_MAXIMIZED=FALSE&amp;creator=factset&amp;display_string=Audit"}</definedName>
    <definedName name="_2699__FDSAUDITLINK__" localSheetId="15" hidden="1">{"fdsup://Directions/FactSet Auditing Viewer?action=AUDIT_VALUE&amp;DB=129&amp;ID1=26157010&amp;VALUEID=02101&amp;SDATE=200602&amp;PERIODTYPE=QTR_STD&amp;window=popup_no_bar&amp;width=385&amp;height=120&amp;START_MAXIMIZED=FALSE&amp;creator=factset&amp;display_string=Audit"}</definedName>
    <definedName name="_2699__FDSAUDITLINK__" hidden="1">{"fdsup://Directions/FactSet Auditing Viewer?action=AUDIT_VALUE&amp;DB=129&amp;ID1=26157010&amp;VALUEID=02101&amp;SDATE=200602&amp;PERIODTYPE=QTR_STD&amp;window=popup_no_bar&amp;width=385&amp;height=120&amp;START_MAXIMIZED=FALSE&amp;creator=factset&amp;display_string=Audit"}</definedName>
    <definedName name="_2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7__FDSAUDITLINK__" hidden="1">{"fdsup://Directions/FactSet Auditing Viewer?action=AUDIT_VALUE&amp;DB=129&amp;ID1=86923310&amp;VALUEID=01001&amp;SDATE=2009&amp;PERIODTYPE=ANN_STD&amp;window=popup_no_bar&amp;width=385&amp;height=120&amp;START_MAXIMIZED=FALSE&amp;creator=factset&amp;display_string=Audit"}</definedName>
    <definedName name="_270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70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700__FDSAUDITLINK__" localSheetId="15" hidden="1">{"fdsup://Directions/FactSet Auditing Viewer?action=AUDIT_VALUE&amp;DB=129&amp;ID1=26157010&amp;VALUEID=13040&amp;SDATE=200603&amp;PERIODTYPE=QTR_STD&amp;window=popup_no_bar&amp;width=385&amp;height=120&amp;START_MAXIMIZED=FALSE&amp;creator=factset&amp;display_string=Audit"}</definedName>
    <definedName name="_2700__FDSAUDITLINK__" hidden="1">{"fdsup://Directions/FactSet Auditing Viewer?action=AUDIT_VALUE&amp;DB=129&amp;ID1=26157010&amp;VALUEID=13040&amp;SDATE=200603&amp;PERIODTYPE=QTR_STD&amp;window=popup_no_bar&amp;width=385&amp;height=120&amp;START_MAXIMIZED=FALSE&amp;creator=factset&amp;display_string=Audit"}</definedName>
    <definedName name="_2701__FDSAUDITLINK__" localSheetId="15" hidden="1">{"fdsup://Directions/FactSet Auditing Viewer?action=AUDIT_VALUE&amp;DB=129&amp;ID1=26157010&amp;VALUEID=01001&amp;SDATE=200603&amp;PERIODTYPE=QTR_STD&amp;window=popup_no_bar&amp;width=385&amp;height=120&amp;START_MAXIMIZED=FALSE&amp;creator=factset&amp;display_string=Audit"}</definedName>
    <definedName name="_2701__FDSAUDITLINK__" hidden="1">{"fdsup://Directions/FactSet Auditing Viewer?action=AUDIT_VALUE&amp;DB=129&amp;ID1=26157010&amp;VALUEID=01001&amp;SDATE=200603&amp;PERIODTYPE=QTR_STD&amp;window=popup_no_bar&amp;width=385&amp;height=120&amp;START_MAXIMIZED=FALSE&amp;creator=factset&amp;display_string=Audit"}</definedName>
    <definedName name="_2702__FDSAUDITLINK__" localSheetId="15" hidden="1">{"fdsup://Directions/FactSet Auditing Viewer?action=AUDIT_VALUE&amp;DB=129&amp;ID1=26157010&amp;VALUEID=02101&amp;SDATE=200603&amp;PERIODTYPE=QTR_STD&amp;window=popup_no_bar&amp;width=385&amp;height=120&amp;START_MAXIMIZED=FALSE&amp;creator=factset&amp;display_string=Audit"}</definedName>
    <definedName name="_2702__FDSAUDITLINK__" hidden="1">{"fdsup://Directions/FactSet Auditing Viewer?action=AUDIT_VALUE&amp;DB=129&amp;ID1=26157010&amp;VALUEID=02101&amp;SDATE=200603&amp;PERIODTYPE=QTR_STD&amp;window=popup_no_bar&amp;width=385&amp;height=120&amp;START_MAXIMIZED=FALSE&amp;creator=factset&amp;display_string=Audit"}</definedName>
    <definedName name="_2703__FDSAUDITLINK__" localSheetId="15" hidden="1">{"fdsup://Directions/FactSet Auditing Viewer?action=AUDIT_VALUE&amp;DB=129&amp;ID1=26157010&amp;VALUEID=13040&amp;SDATE=200701&amp;PERIODTYPE=QTR_STD&amp;window=popup_no_bar&amp;width=385&amp;height=120&amp;START_MAXIMIZED=FALSE&amp;creator=factset&amp;display_string=Audit"}</definedName>
    <definedName name="_2703__FDSAUDITLINK__" hidden="1">{"fdsup://Directions/FactSet Auditing Viewer?action=AUDIT_VALUE&amp;DB=129&amp;ID1=26157010&amp;VALUEID=13040&amp;SDATE=200701&amp;PERIODTYPE=QTR_STD&amp;window=popup_no_bar&amp;width=385&amp;height=120&amp;START_MAXIMIZED=FALSE&amp;creator=factset&amp;display_string=Audit"}</definedName>
    <definedName name="_2704__FDSAUDITLINK__" localSheetId="15" hidden="1">{"fdsup://Directions/FactSet Auditing Viewer?action=AUDIT_VALUE&amp;DB=129&amp;ID1=26157010&amp;VALUEID=01001&amp;SDATE=200701&amp;PERIODTYPE=QTR_STD&amp;window=popup_no_bar&amp;width=385&amp;height=120&amp;START_MAXIMIZED=FALSE&amp;creator=factset&amp;display_string=Audit"}</definedName>
    <definedName name="_2704__FDSAUDITLINK__" hidden="1">{"fdsup://Directions/FactSet Auditing Viewer?action=AUDIT_VALUE&amp;DB=129&amp;ID1=26157010&amp;VALUEID=01001&amp;SDATE=200701&amp;PERIODTYPE=QTR_STD&amp;window=popup_no_bar&amp;width=385&amp;height=120&amp;START_MAXIMIZED=FALSE&amp;creator=factset&amp;display_string=Audit"}</definedName>
    <definedName name="_2705__FDSAUDITLINK__" localSheetId="15" hidden="1">{"fdsup://Directions/FactSet Auditing Viewer?action=AUDIT_VALUE&amp;DB=129&amp;ID1=26157010&amp;VALUEID=02101&amp;SDATE=200701&amp;PERIODTYPE=QTR_STD&amp;window=popup_no_bar&amp;width=385&amp;height=120&amp;START_MAXIMIZED=FALSE&amp;creator=factset&amp;display_string=Audit"}</definedName>
    <definedName name="_2705__FDSAUDITLINK__" hidden="1">{"fdsup://Directions/FactSet Auditing Viewer?action=AUDIT_VALUE&amp;DB=129&amp;ID1=26157010&amp;VALUEID=02101&amp;SDATE=200701&amp;PERIODTYPE=QTR_STD&amp;window=popup_no_bar&amp;width=385&amp;height=120&amp;START_MAXIMIZED=FALSE&amp;creator=factset&amp;display_string=Audit"}</definedName>
    <definedName name="_2706__FDSAUDITLINK__" localSheetId="15" hidden="1">{"fdsup://Directions/FactSet Auditing Viewer?action=AUDIT_VALUE&amp;DB=129&amp;ID1=26157010&amp;VALUEID=13040&amp;SDATE=200702&amp;PERIODTYPE=QTR_STD&amp;window=popup_no_bar&amp;width=385&amp;height=120&amp;START_MAXIMIZED=FALSE&amp;creator=factset&amp;display_string=Audit"}</definedName>
    <definedName name="_2706__FDSAUDITLINK__" hidden="1">{"fdsup://Directions/FactSet Auditing Viewer?action=AUDIT_VALUE&amp;DB=129&amp;ID1=26157010&amp;VALUEID=13040&amp;SDATE=200702&amp;PERIODTYPE=QTR_STD&amp;window=popup_no_bar&amp;width=385&amp;height=120&amp;START_MAXIMIZED=FALSE&amp;creator=factset&amp;display_string=Audit"}</definedName>
    <definedName name="_2707__FDSAUDITLINK__" localSheetId="15" hidden="1">{"fdsup://Directions/FactSet Auditing Viewer?action=AUDIT_VALUE&amp;DB=129&amp;ID1=26157010&amp;VALUEID=01001&amp;SDATE=200702&amp;PERIODTYPE=QTR_STD&amp;window=popup_no_bar&amp;width=385&amp;height=120&amp;START_MAXIMIZED=FALSE&amp;creator=factset&amp;display_string=Audit"}</definedName>
    <definedName name="_2707__FDSAUDITLINK__" hidden="1">{"fdsup://Directions/FactSet Auditing Viewer?action=AUDIT_VALUE&amp;DB=129&amp;ID1=26157010&amp;VALUEID=01001&amp;SDATE=200702&amp;PERIODTYPE=QTR_STD&amp;window=popup_no_bar&amp;width=385&amp;height=120&amp;START_MAXIMIZED=FALSE&amp;creator=factset&amp;display_string=Audit"}</definedName>
    <definedName name="_2708__FDSAUDITLINK__" localSheetId="15" hidden="1">{"fdsup://Directions/FactSet Auditing Viewer?action=AUDIT_VALUE&amp;DB=129&amp;ID1=26157010&amp;VALUEID=02101&amp;SDATE=200702&amp;PERIODTYPE=QTR_STD&amp;window=popup_no_bar&amp;width=385&amp;height=120&amp;START_MAXIMIZED=FALSE&amp;creator=factset&amp;display_string=Audit"}</definedName>
    <definedName name="_2708__FDSAUDITLINK__" hidden="1">{"fdsup://Directions/FactSet Auditing Viewer?action=AUDIT_VALUE&amp;DB=129&amp;ID1=26157010&amp;VALUEID=02101&amp;SDATE=200702&amp;PERIODTYPE=QTR_STD&amp;window=popup_no_bar&amp;width=385&amp;height=120&amp;START_MAXIMIZED=FALSE&amp;creator=factset&amp;display_string=Audit"}</definedName>
    <definedName name="_2709__FDSAUDITLINK__" localSheetId="15" hidden="1">{"fdsup://Directions/FactSet Auditing Viewer?action=AUDIT_VALUE&amp;DB=129&amp;ID1=26157010&amp;VALUEID=13040&amp;SDATE=200703&amp;PERIODTYPE=QTR_STD&amp;window=popup_no_bar&amp;width=385&amp;height=120&amp;START_MAXIMIZED=FALSE&amp;creator=factset&amp;display_string=Audit"}</definedName>
    <definedName name="_2709__FDSAUDITLINK__" hidden="1">{"fdsup://Directions/FactSet Auditing Viewer?action=AUDIT_VALUE&amp;DB=129&amp;ID1=26157010&amp;VALUEID=13040&amp;SDATE=200703&amp;PERIODTYPE=QTR_STD&amp;window=popup_no_bar&amp;width=385&amp;height=120&amp;START_MAXIMIZED=FALSE&amp;creator=factset&amp;display_string=Audit"}</definedName>
    <definedName name="_27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71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710__FDSAUDITLINK__" localSheetId="15" hidden="1">{"fdsup://Directions/FactSet Auditing Viewer?action=AUDIT_VALUE&amp;DB=129&amp;ID1=26157010&amp;VALUEID=01001&amp;SDATE=200703&amp;PERIODTYPE=QTR_STD&amp;window=popup_no_bar&amp;width=385&amp;height=120&amp;START_MAXIMIZED=FALSE&amp;creator=factset&amp;display_string=Audit"}</definedName>
    <definedName name="_2710__FDSAUDITLINK__" hidden="1">{"fdsup://Directions/FactSet Auditing Viewer?action=AUDIT_VALUE&amp;DB=129&amp;ID1=26157010&amp;VALUEID=01001&amp;SDATE=200703&amp;PERIODTYPE=QTR_STD&amp;window=popup_no_bar&amp;width=385&amp;height=120&amp;START_MAXIMIZED=FALSE&amp;creator=factset&amp;display_string=Audit"}</definedName>
    <definedName name="_2711__FDSAUDITLINK__" localSheetId="15" hidden="1">{"fdsup://Directions/FactSet Auditing Viewer?action=AUDIT_VALUE&amp;DB=129&amp;ID1=26157010&amp;VALUEID=02101&amp;SDATE=200703&amp;PERIODTYPE=QTR_STD&amp;window=popup_no_bar&amp;width=385&amp;height=120&amp;START_MAXIMIZED=FALSE&amp;creator=factset&amp;display_string=Audit"}</definedName>
    <definedName name="_2711__FDSAUDITLINK__" hidden="1">{"fdsup://Directions/FactSet Auditing Viewer?action=AUDIT_VALUE&amp;DB=129&amp;ID1=26157010&amp;VALUEID=02101&amp;SDATE=200703&amp;PERIODTYPE=QTR_STD&amp;window=popup_no_bar&amp;width=385&amp;height=120&amp;START_MAXIMIZED=FALSE&amp;creator=factset&amp;display_string=Audit"}</definedName>
    <definedName name="_2712__FDSAUDITLINK__" localSheetId="15" hidden="1">{"fdsup://Directions/FactSet Auditing Viewer?action=AUDIT_VALUE&amp;DB=129&amp;ID1=26157010&amp;VALUEID=01001&amp;SDATE=200704&amp;PERIODTYPE=QTR_STD&amp;window=popup_no_bar&amp;width=385&amp;height=120&amp;START_MAXIMIZED=FALSE&amp;creator=factset&amp;display_string=Audit"}</definedName>
    <definedName name="_2712__FDSAUDITLINK__" hidden="1">{"fdsup://Directions/FactSet Auditing Viewer?action=AUDIT_VALUE&amp;DB=129&amp;ID1=26157010&amp;VALUEID=01001&amp;SDATE=200704&amp;PERIODTYPE=QTR_STD&amp;window=popup_no_bar&amp;width=385&amp;height=120&amp;START_MAXIMIZED=FALSE&amp;creator=factset&amp;display_string=Audit"}</definedName>
    <definedName name="_2713__FDSAUDITLINK__" localSheetId="15" hidden="1">{"fdsup://Directions/FactSet Auditing Viewer?action=AUDIT_VALUE&amp;DB=129&amp;ID1=26157010&amp;VALUEID=13040&amp;SDATE=200801&amp;PERIODTYPE=QTR_STD&amp;window=popup_no_bar&amp;width=385&amp;height=120&amp;START_MAXIMIZED=FALSE&amp;creator=factset&amp;display_string=Audit"}</definedName>
    <definedName name="_2713__FDSAUDITLINK__" hidden="1">{"fdsup://Directions/FactSet Auditing Viewer?action=AUDIT_VALUE&amp;DB=129&amp;ID1=26157010&amp;VALUEID=13040&amp;SDATE=200801&amp;PERIODTYPE=QTR_STD&amp;window=popup_no_bar&amp;width=385&amp;height=120&amp;START_MAXIMIZED=FALSE&amp;creator=factset&amp;display_string=Audit"}</definedName>
    <definedName name="_2714__FDSAUDITLINK__" localSheetId="15" hidden="1">{"fdsup://Directions/FactSet Auditing Viewer?action=AUDIT_VALUE&amp;DB=129&amp;ID1=26157010&amp;VALUEID=01001&amp;SDATE=200801&amp;PERIODTYPE=QTR_STD&amp;window=popup_no_bar&amp;width=385&amp;height=120&amp;START_MAXIMIZED=FALSE&amp;creator=factset&amp;display_string=Audit"}</definedName>
    <definedName name="_2714__FDSAUDITLINK__" hidden="1">{"fdsup://Directions/FactSet Auditing Viewer?action=AUDIT_VALUE&amp;DB=129&amp;ID1=26157010&amp;VALUEID=01001&amp;SDATE=200801&amp;PERIODTYPE=QTR_STD&amp;window=popup_no_bar&amp;width=385&amp;height=120&amp;START_MAXIMIZED=FALSE&amp;creator=factset&amp;display_string=Audit"}</definedName>
    <definedName name="_2715__FDSAUDITLINK__" localSheetId="15" hidden="1">{"fdsup://Directions/FactSet Auditing Viewer?action=AUDIT_VALUE&amp;DB=129&amp;ID1=26157010&amp;VALUEID=02101&amp;SDATE=200801&amp;PERIODTYPE=QTR_STD&amp;window=popup_no_bar&amp;width=385&amp;height=120&amp;START_MAXIMIZED=FALSE&amp;creator=factset&amp;display_string=Audit"}</definedName>
    <definedName name="_2715__FDSAUDITLINK__" hidden="1">{"fdsup://Directions/FactSet Auditing Viewer?action=AUDIT_VALUE&amp;DB=129&amp;ID1=26157010&amp;VALUEID=02101&amp;SDATE=200801&amp;PERIODTYPE=QTR_STD&amp;window=popup_no_bar&amp;width=385&amp;height=120&amp;START_MAXIMIZED=FALSE&amp;creator=factset&amp;display_string=Audit"}</definedName>
    <definedName name="_2716__FDSAUDITLINK__" localSheetId="15" hidden="1">{"fdsup://Directions/FactSet Auditing Viewer?action=AUDIT_VALUE&amp;DB=129&amp;ID1=26157010&amp;VALUEID=01001&amp;SDATE=200802&amp;PERIODTYPE=QTR_STD&amp;window=popup_no_bar&amp;width=385&amp;height=120&amp;START_MAXIMIZED=FALSE&amp;creator=factset&amp;display_string=Audit"}</definedName>
    <definedName name="_2716__FDSAUDITLINK__" hidden="1">{"fdsup://Directions/FactSet Auditing Viewer?action=AUDIT_VALUE&amp;DB=129&amp;ID1=26157010&amp;VALUEID=01001&amp;SDATE=200802&amp;PERIODTYPE=QTR_STD&amp;window=popup_no_bar&amp;width=385&amp;height=120&amp;START_MAXIMIZED=FALSE&amp;creator=factset&amp;display_string=Audit"}</definedName>
    <definedName name="_2717__FDSAUDITLINK__" localSheetId="15" hidden="1">{"fdsup://Directions/FactSet Auditing Viewer?action=AUDIT_VALUE&amp;DB=129&amp;ID1=26157010&amp;VALUEID=02101&amp;SDATE=200802&amp;PERIODTYPE=QTR_STD&amp;window=popup_no_bar&amp;width=385&amp;height=120&amp;START_MAXIMIZED=FALSE&amp;creator=factset&amp;display_string=Audit"}</definedName>
    <definedName name="_2717__FDSAUDITLINK__" hidden="1">{"fdsup://Directions/FactSet Auditing Viewer?action=AUDIT_VALUE&amp;DB=129&amp;ID1=26157010&amp;VALUEID=02101&amp;SDATE=200802&amp;PERIODTYPE=QTR_STD&amp;window=popup_no_bar&amp;width=385&amp;height=120&amp;START_MAXIMIZED=FALSE&amp;creator=factset&amp;display_string=Audit"}</definedName>
    <definedName name="_2718__FDSAUDITLINK__" localSheetId="15" hidden="1">{"fdsup://Directions/FactSet Auditing Viewer?action=AUDIT_VALUE&amp;DB=129&amp;ID1=26157010&amp;VALUEID=13040&amp;SDATE=200803&amp;PERIODTYPE=QTR_STD&amp;window=popup_no_bar&amp;width=385&amp;height=120&amp;START_MAXIMIZED=FALSE&amp;creator=factset&amp;display_string=Audit"}</definedName>
    <definedName name="_2718__FDSAUDITLINK__" hidden="1">{"fdsup://Directions/FactSet Auditing Viewer?action=AUDIT_VALUE&amp;DB=129&amp;ID1=26157010&amp;VALUEID=13040&amp;SDATE=200803&amp;PERIODTYPE=QTR_STD&amp;window=popup_no_bar&amp;width=385&amp;height=120&amp;START_MAXIMIZED=FALSE&amp;creator=factset&amp;display_string=Audit"}</definedName>
    <definedName name="_2719__FDSAUDITLINK__" localSheetId="15" hidden="1">{"fdsup://Directions/FactSet Auditing Viewer?action=AUDIT_VALUE&amp;DB=129&amp;ID1=26157010&amp;VALUEID=01001&amp;SDATE=200803&amp;PERIODTYPE=QTR_STD&amp;window=popup_no_bar&amp;width=385&amp;height=120&amp;START_MAXIMIZED=FALSE&amp;creator=factset&amp;display_string=Audit"}</definedName>
    <definedName name="_2719__FDSAUDITLINK__" hidden="1">{"fdsup://Directions/FactSet Auditing Viewer?action=AUDIT_VALUE&amp;DB=129&amp;ID1=26157010&amp;VALUEID=01001&amp;SDATE=200803&amp;PERIODTYPE=QTR_STD&amp;window=popup_no_bar&amp;width=385&amp;height=120&amp;START_MAXIMIZED=FALSE&amp;creator=factset&amp;display_string=Audit"}</definedName>
    <definedName name="_27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72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720__FDSAUDITLINK__" localSheetId="15" hidden="1">{"fdsup://Directions/FactSet Auditing Viewer?action=AUDIT_VALUE&amp;DB=129&amp;ID1=26157010&amp;VALUEID=02101&amp;SDATE=200803&amp;PERIODTYPE=QTR_STD&amp;window=popup_no_bar&amp;width=385&amp;height=120&amp;START_MAXIMIZED=FALSE&amp;creator=factset&amp;display_string=Audit"}</definedName>
    <definedName name="_2720__FDSAUDITLINK__" hidden="1">{"fdsup://Directions/FactSet Auditing Viewer?action=AUDIT_VALUE&amp;DB=129&amp;ID1=26157010&amp;VALUEID=02101&amp;SDATE=200803&amp;PERIODTYPE=QTR_STD&amp;window=popup_no_bar&amp;width=385&amp;height=120&amp;START_MAXIMIZED=FALSE&amp;creator=factset&amp;display_string=Audit"}</definedName>
    <definedName name="_2721__FDSAUDITLINK__" localSheetId="15" hidden="1">{"fdsup://Directions/FactSet Auditing Viewer?action=AUDIT_VALUE&amp;DB=129&amp;ID1=26157010&amp;VALUEID=13040&amp;SDATE=200901&amp;PERIODTYPE=QTR_STD&amp;window=popup_no_bar&amp;width=385&amp;height=120&amp;START_MAXIMIZED=FALSE&amp;creator=factset&amp;display_string=Audit"}</definedName>
    <definedName name="_2721__FDSAUDITLINK__" hidden="1">{"fdsup://Directions/FactSet Auditing Viewer?action=AUDIT_VALUE&amp;DB=129&amp;ID1=26157010&amp;VALUEID=13040&amp;SDATE=200901&amp;PERIODTYPE=QTR_STD&amp;window=popup_no_bar&amp;width=385&amp;height=120&amp;START_MAXIMIZED=FALSE&amp;creator=factset&amp;display_string=Audit"}</definedName>
    <definedName name="_2722__FDSAUDITLINK__" localSheetId="15" hidden="1">{"fdsup://Directions/FactSet Auditing Viewer?action=AUDIT_VALUE&amp;DB=129&amp;ID1=26157010&amp;VALUEID=01001&amp;SDATE=200901&amp;PERIODTYPE=QTR_STD&amp;window=popup_no_bar&amp;width=385&amp;height=120&amp;START_MAXIMIZED=FALSE&amp;creator=factset&amp;display_string=Audit"}</definedName>
    <definedName name="_2722__FDSAUDITLINK__" hidden="1">{"fdsup://Directions/FactSet Auditing Viewer?action=AUDIT_VALUE&amp;DB=129&amp;ID1=26157010&amp;VALUEID=01001&amp;SDATE=200901&amp;PERIODTYPE=QTR_STD&amp;window=popup_no_bar&amp;width=385&amp;height=120&amp;START_MAXIMIZED=FALSE&amp;creator=factset&amp;display_string=Audit"}</definedName>
    <definedName name="_2723__FDSAUDITLINK__" localSheetId="15" hidden="1">{"fdsup://Directions/FactSet Auditing Viewer?action=AUDIT_VALUE&amp;DB=129&amp;ID1=26157010&amp;VALUEID=02101&amp;SDATE=200901&amp;PERIODTYPE=QTR_STD&amp;window=popup_no_bar&amp;width=385&amp;height=120&amp;START_MAXIMIZED=FALSE&amp;creator=factset&amp;display_string=Audit"}</definedName>
    <definedName name="_2723__FDSAUDITLINK__" hidden="1">{"fdsup://Directions/FactSet Auditing Viewer?action=AUDIT_VALUE&amp;DB=129&amp;ID1=26157010&amp;VALUEID=02101&amp;SDATE=200901&amp;PERIODTYPE=QTR_STD&amp;window=popup_no_bar&amp;width=385&amp;height=120&amp;START_MAXIMIZED=FALSE&amp;creator=factset&amp;display_string=Audit"}</definedName>
    <definedName name="_2724__FDSAUDITLINK__" localSheetId="15" hidden="1">{"fdsup://Directions/FactSet Auditing Viewer?action=AUDIT_VALUE&amp;DB=129&amp;ID1=26157010&amp;VALUEID=13040&amp;SDATE=200902&amp;PERIODTYPE=QTR_STD&amp;window=popup_no_bar&amp;width=385&amp;height=120&amp;START_MAXIMIZED=FALSE&amp;creator=factset&amp;display_string=Audit"}</definedName>
    <definedName name="_2724__FDSAUDITLINK__" hidden="1">{"fdsup://Directions/FactSet Auditing Viewer?action=AUDIT_VALUE&amp;DB=129&amp;ID1=26157010&amp;VALUEID=13040&amp;SDATE=200902&amp;PERIODTYPE=QTR_STD&amp;window=popup_no_bar&amp;width=385&amp;height=120&amp;START_MAXIMIZED=FALSE&amp;creator=factset&amp;display_string=Audit"}</definedName>
    <definedName name="_2725__FDSAUDITLINK__" localSheetId="15" hidden="1">{"fdsup://Directions/FactSet Auditing Viewer?action=AUDIT_VALUE&amp;DB=129&amp;ID1=26157010&amp;VALUEID=01001&amp;SDATE=200902&amp;PERIODTYPE=QTR_STD&amp;window=popup_no_bar&amp;width=385&amp;height=120&amp;START_MAXIMIZED=FALSE&amp;creator=factset&amp;display_string=Audit"}</definedName>
    <definedName name="_2725__FDSAUDITLINK__" hidden="1">{"fdsup://Directions/FactSet Auditing Viewer?action=AUDIT_VALUE&amp;DB=129&amp;ID1=26157010&amp;VALUEID=01001&amp;SDATE=200902&amp;PERIODTYPE=QTR_STD&amp;window=popup_no_bar&amp;width=385&amp;height=120&amp;START_MAXIMIZED=FALSE&amp;creator=factset&amp;display_string=Audit"}</definedName>
    <definedName name="_2726__FDSAUDITLINK__" localSheetId="15" hidden="1">{"fdsup://Directions/FactSet Auditing Viewer?action=AUDIT_VALUE&amp;DB=129&amp;ID1=26157010&amp;VALUEID=02101&amp;SDATE=200902&amp;PERIODTYPE=QTR_STD&amp;window=popup_no_bar&amp;width=385&amp;height=120&amp;START_MAXIMIZED=FALSE&amp;creator=factset&amp;display_string=Audit"}</definedName>
    <definedName name="_2726__FDSAUDITLINK__" hidden="1">{"fdsup://Directions/FactSet Auditing Viewer?action=AUDIT_VALUE&amp;DB=129&amp;ID1=26157010&amp;VALUEID=02101&amp;SDATE=200902&amp;PERIODTYPE=QTR_STD&amp;window=popup_no_bar&amp;width=385&amp;height=120&amp;START_MAXIMIZED=FALSE&amp;creator=factset&amp;display_string=Audit"}</definedName>
    <definedName name="_2727__FDSAUDITLINK__" localSheetId="15" hidden="1">{"fdsup://Directions/FactSet Auditing Viewer?action=AUDIT_VALUE&amp;DB=129&amp;ID1=26157010&amp;VALUEID=01001&amp;SDATE=200904&amp;PERIODTYPE=QTR_STD&amp;window=popup_no_bar&amp;width=385&amp;height=120&amp;START_MAXIMIZED=FALSE&amp;creator=factset&amp;display_string=Audit"}</definedName>
    <definedName name="_2727__FDSAUDITLINK__" hidden="1">{"fdsup://Directions/FactSet Auditing Viewer?action=AUDIT_VALUE&amp;DB=129&amp;ID1=26157010&amp;VALUEID=01001&amp;SDATE=200904&amp;PERIODTYPE=QTR_STD&amp;window=popup_no_bar&amp;width=385&amp;height=120&amp;START_MAXIMIZED=FALSE&amp;creator=factset&amp;display_string=Audit"}</definedName>
    <definedName name="_2728__FDSAUDITLINK__" localSheetId="15" hidden="1">{"fdsup://Directions/FactSet Auditing Viewer?action=AUDIT_VALUE&amp;DB=129&amp;ID1=26157010&amp;VALUEID=13040&amp;SDATE=201001&amp;PERIODTYPE=QTR_STD&amp;window=popup_no_bar&amp;width=385&amp;height=120&amp;START_MAXIMIZED=FALSE&amp;creator=factset&amp;display_string=Audit"}</definedName>
    <definedName name="_2728__FDSAUDITLINK__" hidden="1">{"fdsup://Directions/FactSet Auditing Viewer?action=AUDIT_VALUE&amp;DB=129&amp;ID1=26157010&amp;VALUEID=13040&amp;SDATE=201001&amp;PERIODTYPE=QTR_STD&amp;window=popup_no_bar&amp;width=385&amp;height=120&amp;START_MAXIMIZED=FALSE&amp;creator=factset&amp;display_string=Audit"}</definedName>
    <definedName name="_2729__FDSAUDITLINK__" localSheetId="15" hidden="1">{"fdsup://Directions/FactSet Auditing Viewer?action=AUDIT_VALUE&amp;DB=129&amp;ID1=26157010&amp;VALUEID=01001&amp;SDATE=201001&amp;PERIODTYPE=QTR_STD&amp;window=popup_no_bar&amp;width=385&amp;height=120&amp;START_MAXIMIZED=FALSE&amp;creator=factset&amp;display_string=Audit"}</definedName>
    <definedName name="_2729__FDSAUDITLINK__" hidden="1">{"fdsup://Directions/FactSet Auditing Viewer?action=AUDIT_VALUE&amp;DB=129&amp;ID1=26157010&amp;VALUEID=01001&amp;SDATE=201001&amp;PERIODTYPE=QTR_STD&amp;window=popup_no_bar&amp;width=385&amp;height=120&amp;START_MAXIMIZED=FALSE&amp;creator=factset&amp;display_string=Audit"}</definedName>
    <definedName name="_27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73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730__FDSAUDITLINK__" localSheetId="15" hidden="1">{"fdsup://Directions/FactSet Auditing Viewer?action=AUDIT_VALUE&amp;DB=129&amp;ID1=26157010&amp;VALUEID=02101&amp;SDATE=201001&amp;PERIODTYPE=QTR_STD&amp;window=popup_no_bar&amp;width=385&amp;height=120&amp;START_MAXIMIZED=FALSE&amp;creator=factset&amp;display_string=Audit"}</definedName>
    <definedName name="_2730__FDSAUDITLINK__" hidden="1">{"fdsup://Directions/FactSet Auditing Viewer?action=AUDIT_VALUE&amp;DB=129&amp;ID1=26157010&amp;VALUEID=02101&amp;SDATE=201001&amp;PERIODTYPE=QTR_STD&amp;window=popup_no_bar&amp;width=385&amp;height=120&amp;START_MAXIMIZED=FALSE&amp;creator=factset&amp;display_string=Audit"}</definedName>
    <definedName name="_2731__FDSAUDITLINK__" localSheetId="15" hidden="1">{"fdsup://Directions/FactSet Auditing Viewer?action=AUDIT_VALUE&amp;DB=129&amp;ID1=26157010&amp;VALUEID=01001&amp;SDATE=201002&amp;PERIODTYPE=QTR_STD&amp;window=popup_no_bar&amp;width=385&amp;height=120&amp;START_MAXIMIZED=FALSE&amp;creator=factset&amp;display_string=Audit"}</definedName>
    <definedName name="_2731__FDSAUDITLINK__" hidden="1">{"fdsup://Directions/FactSet Auditing Viewer?action=AUDIT_VALUE&amp;DB=129&amp;ID1=26157010&amp;VALUEID=01001&amp;SDATE=201002&amp;PERIODTYPE=QTR_STD&amp;window=popup_no_bar&amp;width=385&amp;height=120&amp;START_MAXIMIZED=FALSE&amp;creator=factset&amp;display_string=Audit"}</definedName>
    <definedName name="_2732__FDSAUDITLINK__" localSheetId="15" hidden="1">{"fdsup://Directions/FactSet Auditing Viewer?action=AUDIT_VALUE&amp;DB=129&amp;ID1=26157010&amp;VALUEID=02101&amp;SDATE=201002&amp;PERIODTYPE=QTR_STD&amp;window=popup_no_bar&amp;width=385&amp;height=120&amp;START_MAXIMIZED=FALSE&amp;creator=factset&amp;display_string=Audit"}</definedName>
    <definedName name="_2732__FDSAUDITLINK__" hidden="1">{"fdsup://Directions/FactSet Auditing Viewer?action=AUDIT_VALUE&amp;DB=129&amp;ID1=26157010&amp;VALUEID=02101&amp;SDATE=201002&amp;PERIODTYPE=QTR_STD&amp;window=popup_no_bar&amp;width=385&amp;height=120&amp;START_MAXIMIZED=FALSE&amp;creator=factset&amp;display_string=Audit"}</definedName>
    <definedName name="_2733__FDSAUDITLINK__" localSheetId="15" hidden="1">{"fdsup://Directions/FactSet Auditing Viewer?action=AUDIT_VALUE&amp;DB=129&amp;ID1=26157010&amp;VALUEID=13040&amp;SDATE=201003&amp;PERIODTYPE=QTR_STD&amp;window=popup_no_bar&amp;width=385&amp;height=120&amp;START_MAXIMIZED=FALSE&amp;creator=factset&amp;display_string=Audit"}</definedName>
    <definedName name="_2733__FDSAUDITLINK__" hidden="1">{"fdsup://Directions/FactSet Auditing Viewer?action=AUDIT_VALUE&amp;DB=129&amp;ID1=26157010&amp;VALUEID=13040&amp;SDATE=201003&amp;PERIODTYPE=QTR_STD&amp;window=popup_no_bar&amp;width=385&amp;height=120&amp;START_MAXIMIZED=FALSE&amp;creator=factset&amp;display_string=Audit"}</definedName>
    <definedName name="_2734__FDSAUDITLINK__" localSheetId="15" hidden="1">{"fdsup://Directions/FactSet Auditing Viewer?action=AUDIT_VALUE&amp;DB=129&amp;ID1=26157010&amp;VALUEID=01001&amp;SDATE=201003&amp;PERIODTYPE=QTR_STD&amp;window=popup_no_bar&amp;width=385&amp;height=120&amp;START_MAXIMIZED=FALSE&amp;creator=factset&amp;display_string=Audit"}</definedName>
    <definedName name="_2734__FDSAUDITLINK__" hidden="1">{"fdsup://Directions/FactSet Auditing Viewer?action=AUDIT_VALUE&amp;DB=129&amp;ID1=26157010&amp;VALUEID=01001&amp;SDATE=201003&amp;PERIODTYPE=QTR_STD&amp;window=popup_no_bar&amp;width=385&amp;height=120&amp;START_MAXIMIZED=FALSE&amp;creator=factset&amp;display_string=Audit"}</definedName>
    <definedName name="_2735__FDSAUDITLINK__" localSheetId="15" hidden="1">{"fdsup://Directions/FactSet Auditing Viewer?action=AUDIT_VALUE&amp;DB=129&amp;ID1=26157010&amp;VALUEID=02101&amp;SDATE=201003&amp;PERIODTYPE=QTR_STD&amp;window=popup_no_bar&amp;width=385&amp;height=120&amp;START_MAXIMIZED=FALSE&amp;creator=factset&amp;display_string=Audit"}</definedName>
    <definedName name="_2735__FDSAUDITLINK__" hidden="1">{"fdsup://Directions/FactSet Auditing Viewer?action=AUDIT_VALUE&amp;DB=129&amp;ID1=26157010&amp;VALUEID=02101&amp;SDATE=201003&amp;PERIODTYPE=QTR_STD&amp;window=popup_no_bar&amp;width=385&amp;height=120&amp;START_MAXIMIZED=FALSE&amp;creator=factset&amp;display_string=Audit"}</definedName>
    <definedName name="_2736__FDSAUDITLINK__" localSheetId="15" hidden="1">{"fdsup://directions/FAT Viewer?action=UPDATE&amp;creator=factset&amp;DYN_ARGS=TRUE&amp;DOC_NAME=FAT:FQL_AUDITING_CLIENT_TEMPLATE.FAT&amp;display_string=Audit&amp;VAR:KEY=TMTSRWJYFA&amp;VAR:QUERY=RkZfUlRfU0ZfVE9UX0dST1NTKFFUUiwtNDQp&amp;WINDOW=FIRST_POPUP&amp;HEIGHT=450&amp;WIDTH=450&amp;START_MA","XIMIZED=FALSE&amp;VAR:CALENDAR=US&amp;VAR:SYMBOL=DBRN&amp;VAR:INDEX=0"}</definedName>
    <definedName name="_2736__FDSAUDITLINK__" hidden="1">{"fdsup://directions/FAT Viewer?action=UPDATE&amp;creator=factset&amp;DYN_ARGS=TRUE&amp;DOC_NAME=FAT:FQL_AUDITING_CLIENT_TEMPLATE.FAT&amp;display_string=Audit&amp;VAR:KEY=TMTSRWJYFA&amp;VAR:QUERY=RkZfUlRfU0ZfVE9UX0dST1NTKFFUUiwtNDQp&amp;WINDOW=FIRST_POPUP&amp;HEIGHT=450&amp;WIDTH=450&amp;START_MA","XIMIZED=FALSE&amp;VAR:CALENDAR=US&amp;VAR:SYMBOL=DBRN&amp;VAR:INDEX=0"}</definedName>
    <definedName name="_2737__FDSAUDITLINK__" localSheetId="15" hidden="1">{"fdsup://directions/FAT Viewer?action=UPDATE&amp;creator=factset&amp;DYN_ARGS=TRUE&amp;DOC_NAME=FAT:FQL_AUDITING_CLIENT_TEMPLATE.FAT&amp;display_string=Audit&amp;VAR:KEY=ZGPAREJEDG&amp;VAR:QUERY=RkZfUlRfU0ZfVE9UX0dST1NTKFFUUiwtNDMp&amp;WINDOW=FIRST_POPUP&amp;HEIGHT=450&amp;WIDTH=450&amp;START_MA","XIMIZED=FALSE&amp;VAR:CALENDAR=US&amp;VAR:SYMBOL=DBRN&amp;VAR:INDEX=0"}</definedName>
    <definedName name="_2737__FDSAUDITLINK__" hidden="1">{"fdsup://directions/FAT Viewer?action=UPDATE&amp;creator=factset&amp;DYN_ARGS=TRUE&amp;DOC_NAME=FAT:FQL_AUDITING_CLIENT_TEMPLATE.FAT&amp;display_string=Audit&amp;VAR:KEY=ZGPAREJEDG&amp;VAR:QUERY=RkZfUlRfU0ZfVE9UX0dST1NTKFFUUiwtNDMp&amp;WINDOW=FIRST_POPUP&amp;HEIGHT=450&amp;WIDTH=450&amp;START_MA","XIMIZED=FALSE&amp;VAR:CALENDAR=US&amp;VAR:SYMBOL=DBRN&amp;VAR:INDEX=0"}</definedName>
    <definedName name="_2738__FDSAUDITLINK__" localSheetId="15" hidden="1">{"fdsup://directions/FAT Viewer?action=UPDATE&amp;creator=factset&amp;DYN_ARGS=TRUE&amp;DOC_NAME=FAT:FQL_AUDITING_CLIENT_TEMPLATE.FAT&amp;display_string=Audit&amp;VAR:KEY=VOXSREHORM&amp;VAR:QUERY=RkZfUlRfU0ZfVE9UX0dST1NTKFFUUiwtNDIp&amp;WINDOW=FIRST_POPUP&amp;HEIGHT=450&amp;WIDTH=450&amp;START_MA","XIMIZED=FALSE&amp;VAR:CALENDAR=US&amp;VAR:SYMBOL=DBRN&amp;VAR:INDEX=0"}</definedName>
    <definedName name="_2738__FDSAUDITLINK__" hidden="1">{"fdsup://directions/FAT Viewer?action=UPDATE&amp;creator=factset&amp;DYN_ARGS=TRUE&amp;DOC_NAME=FAT:FQL_AUDITING_CLIENT_TEMPLATE.FAT&amp;display_string=Audit&amp;VAR:KEY=VOXSREHORM&amp;VAR:QUERY=RkZfUlRfU0ZfVE9UX0dST1NTKFFUUiwtNDIp&amp;WINDOW=FIRST_POPUP&amp;HEIGHT=450&amp;WIDTH=450&amp;START_MA","XIMIZED=FALSE&amp;VAR:CALENDAR=US&amp;VAR:SYMBOL=DBRN&amp;VAR:INDEX=0"}</definedName>
    <definedName name="_2739__FDSAUDITLINK__" localSheetId="15" hidden="1">{"fdsup://directions/FAT Viewer?action=UPDATE&amp;creator=factset&amp;DYN_ARGS=TRUE&amp;DOC_NAME=FAT:FQL_AUDITING_CLIENT_TEMPLATE.FAT&amp;display_string=Audit&amp;VAR:KEY=VWNGJWDSNC&amp;VAR:QUERY=RkZfUlRfU0ZfVE9UX0dST1NTKFFUUiwtNDEp&amp;WINDOW=FIRST_POPUP&amp;HEIGHT=450&amp;WIDTH=450&amp;START_MA","XIMIZED=FALSE&amp;VAR:CALENDAR=US&amp;VAR:SYMBOL=DBRN&amp;VAR:INDEX=0"}</definedName>
    <definedName name="_2739__FDSAUDITLINK__" hidden="1">{"fdsup://directions/FAT Viewer?action=UPDATE&amp;creator=factset&amp;DYN_ARGS=TRUE&amp;DOC_NAME=FAT:FQL_AUDITING_CLIENT_TEMPLATE.FAT&amp;display_string=Audit&amp;VAR:KEY=VWNGJWDSNC&amp;VAR:QUERY=RkZfUlRfU0ZfVE9UX0dST1NTKFFUUiwtNDEp&amp;WINDOW=FIRST_POPUP&amp;HEIGHT=450&amp;WIDTH=450&amp;START_MA","XIMIZED=FALSE&amp;VAR:CALENDAR=US&amp;VAR:SYMBOL=DBRN&amp;VAR:INDEX=0"}</definedName>
    <definedName name="_27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74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740__FDSAUDITLINK__" localSheetId="15" hidden="1">{"fdsup://directions/FAT Viewer?action=UPDATE&amp;creator=factset&amp;DYN_ARGS=TRUE&amp;DOC_NAME=FAT:FQL_AUDITING_CLIENT_TEMPLATE.FAT&amp;display_string=Audit&amp;VAR:KEY=JGJWPYNKXE&amp;VAR:QUERY=RkZfUlRfU0ZfVE9UX0dST1NTKFFUUiwtNDAp&amp;WINDOW=FIRST_POPUP&amp;HEIGHT=450&amp;WIDTH=450&amp;START_MA","XIMIZED=FALSE&amp;VAR:CALENDAR=US&amp;VAR:SYMBOL=DBRN&amp;VAR:INDEX=0"}</definedName>
    <definedName name="_2740__FDSAUDITLINK__" hidden="1">{"fdsup://directions/FAT Viewer?action=UPDATE&amp;creator=factset&amp;DYN_ARGS=TRUE&amp;DOC_NAME=FAT:FQL_AUDITING_CLIENT_TEMPLATE.FAT&amp;display_string=Audit&amp;VAR:KEY=JGJWPYNKXE&amp;VAR:QUERY=RkZfUlRfU0ZfVE9UX0dST1NTKFFUUiwtNDAp&amp;WINDOW=FIRST_POPUP&amp;HEIGHT=450&amp;WIDTH=450&amp;START_MA","XIMIZED=FALSE&amp;VAR:CALENDAR=US&amp;VAR:SYMBOL=DBRN&amp;VAR:INDEX=0"}</definedName>
    <definedName name="_2741__FDSAUDITLINK__" localSheetId="15" hidden="1">{"fdsup://directions/FAT Viewer?action=UPDATE&amp;creator=factset&amp;DYN_ARGS=TRUE&amp;DOC_NAME=FAT:FQL_AUDITING_CLIENT_TEMPLATE.FAT&amp;display_string=Audit&amp;VAR:KEY=DCROFUZQNW&amp;VAR:QUERY=RkZfUlRfU0ZfVE9UX0dST1NTKFFUUiwtMzkp&amp;WINDOW=FIRST_POPUP&amp;HEIGHT=450&amp;WIDTH=450&amp;START_MA","XIMIZED=FALSE&amp;VAR:CALENDAR=US&amp;VAR:SYMBOL=DBRN&amp;VAR:INDEX=0"}</definedName>
    <definedName name="_2741__FDSAUDITLINK__" hidden="1">{"fdsup://directions/FAT Viewer?action=UPDATE&amp;creator=factset&amp;DYN_ARGS=TRUE&amp;DOC_NAME=FAT:FQL_AUDITING_CLIENT_TEMPLATE.FAT&amp;display_string=Audit&amp;VAR:KEY=DCROFUZQNW&amp;VAR:QUERY=RkZfUlRfU0ZfVE9UX0dST1NTKFFUUiwtMzkp&amp;WINDOW=FIRST_POPUP&amp;HEIGHT=450&amp;WIDTH=450&amp;START_MA","XIMIZED=FALSE&amp;VAR:CALENDAR=US&amp;VAR:SYMBOL=DBRN&amp;VAR:INDEX=0"}</definedName>
    <definedName name="_2742__FDSAUDITLINK__" localSheetId="15" hidden="1">{"fdsup://directions/FAT Viewer?action=UPDATE&amp;creator=factset&amp;DYN_ARGS=TRUE&amp;DOC_NAME=FAT:FQL_AUDITING_CLIENT_TEMPLATE.FAT&amp;display_string=Audit&amp;VAR:KEY=NGTSNGJMPW&amp;VAR:QUERY=RkZfUlRfU0ZfVE9UX0dST1NTKFFUUiwtMzgp&amp;WINDOW=FIRST_POPUP&amp;HEIGHT=450&amp;WIDTH=450&amp;START_MA","XIMIZED=FALSE&amp;VAR:CALENDAR=US&amp;VAR:SYMBOL=DBRN&amp;VAR:INDEX=0"}</definedName>
    <definedName name="_2742__FDSAUDITLINK__" hidden="1">{"fdsup://directions/FAT Viewer?action=UPDATE&amp;creator=factset&amp;DYN_ARGS=TRUE&amp;DOC_NAME=FAT:FQL_AUDITING_CLIENT_TEMPLATE.FAT&amp;display_string=Audit&amp;VAR:KEY=NGTSNGJMPW&amp;VAR:QUERY=RkZfUlRfU0ZfVE9UX0dST1NTKFFUUiwtMzgp&amp;WINDOW=FIRST_POPUP&amp;HEIGHT=450&amp;WIDTH=450&amp;START_MA","XIMIZED=FALSE&amp;VAR:CALENDAR=US&amp;VAR:SYMBOL=DBRN&amp;VAR:INDEX=0"}</definedName>
    <definedName name="_2743__FDSAUDITLINK__" localSheetId="15" hidden="1">{"fdsup://directions/FAT Viewer?action=UPDATE&amp;creator=factset&amp;DYN_ARGS=TRUE&amp;DOC_NAME=FAT:FQL_AUDITING_CLIENT_TEMPLATE.FAT&amp;display_string=Audit&amp;VAR:KEY=LYVOVQVWJK&amp;VAR:QUERY=RkZfUlRfU0ZfVE9UX0dST1NTKFFUUiwtMzcp&amp;WINDOW=FIRST_POPUP&amp;HEIGHT=450&amp;WIDTH=450&amp;START_MA","XIMIZED=FALSE&amp;VAR:CALENDAR=US&amp;VAR:SYMBOL=DBRN&amp;VAR:INDEX=0"}</definedName>
    <definedName name="_2743__FDSAUDITLINK__" hidden="1">{"fdsup://directions/FAT Viewer?action=UPDATE&amp;creator=factset&amp;DYN_ARGS=TRUE&amp;DOC_NAME=FAT:FQL_AUDITING_CLIENT_TEMPLATE.FAT&amp;display_string=Audit&amp;VAR:KEY=LYVOVQVWJK&amp;VAR:QUERY=RkZfUlRfU0ZfVE9UX0dST1NTKFFUUiwtMzcp&amp;WINDOW=FIRST_POPUP&amp;HEIGHT=450&amp;WIDTH=450&amp;START_MA","XIMIZED=FALSE&amp;VAR:CALENDAR=US&amp;VAR:SYMBOL=DBRN&amp;VAR:INDEX=0"}</definedName>
    <definedName name="_2744__FDSAUDITLINK__" localSheetId="15" hidden="1">{"fdsup://directions/FAT Viewer?action=UPDATE&amp;creator=factset&amp;DYN_ARGS=TRUE&amp;DOC_NAME=FAT:FQL_AUDITING_CLIENT_TEMPLATE.FAT&amp;display_string=Audit&amp;VAR:KEY=NGTGVKJKLU&amp;VAR:QUERY=RkZfUlRfU0ZfVE9UX0dST1NTKFFUUiwtMzYp&amp;WINDOW=FIRST_POPUP&amp;HEIGHT=450&amp;WIDTH=450&amp;START_MA","XIMIZED=FALSE&amp;VAR:CALENDAR=US&amp;VAR:SYMBOL=DBRN&amp;VAR:INDEX=0"}</definedName>
    <definedName name="_2744__FDSAUDITLINK__" hidden="1">{"fdsup://directions/FAT Viewer?action=UPDATE&amp;creator=factset&amp;DYN_ARGS=TRUE&amp;DOC_NAME=FAT:FQL_AUDITING_CLIENT_TEMPLATE.FAT&amp;display_string=Audit&amp;VAR:KEY=NGTGVKJKLU&amp;VAR:QUERY=RkZfUlRfU0ZfVE9UX0dST1NTKFFUUiwtMzYp&amp;WINDOW=FIRST_POPUP&amp;HEIGHT=450&amp;WIDTH=450&amp;START_MA","XIMIZED=FALSE&amp;VAR:CALENDAR=US&amp;VAR:SYMBOL=DBRN&amp;VAR:INDEX=0"}</definedName>
    <definedName name="_2745__FDSAUDITLINK__" localSheetId="15" hidden="1">{"fdsup://directions/FAT Viewer?action=UPDATE&amp;creator=factset&amp;DYN_ARGS=TRUE&amp;DOC_NAME=FAT:FQL_AUDITING_CLIENT_TEMPLATE.FAT&amp;display_string=Audit&amp;VAR:KEY=RUPKHALQHU&amp;VAR:QUERY=RkZfUlRfU0ZfVE9UX0dST1NTKFFUUiwtMzUp&amp;WINDOW=FIRST_POPUP&amp;HEIGHT=450&amp;WIDTH=450&amp;START_MA","XIMIZED=FALSE&amp;VAR:CALENDAR=US&amp;VAR:SYMBOL=DBRN&amp;VAR:INDEX=0"}</definedName>
    <definedName name="_2745__FDSAUDITLINK__" hidden="1">{"fdsup://directions/FAT Viewer?action=UPDATE&amp;creator=factset&amp;DYN_ARGS=TRUE&amp;DOC_NAME=FAT:FQL_AUDITING_CLIENT_TEMPLATE.FAT&amp;display_string=Audit&amp;VAR:KEY=RUPKHALQHU&amp;VAR:QUERY=RkZfUlRfU0ZfVE9UX0dST1NTKFFUUiwtMzUp&amp;WINDOW=FIRST_POPUP&amp;HEIGHT=450&amp;WIDTH=450&amp;START_MA","XIMIZED=FALSE&amp;VAR:CALENDAR=US&amp;VAR:SYMBOL=DBRN&amp;VAR:INDEX=0"}</definedName>
    <definedName name="_2746__FDSAUDITLINK__" localSheetId="15" hidden="1">{"fdsup://directions/FAT Viewer?action=UPDATE&amp;creator=factset&amp;DYN_ARGS=TRUE&amp;DOC_NAME=FAT:FQL_AUDITING_CLIENT_TEMPLATE.FAT&amp;display_string=Audit&amp;VAR:KEY=NKVOJYFWZI&amp;VAR:QUERY=RkZfUlRfU0ZfVE9UX0dST1NTKFFUUiwtMzQp&amp;WINDOW=FIRST_POPUP&amp;HEIGHT=450&amp;WIDTH=450&amp;START_MA","XIMIZED=FALSE&amp;VAR:CALENDAR=US&amp;VAR:SYMBOL=DBRN&amp;VAR:INDEX=0"}</definedName>
    <definedName name="_2746__FDSAUDITLINK__" hidden="1">{"fdsup://directions/FAT Viewer?action=UPDATE&amp;creator=factset&amp;DYN_ARGS=TRUE&amp;DOC_NAME=FAT:FQL_AUDITING_CLIENT_TEMPLATE.FAT&amp;display_string=Audit&amp;VAR:KEY=NKVOJYFWZI&amp;VAR:QUERY=RkZfUlRfU0ZfVE9UX0dST1NTKFFUUiwtMzQp&amp;WINDOW=FIRST_POPUP&amp;HEIGHT=450&amp;WIDTH=450&amp;START_MA","XIMIZED=FALSE&amp;VAR:CALENDAR=US&amp;VAR:SYMBOL=DBRN&amp;VAR:INDEX=0"}</definedName>
    <definedName name="_2747__FDSAUDITLINK__" localSheetId="15" hidden="1">{"fdsup://directions/FAT Viewer?action=UPDATE&amp;creator=factset&amp;DYN_ARGS=TRUE&amp;DOC_NAME=FAT:FQL_AUDITING_CLIENT_TEMPLATE.FAT&amp;display_string=Audit&amp;VAR:KEY=XCPADWPADE&amp;VAR:QUERY=RkZfUlRfU0ZfVE9UX0dST1NTKFFUUiwtMzMp&amp;WINDOW=FIRST_POPUP&amp;HEIGHT=450&amp;WIDTH=450&amp;START_MA","XIMIZED=FALSE&amp;VAR:CALENDAR=US&amp;VAR:SYMBOL=DBRN&amp;VAR:INDEX=0"}</definedName>
    <definedName name="_2747__FDSAUDITLINK__" hidden="1">{"fdsup://directions/FAT Viewer?action=UPDATE&amp;creator=factset&amp;DYN_ARGS=TRUE&amp;DOC_NAME=FAT:FQL_AUDITING_CLIENT_TEMPLATE.FAT&amp;display_string=Audit&amp;VAR:KEY=XCPADWPADE&amp;VAR:QUERY=RkZfUlRfU0ZfVE9UX0dST1NTKFFUUiwtMzMp&amp;WINDOW=FIRST_POPUP&amp;HEIGHT=450&amp;WIDTH=450&amp;START_MA","XIMIZED=FALSE&amp;VAR:CALENDAR=US&amp;VAR:SYMBOL=DBRN&amp;VAR:INDEX=0"}</definedName>
    <definedName name="_2748__FDSAUDITLINK__" localSheetId="15" hidden="1">{"fdsup://directions/FAT Viewer?action=UPDATE&amp;creator=factset&amp;DYN_ARGS=TRUE&amp;DOC_NAME=FAT:FQL_AUDITING_CLIENT_TEMPLATE.FAT&amp;display_string=Audit&amp;VAR:KEY=RKTCJUHCJM&amp;VAR:QUERY=RkZfUlRfU0ZfVE9UX0dST1NTKFFUUiwtMzIp&amp;WINDOW=FIRST_POPUP&amp;HEIGHT=450&amp;WIDTH=450&amp;START_MA","XIMIZED=FALSE&amp;VAR:CALENDAR=US&amp;VAR:SYMBOL=DBRN&amp;VAR:INDEX=0"}</definedName>
    <definedName name="_2748__FDSAUDITLINK__" hidden="1">{"fdsup://directions/FAT Viewer?action=UPDATE&amp;creator=factset&amp;DYN_ARGS=TRUE&amp;DOC_NAME=FAT:FQL_AUDITING_CLIENT_TEMPLATE.FAT&amp;display_string=Audit&amp;VAR:KEY=RKTCJUHCJM&amp;VAR:QUERY=RkZfUlRfU0ZfVE9UX0dST1NTKFFUUiwtMzIp&amp;WINDOW=FIRST_POPUP&amp;HEIGHT=450&amp;WIDTH=450&amp;START_MA","XIMIZED=FALSE&amp;VAR:CALENDAR=US&amp;VAR:SYMBOL=DBRN&amp;VAR:INDEX=0"}</definedName>
    <definedName name="_2749__FDSAUDITLINK__" localSheetId="15" hidden="1">{"fdsup://directions/FAT Viewer?action=UPDATE&amp;creator=factset&amp;DYN_ARGS=TRUE&amp;DOC_NAME=FAT:FQL_AUDITING_CLIENT_TEMPLATE.FAT&amp;display_string=Audit&amp;VAR:KEY=VQBUBCVANQ&amp;VAR:QUERY=RkZfUlRfU0ZfVE9UX0dST1NTKFFUUiwtMzEp&amp;WINDOW=FIRST_POPUP&amp;HEIGHT=450&amp;WIDTH=450&amp;START_MA","XIMIZED=FALSE&amp;VAR:CALENDAR=US&amp;VAR:SYMBOL=DBRN&amp;VAR:INDEX=0"}</definedName>
    <definedName name="_2749__FDSAUDITLINK__" hidden="1">{"fdsup://directions/FAT Viewer?action=UPDATE&amp;creator=factset&amp;DYN_ARGS=TRUE&amp;DOC_NAME=FAT:FQL_AUDITING_CLIENT_TEMPLATE.FAT&amp;display_string=Audit&amp;VAR:KEY=VQBUBCVANQ&amp;VAR:QUERY=RkZfUlRfU0ZfVE9UX0dST1NTKFFUUiwtMzEp&amp;WINDOW=FIRST_POPUP&amp;HEIGHT=450&amp;WIDTH=450&amp;START_MA","XIMIZED=FALSE&amp;VAR:CALENDAR=US&amp;VAR:SYMBOL=DBRN&amp;VAR:INDEX=0"}</definedName>
    <definedName name="_27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75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750__FDSAUDITLINK__" localSheetId="15" hidden="1">{"fdsup://directions/FAT Viewer?action=UPDATE&amp;creator=factset&amp;DYN_ARGS=TRUE&amp;DOC_NAME=FAT:FQL_AUDITING_CLIENT_TEMPLATE.FAT&amp;display_string=Audit&amp;VAR:KEY=LIBWRWZOFE&amp;VAR:QUERY=RkZfUlRfU0ZfVE9UX0dST1NTKFFUUiwtMzAp&amp;WINDOW=FIRST_POPUP&amp;HEIGHT=450&amp;WIDTH=450&amp;START_MA","XIMIZED=FALSE&amp;VAR:CALENDAR=US&amp;VAR:SYMBOL=DBRN&amp;VAR:INDEX=0"}</definedName>
    <definedName name="_2750__FDSAUDITLINK__" hidden="1">{"fdsup://directions/FAT Viewer?action=UPDATE&amp;creator=factset&amp;DYN_ARGS=TRUE&amp;DOC_NAME=FAT:FQL_AUDITING_CLIENT_TEMPLATE.FAT&amp;display_string=Audit&amp;VAR:KEY=LIBWRWZOFE&amp;VAR:QUERY=RkZfUlRfU0ZfVE9UX0dST1NTKFFUUiwtMzAp&amp;WINDOW=FIRST_POPUP&amp;HEIGHT=450&amp;WIDTH=450&amp;START_MA","XIMIZED=FALSE&amp;VAR:CALENDAR=US&amp;VAR:SYMBOL=DBRN&amp;VAR:INDEX=0"}</definedName>
    <definedName name="_2751__FDSAUDITLINK__" localSheetId="15" hidden="1">{"fdsup://directions/FAT Viewer?action=UPDATE&amp;creator=factset&amp;DYN_ARGS=TRUE&amp;DOC_NAME=FAT:FQL_AUDITING_CLIENT_TEMPLATE.FAT&amp;display_string=Audit&amp;VAR:KEY=HMDIRANAZM&amp;VAR:QUERY=RkZfUlRfU0ZfVE9UX0dST1NTKFFUUiwtMjkp&amp;WINDOW=FIRST_POPUP&amp;HEIGHT=450&amp;WIDTH=450&amp;START_MA","XIMIZED=FALSE&amp;VAR:CALENDAR=US&amp;VAR:SYMBOL=DBRN&amp;VAR:INDEX=0"}</definedName>
    <definedName name="_2751__FDSAUDITLINK__" hidden="1">{"fdsup://directions/FAT Viewer?action=UPDATE&amp;creator=factset&amp;DYN_ARGS=TRUE&amp;DOC_NAME=FAT:FQL_AUDITING_CLIENT_TEMPLATE.FAT&amp;display_string=Audit&amp;VAR:KEY=HMDIRANAZM&amp;VAR:QUERY=RkZfUlRfU0ZfVE9UX0dST1NTKFFUUiwtMjkp&amp;WINDOW=FIRST_POPUP&amp;HEIGHT=450&amp;WIDTH=450&amp;START_MA","XIMIZED=FALSE&amp;VAR:CALENDAR=US&amp;VAR:SYMBOL=DBRN&amp;VAR:INDEX=0"}</definedName>
    <definedName name="_2752__FDSAUDITLINK__" localSheetId="15" hidden="1">{"fdsup://directions/FAT Viewer?action=UPDATE&amp;creator=factset&amp;DYN_ARGS=TRUE&amp;DOC_NAME=FAT:FQL_AUDITING_CLIENT_TEMPLATE.FAT&amp;display_string=Audit&amp;VAR:KEY=BUPMXCPCFM&amp;VAR:QUERY=RkZfUlRfU0ZfVE9UX0dST1NTKFFUUiwtMjgp&amp;WINDOW=FIRST_POPUP&amp;HEIGHT=450&amp;WIDTH=450&amp;START_MA","XIMIZED=FALSE&amp;VAR:CALENDAR=US&amp;VAR:SYMBOL=DBRN&amp;VAR:INDEX=0"}</definedName>
    <definedName name="_2752__FDSAUDITLINK__" hidden="1">{"fdsup://directions/FAT Viewer?action=UPDATE&amp;creator=factset&amp;DYN_ARGS=TRUE&amp;DOC_NAME=FAT:FQL_AUDITING_CLIENT_TEMPLATE.FAT&amp;display_string=Audit&amp;VAR:KEY=BUPMXCPCFM&amp;VAR:QUERY=RkZfUlRfU0ZfVE9UX0dST1NTKFFUUiwtMjgp&amp;WINDOW=FIRST_POPUP&amp;HEIGHT=450&amp;WIDTH=450&amp;START_MA","XIMIZED=FALSE&amp;VAR:CALENDAR=US&amp;VAR:SYMBOL=DBRN&amp;VAR:INDEX=0"}</definedName>
    <definedName name="_2753__FDSAUDITLINK__" localSheetId="15" hidden="1">{"fdsup://directions/FAT Viewer?action=UPDATE&amp;creator=factset&amp;DYN_ARGS=TRUE&amp;DOC_NAME=FAT:FQL_AUDITING_CLIENT_TEMPLATE.FAT&amp;display_string=Audit&amp;VAR:KEY=ZEJGTYHGNY&amp;VAR:QUERY=RkZfUlRfU0ZfVE9UX0dST1NTKFFUUiwtMjcp&amp;WINDOW=FIRST_POPUP&amp;HEIGHT=450&amp;WIDTH=450&amp;START_MA","XIMIZED=FALSE&amp;VAR:CALENDAR=US&amp;VAR:SYMBOL=DBRN&amp;VAR:INDEX=0"}</definedName>
    <definedName name="_2753__FDSAUDITLINK__" hidden="1">{"fdsup://directions/FAT Viewer?action=UPDATE&amp;creator=factset&amp;DYN_ARGS=TRUE&amp;DOC_NAME=FAT:FQL_AUDITING_CLIENT_TEMPLATE.FAT&amp;display_string=Audit&amp;VAR:KEY=ZEJGTYHGNY&amp;VAR:QUERY=RkZfUlRfU0ZfVE9UX0dST1NTKFFUUiwtMjcp&amp;WINDOW=FIRST_POPUP&amp;HEIGHT=450&amp;WIDTH=450&amp;START_MA","XIMIZED=FALSE&amp;VAR:CALENDAR=US&amp;VAR:SYMBOL=DBRN&amp;VAR:INDEX=0"}</definedName>
    <definedName name="_2754__FDSAUDITLINK__" localSheetId="15" hidden="1">{"fdsup://directions/FAT Viewer?action=UPDATE&amp;creator=factset&amp;DYN_ARGS=TRUE&amp;DOC_NAME=FAT:FQL_AUDITING_CLIENT_TEMPLATE.FAT&amp;display_string=Audit&amp;VAR:KEY=ZMXYXARSHK&amp;VAR:QUERY=RkZfUlRfU0ZfVE9UX0dST1NTKFFUUiwtMjYp&amp;WINDOW=FIRST_POPUP&amp;HEIGHT=450&amp;WIDTH=450&amp;START_MA","XIMIZED=FALSE&amp;VAR:CALENDAR=US&amp;VAR:SYMBOL=DBRN&amp;VAR:INDEX=0"}</definedName>
    <definedName name="_2754__FDSAUDITLINK__" hidden="1">{"fdsup://directions/FAT Viewer?action=UPDATE&amp;creator=factset&amp;DYN_ARGS=TRUE&amp;DOC_NAME=FAT:FQL_AUDITING_CLIENT_TEMPLATE.FAT&amp;display_string=Audit&amp;VAR:KEY=ZMXYXARSHK&amp;VAR:QUERY=RkZfUlRfU0ZfVE9UX0dST1NTKFFUUiwtMjYp&amp;WINDOW=FIRST_POPUP&amp;HEIGHT=450&amp;WIDTH=450&amp;START_MA","XIMIZED=FALSE&amp;VAR:CALENDAR=US&amp;VAR:SYMBOL=DBRN&amp;VAR:INDEX=0"}</definedName>
    <definedName name="_2755__FDSAUDITLINK__" localSheetId="15" hidden="1">{"fdsup://directions/FAT Viewer?action=UPDATE&amp;creator=factset&amp;DYN_ARGS=TRUE&amp;DOC_NAME=FAT:FQL_AUDITING_CLIENT_TEMPLATE.FAT&amp;display_string=Audit&amp;VAR:KEY=ZGDMXCXMLA&amp;VAR:QUERY=RkZfUlRfU0ZfVE9UX0dST1NTKFFUUiwtMjUp&amp;WINDOW=FIRST_POPUP&amp;HEIGHT=450&amp;WIDTH=450&amp;START_MA","XIMIZED=FALSE&amp;VAR:CALENDAR=US&amp;VAR:SYMBOL=DBRN&amp;VAR:INDEX=0"}</definedName>
    <definedName name="_2755__FDSAUDITLINK__" hidden="1">{"fdsup://directions/FAT Viewer?action=UPDATE&amp;creator=factset&amp;DYN_ARGS=TRUE&amp;DOC_NAME=FAT:FQL_AUDITING_CLIENT_TEMPLATE.FAT&amp;display_string=Audit&amp;VAR:KEY=ZGDMXCXMLA&amp;VAR:QUERY=RkZfUlRfU0ZfVE9UX0dST1NTKFFUUiwtMjUp&amp;WINDOW=FIRST_POPUP&amp;HEIGHT=450&amp;WIDTH=450&amp;START_MA","XIMIZED=FALSE&amp;VAR:CALENDAR=US&amp;VAR:SYMBOL=DBRN&amp;VAR:INDEX=0"}</definedName>
    <definedName name="_2756__FDSAUDITLINK__" localSheetId="15" hidden="1">{"fdsup://directions/FAT Viewer?action=UPDATE&amp;creator=factset&amp;DYN_ARGS=TRUE&amp;DOC_NAME=FAT:FQL_AUDITING_CLIENT_TEMPLATE.FAT&amp;display_string=Audit&amp;VAR:KEY=RAPUZEXQDA&amp;VAR:QUERY=RkZfUlRfU0ZfVE9UX0dST1NTKFFUUiwtMjQp&amp;WINDOW=FIRST_POPUP&amp;HEIGHT=450&amp;WIDTH=450&amp;START_MA","XIMIZED=FALSE&amp;VAR:CALENDAR=US&amp;VAR:SYMBOL=DBRN&amp;VAR:INDEX=0"}</definedName>
    <definedName name="_2756__FDSAUDITLINK__" hidden="1">{"fdsup://directions/FAT Viewer?action=UPDATE&amp;creator=factset&amp;DYN_ARGS=TRUE&amp;DOC_NAME=FAT:FQL_AUDITING_CLIENT_TEMPLATE.FAT&amp;display_string=Audit&amp;VAR:KEY=RAPUZEXQDA&amp;VAR:QUERY=RkZfUlRfU0ZfVE9UX0dST1NTKFFUUiwtMjQp&amp;WINDOW=FIRST_POPUP&amp;HEIGHT=450&amp;WIDTH=450&amp;START_MA","XIMIZED=FALSE&amp;VAR:CALENDAR=US&amp;VAR:SYMBOL=DBRN&amp;VAR:INDEX=0"}</definedName>
    <definedName name="_2757__FDSAUDITLINK__" localSheetId="15" hidden="1">{"fdsup://directions/FAT Viewer?action=UPDATE&amp;creator=factset&amp;DYN_ARGS=TRUE&amp;DOC_NAME=FAT:FQL_AUDITING_CLIENT_TEMPLATE.FAT&amp;display_string=Audit&amp;VAR:KEY=FUPMROVYPW&amp;VAR:QUERY=RkZfUlRfU0ZfVE9UX0dST1NTKFFUUiwtMjMp&amp;WINDOW=FIRST_POPUP&amp;HEIGHT=450&amp;WIDTH=450&amp;START_MA","XIMIZED=FALSE&amp;VAR:CALENDAR=US&amp;VAR:SYMBOL=DBRN&amp;VAR:INDEX=0"}</definedName>
    <definedName name="_2757__FDSAUDITLINK__" hidden="1">{"fdsup://directions/FAT Viewer?action=UPDATE&amp;creator=factset&amp;DYN_ARGS=TRUE&amp;DOC_NAME=FAT:FQL_AUDITING_CLIENT_TEMPLATE.FAT&amp;display_string=Audit&amp;VAR:KEY=FUPMROVYPW&amp;VAR:QUERY=RkZfUlRfU0ZfVE9UX0dST1NTKFFUUiwtMjMp&amp;WINDOW=FIRST_POPUP&amp;HEIGHT=450&amp;WIDTH=450&amp;START_MA","XIMIZED=FALSE&amp;VAR:CALENDAR=US&amp;VAR:SYMBOL=DBRN&amp;VAR:INDEX=0"}</definedName>
    <definedName name="_2758__FDSAUDITLINK__" localSheetId="15" hidden="1">{"fdsup://directions/FAT Viewer?action=UPDATE&amp;creator=factset&amp;DYN_ARGS=TRUE&amp;DOC_NAME=FAT:FQL_AUDITING_CLIENT_TEMPLATE.FAT&amp;display_string=Audit&amp;VAR:KEY=PCHYVEJMZO&amp;VAR:QUERY=RkZfUlRfU0ZfVE9UX0dST1NTKFFUUiwtMjIp&amp;WINDOW=FIRST_POPUP&amp;HEIGHT=450&amp;WIDTH=450&amp;START_MA","XIMIZED=FALSE&amp;VAR:CALENDAR=US&amp;VAR:SYMBOL=DBRN&amp;VAR:INDEX=0"}</definedName>
    <definedName name="_2758__FDSAUDITLINK__" hidden="1">{"fdsup://directions/FAT Viewer?action=UPDATE&amp;creator=factset&amp;DYN_ARGS=TRUE&amp;DOC_NAME=FAT:FQL_AUDITING_CLIENT_TEMPLATE.FAT&amp;display_string=Audit&amp;VAR:KEY=PCHYVEJMZO&amp;VAR:QUERY=RkZfUlRfU0ZfVE9UX0dST1NTKFFUUiwtMjIp&amp;WINDOW=FIRST_POPUP&amp;HEIGHT=450&amp;WIDTH=450&amp;START_MA","XIMIZED=FALSE&amp;VAR:CALENDAR=US&amp;VAR:SYMBOL=DBRN&amp;VAR:INDEX=0"}</definedName>
    <definedName name="_2759__FDSAUDITLINK__" localSheetId="15" hidden="1">{"fdsup://directions/FAT Viewer?action=UPDATE&amp;creator=factset&amp;DYN_ARGS=TRUE&amp;DOC_NAME=FAT:FQL_AUDITING_CLIENT_TEMPLATE.FAT&amp;display_string=Audit&amp;VAR:KEY=PEBSFAHQFE&amp;VAR:QUERY=RkZfUlRfU0ZfVE9UX0dST1NTKFFUUiwtMjEp&amp;WINDOW=FIRST_POPUP&amp;HEIGHT=450&amp;WIDTH=450&amp;START_MA","XIMIZED=FALSE&amp;VAR:CALENDAR=US&amp;VAR:SYMBOL=DBRN&amp;VAR:INDEX=0"}</definedName>
    <definedName name="_2759__FDSAUDITLINK__" hidden="1">{"fdsup://directions/FAT Viewer?action=UPDATE&amp;creator=factset&amp;DYN_ARGS=TRUE&amp;DOC_NAME=FAT:FQL_AUDITING_CLIENT_TEMPLATE.FAT&amp;display_string=Audit&amp;VAR:KEY=PEBSFAHQFE&amp;VAR:QUERY=RkZfUlRfU0ZfVE9UX0dST1NTKFFUUiwtMjEp&amp;WINDOW=FIRST_POPUP&amp;HEIGHT=450&amp;WIDTH=450&amp;START_MA","XIMIZED=FALSE&amp;VAR:CALENDAR=US&amp;VAR:SYMBOL=DBRN&amp;VAR:INDEX=0"}</definedName>
    <definedName name="_27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76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760__FDSAUDITLINK__" localSheetId="15" hidden="1">{"fdsup://directions/FAT Viewer?action=UPDATE&amp;creator=factset&amp;DYN_ARGS=TRUE&amp;DOC_NAME=FAT:FQL_AUDITING_CLIENT_TEMPLATE.FAT&amp;display_string=Audit&amp;VAR:KEY=XAHOVYTITS&amp;VAR:QUERY=RkZfUlRfU0ZfVE9UX0dST1NTKFFUUiwtMjAp&amp;WINDOW=FIRST_POPUP&amp;HEIGHT=450&amp;WIDTH=450&amp;START_MA","XIMIZED=FALSE&amp;VAR:CALENDAR=US&amp;VAR:SYMBOL=DBRN&amp;VAR:INDEX=0"}</definedName>
    <definedName name="_2760__FDSAUDITLINK__" hidden="1">{"fdsup://directions/FAT Viewer?action=UPDATE&amp;creator=factset&amp;DYN_ARGS=TRUE&amp;DOC_NAME=FAT:FQL_AUDITING_CLIENT_TEMPLATE.FAT&amp;display_string=Audit&amp;VAR:KEY=XAHOVYTITS&amp;VAR:QUERY=RkZfUlRfU0ZfVE9UX0dST1NTKFFUUiwtMjAp&amp;WINDOW=FIRST_POPUP&amp;HEIGHT=450&amp;WIDTH=450&amp;START_MA","XIMIZED=FALSE&amp;VAR:CALENDAR=US&amp;VAR:SYMBOL=DBRN&amp;VAR:INDEX=0"}</definedName>
    <definedName name="_2761__FDSAUDITLINK__" localSheetId="15" hidden="1">{"fdsup://directions/FAT Viewer?action=UPDATE&amp;creator=factset&amp;DYN_ARGS=TRUE&amp;DOC_NAME=FAT:FQL_AUDITING_CLIENT_TEMPLATE.FAT&amp;display_string=Audit&amp;VAR:KEY=PCZURWLAJY&amp;VAR:QUERY=RkZfUlRfU0ZfVE9UX0dST1NTKFFUUiwtMTkp&amp;WINDOW=FIRST_POPUP&amp;HEIGHT=450&amp;WIDTH=450&amp;START_MA","XIMIZED=FALSE&amp;VAR:CALENDAR=US&amp;VAR:SYMBOL=DBRN&amp;VAR:INDEX=0"}</definedName>
    <definedName name="_2761__FDSAUDITLINK__" hidden="1">{"fdsup://directions/FAT Viewer?action=UPDATE&amp;creator=factset&amp;DYN_ARGS=TRUE&amp;DOC_NAME=FAT:FQL_AUDITING_CLIENT_TEMPLATE.FAT&amp;display_string=Audit&amp;VAR:KEY=PCZURWLAJY&amp;VAR:QUERY=RkZfUlRfU0ZfVE9UX0dST1NTKFFUUiwtMTkp&amp;WINDOW=FIRST_POPUP&amp;HEIGHT=450&amp;WIDTH=450&amp;START_MA","XIMIZED=FALSE&amp;VAR:CALENDAR=US&amp;VAR:SYMBOL=DBRN&amp;VAR:INDEX=0"}</definedName>
    <definedName name="_2762__FDSAUDITLINK__" localSheetId="15" hidden="1">{"fdsup://directions/FAT Viewer?action=UPDATE&amp;creator=factset&amp;DYN_ARGS=TRUE&amp;DOC_NAME=FAT:FQL_AUDITING_CLIENT_TEMPLATE.FAT&amp;display_string=Audit&amp;VAR:KEY=PWNQRKFAJI&amp;VAR:QUERY=RkZfUlRfU0ZfVE9UX0dST1NTKFFUUiwtMTgp&amp;WINDOW=FIRST_POPUP&amp;HEIGHT=450&amp;WIDTH=450&amp;START_MA","XIMIZED=FALSE&amp;VAR:CALENDAR=US&amp;VAR:SYMBOL=DBRN&amp;VAR:INDEX=0"}</definedName>
    <definedName name="_2762__FDSAUDITLINK__" hidden="1">{"fdsup://directions/FAT Viewer?action=UPDATE&amp;creator=factset&amp;DYN_ARGS=TRUE&amp;DOC_NAME=FAT:FQL_AUDITING_CLIENT_TEMPLATE.FAT&amp;display_string=Audit&amp;VAR:KEY=PWNQRKFAJI&amp;VAR:QUERY=RkZfUlRfU0ZfVE9UX0dST1NTKFFUUiwtMTgp&amp;WINDOW=FIRST_POPUP&amp;HEIGHT=450&amp;WIDTH=450&amp;START_MA","XIMIZED=FALSE&amp;VAR:CALENDAR=US&amp;VAR:SYMBOL=DBRN&amp;VAR:INDEX=0"}</definedName>
    <definedName name="_2763__FDSAUDITLINK__" localSheetId="15" hidden="1">{"fdsup://directions/FAT Viewer?action=UPDATE&amp;creator=factset&amp;DYN_ARGS=TRUE&amp;DOC_NAME=FAT:FQL_AUDITING_CLIENT_TEMPLATE.FAT&amp;display_string=Audit&amp;VAR:KEY=VEJSFSLURG&amp;VAR:QUERY=RkZfUlRfU0ZfVE9UX0dST1NTKFFUUiwtMTcp&amp;WINDOW=FIRST_POPUP&amp;HEIGHT=450&amp;WIDTH=450&amp;START_MA","XIMIZED=FALSE&amp;VAR:CALENDAR=US&amp;VAR:SYMBOL=DBRN&amp;VAR:INDEX=0"}</definedName>
    <definedName name="_2763__FDSAUDITLINK__" hidden="1">{"fdsup://directions/FAT Viewer?action=UPDATE&amp;creator=factset&amp;DYN_ARGS=TRUE&amp;DOC_NAME=FAT:FQL_AUDITING_CLIENT_TEMPLATE.FAT&amp;display_string=Audit&amp;VAR:KEY=VEJSFSLURG&amp;VAR:QUERY=RkZfUlRfU0ZfVE9UX0dST1NTKFFUUiwtMTcp&amp;WINDOW=FIRST_POPUP&amp;HEIGHT=450&amp;WIDTH=450&amp;START_MA","XIMIZED=FALSE&amp;VAR:CALENDAR=US&amp;VAR:SYMBOL=DBRN&amp;VAR:INDEX=0"}</definedName>
    <definedName name="_2764__FDSAUDITLINK__" localSheetId="15" hidden="1">{"fdsup://directions/FAT Viewer?action=UPDATE&amp;creator=factset&amp;DYN_ARGS=TRUE&amp;DOC_NAME=FAT:FQL_AUDITING_CLIENT_TEMPLATE.FAT&amp;display_string=Audit&amp;VAR:KEY=VMZSFOTIPO&amp;VAR:QUERY=RkZfUlRfU0ZfVE9UX0dST1NTKFFUUiwtMTYp&amp;WINDOW=FIRST_POPUP&amp;HEIGHT=450&amp;WIDTH=450&amp;START_MA","XIMIZED=FALSE&amp;VAR:CALENDAR=US&amp;VAR:SYMBOL=DBRN&amp;VAR:INDEX=0"}</definedName>
    <definedName name="_2764__FDSAUDITLINK__" hidden="1">{"fdsup://directions/FAT Viewer?action=UPDATE&amp;creator=factset&amp;DYN_ARGS=TRUE&amp;DOC_NAME=FAT:FQL_AUDITING_CLIENT_TEMPLATE.FAT&amp;display_string=Audit&amp;VAR:KEY=VMZSFOTIPO&amp;VAR:QUERY=RkZfUlRfU0ZfVE9UX0dST1NTKFFUUiwtMTYp&amp;WINDOW=FIRST_POPUP&amp;HEIGHT=450&amp;WIDTH=450&amp;START_MA","XIMIZED=FALSE&amp;VAR:CALENDAR=US&amp;VAR:SYMBOL=DBRN&amp;VAR:INDEX=0"}</definedName>
    <definedName name="_2765__FDSAUDITLINK__" localSheetId="15" hidden="1">{"fdsup://directions/FAT Viewer?action=UPDATE&amp;creator=factset&amp;DYN_ARGS=TRUE&amp;DOC_NAME=FAT:FQL_AUDITING_CLIENT_TEMPLATE.FAT&amp;display_string=Audit&amp;VAR:KEY=NYTEXIPWHK&amp;VAR:QUERY=RkZfUlRfU0ZfVE9UX0dST1NTKFFUUiwtMTUp&amp;WINDOW=FIRST_POPUP&amp;HEIGHT=450&amp;WIDTH=450&amp;START_MA","XIMIZED=FALSE&amp;VAR:CALENDAR=US&amp;VAR:SYMBOL=DBRN&amp;VAR:INDEX=0"}</definedName>
    <definedName name="_2765__FDSAUDITLINK__" hidden="1">{"fdsup://directions/FAT Viewer?action=UPDATE&amp;creator=factset&amp;DYN_ARGS=TRUE&amp;DOC_NAME=FAT:FQL_AUDITING_CLIENT_TEMPLATE.FAT&amp;display_string=Audit&amp;VAR:KEY=NYTEXIPWHK&amp;VAR:QUERY=RkZfUlRfU0ZfVE9UX0dST1NTKFFUUiwtMTUp&amp;WINDOW=FIRST_POPUP&amp;HEIGHT=450&amp;WIDTH=450&amp;START_MA","XIMIZED=FALSE&amp;VAR:CALENDAR=US&amp;VAR:SYMBOL=DBRN&amp;VAR:INDEX=0"}</definedName>
    <definedName name="_2766__FDSAUDITLINK__" localSheetId="15" hidden="1">{"fdsup://directions/FAT Viewer?action=UPDATE&amp;creator=factset&amp;DYN_ARGS=TRUE&amp;DOC_NAME=FAT:FQL_AUDITING_CLIENT_TEMPLATE.FAT&amp;display_string=Audit&amp;VAR:KEY=DSVMZSVMZO&amp;VAR:QUERY=RkZfUlRfU0ZfVE9UX0dST1NTKFFUUiwtMTQp&amp;WINDOW=FIRST_POPUP&amp;HEIGHT=450&amp;WIDTH=450&amp;START_MA","XIMIZED=FALSE&amp;VAR:CALENDAR=US&amp;VAR:SYMBOL=DBRN&amp;VAR:INDEX=0"}</definedName>
    <definedName name="_2766__FDSAUDITLINK__" hidden="1">{"fdsup://directions/FAT Viewer?action=UPDATE&amp;creator=factset&amp;DYN_ARGS=TRUE&amp;DOC_NAME=FAT:FQL_AUDITING_CLIENT_TEMPLATE.FAT&amp;display_string=Audit&amp;VAR:KEY=DSVMZSVMZO&amp;VAR:QUERY=RkZfUlRfU0ZfVE9UX0dST1NTKFFUUiwtMTQp&amp;WINDOW=FIRST_POPUP&amp;HEIGHT=450&amp;WIDTH=450&amp;START_MA","XIMIZED=FALSE&amp;VAR:CALENDAR=US&amp;VAR:SYMBOL=DBRN&amp;VAR:INDEX=0"}</definedName>
    <definedName name="_2767__FDSAUDITLINK__" localSheetId="15" hidden="1">{"fdsup://directions/FAT Viewer?action=UPDATE&amp;creator=factset&amp;DYN_ARGS=TRUE&amp;DOC_NAME=FAT:FQL_AUDITING_CLIENT_TEMPLATE.FAT&amp;display_string=Audit&amp;VAR:KEY=VQXSJSNKJG&amp;VAR:QUERY=RkZfUlRfU0ZfVE9UX0dST1NTKFFUUiwtMTMp&amp;WINDOW=FIRST_POPUP&amp;HEIGHT=450&amp;WIDTH=450&amp;START_MA","XIMIZED=FALSE&amp;VAR:CALENDAR=US&amp;VAR:SYMBOL=DBRN&amp;VAR:INDEX=0"}</definedName>
    <definedName name="_2767__FDSAUDITLINK__" hidden="1">{"fdsup://directions/FAT Viewer?action=UPDATE&amp;creator=factset&amp;DYN_ARGS=TRUE&amp;DOC_NAME=FAT:FQL_AUDITING_CLIENT_TEMPLATE.FAT&amp;display_string=Audit&amp;VAR:KEY=VQXSJSNKJG&amp;VAR:QUERY=RkZfUlRfU0ZfVE9UX0dST1NTKFFUUiwtMTMp&amp;WINDOW=FIRST_POPUP&amp;HEIGHT=450&amp;WIDTH=450&amp;START_MA","XIMIZED=FALSE&amp;VAR:CALENDAR=US&amp;VAR:SYMBOL=DBRN&amp;VAR:INDEX=0"}</definedName>
    <definedName name="_2768__FDSAUDITLINK__" localSheetId="15" hidden="1">{"fdsup://directions/FAT Viewer?action=UPDATE&amp;creator=factset&amp;DYN_ARGS=TRUE&amp;DOC_NAME=FAT:FQL_AUDITING_CLIENT_TEMPLATE.FAT&amp;display_string=Audit&amp;VAR:KEY=PUFCXIVAXG&amp;VAR:QUERY=RkZfUlRfU0ZfVE9UX0dST1NTKFFUUiwtMTIp&amp;WINDOW=FIRST_POPUP&amp;HEIGHT=450&amp;WIDTH=450&amp;START_MA","XIMIZED=FALSE&amp;VAR:CALENDAR=US&amp;VAR:SYMBOL=DBRN&amp;VAR:INDEX=0"}</definedName>
    <definedName name="_2768__FDSAUDITLINK__" hidden="1">{"fdsup://directions/FAT Viewer?action=UPDATE&amp;creator=factset&amp;DYN_ARGS=TRUE&amp;DOC_NAME=FAT:FQL_AUDITING_CLIENT_TEMPLATE.FAT&amp;display_string=Audit&amp;VAR:KEY=PUFCXIVAXG&amp;VAR:QUERY=RkZfUlRfU0ZfVE9UX0dST1NTKFFUUiwtMTIp&amp;WINDOW=FIRST_POPUP&amp;HEIGHT=450&amp;WIDTH=450&amp;START_MA","XIMIZED=FALSE&amp;VAR:CALENDAR=US&amp;VAR:SYMBOL=DBRN&amp;VAR:INDEX=0"}</definedName>
    <definedName name="_2769__FDSAUDITLINK__" localSheetId="15" hidden="1">{"fdsup://directions/FAT Viewer?action=UPDATE&amp;creator=factset&amp;DYN_ARGS=TRUE&amp;DOC_NAME=FAT:FQL_AUDITING_CLIENT_TEMPLATE.FAT&amp;display_string=Audit&amp;VAR:KEY=DUPETUHELY&amp;VAR:QUERY=RkZfUlRfU0ZfVE9UX0dST1NTKFFUUiwtMTEp&amp;WINDOW=FIRST_POPUP&amp;HEIGHT=450&amp;WIDTH=450&amp;START_MA","XIMIZED=FALSE&amp;VAR:CALENDAR=US&amp;VAR:SYMBOL=DBRN&amp;VAR:INDEX=0"}</definedName>
    <definedName name="_2769__FDSAUDITLINK__" hidden="1">{"fdsup://directions/FAT Viewer?action=UPDATE&amp;creator=factset&amp;DYN_ARGS=TRUE&amp;DOC_NAME=FAT:FQL_AUDITING_CLIENT_TEMPLATE.FAT&amp;display_string=Audit&amp;VAR:KEY=DUPETUHELY&amp;VAR:QUERY=RkZfUlRfU0ZfVE9UX0dST1NTKFFUUiwtMTEp&amp;WINDOW=FIRST_POPUP&amp;HEIGHT=450&amp;WIDTH=450&amp;START_MA","XIMIZED=FALSE&amp;VAR:CALENDAR=US&amp;VAR:SYMBOL=DBRN&amp;VAR:INDEX=0"}</definedName>
    <definedName name="_27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77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770__FDSAUDITLINK__" localSheetId="15" hidden="1">{"fdsup://directions/FAT Viewer?action=UPDATE&amp;creator=factset&amp;DYN_ARGS=TRUE&amp;DOC_NAME=FAT:FQL_AUDITING_CLIENT_TEMPLATE.FAT&amp;display_string=Audit&amp;VAR:KEY=NSVOPELSHM&amp;VAR:QUERY=RkZfUlRfU0ZfVE9UX0dST1NTKFFUUiwtMTAp&amp;WINDOW=FIRST_POPUP&amp;HEIGHT=450&amp;WIDTH=450&amp;START_MA","XIMIZED=FALSE&amp;VAR:CALENDAR=US&amp;VAR:SYMBOL=DBRN&amp;VAR:INDEX=0"}</definedName>
    <definedName name="_2770__FDSAUDITLINK__" hidden="1">{"fdsup://directions/FAT Viewer?action=UPDATE&amp;creator=factset&amp;DYN_ARGS=TRUE&amp;DOC_NAME=FAT:FQL_AUDITING_CLIENT_TEMPLATE.FAT&amp;display_string=Audit&amp;VAR:KEY=NSVOPELSHM&amp;VAR:QUERY=RkZfUlRfU0ZfVE9UX0dST1NTKFFUUiwtMTAp&amp;WINDOW=FIRST_POPUP&amp;HEIGHT=450&amp;WIDTH=450&amp;START_MA","XIMIZED=FALSE&amp;VAR:CALENDAR=US&amp;VAR:SYMBOL=DBRN&amp;VAR:INDEX=0"}</definedName>
    <definedName name="_2771__FDSAUDITLINK__" localSheetId="15" hidden="1">{"fdsup://directions/FAT Viewer?action=UPDATE&amp;creator=factset&amp;DYN_ARGS=TRUE&amp;DOC_NAME=FAT:FQL_AUDITING_CLIENT_TEMPLATE.FAT&amp;display_string=Audit&amp;VAR:KEY=LUJMZERCNC&amp;VAR:QUERY=RkZfUlRfU0ZfVE9UX0dST1NTKFFUUiwtOSk=&amp;WINDOW=FIRST_POPUP&amp;HEIGHT=450&amp;WIDTH=450&amp;START_MA","XIMIZED=FALSE&amp;VAR:CALENDAR=US&amp;VAR:SYMBOL=DBRN&amp;VAR:INDEX=0"}</definedName>
    <definedName name="_2771__FDSAUDITLINK__" hidden="1">{"fdsup://directions/FAT Viewer?action=UPDATE&amp;creator=factset&amp;DYN_ARGS=TRUE&amp;DOC_NAME=FAT:FQL_AUDITING_CLIENT_TEMPLATE.FAT&amp;display_string=Audit&amp;VAR:KEY=LUJMZERCNC&amp;VAR:QUERY=RkZfUlRfU0ZfVE9UX0dST1NTKFFUUiwtOSk=&amp;WINDOW=FIRST_POPUP&amp;HEIGHT=450&amp;WIDTH=450&amp;START_MA","XIMIZED=FALSE&amp;VAR:CALENDAR=US&amp;VAR:SYMBOL=DBRN&amp;VAR:INDEX=0"}</definedName>
    <definedName name="_2772__FDSAUDITLINK__" localSheetId="15" hidden="1">{"fdsup://directions/FAT Viewer?action=UPDATE&amp;creator=factset&amp;DYN_ARGS=TRUE&amp;DOC_NAME=FAT:FQL_AUDITING_CLIENT_TEMPLATE.FAT&amp;display_string=Audit&amp;VAR:KEY=TMDOHSFIJW&amp;VAR:QUERY=RkZfUlRfU0ZfVE9UX0dST1NTKFFUUiwtOCk=&amp;WINDOW=FIRST_POPUP&amp;HEIGHT=450&amp;WIDTH=450&amp;START_MA","XIMIZED=FALSE&amp;VAR:CALENDAR=US&amp;VAR:SYMBOL=DBRN&amp;VAR:INDEX=0"}</definedName>
    <definedName name="_2772__FDSAUDITLINK__" hidden="1">{"fdsup://directions/FAT Viewer?action=UPDATE&amp;creator=factset&amp;DYN_ARGS=TRUE&amp;DOC_NAME=FAT:FQL_AUDITING_CLIENT_TEMPLATE.FAT&amp;display_string=Audit&amp;VAR:KEY=TMDOHSFIJW&amp;VAR:QUERY=RkZfUlRfU0ZfVE9UX0dST1NTKFFUUiwtOCk=&amp;WINDOW=FIRST_POPUP&amp;HEIGHT=450&amp;WIDTH=450&amp;START_MA","XIMIZED=FALSE&amp;VAR:CALENDAR=US&amp;VAR:SYMBOL=DBRN&amp;VAR:INDEX=0"}</definedName>
    <definedName name="_2773__FDSAUDITLINK__" localSheetId="15" hidden="1">{"fdsup://directions/FAT Viewer?action=UPDATE&amp;creator=factset&amp;DYN_ARGS=TRUE&amp;DOC_NAME=FAT:FQL_AUDITING_CLIENT_TEMPLATE.FAT&amp;display_string=Audit&amp;VAR:KEY=HYDSPKZIXU&amp;VAR:QUERY=RkZfUlRfU0ZfVE9UX0dST1NTKFFUUiwtNyk=&amp;WINDOW=FIRST_POPUP&amp;HEIGHT=450&amp;WIDTH=450&amp;START_MA","XIMIZED=FALSE&amp;VAR:CALENDAR=US&amp;VAR:SYMBOL=DBRN&amp;VAR:INDEX=0"}</definedName>
    <definedName name="_2773__FDSAUDITLINK__" hidden="1">{"fdsup://directions/FAT Viewer?action=UPDATE&amp;creator=factset&amp;DYN_ARGS=TRUE&amp;DOC_NAME=FAT:FQL_AUDITING_CLIENT_TEMPLATE.FAT&amp;display_string=Audit&amp;VAR:KEY=HYDSPKZIXU&amp;VAR:QUERY=RkZfUlRfU0ZfVE9UX0dST1NTKFFUUiwtNyk=&amp;WINDOW=FIRST_POPUP&amp;HEIGHT=450&amp;WIDTH=450&amp;START_MA","XIMIZED=FALSE&amp;VAR:CALENDAR=US&amp;VAR:SYMBOL=DBRN&amp;VAR:INDEX=0"}</definedName>
    <definedName name="_2774__FDSAUDITLINK__" localSheetId="15" hidden="1">{"fdsup://directions/FAT Viewer?action=UPDATE&amp;creator=factset&amp;DYN_ARGS=TRUE&amp;DOC_NAME=FAT:FQL_AUDITING_CLIENT_TEMPLATE.FAT&amp;display_string=Audit&amp;VAR:KEY=DUDYFUJIHE&amp;VAR:QUERY=RkZfUlRfU0ZfVE9UX0dST1NTKFFUUiwtNik=&amp;WINDOW=FIRST_POPUP&amp;HEIGHT=450&amp;WIDTH=450&amp;START_MA","XIMIZED=FALSE&amp;VAR:CALENDAR=US&amp;VAR:SYMBOL=DBRN&amp;VAR:INDEX=0"}</definedName>
    <definedName name="_2774__FDSAUDITLINK__" hidden="1">{"fdsup://directions/FAT Viewer?action=UPDATE&amp;creator=factset&amp;DYN_ARGS=TRUE&amp;DOC_NAME=FAT:FQL_AUDITING_CLIENT_TEMPLATE.FAT&amp;display_string=Audit&amp;VAR:KEY=DUDYFUJIHE&amp;VAR:QUERY=RkZfUlRfU0ZfVE9UX0dST1NTKFFUUiwtNik=&amp;WINDOW=FIRST_POPUP&amp;HEIGHT=450&amp;WIDTH=450&amp;START_MA","XIMIZED=FALSE&amp;VAR:CALENDAR=US&amp;VAR:SYMBOL=DBRN&amp;VAR:INDEX=0"}</definedName>
    <definedName name="_2775__FDSAUDITLINK__" localSheetId="15" hidden="1">{"fdsup://directions/FAT Viewer?action=UPDATE&amp;creator=factset&amp;DYN_ARGS=TRUE&amp;DOC_NAME=FAT:FQL_AUDITING_CLIENT_TEMPLATE.FAT&amp;display_string=Audit&amp;VAR:KEY=BMXMBQZYBW&amp;VAR:QUERY=RkZfUlRfU0ZfVE9UX0dST1NTKFFUUiwtNSk=&amp;WINDOW=FIRST_POPUP&amp;HEIGHT=450&amp;WIDTH=450&amp;START_MA","XIMIZED=FALSE&amp;VAR:CALENDAR=US&amp;VAR:SYMBOL=DBRN&amp;VAR:INDEX=0"}</definedName>
    <definedName name="_2775__FDSAUDITLINK__" hidden="1">{"fdsup://directions/FAT Viewer?action=UPDATE&amp;creator=factset&amp;DYN_ARGS=TRUE&amp;DOC_NAME=FAT:FQL_AUDITING_CLIENT_TEMPLATE.FAT&amp;display_string=Audit&amp;VAR:KEY=BMXMBQZYBW&amp;VAR:QUERY=RkZfUlRfU0ZfVE9UX0dST1NTKFFUUiwtNSk=&amp;WINDOW=FIRST_POPUP&amp;HEIGHT=450&amp;WIDTH=450&amp;START_MA","XIMIZED=FALSE&amp;VAR:CALENDAR=US&amp;VAR:SYMBOL=DBRN&amp;VAR:INDEX=0"}</definedName>
    <definedName name="_2776__FDSAUDITLINK__" localSheetId="15" hidden="1">{"fdsup://directions/FAT Viewer?action=UPDATE&amp;creator=factset&amp;DYN_ARGS=TRUE&amp;DOC_NAME=FAT:FQL_AUDITING_CLIENT_TEMPLATE.FAT&amp;display_string=Audit&amp;VAR:KEY=FMXGVCLQVA&amp;VAR:QUERY=RkZfUlRfU0ZfVE9UX0dST1NTKFFUUiwtNCk=&amp;WINDOW=FIRST_POPUP&amp;HEIGHT=450&amp;WIDTH=450&amp;START_MA","XIMIZED=FALSE&amp;VAR:CALENDAR=US&amp;VAR:SYMBOL=DBRN&amp;VAR:INDEX=0"}</definedName>
    <definedName name="_2776__FDSAUDITLINK__" hidden="1">{"fdsup://directions/FAT Viewer?action=UPDATE&amp;creator=factset&amp;DYN_ARGS=TRUE&amp;DOC_NAME=FAT:FQL_AUDITING_CLIENT_TEMPLATE.FAT&amp;display_string=Audit&amp;VAR:KEY=FMXGVCLQVA&amp;VAR:QUERY=RkZfUlRfU0ZfVE9UX0dST1NTKFFUUiwtNCk=&amp;WINDOW=FIRST_POPUP&amp;HEIGHT=450&amp;WIDTH=450&amp;START_MA","XIMIZED=FALSE&amp;VAR:CALENDAR=US&amp;VAR:SYMBOL=DBRN&amp;VAR:INDEX=0"}</definedName>
    <definedName name="_2777__FDSAUDITLINK__" localSheetId="15" hidden="1">{"fdsup://directions/FAT Viewer?action=UPDATE&amp;creator=factset&amp;DYN_ARGS=TRUE&amp;DOC_NAME=FAT:FQL_AUDITING_CLIENT_TEMPLATE.FAT&amp;display_string=Audit&amp;VAR:KEY=JKNULCRGRS&amp;VAR:QUERY=RkZfUlRfU0ZfVE9UX0dST1NTKFFUUiwtMyk=&amp;WINDOW=FIRST_POPUP&amp;HEIGHT=450&amp;WIDTH=450&amp;START_MA","XIMIZED=FALSE&amp;VAR:CALENDAR=US&amp;VAR:SYMBOL=DBRN&amp;VAR:INDEX=0"}</definedName>
    <definedName name="_2777__FDSAUDITLINK__" hidden="1">{"fdsup://directions/FAT Viewer?action=UPDATE&amp;creator=factset&amp;DYN_ARGS=TRUE&amp;DOC_NAME=FAT:FQL_AUDITING_CLIENT_TEMPLATE.FAT&amp;display_string=Audit&amp;VAR:KEY=JKNULCRGRS&amp;VAR:QUERY=RkZfUlRfU0ZfVE9UX0dST1NTKFFUUiwtMyk=&amp;WINDOW=FIRST_POPUP&amp;HEIGHT=450&amp;WIDTH=450&amp;START_MA","XIMIZED=FALSE&amp;VAR:CALENDAR=US&amp;VAR:SYMBOL=DBRN&amp;VAR:INDEX=0"}</definedName>
    <definedName name="_2778__FDSAUDITLINK__" localSheetId="15"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78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79__FDSAUDITLINK__" localSheetId="15"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79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78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780__FDSAUDITLINK__" localSheetId="15"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0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1__FDSAUDITLINK__" localSheetId="15"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1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2__FDSAUDITLINK__" localSheetId="15"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2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3__FDSAUDITLINK__" localSheetId="15"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83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79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8__FDSAUDITLINK__" hidden="1">{"fdsup://Directions/FactSet Auditing Viewer?action=AUDIT_VALUE&amp;DB=129&amp;ID1=39006410&amp;VALUEID=01001&amp;SDATE=2005&amp;PERIODTYPE=ANN_STD&amp;window=popup_no_bar&amp;width=385&amp;height=120&amp;START_MAXIMIZED=FALSE&amp;creator=factset&amp;display_string=Audit"}</definedName>
    <definedName name="_28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80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8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81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8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82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8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8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8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84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8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85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8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86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8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87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8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88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8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89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9__FDSAUDITLINK__" hidden="1">{"fdsup://Directions/FactSet Auditing Viewer?action=AUDIT_VALUE&amp;DB=129&amp;ID1=39006410&amp;VALUEID=04601&amp;SDATE=2005&amp;PERIODTYPE=ANN_STD&amp;window=popup_no_bar&amp;width=385&amp;height=120&amp;START_MAXIMIZED=FALSE&amp;creator=factset&amp;display_string=Audit"}</definedName>
    <definedName name="_29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90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9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91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9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292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9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93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9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294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9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95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9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296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9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97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9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298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9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299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3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__FDSAUDITLINK__" hidden="1">{"fdsup://Directions/FactSet Auditing Viewer?action=AUDIT_VALUE&amp;DB=129&amp;ID1=02313510&amp;VALUEID=01001&amp;SDATE=2006&amp;PERIODTYPE=ANN_STD&amp;window=popup_no_bar&amp;width=385&amp;height=120&amp;START_MAXIMIZED=FALSE&amp;creator=factset&amp;display_string=Audit"}</definedName>
    <definedName name="_3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0__FDSAUDITLINK__" hidden="1">{"fdsup://Directions/FactSet Auditing Viewer?action=AUDIT_VALUE&amp;DB=129&amp;ID1=39006410&amp;VALUEID=01001&amp;SDATE=2006&amp;PERIODTYPE=ANN_STD&amp;window=popup_no_bar&amp;width=385&amp;height=120&amp;START_MAXIMIZED=FALSE&amp;creator=factset&amp;display_string=Audit"}</definedName>
    <definedName name="_30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0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30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01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30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02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30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03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30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04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30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05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30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06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30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07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30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08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30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09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31__FDSAUDITLINK__" localSheetId="15" hidden="1">{"fdsup://Directions/FactSet Auditing Viewer?action=AUDIT_VALUE&amp;DB=129&amp;ID1=87612E10&amp;VALUEID=01001&amp;SDATE=200604&amp;PERIODTYPE=QTR_STD&amp;window=popup_no_bar&amp;width=385&amp;height=120&amp;START_MAXIMIZED=FALSE&amp;creator=factset&amp;display_string=Audit"}</definedName>
    <definedName name="_31__FDSAUDITLINK__" hidden="1">{"fdsup://Directions/FactSet Auditing Viewer?action=AUDIT_VALUE&amp;DB=129&amp;ID1=39006410&amp;VALUEID=04601&amp;SDATE=2006&amp;PERIODTYPE=ANN_STD&amp;window=popup_no_bar&amp;width=385&amp;height=120&amp;START_MAXIMIZED=FALSE&amp;creator=factset&amp;display_string=Audit"}</definedName>
    <definedName name="_31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10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31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11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31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12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31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13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31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14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31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15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31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16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31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17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31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18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31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19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32__FDSAUDITLINK__" localSheetId="15" hidden="1">{"fdsup://Directions/FactSet Auditing Viewer?action=AUDIT_VALUE&amp;DB=129&amp;ID1=87612E10&amp;VALUEID=01001&amp;SDATE=200701&amp;PERIODTYPE=QTR_STD&amp;window=popup_no_bar&amp;width=385&amp;height=120&amp;START_MAXIMIZED=FALSE&amp;creator=factset&amp;display_string=Audit"}</definedName>
    <definedName name="_32__FDSAUDITLINK__" hidden="1">{"fdsup://Directions/FactSet Auditing Viewer?action=AUDIT_VALUE&amp;DB=129&amp;ID1=39006410&amp;VALUEID=01001&amp;SDATE=2007&amp;PERIODTYPE=ANN_STD&amp;window=popup_no_bar&amp;width=385&amp;height=120&amp;START_MAXIMIZED=FALSE&amp;creator=factset&amp;display_string=Audit"}</definedName>
    <definedName name="_32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20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32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21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32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22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32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23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32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24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32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25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32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26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32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2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32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28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32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29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33__FDSAUDITLINK__" localSheetId="15" hidden="1">{"fdsup://Directions/FactSet Auditing Viewer?action=AUDIT_VALUE&amp;DB=129&amp;ID1=87612E10&amp;VALUEID=01001&amp;SDATE=200702&amp;PERIODTYPE=QTR_STD&amp;window=popup_no_bar&amp;width=385&amp;height=120&amp;START_MAXIMIZED=FALSE&amp;creator=factset&amp;display_string=Audit"}</definedName>
    <definedName name="_33__FDSAUDITLINK__" hidden="1">{"fdsup://Directions/FactSet Auditing Viewer?action=AUDIT_VALUE&amp;DB=129&amp;ID1=39006410&amp;VALUEID=04601&amp;SDATE=2007&amp;PERIODTYPE=ANN_STD&amp;window=popup_no_bar&amp;width=385&amp;height=120&amp;START_MAXIMIZED=FALSE&amp;creator=factset&amp;display_string=Audit"}</definedName>
    <definedName name="_33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30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33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31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33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32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33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33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33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34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33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35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33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36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33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37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33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38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33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39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34__FDSAUDITLINK__" localSheetId="15" hidden="1">{"fdsup://Directions/FactSet Auditing Viewer?action=AUDIT_VALUE&amp;DB=129&amp;ID1=87612E10&amp;VALUEID=01001&amp;SDATE=200703&amp;PERIODTYPE=QTR_STD&amp;window=popup_no_bar&amp;width=385&amp;height=120&amp;START_MAXIMIZED=FALSE&amp;creator=factset&amp;display_string=Audit"}</definedName>
    <definedName name="_34__FDSAUDITLINK__" hidden="1">{"fdsup://Directions/FactSet Auditing Viewer?action=AUDIT_VALUE&amp;DB=129&amp;ID1=39006410&amp;VALUEID=01001&amp;SDATE=2008&amp;PERIODTYPE=ANN_STD&amp;window=popup_no_bar&amp;width=385&amp;height=120&amp;START_MAXIMIZED=FALSE&amp;creator=factset&amp;display_string=Audit"}</definedName>
    <definedName name="_34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40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34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41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34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42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34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43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34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44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34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45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34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46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34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47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34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48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34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49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35__FDSAUDITLINK__" localSheetId="15" hidden="1">{"fdsup://Directions/FactSet Auditing Viewer?action=AUDIT_VALUE&amp;DB=129&amp;ID1=87612E10&amp;VALUEID=01001&amp;SDATE=200704&amp;PERIODTYPE=QTR_STD&amp;window=popup_no_bar&amp;width=385&amp;height=120&amp;START_MAXIMIZED=FALSE&amp;creator=factset&amp;display_string=Audit"}</definedName>
    <definedName name="_35__FDSAUDITLINK__" hidden="1">{"fdsup://Directions/FactSet Auditing Viewer?action=AUDIT_VALUE&amp;DB=129&amp;ID1=39006410&amp;VALUEID=04601&amp;SDATE=2008&amp;PERIODTYPE=ANN_STD&amp;window=popup_no_bar&amp;width=385&amp;height=120&amp;START_MAXIMIZED=FALSE&amp;creator=factset&amp;display_string=Audit"}</definedName>
    <definedName name="_35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50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35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51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35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52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35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53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35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54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35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55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35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56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35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57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35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58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35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59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36__FDSAUDITLINK__" localSheetId="15" hidden="1">{"fdsup://Directions/FactSet Auditing Viewer?action=AUDIT_VALUE&amp;DB=129&amp;ID1=87612E10&amp;VALUEID=01001&amp;SDATE=200801&amp;PERIODTYPE=QTR_STD&amp;window=popup_no_bar&amp;width=385&amp;height=120&amp;START_MAXIMIZED=FALSE&amp;creator=factset&amp;display_string=Audit"}</definedName>
    <definedName name="_36__FDSAUDITLINK__" hidden="1">{"fdsup://Directions/FactSet Auditing Viewer?action=AUDIT_VALUE&amp;DB=129&amp;ID1=69865710&amp;VALUEID=01001&amp;SDATE=2005&amp;PERIODTYPE=ANN_STD&amp;window=popup_no_bar&amp;width=385&amp;height=120&amp;START_MAXIMIZED=FALSE&amp;creator=factset&amp;display_string=Audit"}</definedName>
    <definedName name="_36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60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36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61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36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62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36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63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36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64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36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65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36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66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36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67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36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68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36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69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37__FDSAUDITLINK__" localSheetId="15" hidden="1">{"fdsup://Directions/FactSet Auditing Viewer?action=AUDIT_VALUE&amp;DB=129&amp;ID1=87612E10&amp;VALUEID=01001&amp;SDATE=200802&amp;PERIODTYPE=QTR_STD&amp;window=popup_no_bar&amp;width=385&amp;height=120&amp;START_MAXIMIZED=FALSE&amp;creator=factset&amp;display_string=Audit"}</definedName>
    <definedName name="_37__FDSAUDITLINK__" hidden="1">{"fdsup://Directions/FactSet Auditing Viewer?action=AUDIT_VALUE&amp;DB=129&amp;ID1=69865710&amp;VALUEID=04601&amp;SDATE=2005&amp;PERIODTYPE=ANN_STD&amp;window=popup_no_bar&amp;width=385&amp;height=120&amp;START_MAXIMIZED=FALSE&amp;creator=factset&amp;display_string=Audit"}</definedName>
    <definedName name="_37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70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37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71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37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72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37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73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37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74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37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75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37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76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37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77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37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78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37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79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38__FDSAUDITLINK__" localSheetId="15" hidden="1">{"fdsup://Directions/FactSet Auditing Viewer?action=AUDIT_VALUE&amp;DB=129&amp;ID1=87612E10&amp;VALUEID=01001&amp;SDATE=200803&amp;PERIODTYPE=QTR_STD&amp;window=popup_no_bar&amp;width=385&amp;height=120&amp;START_MAXIMIZED=FALSE&amp;creator=factset&amp;display_string=Audit"}</definedName>
    <definedName name="_38__FDSAUDITLINK__" hidden="1">{"fdsup://Directions/FactSet Auditing Viewer?action=AUDIT_VALUE&amp;DB=129&amp;ID1=69865710&amp;VALUEID=01001&amp;SDATE=2006&amp;PERIODTYPE=ANN_STD&amp;window=popup_no_bar&amp;width=385&amp;height=120&amp;START_MAXIMIZED=FALSE&amp;creator=factset&amp;display_string=Audit"}</definedName>
    <definedName name="_38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80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38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81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38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82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38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83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38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8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38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85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38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86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38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87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38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8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38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89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39__FDSAUDITLINK__" localSheetId="15" hidden="1">{"fdsup://Directions/FactSet Auditing Viewer?action=AUDIT_VALUE&amp;DB=129&amp;ID1=87612E10&amp;VALUEID=01001&amp;SDATE=200804&amp;PERIODTYPE=QTR_STD&amp;window=popup_no_bar&amp;width=385&amp;height=120&amp;START_MAXIMIZED=FALSE&amp;creator=factset&amp;display_string=Audit"}</definedName>
    <definedName name="_39__FDSAUDITLINK__" hidden="1">{"fdsup://Directions/FactSet Auditing Viewer?action=AUDIT_VALUE&amp;DB=129&amp;ID1=69865710&amp;VALUEID=04601&amp;SDATE=2006&amp;PERIODTYPE=ANN_STD&amp;window=popup_no_bar&amp;width=385&amp;height=120&amp;START_MAXIMIZED=FALSE&amp;creator=factset&amp;display_string=Audit"}</definedName>
    <definedName name="_39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90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39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9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39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392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39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93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39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394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39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95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39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396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39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97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39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398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39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399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4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__FDSAUDITLINK__" hidden="1">{"fdsup://Directions/FactSet Auditing Viewer?action=AUDIT_VALUE&amp;DB=129&amp;ID1=02313510&amp;VALUEID=04601&amp;SDATE=2006&amp;PERIODTYPE=ANN_STD&amp;window=popup_no_bar&amp;width=385&amp;height=120&amp;START_MAXIMIZED=FALSE&amp;creator=factset&amp;display_string=Audit"}</definedName>
    <definedName name="_40__FDSAUDITLINK__" localSheetId="15" hidden="1">{"fdsup://Directions/FactSet Auditing Viewer?action=AUDIT_VALUE&amp;DB=129&amp;ID1=87612E10&amp;VALUEID=01001&amp;SDATE=200902&amp;PERIODTYPE=QTR_STD&amp;window=popup_no_bar&amp;width=385&amp;height=120&amp;START_MAXIMIZED=FALSE&amp;creator=factset&amp;display_string=Audit"}</definedName>
    <definedName name="_40__FDSAUDITLINK__" hidden="1">{"fdsup://Directions/FactSet Auditing Viewer?action=AUDIT_VALUE&amp;DB=129&amp;ID1=69865710&amp;VALUEID=01001&amp;SDATE=2007&amp;PERIODTYPE=ANN_STD&amp;window=popup_no_bar&amp;width=385&amp;height=120&amp;START_MAXIMIZED=FALSE&amp;creator=factset&amp;display_string=Audit"}</definedName>
    <definedName name="_40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0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40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01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40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02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40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40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0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40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05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40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06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40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0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40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08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40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09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41__FDSAUDITLINK__" localSheetId="15" hidden="1">{"fdsup://Directions/FactSet Auditing Viewer?action=AUDIT_VALUE&amp;DB=129&amp;ID1=87612E10&amp;VALUEID=01001&amp;SDATE=200903&amp;PERIODTYPE=QTR_STD&amp;window=popup_no_bar&amp;width=385&amp;height=120&amp;START_MAXIMIZED=FALSE&amp;creator=factset&amp;display_string=Audit"}</definedName>
    <definedName name="_41__FDSAUDITLINK__" hidden="1">{"fdsup://Directions/FactSet Auditing Viewer?action=AUDIT_VALUE&amp;DB=129&amp;ID1=69865710&amp;VALUEID=04601&amp;SDATE=2007&amp;PERIODTYPE=ANN_STD&amp;window=popup_no_bar&amp;width=385&amp;height=120&amp;START_MAXIMIZED=FALSE&amp;creator=factset&amp;display_string=Audit"}</definedName>
    <definedName name="_41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1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41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11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41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12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41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13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41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1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41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15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41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16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41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17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41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1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41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19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42__FDSAUDITLINK__" localSheetId="15" hidden="1">{"fdsup://Directions/FactSet Auditing Viewer?action=AUDIT_VALUE&amp;DB=129&amp;ID1=05548J10&amp;VALUEID=01001&amp;SDATE=200601&amp;PERIODTYPE=QTR_STD&amp;window=popup_no_bar&amp;width=385&amp;height=120&amp;START_MAXIMIZED=FALSE&amp;creator=factset&amp;display_string=Audit"}</definedName>
    <definedName name="_42__FDSAUDITLINK__" hidden="1">{"fdsup://Directions/FactSet Auditing Viewer?action=AUDIT_VALUE&amp;DB=129&amp;ID1=69865710&amp;VALUEID=01001&amp;SDATE=2008&amp;PERIODTYPE=ANN_STD&amp;window=popup_no_bar&amp;width=385&amp;height=120&amp;START_MAXIMIZED=FALSE&amp;creator=factset&amp;display_string=Audit"}</definedName>
    <definedName name="_42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20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42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2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42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42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23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42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24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42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2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42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26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42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27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42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2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42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29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43__FDSAUDITLINK__" localSheetId="15" hidden="1">{"fdsup://Directions/FactSet Auditing Viewer?action=AUDIT_VALUE&amp;DB=129&amp;ID1=05548J10&amp;VALUEID=01001&amp;SDATE=200602&amp;PERIODTYPE=QTR_STD&amp;window=popup_no_bar&amp;width=385&amp;height=120&amp;START_MAXIMIZED=FALSE&amp;creator=factset&amp;display_string=Audit"}</definedName>
    <definedName name="_43__FDSAUDITLINK__" hidden="1">{"fdsup://Directions/FactSet Auditing Viewer?action=AUDIT_VALUE&amp;DB=129&amp;ID1=69865710&amp;VALUEID=04601&amp;SDATE=2008&amp;PERIODTYPE=ANN_STD&amp;window=popup_no_bar&amp;width=385&amp;height=120&amp;START_MAXIMIZED=FALSE&amp;creator=factset&amp;display_string=Audit"}</definedName>
    <definedName name="_43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30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43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3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43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32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43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33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43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34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43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3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43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3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43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37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43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3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3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3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4__FDSAUDITLINK__" localSheetId="15" hidden="1">{"fdsup://Directions/FactSet Auditing Viewer?action=AUDIT_VALUE&amp;DB=129&amp;ID1=05548J10&amp;VALUEID=01001&amp;SDATE=200603&amp;PERIODTYPE=QTR_STD&amp;window=popup_no_bar&amp;width=385&amp;height=120&amp;START_MAXIMIZED=FALSE&amp;creator=factset&amp;display_string=Audit"}</definedName>
    <definedName name="_44__FDSAUDITLINK__" hidden="1">{"fdsup://Directions/FactSet Auditing Viewer?action=AUDIT_VALUE&amp;DB=129&amp;ID1=69865710&amp;VALUEID=01001&amp;SDATE=2009&amp;PERIODTYPE=ANN_STD&amp;window=popup_no_bar&amp;width=385&amp;height=120&amp;START_MAXIMIZED=FALSE&amp;creator=factset&amp;display_string=Audit"}</definedName>
    <definedName name="_44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4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4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4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44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4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44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4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4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44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44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45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44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46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44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47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44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48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44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49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45__FDSAUDITLINK__" localSheetId="15" hidden="1">{"fdsup://Directions/FactSet Auditing Viewer?action=AUDIT_VALUE&amp;DB=129&amp;ID1=05548J10&amp;VALUEID=01001&amp;SDATE=200604&amp;PERIODTYPE=QTR_STD&amp;window=popup_no_bar&amp;width=385&amp;height=120&amp;START_MAXIMIZED=FALSE&amp;creator=factset&amp;display_string=Audit"}</definedName>
    <definedName name="_45__FDSAUDITLINK__" hidden="1">{"fdsup://Directions/FactSet Auditing Viewer?action=AUDIT_VALUE&amp;DB=129&amp;ID1=69865710&amp;VALUEID=04601&amp;SDATE=2009&amp;PERIODTYPE=ANN_STD&amp;window=popup_no_bar&amp;width=385&amp;height=120&amp;START_MAXIMIZED=FALSE&amp;creator=factset&amp;display_string=Audit"}</definedName>
    <definedName name="_45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50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45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51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45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52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45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53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45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54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45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55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5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56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45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57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45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58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45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59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46__FDSAUDITLINK__" localSheetId="15" hidden="1">{"fdsup://Directions/FactSet Auditing Viewer?action=AUDIT_VALUE&amp;DB=129&amp;ID1=05548J10&amp;VALUEID=01001&amp;SDATE=200701&amp;PERIODTYPE=QTR_STD&amp;window=popup_no_bar&amp;width=385&amp;height=120&amp;START_MAXIMIZED=FALSE&amp;creator=factset&amp;display_string=Audit"}</definedName>
    <definedName name="_46__FDSAUDITLINK__" hidden="1">{"fdsup://Directions/FactSet Auditing Viewer?action=AUDIT_VALUE&amp;DB=129&amp;ID1=36467W10&amp;VALUEID=01001&amp;SDATE=2005&amp;PERIODTYPE=ANN_STD&amp;window=popup_no_bar&amp;width=385&amp;height=120&amp;START_MAXIMIZED=FALSE&amp;creator=factset&amp;display_string=Audit"}</definedName>
    <definedName name="_46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60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46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61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46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62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46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63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46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64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46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65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46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66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46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67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46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68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46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69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7__FDSAUDITLINK__" localSheetId="15" hidden="1">{"fdsup://Directions/FactSet Auditing Viewer?action=AUDIT_VALUE&amp;DB=129&amp;ID1=05548J10&amp;VALUEID=01001&amp;SDATE=200702&amp;PERIODTYPE=QTR_STD&amp;window=popup_no_bar&amp;width=385&amp;height=120&amp;START_MAXIMIZED=FALSE&amp;creator=factset&amp;display_string=Audit"}</definedName>
    <definedName name="_47__FDSAUDITLINK__" hidden="1">{"fdsup://Directions/FactSet Auditing Viewer?action=AUDIT_VALUE&amp;DB=129&amp;ID1=36467W10&amp;VALUEID=04601&amp;SDATE=2005&amp;PERIODTYPE=ANN_STD&amp;window=popup_no_bar&amp;width=385&amp;height=120&amp;START_MAXIMIZED=FALSE&amp;creator=factset&amp;display_string=Audit"}</definedName>
    <definedName name="_47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70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47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71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47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72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47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73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47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74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47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75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47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76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47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77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47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78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47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79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48__FDSAUDITLINK__" localSheetId="15" hidden="1">{"fdsup://Directions/FactSet Auditing Viewer?action=AUDIT_VALUE&amp;DB=129&amp;ID1=05548J10&amp;VALUEID=01001&amp;SDATE=200703&amp;PERIODTYPE=QTR_STD&amp;window=popup_no_bar&amp;width=385&amp;height=120&amp;START_MAXIMIZED=FALSE&amp;creator=factset&amp;display_string=Audit"}</definedName>
    <definedName name="_48__FDSAUDITLINK__" hidden="1">{"fdsup://Directions/FactSet Auditing Viewer?action=AUDIT_VALUE&amp;DB=129&amp;ID1=36467W10&amp;VALUEID=01001&amp;SDATE=2006&amp;PERIODTYPE=ANN_STD&amp;window=popup_no_bar&amp;width=385&amp;height=120&amp;START_MAXIMIZED=FALSE&amp;creator=factset&amp;display_string=Audit"}</definedName>
    <definedName name="_48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80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48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81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48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82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48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83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48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84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48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85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48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86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48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87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48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8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48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8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9__FDSAUDITLINK__" localSheetId="15" hidden="1">{"fdsup://Directions/FactSet Auditing Viewer?action=AUDIT_VALUE&amp;DB=129&amp;ID1=05548J10&amp;VALUEID=01001&amp;SDATE=200704&amp;PERIODTYPE=QTR_STD&amp;window=popup_no_bar&amp;width=385&amp;height=120&amp;START_MAXIMIZED=FALSE&amp;creator=factset&amp;display_string=Audit"}</definedName>
    <definedName name="_49__FDSAUDITLINK__" hidden="1">{"fdsup://Directions/FactSet Auditing Viewer?action=AUDIT_VALUE&amp;DB=129&amp;ID1=36467W10&amp;VALUEID=04601&amp;SDATE=2006&amp;PERIODTYPE=ANN_STD&amp;window=popup_no_bar&amp;width=385&amp;height=120&amp;START_MAXIMIZED=FALSE&amp;creator=factset&amp;display_string=Audit"}</definedName>
    <definedName name="_49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90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9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91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49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492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49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93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49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494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49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95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49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496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49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97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49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498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49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499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5__123Graph_Aｸﾞﾗﾌ_1" hidden="1">[1]ｾｸﾞﾒﾝﾄ!$E$164:$I$164</definedName>
    <definedName name="_5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__FDSAUDITLINK__" hidden="1">{"fdsup://Directions/FactSet Auditing Viewer?action=AUDIT_VALUE&amp;DB=129&amp;ID1=02313510&amp;VALUEID=01001&amp;SDATE=2007&amp;PERIODTYPE=ANN_STD&amp;window=popup_no_bar&amp;width=385&amp;height=120&amp;START_MAXIMIZED=FALSE&amp;creator=factset&amp;display_string=Audit"}</definedName>
    <definedName name="_50__FDSAUDITLINK__" localSheetId="15" hidden="1">{"fdsup://Directions/FactSet Auditing Viewer?action=AUDIT_VALUE&amp;DB=129&amp;ID1=05548J10&amp;VALUEID=01001&amp;SDATE=200801&amp;PERIODTYPE=QTR_STD&amp;window=popup_no_bar&amp;width=385&amp;height=120&amp;START_MAXIMIZED=FALSE&amp;creator=factset&amp;display_string=Audit"}</definedName>
    <definedName name="_50__FDSAUDITLINK__" hidden="1">{"fdsup://Directions/FactSet Auditing Viewer?action=AUDIT_VALUE&amp;DB=129&amp;ID1=36467W10&amp;VALUEID=01001&amp;SDATE=2007&amp;PERIODTYPE=ANN_STD&amp;window=popup_no_bar&amp;width=385&amp;height=120&amp;START_MAXIMIZED=FALSE&amp;creator=factset&amp;display_string=Audit"}</definedName>
    <definedName name="_50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00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50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01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50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02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50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03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50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04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50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05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50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06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50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07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50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08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50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09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51__FDSAUDITLINK__" localSheetId="15" hidden="1">{"fdsup://Directions/FactSet Auditing Viewer?action=AUDIT_VALUE&amp;DB=129&amp;ID1=05548J10&amp;VALUEID=01001&amp;SDATE=200802&amp;PERIODTYPE=QTR_STD&amp;window=popup_no_bar&amp;width=385&amp;height=120&amp;START_MAXIMIZED=FALSE&amp;creator=factset&amp;display_string=Audit"}</definedName>
    <definedName name="_51__FDSAUDITLINK__" hidden="1">{"fdsup://Directions/FactSet Auditing Viewer?action=AUDIT_VALUE&amp;DB=129&amp;ID1=36467W10&amp;VALUEID=04601&amp;SDATE=2007&amp;PERIODTYPE=ANN_STD&amp;window=popup_no_bar&amp;width=385&amp;height=120&amp;START_MAXIMIZED=FALSE&amp;creator=factset&amp;display_string=Audit"}</definedName>
    <definedName name="_51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10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51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11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51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12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51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13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51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14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51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1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51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1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51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17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51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18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51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19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52__FDSAUDITLINK__" localSheetId="15" hidden="1">{"fdsup://Directions/FactSet Auditing Viewer?action=AUDIT_VALUE&amp;DB=129&amp;ID1=05548J10&amp;VALUEID=01001&amp;SDATE=200803&amp;PERIODTYPE=QTR_STD&amp;window=popup_no_bar&amp;width=385&amp;height=120&amp;START_MAXIMIZED=FALSE&amp;creator=factset&amp;display_string=Audit"}</definedName>
    <definedName name="_52__FDSAUDITLINK__" hidden="1">{"fdsup://Directions/FactSet Auditing Viewer?action=AUDIT_VALUE&amp;DB=129&amp;ID1=36467W10&amp;VALUEID=01001&amp;SDATE=2008&amp;PERIODTYPE=ANN_STD&amp;window=popup_no_bar&amp;width=385&amp;height=120&amp;START_MAXIMIZED=FALSE&amp;creator=factset&amp;display_string=Audit"}</definedName>
    <definedName name="_52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20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52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21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52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22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52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23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52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24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52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25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52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26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52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27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52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28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52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29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53__FDSAUDITLINK__" localSheetId="15" hidden="1">{"fdsup://Directions/FactSet Auditing Viewer?action=AUDIT_VALUE&amp;DB=129&amp;ID1=05548J10&amp;VALUEID=01001&amp;SDATE=200804&amp;PERIODTYPE=QTR_STD&amp;window=popup_no_bar&amp;width=385&amp;height=120&amp;START_MAXIMIZED=FALSE&amp;creator=factset&amp;display_string=Audit"}</definedName>
    <definedName name="_53__FDSAUDITLINK__" hidden="1">{"fdsup://Directions/FactSet Auditing Viewer?action=AUDIT_VALUE&amp;DB=129&amp;ID1=36467W10&amp;VALUEID=04601&amp;SDATE=2008&amp;PERIODTYPE=ANN_STD&amp;window=popup_no_bar&amp;width=385&amp;height=120&amp;START_MAXIMIZED=FALSE&amp;creator=factset&amp;display_string=Audit"}</definedName>
    <definedName name="_53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30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53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31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53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32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53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33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53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34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53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35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53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36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53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37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53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38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53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39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54__FDSAUDITLINK__" localSheetId="15" hidden="1">{"fdsup://Directions/FactSet Auditing Viewer?action=AUDIT_VALUE&amp;DB=129&amp;ID1=05548J10&amp;VALUEID=01001&amp;SDATE=200901&amp;PERIODTYPE=QTR_STD&amp;window=popup_no_bar&amp;width=385&amp;height=120&amp;START_MAXIMIZED=FALSE&amp;creator=factset&amp;display_string=Audit"}</definedName>
    <definedName name="_54__FDSAUDITLINK__" hidden="1">{"fdsup://Directions/FactSet Auditing Viewer?action=AUDIT_VALUE&amp;DB=129&amp;ID1=25406710&amp;VALUEID=01001&amp;SDATE=2005&amp;PERIODTYPE=ANN_STD&amp;window=popup_no_bar&amp;width=385&amp;height=120&amp;START_MAXIMIZED=FALSE&amp;creator=factset&amp;display_string=Audit"}</definedName>
    <definedName name="_54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40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54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41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54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42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54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43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54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44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54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45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54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46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54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47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54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48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54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49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55__FDSAUDITLINK__" localSheetId="15" hidden="1">{"fdsup://Directions/FactSet Auditing Viewer?action=AUDIT_VALUE&amp;DB=129&amp;ID1=05548J10&amp;VALUEID=01001&amp;SDATE=200902&amp;PERIODTYPE=QTR_STD&amp;window=popup_no_bar&amp;width=385&amp;height=120&amp;START_MAXIMIZED=FALSE&amp;creator=factset&amp;display_string=Audit"}</definedName>
    <definedName name="_55__FDSAUDITLINK__" hidden="1">{"fdsup://Directions/FactSet Auditing Viewer?action=AUDIT_VALUE&amp;DB=129&amp;ID1=25406710&amp;VALUEID=04601&amp;SDATE=2005&amp;PERIODTYPE=ANN_STD&amp;window=popup_no_bar&amp;width=385&amp;height=120&amp;START_MAXIMIZED=FALSE&amp;creator=factset&amp;display_string=Audit"}</definedName>
    <definedName name="_55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50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55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5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55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52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55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53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55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54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55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55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55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56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55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57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55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58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55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59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56__FDSAUDITLINK__" localSheetId="15" hidden="1">{"fdsup://Directions/FactSet Auditing Viewer?action=AUDIT_VALUE&amp;DB=129&amp;ID1=05548J10&amp;VALUEID=01001&amp;SDATE=200903&amp;PERIODTYPE=QTR_STD&amp;window=popup_no_bar&amp;width=385&amp;height=120&amp;START_MAXIMIZED=FALSE&amp;creator=factset&amp;display_string=Audit"}</definedName>
    <definedName name="_56__FDSAUDITLINK__" hidden="1">{"fdsup://Directions/FactSet Auditing Viewer?action=AUDIT_VALUE&amp;DB=129&amp;ID1=25406710&amp;VALUEID=01001&amp;SDATE=2006&amp;PERIODTYPE=ANN_STD&amp;window=popup_no_bar&amp;width=385&amp;height=120&amp;START_MAXIMIZED=FALSE&amp;creator=factset&amp;display_string=Audit"}</definedName>
    <definedName name="_56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60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56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61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56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62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56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63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56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64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56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65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56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66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56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67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56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68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56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69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57__FDSAUDITLINK__" localSheetId="15" hidden="1">{"fdsup://Directions/FactSet Auditing Viewer?action=AUDIT_VALUE&amp;DB=129&amp;ID1=22160K10&amp;VALUEID=01001&amp;SDATE=200602&amp;PERIODTYPE=QTR_STD&amp;window=popup_no_bar&amp;width=385&amp;height=120&amp;START_MAXIMIZED=FALSE&amp;creator=factset&amp;display_string=Audit"}</definedName>
    <definedName name="_57__FDSAUDITLINK__" hidden="1">{"fdsup://Directions/FactSet Auditing Viewer?action=AUDIT_VALUE&amp;DB=129&amp;ID1=25406710&amp;VALUEID=04601&amp;SDATE=2006&amp;PERIODTYPE=ANN_STD&amp;window=popup_no_bar&amp;width=385&amp;height=120&amp;START_MAXIMIZED=FALSE&amp;creator=factset&amp;display_string=Audit"}</definedName>
    <definedName name="_57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70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57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71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57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72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57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73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57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74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57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75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57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76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57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77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57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78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57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79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58__FDSAUDITLINK__" localSheetId="15" hidden="1">{"fdsup://Directions/FactSet Auditing Viewer?action=AUDIT_VALUE&amp;DB=129&amp;ID1=22160K10&amp;VALUEID=01001&amp;SDATE=200603&amp;PERIODTYPE=QTR_STD&amp;window=popup_no_bar&amp;width=385&amp;height=120&amp;START_MAXIMIZED=FALSE&amp;creator=factset&amp;display_string=Audit"}</definedName>
    <definedName name="_58__FDSAUDITLINK__" hidden="1">{"fdsup://Directions/FactSet Auditing Viewer?action=AUDIT_VALUE&amp;DB=129&amp;ID1=25406710&amp;VALUEID=01001&amp;SDATE=2007&amp;PERIODTYPE=ANN_STD&amp;window=popup_no_bar&amp;width=385&amp;height=120&amp;START_MAXIMIZED=FALSE&amp;creator=factset&amp;display_string=Audit"}</definedName>
    <definedName name="_58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80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58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8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58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82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58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83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58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84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58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85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58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86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58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87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58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88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58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89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59__FDSAUDITLINK__" localSheetId="15" hidden="1">{"fdsup://Directions/FactSet Auditing Viewer?action=AUDIT_VALUE&amp;DB=129&amp;ID1=22160K10&amp;VALUEID=01001&amp;SDATE=200701&amp;PERIODTYPE=QTR_STD&amp;window=popup_no_bar&amp;width=385&amp;height=120&amp;START_MAXIMIZED=FALSE&amp;creator=factset&amp;display_string=Audit"}</definedName>
    <definedName name="_59__FDSAUDITLINK__" hidden="1">{"fdsup://Directions/FactSet Auditing Viewer?action=AUDIT_VALUE&amp;DB=129&amp;ID1=25406710&amp;VALUEID=04601&amp;SDATE=2007&amp;PERIODTYPE=ANN_STD&amp;window=popup_no_bar&amp;width=385&amp;height=120&amp;START_MAXIMIZED=FALSE&amp;creator=factset&amp;display_string=Audit"}</definedName>
    <definedName name="_59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90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59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91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59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592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59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93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59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594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59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95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59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596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59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97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59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598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59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599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6__123Graph_Aｸﾞﾗﾌ_2" hidden="1">[1]単独!$AR$14:$AR$18</definedName>
    <definedName name="_6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__FDSAUDITLINK__" hidden="1">{"fdsup://Directions/FactSet Auditing Viewer?action=AUDIT_VALUE&amp;DB=129&amp;ID1=02313510&amp;VALUEID=04601&amp;SDATE=2007&amp;PERIODTYPE=ANN_STD&amp;window=popup_no_bar&amp;width=385&amp;height=120&amp;START_MAXIMIZED=FALSE&amp;creator=factset&amp;display_string=Audit"}</definedName>
    <definedName name="_60__FDSAUDITLINK__" localSheetId="15" hidden="1">{"fdsup://Directions/FactSet Auditing Viewer?action=AUDIT_VALUE&amp;DB=129&amp;ID1=22160K10&amp;VALUEID=01001&amp;SDATE=200702&amp;PERIODTYPE=QTR_STD&amp;window=popup_no_bar&amp;width=385&amp;height=120&amp;START_MAXIMIZED=FALSE&amp;creator=factset&amp;display_string=Audit"}</definedName>
    <definedName name="_60__FDSAUDITLINK__" hidden="1">{"fdsup://Directions/FactSet Auditing Viewer?action=AUDIT_VALUE&amp;DB=129&amp;ID1=25406710&amp;VALUEID=01001&amp;SDATE=2008&amp;PERIODTYPE=ANN_STD&amp;window=popup_no_bar&amp;width=385&amp;height=120&amp;START_MAXIMIZED=FALSE&amp;creator=factset&amp;display_string=Audit"}</definedName>
    <definedName name="_60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00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60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01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60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02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60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03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60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04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60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05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60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06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60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07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60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0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60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09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61__FDSAUDITLINK__" localSheetId="15" hidden="1">{"fdsup://Directions/FactSet Auditing Viewer?action=AUDIT_VALUE&amp;DB=129&amp;ID1=22160K10&amp;VALUEID=01001&amp;SDATE=200703&amp;PERIODTYPE=QTR_STD&amp;window=popup_no_bar&amp;width=385&amp;height=120&amp;START_MAXIMIZED=FALSE&amp;creator=factset&amp;display_string=Audit"}</definedName>
    <definedName name="_61__FDSAUDITLINK__" hidden="1">{"fdsup://Directions/FactSet Auditing Viewer?action=AUDIT_VALUE&amp;DB=129&amp;ID1=25406710&amp;VALUEID=04601&amp;SDATE=2008&amp;PERIODTYPE=ANN_STD&amp;window=popup_no_bar&amp;width=385&amp;height=120&amp;START_MAXIMIZED=FALSE&amp;creator=factset&amp;display_string=Audit"}</definedName>
    <definedName name="_61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10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61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11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61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12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61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13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61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14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61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15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61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16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61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1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61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18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61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19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62__FDSAUDITLINK__" localSheetId="15" hidden="1">{"fdsup://Directions/FactSet Auditing Viewer?action=AUDIT_VALUE&amp;DB=129&amp;ID1=22160K10&amp;VALUEID=01001&amp;SDATE=200801&amp;PERIODTYPE=QTR_STD&amp;window=popup_no_bar&amp;width=385&amp;height=120&amp;START_MAXIMIZED=FALSE&amp;creator=factset&amp;display_string=Audit"}</definedName>
    <definedName name="_62__FDSAUDITLINK__" hidden="1">{"fdsup://Directions/FactSet Auditing Viewer?action=AUDIT_VALUE&amp;DB=129&amp;ID1=97428030&amp;VALUEID=01001&amp;SDATE=2005&amp;PERIODTYPE=ANN_STD&amp;window=popup_no_bar&amp;width=385&amp;height=120&amp;START_MAXIMIZED=FALSE&amp;creator=factset&amp;display_string=Audit"}</definedName>
    <definedName name="_62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20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62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21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62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22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62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23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62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24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62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25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62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26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62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27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62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28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62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29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63__FDSAUDITLINK__" localSheetId="15" hidden="1">{"fdsup://Directions/FactSet Auditing Viewer?action=AUDIT_VALUE&amp;DB=129&amp;ID1=22160K10&amp;VALUEID=01001&amp;SDATE=200802&amp;PERIODTYPE=QTR_STD&amp;window=popup_no_bar&amp;width=385&amp;height=120&amp;START_MAXIMIZED=FALSE&amp;creator=factset&amp;display_string=Audit"}</definedName>
    <definedName name="_63__FDSAUDITLINK__" hidden="1">{"fdsup://Directions/FactSet Auditing Viewer?action=AUDIT_VALUE&amp;DB=129&amp;ID1=97428030&amp;VALUEID=04601&amp;SDATE=2005&amp;PERIODTYPE=ANN_STD&amp;window=popup_no_bar&amp;width=385&amp;height=120&amp;START_MAXIMIZED=FALSE&amp;creator=factset&amp;display_string=Audit"}</definedName>
    <definedName name="_63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30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63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31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63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32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63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33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63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34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63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35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63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36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63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37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63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38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63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39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64__FDSAUDITLINK__" localSheetId="15" hidden="1">{"fdsup://Directions/FactSet Auditing Viewer?action=AUDIT_VALUE&amp;DB=129&amp;ID1=22160K10&amp;VALUEID=01001&amp;SDATE=200803&amp;PERIODTYPE=QTR_STD&amp;window=popup_no_bar&amp;width=385&amp;height=120&amp;START_MAXIMIZED=FALSE&amp;creator=factset&amp;display_string=Audit"}</definedName>
    <definedName name="_64__FDSAUDITLINK__" hidden="1">{"fdsup://Directions/FactSet Auditing Viewer?action=AUDIT_VALUE&amp;DB=129&amp;ID1=97428030&amp;VALUEID=01001&amp;SDATE=2006&amp;PERIODTYPE=ANN_STD&amp;window=popup_no_bar&amp;width=385&amp;height=120&amp;START_MAXIMIZED=FALSE&amp;creator=factset&amp;display_string=Audit"}</definedName>
    <definedName name="_64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40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64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41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64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42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64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43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64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44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64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45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64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46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64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47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64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48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64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49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65__FDSAUDITLINK__" localSheetId="15" hidden="1">{"fdsup://Directions/FactSet Auditing Viewer?action=AUDIT_VALUE&amp;DB=129&amp;ID1=22160K10&amp;VALUEID=01001&amp;SDATE=200804&amp;PERIODTYPE=QTR_STD&amp;window=popup_no_bar&amp;width=385&amp;height=120&amp;START_MAXIMIZED=FALSE&amp;creator=factset&amp;display_string=Audit"}</definedName>
    <definedName name="_65__FDSAUDITLINK__" hidden="1">{"fdsup://Directions/FactSet Auditing Viewer?action=AUDIT_VALUE&amp;DB=129&amp;ID1=97428030&amp;VALUEID=04601&amp;SDATE=2006&amp;PERIODTYPE=ANN_STD&amp;window=popup_no_bar&amp;width=385&amp;height=120&amp;START_MAXIMIZED=FALSE&amp;creator=factset&amp;display_string=Audit"}</definedName>
    <definedName name="_65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50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65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51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65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52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65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53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65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54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65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55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65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56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65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57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65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58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65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59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66__FDSAUDITLINK__" localSheetId="15" hidden="1">{"fdsup://Directions/FactSet Auditing Viewer?action=AUDIT_VALUE&amp;DB=129&amp;ID1=22160K10&amp;VALUEID=01001&amp;SDATE=200901&amp;PERIODTYPE=QTR_STD&amp;window=popup_no_bar&amp;width=385&amp;height=120&amp;START_MAXIMIZED=FALSE&amp;creator=factset&amp;display_string=Audit"}</definedName>
    <definedName name="_66__FDSAUDITLINK__" hidden="1">{"fdsup://Directions/FactSet Auditing Viewer?action=AUDIT_VALUE&amp;DB=129&amp;ID1=97428030&amp;VALUEID=01001&amp;SDATE=2008&amp;PERIODTYPE=ANN_STD&amp;window=popup_no_bar&amp;width=385&amp;height=120&amp;START_MAXIMIZED=FALSE&amp;creator=factset&amp;display_string=Audit"}</definedName>
    <definedName name="_66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60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66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61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66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62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66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63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66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64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66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65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66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66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66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67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66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68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66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69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67__FDSAUDITLINK__" localSheetId="15" hidden="1">{"fdsup://Directions/FactSet Auditing Viewer?action=AUDIT_VALUE&amp;DB=129&amp;ID1=22160K10&amp;VALUEID=01001&amp;SDATE=200902&amp;PERIODTYPE=QTR_STD&amp;window=popup_no_bar&amp;width=385&amp;height=120&amp;START_MAXIMIZED=FALSE&amp;creator=factset&amp;display_string=Audit"}</definedName>
    <definedName name="_67__FDSAUDITLINK__" hidden="1">{"fdsup://Directions/FactSet Auditing Viewer?action=AUDIT_VALUE&amp;DB=129&amp;ID1=97428030&amp;VALUEID=04601&amp;SDATE=2008&amp;PERIODTYPE=ANN_STD&amp;window=popup_no_bar&amp;width=385&amp;height=120&amp;START_MAXIMIZED=FALSE&amp;creator=factset&amp;display_string=Audit"}</definedName>
    <definedName name="_67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70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67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71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67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72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67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73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67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74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67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75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67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76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67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77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67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78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67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7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68__FDSAUDITLINK__" localSheetId="15" hidden="1">{"fdsup://Directions/FactSet Auditing Viewer?action=AUDIT_VALUE&amp;DB=129&amp;ID1=22160K10&amp;VALUEID=01001&amp;SDATE=200903&amp;PERIODTYPE=QTR_STD&amp;window=popup_no_bar&amp;width=385&amp;height=120&amp;START_MAXIMIZED=FALSE&amp;creator=factset&amp;display_string=Audit"}</definedName>
    <definedName name="_68__FDSAUDITLINK__" hidden="1">{"fdsup://Directions/FactSet Auditing Viewer?action=AUDIT_VALUE&amp;DB=129&amp;ID1=97428030&amp;VALUEID=01001&amp;SDATE=2009&amp;PERIODTYPE=ANN_STD&amp;window=popup_no_bar&amp;width=385&amp;height=120&amp;START_MAXIMIZED=FALSE&amp;creator=factset&amp;display_string=Audit"}</definedName>
    <definedName name="_68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80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68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81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68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82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68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83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68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84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685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85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686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686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687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87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688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688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689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89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69__FDSAUDITLINK__" localSheetId="15" hidden="1">{"fdsup://Directions/FactSet Auditing Viewer?action=AUDIT_VALUE&amp;DB=129&amp;ID1=25674610&amp;VALUEID=01001&amp;SDATE=200902&amp;PERIODTYPE=QTR_STD&amp;window=popup_no_bar&amp;width=385&amp;height=120&amp;START_MAXIMIZED=FALSE&amp;creator=factset&amp;display_string=Audit"}</definedName>
    <definedName name="_69__FDSAUDITLINK__" hidden="1">{"fdsup://Directions/FactSet Auditing Viewer?action=AUDIT_VALUE&amp;DB=129&amp;ID1=97428030&amp;VALUEID=04601&amp;SDATE=2009&amp;PERIODTYPE=ANN_STD&amp;window=popup_no_bar&amp;width=385&amp;height=120&amp;START_MAXIMIZED=FALSE&amp;creator=factset&amp;display_string=Audit"}</definedName>
    <definedName name="_690__FDSAUDITLINK__" localSheetId="15" hidden="1">{"fdsup://Directions/FactSet Auditing Viewer?action=AUDIT_VALUE&amp;DB=129&amp;ID1=50025510&amp;VALUEID=02001&amp;SDATE=201102&amp;PERIODTYPE=QTR_STD&amp;SCFT=3&amp;window=popup_no_bar&amp;width=385&amp;height=120&amp;START_MAXIMIZED=FALSE&amp;creator=factset&amp;display_string=Audit"}</definedName>
    <definedName name="_690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691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91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692__FDSAUDITLINK__" localSheetId="15" hidden="1">{"fdsup://Directions/FactSet Auditing Viewer?action=AUDIT_VALUE&amp;DB=129&amp;ID1=65566410&amp;VALUEID=02001&amp;SDATE=201102&amp;PERIODTYPE=QTR_STD&amp;SCFT=3&amp;window=popup_no_bar&amp;width=385&amp;height=120&amp;START_MAXIMIZED=FALSE&amp;creator=factset&amp;display_string=Audit"}</definedName>
    <definedName name="_692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693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93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694__FDSAUDITLINK__" localSheetId="15" hidden="1">{"fdsup://Directions/FactSet Auditing Viewer?action=AUDIT_VALUE&amp;DB=129&amp;ID1=70816010&amp;VALUEID=02001&amp;SDATE=201102&amp;PERIODTYPE=QTR_STD&amp;SCFT=3&amp;window=popup_no_bar&amp;width=385&amp;height=120&amp;START_MAXIMIZED=FALSE&amp;creator=factset&amp;display_string=Audit"}</definedName>
    <definedName name="_694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695__FDSAUDITLINK__" localSheetId="15" hidden="1">{"fdsup://Directions/FactSet Auditing Viewer?action=AUDIT_VALUE&amp;DB=129&amp;ID1=87416110&amp;VALUEID=02101&amp;SDATE=200701&amp;PERIODTYPE=QTR_STD&amp;window=popup_no_bar&amp;width=385&amp;height=120&amp;START_MAXIMIZED=FALSE&amp;creator=factset&amp;display_string=Audit"}</definedName>
    <definedName name="_695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696__FDSAUDITLINK__" localSheetId="15" hidden="1">{"fdsup://Directions/FactSet Auditing Viewer?action=AUDIT_VALUE&amp;DB=129&amp;ID1=87416110&amp;VALUEID=01001&amp;SDATE=200701&amp;PERIODTYPE=QTR_STD&amp;window=popup_no_bar&amp;width=385&amp;height=120&amp;START_MAXIMIZED=FALSE&amp;creator=factset&amp;display_string=Audit"}</definedName>
    <definedName name="_696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697__FDSAUDITLINK__" localSheetId="15" hidden="1">{"fdsup://Directions/FactSet Auditing Viewer?action=AUDIT_VALUE&amp;DB=129&amp;ID1=53271610&amp;VALUEID=02101&amp;SDATE=200701&amp;PERIODTYPE=QTR_STD&amp;window=popup_no_bar&amp;width=385&amp;height=120&amp;START_MAXIMIZED=FALSE&amp;creator=factset&amp;display_string=Audit"}</definedName>
    <definedName name="_697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698__FDSAUDITLINK__" localSheetId="15" hidden="1">{"fdsup://Directions/FactSet Auditing Viewer?action=AUDIT_VALUE&amp;DB=129&amp;ID1=53271610&amp;VALUEID=01001&amp;SDATE=200701&amp;PERIODTYPE=QTR_STD&amp;window=popup_no_bar&amp;width=385&amp;height=120&amp;START_MAXIMIZED=FALSE&amp;creator=factset&amp;display_string=Audit"}</definedName>
    <definedName name="_69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699__FDSAUDITLINK__" localSheetId="15" hidden="1">{"fdsup://Directions/FactSet Auditing Viewer?action=AUDIT_VALUE&amp;DB=129&amp;ID1=53271610&amp;VALUEID=13040&amp;SDATE=200701&amp;PERIODTYPE=QTR_STD&amp;window=popup_no_bar&amp;width=385&amp;height=120&amp;START_MAXIMIZED=FALSE&amp;creator=factset&amp;display_string=Audit"}</definedName>
    <definedName name="_699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7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7__FDSAUDITLINK__" hidden="1">{"fdsup://Directions/FactSet Auditing Viewer?action=AUDIT_VALUE&amp;DB=129&amp;ID1=02313510&amp;VALUEID=01001&amp;SDATE=2008&amp;PERIODTYPE=ANN_STD&amp;window=popup_no_bar&amp;width=385&amp;height=120&amp;START_MAXIMIZED=FALSE&amp;creator=factset&amp;display_string=Audit"}</definedName>
    <definedName name="_70__FDSAUDITLINK__" localSheetId="15" hidden="1">{"fdsup://Directions/FactSet Auditing Viewer?action=AUDIT_VALUE&amp;DB=129&amp;ID1=25674610&amp;VALUEID=01001&amp;SDATE=200901&amp;PERIODTYPE=QTR_STD&amp;window=popup_no_bar&amp;width=385&amp;height=120&amp;START_MAXIMIZED=FALSE&amp;creator=factset&amp;display_string=Audit"}</definedName>
    <definedName name="_70__FDSAUDITLINK__" hidden="1">{"fdsup://Directions/FactSet Auditing Viewer?action=AUDIT_VALUE&amp;DB=129&amp;ID1=09367910&amp;VALUEID=01001&amp;SDATE=2005&amp;PERIODTYPE=ANN_STD&amp;window=popup_no_bar&amp;width=385&amp;height=120&amp;START_MAXIMIZED=FALSE&amp;creator=factset&amp;display_string=Audit"}</definedName>
    <definedName name="_700__FDSAUDITLINK__" localSheetId="15" hidden="1">{"fdsup://Directions/FactSet Auditing Viewer?action=AUDIT_VALUE&amp;DB=129&amp;ID1=46612H40&amp;VALUEID=02101&amp;SDATE=200701&amp;PERIODTYPE=QTR_STD&amp;window=popup_no_bar&amp;width=385&amp;height=120&amp;START_MAXIMIZED=FALSE&amp;creator=factset&amp;display_string=Audit"}</definedName>
    <definedName name="_700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701__FDSAUDITLINK__" localSheetId="15" hidden="1">{"fdsup://Directions/FactSet Auditing Viewer?action=AUDIT_VALUE&amp;DB=129&amp;ID1=46612H40&amp;VALUEID=01001&amp;SDATE=200701&amp;PERIODTYPE=QTR_STD&amp;window=popup_no_bar&amp;width=385&amp;height=120&amp;START_MAXIMIZED=FALSE&amp;creator=factset&amp;display_string=Audit"}</definedName>
    <definedName name="_701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702__FDSAUDITLINK__" localSheetId="15" hidden="1">{"fdsup://Directions/FactSet Auditing Viewer?action=AUDIT_VALUE&amp;DB=129&amp;ID1=46612H40&amp;VALUEID=13040&amp;SDATE=200701&amp;PERIODTYPE=QTR_STD&amp;window=popup_no_bar&amp;width=385&amp;height=120&amp;START_MAXIMIZED=FALSE&amp;creator=factset&amp;display_string=Audit"}</definedName>
    <definedName name="_702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703__FDSAUDITLINK__" localSheetId="15" hidden="1">{"fdsup://Directions/FactSet Auditing Viewer?action=AUDIT_VALUE&amp;DB=129&amp;ID1=36476010&amp;VALUEID=02101&amp;SDATE=200701&amp;PERIODTYPE=QTR_STD&amp;window=popup_no_bar&amp;width=385&amp;height=120&amp;START_MAXIMIZED=FALSE&amp;creator=factset&amp;display_string=Audit"}</definedName>
    <definedName name="_703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704__FDSAUDITLINK__" localSheetId="15" hidden="1">{"fdsup://Directions/FactSet Auditing Viewer?action=AUDIT_VALUE&amp;DB=129&amp;ID1=36476010&amp;VALUEID=01001&amp;SDATE=200701&amp;PERIODTYPE=QTR_STD&amp;window=popup_no_bar&amp;width=385&amp;height=120&amp;START_MAXIMIZED=FALSE&amp;creator=factset&amp;display_string=Audit"}</definedName>
    <definedName name="_704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705__FDSAUDITLINK__" localSheetId="15" hidden="1">{"fdsup://Directions/FactSet Auditing Viewer?action=AUDIT_VALUE&amp;DB=129&amp;ID1=36476010&amp;VALUEID=13040&amp;SDATE=200701&amp;PERIODTYPE=QTR_STD&amp;window=popup_no_bar&amp;width=385&amp;height=120&amp;START_MAXIMIZED=FALSE&amp;creator=factset&amp;display_string=Audit"}</definedName>
    <definedName name="_705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706__FDSAUDITLINK__" localSheetId="15" hidden="1">{"fdsup://Directions/FactSet Auditing Viewer?action=AUDIT_VALUE&amp;DB=129&amp;ID1=03611510&amp;VALUEID=02101&amp;SDATE=200701&amp;PERIODTYPE=QTR_STD&amp;window=popup_no_bar&amp;width=385&amp;height=120&amp;START_MAXIMIZED=FALSE&amp;creator=factset&amp;display_string=Audit"}</definedName>
    <definedName name="_70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707__FDSAUDITLINK__" localSheetId="15" hidden="1">{"fdsup://Directions/FactSet Auditing Viewer?action=AUDIT_VALUE&amp;DB=129&amp;ID1=03611510&amp;VALUEID=01001&amp;SDATE=200701&amp;PERIODTYPE=QTR_STD&amp;window=popup_no_bar&amp;width=385&amp;height=120&amp;START_MAXIMIZED=FALSE&amp;creator=factset&amp;display_string=Audit"}</definedName>
    <definedName name="_707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708__FDSAUDITLINK__" localSheetId="15" hidden="1">{"fdsup://Directions/FactSet Auditing Viewer?action=AUDIT_VALUE&amp;DB=129&amp;ID1=03611510&amp;VALUEID=13040&amp;SDATE=200701&amp;PERIODTYPE=QTR_STD&amp;window=popup_no_bar&amp;width=385&amp;height=120&amp;START_MAXIMIZED=FALSE&amp;creator=factset&amp;display_string=Audit"}</definedName>
    <definedName name="_708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709__FDSAUDITLINK__" localSheetId="15" hidden="1">{"fdsup://Directions/FactSet Auditing Viewer?action=AUDIT_VALUE&amp;DB=129&amp;ID1=16890510&amp;VALUEID=02101&amp;SDATE=200701&amp;PERIODTYPE=QTR_STD&amp;window=popup_no_bar&amp;width=385&amp;height=120&amp;START_MAXIMIZED=FALSE&amp;creator=factset&amp;display_string=Audit"}</definedName>
    <definedName name="_709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71__FDSAUDITLINK__" localSheetId="15" hidden="1">{"fdsup://Directions/FactSet Auditing Viewer?action=AUDIT_VALUE&amp;DB=129&amp;ID1=25674610&amp;VALUEID=01001&amp;SDATE=200804&amp;PERIODTYPE=QTR_STD&amp;window=popup_no_bar&amp;width=385&amp;height=120&amp;START_MAXIMIZED=FALSE&amp;creator=factset&amp;display_string=Audit"}</definedName>
    <definedName name="_71__FDSAUDITLINK__" hidden="1">{"fdsup://Directions/FactSet Auditing Viewer?action=AUDIT_VALUE&amp;DB=129&amp;ID1=09367910&amp;VALUEID=04601&amp;SDATE=2005&amp;PERIODTYPE=ANN_STD&amp;window=popup_no_bar&amp;width=385&amp;height=120&amp;START_MAXIMIZED=FALSE&amp;creator=factset&amp;display_string=Audit"}</definedName>
    <definedName name="_710__FDSAUDITLINK__" localSheetId="15" hidden="1">{"fdsup://Directions/FactSet Auditing Viewer?action=AUDIT_VALUE&amp;DB=129&amp;ID1=16890510&amp;VALUEID=01001&amp;SDATE=200701&amp;PERIODTYPE=QTR_STD&amp;window=popup_no_bar&amp;width=385&amp;height=120&amp;START_MAXIMIZED=FALSE&amp;creator=factset&amp;display_string=Audit"}</definedName>
    <definedName name="_710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711__FDSAUDITLINK__" localSheetId="15" hidden="1">{"fdsup://Directions/FactSet Auditing Viewer?action=AUDIT_VALUE&amp;DB=129&amp;ID1=91704710&amp;VALUEID=02101&amp;SDATE=200701&amp;PERIODTYPE=QTR_STD&amp;window=popup_no_bar&amp;width=385&amp;height=120&amp;START_MAXIMIZED=FALSE&amp;creator=factset&amp;display_string=Audit"}</definedName>
    <definedName name="_711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712__FDSAUDITLINK__" localSheetId="15" hidden="1">{"fdsup://Directions/FactSet Auditing Viewer?action=AUDIT_VALUE&amp;DB=129&amp;ID1=91704710&amp;VALUEID=01001&amp;SDATE=200701&amp;PERIODTYPE=QTR_STD&amp;window=popup_no_bar&amp;width=385&amp;height=120&amp;START_MAXIMIZED=FALSE&amp;creator=factset&amp;display_string=Audit"}</definedName>
    <definedName name="_712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713__FDSAUDITLINK__" localSheetId="15" hidden="1">{"fdsup://Directions/FactSet Auditing Viewer?action=AUDIT_VALUE&amp;DB=129&amp;ID1=91704710&amp;VALUEID=13040&amp;SDATE=200701&amp;PERIODTYPE=QTR_STD&amp;window=popup_no_bar&amp;width=385&amp;height=120&amp;START_MAXIMIZED=FALSE&amp;creator=factset&amp;display_string=Audit"}</definedName>
    <definedName name="_713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714__FDSAUDITLINK__" localSheetId="15" hidden="1">{"fdsup://Directions/FactSet Auditing Viewer?action=AUDIT_VALUE&amp;DB=129&amp;ID1=02553E10&amp;VALUEID=02101&amp;SDATE=200701&amp;PERIODTYPE=QTR_STD&amp;window=popup_no_bar&amp;width=385&amp;height=120&amp;START_MAXIMIZED=FALSE&amp;creator=factset&amp;display_string=Audit"}</definedName>
    <definedName name="_714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715__FDSAUDITLINK__" localSheetId="15" hidden="1">{"fdsup://Directions/FactSet Auditing Viewer?action=AUDIT_VALUE&amp;DB=129&amp;ID1=02553E10&amp;VALUEID=01001&amp;SDATE=200701&amp;PERIODTYPE=QTR_STD&amp;window=popup_no_bar&amp;width=385&amp;height=120&amp;START_MAXIMIZED=FALSE&amp;creator=factset&amp;display_string=Audit"}</definedName>
    <definedName name="_715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716__FDSAUDITLINK__" localSheetId="15" hidden="1">{"fdsup://Directions/FactSet Auditing Viewer?action=AUDIT_VALUE&amp;DB=129&amp;ID1=02553E10&amp;VALUEID=13040&amp;SDATE=200701&amp;PERIODTYPE=QTR_STD&amp;window=popup_no_bar&amp;width=385&amp;height=120&amp;START_MAXIMIZED=FALSE&amp;creator=factset&amp;display_string=Audit"}</definedName>
    <definedName name="_716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717__FDSAUDITLINK__" localSheetId="15" hidden="1">{"fdsup://Directions/FactSet Auditing Viewer?action=AUDIT_VALUE&amp;DB=129&amp;ID1=00786510&amp;VALUEID=02101&amp;SDATE=200701&amp;PERIODTYPE=QTR_STD&amp;window=popup_no_bar&amp;width=385&amp;height=120&amp;START_MAXIMIZED=FALSE&amp;creator=factset&amp;display_string=Audit"}</definedName>
    <definedName name="_717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718__FDSAUDITLINK__" localSheetId="15" hidden="1">{"fdsup://Directions/FactSet Auditing Viewer?action=AUDIT_VALUE&amp;DB=129&amp;ID1=00786510&amp;VALUEID=01001&amp;SDATE=200701&amp;PERIODTYPE=QTR_STD&amp;window=popup_no_bar&amp;width=385&amp;height=120&amp;START_MAXIMIZED=FALSE&amp;creator=factset&amp;display_string=Audit"}</definedName>
    <definedName name="_718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719__FDSAUDITLINK__" localSheetId="15" hidden="1">{"fdsup://Directions/FactSet Auditing Viewer?action=AUDIT_VALUE&amp;DB=129&amp;ID1=00786510&amp;VALUEID=13040&amp;SDATE=200701&amp;PERIODTYPE=QTR_STD&amp;window=popup_no_bar&amp;width=385&amp;height=120&amp;START_MAXIMIZED=FALSE&amp;creator=factset&amp;display_string=Audit"}</definedName>
    <definedName name="_719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72__FDSAUDITLINK__" localSheetId="15" hidden="1">{"fdsup://Directions/FactSet Auditing Viewer?action=AUDIT_VALUE&amp;DB=129&amp;ID1=25674610&amp;VALUEID=01001&amp;SDATE=200803&amp;PERIODTYPE=QTR_STD&amp;window=popup_no_bar&amp;width=385&amp;height=120&amp;START_MAXIMIZED=FALSE&amp;creator=factset&amp;display_string=Audit"}</definedName>
    <definedName name="_72__FDSAUDITLINK__" hidden="1">{"fdsup://Directions/FactSet Auditing Viewer?action=AUDIT_VALUE&amp;DB=129&amp;ID1=09367910&amp;VALUEID=01001&amp;SDATE=2006&amp;PERIODTYPE=ANN_STD&amp;window=popup_no_bar&amp;width=385&amp;height=120&amp;START_MAXIMIZED=FALSE&amp;creator=factset&amp;display_string=Audit"}</definedName>
    <definedName name="_720__FDSAUDITLINK__" localSheetId="15" hidden="1">{"fdsup://Directions/FactSet Auditing Viewer?action=AUDIT_VALUE&amp;DB=129&amp;ID1=00289620&amp;VALUEID=02101&amp;SDATE=200701&amp;PERIODTYPE=QTR_STD&amp;window=popup_no_bar&amp;width=385&amp;height=120&amp;START_MAXIMIZED=FALSE&amp;creator=factset&amp;display_string=Audit"}</definedName>
    <definedName name="_720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721__FDSAUDITLINK__" localSheetId="15" hidden="1">{"fdsup://Directions/FactSet Auditing Viewer?action=AUDIT_VALUE&amp;DB=129&amp;ID1=00289620&amp;VALUEID=01001&amp;SDATE=200701&amp;PERIODTYPE=QTR_STD&amp;window=popup_no_bar&amp;width=385&amp;height=120&amp;START_MAXIMIZED=FALSE&amp;creator=factset&amp;display_string=Audit"}</definedName>
    <definedName name="_721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722__FDSAUDITLINK__" localSheetId="15" hidden="1">{"fdsup://Directions/FactSet Auditing Viewer?action=AUDIT_VALUE&amp;DB=129&amp;ID1=00289620&amp;VALUEID=13040&amp;SDATE=200701&amp;PERIODTYPE=QTR_STD&amp;window=popup_no_bar&amp;width=385&amp;height=120&amp;START_MAXIMIZED=FALSE&amp;creator=factset&amp;display_string=Audit"}</definedName>
    <definedName name="_722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723__FDSAUDITLINK__" localSheetId="15" hidden="1">{"fdsup://Directions/FactSet Auditing Viewer?action=AUDIT_VALUE&amp;DB=129&amp;ID1=87416110&amp;VALUEID=01001&amp;SDATE=200604&amp;PERIODTYPE=QTR_STD&amp;window=popup_no_bar&amp;width=385&amp;height=120&amp;START_MAXIMIZED=FALSE&amp;creator=factset&amp;display_string=Audit"}</definedName>
    <definedName name="_723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724__FDSAUDITLINK__" localSheetId="15" hidden="1">{"fdsup://Directions/FactSet Auditing Viewer?action=AUDIT_VALUE&amp;DB=129&amp;ID1=46612H40&amp;VALUEID=01001&amp;SDATE=200604&amp;PERIODTYPE=QTR_STD&amp;window=popup_no_bar&amp;width=385&amp;height=120&amp;START_MAXIMIZED=FALSE&amp;creator=factset&amp;display_string=Audit"}</definedName>
    <definedName name="_724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725__FDSAUDITLINK__" localSheetId="15" hidden="1">{"fdsup://Directions/FactSet Auditing Viewer?action=AUDIT_VALUE&amp;DB=129&amp;ID1=36476010&amp;VALUEID=01001&amp;SDATE=200604&amp;PERIODTYPE=QTR_STD&amp;window=popup_no_bar&amp;width=385&amp;height=120&amp;START_MAXIMIZED=FALSE&amp;creator=factset&amp;display_string=Audit"}</definedName>
    <definedName name="_725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726__FDSAUDITLINK__" localSheetId="15" hidden="1">{"fdsup://Directions/FactSet Auditing Viewer?action=AUDIT_VALUE&amp;DB=129&amp;ID1=03611510&amp;VALUEID=01001&amp;SDATE=200604&amp;PERIODTYPE=QTR_STD&amp;window=popup_no_bar&amp;width=385&amp;height=120&amp;START_MAXIMIZED=FALSE&amp;creator=factset&amp;display_string=Audit"}</definedName>
    <definedName name="_726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727__FDSAUDITLINK__" localSheetId="15" hidden="1">{"fdsup://Directions/FactSet Auditing Viewer?action=AUDIT_VALUE&amp;DB=129&amp;ID1=16890510&amp;VALUEID=01001&amp;SDATE=200604&amp;PERIODTYPE=QTR_STD&amp;window=popup_no_bar&amp;width=385&amp;height=120&amp;START_MAXIMIZED=FALSE&amp;creator=factset&amp;display_string=Audit"}</definedName>
    <definedName name="_727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728__FDSAUDITLINK__" localSheetId="15"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728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729__FDSAUDITLINK__" localSheetId="15" hidden="1">{"fdsup://Directions/FactSet Auditing Viewer?action=AUDIT_VALUE&amp;DB=129&amp;ID1=00786510&amp;VALUEID=01001&amp;SDATE=200604&amp;PERIODTYPE=QTR_STD&amp;window=popup_no_bar&amp;width=385&amp;height=120&amp;START_MAXIMIZED=FALSE&amp;creator=factset&amp;display_string=Audit"}</definedName>
    <definedName name="_729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73__FDSAUDITLINK__" localSheetId="15" hidden="1">{"fdsup://Directions/FactSet Auditing Viewer?action=AUDIT_VALUE&amp;DB=129&amp;ID1=25674610&amp;VALUEID=01001&amp;SDATE=200802&amp;PERIODTYPE=QTR_STD&amp;window=popup_no_bar&amp;width=385&amp;height=120&amp;START_MAXIMIZED=FALSE&amp;creator=factset&amp;display_string=Audit"}</definedName>
    <definedName name="_73__FDSAUDITLINK__" hidden="1">{"fdsup://Directions/FactSet Auditing Viewer?action=AUDIT_VALUE&amp;DB=129&amp;ID1=09367910&amp;VALUEID=04601&amp;SDATE=2006&amp;PERIODTYPE=ANN_STD&amp;window=popup_no_bar&amp;width=385&amp;height=120&amp;START_MAXIMIZED=FALSE&amp;creator=factset&amp;display_string=Audit"}</definedName>
    <definedName name="_730__FDSAUDITLINK__" localSheetId="15" hidden="1">{"fdsup://Directions/FactSet Auditing Viewer?action=AUDIT_VALUE&amp;DB=129&amp;ID1=87416110&amp;VALUEID=02101&amp;SDATE=200603&amp;PERIODTYPE=QTR_STD&amp;window=popup_no_bar&amp;width=385&amp;height=120&amp;START_MAXIMIZED=FALSE&amp;creator=factset&amp;display_string=Audit"}</definedName>
    <definedName name="_730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731__FDSAUDITLINK__" localSheetId="15" hidden="1">{"fdsup://Directions/FactSet Auditing Viewer?action=AUDIT_VALUE&amp;DB=129&amp;ID1=87416110&amp;VALUEID=01001&amp;SDATE=200603&amp;PERIODTYPE=QTR_STD&amp;window=popup_no_bar&amp;width=385&amp;height=120&amp;START_MAXIMIZED=FALSE&amp;creator=factset&amp;display_string=Audit"}</definedName>
    <definedName name="_731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732__FDSAUDITLINK__" localSheetId="15" hidden="1">{"fdsup://Directions/FactSet Auditing Viewer?action=AUDIT_VALUE&amp;DB=129&amp;ID1=53271610&amp;VALUEID=02101&amp;SDATE=200603&amp;PERIODTYPE=QTR_STD&amp;window=popup_no_bar&amp;width=385&amp;height=120&amp;START_MAXIMIZED=FALSE&amp;creator=factset&amp;display_string=Audit"}</definedName>
    <definedName name="_732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733__FDSAUDITLINK__" localSheetId="15" hidden="1">{"fdsup://Directions/FactSet Auditing Viewer?action=AUDIT_VALUE&amp;DB=129&amp;ID1=53271610&amp;VALUEID=01001&amp;SDATE=200603&amp;PERIODTYPE=QTR_STD&amp;window=popup_no_bar&amp;width=385&amp;height=120&amp;START_MAXIMIZED=FALSE&amp;creator=factset&amp;display_string=Audit"}</definedName>
    <definedName name="_733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734__FDSAUDITLINK__" localSheetId="15" hidden="1">{"fdsup://Directions/FactSet Auditing Viewer?action=AUDIT_VALUE&amp;DB=129&amp;ID1=53271610&amp;VALUEID=13040&amp;SDATE=200603&amp;PERIODTYPE=QTR_STD&amp;window=popup_no_bar&amp;width=385&amp;height=120&amp;START_MAXIMIZED=FALSE&amp;creator=factset&amp;display_string=Audit"}</definedName>
    <definedName name="_73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735__FDSAUDITLINK__" localSheetId="15" hidden="1">{"fdsup://Directions/FactSet Auditing Viewer?action=AUDIT_VALUE&amp;DB=129&amp;ID1=46612H40&amp;VALUEID=02101&amp;SDATE=200603&amp;PERIODTYPE=QTR_STD&amp;window=popup_no_bar&amp;width=385&amp;height=120&amp;START_MAXIMIZED=FALSE&amp;creator=factset&amp;display_string=Audit"}</definedName>
    <definedName name="_735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736__FDSAUDITLINK__" localSheetId="15" hidden="1">{"fdsup://Directions/FactSet Auditing Viewer?action=AUDIT_VALUE&amp;DB=129&amp;ID1=46612H40&amp;VALUEID=01001&amp;SDATE=200603&amp;PERIODTYPE=QTR_STD&amp;window=popup_no_bar&amp;width=385&amp;height=120&amp;START_MAXIMIZED=FALSE&amp;creator=factset&amp;display_string=Audit"}</definedName>
    <definedName name="_736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737__FDSAUDITLINK__" localSheetId="15" hidden="1">{"fdsup://Directions/FactSet Auditing Viewer?action=AUDIT_VALUE&amp;DB=129&amp;ID1=46612H40&amp;VALUEID=13040&amp;SDATE=200603&amp;PERIODTYPE=QTR_STD&amp;window=popup_no_bar&amp;width=385&amp;height=120&amp;START_MAXIMIZED=FALSE&amp;creator=factset&amp;display_string=Audit"}</definedName>
    <definedName name="_737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738__FDSAUDITLINK__" localSheetId="15" hidden="1">{"fdsup://Directions/FactSet Auditing Viewer?action=AUDIT_VALUE&amp;DB=129&amp;ID1=36476010&amp;VALUEID=02101&amp;SDATE=200603&amp;PERIODTYPE=QTR_STD&amp;window=popup_no_bar&amp;width=385&amp;height=120&amp;START_MAXIMIZED=FALSE&amp;creator=factset&amp;display_string=Audit"}</definedName>
    <definedName name="_738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739__FDSAUDITLINK__" localSheetId="15" hidden="1">{"fdsup://Directions/FactSet Auditing Viewer?action=AUDIT_VALUE&amp;DB=129&amp;ID1=36476010&amp;VALUEID=01001&amp;SDATE=200603&amp;PERIODTYPE=QTR_STD&amp;window=popup_no_bar&amp;width=385&amp;height=120&amp;START_MAXIMIZED=FALSE&amp;creator=factset&amp;display_string=Audit"}</definedName>
    <definedName name="_739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74__FDSAUDITLINK__" localSheetId="15" hidden="1">{"fdsup://Directions/FactSet Auditing Viewer?action=AUDIT_VALUE&amp;DB=129&amp;ID1=25674610&amp;VALUEID=01001&amp;SDATE=200801&amp;PERIODTYPE=QTR_STD&amp;window=popup_no_bar&amp;width=385&amp;height=120&amp;START_MAXIMIZED=FALSE&amp;creator=factset&amp;display_string=Audit"}</definedName>
    <definedName name="_74__FDSAUDITLINK__" hidden="1">{"fdsup://Directions/FactSet Auditing Viewer?action=AUDIT_VALUE&amp;DB=129&amp;ID1=09367910&amp;VALUEID=01001&amp;SDATE=2007&amp;PERIODTYPE=ANN_STD&amp;window=popup_no_bar&amp;width=385&amp;height=120&amp;START_MAXIMIZED=FALSE&amp;creator=factset&amp;display_string=Audit"}</definedName>
    <definedName name="_740__FDSAUDITLINK__" localSheetId="15" hidden="1">{"fdsup://Directions/FactSet Auditing Viewer?action=AUDIT_VALUE&amp;DB=129&amp;ID1=36476010&amp;VALUEID=13040&amp;SDATE=200603&amp;PERIODTYPE=QTR_STD&amp;window=popup_no_bar&amp;width=385&amp;height=120&amp;START_MAXIMIZED=FALSE&amp;creator=factset&amp;display_string=Audit"}</definedName>
    <definedName name="_740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741__FDSAUDITLINK__" localSheetId="15" hidden="1">{"fdsup://Directions/FactSet Auditing Viewer?action=AUDIT_VALUE&amp;DB=129&amp;ID1=03611510&amp;VALUEID=02101&amp;SDATE=200603&amp;PERIODTYPE=QTR_STD&amp;window=popup_no_bar&amp;width=385&amp;height=120&amp;START_MAXIMIZED=FALSE&amp;creator=factset&amp;display_string=Audit"}</definedName>
    <definedName name="_741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742__FDSAUDITLINK__" localSheetId="15" hidden="1">{"fdsup://Directions/FactSet Auditing Viewer?action=AUDIT_VALUE&amp;DB=129&amp;ID1=03611510&amp;VALUEID=01001&amp;SDATE=200603&amp;PERIODTYPE=QTR_STD&amp;window=popup_no_bar&amp;width=385&amp;height=120&amp;START_MAXIMIZED=FALSE&amp;creator=factset&amp;display_string=Audit"}</definedName>
    <definedName name="_742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743__FDSAUDITLINK__" localSheetId="15" hidden="1">{"fdsup://Directions/FactSet Auditing Viewer?action=AUDIT_VALUE&amp;DB=129&amp;ID1=03611510&amp;VALUEID=13040&amp;SDATE=200603&amp;PERIODTYPE=QTR_STD&amp;window=popup_no_bar&amp;width=385&amp;height=120&amp;START_MAXIMIZED=FALSE&amp;creator=factset&amp;display_string=Audit"}</definedName>
    <definedName name="_743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744__FDSAUDITLINK__" localSheetId="15" hidden="1">{"fdsup://Directions/FactSet Auditing Viewer?action=AUDIT_VALUE&amp;DB=129&amp;ID1=16890510&amp;VALUEID=02101&amp;SDATE=200603&amp;PERIODTYPE=QTR_STD&amp;window=popup_no_bar&amp;width=385&amp;height=120&amp;START_MAXIMIZED=FALSE&amp;creator=factset&amp;display_string=Audit"}</definedName>
    <definedName name="_744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745__FDSAUDITLINK__" localSheetId="15" hidden="1">{"fdsup://Directions/FactSet Auditing Viewer?action=AUDIT_VALUE&amp;DB=129&amp;ID1=16890510&amp;VALUEID=01001&amp;SDATE=200603&amp;PERIODTYPE=QTR_STD&amp;window=popup_no_bar&amp;width=385&amp;height=120&amp;START_MAXIMIZED=FALSE&amp;creator=factset&amp;display_string=Audit"}</definedName>
    <definedName name="_745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746__FDSAUDITLINK__" localSheetId="15" hidden="1">{"fdsup://Directions/FactSet Auditing Viewer?action=AUDIT_VALUE&amp;DB=129&amp;ID1=91704710&amp;VALUEID=02101&amp;SDATE=200603&amp;PERIODTYPE=QTR_STD&amp;window=popup_no_bar&amp;width=385&amp;height=120&amp;START_MAXIMIZED=FALSE&amp;creator=factset&amp;display_string=Audit"}</definedName>
    <definedName name="_746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747__FDSAUDITLINK__" localSheetId="15" hidden="1">{"fdsup://Directions/FactSet Auditing Viewer?action=AUDIT_VALUE&amp;DB=129&amp;ID1=91704710&amp;VALUEID=01001&amp;SDATE=200603&amp;PERIODTYPE=QTR_STD&amp;window=popup_no_bar&amp;width=385&amp;height=120&amp;START_MAXIMIZED=FALSE&amp;creator=factset&amp;display_string=Audit"}</definedName>
    <definedName name="_747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748__FDSAUDITLINK__" localSheetId="15" hidden="1">{"fdsup://Directions/FactSet Auditing Viewer?action=AUDIT_VALUE&amp;DB=129&amp;ID1=91704710&amp;VALUEID=13040&amp;SDATE=200603&amp;PERIODTYPE=QTR_STD&amp;window=popup_no_bar&amp;width=385&amp;height=120&amp;START_MAXIMIZED=FALSE&amp;creator=factset&amp;display_string=Audit"}</definedName>
    <definedName name="_748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749__FDSAUDITLINK__" localSheetId="15"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749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75__FDSAUDITLINK__" localSheetId="15" hidden="1">{"fdsup://Directions/FactSet Auditing Viewer?action=AUDIT_VALUE&amp;DB=129&amp;ID1=25674610&amp;VALUEID=01001&amp;SDATE=200704&amp;PERIODTYPE=QTR_STD&amp;window=popup_no_bar&amp;width=385&amp;height=120&amp;START_MAXIMIZED=FALSE&amp;creator=factset&amp;display_string=Audit"}</definedName>
    <definedName name="_75__FDSAUDITLINK__" hidden="1">{"fdsup://Directions/FactSet Auditing Viewer?action=AUDIT_VALUE&amp;DB=129&amp;ID1=09367910&amp;VALUEID=04601&amp;SDATE=2007&amp;PERIODTYPE=ANN_STD&amp;window=popup_no_bar&amp;width=385&amp;height=120&amp;START_MAXIMIZED=FALSE&amp;creator=factset&amp;display_string=Audit"}</definedName>
    <definedName name="_750__FDSAUDITLINK__" localSheetId="15" hidden="1">{"fdsup://Directions/FactSet Auditing Viewer?action=AUDIT_VALUE&amp;DB=129&amp;ID1=00786510&amp;VALUEID=02101&amp;SDATE=200603&amp;PERIODTYPE=QTR_STD&amp;window=popup_no_bar&amp;width=385&amp;height=120&amp;START_MAXIMIZED=FALSE&amp;creator=factset&amp;display_string=Audit"}</definedName>
    <definedName name="_750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751__FDSAUDITLINK__" localSheetId="15" hidden="1">{"fdsup://Directions/FactSet Auditing Viewer?action=AUDIT_VALUE&amp;DB=129&amp;ID1=00786510&amp;VALUEID=01001&amp;SDATE=200603&amp;PERIODTYPE=QTR_STD&amp;window=popup_no_bar&amp;width=385&amp;height=120&amp;START_MAXIMIZED=FALSE&amp;creator=factset&amp;display_string=Audit"}</definedName>
    <definedName name="_751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752__FDSAUDITLINK__" localSheetId="15" hidden="1">{"fdsup://Directions/FactSet Auditing Viewer?action=AUDIT_VALUE&amp;DB=129&amp;ID1=00786510&amp;VALUEID=13040&amp;SDATE=200603&amp;PERIODTYPE=QTR_STD&amp;window=popup_no_bar&amp;width=385&amp;height=120&amp;START_MAXIMIZED=FALSE&amp;creator=factset&amp;display_string=Audit"}</definedName>
    <definedName name="_752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753__FDSAUDITLINK__" localSheetId="15" hidden="1">{"fdsup://Directions/FactSet Auditing Viewer?action=AUDIT_VALUE&amp;DB=129&amp;ID1=00289620&amp;VALUEID=02101&amp;SDATE=200603&amp;PERIODTYPE=QTR_STD&amp;window=popup_no_bar&amp;width=385&amp;height=120&amp;START_MAXIMIZED=FALSE&amp;creator=factset&amp;display_string=Audit"}</definedName>
    <definedName name="_753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754__FDSAUDITLINK__" localSheetId="15" hidden="1">{"fdsup://Directions/FactSet Auditing Viewer?action=AUDIT_VALUE&amp;DB=129&amp;ID1=00289620&amp;VALUEID=01001&amp;SDATE=200603&amp;PERIODTYPE=QTR_STD&amp;window=popup_no_bar&amp;width=385&amp;height=120&amp;START_MAXIMIZED=FALSE&amp;creator=factset&amp;display_string=Audit"}</definedName>
    <definedName name="_754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755__FDSAUDITLINK__" localSheetId="15" hidden="1">{"fdsup://Directions/FactSet Auditing Viewer?action=AUDIT_VALUE&amp;DB=129&amp;ID1=00289620&amp;VALUEID=13040&amp;SDATE=200603&amp;PERIODTYPE=QTR_STD&amp;window=popup_no_bar&amp;width=385&amp;height=120&amp;START_MAXIMIZED=FALSE&amp;creator=factset&amp;display_string=Audit"}</definedName>
    <definedName name="_755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756__FDSAUDITLINK__" localSheetId="15" hidden="1">{"fdsup://Directions/FactSet Auditing Viewer?action=AUDIT_VALUE&amp;DB=129&amp;ID1=87416110&amp;VALUEID=02101&amp;SDATE=200602&amp;PERIODTYPE=QTR_STD&amp;window=popup_no_bar&amp;width=385&amp;height=120&amp;START_MAXIMIZED=FALSE&amp;creator=factset&amp;display_string=Audit"}</definedName>
    <definedName name="_756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757__FDSAUDITLINK__" localSheetId="15" hidden="1">{"fdsup://Directions/FactSet Auditing Viewer?action=AUDIT_VALUE&amp;DB=129&amp;ID1=87416110&amp;VALUEID=01001&amp;SDATE=200602&amp;PERIODTYPE=QTR_STD&amp;window=popup_no_bar&amp;width=385&amp;height=120&amp;START_MAXIMIZED=FALSE&amp;creator=factset&amp;display_string=Audit"}</definedName>
    <definedName name="_757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758__FDSAUDITLINK__" localSheetId="15" hidden="1">{"fdsup://Directions/FactSet Auditing Viewer?action=AUDIT_VALUE&amp;DB=129&amp;ID1=53271610&amp;VALUEID=02101&amp;SDATE=200602&amp;PERIODTYPE=QTR_STD&amp;window=popup_no_bar&amp;width=385&amp;height=120&amp;START_MAXIMIZED=FALSE&amp;creator=factset&amp;display_string=Audit"}</definedName>
    <definedName name="_758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759__FDSAUDITLINK__" localSheetId="15" hidden="1">{"fdsup://Directions/FactSet Auditing Viewer?action=AUDIT_VALUE&amp;DB=129&amp;ID1=53271610&amp;VALUEID=01001&amp;SDATE=200602&amp;PERIODTYPE=QTR_STD&amp;window=popup_no_bar&amp;width=385&amp;height=120&amp;START_MAXIMIZED=FALSE&amp;creator=factset&amp;display_string=Audit"}</definedName>
    <definedName name="_759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76__FDSAUDITLINK__" localSheetId="15" hidden="1">{"fdsup://Directions/FactSet Auditing Viewer?action=AUDIT_VALUE&amp;DB=129&amp;ID1=25674610&amp;VALUEID=01001&amp;SDATE=200703&amp;PERIODTYPE=QTR_STD&amp;window=popup_no_bar&amp;width=385&amp;height=120&amp;START_MAXIMIZED=FALSE&amp;creator=factset&amp;display_string=Audit"}</definedName>
    <definedName name="_76__FDSAUDITLINK__" hidden="1">{"fdsup://Directions/FactSet Auditing Viewer?action=AUDIT_VALUE&amp;DB=129&amp;ID1=09367910&amp;VALUEID=01001&amp;SDATE=2008&amp;PERIODTYPE=ANN_STD&amp;window=popup_no_bar&amp;width=385&amp;height=120&amp;START_MAXIMIZED=FALSE&amp;creator=factset&amp;display_string=Audit"}</definedName>
    <definedName name="_760__FDSAUDITLINK__" localSheetId="15" hidden="1">{"fdsup://Directions/FactSet Auditing Viewer?action=AUDIT_VALUE&amp;DB=129&amp;ID1=53271610&amp;VALUEID=13040&amp;SDATE=200602&amp;PERIODTYPE=QTR_STD&amp;window=popup_no_bar&amp;width=385&amp;height=120&amp;START_MAXIMIZED=FALSE&amp;creator=factset&amp;display_string=Audit"}</definedName>
    <definedName name="_760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761__FDSAUDITLINK__" localSheetId="15" hidden="1">{"fdsup://Directions/FactSet Auditing Viewer?action=AUDIT_VALUE&amp;DB=129&amp;ID1=46612H40&amp;VALUEID=02101&amp;SDATE=200602&amp;PERIODTYPE=QTR_STD&amp;window=popup_no_bar&amp;width=385&amp;height=120&amp;START_MAXIMIZED=FALSE&amp;creator=factset&amp;display_string=Audit"}</definedName>
    <definedName name="_761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762__FDSAUDITLINK__" localSheetId="15" hidden="1">{"fdsup://Directions/FactSet Auditing Viewer?action=AUDIT_VALUE&amp;DB=129&amp;ID1=46612H40&amp;VALUEID=01001&amp;SDATE=200602&amp;PERIODTYPE=QTR_STD&amp;window=popup_no_bar&amp;width=385&amp;height=120&amp;START_MAXIMIZED=FALSE&amp;creator=factset&amp;display_string=Audit"}</definedName>
    <definedName name="_762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763__FDSAUDITLINK__" localSheetId="15" hidden="1">{"fdsup://Directions/FactSet Auditing Viewer?action=AUDIT_VALUE&amp;DB=129&amp;ID1=46612H40&amp;VALUEID=13040&amp;SDATE=200602&amp;PERIODTYPE=QTR_STD&amp;window=popup_no_bar&amp;width=385&amp;height=120&amp;START_MAXIMIZED=FALSE&amp;creator=factset&amp;display_string=Audit"}</definedName>
    <definedName name="_763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764__FDSAUDITLINK__" localSheetId="15" hidden="1">{"fdsup://Directions/FactSet Auditing Viewer?action=AUDIT_VALUE&amp;DB=129&amp;ID1=36476010&amp;VALUEID=02101&amp;SDATE=200602&amp;PERIODTYPE=QTR_STD&amp;window=popup_no_bar&amp;width=385&amp;height=120&amp;START_MAXIMIZED=FALSE&amp;creator=factset&amp;display_string=Audit"}</definedName>
    <definedName name="_764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765__FDSAUDITLINK__" localSheetId="15" hidden="1">{"fdsup://Directions/FactSet Auditing Viewer?action=AUDIT_VALUE&amp;DB=129&amp;ID1=36476010&amp;VALUEID=01001&amp;SDATE=200602&amp;PERIODTYPE=QTR_STD&amp;window=popup_no_bar&amp;width=385&amp;height=120&amp;START_MAXIMIZED=FALSE&amp;creator=factset&amp;display_string=Audit"}</definedName>
    <definedName name="_765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766__FDSAUDITLINK__" localSheetId="15" hidden="1">{"fdsup://Directions/FactSet Auditing Viewer?action=AUDIT_VALUE&amp;DB=129&amp;ID1=36476010&amp;VALUEID=13040&amp;SDATE=200602&amp;PERIODTYPE=QTR_STD&amp;window=popup_no_bar&amp;width=385&amp;height=120&amp;START_MAXIMIZED=FALSE&amp;creator=factset&amp;display_string=Audit"}</definedName>
    <definedName name="_766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767__FDSAUDITLINK__" localSheetId="15" hidden="1">{"fdsup://Directions/FactSet Auditing Viewer?action=AUDIT_VALUE&amp;DB=129&amp;ID1=03611510&amp;VALUEID=02101&amp;SDATE=200602&amp;PERIODTYPE=QTR_STD&amp;window=popup_no_bar&amp;width=385&amp;height=120&amp;START_MAXIMIZED=FALSE&amp;creator=factset&amp;display_string=Audit"}</definedName>
    <definedName name="_767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768__FDSAUDITLINK__" localSheetId="15" hidden="1">{"fdsup://Directions/FactSet Auditing Viewer?action=AUDIT_VALUE&amp;DB=129&amp;ID1=03611510&amp;VALUEID=01001&amp;SDATE=200602&amp;PERIODTYPE=QTR_STD&amp;window=popup_no_bar&amp;width=385&amp;height=120&amp;START_MAXIMIZED=FALSE&amp;creator=factset&amp;display_string=Audit"}</definedName>
    <definedName name="_76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769__FDSAUDITLINK__" localSheetId="15" hidden="1">{"fdsup://Directions/FactSet Auditing Viewer?action=AUDIT_VALUE&amp;DB=129&amp;ID1=03611510&amp;VALUEID=13040&amp;SDATE=200602&amp;PERIODTYPE=QTR_STD&amp;window=popup_no_bar&amp;width=385&amp;height=120&amp;START_MAXIMIZED=FALSE&amp;creator=factset&amp;display_string=Audit"}</definedName>
    <definedName name="_769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77__FDSAUDITLINK__" localSheetId="15" hidden="1">{"fdsup://Directions/FactSet Auditing Viewer?action=AUDIT_VALUE&amp;DB=129&amp;ID1=25674610&amp;VALUEID=01001&amp;SDATE=200702&amp;PERIODTYPE=QTR_STD&amp;window=popup_no_bar&amp;width=385&amp;height=120&amp;START_MAXIMIZED=FALSE&amp;creator=factset&amp;display_string=Audit"}</definedName>
    <definedName name="_77__FDSAUDITLINK__" hidden="1">{"fdsup://Directions/FactSet Auditing Viewer?action=AUDIT_VALUE&amp;DB=129&amp;ID1=09367910&amp;VALUEID=04601&amp;SDATE=2008&amp;PERIODTYPE=ANN_STD&amp;window=popup_no_bar&amp;width=385&amp;height=120&amp;START_MAXIMIZED=FALSE&amp;creator=factset&amp;display_string=Audit"}</definedName>
    <definedName name="_770__FDSAUDITLINK__" localSheetId="15" hidden="1">{"fdsup://Directions/FactSet Auditing Viewer?action=AUDIT_VALUE&amp;DB=129&amp;ID1=16890510&amp;VALUEID=02101&amp;SDATE=200602&amp;PERIODTYPE=QTR_STD&amp;window=popup_no_bar&amp;width=385&amp;height=120&amp;START_MAXIMIZED=FALSE&amp;creator=factset&amp;display_string=Audit"}</definedName>
    <definedName name="_770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771__FDSAUDITLINK__" localSheetId="15" hidden="1">{"fdsup://Directions/FactSet Auditing Viewer?action=AUDIT_VALUE&amp;DB=129&amp;ID1=16890510&amp;VALUEID=01001&amp;SDATE=200602&amp;PERIODTYPE=QTR_STD&amp;window=popup_no_bar&amp;width=385&amp;height=120&amp;START_MAXIMIZED=FALSE&amp;creator=factset&amp;display_string=Audit"}</definedName>
    <definedName name="_771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772__FDSAUDITLINK__" localSheetId="15" hidden="1">{"fdsup://Directions/FactSet Auditing Viewer?action=AUDIT_VALUE&amp;DB=129&amp;ID1=91704710&amp;VALUEID=02101&amp;SDATE=200602&amp;PERIODTYPE=QTR_STD&amp;window=popup_no_bar&amp;width=385&amp;height=120&amp;START_MAXIMIZED=FALSE&amp;creator=factset&amp;display_string=Audit"}</definedName>
    <definedName name="_772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773__FDSAUDITLINK__" localSheetId="15" hidden="1">{"fdsup://Directions/FactSet Auditing Viewer?action=AUDIT_VALUE&amp;DB=129&amp;ID1=91704710&amp;VALUEID=01001&amp;SDATE=200602&amp;PERIODTYPE=QTR_STD&amp;window=popup_no_bar&amp;width=385&amp;height=120&amp;START_MAXIMIZED=FALSE&amp;creator=factset&amp;display_string=Audit"}</definedName>
    <definedName name="_773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774__FDSAUDITLINK__" localSheetId="15" hidden="1">{"fdsup://Directions/FactSet Auditing Viewer?action=AUDIT_VALUE&amp;DB=129&amp;ID1=91704710&amp;VALUEID=13040&amp;SDATE=200602&amp;PERIODTYPE=QTR_STD&amp;window=popup_no_bar&amp;width=385&amp;height=120&amp;START_MAXIMIZED=FALSE&amp;creator=factset&amp;display_string=Audit"}</definedName>
    <definedName name="_774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775__FDSAUDITLINK__" localSheetId="15"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775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776__FDSAUDITLINK__" localSheetId="15" hidden="1">{"fdsup://Directions/FactSet Auditing Viewer?action=AUDIT_VALUE&amp;DB=129&amp;ID1=00786510&amp;VALUEID=02101&amp;SDATE=200602&amp;PERIODTYPE=QTR_STD&amp;window=popup_no_bar&amp;width=385&amp;height=120&amp;START_MAXIMIZED=FALSE&amp;creator=factset&amp;display_string=Audit"}</definedName>
    <definedName name="_776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777__FDSAUDITLINK__" localSheetId="15" hidden="1">{"fdsup://Directions/FactSet Auditing Viewer?action=AUDIT_VALUE&amp;DB=129&amp;ID1=00786510&amp;VALUEID=01001&amp;SDATE=200602&amp;PERIODTYPE=QTR_STD&amp;window=popup_no_bar&amp;width=385&amp;height=120&amp;START_MAXIMIZED=FALSE&amp;creator=factset&amp;display_string=Audit"}</definedName>
    <definedName name="_777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778__FDSAUDITLINK__" localSheetId="15" hidden="1">{"fdsup://Directions/FactSet Auditing Viewer?action=AUDIT_VALUE&amp;DB=129&amp;ID1=00786510&amp;VALUEID=13040&amp;SDATE=200602&amp;PERIODTYPE=QTR_STD&amp;window=popup_no_bar&amp;width=385&amp;height=120&amp;START_MAXIMIZED=FALSE&amp;creator=factset&amp;display_string=Audit"}</definedName>
    <definedName name="_778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779__FDSAUDITLINK__" localSheetId="15" hidden="1">{"fdsup://Directions/FactSet Auditing Viewer?action=AUDIT_VALUE&amp;DB=129&amp;ID1=00289620&amp;VALUEID=02101&amp;SDATE=200602&amp;PERIODTYPE=QTR_STD&amp;window=popup_no_bar&amp;width=385&amp;height=120&amp;START_MAXIMIZED=FALSE&amp;creator=factset&amp;display_string=Audit"}</definedName>
    <definedName name="_779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78__FDSAUDITLINK__" localSheetId="15" hidden="1">{"fdsup://Directions/FactSet Auditing Viewer?action=AUDIT_VALUE&amp;DB=129&amp;ID1=25674610&amp;VALUEID=01001&amp;SDATE=200701&amp;PERIODTYPE=QTR_STD&amp;window=popup_no_bar&amp;width=385&amp;height=120&amp;START_MAXIMIZED=FALSE&amp;creator=factset&amp;display_string=Audit"}</definedName>
    <definedName name="_78__FDSAUDITLINK__" hidden="1">{"fdsup://Directions/FactSet Auditing Viewer?action=AUDIT_VALUE&amp;DB=129&amp;ID1=02313510&amp;VALUEID=01001&amp;SDATE=2005&amp;PERIODTYPE=ANN_STD&amp;window=popup_no_bar&amp;width=385&amp;height=120&amp;START_MAXIMIZED=FALSE&amp;creator=factset&amp;display_string=Audit"}</definedName>
    <definedName name="_780__FDSAUDITLINK__" localSheetId="15" hidden="1">{"fdsup://Directions/FactSet Auditing Viewer?action=AUDIT_VALUE&amp;DB=129&amp;ID1=00289620&amp;VALUEID=01001&amp;SDATE=200602&amp;PERIODTYPE=QTR_STD&amp;window=popup_no_bar&amp;width=385&amp;height=120&amp;START_MAXIMIZED=FALSE&amp;creator=factset&amp;display_string=Audit"}</definedName>
    <definedName name="_780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781__FDSAUDITLINK__" localSheetId="15" hidden="1">{"fdsup://Directions/FactSet Auditing Viewer?action=AUDIT_VALUE&amp;DB=129&amp;ID1=00289620&amp;VALUEID=13040&amp;SDATE=200602&amp;PERIODTYPE=QTR_STD&amp;window=popup_no_bar&amp;width=385&amp;height=120&amp;START_MAXIMIZED=FALSE&amp;creator=factset&amp;display_string=Audit"}</definedName>
    <definedName name="_781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782__FDSAUDITLINK__" localSheetId="15" hidden="1">{"fdsup://Directions/FactSet Auditing Viewer?action=AUDIT_VALUE&amp;DB=129&amp;ID1=87416110&amp;VALUEID=02101&amp;SDATE=200601&amp;PERIODTYPE=QTR_STD&amp;window=popup_no_bar&amp;width=385&amp;height=120&amp;START_MAXIMIZED=FALSE&amp;creator=factset&amp;display_string=Audit"}</definedName>
    <definedName name="_782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783__FDSAUDITLINK__" localSheetId="15" hidden="1">{"fdsup://Directions/FactSet Auditing Viewer?action=AUDIT_VALUE&amp;DB=129&amp;ID1=87416110&amp;VALUEID=01001&amp;SDATE=200601&amp;PERIODTYPE=QTR_STD&amp;window=popup_no_bar&amp;width=385&amp;height=120&amp;START_MAXIMIZED=FALSE&amp;creator=factset&amp;display_string=Audit"}</definedName>
    <definedName name="_783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784__FDSAUDITLINK__" localSheetId="15" hidden="1">{"fdsup://Directions/FactSet Auditing Viewer?action=AUDIT_VALUE&amp;DB=129&amp;ID1=87416110&amp;VALUEID=13040&amp;SDATE=200601&amp;PERIODTYPE=QTR_STD&amp;window=popup_no_bar&amp;width=385&amp;height=120&amp;START_MAXIMIZED=FALSE&amp;creator=factset&amp;display_string=Audit"}</definedName>
    <definedName name="_784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785__FDSAUDITLINK__" localSheetId="15"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785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786__FDSAUDITLINK__" localSheetId="15" hidden="1">{"fdsup://Directions/FactSet Auditing Viewer?action=AUDIT_VALUE&amp;DB=129&amp;ID1=53271610&amp;VALUEID=02101&amp;SDATE=200601&amp;PERIODTYPE=QTR_STD&amp;window=popup_no_bar&amp;width=385&amp;height=120&amp;START_MAXIMIZED=FALSE&amp;creator=factset&amp;display_string=Audit"}</definedName>
    <definedName name="_786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787__FDSAUDITLINK__" localSheetId="15" hidden="1">{"fdsup://Directions/FactSet Auditing Viewer?action=AUDIT_VALUE&amp;DB=129&amp;ID1=53271610&amp;VALUEID=01001&amp;SDATE=200601&amp;PERIODTYPE=QTR_STD&amp;window=popup_no_bar&amp;width=385&amp;height=120&amp;START_MAXIMIZED=FALSE&amp;creator=factset&amp;display_string=Audit"}</definedName>
    <definedName name="_787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788__FDSAUDITLINK__" localSheetId="15" hidden="1">{"fdsup://Directions/FactSet Auditing Viewer?action=AUDIT_VALUE&amp;DB=129&amp;ID1=53271610&amp;VALUEID=13040&amp;SDATE=200601&amp;PERIODTYPE=QTR_STD&amp;window=popup_no_bar&amp;width=385&amp;height=120&amp;START_MAXIMIZED=FALSE&amp;creator=factset&amp;display_string=Audit"}</definedName>
    <definedName name="_78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789__FDSAUDITLINK__" localSheetId="15" hidden="1">{"fdsup://Directions/FactSet Auditing Viewer?action=AUDIT_VALUE&amp;DB=129&amp;ID1=46612H40&amp;VALUEID=02101&amp;SDATE=200601&amp;PERIODTYPE=QTR_STD&amp;window=popup_no_bar&amp;width=385&amp;height=120&amp;START_MAXIMIZED=FALSE&amp;creator=factset&amp;display_string=Audit"}</definedName>
    <definedName name="_789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79__FDSAUDITLINK__" localSheetId="15" hidden="1">{"fdsup://Directions/FactSet Auditing Viewer?action=AUDIT_VALUE&amp;DB=129&amp;ID1=25674610&amp;VALUEID=01001&amp;SDATE=200604&amp;PERIODTYPE=QTR_STD&amp;window=popup_no_bar&amp;width=385&amp;height=120&amp;START_MAXIMIZED=FALSE&amp;creator=factset&amp;display_string=Audit"}</definedName>
    <definedName name="_79__FDSAUDITLINK__" hidden="1">{"fdsup://Directions/FactSet Auditing Viewer?action=AUDIT_VALUE&amp;DB=129&amp;ID1=02313510&amp;VALUEID=04601&amp;SDATE=2005&amp;PERIODTYPE=ANN_STD&amp;window=popup_no_bar&amp;width=385&amp;height=120&amp;START_MAXIMIZED=FALSE&amp;creator=factset&amp;display_string=Audit"}</definedName>
    <definedName name="_790__FDSAUDITLINK__" localSheetId="15" hidden="1">{"fdsup://Directions/FactSet Auditing Viewer?action=AUDIT_VALUE&amp;DB=129&amp;ID1=46612H40&amp;VALUEID=01001&amp;SDATE=200601&amp;PERIODTYPE=QTR_STD&amp;window=popup_no_bar&amp;width=385&amp;height=120&amp;START_MAXIMIZED=FALSE&amp;creator=factset&amp;display_string=Audit"}</definedName>
    <definedName name="_790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791__FDSAUDITLINK__" localSheetId="15" hidden="1">{"fdsup://Directions/FactSet Auditing Viewer?action=AUDIT_VALUE&amp;DB=129&amp;ID1=46612H40&amp;VALUEID=13040&amp;SDATE=200601&amp;PERIODTYPE=QTR_STD&amp;window=popup_no_bar&amp;width=385&amp;height=120&amp;START_MAXIMIZED=FALSE&amp;creator=factset&amp;display_string=Audit"}</definedName>
    <definedName name="_791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792__FDSAUDITLINK__" localSheetId="15" hidden="1">{"fdsup://Directions/FactSet Auditing Viewer?action=AUDIT_VALUE&amp;DB=129&amp;ID1=36476010&amp;VALUEID=02101&amp;SDATE=200601&amp;PERIODTYPE=QTR_STD&amp;window=popup_no_bar&amp;width=385&amp;height=120&amp;START_MAXIMIZED=FALSE&amp;creator=factset&amp;display_string=Audit"}</definedName>
    <definedName name="_792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793__FDSAUDITLINK__" localSheetId="15" hidden="1">{"fdsup://Directions/FactSet Auditing Viewer?action=AUDIT_VALUE&amp;DB=129&amp;ID1=36476010&amp;VALUEID=01001&amp;SDATE=200601&amp;PERIODTYPE=QTR_STD&amp;window=popup_no_bar&amp;width=385&amp;height=120&amp;START_MAXIMIZED=FALSE&amp;creator=factset&amp;display_string=Audit"}</definedName>
    <definedName name="_793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794__FDSAUDITLINK__" localSheetId="15" hidden="1">{"fdsup://Directions/FactSet Auditing Viewer?action=AUDIT_VALUE&amp;DB=129&amp;ID1=36476010&amp;VALUEID=13040&amp;SDATE=200601&amp;PERIODTYPE=QTR_STD&amp;window=popup_no_bar&amp;width=385&amp;height=120&amp;START_MAXIMIZED=FALSE&amp;creator=factset&amp;display_string=Audit"}</definedName>
    <definedName name="_794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795__FDSAUDITLINK__" localSheetId="15" hidden="1">{"fdsup://Directions/FactSet Auditing Viewer?action=AUDIT_VALUE&amp;DB=129&amp;ID1=03611510&amp;VALUEID=02101&amp;SDATE=200601&amp;PERIODTYPE=QTR_STD&amp;window=popup_no_bar&amp;width=385&amp;height=120&amp;START_MAXIMIZED=FALSE&amp;creator=factset&amp;display_string=Audit"}</definedName>
    <definedName name="_795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796__FDSAUDITLINK__" localSheetId="15" hidden="1">{"fdsup://Directions/FactSet Auditing Viewer?action=AUDIT_VALUE&amp;DB=129&amp;ID1=03611510&amp;VALUEID=13040&amp;SDATE=200601&amp;PERIODTYPE=QTR_STD&amp;window=popup_no_bar&amp;width=385&amp;height=120&amp;START_MAXIMIZED=FALSE&amp;creator=factset&amp;display_string=Audit"}</definedName>
    <definedName name="_796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797__FDSAUDITLINK__" localSheetId="15" hidden="1">{"fdsup://Directions/FactSet Auditing Viewer?action=AUDIT_VALUE&amp;DB=129&amp;ID1=16890510&amp;VALUEID=02101&amp;SDATE=200601&amp;PERIODTYPE=QTR_STD&amp;window=popup_no_bar&amp;width=385&amp;height=120&amp;START_MAXIMIZED=FALSE&amp;creator=factset&amp;display_string=Audit"}</definedName>
    <definedName name="_797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798__FDSAUDITLINK__" localSheetId="15" hidden="1">{"fdsup://Directions/FactSet Auditing Viewer?action=AUDIT_VALUE&amp;DB=129&amp;ID1=16890510&amp;VALUEID=01001&amp;SDATE=200601&amp;PERIODTYPE=QTR_STD&amp;window=popup_no_bar&amp;width=385&amp;height=120&amp;START_MAXIMIZED=FALSE&amp;creator=factset&amp;display_string=Audit"}</definedName>
    <definedName name="_798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799__FDSAUDITLINK__" localSheetId="15" hidden="1">{"fdsup://Directions/FactSet Auditing Viewer?action=AUDIT_VALUE&amp;DB=129&amp;ID1=91704710&amp;VALUEID=02101&amp;SDATE=200601&amp;PERIODTYPE=QTR_STD&amp;window=popup_no_bar&amp;width=385&amp;height=120&amp;START_MAXIMIZED=FALSE&amp;creator=factset&amp;display_string=Audit"}</definedName>
    <definedName name="_799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8__123Graph_Bｸﾞﾗﾌ_1" hidden="1">[1]ｾｸﾞﾒﾝﾄ!$E$165:$I$165</definedName>
    <definedName name="_8__FDSAUDITLINK__" localSheetId="15" hidden="1">{"fdsup://Directions/FactSet Auditing Viewer?action=AUDIT_VALUE&amp;DB=129&amp;ID1=79377W10&amp;VALUEID=02001&amp;SDATE=201102&amp;PERIODTYPE=QTR_STD&amp;SCFT=3&amp;window=popup_no_bar&amp;width=385&amp;height=120&amp;START_MAXIMIZED=FALSE&amp;creator=factset&amp;display_string=Audit"}</definedName>
    <definedName name="_8__FDSAUDITLINK__" hidden="1">{"fdsup://Directions/FactSet Auditing Viewer?action=AUDIT_VALUE&amp;DB=129&amp;ID1=02313510&amp;VALUEID=04601&amp;SDATE=2008&amp;PERIODTYPE=ANN_STD&amp;window=popup_no_bar&amp;width=385&amp;height=120&amp;START_MAXIMIZED=FALSE&amp;creator=factset&amp;display_string=Audit"}</definedName>
    <definedName name="_80__FDSAUDITLINK__" localSheetId="15" hidden="1">{"fdsup://Directions/FactSet Auditing Viewer?action=AUDIT_VALUE&amp;DB=129&amp;ID1=25674610&amp;VALUEID=01001&amp;SDATE=200603&amp;PERIODTYPE=QTR_STD&amp;window=popup_no_bar&amp;width=385&amp;height=120&amp;START_MAXIMIZED=FALSE&amp;creator=factset&amp;display_string=Audit"}</definedName>
    <definedName name="_80__FDSAUDITLINK__" hidden="1">{"fdsup://Directions/FactSet Auditing Viewer?action=AUDIT_VALUE&amp;DB=129&amp;ID1=02313510&amp;VALUEID=01001&amp;SDATE=2006&amp;PERIODTYPE=ANN_STD&amp;window=popup_no_bar&amp;width=385&amp;height=120&amp;START_MAXIMIZED=FALSE&amp;creator=factset&amp;display_string=Audit"}</definedName>
    <definedName name="_800__FDSAUDITLINK__" localSheetId="15" hidden="1">{"fdsup://Directions/FactSet Auditing Viewer?action=AUDIT_VALUE&amp;DB=129&amp;ID1=91704710&amp;VALUEID=01001&amp;SDATE=200601&amp;PERIODTYPE=QTR_STD&amp;window=popup_no_bar&amp;width=385&amp;height=120&amp;START_MAXIMIZED=FALSE&amp;creator=factset&amp;display_string=Audit"}</definedName>
    <definedName name="_800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801__FDSAUDITLINK__" localSheetId="15" hidden="1">{"fdsup://Directions/FactSet Auditing Viewer?action=AUDIT_VALUE&amp;DB=129&amp;ID1=91704710&amp;VALUEID=13040&amp;SDATE=200601&amp;PERIODTYPE=QTR_STD&amp;window=popup_no_bar&amp;width=385&amp;height=120&amp;START_MAXIMIZED=FALSE&amp;creator=factset&amp;display_string=Audit"}</definedName>
    <definedName name="_801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802__FDSAUDITLINK__" localSheetId="15" hidden="1">{"fdsup://Directions/FactSet Auditing Viewer?action=AUDIT_VALUE&amp;DB=129&amp;ID1=02553E10&amp;VALUEID=02101&amp;SDATE=200601&amp;PERIODTYPE=QTR_STD&amp;window=popup_no_bar&amp;width=385&amp;height=120&amp;START_MAXIMIZED=FALSE&amp;creator=factset&amp;display_string=Audit"}</definedName>
    <definedName name="_802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803__FDSAUDITLINK__" localSheetId="15" hidden="1">{"fdsup://Directions/FactSet Auditing Viewer?action=AUDIT_VALUE&amp;DB=129&amp;ID1=02553E10&amp;VALUEID=01001&amp;SDATE=200601&amp;PERIODTYPE=QTR_STD&amp;window=popup_no_bar&amp;width=385&amp;height=120&amp;START_MAXIMIZED=FALSE&amp;creator=factset&amp;display_string=Audit"}</definedName>
    <definedName name="_803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804__FDSAUDITLINK__" localSheetId="15" hidden="1">{"fdsup://Directions/FactSet Auditing Viewer?action=AUDIT_VALUE&amp;DB=129&amp;ID1=02553E10&amp;VALUEID=13040&amp;SDATE=200601&amp;PERIODTYPE=QTR_STD&amp;window=popup_no_bar&amp;width=385&amp;height=120&amp;START_MAXIMIZED=FALSE&amp;creator=factset&amp;display_string=Audit"}</definedName>
    <definedName name="_804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805__FDSAUDITLINK__" localSheetId="15"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805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806__FDSAUDITLINK__" localSheetId="15" hidden="1">{"fdsup://Directions/FactSet Auditing Viewer?action=AUDIT_VALUE&amp;DB=129&amp;ID1=00786510&amp;VALUEID=02101&amp;SDATE=200601&amp;PERIODTYPE=QTR_STD&amp;window=popup_no_bar&amp;width=385&amp;height=120&amp;START_MAXIMIZED=FALSE&amp;creator=factset&amp;display_string=Audit"}</definedName>
    <definedName name="_806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807__FDSAUDITLINK__" localSheetId="15" hidden="1">{"fdsup://Directions/FactSet Auditing Viewer?action=AUDIT_VALUE&amp;DB=129&amp;ID1=00786510&amp;VALUEID=01001&amp;SDATE=200601&amp;PERIODTYPE=QTR_STD&amp;window=popup_no_bar&amp;width=385&amp;height=120&amp;START_MAXIMIZED=FALSE&amp;creator=factset&amp;display_string=Audit"}</definedName>
    <definedName name="_807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808__FDSAUDITLINK__" localSheetId="15" hidden="1">{"fdsup://Directions/FactSet Auditing Viewer?action=AUDIT_VALUE&amp;DB=129&amp;ID1=00786510&amp;VALUEID=13040&amp;SDATE=200601&amp;PERIODTYPE=QTR_STD&amp;window=popup_no_bar&amp;width=385&amp;height=120&amp;START_MAXIMIZED=FALSE&amp;creator=factset&amp;display_string=Audit"}</definedName>
    <definedName name="_808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809__FDSAUDITLINK__" localSheetId="15" hidden="1">{"fdsup://Directions/FactSet Auditing Viewer?action=AUDIT_VALUE&amp;DB=129&amp;ID1=00289620&amp;VALUEID=02101&amp;SDATE=200601&amp;PERIODTYPE=QTR_STD&amp;window=popup_no_bar&amp;width=385&amp;height=120&amp;START_MAXIMIZED=FALSE&amp;creator=factset&amp;display_string=Audit"}</definedName>
    <definedName name="_809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81__FDSAUDITLINK__" localSheetId="15" hidden="1">{"fdsup://Directions/FactSet Auditing Viewer?action=AUDIT_VALUE&amp;DB=129&amp;ID1=25674610&amp;VALUEID=01001&amp;SDATE=200602&amp;PERIODTYPE=QTR_STD&amp;window=popup_no_bar&amp;width=385&amp;height=120&amp;START_MAXIMIZED=FALSE&amp;creator=factset&amp;display_string=Audit"}</definedName>
    <definedName name="_81__FDSAUDITLINK__" hidden="1">{"fdsup://Directions/FactSet Auditing Viewer?action=AUDIT_VALUE&amp;DB=129&amp;ID1=02313510&amp;VALUEID=04601&amp;SDATE=2006&amp;PERIODTYPE=ANN_STD&amp;window=popup_no_bar&amp;width=385&amp;height=120&amp;START_MAXIMIZED=FALSE&amp;creator=factset&amp;display_string=Audit"}</definedName>
    <definedName name="_810__FDSAUDITLINK__" localSheetId="15" hidden="1">{"fdsup://Directions/FactSet Auditing Viewer?action=AUDIT_VALUE&amp;DB=129&amp;ID1=00289620&amp;VALUEID=01001&amp;SDATE=200601&amp;PERIODTYPE=QTR_STD&amp;window=popup_no_bar&amp;width=385&amp;height=120&amp;START_MAXIMIZED=FALSE&amp;creator=factset&amp;display_string=Audit"}</definedName>
    <definedName name="_810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811__FDSAUDITLINK__" localSheetId="15" hidden="1">{"fdsup://Directions/FactSet Auditing Viewer?action=AUDIT_VALUE&amp;DB=129&amp;ID1=00289620&amp;VALUEID=13040&amp;SDATE=200601&amp;PERIODTYPE=QTR_STD&amp;window=popup_no_bar&amp;width=385&amp;height=120&amp;START_MAXIMIZED=FALSE&amp;creator=factset&amp;display_string=Audit"}</definedName>
    <definedName name="_811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812__FDSAUDITLINK__" localSheetId="15"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812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813__FDSAUDITLINK__" localSheetId="15"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813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814__FDSAUDITLINK__" localSheetId="15"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814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815__FDSAUDITLINK__" localSheetId="15" hidden="1">{"fdsup://Directions/FactSet Auditing Viewer?action=AUDIT_VALUE&amp;DB=129&amp;ID1=03611510&amp;VALUEID=13040&amp;SDATE=200503&amp;PERIODTYPE=QTR_STD&amp;window=popup_no_bar&amp;width=385&amp;height=120&amp;START_MAXIMIZED=FALSE&amp;creator=factset&amp;display_string=Audit"}</definedName>
    <definedName name="_815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816__FDSAUDITLINK__" localSheetId="15"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816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817__FDSAUDITLINK__" localSheetId="15"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817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818__FDSAUDITLINK__" localSheetId="15" hidden="1">{"fdsup://Directions/FactSet Auditing Viewer?action=AUDIT_VALUE&amp;DB=129&amp;ID1=03611510&amp;VALUEID=13040&amp;SDATE=200502&amp;PERIODTYPE=QTR_STD&amp;window=popup_no_bar&amp;width=385&amp;height=120&amp;START_MAXIMIZED=FALSE&amp;creator=factset&amp;display_string=Audit"}</definedName>
    <definedName name="_818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819__FDSAUDITLINK__" localSheetId="15"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819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82__FDSAUDITLINK__" localSheetId="15" hidden="1">{"fdsup://Directions/FactSet Auditing Viewer?action=AUDIT_VALUE&amp;DB=129&amp;ID1=25667710&amp;VALUEID=01001&amp;SDATE=200903&amp;PERIODTYPE=QTR_STD&amp;window=popup_no_bar&amp;width=385&amp;height=120&amp;START_MAXIMIZED=FALSE&amp;creator=factset&amp;display_string=Audit"}</definedName>
    <definedName name="_82__FDSAUDITLINK__" hidden="1">{"fdsup://Directions/FactSet Auditing Viewer?action=AUDIT_VALUE&amp;DB=129&amp;ID1=02313510&amp;VALUEID=01001&amp;SDATE=2007&amp;PERIODTYPE=ANN_STD&amp;window=popup_no_bar&amp;width=385&amp;height=120&amp;START_MAXIMIZED=FALSE&amp;creator=factset&amp;display_string=Audit"}</definedName>
    <definedName name="_820__FDSAUDITLINK__" localSheetId="15"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820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821__FDSAUDITLINK__" localSheetId="15" hidden="1">{"fdsup://Directions/FactSet Auditing Viewer?action=AUDIT_VALUE&amp;DB=129&amp;ID1=03611510&amp;VALUEID=13040&amp;SDATE=200501&amp;PERIODTYPE=QTR_STD&amp;window=popup_no_bar&amp;width=385&amp;height=120&amp;START_MAXIMIZED=FALSE&amp;creator=factset&amp;display_string=Audit"}</definedName>
    <definedName name="_821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822__FDSAUDITLINK__" localSheetId="15"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822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823__FDSAUDITLINK__" localSheetId="15" hidden="1">{"fdsup://Directions/FactSet Auditing Viewer?action=AUDIT_VALUE&amp;DB=129&amp;ID1=16890510&amp;VALUEID=13040&amp;SDATE=200602&amp;PERIODTYPE=QTR_STD&amp;window=popup_no_bar&amp;width=385&amp;height=120&amp;START_MAXIMIZED=FALSE&amp;creator=factset&amp;display_string=Audit"}</definedName>
    <definedName name="_823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824__FDSAUDITLINK__" localSheetId="15" hidden="1">{"fdsup://Directions/FactSet Auditing Viewer?action=AUDIT_VALUE&amp;DB=129&amp;ID1=16890510&amp;VALUEID=13040&amp;SDATE=200601&amp;PERIODTYPE=QTR_STD&amp;window=popup_no_bar&amp;width=385&amp;height=120&amp;START_MAXIMIZED=FALSE&amp;creator=factset&amp;display_string=Audit"}</definedName>
    <definedName name="_82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825__FDSAUDITLINK__" localSheetId="15" hidden="1">{"fdsup://Directions/FactSet Auditing Viewer?action=AUDIT_VALUE&amp;DB=129&amp;ID1=16890510&amp;VALUEID=13040&amp;SDATE=200603&amp;PERIODTYPE=QTR_STD&amp;window=popup_no_bar&amp;width=385&amp;height=120&amp;START_MAXIMIZED=FALSE&amp;creator=factset&amp;display_string=Audit"}</definedName>
    <definedName name="_825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826__FDSAUDITLINK__" localSheetId="15" hidden="1">{"fdsup://Directions/FactSet Auditing Viewer?action=AUDIT_VALUE&amp;DB=129&amp;ID1=16890510&amp;VALUEID=13040&amp;SDATE=200702&amp;PERIODTYPE=QTR_STD&amp;window=popup_no_bar&amp;width=385&amp;height=120&amp;START_MAXIMIZED=FALSE&amp;creator=factset&amp;display_string=Audit"}</definedName>
    <definedName name="_826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827__FDSAUDITLINK__" localSheetId="15" hidden="1">{"fdsup://Directions/FactSet Auditing Viewer?action=AUDIT_VALUE&amp;DB=129&amp;ID1=16890510&amp;VALUEID=13040&amp;SDATE=200701&amp;PERIODTYPE=QTR_STD&amp;window=popup_no_bar&amp;width=385&amp;height=120&amp;START_MAXIMIZED=FALSE&amp;creator=factset&amp;display_string=Audit"}</definedName>
    <definedName name="_827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828__FDSAUDITLINK__" localSheetId="15" hidden="1">{"fdsup://Directions/FactSet Auditing Viewer?action=AUDIT_VALUE&amp;DB=129&amp;ID1=16890510&amp;VALUEID=13040&amp;SDATE=200703&amp;PERIODTYPE=QTR_STD&amp;window=popup_no_bar&amp;width=385&amp;height=120&amp;START_MAXIMIZED=FALSE&amp;creator=factset&amp;display_string=Audit"}</definedName>
    <definedName name="_82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829__FDSAUDITLINK__" localSheetId="15" hidden="1">{"fdsup://Directions/FactSet Auditing Viewer?action=AUDIT_VALUE&amp;DB=129&amp;ID1=16890510&amp;VALUEID=13040&amp;SDATE=200802&amp;PERIODTYPE=QTR_STD&amp;window=popup_no_bar&amp;width=385&amp;height=120&amp;START_MAXIMIZED=FALSE&amp;creator=factset&amp;display_string=Audit"}</definedName>
    <definedName name="_829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83__FDSAUDITLINK__" localSheetId="15" hidden="1">{"fdsup://Directions/FactSet Auditing Viewer?action=AUDIT_VALUE&amp;DB=129&amp;ID1=25667710&amp;VALUEID=01001&amp;SDATE=200902&amp;PERIODTYPE=QTR_STD&amp;window=popup_no_bar&amp;width=385&amp;height=120&amp;START_MAXIMIZED=FALSE&amp;creator=factset&amp;display_string=Audit"}</definedName>
    <definedName name="_83__FDSAUDITLINK__" hidden="1">{"fdsup://Directions/FactSet Auditing Viewer?action=AUDIT_VALUE&amp;DB=129&amp;ID1=02313510&amp;VALUEID=04601&amp;SDATE=2007&amp;PERIODTYPE=ANN_STD&amp;window=popup_no_bar&amp;width=385&amp;height=120&amp;START_MAXIMIZED=FALSE&amp;creator=factset&amp;display_string=Audit"}</definedName>
    <definedName name="_830__FDSAUDITLINK__" localSheetId="15" hidden="1">{"fdsup://Directions/FactSet Auditing Viewer?action=AUDIT_VALUE&amp;DB=129&amp;ID1=16890510&amp;VALUEID=13040&amp;SDATE=200801&amp;PERIODTYPE=QTR_STD&amp;window=popup_no_bar&amp;width=385&amp;height=120&amp;START_MAXIMIZED=FALSE&amp;creator=factset&amp;display_string=Audit"}</definedName>
    <definedName name="_830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831__FDSAUDITLINK__" localSheetId="15" hidden="1">{"fdsup://Directions/FactSet Auditing Viewer?action=AUDIT_VALUE&amp;DB=129&amp;ID1=16890510&amp;VALUEID=13040&amp;SDATE=200803&amp;PERIODTYPE=QTR_STD&amp;window=popup_no_bar&amp;width=385&amp;height=120&amp;START_MAXIMIZED=FALSE&amp;creator=factset&amp;display_string=Audit"}</definedName>
    <definedName name="_831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832__FDSAUDITLINK__" localSheetId="15" hidden="1">{"fdsup://Directions/FactSet Auditing Viewer?action=AUDIT_VALUE&amp;DB=129&amp;ID1=16890510&amp;VALUEID=13040&amp;SDATE=200902&amp;PERIODTYPE=QTR_STD&amp;window=popup_no_bar&amp;width=385&amp;height=120&amp;START_MAXIMIZED=FALSE&amp;creator=factset&amp;display_string=Audit"}</definedName>
    <definedName name="_832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833__FDSAUDITLINK__" localSheetId="15" hidden="1">{"fdsup://Directions/FactSet Auditing Viewer?action=AUDIT_VALUE&amp;DB=129&amp;ID1=16890510&amp;VALUEID=13040&amp;SDATE=200903&amp;PERIODTYPE=QTR_STD&amp;window=popup_no_bar&amp;width=385&amp;height=120&amp;START_MAXIMIZED=FALSE&amp;creator=factset&amp;display_string=Audit"}</definedName>
    <definedName name="_833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834__FDSAUDITLINK__" localSheetId="15" hidden="1">{"fdsup://Directions/FactSet Auditing Viewer?action=AUDIT_VALUE&amp;DB=129&amp;ID1=16890510&amp;VALUEID=13040&amp;SDATE=201001&amp;PERIODTYPE=QTR_STD&amp;window=popup_no_bar&amp;width=385&amp;height=120&amp;START_MAXIMIZED=FALSE&amp;creator=factset&amp;display_string=Audit"}</definedName>
    <definedName name="_834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835__FDSAUDITLINK__" localSheetId="15" hidden="1">{"fdsup://Directions/FactSet Auditing Viewer?action=AUDIT_VALUE&amp;DB=129&amp;ID1=87416110&amp;VALUEID=01001&amp;SDATE=201001&amp;PERIODTYPE=QTR_STD&amp;window=popup_no_bar&amp;width=385&amp;height=120&amp;START_MAXIMIZED=FALSE&amp;creator=factset&amp;display_string=Audit"}</definedName>
    <definedName name="_83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836__FDSAUDITLINK__" localSheetId="15" hidden="1">{"fdsup://Directions/FactSet Auditing Viewer?action=AUDIT_VALUE&amp;DB=129&amp;ID1=46612H40&amp;VALUEID=01001&amp;SDATE=201001&amp;PERIODTYPE=QTR_STD&amp;window=popup_no_bar&amp;width=385&amp;height=120&amp;START_MAXIMIZED=FALSE&amp;creator=factset&amp;display_string=Audit"}</definedName>
    <definedName name="_836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837__FDSAUDITLINK__" localSheetId="15" hidden="1">{"fdsup://Directions/FactSet Auditing Viewer?action=AUDIT_VALUE&amp;DB=129&amp;ID1=03611510&amp;VALUEID=01001&amp;SDATE=201001&amp;PERIODTYPE=QTR_STD&amp;window=popup_no_bar&amp;width=385&amp;height=120&amp;START_MAXIMIZED=FALSE&amp;creator=factset&amp;display_string=Audit"}</definedName>
    <definedName name="_837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838__FDSAUDITLINK__" localSheetId="15" hidden="1">{"fdsup://Directions/FactSet Auditing Viewer?action=AUDIT_VALUE&amp;DB=129&amp;ID1=16890510&amp;VALUEID=01001&amp;SDATE=201001&amp;PERIODTYPE=QTR_STD&amp;window=popup_no_bar&amp;width=385&amp;height=120&amp;START_MAXIMIZED=FALSE&amp;creator=factset&amp;display_string=Audit"}</definedName>
    <definedName name="_838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839__FDSAUDITLINK__" localSheetId="15" hidden="1">{"fdsup://Directions/FactSet Auditing Viewer?action=AUDIT_VALUE&amp;DB=129&amp;ID1=91704710&amp;VALUEID=01001&amp;SDATE=201001&amp;PERIODTYPE=QTR_STD&amp;window=popup_no_bar&amp;width=385&amp;height=120&amp;START_MAXIMIZED=FALSE&amp;creator=factset&amp;display_string=Audit"}</definedName>
    <definedName name="_839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84__FDSAUDITLINK__" localSheetId="15" hidden="1">{"fdsup://Directions/FactSet Auditing Viewer?action=AUDIT_VALUE&amp;DB=129&amp;ID1=25667710&amp;VALUEID=01001&amp;SDATE=200901&amp;PERIODTYPE=QTR_STD&amp;window=popup_no_bar&amp;width=385&amp;height=120&amp;START_MAXIMIZED=FALSE&amp;creator=factset&amp;display_string=Audit"}</definedName>
    <definedName name="_84__FDSAUDITLINK__" hidden="1">{"fdsup://Directions/FactSet Auditing Viewer?action=AUDIT_VALUE&amp;DB=129&amp;ID1=02313510&amp;VALUEID=01001&amp;SDATE=2008&amp;PERIODTYPE=ANN_STD&amp;window=popup_no_bar&amp;width=385&amp;height=120&amp;START_MAXIMIZED=FALSE&amp;creator=factset&amp;display_string=Audit"}</definedName>
    <definedName name="_840__FDSAUDITLINK__" localSheetId="15" hidden="1">{"fdsup://Directions/FactSet Auditing Viewer?action=AUDIT_VALUE&amp;DB=129&amp;ID1=02553E10&amp;VALUEID=01001&amp;SDATE=201001&amp;PERIODTYPE=QTR_STD&amp;window=popup_no_bar&amp;width=385&amp;height=120&amp;START_MAXIMIZED=FALSE&amp;creator=factset&amp;display_string=Audit"}</definedName>
    <definedName name="_840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841__FDSAUDITLINK__" localSheetId="15" hidden="1">{"fdsup://Directions/FactSet Auditing Viewer?action=AUDIT_VALUE&amp;DB=129&amp;ID1=00786510&amp;VALUEID=01001&amp;SDATE=201001&amp;PERIODTYPE=QTR_STD&amp;window=popup_no_bar&amp;width=385&amp;height=120&amp;START_MAXIMIZED=FALSE&amp;creator=factset&amp;display_string=Audit"}</definedName>
    <definedName name="_841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842__FDSAUDITLINK__" localSheetId="15" hidden="1">{"fdsup://Directions/FactSet Auditing Viewer?action=AUDIT_VALUE&amp;DB=129&amp;ID1=00289620&amp;VALUEID=01001&amp;SDATE=201001&amp;PERIODTYPE=QTR_STD&amp;window=popup_no_bar&amp;width=385&amp;height=120&amp;START_MAXIMIZED=FALSE&amp;creator=factset&amp;display_string=Audit"}</definedName>
    <definedName name="_842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843__FDSAUDITLINK__" localSheetId="15" hidden="1">{"fdsup://Directions/FactSet Auditing Viewer?action=AUDIT_VALUE&amp;DB=129&amp;ID1=53271610&amp;VALUEID=01001&amp;SDATE=201001&amp;PERIODTYPE=QTR_STD&amp;window=popup_no_bar&amp;width=385&amp;height=120&amp;START_MAXIMIZED=FALSE&amp;creator=factset&amp;display_string=Audit"}</definedName>
    <definedName name="_843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844__FDSAUDITLINK__" localSheetId="15" hidden="1">{"fdsup://Directions/FactSet Auditing Viewer?action=AUDIT_VALUE&amp;DB=129&amp;ID1=36476010&amp;VALUEID=01001&amp;SDATE=201001&amp;PERIODTYPE=QTR_STD&amp;window=popup_no_bar&amp;width=385&amp;height=120&amp;START_MAXIMIZED=FALSE&amp;creator=factset&amp;display_string=Audit"}</definedName>
    <definedName name="_8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845__FDSAUDITLINK__" localSheetId="15" hidden="1">{"fdsup://Directions/FactSet Auditing Viewer?action=AUDIT_VALUE&amp;DB=129&amp;ID1=40377710&amp;VALUEID=01001&amp;SDATE=200601&amp;PERIODTYPE=QTR_STD&amp;window=popup_no_bar&amp;width=385&amp;height=120&amp;START_MAXIMIZED=FALSE&amp;creator=factset&amp;display_string=Audit"}</definedName>
    <definedName name="_845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846__FDSAUDITLINK__" localSheetId="15" hidden="1">{"fdsup://Directions/FactSet Auditing Viewer?action=AUDIT_VALUE&amp;DB=129&amp;ID1=40377710&amp;VALUEID=02101&amp;SDATE=200601&amp;PERIODTYPE=QTR_STD&amp;window=popup_no_bar&amp;width=385&amp;height=120&amp;START_MAXIMIZED=FALSE&amp;creator=factset&amp;display_string=Audit"}</definedName>
    <definedName name="_846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847__FDSAUDITLINK__" localSheetId="15" hidden="1">{"fdsup://Directions/FactSet Auditing Viewer?action=AUDIT_VALUE&amp;DB=129&amp;ID1=40377710&amp;VALUEID=13040&amp;SDATE=200601&amp;PERIODTYPE=QTR_STD&amp;window=popup_no_bar&amp;width=385&amp;height=120&amp;START_MAXIMIZED=FALSE&amp;creator=factset&amp;display_string=Audit"}</definedName>
    <definedName name="_84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48__FDSAUDITLINK__" localSheetId="15" hidden="1">{"fdsup://Directions/FactSet Auditing Viewer?action=AUDIT_VALUE&amp;DB=129&amp;ID1=40377710&amp;VALUEID=13040&amp;SDATE=200602&amp;PERIODTYPE=QTR_STD&amp;window=popup_no_bar&amp;width=385&amp;height=120&amp;START_MAXIMIZED=FALSE&amp;creator=factset&amp;display_string=Audit"}</definedName>
    <definedName name="_8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49__FDSAUDITLINK__" localSheetId="15" hidden="1">{"fdsup://Directions/FactSet Auditing Viewer?action=AUDIT_VALUE&amp;DB=129&amp;ID1=40377710&amp;VALUEID=01001&amp;SDATE=200602&amp;PERIODTYPE=QTR_STD&amp;window=popup_no_bar&amp;width=385&amp;height=120&amp;START_MAXIMIZED=FALSE&amp;creator=factset&amp;display_string=Audit"}</definedName>
    <definedName name="_849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85__FDSAUDITLINK__" localSheetId="15" hidden="1">{"fdsup://Directions/FactSet Auditing Viewer?action=AUDIT_VALUE&amp;DB=129&amp;ID1=25667710&amp;VALUEID=01001&amp;SDATE=200803&amp;PERIODTYPE=QTR_STD&amp;window=popup_no_bar&amp;width=385&amp;height=120&amp;START_MAXIMIZED=FALSE&amp;creator=factset&amp;display_string=Audit"}</definedName>
    <definedName name="_85__FDSAUDITLINK__" hidden="1">{"fdsup://Directions/FactSet Auditing Viewer?action=AUDIT_VALUE&amp;DB=129&amp;ID1=02313510&amp;VALUEID=04601&amp;SDATE=2008&amp;PERIODTYPE=ANN_STD&amp;window=popup_no_bar&amp;width=385&amp;height=120&amp;START_MAXIMIZED=FALSE&amp;creator=factset&amp;display_string=Audit"}</definedName>
    <definedName name="_850__FDSAUDITLINK__" localSheetId="15" hidden="1">{"fdsup://Directions/FactSet Auditing Viewer?action=AUDIT_VALUE&amp;DB=129&amp;ID1=40377710&amp;VALUEID=02101&amp;SDATE=200602&amp;PERIODTYPE=QTR_STD&amp;window=popup_no_bar&amp;width=385&amp;height=120&amp;START_MAXIMIZED=FALSE&amp;creator=factset&amp;display_string=Audit"}</definedName>
    <definedName name="_850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851__FDSAUDITLINK__" localSheetId="15" hidden="1">{"fdsup://Directions/FactSet Auditing Viewer?action=AUDIT_VALUE&amp;DB=129&amp;ID1=40377710&amp;VALUEID=13040&amp;SDATE=200603&amp;PERIODTYPE=QTR_STD&amp;window=popup_no_bar&amp;width=385&amp;height=120&amp;START_MAXIMIZED=FALSE&amp;creator=factset&amp;display_string=Audit"}</definedName>
    <definedName name="_8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52__FDSAUDITLINK__" localSheetId="15" hidden="1">{"fdsup://Directions/FactSet Auditing Viewer?action=AUDIT_VALUE&amp;DB=129&amp;ID1=40377710&amp;VALUEID=01001&amp;SDATE=200603&amp;PERIODTYPE=QTR_STD&amp;window=popup_no_bar&amp;width=385&amp;height=120&amp;START_MAXIMIZED=FALSE&amp;creator=factset&amp;display_string=Audit"}</definedName>
    <definedName name="_852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853__FDSAUDITLINK__" localSheetId="15" hidden="1">{"fdsup://Directions/FactSet Auditing Viewer?action=AUDIT_VALUE&amp;DB=129&amp;ID1=40377710&amp;VALUEID=02101&amp;SDATE=200603&amp;PERIODTYPE=QTR_STD&amp;window=popup_no_bar&amp;width=385&amp;height=120&amp;START_MAXIMIZED=FALSE&amp;creator=factset&amp;display_string=Audit"}</definedName>
    <definedName name="_853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854__FDSAUDITLINK__" localSheetId="15" hidden="1">{"fdsup://Directions/FactSet Auditing Viewer?action=AUDIT_VALUE&amp;DB=129&amp;ID1=40377710&amp;VALUEID=01001&amp;SDATE=200604&amp;PERIODTYPE=QTR_STD&amp;window=popup_no_bar&amp;width=385&amp;height=120&amp;START_MAXIMIZED=FALSE&amp;creator=factset&amp;display_string=Audit"}</definedName>
    <definedName name="_854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855__FDSAUDITLINK__" localSheetId="15" hidden="1">{"fdsup://Directions/FactSet Auditing Viewer?action=AUDIT_VALUE&amp;DB=129&amp;ID1=40377710&amp;VALUEID=01001&amp;SDATE=200701&amp;PERIODTYPE=QTR_STD&amp;window=popup_no_bar&amp;width=385&amp;height=120&amp;START_MAXIMIZED=FALSE&amp;creator=factset&amp;display_string=Audit"}</definedName>
    <definedName name="_855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856__FDSAUDITLINK__" localSheetId="15" hidden="1">{"fdsup://Directions/FactSet Auditing Viewer?action=AUDIT_VALUE&amp;DB=129&amp;ID1=40377710&amp;VALUEID=02101&amp;SDATE=200701&amp;PERIODTYPE=QTR_STD&amp;window=popup_no_bar&amp;width=385&amp;height=120&amp;START_MAXIMIZED=FALSE&amp;creator=factset&amp;display_string=Audit"}</definedName>
    <definedName name="_856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857__FDSAUDITLINK__" localSheetId="15" hidden="1">{"fdsup://Directions/FactSet Auditing Viewer?action=AUDIT_VALUE&amp;DB=129&amp;ID1=40377710&amp;VALUEID=13040&amp;SDATE=200701&amp;PERIODTYPE=QTR_STD&amp;window=popup_no_bar&amp;width=385&amp;height=120&amp;START_MAXIMIZED=FALSE&amp;creator=factset&amp;display_string=Audit"}</definedName>
    <definedName name="_857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58__FDSAUDITLINK__" localSheetId="15" hidden="1">{"fdsup://Directions/FactSet Auditing Viewer?action=AUDIT_VALUE&amp;DB=129&amp;ID1=40377710&amp;VALUEID=13040&amp;SDATE=200702&amp;PERIODTYPE=QTR_STD&amp;window=popup_no_bar&amp;width=385&amp;height=120&amp;START_MAXIMIZED=FALSE&amp;creator=factset&amp;display_string=Audit"}</definedName>
    <definedName name="_858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59__FDSAUDITLINK__" localSheetId="15" hidden="1">{"fdsup://Directions/FactSet Auditing Viewer?action=AUDIT_VALUE&amp;DB=129&amp;ID1=40377710&amp;VALUEID=01001&amp;SDATE=200702&amp;PERIODTYPE=QTR_STD&amp;window=popup_no_bar&amp;width=385&amp;height=120&amp;START_MAXIMIZED=FALSE&amp;creator=factset&amp;display_string=Audit"}</definedName>
    <definedName name="_859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86__FDSAUDITLINK__" localSheetId="15" hidden="1">{"fdsup://Directions/FactSet Auditing Viewer?action=AUDIT_VALUE&amp;DB=129&amp;ID1=25667710&amp;VALUEID=01001&amp;SDATE=200802&amp;PERIODTYPE=QTR_STD&amp;window=popup_no_bar&amp;width=385&amp;height=120&amp;START_MAXIMIZED=FALSE&amp;creator=factset&amp;display_string=Audit"}</definedName>
    <definedName name="_86__FDSAUDITLINK__" hidden="1">{"fdsup://Directions/FactSet Auditing Viewer?action=AUDIT_VALUE&amp;DB=129&amp;ID1=02313510&amp;VALUEID=01001&amp;SDATE=2009&amp;PERIODTYPE=ANN_STD&amp;window=popup_no_bar&amp;width=385&amp;height=120&amp;START_MAXIMIZED=FALSE&amp;creator=factset&amp;display_string=Audit"}</definedName>
    <definedName name="_860__FDSAUDITLINK__" localSheetId="15" hidden="1">{"fdsup://Directions/FactSet Auditing Viewer?action=AUDIT_VALUE&amp;DB=129&amp;ID1=40377710&amp;VALUEID=02101&amp;SDATE=200702&amp;PERIODTYPE=QTR_STD&amp;window=popup_no_bar&amp;width=385&amp;height=120&amp;START_MAXIMIZED=FALSE&amp;creator=factset&amp;display_string=Audit"}</definedName>
    <definedName name="_860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861__FDSAUDITLINK__" localSheetId="15" hidden="1">{"fdsup://Directions/FactSet Auditing Viewer?action=AUDIT_VALUE&amp;DB=129&amp;ID1=40377710&amp;VALUEID=13040&amp;SDATE=200703&amp;PERIODTYPE=QTR_STD&amp;window=popup_no_bar&amp;width=385&amp;height=120&amp;START_MAXIMIZED=FALSE&amp;creator=factset&amp;display_string=Audit"}</definedName>
    <definedName name="_861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62__FDSAUDITLINK__" localSheetId="15" hidden="1">{"fdsup://Directions/FactSet Auditing Viewer?action=AUDIT_VALUE&amp;DB=129&amp;ID1=40377710&amp;VALUEID=01001&amp;SDATE=200703&amp;PERIODTYPE=QTR_STD&amp;window=popup_no_bar&amp;width=385&amp;height=120&amp;START_MAXIMIZED=FALSE&amp;creator=factset&amp;display_string=Audit"}</definedName>
    <definedName name="_8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863__FDSAUDITLINK__" localSheetId="15" hidden="1">{"fdsup://Directions/FactSet Auditing Viewer?action=AUDIT_VALUE&amp;DB=129&amp;ID1=40377710&amp;VALUEID=02101&amp;SDATE=200703&amp;PERIODTYPE=QTR_STD&amp;window=popup_no_bar&amp;width=385&amp;height=120&amp;START_MAXIMIZED=FALSE&amp;creator=factset&amp;display_string=Audit"}</definedName>
    <definedName name="_8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864__FDSAUDITLINK__" localSheetId="15" hidden="1">{"fdsup://Directions/FactSet Auditing Viewer?action=AUDIT_VALUE&amp;DB=129&amp;ID1=40377710&amp;VALUEID=01001&amp;SDATE=200704&amp;PERIODTYPE=QTR_STD&amp;window=popup_no_bar&amp;width=385&amp;height=120&amp;START_MAXIMIZED=FALSE&amp;creator=factset&amp;display_string=Audit"}</definedName>
    <definedName name="_8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865__FDSAUDITLINK__" localSheetId="15" hidden="1">{"fdsup://Directions/FactSet Auditing Viewer?action=AUDIT_VALUE&amp;DB=129&amp;ID1=40377710&amp;VALUEID=01001&amp;SDATE=200801&amp;PERIODTYPE=QTR_STD&amp;window=popup_no_bar&amp;width=385&amp;height=120&amp;START_MAXIMIZED=FALSE&amp;creator=factset&amp;display_string=Audit"}</definedName>
    <definedName name="_8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866__FDSAUDITLINK__" localSheetId="15" hidden="1">{"fdsup://Directions/FactSet Auditing Viewer?action=AUDIT_VALUE&amp;DB=129&amp;ID1=40377710&amp;VALUEID=02101&amp;SDATE=200801&amp;PERIODTYPE=QTR_STD&amp;window=popup_no_bar&amp;width=385&amp;height=120&amp;START_MAXIMIZED=FALSE&amp;creator=factset&amp;display_string=Audit"}</definedName>
    <definedName name="_8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867__FDSAUDITLINK__" localSheetId="15" hidden="1">{"fdsup://Directions/FactSet Auditing Viewer?action=AUDIT_VALUE&amp;DB=129&amp;ID1=40377710&amp;VALUEID=13040&amp;SDATE=200801&amp;PERIODTYPE=QTR_STD&amp;window=popup_no_bar&amp;width=385&amp;height=120&amp;START_MAXIMIZED=FALSE&amp;creator=factset&amp;display_string=Audit"}</definedName>
    <definedName name="_867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68__FDSAUDITLINK__" localSheetId="15" hidden="1">{"fdsup://Directions/FactSet Auditing Viewer?action=AUDIT_VALUE&amp;DB=129&amp;ID1=40377710&amp;VALUEID=13040&amp;SDATE=200704&amp;PERIODTYPE=QTR_STD&amp;window=popup_no_bar&amp;width=385&amp;height=120&amp;START_MAXIMIZED=FALSE&amp;creator=factset&amp;display_string=Audit"}</definedName>
    <definedName name="_868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69__FDSAUDITLINK__" localSheetId="15" hidden="1">{"fdsup://Directions/FactSet Auditing Viewer?action=AUDIT_VALUE&amp;DB=129&amp;ID1=40377710&amp;VALUEID=13040&amp;SDATE=200802&amp;PERIODTYPE=QTR_STD&amp;window=popup_no_bar&amp;width=385&amp;height=120&amp;START_MAXIMIZED=FALSE&amp;creator=factset&amp;display_string=Audit"}</definedName>
    <definedName name="_869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7__FDSAUDITLINK__" localSheetId="15" hidden="1">{"fdsup://Directions/FactSet Auditing Viewer?action=AUDIT_VALUE&amp;DB=129&amp;ID1=25667710&amp;VALUEID=01001&amp;SDATE=200801&amp;PERIODTYPE=QTR_STD&amp;window=popup_no_bar&amp;width=385&amp;height=120&amp;START_MAXIMIZED=FALSE&amp;creator=factset&amp;display_string=Audit"}</definedName>
    <definedName name="_87__FDSAUDITLINK__" hidden="1">{"fdsup://Directions/FactSet Auditing Viewer?action=AUDIT_VALUE&amp;DB=129&amp;ID1=02313510&amp;VALUEID=04601&amp;SDATE=2009&amp;PERIODTYPE=ANN_STD&amp;window=popup_no_bar&amp;width=385&amp;height=120&amp;START_MAXIMIZED=FALSE&amp;creator=factset&amp;display_string=Audit"}</definedName>
    <definedName name="_870__FDSAUDITLINK__" localSheetId="15" hidden="1">{"fdsup://Directions/FactSet Auditing Viewer?action=AUDIT_VALUE&amp;DB=129&amp;ID1=40377710&amp;VALUEID=01001&amp;SDATE=200802&amp;PERIODTYPE=QTR_STD&amp;window=popup_no_bar&amp;width=385&amp;height=120&amp;START_MAXIMIZED=FALSE&amp;creator=factset&amp;display_string=Audit"}</definedName>
    <definedName name="_870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871__FDSAUDITLINK__" localSheetId="15" hidden="1">{"fdsup://Directions/FactSet Auditing Viewer?action=AUDIT_VALUE&amp;DB=129&amp;ID1=40377710&amp;VALUEID=02101&amp;SDATE=200802&amp;PERIODTYPE=QTR_STD&amp;window=popup_no_bar&amp;width=385&amp;height=120&amp;START_MAXIMIZED=FALSE&amp;creator=factset&amp;display_string=Audit"}</definedName>
    <definedName name="_871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872__FDSAUDITLINK__" localSheetId="15" hidden="1">{"fdsup://Directions/FactSet Auditing Viewer?action=AUDIT_VALUE&amp;DB=129&amp;ID1=40377710&amp;VALUEID=13040&amp;SDATE=200803&amp;PERIODTYPE=QTR_STD&amp;window=popup_no_bar&amp;width=385&amp;height=120&amp;START_MAXIMIZED=FALSE&amp;creator=factset&amp;display_string=Audit"}</definedName>
    <definedName name="_87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73__FDSAUDITLINK__" localSheetId="15" hidden="1">{"fdsup://Directions/FactSet Auditing Viewer?action=AUDIT_VALUE&amp;DB=129&amp;ID1=40377710&amp;VALUEID=01001&amp;SDATE=200803&amp;PERIODTYPE=QTR_STD&amp;window=popup_no_bar&amp;width=385&amp;height=120&amp;START_MAXIMIZED=FALSE&amp;creator=factset&amp;display_string=Audit"}</definedName>
    <definedName name="_873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874__FDSAUDITLINK__" localSheetId="15" hidden="1">{"fdsup://Directions/FactSet Auditing Viewer?action=AUDIT_VALUE&amp;DB=129&amp;ID1=40377710&amp;VALUEID=02101&amp;SDATE=200803&amp;PERIODTYPE=QTR_STD&amp;window=popup_no_bar&amp;width=385&amp;height=120&amp;START_MAXIMIZED=FALSE&amp;creator=factset&amp;display_string=Audit"}</definedName>
    <definedName name="_874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875__FDSAUDITLINK__" localSheetId="15" hidden="1">{"fdsup://Directions/FactSet Auditing Viewer?action=AUDIT_VALUE&amp;DB=129&amp;ID1=40377710&amp;VALUEID=01001&amp;SDATE=200804&amp;PERIODTYPE=QTR_STD&amp;window=popup_no_bar&amp;width=385&amp;height=120&amp;START_MAXIMIZED=FALSE&amp;creator=factset&amp;display_string=Audit"}</definedName>
    <definedName name="_875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876__FDSAUDITLINK__" localSheetId="15" hidden="1">{"fdsup://Directions/FactSet Auditing Viewer?action=AUDIT_VALUE&amp;DB=129&amp;ID1=40377710&amp;VALUEID=01001&amp;SDATE=200901&amp;PERIODTYPE=QTR_STD&amp;window=popup_no_bar&amp;width=385&amp;height=120&amp;START_MAXIMIZED=FALSE&amp;creator=factset&amp;display_string=Audit"}</definedName>
    <definedName name="_876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877__FDSAUDITLINK__" localSheetId="15" hidden="1">{"fdsup://Directions/FactSet Auditing Viewer?action=AUDIT_VALUE&amp;DB=129&amp;ID1=40377710&amp;VALUEID=02101&amp;SDATE=200901&amp;PERIODTYPE=QTR_STD&amp;window=popup_no_bar&amp;width=385&amp;height=120&amp;START_MAXIMIZED=FALSE&amp;creator=factset&amp;display_string=Audit"}</definedName>
    <definedName name="_877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878__FDSAUDITLINK__" localSheetId="15" hidden="1">{"fdsup://Directions/FactSet Auditing Viewer?action=AUDIT_VALUE&amp;DB=129&amp;ID1=40377710&amp;VALUEID=13040&amp;SDATE=200901&amp;PERIODTYPE=QTR_STD&amp;window=popup_no_bar&amp;width=385&amp;height=120&amp;START_MAXIMIZED=FALSE&amp;creator=factset&amp;display_string=Audit"}</definedName>
    <definedName name="_878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879__FDSAUDITLINK__" localSheetId="15" hidden="1">{"fdsup://Directions/FactSet Auditing Viewer?action=AUDIT_VALUE&amp;DB=129&amp;ID1=40377710&amp;VALUEID=13040&amp;SDATE=200902&amp;PERIODTYPE=QTR_STD&amp;window=popup_no_bar&amp;width=385&amp;height=120&amp;START_MAXIMIZED=FALSE&amp;creator=factset&amp;display_string=Audit"}</definedName>
    <definedName name="_879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88__FDSAUDITLINK__" localSheetId="15" hidden="1">{"fdsup://Directions/FactSet Auditing Viewer?action=AUDIT_VALUE&amp;DB=129&amp;ID1=25667710&amp;VALUEID=01001&amp;SDATE=200701&amp;PERIODTYPE=QTR_STD&amp;window=popup_no_bar&amp;width=385&amp;height=120&amp;START_MAXIMIZED=FALSE&amp;creator=factset&amp;display_string=Audit"}</definedName>
    <definedName name="_88__FDSAUDITLINK__" hidden="1">{"fdsup://Directions/FactSet Auditing Viewer?action=AUDIT_VALUE&amp;DB=129&amp;ID1=03783310&amp;VALUEID=01001&amp;SDATE=2005&amp;PERIODTYPE=ANN_STD&amp;window=popup_no_bar&amp;width=385&amp;height=120&amp;START_MAXIMIZED=FALSE&amp;creator=factset&amp;display_string=Audit"}</definedName>
    <definedName name="_880__FDSAUDITLINK__" localSheetId="15" hidden="1">{"fdsup://Directions/FactSet Auditing Viewer?action=AUDIT_VALUE&amp;DB=129&amp;ID1=40377710&amp;VALUEID=01001&amp;SDATE=200902&amp;PERIODTYPE=QTR_STD&amp;window=popup_no_bar&amp;width=385&amp;height=120&amp;START_MAXIMIZED=FALSE&amp;creator=factset&amp;display_string=Audit"}</definedName>
    <definedName name="_880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881__FDSAUDITLINK__" localSheetId="15" hidden="1">{"fdsup://Directions/FactSet Auditing Viewer?action=AUDIT_VALUE&amp;DB=129&amp;ID1=40377710&amp;VALUEID=02101&amp;SDATE=200902&amp;PERIODTYPE=QTR_STD&amp;window=popup_no_bar&amp;width=385&amp;height=120&amp;START_MAXIMIZED=FALSE&amp;creator=factset&amp;display_string=Audit"}</definedName>
    <definedName name="_881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882__FDSAUDITLINK__" localSheetId="15" hidden="1">{"fdsup://Directions/FactSet Auditing Viewer?action=AUDIT_VALUE&amp;DB=129&amp;ID1=40377710&amp;VALUEID=13040&amp;SDATE=200903&amp;PERIODTYPE=QTR_STD&amp;window=popup_no_bar&amp;width=385&amp;height=120&amp;START_MAXIMIZED=FALSE&amp;creator=factset&amp;display_string=Audit"}</definedName>
    <definedName name="_882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883__FDSAUDITLINK__" localSheetId="15" hidden="1">{"fdsup://Directions/FactSet Auditing Viewer?action=AUDIT_VALUE&amp;DB=129&amp;ID1=40377710&amp;VALUEID=01001&amp;SDATE=200903&amp;PERIODTYPE=QTR_STD&amp;window=popup_no_bar&amp;width=385&amp;height=120&amp;START_MAXIMIZED=FALSE&amp;creator=factset&amp;display_string=Audit"}</definedName>
    <definedName name="_883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884__FDSAUDITLINK__" localSheetId="15" hidden="1">{"fdsup://Directions/FactSet Auditing Viewer?action=AUDIT_VALUE&amp;DB=129&amp;ID1=40377710&amp;VALUEID=02101&amp;SDATE=200903&amp;PERIODTYPE=QTR_STD&amp;window=popup_no_bar&amp;width=385&amp;height=120&amp;START_MAXIMIZED=FALSE&amp;creator=factset&amp;display_string=Audit"}</definedName>
    <definedName name="_884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885__FDSAUDITLINK__" localSheetId="15" hidden="1">{"fdsup://Directions/FactSet Auditing Viewer?action=AUDIT_VALUE&amp;DB=129&amp;ID1=40377710&amp;VALUEID=01001&amp;SDATE=200904&amp;PERIODTYPE=QTR_STD&amp;window=popup_no_bar&amp;width=385&amp;height=120&amp;START_MAXIMIZED=FALSE&amp;creator=factset&amp;display_string=Audit"}</definedName>
    <definedName name="_885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886__FDSAUDITLINK__" localSheetId="15" hidden="1">{"fdsup://Directions/FactSet Auditing Viewer?action=AUDIT_VALUE&amp;DB=129&amp;ID1=40377710&amp;VALUEID=13040&amp;SDATE=201001&amp;PERIODTYPE=QTR_STD&amp;window=popup_no_bar&amp;width=385&amp;height=120&amp;START_MAXIMIZED=FALSE&amp;creator=factset&amp;display_string=Audit"}</definedName>
    <definedName name="_886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887__FDSAUDITLINK__" localSheetId="15" hidden="1">{"fdsup://Directions/FactSet Auditing Viewer?action=AUDIT_VALUE&amp;DB=129&amp;ID1=40377710&amp;VALUEID=01001&amp;SDATE=201001&amp;PERIODTYPE=QTR_STD&amp;window=popup_no_bar&amp;width=385&amp;height=120&amp;START_MAXIMIZED=FALSE&amp;creator=factset&amp;display_string=Audit"}</definedName>
    <definedName name="_887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888__FDSAUDITLINK__" localSheetId="15" hidden="1">{"fdsup://Directions/FactSet Auditing Viewer?action=AUDIT_VALUE&amp;DB=129&amp;ID1=40377710&amp;VALUEID=02101&amp;SDATE=201001&amp;PERIODTYPE=QTR_STD&amp;window=popup_no_bar&amp;width=385&amp;height=120&amp;START_MAXIMIZED=FALSE&amp;creator=factset&amp;display_string=Audit"}</definedName>
    <definedName name="_888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889__FDSAUDITLINK__" localSheetId="15" hidden="1">{"fdsup://Directions/FactSet Auditing Viewer?action=AUDIT_VALUE&amp;DB=129&amp;ID1=40377710&amp;VALUEID=13040&amp;SDATE=200601&amp;PERIODTYPE=QTR_STD&amp;window=popup_no_bar&amp;width=385&amp;height=120&amp;START_MAXIMIZED=FALSE&amp;creator=factset&amp;display_string=Audit"}</definedName>
    <definedName name="_88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9__FDSAUDITLINK__" localSheetId="15" hidden="1">{"fdsup://Directions/FactSet Auditing Viewer?action=AUDIT_VALUE&amp;DB=129&amp;ID1=25667710&amp;VALUEID=01001&amp;SDATE=200603&amp;PERIODTYPE=QTR_STD&amp;window=popup_no_bar&amp;width=385&amp;height=120&amp;START_MAXIMIZED=FALSE&amp;creator=factset&amp;display_string=Audit"}</definedName>
    <definedName name="_89__FDSAUDITLINK__" hidden="1">{"fdsup://Directions/FactSet Auditing Viewer?action=AUDIT_VALUE&amp;DB=129&amp;ID1=03783310&amp;VALUEID=04601&amp;SDATE=2005&amp;PERIODTYPE=ANN_STD&amp;window=popup_no_bar&amp;width=385&amp;height=120&amp;START_MAXIMIZED=FALSE&amp;creator=factset&amp;display_string=Audit"}</definedName>
    <definedName name="_890__FDSAUDITLINK__" localSheetId="15" hidden="1">{"fdsup://Directions/FactSet Auditing Viewer?action=AUDIT_VALUE&amp;DB=129&amp;ID1=40377710&amp;VALUEID=13040&amp;SDATE=200602&amp;PERIODTYPE=QTR_STD&amp;window=popup_no_bar&amp;width=385&amp;height=120&amp;START_MAXIMIZED=FALSE&amp;creator=factset&amp;display_string=Audit"}</definedName>
    <definedName name="_89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91__FDSAUDITLINK__" localSheetId="15" hidden="1">{"fdsup://Directions/FactSet Auditing Viewer?action=AUDIT_VALUE&amp;DB=129&amp;ID1=40377710&amp;VALUEID=13040&amp;SDATE=200603&amp;PERIODTYPE=QTR_STD&amp;window=popup_no_bar&amp;width=385&amp;height=120&amp;START_MAXIMIZED=FALSE&amp;creator=factset&amp;display_string=Audit"}</definedName>
    <definedName name="_89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92__FDSAUDITLINK__" localSheetId="15" hidden="1">{"fdsup://Directions/FactSet Auditing Viewer?action=AUDIT_VALUE&amp;DB=129&amp;ID1=40377710&amp;VALUEID=13040&amp;SDATE=200701&amp;PERIODTYPE=QTR_STD&amp;window=popup_no_bar&amp;width=385&amp;height=120&amp;START_MAXIMIZED=FALSE&amp;creator=factset&amp;display_string=Audit"}</definedName>
    <definedName name="_892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93__FDSAUDITLINK__" localSheetId="15" hidden="1">{"fdsup://Directions/FactSet Auditing Viewer?action=AUDIT_VALUE&amp;DB=129&amp;ID1=40377710&amp;VALUEID=13040&amp;SDATE=200702&amp;PERIODTYPE=QTR_STD&amp;window=popup_no_bar&amp;width=385&amp;height=120&amp;START_MAXIMIZED=FALSE&amp;creator=factset&amp;display_string=Audit"}</definedName>
    <definedName name="_893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94__FDSAUDITLINK__" localSheetId="15" hidden="1">{"fdsup://Directions/FactSet Auditing Viewer?action=AUDIT_VALUE&amp;DB=129&amp;ID1=40377710&amp;VALUEID=13040&amp;SDATE=200703&amp;PERIODTYPE=QTR_STD&amp;window=popup_no_bar&amp;width=385&amp;height=120&amp;START_MAXIMIZED=FALSE&amp;creator=factset&amp;display_string=Audit"}</definedName>
    <definedName name="_894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95__FDSAUDITLINK__" localSheetId="15" hidden="1">{"fdsup://Directions/FactSet Auditing Viewer?action=AUDIT_VALUE&amp;DB=129&amp;ID1=40377710&amp;VALUEID=13040&amp;SDATE=200704&amp;PERIODTYPE=QTR_STD&amp;window=popup_no_bar&amp;width=385&amp;height=120&amp;START_MAXIMIZED=FALSE&amp;creator=factset&amp;display_string=Audit"}</definedName>
    <definedName name="_89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96__FDSAUDITLINK__" localSheetId="15" hidden="1">{"fdsup://Directions/FactSet Auditing Viewer?action=AUDIT_VALUE&amp;DB=129&amp;ID1=40377710&amp;VALUEID=13040&amp;SDATE=200801&amp;PERIODTYPE=QTR_STD&amp;window=popup_no_bar&amp;width=385&amp;height=120&amp;START_MAXIMIZED=FALSE&amp;creator=factset&amp;display_string=Audit"}</definedName>
    <definedName name="_89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97__FDSAUDITLINK__" localSheetId="15" hidden="1">{"fdsup://Directions/FactSet Auditing Viewer?action=AUDIT_VALUE&amp;DB=129&amp;ID1=40377710&amp;VALUEID=13040&amp;SDATE=200802&amp;PERIODTYPE=QTR_STD&amp;window=popup_no_bar&amp;width=385&amp;height=120&amp;START_MAXIMIZED=FALSE&amp;creator=factset&amp;display_string=Audit"}</definedName>
    <definedName name="_897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98__FDSAUDITLINK__" localSheetId="15" hidden="1">{"fdsup://Directions/FactSet Auditing Viewer?action=AUDIT_VALUE&amp;DB=129&amp;ID1=40377710&amp;VALUEID=13040&amp;SDATE=200803&amp;PERIODTYPE=QTR_STD&amp;window=popup_no_bar&amp;width=385&amp;height=120&amp;START_MAXIMIZED=FALSE&amp;creator=factset&amp;display_string=Audit"}</definedName>
    <definedName name="_898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99__FDSAUDITLINK__" localSheetId="15" hidden="1">{"fdsup://Directions/FactSet Auditing Viewer?action=AUDIT_VALUE&amp;DB=129&amp;ID1=40377710&amp;VALUEID=13040&amp;SDATE=200901&amp;PERIODTYPE=QTR_STD&amp;window=popup_no_bar&amp;width=385&amp;height=120&amp;START_MAXIMIZED=FALSE&amp;creator=factset&amp;display_string=Audit"}</definedName>
    <definedName name="_899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9__123Graph_Aｸﾞﾗﾌ_1" hidden="1">[1]ｾｸﾞﾒﾝﾄ!$E$164:$I$164</definedName>
    <definedName name="_9__123Graph_Dｸﾞﾗﾌ_1" hidden="1">[1]ｾｸﾞﾒﾝﾄ!$E$167:$I$167</definedName>
    <definedName name="_9__FDSAUDITLINK__" localSheetId="15" hidden="1">{"fdsup://Directions/FactSet Auditing Viewer?action=AUDIT_VALUE&amp;DB=129&amp;ID1=55616P10&amp;VALUEID=02001&amp;SDATE=201102&amp;PERIODTYPE=QTR_STD&amp;SCFT=3&amp;window=popup_no_bar&amp;width=385&amp;height=120&amp;START_MAXIMIZED=FALSE&amp;creator=factset&amp;display_string=Audit"}</definedName>
    <definedName name="_9__FDSAUDITLINK__" hidden="1">{"fdsup://Directions/FactSet Auditing Viewer?action=AUDIT_VALUE&amp;DB=129&amp;ID1=02313510&amp;VALUEID=01001&amp;SDATE=2009&amp;PERIODTYPE=ANN_STD&amp;window=popup_no_bar&amp;width=385&amp;height=120&amp;START_MAXIMIZED=FALSE&amp;creator=factset&amp;display_string=Audit"}</definedName>
    <definedName name="_90__FDSAUDITLINK__" localSheetId="15" hidden="1">{"fdsup://Directions/FactSet Auditing Viewer?action=AUDIT_VALUE&amp;DB=129&amp;ID1=25667710&amp;VALUEID=01001&amp;SDATE=200602&amp;PERIODTYPE=QTR_STD&amp;window=popup_no_bar&amp;width=385&amp;height=120&amp;START_MAXIMIZED=FALSE&amp;creator=factset&amp;display_string=Audit"}</definedName>
    <definedName name="_90__FDSAUDITLINK__" hidden="1">{"fdsup://Directions/FactSet Auditing Viewer?action=AUDIT_VALUE&amp;DB=129&amp;ID1=03783310&amp;VALUEID=01001&amp;SDATE=2006&amp;PERIODTYPE=ANN_STD&amp;window=popup_no_bar&amp;width=385&amp;height=120&amp;START_MAXIMIZED=FALSE&amp;creator=factset&amp;display_string=Audit"}</definedName>
    <definedName name="_900__FDSAUDITLINK__" localSheetId="15" hidden="1">{"fdsup://Directions/FactSet Auditing Viewer?action=AUDIT_VALUE&amp;DB=129&amp;ID1=40377710&amp;VALUEID=13040&amp;SDATE=200902&amp;PERIODTYPE=QTR_STD&amp;window=popup_no_bar&amp;width=385&amp;height=120&amp;START_MAXIMIZED=FALSE&amp;creator=factset&amp;display_string=Audit"}</definedName>
    <definedName name="_90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901__FDSAUDITLINK__" localSheetId="15" hidden="1">{"fdsup://Directions/FactSet Auditing Viewer?action=AUDIT_VALUE&amp;DB=129&amp;ID1=40377710&amp;VALUEID=13040&amp;SDATE=200903&amp;PERIODTYPE=QTR_STD&amp;window=popup_no_bar&amp;width=385&amp;height=120&amp;START_MAXIMIZED=FALSE&amp;creator=factset&amp;display_string=Audit"}</definedName>
    <definedName name="_90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902__FDSAUDITLINK__" localSheetId="15" hidden="1">{"fdsup://Directions/FactSet Auditing Viewer?action=AUDIT_VALUE&amp;DB=129&amp;ID1=40377710&amp;VALUEID=13040&amp;SDATE=201001&amp;PERIODTYPE=QTR_STD&amp;window=popup_no_bar&amp;width=385&amp;height=120&amp;START_MAXIMIZED=FALSE&amp;creator=factset&amp;display_string=Audit"}</definedName>
    <definedName name="_902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903__FDSAUDITLINK__" localSheetId="15"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90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904__FDSAUDITLINK__" localSheetId="15"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90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905__FDSAUDITLINK__" localSheetId="15"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90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906__FDSAUDITLINK__" localSheetId="15"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90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907__FDSAUDITLINK__" localSheetId="15"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90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908__FDSAUDITLINK__" localSheetId="15"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90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909__FDSAUDITLINK__" localSheetId="15"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90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91__FDSAUDITLINK__" localSheetId="15" hidden="1">{"fdsup://Directions/FactSet Auditing Viewer?action=AUDIT_VALUE&amp;DB=129&amp;ID1=25667710&amp;VALUEID=01001&amp;SDATE=200601&amp;PERIODTYPE=QTR_STD&amp;window=popup_no_bar&amp;width=385&amp;height=120&amp;START_MAXIMIZED=FALSE&amp;creator=factset&amp;display_string=Audit"}</definedName>
    <definedName name="_91__FDSAUDITLINK__" hidden="1">{"fdsup://Directions/FactSet Auditing Viewer?action=AUDIT_VALUE&amp;DB=129&amp;ID1=03783310&amp;VALUEID=04601&amp;SDATE=2006&amp;PERIODTYPE=ANN_STD&amp;window=popup_no_bar&amp;width=385&amp;height=120&amp;START_MAXIMIZED=FALSE&amp;creator=factset&amp;display_string=Audit"}</definedName>
    <definedName name="_910__FDSAUDITLINK__" localSheetId="15"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91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911__FDSAUDITLINK__" localSheetId="15"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91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912__FDSAUDITLINK__" localSheetId="15"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91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913__FDSAUDITLINK__" localSheetId="15"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91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914__FDSAUDITLINK__" localSheetId="15"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91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915__FDSAUDITLINK__" localSheetId="15"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91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916__FDSAUDITLINK__" localSheetId="15"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91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917__FDSAUDITLINK__" localSheetId="15"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91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918__FDSAUDITLINK__" localSheetId="15"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91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919__FDSAUDITLINK__" localSheetId="15"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91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92__FDSAUDITLINK__" localSheetId="15" hidden="1">{"fdsup://Directions/FactSet Auditing Viewer?action=AUDIT_VALUE&amp;DB=129&amp;ID1=07589610&amp;VALUEID=01001&amp;SDATE=200903&amp;PERIODTYPE=QTR_STD&amp;window=popup_no_bar&amp;width=385&amp;height=120&amp;START_MAXIMIZED=FALSE&amp;creator=factset&amp;display_string=Audit"}</definedName>
    <definedName name="_92__FDSAUDITLINK__" hidden="1">{"fdsup://Directions/FactSet Auditing Viewer?action=AUDIT_VALUE&amp;DB=129&amp;ID1=03783310&amp;VALUEID=01001&amp;SDATE=2007&amp;PERIODTYPE=ANN_STD&amp;window=popup_no_bar&amp;width=385&amp;height=120&amp;START_MAXIMIZED=FALSE&amp;creator=factset&amp;display_string=Audit"}</definedName>
    <definedName name="_920__FDSAUDITLINK__" localSheetId="15"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92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921__FDSAUDITLINK__" localSheetId="15"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92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922__FDSAUDITLINK__" localSheetId="15"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92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923__FDSAUDITLINK__" localSheetId="15"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92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924__FDSAUDITLINK__" localSheetId="15"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92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925__FDSAUDITLINK__" localSheetId="15"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92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926__FDSAUDITLINK__" localSheetId="15"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92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927__FDSAUDITLINK__" localSheetId="15"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92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928__FDSAUDITLINK__" localSheetId="15"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92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929__FDSAUDITLINK__" localSheetId="15"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92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93__FDSAUDITLINK__" localSheetId="15" hidden="1">{"fdsup://Directions/FactSet Auditing Viewer?action=AUDIT_VALUE&amp;DB=129&amp;ID1=07589610&amp;VALUEID=01001&amp;SDATE=200902&amp;PERIODTYPE=QTR_STD&amp;window=popup_no_bar&amp;width=385&amp;height=120&amp;START_MAXIMIZED=FALSE&amp;creator=factset&amp;display_string=Audit"}</definedName>
    <definedName name="_93__FDSAUDITLINK__" hidden="1">{"fdsup://Directions/FactSet Auditing Viewer?action=AUDIT_VALUE&amp;DB=129&amp;ID1=03783310&amp;VALUEID=04601&amp;SDATE=2007&amp;PERIODTYPE=ANN_STD&amp;window=popup_no_bar&amp;width=385&amp;height=120&amp;START_MAXIMIZED=FALSE&amp;creator=factset&amp;display_string=Audit"}</definedName>
    <definedName name="_930__FDSAUDITLINK__" localSheetId="15"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93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931__FDSAUDITLINK__" localSheetId="15" hidden="1">{"fdsup://directions/FAT Viewer?action=UPDATE&amp;creator=factset&amp;DYN_ARGS=TRUE&amp;DOC_NAME=FAT:FQL_AUDITING_CLIENT_TEMPLATE.FAT&amp;display_string=Audit&amp;VAR:KEY=TKVMRALGPI&amp;VAR:QUERY=RkZfUlRfU0ZfVE9UX0dST1NTKFFUUiwtMTYp&amp;WINDOW=FIRST_POPUP&amp;HEIGHT=450&amp;WIDTH=450&amp;START_MA","XIMIZED=FALSE&amp;VAR:CALENDAR=US&amp;VAR:SYMBOL=GYMB&amp;VAR:INDEX=0"}</definedName>
    <definedName name="_931__FDSAUDITLINK__" hidden="1">{"fdsup://directions/FAT Viewer?action=UPDATE&amp;creator=factset&amp;DYN_ARGS=TRUE&amp;DOC_NAME=FAT:FQL_AUDITING_CLIENT_TEMPLATE.FAT&amp;display_string=Audit&amp;VAR:KEY=TKVMRALGPI&amp;VAR:QUERY=RkZfUlRfU0ZfVE9UX0dST1NTKFFUUiwtMTYp&amp;WINDOW=FIRST_POPUP&amp;HEIGHT=450&amp;WIDTH=450&amp;START_MA","XIMIZED=FALSE&amp;VAR:CALENDAR=US&amp;VAR:SYMBOL=GYMB&amp;VAR:INDEX=0"}</definedName>
    <definedName name="_932__FDSAUDITLINK__" localSheetId="15" hidden="1">{"fdsup://directions/FAT Viewer?action=UPDATE&amp;creator=factset&amp;DYN_ARGS=TRUE&amp;DOC_NAME=FAT:FQL_AUDITING_CLIENT_TEMPLATE.FAT&amp;display_string=Audit&amp;VAR:KEY=XWBCDMJGPU&amp;VAR:QUERY=RkZfUlRfU0ZfVE9UX0dST1NTKFFUUiwtMTUp&amp;WINDOW=FIRST_POPUP&amp;HEIGHT=450&amp;WIDTH=450&amp;START_MA","XIMIZED=FALSE&amp;VAR:CALENDAR=US&amp;VAR:SYMBOL=GYMB&amp;VAR:INDEX=0"}</definedName>
    <definedName name="_932__FDSAUDITLINK__" hidden="1">{"fdsup://directions/FAT Viewer?action=UPDATE&amp;creator=factset&amp;DYN_ARGS=TRUE&amp;DOC_NAME=FAT:FQL_AUDITING_CLIENT_TEMPLATE.FAT&amp;display_string=Audit&amp;VAR:KEY=XWBCDMJGPU&amp;VAR:QUERY=RkZfUlRfU0ZfVE9UX0dST1NTKFFUUiwtMTUp&amp;WINDOW=FIRST_POPUP&amp;HEIGHT=450&amp;WIDTH=450&amp;START_MA","XIMIZED=FALSE&amp;VAR:CALENDAR=US&amp;VAR:SYMBOL=GYMB&amp;VAR:INDEX=0"}</definedName>
    <definedName name="_933__FDSAUDITLINK__" localSheetId="15" hidden="1">{"fdsup://directions/FAT Viewer?action=UPDATE&amp;creator=factset&amp;DYN_ARGS=TRUE&amp;DOC_NAME=FAT:FQL_AUDITING_CLIENT_TEMPLATE.FAT&amp;display_string=Audit&amp;VAR:KEY=JENWXOZCJS&amp;VAR:QUERY=RkZfUlRfU0ZfVE9UX0dST1NTKFFUUiwtMTQp&amp;WINDOW=FIRST_POPUP&amp;HEIGHT=450&amp;WIDTH=450&amp;START_MA","XIMIZED=FALSE&amp;VAR:CALENDAR=US&amp;VAR:SYMBOL=GYMB&amp;VAR:INDEX=0"}</definedName>
    <definedName name="_933__FDSAUDITLINK__" hidden="1">{"fdsup://directions/FAT Viewer?action=UPDATE&amp;creator=factset&amp;DYN_ARGS=TRUE&amp;DOC_NAME=FAT:FQL_AUDITING_CLIENT_TEMPLATE.FAT&amp;display_string=Audit&amp;VAR:KEY=JENWXOZCJS&amp;VAR:QUERY=RkZfUlRfU0ZfVE9UX0dST1NTKFFUUiwtMTQp&amp;WINDOW=FIRST_POPUP&amp;HEIGHT=450&amp;WIDTH=450&amp;START_MA","XIMIZED=FALSE&amp;VAR:CALENDAR=US&amp;VAR:SYMBOL=GYMB&amp;VAR:INDEX=0"}</definedName>
    <definedName name="_934__FDSAUDITLINK__" localSheetId="15"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93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935__FDSAUDITLINK__" localSheetId="15" hidden="1">{"fdsup://directions/FAT Viewer?action=UPDATE&amp;creator=factset&amp;DYN_ARGS=TRUE&amp;DOC_NAME=FAT:FQL_AUDITING_CLIENT_TEMPLATE.FAT&amp;display_string=Audit&amp;VAR:KEY=DWXWHUPIHW&amp;VAR:QUERY=RkZfUlRfU0ZfVE9UX0dST1NTKFFUUiwtMTIp&amp;WINDOW=FIRST_POPUP&amp;HEIGHT=450&amp;WIDTH=450&amp;START_MA","XIMIZED=FALSE&amp;VAR:CALENDAR=US&amp;VAR:SYMBOL=GYMB&amp;VAR:INDEX=0"}</definedName>
    <definedName name="_935__FDSAUDITLINK__" hidden="1">{"fdsup://directions/FAT Viewer?action=UPDATE&amp;creator=factset&amp;DYN_ARGS=TRUE&amp;DOC_NAME=FAT:FQL_AUDITING_CLIENT_TEMPLATE.FAT&amp;display_string=Audit&amp;VAR:KEY=DWXWHUPIHW&amp;VAR:QUERY=RkZfUlRfU0ZfVE9UX0dST1NTKFFUUiwtMTIp&amp;WINDOW=FIRST_POPUP&amp;HEIGHT=450&amp;WIDTH=450&amp;START_MA","XIMIZED=FALSE&amp;VAR:CALENDAR=US&amp;VAR:SYMBOL=GYMB&amp;VAR:INDEX=0"}</definedName>
    <definedName name="_936__FDSAUDITLINK__" localSheetId="15" hidden="1">{"fdsup://directions/FAT Viewer?action=UPDATE&amp;creator=factset&amp;DYN_ARGS=TRUE&amp;DOC_NAME=FAT:FQL_AUDITING_CLIENT_TEMPLATE.FAT&amp;display_string=Audit&amp;VAR:KEY=NQVAXKPMVA&amp;VAR:QUERY=RkZfUlRfU0ZfVE9UX0dST1NTKFFUUiwtMTEp&amp;WINDOW=FIRST_POPUP&amp;HEIGHT=450&amp;WIDTH=450&amp;START_MA","XIMIZED=FALSE&amp;VAR:CALENDAR=US&amp;VAR:SYMBOL=GYMB&amp;VAR:INDEX=0"}</definedName>
    <definedName name="_936__FDSAUDITLINK__" hidden="1">{"fdsup://directions/FAT Viewer?action=UPDATE&amp;creator=factset&amp;DYN_ARGS=TRUE&amp;DOC_NAME=FAT:FQL_AUDITING_CLIENT_TEMPLATE.FAT&amp;display_string=Audit&amp;VAR:KEY=NQVAXKPMVA&amp;VAR:QUERY=RkZfUlRfU0ZfVE9UX0dST1NTKFFUUiwtMTEp&amp;WINDOW=FIRST_POPUP&amp;HEIGHT=450&amp;WIDTH=450&amp;START_MA","XIMIZED=FALSE&amp;VAR:CALENDAR=US&amp;VAR:SYMBOL=GYMB&amp;VAR:INDEX=0"}</definedName>
    <definedName name="_937__FDSAUDITLINK__" localSheetId="15" hidden="1">{"fdsup://directions/FAT Viewer?action=UPDATE&amp;creator=factset&amp;DYN_ARGS=TRUE&amp;DOC_NAME=FAT:FQL_AUDITING_CLIENT_TEMPLATE.FAT&amp;display_string=Audit&amp;VAR:KEY=ZONMZAPSJI&amp;VAR:QUERY=RkZfUlRfU0ZfVE9UX0dST1NTKFFUUiwtMTAp&amp;WINDOW=FIRST_POPUP&amp;HEIGHT=450&amp;WIDTH=450&amp;START_MA","XIMIZED=FALSE&amp;VAR:CALENDAR=US&amp;VAR:SYMBOL=GYMB&amp;VAR:INDEX=0"}</definedName>
    <definedName name="_937__FDSAUDITLINK__" hidden="1">{"fdsup://directions/FAT Viewer?action=UPDATE&amp;creator=factset&amp;DYN_ARGS=TRUE&amp;DOC_NAME=FAT:FQL_AUDITING_CLIENT_TEMPLATE.FAT&amp;display_string=Audit&amp;VAR:KEY=ZONMZAPSJI&amp;VAR:QUERY=RkZfUlRfU0ZfVE9UX0dST1NTKFFUUiwtMTAp&amp;WINDOW=FIRST_POPUP&amp;HEIGHT=450&amp;WIDTH=450&amp;START_MA","XIMIZED=FALSE&amp;VAR:CALENDAR=US&amp;VAR:SYMBOL=GYMB&amp;VAR:INDEX=0"}</definedName>
    <definedName name="_938__FDSAUDITLINK__" localSheetId="15"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93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939__FDSAUDITLINK__" localSheetId="15" hidden="1">{"fdsup://directions/FAT Viewer?action=UPDATE&amp;creator=factset&amp;DYN_ARGS=TRUE&amp;DOC_NAME=FAT:FQL_AUDITING_CLIENT_TEMPLATE.FAT&amp;display_string=Audit&amp;VAR:KEY=TSDWNSLQPS&amp;VAR:QUERY=RkZfUlRfU0ZfVE9UX0dST1NTKFFUUiwtOCk=&amp;WINDOW=FIRST_POPUP&amp;HEIGHT=450&amp;WIDTH=450&amp;START_MA","XIMIZED=FALSE&amp;VAR:CALENDAR=US&amp;VAR:SYMBOL=GYMB&amp;VAR:INDEX=0"}</definedName>
    <definedName name="_939__FDSAUDITLINK__" hidden="1">{"fdsup://directions/FAT Viewer?action=UPDATE&amp;creator=factset&amp;DYN_ARGS=TRUE&amp;DOC_NAME=FAT:FQL_AUDITING_CLIENT_TEMPLATE.FAT&amp;display_string=Audit&amp;VAR:KEY=TSDWNSLQPS&amp;VAR:QUERY=RkZfUlRfU0ZfVE9UX0dST1NTKFFUUiwtOCk=&amp;WINDOW=FIRST_POPUP&amp;HEIGHT=450&amp;WIDTH=450&amp;START_MA","XIMIZED=FALSE&amp;VAR:CALENDAR=US&amp;VAR:SYMBOL=GYMB&amp;VAR:INDEX=0"}</definedName>
    <definedName name="_94__FDSAUDITLINK__" localSheetId="15" hidden="1">{"fdsup://Directions/FactSet Auditing Viewer?action=AUDIT_VALUE&amp;DB=129&amp;ID1=07589610&amp;VALUEID=01001&amp;SDATE=200901&amp;PERIODTYPE=QTR_STD&amp;window=popup_no_bar&amp;width=385&amp;height=120&amp;START_MAXIMIZED=FALSE&amp;creator=factset&amp;display_string=Audit"}</definedName>
    <definedName name="_94__FDSAUDITLINK__" hidden="1">{"fdsup://Directions/FactSet Auditing Viewer?action=AUDIT_VALUE&amp;DB=129&amp;ID1=03783310&amp;VALUEID=01001&amp;SDATE=2008&amp;PERIODTYPE=ANN_STD&amp;window=popup_no_bar&amp;width=385&amp;height=120&amp;START_MAXIMIZED=FALSE&amp;creator=factset&amp;display_string=Audit"}</definedName>
    <definedName name="_940__FDSAUDITLINK__" localSheetId="15"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940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941__FDSAUDITLINK__" localSheetId="15"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94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942__FDSAUDITLINK__" localSheetId="15"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94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943__FDSAUDITLINK__" localSheetId="15"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943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944__FDSAUDITLINK__" localSheetId="15" hidden="1">{"fdsup://directions/FAT Viewer?action=UPDATE&amp;creator=factset&amp;DYN_ARGS=TRUE&amp;DOC_NAME=FAT:FQL_AUDITING_CLIENT_TEMPLATE.FAT&amp;display_string=Audit&amp;VAR:KEY=VSNOZWVYLU&amp;VAR:QUERY=RkZfUlRfU0ZfVE9UX0dST1NTKFFUUiwtMyk=&amp;WINDOW=FIRST_POPUP&amp;HEIGHT=450&amp;WIDTH=450&amp;START_MA","XIMIZED=FALSE&amp;VAR:CALENDAR=US&amp;VAR:SYMBOL=GYMB&amp;VAR:INDEX=0"}</definedName>
    <definedName name="_944__FDSAUDITLINK__" hidden="1">{"fdsup://directions/FAT Viewer?action=UPDATE&amp;creator=factset&amp;DYN_ARGS=TRUE&amp;DOC_NAME=FAT:FQL_AUDITING_CLIENT_TEMPLATE.FAT&amp;display_string=Audit&amp;VAR:KEY=VSNOZWVYLU&amp;VAR:QUERY=RkZfUlRfU0ZfVE9UX0dST1NTKFFUUiwtMyk=&amp;WINDOW=FIRST_POPUP&amp;HEIGHT=450&amp;WIDTH=450&amp;START_MA","XIMIZED=FALSE&amp;VAR:CALENDAR=US&amp;VAR:SYMBOL=GYMB&amp;VAR:INDEX=0"}</definedName>
    <definedName name="_945__FDSAUDITLINK__" localSheetId="15" hidden="1">{"fdsup://directions/FAT Viewer?action=UPDATE&amp;creator=factset&amp;DYN_ARGS=TRUE&amp;DOC_NAME=FAT:FQL_AUDITING_CLIENT_TEMPLATE.FAT&amp;display_string=Audit&amp;VAR:KEY=PKPWPYPSJW&amp;VAR:QUERY=RkZfUlRfU0ZfVE9UX0dST1NTKFFUUiwtMik=&amp;WINDOW=FIRST_POPUP&amp;HEIGHT=450&amp;WIDTH=450&amp;START_MA","XIMIZED=FALSE&amp;VAR:CALENDAR=US&amp;VAR:SYMBOL=GYMB&amp;VAR:INDEX=0"}</definedName>
    <definedName name="_945__FDSAUDITLINK__" hidden="1">{"fdsup://directions/FAT Viewer?action=UPDATE&amp;creator=factset&amp;DYN_ARGS=TRUE&amp;DOC_NAME=FAT:FQL_AUDITING_CLIENT_TEMPLATE.FAT&amp;display_string=Audit&amp;VAR:KEY=PKPWPYPSJW&amp;VAR:QUERY=RkZfUlRfU0ZfVE9UX0dST1NTKFFUUiwtMik=&amp;WINDOW=FIRST_POPUP&amp;HEIGHT=450&amp;WIDTH=450&amp;START_MA","XIMIZED=FALSE&amp;VAR:CALENDAR=US&amp;VAR:SYMBOL=GYMB&amp;VAR:INDEX=0"}</definedName>
    <definedName name="_946__FDSAUDITLINK__" localSheetId="15" hidden="1">{"fdsup://directions/FAT Viewer?action=UPDATE&amp;creator=factset&amp;DYN_ARGS=TRUE&amp;DOC_NAME=FAT:FQL_AUDITING_CLIENT_TEMPLATE.FAT&amp;display_string=Audit&amp;VAR:KEY=XSVCHMLSHM&amp;VAR:QUERY=RkZfUlRfU0ZfVE9UX0dST1NTKFFUUiwtMSk=&amp;WINDOW=FIRST_POPUP&amp;HEIGHT=450&amp;WIDTH=450&amp;START_MA","XIMIZED=FALSE&amp;VAR:CALENDAR=US&amp;VAR:SYMBOL=GYMB&amp;VAR:INDEX=0"}</definedName>
    <definedName name="_946__FDSAUDITLINK__" hidden="1">{"fdsup://directions/FAT Viewer?action=UPDATE&amp;creator=factset&amp;DYN_ARGS=TRUE&amp;DOC_NAME=FAT:FQL_AUDITING_CLIENT_TEMPLATE.FAT&amp;display_string=Audit&amp;VAR:KEY=XSVCHMLSHM&amp;VAR:QUERY=RkZfUlRfU0ZfVE9UX0dST1NTKFFUUiwtMSk=&amp;WINDOW=FIRST_POPUP&amp;HEIGHT=450&amp;WIDTH=450&amp;START_MA","XIMIZED=FALSE&amp;VAR:CALENDAR=US&amp;VAR:SYMBOL=GYMB&amp;VAR:INDEX=0"}</definedName>
    <definedName name="_947__FDSAUDITLINK__" localSheetId="15" hidden="1">{"fdsup://directions/FAT Viewer?action=UPDATE&amp;creator=factset&amp;DYN_ARGS=TRUE&amp;DOC_NAME=FAT:FQL_AUDITING_CLIENT_TEMPLATE.FAT&amp;display_string=Audit&amp;VAR:KEY=DYNCLOXCRA&amp;VAR:QUERY=RkZfUlRfU0ZfVE9UX0dST1NTKFFUUiwwKQ==&amp;WINDOW=FIRST_POPUP&amp;HEIGHT=450&amp;WIDTH=450&amp;START_MA","XIMIZED=FALSE&amp;VAR:CALENDAR=US&amp;VAR:SYMBOL=GYMB&amp;VAR:INDEX=0"}</definedName>
    <definedName name="_947__FDSAUDITLINK__" hidden="1">{"fdsup://directions/FAT Viewer?action=UPDATE&amp;creator=factset&amp;DYN_ARGS=TRUE&amp;DOC_NAME=FAT:FQL_AUDITING_CLIENT_TEMPLATE.FAT&amp;display_string=Audit&amp;VAR:KEY=DYNCLOXCRA&amp;VAR:QUERY=RkZfUlRfU0ZfVE9UX0dST1NTKFFUUiwwKQ==&amp;WINDOW=FIRST_POPUP&amp;HEIGHT=450&amp;WIDTH=450&amp;START_MA","XIMIZED=FALSE&amp;VAR:CALENDAR=US&amp;VAR:SYMBOL=GYMB&amp;VAR:INDEX=0"}</definedName>
    <definedName name="_948__FDSAUDITLINK__" localSheetId="15" hidden="1">{"fdsup://Directions/FactSet Auditing Viewer?action=AUDIT_VALUE&amp;DB=129&amp;ID1=53271610&amp;VALUEID=13040&amp;SDATE=200601&amp;PERIODTYPE=QTR_STD&amp;window=popup_no_bar&amp;width=385&amp;height=120&amp;START_MAXIMIZED=FALSE&amp;creator=factset&amp;display_string=Audit"}</definedName>
    <definedName name="_94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949__FDSAUDITLINK__" localSheetId="15" hidden="1">{"fdsup://Directions/FactSet Auditing Viewer?action=AUDIT_VALUE&amp;DB=129&amp;ID1=53271610&amp;VALUEID=01001&amp;SDATE=200601&amp;PERIODTYPE=QTR_STD&amp;window=popup_no_bar&amp;width=385&amp;height=120&amp;START_MAXIMIZED=FALSE&amp;creator=factset&amp;display_string=Audit"}</definedName>
    <definedName name="_949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95__FDSAUDITLINK__" localSheetId="15" hidden="1">{"fdsup://Directions/FactSet Auditing Viewer?action=AUDIT_VALUE&amp;DB=129&amp;ID1=07589610&amp;VALUEID=01001&amp;SDATE=200804&amp;PERIODTYPE=QTR_STD&amp;window=popup_no_bar&amp;width=385&amp;height=120&amp;START_MAXIMIZED=FALSE&amp;creator=factset&amp;display_string=Audit"}</definedName>
    <definedName name="_95__FDSAUDITLINK__" hidden="1">{"fdsup://Directions/FactSet Auditing Viewer?action=AUDIT_VALUE&amp;DB=129&amp;ID1=03783310&amp;VALUEID=04601&amp;SDATE=2008&amp;PERIODTYPE=ANN_STD&amp;window=popup_no_bar&amp;width=385&amp;height=120&amp;START_MAXIMIZED=FALSE&amp;creator=factset&amp;display_string=Audit"}</definedName>
    <definedName name="_950__FDSAUDITLINK__" localSheetId="15" hidden="1">{"fdsup://Directions/FactSet Auditing Viewer?action=AUDIT_VALUE&amp;DB=129&amp;ID1=53271610&amp;VALUEID=02101&amp;SDATE=200601&amp;PERIODTYPE=QTR_STD&amp;window=popup_no_bar&amp;width=385&amp;height=120&amp;START_MAXIMIZED=FALSE&amp;creator=factset&amp;display_string=Audit"}</definedName>
    <definedName name="_950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951__FDSAUDITLINK__" localSheetId="15" hidden="1">{"fdsup://Directions/FactSet Auditing Viewer?action=AUDIT_VALUE&amp;DB=129&amp;ID1=53271610&amp;VALUEID=13040&amp;SDATE=200602&amp;PERIODTYPE=QTR_STD&amp;window=popup_no_bar&amp;width=385&amp;height=120&amp;START_MAXIMIZED=FALSE&amp;creator=factset&amp;display_string=Audit"}</definedName>
    <definedName name="_95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952__FDSAUDITLINK__" localSheetId="15" hidden="1">{"fdsup://Directions/FactSet Auditing Viewer?action=AUDIT_VALUE&amp;DB=129&amp;ID1=53271610&amp;VALUEID=01001&amp;SDATE=200602&amp;PERIODTYPE=QTR_STD&amp;window=popup_no_bar&amp;width=385&amp;height=120&amp;START_MAXIMIZED=FALSE&amp;creator=factset&amp;display_string=Audit"}</definedName>
    <definedName name="_952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953__FDSAUDITLINK__" localSheetId="15" hidden="1">{"fdsup://Directions/FactSet Auditing Viewer?action=AUDIT_VALUE&amp;DB=129&amp;ID1=53271610&amp;VALUEID=02101&amp;SDATE=200602&amp;PERIODTYPE=QTR_STD&amp;window=popup_no_bar&amp;width=385&amp;height=120&amp;START_MAXIMIZED=FALSE&amp;creator=factset&amp;display_string=Audit"}</definedName>
    <definedName name="_953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954__FDSAUDITLINK__" localSheetId="15" hidden="1">{"fdsup://Directions/FactSet Auditing Viewer?action=AUDIT_VALUE&amp;DB=129&amp;ID1=53271610&amp;VALUEID=13040&amp;SDATE=200603&amp;PERIODTYPE=QTR_STD&amp;window=popup_no_bar&amp;width=385&amp;height=120&amp;START_MAXIMIZED=FALSE&amp;creator=factset&amp;display_string=Audit"}</definedName>
    <definedName name="_95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955__FDSAUDITLINK__" localSheetId="15" hidden="1">{"fdsup://Directions/FactSet Auditing Viewer?action=AUDIT_VALUE&amp;DB=129&amp;ID1=53271610&amp;VALUEID=01001&amp;SDATE=200603&amp;PERIODTYPE=QTR_STD&amp;window=popup_no_bar&amp;width=385&amp;height=120&amp;START_MAXIMIZED=FALSE&amp;creator=factset&amp;display_string=Audit"}</definedName>
    <definedName name="_955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956__FDSAUDITLINK__" localSheetId="15" hidden="1">{"fdsup://Directions/FactSet Auditing Viewer?action=AUDIT_VALUE&amp;DB=129&amp;ID1=53271610&amp;VALUEID=02101&amp;SDATE=200603&amp;PERIODTYPE=QTR_STD&amp;window=popup_no_bar&amp;width=385&amp;height=120&amp;START_MAXIMIZED=FALSE&amp;creator=factset&amp;display_string=Audit"}</definedName>
    <definedName name="_956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957__FDSAUDITLINK__" localSheetId="15" hidden="1">{"fdsup://Directions/FactSet Auditing Viewer?action=AUDIT_VALUE&amp;DB=129&amp;ID1=53271610&amp;VALUEID=13040&amp;SDATE=200701&amp;PERIODTYPE=QTR_STD&amp;window=popup_no_bar&amp;width=385&amp;height=120&amp;START_MAXIMIZED=FALSE&amp;creator=factset&amp;display_string=Audit"}</definedName>
    <definedName name="_95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958__FDSAUDITLINK__" localSheetId="15" hidden="1">{"fdsup://Directions/FactSet Auditing Viewer?action=AUDIT_VALUE&amp;DB=129&amp;ID1=53271610&amp;VALUEID=01001&amp;SDATE=200701&amp;PERIODTYPE=QTR_STD&amp;window=popup_no_bar&amp;width=385&amp;height=120&amp;START_MAXIMIZED=FALSE&amp;creator=factset&amp;display_string=Audit"}</definedName>
    <definedName name="_95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959__FDSAUDITLINK__" localSheetId="15" hidden="1">{"fdsup://Directions/FactSet Auditing Viewer?action=AUDIT_VALUE&amp;DB=129&amp;ID1=53271610&amp;VALUEID=02101&amp;SDATE=200701&amp;PERIODTYPE=QTR_STD&amp;window=popup_no_bar&amp;width=385&amp;height=120&amp;START_MAXIMIZED=FALSE&amp;creator=factset&amp;display_string=Audit"}</definedName>
    <definedName name="_959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96__FDSAUDITLINK__" localSheetId="15" hidden="1">{"fdsup://Directions/FactSet Auditing Viewer?action=AUDIT_VALUE&amp;DB=129&amp;ID1=07589610&amp;VALUEID=01001&amp;SDATE=200803&amp;PERIODTYPE=QTR_STD&amp;window=popup_no_bar&amp;width=385&amp;height=120&amp;START_MAXIMIZED=FALSE&amp;creator=factset&amp;display_string=Audit"}</definedName>
    <definedName name="_96__FDSAUDITLINK__" hidden="1">{"fdsup://Directions/FactSet Auditing Viewer?action=AUDIT_VALUE&amp;DB=129&amp;ID1=03783310&amp;VALUEID=01001&amp;SDATE=2009&amp;PERIODTYPE=ANN_STD&amp;window=popup_no_bar&amp;width=385&amp;height=120&amp;START_MAXIMIZED=FALSE&amp;creator=factset&amp;display_string=Audit"}</definedName>
    <definedName name="_960__FDSAUDITLINK__" localSheetId="15" hidden="1">{"fdsup://Directions/FactSet Auditing Viewer?action=AUDIT_VALUE&amp;DB=129&amp;ID1=53271610&amp;VALUEID=13040&amp;SDATE=200702&amp;PERIODTYPE=QTR_STD&amp;window=popup_no_bar&amp;width=385&amp;height=120&amp;START_MAXIMIZED=FALSE&amp;creator=factset&amp;display_string=Audit"}</definedName>
    <definedName name="_96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961__FDSAUDITLINK__" localSheetId="15" hidden="1">{"fdsup://Directions/FactSet Auditing Viewer?action=AUDIT_VALUE&amp;DB=129&amp;ID1=53271610&amp;VALUEID=01001&amp;SDATE=200702&amp;PERIODTYPE=QTR_STD&amp;window=popup_no_bar&amp;width=385&amp;height=120&amp;START_MAXIMIZED=FALSE&amp;creator=factset&amp;display_string=Audit"}</definedName>
    <definedName name="_961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962__FDSAUDITLINK__" localSheetId="15" hidden="1">{"fdsup://Directions/FactSet Auditing Viewer?action=AUDIT_VALUE&amp;DB=129&amp;ID1=53271610&amp;VALUEID=02101&amp;SDATE=200702&amp;PERIODTYPE=QTR_STD&amp;window=popup_no_bar&amp;width=385&amp;height=120&amp;START_MAXIMIZED=FALSE&amp;creator=factset&amp;display_string=Audit"}</definedName>
    <definedName name="_96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963__FDSAUDITLINK__" localSheetId="15" hidden="1">{"fdsup://Directions/FactSet Auditing Viewer?action=AUDIT_VALUE&amp;DB=129&amp;ID1=53271610&amp;VALUEID=13040&amp;SDATE=200703&amp;PERIODTYPE=QTR_STD&amp;window=popup_no_bar&amp;width=385&amp;height=120&amp;START_MAXIMIZED=FALSE&amp;creator=factset&amp;display_string=Audit"}</definedName>
    <definedName name="_96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964__FDSAUDITLINK__" localSheetId="15" hidden="1">{"fdsup://Directions/FactSet Auditing Viewer?action=AUDIT_VALUE&amp;DB=129&amp;ID1=53271610&amp;VALUEID=01001&amp;SDATE=200703&amp;PERIODTYPE=QTR_STD&amp;window=popup_no_bar&amp;width=385&amp;height=120&amp;START_MAXIMIZED=FALSE&amp;creator=factset&amp;display_string=Audit"}</definedName>
    <definedName name="_964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965__FDSAUDITLINK__" localSheetId="15" hidden="1">{"fdsup://Directions/FactSet Auditing Viewer?action=AUDIT_VALUE&amp;DB=129&amp;ID1=53271610&amp;VALUEID=02101&amp;SDATE=200703&amp;PERIODTYPE=QTR_STD&amp;window=popup_no_bar&amp;width=385&amp;height=120&amp;START_MAXIMIZED=FALSE&amp;creator=factset&amp;display_string=Audit"}</definedName>
    <definedName name="_96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966__FDSAUDITLINK__" localSheetId="15" hidden="1">{"fdsup://Directions/FactSet Auditing Viewer?action=AUDIT_VALUE&amp;DB=129&amp;ID1=53271610&amp;VALUEID=13040&amp;SDATE=200801&amp;PERIODTYPE=QTR_STD&amp;window=popup_no_bar&amp;width=385&amp;height=120&amp;START_MAXIMIZED=FALSE&amp;creator=factset&amp;display_string=Audit"}</definedName>
    <definedName name="_96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967__FDSAUDITLINK__" localSheetId="15" hidden="1">{"fdsup://Directions/FactSet Auditing Viewer?action=AUDIT_VALUE&amp;DB=129&amp;ID1=53271610&amp;VALUEID=01001&amp;SDATE=200801&amp;PERIODTYPE=QTR_STD&amp;window=popup_no_bar&amp;width=385&amp;height=120&amp;START_MAXIMIZED=FALSE&amp;creator=factset&amp;display_string=Audit"}</definedName>
    <definedName name="_96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968__FDSAUDITLINK__" localSheetId="15" hidden="1">{"fdsup://Directions/FactSet Auditing Viewer?action=AUDIT_VALUE&amp;DB=129&amp;ID1=53271610&amp;VALUEID=02101&amp;SDATE=200801&amp;PERIODTYPE=QTR_STD&amp;window=popup_no_bar&amp;width=385&amp;height=120&amp;START_MAXIMIZED=FALSE&amp;creator=factset&amp;display_string=Audit"}</definedName>
    <definedName name="_96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969__FDSAUDITLINK__" localSheetId="15" hidden="1">{"fdsup://Directions/FactSet Auditing Viewer?action=AUDIT_VALUE&amp;DB=129&amp;ID1=53271610&amp;VALUEID=13040&amp;SDATE=200802&amp;PERIODTYPE=QTR_STD&amp;window=popup_no_bar&amp;width=385&amp;height=120&amp;START_MAXIMIZED=FALSE&amp;creator=factset&amp;display_string=Audit"}</definedName>
    <definedName name="_96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97__FDSAUDITLINK__" localSheetId="15" hidden="1">{"fdsup://Directions/FactSet Auditing Viewer?action=AUDIT_VALUE&amp;DB=129&amp;ID1=07589610&amp;VALUEID=01001&amp;SDATE=200802&amp;PERIODTYPE=QTR_STD&amp;window=popup_no_bar&amp;width=385&amp;height=120&amp;START_MAXIMIZED=FALSE&amp;creator=factset&amp;display_string=Audit"}</definedName>
    <definedName name="_97__FDSAUDITLINK__" hidden="1">{"fdsup://Directions/FactSet Auditing Viewer?action=AUDIT_VALUE&amp;DB=129&amp;ID1=03783310&amp;VALUEID=04601&amp;SDATE=2009&amp;PERIODTYPE=ANN_STD&amp;window=popup_no_bar&amp;width=385&amp;height=120&amp;START_MAXIMIZED=FALSE&amp;creator=factset&amp;display_string=Audit"}</definedName>
    <definedName name="_970__FDSAUDITLINK__" localSheetId="15" hidden="1">{"fdsup://Directions/FactSet Auditing Viewer?action=AUDIT_VALUE&amp;DB=129&amp;ID1=53271610&amp;VALUEID=01001&amp;SDATE=200802&amp;PERIODTYPE=QTR_STD&amp;window=popup_no_bar&amp;width=385&amp;height=120&amp;START_MAXIMIZED=FALSE&amp;creator=factset&amp;display_string=Audit"}</definedName>
    <definedName name="_97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971__FDSAUDITLINK__" localSheetId="15" hidden="1">{"fdsup://Directions/FactSet Auditing Viewer?action=AUDIT_VALUE&amp;DB=129&amp;ID1=53271610&amp;VALUEID=02101&amp;SDATE=200802&amp;PERIODTYPE=QTR_STD&amp;window=popup_no_bar&amp;width=385&amp;height=120&amp;START_MAXIMIZED=FALSE&amp;creator=factset&amp;display_string=Audit"}</definedName>
    <definedName name="_97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972__FDSAUDITLINK__" localSheetId="15" hidden="1">{"fdsup://Directions/FactSet Auditing Viewer?action=AUDIT_VALUE&amp;DB=129&amp;ID1=53271610&amp;VALUEID=13040&amp;SDATE=200901&amp;PERIODTYPE=QTR_STD&amp;window=popup_no_bar&amp;width=385&amp;height=120&amp;START_MAXIMIZED=FALSE&amp;creator=factset&amp;display_string=Audit"}</definedName>
    <definedName name="_972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73__FDSAUDITLINK__" localSheetId="15" hidden="1">{"fdsup://Directions/FactSet Auditing Viewer?action=AUDIT_VALUE&amp;DB=129&amp;ID1=53271610&amp;VALUEID=13040&amp;SDATE=200902&amp;PERIODTYPE=QTR_STD&amp;window=popup_no_bar&amp;width=385&amp;height=120&amp;START_MAXIMIZED=FALSE&amp;creator=factset&amp;display_string=Audit"}</definedName>
    <definedName name="_97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974__FDSAUDITLINK__" localSheetId="15" hidden="1">{"fdsup://Directions/FactSet Auditing Viewer?action=AUDIT_VALUE&amp;DB=129&amp;ID1=53271610&amp;VALUEID=01001&amp;SDATE=200902&amp;PERIODTYPE=QTR_STD&amp;window=popup_no_bar&amp;width=385&amp;height=120&amp;START_MAXIMIZED=FALSE&amp;creator=factset&amp;display_string=Audit"}</definedName>
    <definedName name="_974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975__FDSAUDITLINK__" localSheetId="15" hidden="1">{"fdsup://Directions/FactSet Auditing Viewer?action=AUDIT_VALUE&amp;DB=129&amp;ID1=53271610&amp;VALUEID=02101&amp;SDATE=200902&amp;PERIODTYPE=QTR_STD&amp;window=popup_no_bar&amp;width=385&amp;height=120&amp;START_MAXIMIZED=FALSE&amp;creator=factset&amp;display_string=Audit"}</definedName>
    <definedName name="_97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976__FDSAUDITLINK__" localSheetId="15" hidden="1">{"fdsup://Directions/FactSet Auditing Viewer?action=AUDIT_VALUE&amp;DB=129&amp;ID1=53271610&amp;VALUEID=13040&amp;SDATE=200903&amp;PERIODTYPE=QTR_STD&amp;window=popup_no_bar&amp;width=385&amp;height=120&amp;START_MAXIMIZED=FALSE&amp;creator=factset&amp;display_string=Audit"}</definedName>
    <definedName name="_97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977__FDSAUDITLINK__" localSheetId="15" hidden="1">{"fdsup://Directions/FactSet Auditing Viewer?action=AUDIT_VALUE&amp;DB=129&amp;ID1=53271610&amp;VALUEID=01001&amp;SDATE=200903&amp;PERIODTYPE=QTR_STD&amp;window=popup_no_bar&amp;width=385&amp;height=120&amp;START_MAXIMIZED=FALSE&amp;creator=factset&amp;display_string=Audit"}</definedName>
    <definedName name="_977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978__FDSAUDITLINK__" localSheetId="15" hidden="1">{"fdsup://Directions/FactSet Auditing Viewer?action=AUDIT_VALUE&amp;DB=129&amp;ID1=53271610&amp;VALUEID=02101&amp;SDATE=200903&amp;PERIODTYPE=QTR_STD&amp;window=popup_no_bar&amp;width=385&amp;height=120&amp;START_MAXIMIZED=FALSE&amp;creator=factset&amp;display_string=Audit"}</definedName>
    <definedName name="_9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979__FDSAUDITLINK__" localSheetId="15" hidden="1">{"fdsup://Directions/FactSet Auditing Viewer?action=AUDIT_VALUE&amp;DB=129&amp;ID1=53271610&amp;VALUEID=13040&amp;SDATE=201001&amp;PERIODTYPE=QTR_STD&amp;window=popup_no_bar&amp;width=385&amp;height=120&amp;START_MAXIMIZED=FALSE&amp;creator=factset&amp;display_string=Audit"}</definedName>
    <definedName name="_97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__FDSAUDITLINK__" localSheetId="15" hidden="1">{"fdsup://Directions/FactSet Auditing Viewer?action=AUDIT_VALUE&amp;DB=129&amp;ID1=07589610&amp;VALUEID=01001&amp;SDATE=200801&amp;PERIODTYPE=QTR_STD&amp;window=popup_no_bar&amp;width=385&amp;height=120&amp;START_MAXIMIZED=FALSE&amp;creator=factset&amp;display_string=Audit"}</definedName>
    <definedName name="_98__FDSAUDITLINK__" hidden="1">{"fdsup://Directions/FactSet Auditing Viewer?action=AUDIT_VALUE&amp;DB=129&amp;ID1=86923310&amp;VALUEID=01001&amp;SDATE=2006&amp;PERIODTYPE=ANN_STD&amp;window=popup_no_bar&amp;width=385&amp;height=120&amp;START_MAXIMIZED=FALSE&amp;creator=factset&amp;display_string=Audit"}</definedName>
    <definedName name="_980__FDSAUDITLINK__" localSheetId="15" hidden="1">{"fdsup://Directions/FactSet Auditing Viewer?action=AUDIT_VALUE&amp;DB=129&amp;ID1=53271610&amp;VALUEID=01001&amp;SDATE=201001&amp;PERIODTYPE=QTR_STD&amp;window=popup_no_bar&amp;width=385&amp;height=120&amp;START_MAXIMIZED=FALSE&amp;creator=factset&amp;display_string=Audit"}</definedName>
    <definedName name="_98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981__FDSAUDITLINK__" localSheetId="15" hidden="1">{"fdsup://Directions/FactSet Auditing Viewer?action=AUDIT_VALUE&amp;DB=129&amp;ID1=53271610&amp;VALUEID=02101&amp;SDATE=201001&amp;PERIODTYPE=QTR_STD&amp;window=popup_no_bar&amp;width=385&amp;height=120&amp;START_MAXIMIZED=FALSE&amp;creator=factset&amp;display_string=Audit"}</definedName>
    <definedName name="_981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2__FDSAUDITLINK__" localSheetId="15" hidden="1">{"fdsup://Directions/FactSet Auditing Viewer?action=AUDIT_VALUE&amp;DB=129&amp;ID1=87416110&amp;VALUEID=02101&amp;SDATE=201001&amp;PERIODTYPE=QTR_STD&amp;window=popup_no_bar&amp;width=385&amp;height=120&amp;START_MAXIMIZED=FALSE&amp;creator=factset&amp;display_string=Audit"}</definedName>
    <definedName name="_982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983__FDSAUDITLINK__" localSheetId="15" hidden="1">{"fdsup://Directions/FactSet Auditing Viewer?action=AUDIT_VALUE&amp;DB=129&amp;ID1=87416110&amp;VALUEID=13040&amp;SDATE=201001&amp;PERIODTYPE=QTR_STD&amp;window=popup_no_bar&amp;width=385&amp;height=120&amp;START_MAXIMIZED=FALSE&amp;creator=factset&amp;display_string=Audit"}</definedName>
    <definedName name="_983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984__FDSAUDITLINK__" localSheetId="15"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984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985__FDSAUDITLINK__" localSheetId="15" hidden="1">{"fdsup://Directions/FactSet Auditing Viewer?action=AUDIT_VALUE&amp;DB=129&amp;ID1=53271610&amp;VALUEID=02101&amp;SDATE=201001&amp;PERIODTYPE=QTR_STD&amp;window=popup_no_bar&amp;width=385&amp;height=120&amp;START_MAXIMIZED=FALSE&amp;creator=factset&amp;display_string=Audit"}</definedName>
    <definedName name="_985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6__FDSAUDITLINK__" localSheetId="15" hidden="1">{"fdsup://Directions/FactSet Auditing Viewer?action=AUDIT_VALUE&amp;DB=129&amp;ID1=53271610&amp;VALUEID=13040&amp;SDATE=201001&amp;PERIODTYPE=QTR_STD&amp;window=popup_no_bar&amp;width=385&amp;height=120&amp;START_MAXIMIZED=FALSE&amp;creator=factset&amp;display_string=Audit"}</definedName>
    <definedName name="_986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7__FDSAUDITLINK__" localSheetId="15" hidden="1">{"fdsup://Directions/FactSet Auditing Viewer?action=AUDIT_VALUE&amp;DB=129&amp;ID1=46612H40&amp;VALUEID=02101&amp;SDATE=201001&amp;PERIODTYPE=QTR_STD&amp;window=popup_no_bar&amp;width=385&amp;height=120&amp;START_MAXIMIZED=FALSE&amp;creator=factset&amp;display_string=Audit"}</definedName>
    <definedName name="_987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988__FDSAUDITLINK__" localSheetId="15" hidden="1">{"fdsup://Directions/FactSet Auditing Viewer?action=AUDIT_VALUE&amp;DB=129&amp;ID1=46612H40&amp;VALUEID=13040&amp;SDATE=201001&amp;PERIODTYPE=QTR_STD&amp;window=popup_no_bar&amp;width=385&amp;height=120&amp;START_MAXIMIZED=FALSE&amp;creator=factset&amp;display_string=Audit"}</definedName>
    <definedName name="_988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989__FDSAUDITLINK__" localSheetId="15" hidden="1">{"fdsup://Directions/FactSet Auditing Viewer?action=AUDIT_VALUE&amp;DB=129&amp;ID1=36476010&amp;VALUEID=02101&amp;SDATE=201001&amp;PERIODTYPE=QTR_STD&amp;window=popup_no_bar&amp;width=385&amp;height=120&amp;START_MAXIMIZED=FALSE&amp;creator=factset&amp;display_string=Audit"}</definedName>
    <definedName name="_989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99__FDSAUDITLINK__" localSheetId="15" hidden="1">{"fdsup://Directions/FactSet Auditing Viewer?action=AUDIT_VALUE&amp;DB=129&amp;ID1=07589610&amp;VALUEID=01001&amp;SDATE=200703&amp;PERIODTYPE=QTR_STD&amp;window=popup_no_bar&amp;width=385&amp;height=120&amp;START_MAXIMIZED=FALSE&amp;creator=factset&amp;display_string=Audit"}</definedName>
    <definedName name="_99__FDSAUDITLINK__" hidden="1">{"fdsup://Directions/FactSet Auditing Viewer?action=AUDIT_VALUE&amp;DB=129&amp;ID1=86923310&amp;VALUEID=04601&amp;SDATE=2006&amp;PERIODTYPE=ANN_STD&amp;window=popup_no_bar&amp;width=385&amp;height=120&amp;START_MAXIMIZED=FALSE&amp;creator=factset&amp;display_string=Audit"}</definedName>
    <definedName name="_990__FDSAUDITLINK__" localSheetId="15" hidden="1">{"fdsup://Directions/FactSet Auditing Viewer?action=AUDIT_VALUE&amp;DB=129&amp;ID1=36476010&amp;VALUEID=13040&amp;SDATE=201001&amp;PERIODTYPE=QTR_STD&amp;window=popup_no_bar&amp;width=385&amp;height=120&amp;START_MAXIMIZED=FALSE&amp;creator=factset&amp;display_string=Audit"}</definedName>
    <definedName name="_990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91__FDSAUDITLINK__" localSheetId="15" hidden="1">{"fdsup://Directions/FactSet Auditing Viewer?action=AUDIT_VALUE&amp;DB=129&amp;ID1=03611510&amp;VALUEID=02101&amp;SDATE=201001&amp;PERIODTYPE=QTR_STD&amp;window=popup_no_bar&amp;width=385&amp;height=120&amp;START_MAXIMIZED=FALSE&amp;creator=factset&amp;display_string=Audit"}</definedName>
    <definedName name="_991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992__FDSAUDITLINK__" localSheetId="15" hidden="1">{"fdsup://Directions/FactSet Auditing Viewer?action=AUDIT_VALUE&amp;DB=129&amp;ID1=03611510&amp;VALUEID=13040&amp;SDATE=201001&amp;PERIODTYPE=QTR_STD&amp;window=popup_no_bar&amp;width=385&amp;height=120&amp;START_MAXIMIZED=FALSE&amp;creator=factset&amp;display_string=Audit"}</definedName>
    <definedName name="_99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993__FDSAUDITLINK__" localSheetId="15" hidden="1">{"fdsup://Directions/FactSet Auditing Viewer?action=AUDIT_VALUE&amp;DB=129&amp;ID1=16890510&amp;VALUEID=02101&amp;SDATE=201001&amp;PERIODTYPE=QTR_STD&amp;window=popup_no_bar&amp;width=385&amp;height=120&amp;START_MAXIMIZED=FALSE&amp;creator=factset&amp;display_string=Audit"}</definedName>
    <definedName name="_99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994__FDSAUDITLINK__" localSheetId="15" hidden="1">{"fdsup://Directions/FactSet Auditing Viewer?action=AUDIT_VALUE&amp;DB=129&amp;ID1=91704710&amp;VALUEID=02101&amp;SDATE=201001&amp;PERIODTYPE=QTR_STD&amp;window=popup_no_bar&amp;width=385&amp;height=120&amp;START_MAXIMIZED=FALSE&amp;creator=factset&amp;display_string=Audit"}</definedName>
    <definedName name="_994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995__FDSAUDITLINK__" localSheetId="15" hidden="1">{"fdsup://Directions/FactSet Auditing Viewer?action=AUDIT_VALUE&amp;DB=129&amp;ID1=91704710&amp;VALUEID=13040&amp;SDATE=201001&amp;PERIODTYPE=QTR_STD&amp;window=popup_no_bar&amp;width=385&amp;height=120&amp;START_MAXIMIZED=FALSE&amp;creator=factset&amp;display_string=Audit"}</definedName>
    <definedName name="_995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996__FDSAUDITLINK__" localSheetId="15" hidden="1">{"fdsup://Directions/FactSet Auditing Viewer?action=AUDIT_VALUE&amp;DB=129&amp;ID1=02553E10&amp;VALUEID=02101&amp;SDATE=201001&amp;PERIODTYPE=QTR_STD&amp;window=popup_no_bar&amp;width=385&amp;height=120&amp;START_MAXIMIZED=FALSE&amp;creator=factset&amp;display_string=Audit"}</definedName>
    <definedName name="_996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997__FDSAUDITLINK__" localSheetId="15" hidden="1">{"fdsup://Directions/FactSet Auditing Viewer?action=AUDIT_VALUE&amp;DB=129&amp;ID1=02553E10&amp;VALUEID=13040&amp;SDATE=201001&amp;PERIODTYPE=QTR_STD&amp;window=popup_no_bar&amp;width=385&amp;height=120&amp;START_MAXIMIZED=FALSE&amp;creator=factset&amp;display_string=Audit"}</definedName>
    <definedName name="_997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998__FDSAUDITLINK__" localSheetId="15" hidden="1">{"fdsup://Directions/FactSet Auditing Viewer?action=AUDIT_VALUE&amp;DB=129&amp;ID1=00786510&amp;VALUEID=02101&amp;SDATE=201001&amp;PERIODTYPE=QTR_STD&amp;window=popup_no_bar&amp;width=385&amp;height=120&amp;START_MAXIMIZED=FALSE&amp;creator=factset&amp;display_string=Audit"}</definedName>
    <definedName name="_998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999__FDSAUDITLINK__" localSheetId="15" hidden="1">{"fdsup://Directions/FactSet Auditing Viewer?action=AUDIT_VALUE&amp;DB=129&amp;ID1=00786510&amp;VALUEID=13040&amp;SDATE=201001&amp;PERIODTYPE=QTR_STD&amp;window=popup_no_bar&amp;width=385&amp;height=120&amp;START_MAXIMIZED=FALSE&amp;creator=factset&amp;display_string=Audit"}</definedName>
    <definedName name="_999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bdm.02E29E7B1053433EA3CCCBE4E5141596.edm" localSheetId="15" hidden="1">[3]Sheet1!$1:$1048576</definedName>
    <definedName name="_bdm.02E29E7B1053433EA3CCCBE4E5141596.edm" hidden="1">[4]Sheet1!$A:$IV</definedName>
    <definedName name="_bdm.0A2F11DA94EF47F4ADD86D073DA8EE13.edm" localSheetId="15" hidden="1">'[5]LTD Variance Chart Data'!$1:$1048576</definedName>
    <definedName name="_bdm.0A2F11DA94EF47F4ADD86D073DA8EE13.edm" hidden="1">'[5]LTD Variance Chart Data'!$1:$1048576</definedName>
    <definedName name="_bdm.17F0EB48B3AA4306BD71AB7825465F01.edm" hidden="1">'[6]Divisional Comps'!$A:$IV</definedName>
    <definedName name="_bdm.186193C0C6844AB18E99154BE239556B.edm" localSheetId="15" hidden="1" xml:space="preserve">                  '[7]Scenario Inputs'!$1:$1048576</definedName>
    <definedName name="_bdm.186193C0C6844AB18E99154BE239556B.edm" hidden="1" xml:space="preserve">                  '[7]Scenario Inputs'!$1:$1048576</definedName>
    <definedName name="_bdm.1D8CE2C45CB1434C98B4307C73C41BB3.edm" localSheetId="15" hidden="1" xml:space="preserve">                  '[7]Scenario Inputs'!$1:$1048576</definedName>
    <definedName name="_bdm.1D8CE2C45CB1434C98B4307C73C41BB3.edm" hidden="1" xml:space="preserve">                  '[7]Scenario Inputs'!$1:$1048576</definedName>
    <definedName name="_bdm.1DF4B3E45DCE4C2A9D635C38C907064B.edm" localSheetId="15" hidden="1">[7]LIZ!$1:$1048576</definedName>
    <definedName name="_bdm.1DF4B3E45DCE4C2A9D635C38C907064B.edm" hidden="1">[7]LIZ!$1:$1048576</definedName>
    <definedName name="_bdm.239033D1CBDF4B34B065E13D4FA9D589.edm" localSheetId="15" hidden="1">'[5]COH Variance Chart Data'!$1:$1048576</definedName>
    <definedName name="_bdm.239033D1CBDF4B34B065E13D4FA9D589.edm" hidden="1">'[5]COH Variance Chart Data'!$1:$1048576</definedName>
    <definedName name="_bdm.240E5CC7D1A3433BA930B1D7FED87980.edm" localSheetId="15" hidden="1" xml:space="preserve">                    '[7]Scenario Inputs'!$1:$1048576</definedName>
    <definedName name="_bdm.240E5CC7D1A3433BA930B1D7FED87980.edm" hidden="1" xml:space="preserve">                    '[7]Scenario Inputs'!$1:$1048576</definedName>
    <definedName name="_bdm.261112BAE8204F8280374C78A1E02552.edm" localSheetId="15" hidden="1" xml:space="preserve"> [8]C1000!$1:$1048576</definedName>
    <definedName name="_bdm.261112BAE8204F8280374C78A1E02552.edm" hidden="1" xml:space="preserve"> [8]C1000!$1:$1048576</definedName>
    <definedName name="_bdm.297446E2985E45DCA44E1E58B339ED35.edm" localSheetId="15" hidden="1" xml:space="preserve">                                    '[7]Scenario Inputs'!$1:$1048576</definedName>
    <definedName name="_bdm.297446E2985E45DCA44E1E58B339ED35.edm" hidden="1" xml:space="preserve">                                    '[7]Scenario Inputs'!$1:$1048576</definedName>
    <definedName name="_bdm.2DDFFB15C42A449AADB01F909D897844.edm" localSheetId="15" hidden="1" xml:space="preserve">                                    '[7]Scenario Inputs'!$1:$1048576</definedName>
    <definedName name="_bdm.2DDFFB15C42A449AADB01F909D897844.edm" hidden="1" xml:space="preserve">                                    '[7]Scenario Inputs'!$1:$1048576</definedName>
    <definedName name="_bdm.36700029454B46269809EAC509E70B0B.edm" localSheetId="15" hidden="1" xml:space="preserve">                                    '[7]Scenario Inputs'!$1:$1048576</definedName>
    <definedName name="_bdm.36700029454B46269809EAC509E70B0B.edm" hidden="1" xml:space="preserve">                                    '[7]Scenario Inputs'!$1:$1048576</definedName>
    <definedName name="_bdm.38FC3AFFD8DF49F6B1CB73376921CBB3.edm" localSheetId="15" hidden="1">'[9]Coverage Universe Comp'!$1:$1048576</definedName>
    <definedName name="_bdm.38FC3AFFD8DF49F6B1CB73376921CBB3.edm" hidden="1">'[9]Coverage Universe Comp'!$1:$1048576</definedName>
    <definedName name="_bdm.4176AC4C677F4FBC8C99A951BC121C6E.edm" localSheetId="15" hidden="1" xml:space="preserve">                                    '[7]Scenario Inputs'!$1:$1048576</definedName>
    <definedName name="_bdm.4176AC4C677F4FBC8C99A951BC121C6E.edm" hidden="1" xml:space="preserve">                                    '[7]Scenario Inputs'!$1:$1048576</definedName>
    <definedName name="_bdm.42F67CCC3C1C45638B5EC98256E90947.edm" localSheetId="15" hidden="1">'[10]Good 12-00 (2)'!$1:$1048576</definedName>
    <definedName name="_bdm.42F67CCC3C1C45638B5EC98256E90947.edm" hidden="1">'[10]Good 12-00 (2)'!$1:$1048576</definedName>
    <definedName name="_bdm.43797866FC7241EF8C9CE384364FCF94.edm" hidden="1">[11]VALUATION!$A:$IV</definedName>
    <definedName name="_bdm.43FA48142E7E4CED84E86C6CCE4A15D5.edm" localSheetId="15" hidden="1">'[5]M Variance Chart Data'!$1:$1048576</definedName>
    <definedName name="_bdm.43FA48142E7E4CED84E86C6CCE4A15D5.edm" hidden="1">'[5]M Variance Chart Data'!$1:$1048576</definedName>
    <definedName name="_bdm.46D56600DB7840728F138544F8E425DB.edm" localSheetId="15" hidden="1">'[10]Good 11-36'!$1:$1048576</definedName>
    <definedName name="_bdm.46D56600DB7840728F138544F8E425DB.edm" hidden="1">'[10]Good 11-36'!$1:$1048576</definedName>
    <definedName name="_bdm.5F55189316304861B1E09137E617846B.edm" localSheetId="15" hidden="1" xml:space="preserve">                  '[7]Scenario Inputs'!$1:$1048576</definedName>
    <definedName name="_bdm.5F55189316304861B1E09137E617846B.edm" hidden="1" xml:space="preserve">                  '[7]Scenario Inputs'!$1:$1048576</definedName>
    <definedName name="_bdm.60A1016E4A5045B0B4BE42FB21AAF6D6.edm" localSheetId="15" hidden="1">'[10]Good 11-50'!$1:$1048576</definedName>
    <definedName name="_bdm.60A1016E4A5045B0B4BE42FB21AAF6D6.edm" hidden="1">'[10]Good 11-50'!$1:$1048576</definedName>
    <definedName name="_bdm.7087D4AB48F64E19BD2C8BDFB7209C3F.edm" localSheetId="15" hidden="1" xml:space="preserve">                  '[7]Scenario Inputs'!$1:$1048576</definedName>
    <definedName name="_bdm.7087D4AB48F64E19BD2C8BDFB7209C3F.edm" hidden="1" xml:space="preserve">                  '[7]Scenario Inputs'!$1:$1048576</definedName>
    <definedName name="_bdm.72D868114C7B455FB2DD8E1894509A24.edm" localSheetId="15" hidden="1" xml:space="preserve">                  '[7]Scenario Inputs'!$1:$1048576</definedName>
    <definedName name="_bdm.72D868114C7B455FB2DD8E1894509A24.edm" hidden="1" xml:space="preserve">                  '[7]Scenario Inputs'!$1:$1048576</definedName>
    <definedName name="_bdm.7C2CB5B4DEB449469D1D5E3C7741FFE0.edm" hidden="1">[12]Returns!$A:$IV</definedName>
    <definedName name="_bdm.828EF922B3BF49D5A4BB507669E667E8.edm" hidden="1">'[7]UA Drivers'!$IV$1</definedName>
    <definedName name="_bdm.84245E63505C4AFEAADE86E343E612C8.edm" localSheetId="15" hidden="1">'[9]Earnings Snapshot'!$1:$1048576</definedName>
    <definedName name="_bdm.84245E63505C4AFEAADE86E343E612C8.edm" hidden="1">'[9]Earnings Snapshot'!$1:$1048576</definedName>
    <definedName name="_bdm.88BE57C8E16441C3844ACB2DCE4DA074.edm" localSheetId="15" hidden="1" xml:space="preserve">                  '[7]Scenario Inputs'!$1:$1048576</definedName>
    <definedName name="_bdm.88BE57C8E16441C3844ACB2DCE4DA074.edm" hidden="1" xml:space="preserve">                  '[7]Scenario Inputs'!$1:$1048576</definedName>
    <definedName name="_bdm.96D7DC1981E443A8B0A8D27935EDB273.edm" hidden="1">'[11]RNOA - ROE'!$A:$IV</definedName>
    <definedName name="_bdm.9A0F9A3877A9479AB7B77DDF59A937D6.edm" localSheetId="15" hidden="1" xml:space="preserve">                  '[7]Scenario Inputs'!$1:$1048576</definedName>
    <definedName name="_bdm.9A0F9A3877A9479AB7B77DDF59A937D6.edm" hidden="1" xml:space="preserve">                  '[7]Scenario Inputs'!$1:$1048576</definedName>
    <definedName name="_bdm.9CFC4B40814842C5A60DA0FF269F6C15.edm" hidden="1">[6]LBO!$A:$IV</definedName>
    <definedName name="_bdm.9EB8FE0446E347D4B59325F189FA9F31.edm" localSheetId="15" hidden="1" xml:space="preserve">                  '[7]Scenario Inputs'!$1:$1048576</definedName>
    <definedName name="_bdm.9EB8FE0446E347D4B59325F189FA9F31.edm" hidden="1" xml:space="preserve">                  '[7]Scenario Inputs'!$1:$1048576</definedName>
    <definedName name="_bdm.A2D0F3FA285649B7BDDF87BD9C153DE1.edm" localSheetId="15" hidden="1" xml:space="preserve">                                    '[7]Scenario Inputs'!$1:$1048576</definedName>
    <definedName name="_bdm.A2D0F3FA285649B7BDDF87BD9C153DE1.edm" hidden="1" xml:space="preserve">                                    '[7]Scenario Inputs'!$1:$1048576</definedName>
    <definedName name="_bdm.A339904D6D0347AA9B2B187BC3316370.edm" localSheetId="15" hidden="1">[13]JWN!$1:$1048576</definedName>
    <definedName name="_bdm.A339904D6D0347AA9B2B187BC3316370.edm" hidden="1">[13]JWN!$1:$1048576</definedName>
    <definedName name="_bdm.A772A7E12EE949A2B2ED88CF7248DD14.edm" localSheetId="15" hidden="1" xml:space="preserve">                                    '[7]Scenario Inputs'!$1:$1048576</definedName>
    <definedName name="_bdm.A772A7E12EE949A2B2ED88CF7248DD14.edm" hidden="1" xml:space="preserve">                                    '[7]Scenario Inputs'!$1:$1048576</definedName>
    <definedName name="_bdm.AAED9F19000E46028FCDE96D8F29E5D2.edm" hidden="1">[14]Traffic!$A:$IV</definedName>
    <definedName name="_bdm.AF41298052B5438BB5863CF33374793F.edm" localSheetId="15" hidden="1">[13]JCP!$1:$1048576</definedName>
    <definedName name="_bdm.AF41298052B5438BB5863CF33374793F.edm" hidden="1">[13]JCP!$1:$1048576</definedName>
    <definedName name="_bdm.B232A23EC303428E9F3B15E3162F750B.edm" localSheetId="15" hidden="1">[5]Tables!$1:$1048576</definedName>
    <definedName name="_bdm.B232A23EC303428E9F3B15E3162F750B.edm" hidden="1">[5]Tables!$1:$1048576</definedName>
    <definedName name="_bdm.B8E7F8D146B34C039CAD519CB46A2D63.edm" localSheetId="15" hidden="1" xml:space="preserve">                                    '[7]Scenario Inputs'!$1:$1048576</definedName>
    <definedName name="_bdm.B8E7F8D146B34C039CAD519CB46A2D63.edm" hidden="1" xml:space="preserve">                                    '[7]Scenario Inputs'!$1:$1048576</definedName>
    <definedName name="_bdm.C7C6FBA36F39444B8BCEC128D5B7F931.edm" localSheetId="15" hidden="1">'[10]Sheet3 (5)'!$1:$1048576</definedName>
    <definedName name="_bdm.C7C6FBA36F39444B8BCEC128D5B7F931.edm" hidden="1">'[10]Sheet3 (5)'!$1:$1048576</definedName>
    <definedName name="_bdm.D49DCDB7FF224CB1BC63C5534A11A85A.edm" localSheetId="15" hidden="1" xml:space="preserve">                  '[7]Scenario Inputs'!$1:$1048576</definedName>
    <definedName name="_bdm.D49DCDB7FF224CB1BC63C5534A11A85A.edm" hidden="1" xml:space="preserve">                  '[7]Scenario Inputs'!$1:$1048576</definedName>
    <definedName name="_bdm.E0B0E8A77D684FB58AA9469766A75613.edm" localSheetId="15" hidden="1">'[9]Relative Risk Reward Chart'!$1:$1048576</definedName>
    <definedName name="_bdm.E0B0E8A77D684FB58AA9469766A75613.edm" hidden="1">'[9]Relative Risk Reward Chart'!$1:$1048576</definedName>
    <definedName name="_bdm.E12FB90E97504D9FB610451A2A55636E.edm" localSheetId="15" hidden="1">'[9]For 2010 Report - misc calc'!$1:$1048576</definedName>
    <definedName name="_bdm.E12FB90E97504D9FB610451A2A55636E.edm" hidden="1">'[9]For 2010 Report - misc calc'!$1:$1048576</definedName>
    <definedName name="_bdm.E5DEEA40694A44FE9C4D9E65A3FEBDA6.edm" hidden="1">'[12]Comp Performance'!$A:$IV</definedName>
    <definedName name="_bdm.EAD1FD3B1C5B4B008EDB79939D83C388.edm" localSheetId="15" hidden="1" xml:space="preserve">                  '[7]Scenario Inputs'!$1:$1048576</definedName>
    <definedName name="_bdm.EAD1FD3B1C5B4B008EDB79939D83C388.edm" hidden="1" xml:space="preserve">                  '[7]Scenario Inputs'!$1:$1048576</definedName>
    <definedName name="_bdm.EC60D1277E4B41F690EF779A4DB3EE14.edm" hidden="1">'[6]LINKED DATA'!$A:$IV</definedName>
    <definedName name="_bdm.EF325A886A3842DD8CC90984D4D28C9C.edm" localSheetId="15" hidden="1">[15]Bear_to_Bull_Data!$1:$1048576</definedName>
    <definedName name="_bdm.EF325A886A3842DD8CC90984D4D28C9C.edm" hidden="1">[15]Bear_to_Bull_Data!$1:$1048576</definedName>
    <definedName name="_bdm.F30073110F694A8597AF2E62515D28EF.edm" localSheetId="15" hidden="1">[15]Value_of_Growth_Data!$1:$1048576</definedName>
    <definedName name="_bdm.F30073110F694A8597AF2E62515D28EF.edm" hidden="1">[15]Value_of_Growth_Data!$1:$1048576</definedName>
    <definedName name="_bdm.F4CACB89157644C48CD4B3ECB81DCE38.edm" hidden="1">'[12]Op Margin'!$A:$IV</definedName>
    <definedName name="_bdm.FB89892EBDAE4620819709C7B13FFB90.edm" localSheetId="15" hidden="1">'[15]Comparative_Risk-Reward_Data'!$1:$1048576</definedName>
    <definedName name="_bdm.FB89892EBDAE4620819709C7B13FFB90.edm" hidden="1">'[15]Comparative_Risk-Reward_Data'!$1:$1048576</definedName>
    <definedName name="_bdm.FC5CA615F4824D84868898D9DFAE1BAC.edm" localSheetId="15" hidden="1" xml:space="preserve">                  '[7]Scenario Inputs'!$1:$1048576</definedName>
    <definedName name="_bdm.FC5CA615F4824D84868898D9DFAE1BAC.edm" hidden="1" xml:space="preserve">                  '[7]Scenario Inputs'!$1:$1048576</definedName>
    <definedName name="_bdm.FE2CE930D155417CB1C4D24A021793F8.edm" localSheetId="15" hidden="1">'[5]TJX Variance Chart Data'!$1:$1048576</definedName>
    <definedName name="_bdm.FE2CE930D155417CB1C4D24A021793F8.edm" hidden="1">'[5]TJX Variance Chart Data'!$1:$1048576</definedName>
    <definedName name="_Order1" localSheetId="15">0</definedName>
    <definedName name="_Order1">255</definedName>
    <definedName name="a" localSheetId="15">{"Client Name or Project Name"}</definedName>
    <definedName name="a">{"Client Name or Project Name"}</definedName>
    <definedName name="AAB_GSPPG">"AAB_Goldman Sachs PPG Chart Utilities 1.0g"</definedName>
    <definedName name="abc" localSheetId="1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_Price" localSheetId="15">OFFSET(Date_Range,0,1,,1)</definedName>
    <definedName name="Act_Price" localSheetId="16">OFFSET(Date_Range,0,1,,1)</definedName>
    <definedName name="Act_Price" localSheetId="6">OFFSET(Date_Range,0,1,,1)</definedName>
    <definedName name="Act_Price">OFFSET(Date_Range,0,1,,1)</definedName>
    <definedName name="Actual" hidden="1">{#N/A,#N/A,TRUE,"Historicals";#N/A,#N/A,TRUE,"Charts";#N/A,#N/A,TRUE,"Forecasts"}</definedName>
    <definedName name="AdditionalInstructions">IndexInformation!$B$42</definedName>
    <definedName name="Address" localSheetId="0">ImportantDisclosures!$A$2:$A$2</definedName>
    <definedName name="ANA" localSheetId="18">ModPubIndex!$A$7</definedName>
    <definedName name="ann_bs">'[16]Old BKS'!$G$462:$M$523</definedName>
    <definedName name="ann_cf">'[16]Old BKS'!$B$525:$I$589</definedName>
    <definedName name="ann_div">'[16]Old BKS'!$C$325:$M$381</definedName>
    <definedName name="ann_is_short">[17]Income!$C$1:$H$105</definedName>
    <definedName name="ann_store">'[16]Old BKS'!$C$204:$T$296</definedName>
    <definedName name="anscount">1</definedName>
    <definedName name="as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uthors" localSheetId="0">ImportantDisclosures!$A$7</definedName>
    <definedName name="Authors" localSheetId="17">IndexInformation!$B$18</definedName>
    <definedName name="Avg">"Avg"</definedName>
    <definedName name="BRO" localSheetId="18">ModPubIndex!$A$1</definedName>
    <definedName name="BS">'[11]Bal Sht'!$E$16:$K$137</definedName>
    <definedName name="CF">[11]CF!$D$1:$K$110</definedName>
    <definedName name="comps_1">[17]Income!$A$119:$IV$119</definedName>
    <definedName name="comps_2">[17]Income!$A$120:$IV$120</definedName>
    <definedName name="comps_3">[17]Income!$A$121:$IV$121</definedName>
    <definedName name="CopyrightStamp">ImportantDisclosures!$A$27</definedName>
    <definedName name="COU" localSheetId="18">ModPubIndex!$A$5</definedName>
    <definedName name="CQEnd" localSheetId="17">IndexInformation!$B$31</definedName>
    <definedName name="Currency" localSheetId="17">IndexInformation!$B$24</definedName>
    <definedName name="CurrentStockPrice" localSheetId="17">IndexInformation!$B$23</definedName>
    <definedName name="CurrQtrEPS" localSheetId="17">IndexInformation!$B$29</definedName>
    <definedName name="CurrYearEPS" localSheetId="17">IndexInformation!$B$11</definedName>
    <definedName name="CurrYearTotalRevenue" localSheetId="17">IndexInformation!$B$10</definedName>
    <definedName name="CurrYearTotalRevenueActual" localSheetId="17">IndexInformation!$B$32</definedName>
    <definedName name="CUSIP" localSheetId="17">IndexInformation!$B$20</definedName>
    <definedName name="CYEnd" localSheetId="17">IndexInformation!$B$30</definedName>
    <definedName name="d" localSheetId="15">'[18]LEASES NEW'!$A$19</definedName>
    <definedName name="d">'LEASES NEW'!$A$19</definedName>
    <definedName name="dataseries_minus_space_2">OFFSET([7]LIZ!$AE$31,0,0,COUNTA([7]LIZ!$AE$31:$AE$37)+1,1)</definedName>
    <definedName name="dataseries4">OFFSET([19]c1!$G$12,0,0,COUNTA([19]c1!$G$12:$G$31),1)</definedName>
    <definedName name="Date" localSheetId="0">ImportantDisclosures!$A$8</definedName>
    <definedName name="Deleted" localSheetId="17">IndexInformation!$B$27</definedName>
    <definedName name="Description" localSheetId="17">IndexInformation!$B$7</definedName>
    <definedName name="DEVELOPMENT">5</definedName>
    <definedName name="Discipline" localSheetId="17">IndexInformation!$B$3</definedName>
    <definedName name="DISCIPLINE" localSheetId="18">ModPubIndex!$A$12</definedName>
    <definedName name="DisclosuresText">ImportantDisclosures!$A$22</definedName>
    <definedName name="Distribution" localSheetId="17">IndexInformation!$B$26</definedName>
    <definedName name="DistTable" localSheetId="0">ImportantDisclosures!#REF!</definedName>
    <definedName name="DistTablePreamble" localSheetId="0">ImportantDisclosures!#REF!</definedName>
    <definedName name="Djzh15" xlm="1" functionGroupId="14">0</definedName>
    <definedName name="Djzh16" xlm="1" functionGroupId="14">0</definedName>
    <definedName name="DOCDAT" localSheetId="18">ModPubIndex!$A$2</definedName>
    <definedName name="DOCTIME" localSheetId="18">ModPubIndex!$A$3</definedName>
    <definedName name="DocType" localSheetId="17">IndexInformation!$B$5</definedName>
    <definedName name="Download_series">[20]!Download_series</definedName>
    <definedName name="e">[17]Income!$EP$106</definedName>
    <definedName name="EMAIL_ALERT" localSheetId="18">ModPubIndex!$A$10</definedName>
    <definedName name="EmailAlert" localSheetId="17">IndexInformation!$B$28</definedName>
    <definedName name="ExpandModel" localSheetId="15">DCF!ExpandModel</definedName>
    <definedName name="ExpandModel">DCF!ExpandModel</definedName>
    <definedName name="ExpandOutputs" localSheetId="15">DCF!ExpandOutputs</definedName>
    <definedName name="ExpandOutputs">DCF!ExpandOutputs</definedName>
    <definedName name="ExpandVPeriods" localSheetId="15">DCF!ExpandVPeriods</definedName>
    <definedName name="ExpandVPeriods">DCF!ExpandVPeriods</definedName>
    <definedName name="ExportFile" localSheetId="15">DCF!ExportFile</definedName>
    <definedName name="ExportFile">DCF!ExportFile</definedName>
    <definedName name="ｆ" hidden="1">"iQShowAnnual"</definedName>
    <definedName name="FINCopyDirection">1</definedName>
    <definedName name="FINCriteriaType">1</definedName>
    <definedName name="FiveYearGrowthRate" localSheetId="17">IndexInformation!$B$16</definedName>
    <definedName name="FollowingYearEPS" localSheetId="17">IndexInformation!$B$15</definedName>
    <definedName name="FollowingYearTotalRevenue" localSheetId="17">IndexInformation!$B$14</definedName>
    <definedName name="FollowingYearTotalRevenueActual" localSheetId="17">IndexInformation!$B$34</definedName>
    <definedName name="HL" localSheetId="18">ModPubIndex!$A$8</definedName>
    <definedName name="ImportFile" localSheetId="15">DCF!ImportFile</definedName>
    <definedName name="ImportFile">DCF!ImportFile</definedName>
    <definedName name="income" localSheetId="15">[17]Income!$1:$1048576</definedName>
    <definedName name="income">[17]Income!$A:$IV</definedName>
    <definedName name="IND" localSheetId="18">ModPubIndex!$A$9</definedName>
    <definedName name="Industry" localSheetId="0">ImportantDisclosures!$A$12</definedName>
    <definedName name="IndustryId">IndexInformation!$B$40</definedName>
    <definedName name="IndustryRating" localSheetId="0">ImportantDisclosures!$A$13</definedName>
    <definedName name="IQ_ACCOUNT_CHANGE">"c1449"</definedName>
    <definedName name="IQ_ACCOUNTS_PAY">"c1343"</definedName>
    <definedName name="IQ_ACCR_INT_PAY">"c1"</definedName>
    <definedName name="IQ_ACCR_INT_PAY_CF">"c2"</definedName>
    <definedName name="IQ_ACCR_INT_RECEIV">"c3"</definedName>
    <definedName name="IQ_ACCR_INT_RECEIV_CF">"c4"</definedName>
    <definedName name="IQ_ACCRUED_EXP">"c1341"</definedName>
    <definedName name="IQ_ACCT_RECV_10YR_ANN_GROWTH">"c1924"</definedName>
    <definedName name="IQ_ACCT_RECV_1YR_ANN_GROWTH">"c1919"</definedName>
    <definedName name="IQ_ACCT_RECV_2YR_ANN_GROWTH">"c1920"</definedName>
    <definedName name="IQ_ACCT_RECV_3YR_ANN_GROWTH">"c1921"</definedName>
    <definedName name="IQ_ACCT_RECV_5YR_ANN_GROWTH">"c1922"</definedName>
    <definedName name="IQ_ACCT_RECV_7YR_ANN_GROWTH">"c1923"</definedName>
    <definedName name="IQ_ACCUM_DEP">"c1340"</definedName>
    <definedName name="IQ_ACCUMULATED_PENSION_OBLIGATION">"c2244"</definedName>
    <definedName name="IQ_ACCUMULATED_PENSION_OBLIGATION_DOMESTIC">"c2657"</definedName>
    <definedName name="IQ_ACCUMULATED_PENSION_OBLIGATION_FOREIGN">"c2665"</definedName>
    <definedName name="IQ_ACQ_COST_SUB">"c2125"</definedName>
    <definedName name="IQ_ACQ_COSTS_CAPITALIZED">"c5"</definedName>
    <definedName name="IQ_ACQUIRE_REAL_ESTATE_CF">"c6"</definedName>
    <definedName name="IQ_ACQUISITION_RE_ASSETS">"c1628"</definedName>
    <definedName name="IQ_AD">"c7"</definedName>
    <definedName name="IQ_ADD_PAID_IN">"c1344"</definedName>
    <definedName name="IQ_ADDIN" hidden="1">"AUTO"</definedName>
    <definedName name="IQ_ADJ_AVG_BANK_ASSETS">"c2671"</definedName>
    <definedName name="IQ_ADMIN_RATIO">"c2784"</definedName>
    <definedName name="IQ_ADVERTISING">"c2246"</definedName>
    <definedName name="IQ_ADVERTISING_MARKETING">"c1566"</definedName>
    <definedName name="IQ_AE">"c8"</definedName>
    <definedName name="IQ_AE_BNK">"c9"</definedName>
    <definedName name="IQ_AE_BR">"c10"</definedName>
    <definedName name="IQ_AE_FIN">"c11"</definedName>
    <definedName name="IQ_AE_INS">"c12"</definedName>
    <definedName name="IQ_AE_REIT">"c13"</definedName>
    <definedName name="IQ_AE_UTI">"c14"</definedName>
    <definedName name="IQ_AH_EARNED">"c2744"</definedName>
    <definedName name="IQ_AH_POLICY_BENEFITS_EXP">"c2789"</definedName>
    <definedName name="IQ_AIR_AIRPLANES_NOT_IN_SERVICE">"c2842"</definedName>
    <definedName name="IQ_AIR_AIRPLANES_SUBLEASED">"c2841"</definedName>
    <definedName name="IQ_AIR_ASK">"c2813"</definedName>
    <definedName name="IQ_AIR_ASK_INCREASE">"c2826"</definedName>
    <definedName name="IQ_AIR_ASM">"c2812"</definedName>
    <definedName name="IQ_AIR_ASM_INCREASE">"c2825"</definedName>
    <definedName name="IQ_AIR_AVG_AGE">"c2843"</definedName>
    <definedName name="IQ_AIR_BREAK_EVEN_FACTOR">"c2822"</definedName>
    <definedName name="IQ_AIR_CAPITAL_LEASE">"c2833"</definedName>
    <definedName name="IQ_AIR_COMPLETION_FACTOR">"c2824"</definedName>
    <definedName name="IQ_AIR_ENPLANED_PSGRS">"c2809"</definedName>
    <definedName name="IQ_AIR_FUEL_CONSUMED">"c2806"</definedName>
    <definedName name="IQ_AIR_FUEL_CONSUMED_L">"c2807"</definedName>
    <definedName name="IQ_AIR_FUEL_COST">"c2803"</definedName>
    <definedName name="IQ_AIR_FUEL_COST_L">"c2804"</definedName>
    <definedName name="IQ_AIR_FUEL_EXP">"c2802"</definedName>
    <definedName name="IQ_AIR_FUEL_EXP_PERCENT">"c2805"</definedName>
    <definedName name="IQ_AIR_LEASED">"c2835"</definedName>
    <definedName name="IQ_AIR_LOAD_FACTOR">"c2823"</definedName>
    <definedName name="IQ_AIR_NEW_AIRPLANES">"c2839"</definedName>
    <definedName name="IQ_AIR_OPER_EXP_ASK">"c2821"</definedName>
    <definedName name="IQ_AIR_OPER_EXP_ASM">"c2820"</definedName>
    <definedName name="IQ_AIR_OPER_LEASE">"c2834"</definedName>
    <definedName name="IQ_AIR_OPER_REV_YIELD_ASK">"c2819"</definedName>
    <definedName name="IQ_AIR_OPER_REV_YIELD_ASM">"c2818"</definedName>
    <definedName name="IQ_AIR_OPTIONS">"c2837"</definedName>
    <definedName name="IQ_AIR_ORDERS">"c2836"</definedName>
    <definedName name="IQ_AIR_OWNED">"c2832"</definedName>
    <definedName name="IQ_AIR_PSGR_REV_YIELD_ASK">"c2817"</definedName>
    <definedName name="IQ_AIR_PSGR_REV_YIELD_ASM">"c2816"</definedName>
    <definedName name="IQ_AIR_PSGR_REV_YIELD_RPK">"c2815"</definedName>
    <definedName name="IQ_AIR_PSGR_REV_YIELD_RPM">"c2814"</definedName>
    <definedName name="IQ_AIR_PURCHASE_RIGHTS">"c2838"</definedName>
    <definedName name="IQ_AIR_RETIRED_AIRPLANES">"c2840"</definedName>
    <definedName name="IQ_AIR_REV_PSGRS_CARRIED">"c2808"</definedName>
    <definedName name="IQ_AIR_REV_SCHEDULED_SERVICE">"c2830"</definedName>
    <definedName name="IQ_AIR_RPK">"c2811"</definedName>
    <definedName name="IQ_AIR_RPM">"c2810"</definedName>
    <definedName name="IQ_AIR_STAGE_LENGTH">"c2828"</definedName>
    <definedName name="IQ_AIR_STAGE_LENGTH_KM">"c2829"</definedName>
    <definedName name="IQ_AIR_TOTAL">"c2831"</definedName>
    <definedName name="IQ_AIR_UTILIZATION">"c2827"</definedName>
    <definedName name="IQ_ALLOW_BORROW_CONST">"c15"</definedName>
    <definedName name="IQ_ALLOW_CONST">"c1342"</definedName>
    <definedName name="IQ_ALLOW_DOUBT_ACCT">"c2092"</definedName>
    <definedName name="IQ_ALLOW_EQUITY_CONST">"c16"</definedName>
    <definedName name="IQ_ALLOW_LL">"c17"</definedName>
    <definedName name="IQ_ALLOWANCE_10YR_ANN_GROWTH">"c18"</definedName>
    <definedName name="IQ_ALLOWANCE_1YR_ANN_GROWTH">"c19"</definedName>
    <definedName name="IQ_ALLOWANCE_2YR_ANN_GROWTH">"c20"</definedName>
    <definedName name="IQ_ALLOWANCE_3YR_ANN_GROWTH">"c21"</definedName>
    <definedName name="IQ_ALLOWANCE_5YR_ANN_GROWTH">"c22"</definedName>
    <definedName name="IQ_ALLOWANCE_7YR_ANN_GROWTH">"c23"</definedName>
    <definedName name="IQ_ALLOWANCE_CHARGE_OFFS">"c24"</definedName>
    <definedName name="IQ_ALLOWANCE_NON_PERF_LOANS">"c25"</definedName>
    <definedName name="IQ_ALLOWANCE_TOTAL_LOANS">"c26"</definedName>
    <definedName name="IQ_AMORTIZATION">"c1591"</definedName>
    <definedName name="IQ_AMT_OUT">"c2145"</definedName>
    <definedName name="IQ_ANNU_DISTRIBUTION_UNIT">"c3004"</definedName>
    <definedName name="IQ_ANNUALIZED_DIVIDEND">"c1579"</definedName>
    <definedName name="IQ_ANNUITY_LIAB">"c27"</definedName>
    <definedName name="IQ_ANNUITY_PAY">"c28"</definedName>
    <definedName name="IQ_ANNUITY_POLICY_EXP">"c29"</definedName>
    <definedName name="IQ_ANNUITY_REC">"c30"</definedName>
    <definedName name="IQ_ANNUITY_REV">"c31"</definedName>
    <definedName name="IQ_AP">"c32"</definedName>
    <definedName name="IQ_AP_BNK">"c33"</definedName>
    <definedName name="IQ_AP_BR">"c34"</definedName>
    <definedName name="IQ_AP_FIN">"c35"</definedName>
    <definedName name="IQ_AP_INS">"c36"</definedName>
    <definedName name="IQ_AP_REIT">"c37"</definedName>
    <definedName name="IQ_AP_UTI">"c38"</definedName>
    <definedName name="IQ_APIC">"c39"</definedName>
    <definedName name="IQ_AR">"c40"</definedName>
    <definedName name="IQ_AR_BR">"c41"</definedName>
    <definedName name="IQ_AR_LT">"c42"</definedName>
    <definedName name="IQ_AR_REIT">"c43"</definedName>
    <definedName name="IQ_AR_TURNS">"c44"</definedName>
    <definedName name="IQ_AR_UTI">"c45"</definedName>
    <definedName name="IQ_ARPU">"c2126"</definedName>
    <definedName name="IQ_ASSET_MGMT_FEE">"c46"</definedName>
    <definedName name="IQ_ASSET_TURNS">"c47"</definedName>
    <definedName name="IQ_ASSET_WRITEDOWN">"c48"</definedName>
    <definedName name="IQ_ASSET_WRITEDOWN_BNK">"c49"</definedName>
    <definedName name="IQ_ASSET_WRITEDOWN_BR">"c50"</definedName>
    <definedName name="IQ_ASSET_WRITEDOWN_CF">"c51"</definedName>
    <definedName name="IQ_ASSET_WRITEDOWN_CF_BNK">"c52"</definedName>
    <definedName name="IQ_ASSET_WRITEDOWN_CF_BR">"c53"</definedName>
    <definedName name="IQ_ASSET_WRITEDOWN_CF_FIN">"c54"</definedName>
    <definedName name="IQ_ASSET_WRITEDOWN_CF_INS">"c55"</definedName>
    <definedName name="IQ_ASSET_WRITEDOWN_CF_REIT">"c56"</definedName>
    <definedName name="IQ_ASSET_WRITEDOWN_CF_UTI">"c57"</definedName>
    <definedName name="IQ_ASSET_WRITEDOWN_FIN">"c58"</definedName>
    <definedName name="IQ_ASSET_WRITEDOWN_INS">"c59"</definedName>
    <definedName name="IQ_ASSET_WRITEDOWN_REIT">"c60"</definedName>
    <definedName name="IQ_ASSET_WRITEDOWN_UTI">"c61"</definedName>
    <definedName name="IQ_ASSETS_CAP_LEASE_DEPR">"c2068"</definedName>
    <definedName name="IQ_ASSETS_CAP_LEASE_GROSS">"c2069"</definedName>
    <definedName name="IQ_ASSETS_OPER_LEASE_DEPR">"c2070"</definedName>
    <definedName name="IQ_ASSETS_OPER_LEASE_GROSS">"c2071"</definedName>
    <definedName name="IQ_ASSUMED_AH_EARNED">"c2741"</definedName>
    <definedName name="IQ_ASSUMED_EARNED">"c2731"</definedName>
    <definedName name="IQ_ASSUMED_LIFE_EARNED">"c2736"</definedName>
    <definedName name="IQ_ASSUMED_LIFE_IN_FORCE">"c2766"</definedName>
    <definedName name="IQ_ASSUMED_PC_EARNED">"c2746"</definedName>
    <definedName name="IQ_ASSUMED_WRITTEN">"c2725"</definedName>
    <definedName name="IQ_AUDITOR_NAME">"c1539"</definedName>
    <definedName name="IQ_AUDITOR_OPINION">"c1540"</definedName>
    <definedName name="IQ_AUTO_WRITTEN">"c62"</definedName>
    <definedName name="IQ_AVG_BANK_ASSETS">"c2072"</definedName>
    <definedName name="IQ_AVG_BANK_LOANS">"c2073"</definedName>
    <definedName name="IQ_AVG_BROKER_REC">"c63"</definedName>
    <definedName name="IQ_AVG_BROKER_REC_NO">"c64"</definedName>
    <definedName name="IQ_AVG_BROKER_REC_NO_REUT">"c5315"</definedName>
    <definedName name="IQ_AVG_BROKER_REC_REUT">"c3630"</definedName>
    <definedName name="IQ_AVG_DAILY_VOL">"c65"</definedName>
    <definedName name="IQ_AVG_INDUSTRY_REC">"c4455"</definedName>
    <definedName name="IQ_AVG_INT_BEAR_LIAB">"c66"</definedName>
    <definedName name="IQ_AVG_INT_BEAR_LIAB_10YR_ANN_GROWTH">"c67"</definedName>
    <definedName name="IQ_AVG_INT_BEAR_LIAB_1YR_ANN_GROWTH">"c68"</definedName>
    <definedName name="IQ_AVG_INT_BEAR_LIAB_2YR_ANN_GROWTH">"c69"</definedName>
    <definedName name="IQ_AVG_INT_BEAR_LIAB_3YR_ANN_GROWTH">"c70"</definedName>
    <definedName name="IQ_AVG_INT_BEAR_LIAB_5YR_ANN_GROWTH">"c71"</definedName>
    <definedName name="IQ_AVG_INT_BEAR_LIAB_7YR_ANN_GROWTH">"c72"</definedName>
    <definedName name="IQ_AVG_INT_EARN_ASSETS">"c73"</definedName>
    <definedName name="IQ_AVG_INT_EARN_ASSETS_10YR_ANN_GROWTH">"c74"</definedName>
    <definedName name="IQ_AVG_INT_EARN_ASSETS_1YR_ANN_GROWTH">"c75"</definedName>
    <definedName name="IQ_AVG_INT_EARN_ASSETS_2YR_ANN_GROWTH">"c76"</definedName>
    <definedName name="IQ_AVG_INT_EARN_ASSETS_3YR_ANN_GROWTH">"c77"</definedName>
    <definedName name="IQ_AVG_INT_EARN_ASSETS_5YR_ANN_GROWTH">"c78"</definedName>
    <definedName name="IQ_AVG_INT_EARN_ASSETS_7YR_ANN_GROWTH">"c79"</definedName>
    <definedName name="IQ_AVG_MKTCAP">"c80"</definedName>
    <definedName name="IQ_AVG_PRICE">"c81"</definedName>
    <definedName name="IQ_AVG_SHAREOUTSTANDING">"c83"</definedName>
    <definedName name="IQ_AVG_TEV">"c84"</definedName>
    <definedName name="IQ_AVG_VOLUME">"c1346"</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NK_DEBT">"c2544"</definedName>
    <definedName name="IQ_BANK_DEBT_PCT">"c2545"</definedName>
    <definedName name="IQ_BASIC_EPS_EXCL">"c85"</definedName>
    <definedName name="IQ_BASIC_EPS_INCL">"c86"</definedName>
    <definedName name="IQ_BASIC_NORMAL_EPS">"c1592"</definedName>
    <definedName name="IQ_BASIC_WEIGHT">"c87"</definedName>
    <definedName name="IQ_BENCHMARK_SECURITY">"c2154"</definedName>
    <definedName name="IQ_BENCHMARK_SPRD">"c2153"</definedName>
    <definedName name="IQ_BETA">"c2133"</definedName>
    <definedName name="IQ_BETA_1YR">"c1966"</definedName>
    <definedName name="IQ_BETA_1YR_RSQ">"c2132"</definedName>
    <definedName name="IQ_BETA_2YR">"c1965"</definedName>
    <definedName name="IQ_BETA_2YR_RSQ">"c2131"</definedName>
    <definedName name="IQ_BETA_5YR">"c88"</definedName>
    <definedName name="IQ_BETA_5YR_RSQ">"c2130"</definedName>
    <definedName name="IQ_BIG_INT_BEAR_CD">"c89"</definedName>
    <definedName name="IQ_BOARD_MEMBER">"c96"</definedName>
    <definedName name="IQ_BOARD_MEMBER_BACKGROUND">"c2101"</definedName>
    <definedName name="IQ_BOARD_MEMBER_TITLE">"c97"</definedName>
    <definedName name="IQ_BOND_COUPON">"c2183"</definedName>
    <definedName name="IQ_BOND_COUPON_TYPE">"c2184"</definedName>
    <definedName name="IQ_BOND_PRICE">"c2162"</definedName>
    <definedName name="IQ_BROK_COMISSION">"c98"</definedName>
    <definedName name="IQ_BROK_COMMISSION">"c3514"</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"c99"</definedName>
    <definedName name="IQ_BUS_SEG_ASSETS">"c4067"</definedName>
    <definedName name="IQ_BUS_SEG_ASSETS_ABS">"c4089"</definedName>
    <definedName name="IQ_BUS_SEG_ASSETS_TOTAL">"c4112"</definedName>
    <definedName name="IQ_BUS_SEG_CAPEX">"c4079"</definedName>
    <definedName name="IQ_BUS_SEG_CAPEX_ABS">"c4101"</definedName>
    <definedName name="IQ_BUS_SEG_CAPEX_TOTAL">"c4116"</definedName>
    <definedName name="IQ_BUS_SEG_DA">"c4078"</definedName>
    <definedName name="IQ_BUS_SEG_DA_ABS">"c4100"</definedName>
    <definedName name="IQ_BUS_SEG_DA_TOTAL">"c4115"</definedName>
    <definedName name="IQ_BUS_SEG_EARNINGS_OP">"c4063"</definedName>
    <definedName name="IQ_BUS_SEG_EARNINGS_OP_ABS">"c4085"</definedName>
    <definedName name="IQ_BUS_SEG_EARNINGS_OP_TOTAL">"c4108"</definedName>
    <definedName name="IQ_BUS_SEG_EBT">"c4064"</definedName>
    <definedName name="IQ_BUS_SEG_EBT_ABS">"c4086"</definedName>
    <definedName name="IQ_BUS_SEG_EBT_TOTAL">"c4110"</definedName>
    <definedName name="IQ_BUS_SEG_GP">"c4066"</definedName>
    <definedName name="IQ_BUS_SEG_GP_ABS">"c4088"</definedName>
    <definedName name="IQ_BUS_SEG_GP_TOTAL">"c4109"</definedName>
    <definedName name="IQ_BUS_SEG_INC_TAX">"c4077"</definedName>
    <definedName name="IQ_BUS_SEG_INC_TAX_ABS">"c4099"</definedName>
    <definedName name="IQ_BUS_SEG_INC_TAX_TOTAL">"c4114"</definedName>
    <definedName name="IQ_BUS_SEG_INTEREST_EXP">"c4076"</definedName>
    <definedName name="IQ_BUS_SEG_INTEREST_EXP_ABS">"c4098"</definedName>
    <definedName name="IQ_BUS_SEG_INTEREST_EXP_TOTAL">"c4113"</definedName>
    <definedName name="IQ_BUS_SEG_NAME">"c5482"</definedName>
    <definedName name="IQ_BUS_SEG_NAME_ABS">"c5483"</definedName>
    <definedName name="IQ_BUS_SEG_NI">"c4065"</definedName>
    <definedName name="IQ_BUS_SEG_NI_ABS">"c4087"</definedName>
    <definedName name="IQ_BUS_SEG_NI_TOTAL">"c4111"</definedName>
    <definedName name="IQ_BUS_SEG_OPER_INC">"c4062"</definedName>
    <definedName name="IQ_BUS_SEG_OPER_INC_ABS">"c4084"</definedName>
    <definedName name="IQ_BUS_SEG_OPER_INC_TOTAL">"c4107"</definedName>
    <definedName name="IQ_BUS_SEG_REV">"c4068"</definedName>
    <definedName name="IQ_BUS_SEG_REV_ABS">"c4090"</definedName>
    <definedName name="IQ_BUS_SEG_REV_TOTAL">"c4106"</definedName>
    <definedName name="IQ_BUSINESS_DESCRIPTION">"c322"</definedName>
    <definedName name="IQ_BV_OVER_SHARES">"c1349"</definedName>
    <definedName name="IQ_BV_SHARE">"c100"</definedName>
    <definedName name="IQ_CABLE_ARPU">"c2869"</definedName>
    <definedName name="IQ_CABLE_ARPU_ANALOG">"c2864"</definedName>
    <definedName name="IQ_CABLE_ARPU_BASIC">"c2866"</definedName>
    <definedName name="IQ_CABLE_ARPU_BBAND">"c2867"</definedName>
    <definedName name="IQ_CABLE_ARPU_DIG">"c2865"</definedName>
    <definedName name="IQ_CABLE_ARPU_PHONE">"c2868"</definedName>
    <definedName name="IQ_CABLE_BASIC_PENETRATION">"c2850"</definedName>
    <definedName name="IQ_CABLE_BBAND_PENETRATION">"c2852"</definedName>
    <definedName name="IQ_CABLE_BBAND_PENETRATION_THP">"c2851"</definedName>
    <definedName name="IQ_CABLE_CHURN">"c2874"</definedName>
    <definedName name="IQ_CABLE_CHURN_BASIC">"c2871"</definedName>
    <definedName name="IQ_CABLE_CHURN_BBAND">"c2872"</definedName>
    <definedName name="IQ_CABLE_CHURN_DIG">"c2870"</definedName>
    <definedName name="IQ_CABLE_CHURN_PHONE">"c2873"</definedName>
    <definedName name="IQ_CABLE_HOMES_PER_MILE">"c2849"</definedName>
    <definedName name="IQ_CABLE_HP_BBAND">"c2845"</definedName>
    <definedName name="IQ_CABLE_HP_DIG">"c2844"</definedName>
    <definedName name="IQ_CABLE_HP_PHONE">"c2846"</definedName>
    <definedName name="IQ_CABLE_MILES_PASSED">"c2848"</definedName>
    <definedName name="IQ_CABLE_OTHER_REV">"c2882"</definedName>
    <definedName name="IQ_CABLE_PHONE_PENETRATION">"c2853"</definedName>
    <definedName name="IQ_CABLE_PROGRAMMING_COSTS">"c2884"</definedName>
    <definedName name="IQ_CABLE_REV_ADVERT">"c2880"</definedName>
    <definedName name="IQ_CABLE_REV_ANALOG">"c2875"</definedName>
    <definedName name="IQ_CABLE_REV_BASIC">"c2877"</definedName>
    <definedName name="IQ_CABLE_REV_BBAND">"c2878"</definedName>
    <definedName name="IQ_CABLE_REV_COMMERCIAL">"c2881"</definedName>
    <definedName name="IQ_CABLE_REV_DIG">"c2876"</definedName>
    <definedName name="IQ_CABLE_REV_PHONE">"c2879"</definedName>
    <definedName name="IQ_CABLE_RGU">"c2863"</definedName>
    <definedName name="IQ_CABLE_SUBS_ANALOG">"c2855"</definedName>
    <definedName name="IQ_CABLE_SUBS_BASIC">"c2857"</definedName>
    <definedName name="IQ_CABLE_SUBS_BBAND">"c2858"</definedName>
    <definedName name="IQ_CABLE_SUBS_BUNDLED">"c2861"</definedName>
    <definedName name="IQ_CABLE_SUBS_DIG">"c2856"</definedName>
    <definedName name="IQ_CABLE_SUBS_NON_VIDEO">"c2860"</definedName>
    <definedName name="IQ_CABLE_SUBS_PHONE">"c2859"</definedName>
    <definedName name="IQ_CABLE_SUBS_TOTAL">"c2862"</definedName>
    <definedName name="IQ_CABLE_THP">"c2847"</definedName>
    <definedName name="IQ_CABLE_TOTAL_PENETRATION">"c2854"</definedName>
    <definedName name="IQ_CABLE_TOTAL_REV">"c2883"</definedName>
    <definedName name="IQ_CAL_Q">"c101"</definedName>
    <definedName name="IQ_CAL_Y">"c102"</definedName>
    <definedName name="IQ_CALC_TYPE_BS">"c3086"</definedName>
    <definedName name="IQ_CALC_TYPE_CF">"c3085"</definedName>
    <definedName name="IQ_CALC_TYPE_IS">"c3084"</definedName>
    <definedName name="IQ_CALL_DATE_SCHEDULE">"c2481"</definedName>
    <definedName name="IQ_CALL_FEATURE">"c2197"</definedName>
    <definedName name="IQ_CALL_PRICE_SCHEDULE">"c2482"</definedName>
    <definedName name="IQ_CALLABLE">"c2196"</definedName>
    <definedName name="IQ_CAP_LOSS_CF_1YR">"c3474"</definedName>
    <definedName name="IQ_CAP_LOSS_CF_2YR">"c3475"</definedName>
    <definedName name="IQ_CAP_LOSS_CF_3YR">"c3476"</definedName>
    <definedName name="IQ_CAP_LOSS_CF_4YR">"c3477"</definedName>
    <definedName name="IQ_CAP_LOSS_CF_5YR">"c3478"</definedName>
    <definedName name="IQ_CAP_LOSS_CF_AFTER_FIVE">"c3479"</definedName>
    <definedName name="IQ_CAP_LOSS_CF_MAX_YEAR">"c3482"</definedName>
    <definedName name="IQ_CAP_LOSS_CF_NO_EXP">"c3480"</definedName>
    <definedName name="IQ_CAP_LOSS_CF_TOTAL">"c3481"</definedName>
    <definedName name="IQ_CAPEX">"c103"</definedName>
    <definedName name="IQ_CAPEX_10YR_ANN_GROWTH">"c104"</definedName>
    <definedName name="IQ_CAPEX_1YR_ANN_GROWTH">"c105"</definedName>
    <definedName name="IQ_CAPEX_2YR_ANN_GROWTH">"c106"</definedName>
    <definedName name="IQ_CAPEX_3YR_ANN_GROWTH">"c107"</definedName>
    <definedName name="IQ_CAPEX_5YR_ANN_GROWTH">"c108"</definedName>
    <definedName name="IQ_CAPEX_7YR_ANN_GROWTH">"c109"</definedName>
    <definedName name="IQ_CAPEX_BNK">"c110"</definedName>
    <definedName name="IQ_CAPEX_BR">"c111"</definedName>
    <definedName name="IQ_CAPEX_FIN">"c112"</definedName>
    <definedName name="IQ_CAPEX_INS">"c113"</definedName>
    <definedName name="IQ_CAPEX_UTI">"c114"</definedName>
    <definedName name="IQ_CAPITAL_LEASE">"c1350"</definedName>
    <definedName name="IQ_CAPITAL_LEASES">"c115"</definedName>
    <definedName name="IQ_CAPITAL_LEASES_TOTAL">"c3031"</definedName>
    <definedName name="IQ_CAPITAL_LEASES_TOTAL_PCT">"c2506"</definedName>
    <definedName name="IQ_CAPITALIZED_INTEREST">"c3460"</definedName>
    <definedName name="IQ_CAPITALIZED_INTEREST_BOP">"c3459"</definedName>
    <definedName name="IQ_CAPITALIZED_INTEREST_EOP">"c3464"</definedName>
    <definedName name="IQ_CAPITALIZED_INTEREST_EXP">"c3461"</definedName>
    <definedName name="IQ_CAPITALIZED_INTEREST_OTHER_ADJ">"c3463"</definedName>
    <definedName name="IQ_CAPITALIZED_INTEREST_WRITE_OFF">"c3462"</definedName>
    <definedName name="IQ_CASH">"c1458"</definedName>
    <definedName name="IQ_CASH_ACQUIRE_CF">"c116"</definedName>
    <definedName name="IQ_CASH_CONVERSION">"c117"</definedName>
    <definedName name="IQ_CASH_DUE_BANKS">"c1351"</definedName>
    <definedName name="IQ_CASH_EQUIV">"c118"</definedName>
    <definedName name="IQ_CASH_FINAN">"c119"</definedName>
    <definedName name="IQ_CASH_FLOW_ACT_OR_EST">"c4154"</definedName>
    <definedName name="IQ_CASH_INTEREST">"c120"</definedName>
    <definedName name="IQ_CASH_INVEST">"c121"</definedName>
    <definedName name="IQ_CASH_OPER">"c122"</definedName>
    <definedName name="IQ_CASH_OPER_ACT_OR_EST">"c4164"</definedName>
    <definedName name="IQ_CASH_SEGREG">"c123"</definedName>
    <definedName name="IQ_CASH_SHARE">"c1911"</definedName>
    <definedName name="IQ_CASH_ST">"c1355"</definedName>
    <definedName name="IQ_CASH_ST_INVEST">"c124"</definedName>
    <definedName name="IQ_CASH_TAXES">"c125"</definedName>
    <definedName name="IQ_CEDED_AH_EARNED">"c2743"</definedName>
    <definedName name="IQ_CEDED_CLAIM_EXP_INCUR">"c2756"</definedName>
    <definedName name="IQ_CEDED_CLAIM_EXP_PAID">"c2759"</definedName>
    <definedName name="IQ_CEDED_CLAIM_EXP_RES">"c2753"</definedName>
    <definedName name="IQ_CEDED_EARNED">"c2733"</definedName>
    <definedName name="IQ_CEDED_LIFE_EARNED">"c2738"</definedName>
    <definedName name="IQ_CEDED_LIFE_IN_FORCE">"c2768"</definedName>
    <definedName name="IQ_CEDED_PC_EARNED">"c2748"</definedName>
    <definedName name="IQ_CEDED_WRITTEN">"c2727"</definedName>
    <definedName name="IQ_CFO_10YR_ANN_GROWTH">"c126"</definedName>
    <definedName name="IQ_CFO_1YR_ANN_GROWTH">"c127"</definedName>
    <definedName name="IQ_CFO_2YR_ANN_GROWTH">"c128"</definedName>
    <definedName name="IQ_CFO_3YR_ANN_GROWTH">"c129"</definedName>
    <definedName name="IQ_CFO_5YR_ANN_GROWTH">"c130"</definedName>
    <definedName name="IQ_CFO_7YR_ANN_GROWTH">"c131"</definedName>
    <definedName name="IQ_CFO_CURRENT_LIAB">"c132"</definedName>
    <definedName name="IQ_CH" hidden="1">110000</definedName>
    <definedName name="IQ_CHANGE_AP">"c133"</definedName>
    <definedName name="IQ_CHANGE_AP_BNK">"c134"</definedName>
    <definedName name="IQ_CHANGE_AP_BR">"c135"</definedName>
    <definedName name="IQ_CHANGE_AP_FIN">"c136"</definedName>
    <definedName name="IQ_CHANGE_AP_INS">"c137"</definedName>
    <definedName name="IQ_CHANGE_AP_REIT">"c138"</definedName>
    <definedName name="IQ_CHANGE_AP_UTI">"c139"</definedName>
    <definedName name="IQ_CHANGE_AR">"c140"</definedName>
    <definedName name="IQ_CHANGE_AR_BNK">"c141"</definedName>
    <definedName name="IQ_CHANGE_AR_BR">"c142"</definedName>
    <definedName name="IQ_CHANGE_AR_FIN">"c143"</definedName>
    <definedName name="IQ_CHANGE_AR_INS">"c144"</definedName>
    <definedName name="IQ_CHANGE_AR_REIT">"c145"</definedName>
    <definedName name="IQ_CHANGE_AR_UTI">"c146"</definedName>
    <definedName name="IQ_CHANGE_DEF_TAX">"c147"</definedName>
    <definedName name="IQ_CHANGE_DEPOSIT_ACCT">"c148"</definedName>
    <definedName name="IQ_CHANGE_INC_TAX">"c149"</definedName>
    <definedName name="IQ_CHANGE_INS_RES_LIAB">"c150"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"c151"</definedName>
    <definedName name="IQ_CHANGE_NET_OPER_ASSETS">"c3592"</definedName>
    <definedName name="IQ_CHANGE_NET_WORKING_CAPITAL">"c1909"</definedName>
    <definedName name="IQ_CHANGE_OTHER_NET_OPER_ASSETS">"c3593"</definedName>
    <definedName name="IQ_CHANGE_OTHER_NET_OPER_ASSETS_BNK">"c3594"</definedName>
    <definedName name="IQ_CHANGE_OTHER_NET_OPER_ASSETS_BR">"c3595"</definedName>
    <definedName name="IQ_CHANGE_OTHER_NET_OPER_ASSETS_FIN">"c3596"</definedName>
    <definedName name="IQ_CHANGE_OTHER_NET_OPER_ASSETS_INS">"c3597"</definedName>
    <definedName name="IQ_CHANGE_OTHER_NET_OPER_ASSETS_REIT">"c3598"</definedName>
    <definedName name="IQ_CHANGE_OTHER_NET_OPER_ASSETS_UTI">"c3599"</definedName>
    <definedName name="IQ_CHANGE_OTHER_WORK_CAP">"c152"</definedName>
    <definedName name="IQ_CHANGE_OTHER_WORK_CAP_BNK">"c153"</definedName>
    <definedName name="IQ_CHANGE_OTHER_WORK_CAP_BR">"c154"</definedName>
    <definedName name="IQ_CHANGE_OTHER_WORK_CAP_FIN">"c155"</definedName>
    <definedName name="IQ_CHANGE_OTHER_WORK_CAP_INS">"c156"</definedName>
    <definedName name="IQ_CHANGE_OTHER_WORK_CAP_REIT">"c157"</definedName>
    <definedName name="IQ_CHANGE_OTHER_WORK_CAP_UTI">"c158"</definedName>
    <definedName name="IQ_CHANGE_TRADING_ASSETS">"c159"</definedName>
    <definedName name="IQ_CHANGE_UNEARN_REV">"c160"</definedName>
    <definedName name="IQ_CHANGE_WORK_CAP">"c161"</definedName>
    <definedName name="IQ_CHANGES_WORK_CAP">"c1357"</definedName>
    <definedName name="IQ_CHARGE_OFFS_GROSS">"c162"</definedName>
    <definedName name="IQ_CHARGE_OFFS_NET">"c163"</definedName>
    <definedName name="IQ_CHARGE_OFFS_RECOVERED">"c164"</definedName>
    <definedName name="IQ_CHARGE_OFFS_TOTAL_AVG_LOANS">"c165"</definedName>
    <definedName name="IQ_CITY">"c166"</definedName>
    <definedName name="IQ_CL_DUE_AFTER_FIVE">"c167"</definedName>
    <definedName name="IQ_CL_DUE_CY">"c168"</definedName>
    <definedName name="IQ_CL_DUE_CY1">"c169"</definedName>
    <definedName name="IQ_CL_DUE_CY2">"c170"</definedName>
    <definedName name="IQ_CL_DUE_CY3">"c171"</definedName>
    <definedName name="IQ_CL_DUE_CY4">"c172"</definedName>
    <definedName name="IQ_CL_DUE_NEXT_FIVE">"c173"</definedName>
    <definedName name="IQ_CL_OBLIGATION_IMMEDIATE">"c2253"</definedName>
    <definedName name="IQ_CLASSA_OPTIONS_BEG_OS">"c2679"</definedName>
    <definedName name="IQ_CLASSA_OPTIONS_CANCELLED">"c2682"</definedName>
    <definedName name="IQ_CLASSA_OPTIONS_END_OS">"c2683"</definedName>
    <definedName name="IQ_CLASSA_OPTIONS_EXERCISED">"c2681"</definedName>
    <definedName name="IQ_CLASSA_OPTIONS_GRANTED">"c2680"</definedName>
    <definedName name="IQ_CLASSA_OPTIONS_STRIKE_PRICE_OS">"c2684"</definedName>
    <definedName name="IQ_CLASSA_OUTSTANDING_BS_DATE">"c1971"</definedName>
    <definedName name="IQ_CLASSA_OUTSTANDING_FILING_DATE">"c1973"</definedName>
    <definedName name="IQ_CLASSA_STRIKE_PRICE_GRANTED">"c2685"</definedName>
    <definedName name="IQ_CLASSA_WARRANTS_BEG_OS">"c2705"</definedName>
    <definedName name="IQ_CLASSA_WARRANTS_CANCELLED">"c2708"</definedName>
    <definedName name="IQ_CLASSA_WARRANTS_END_OS">"c2709"</definedName>
    <definedName name="IQ_CLASSA_WARRANTS_EXERCISED">"c2707"</definedName>
    <definedName name="IQ_CLASSA_WARRANTS_ISSUED">"c2706"</definedName>
    <definedName name="IQ_CLASSA_WARRANTS_STRIKE_PRICE_ISSUED">"c2711"</definedName>
    <definedName name="IQ_CLASSA_WARRANTS_STRIKE_PRICE_OS">"c2710"</definedName>
    <definedName name="IQ_CLOSEPRICE">"c174"</definedName>
    <definedName name="IQ_CLOSEPRICE_ADJ">"c2115"</definedName>
    <definedName name="IQ_COGS">"c175"</definedName>
    <definedName name="IQ_COMBINED_RATIO">"c176"</definedName>
    <definedName name="IQ_COMMERCIAL_DOM">"c177"</definedName>
    <definedName name="IQ_COMMERCIAL_FIRE_WRITTEN">"c178"</definedName>
    <definedName name="IQ_COMMERCIAL_MORT">"c179"</definedName>
    <definedName name="IQ_COMMISS_FEES">"c180"</definedName>
    <definedName name="IQ_COMMISSION_DEF">"c181"</definedName>
    <definedName name="IQ_COMMON">"c182"</definedName>
    <definedName name="IQ_COMMON_APIC">"c183"</definedName>
    <definedName name="IQ_COMMON_APIC_BNK">"c184"</definedName>
    <definedName name="IQ_COMMON_APIC_BR">"c185"</definedName>
    <definedName name="IQ_COMMON_APIC_FIN">"c186"</definedName>
    <definedName name="IQ_COMMON_APIC_INS">"c187"</definedName>
    <definedName name="IQ_COMMON_APIC_REIT">"c188"</definedName>
    <definedName name="IQ_COMMON_APIC_UTI">"c189"</definedName>
    <definedName name="IQ_COMMON_DIV">"c3006"</definedName>
    <definedName name="IQ_COMMON_DIV_CF">"c190"</definedName>
    <definedName name="IQ_COMMON_EQUITY_10YR_ANN_GROWTH">"c191"</definedName>
    <definedName name="IQ_COMMON_EQUITY_1YR_ANN_GROWTH">"c192"</definedName>
    <definedName name="IQ_COMMON_EQUITY_2YR_ANN_GROWTH">"c193"</definedName>
    <definedName name="IQ_COMMON_EQUITY_3YR_ANN_GROWTH">"c194"</definedName>
    <definedName name="IQ_COMMON_EQUITY_5YR_ANN_GROWTH">"c195"</definedName>
    <definedName name="IQ_COMMON_EQUITY_7YR_ANN_GROWTH">"c196"</definedName>
    <definedName name="IQ_COMMON_ISSUED">"c197"</definedName>
    <definedName name="IQ_COMMON_ISSUED_BNK">"c198"</definedName>
    <definedName name="IQ_COMMON_ISSUED_BR">"c199"</definedName>
    <definedName name="IQ_COMMON_ISSUED_FIN">"c200"</definedName>
    <definedName name="IQ_COMMON_ISSUED_INS">"c201"</definedName>
    <definedName name="IQ_COMMON_ISSUED_REIT">"c202"</definedName>
    <definedName name="IQ_COMMON_ISSUED_UTI">"c203"</definedName>
    <definedName name="IQ_COMMON_PER_ADR">"c204"</definedName>
    <definedName name="IQ_COMMON_PREF_DIV_CF">"c205"</definedName>
    <definedName name="IQ_COMMON_REP">"c206"</definedName>
    <definedName name="IQ_COMMON_REP_BNK">"c207"</definedName>
    <definedName name="IQ_COMMON_REP_BR">"c208"</definedName>
    <definedName name="IQ_COMMON_REP_FIN">"c209"</definedName>
    <definedName name="IQ_COMMON_REP_INS">"c210"</definedName>
    <definedName name="IQ_COMMON_REP_REIT">"c211"</definedName>
    <definedName name="IQ_COMMON_REP_UTI">"c212"</definedName>
    <definedName name="IQ_COMMON_STOCK">"c1358"</definedName>
    <definedName name="IQ_COMP_BENEFITS">"c213"</definedName>
    <definedName name="IQ_COMPANY_ADDRESS">"c214"</definedName>
    <definedName name="IQ_COMPANY_ID">"c3513"</definedName>
    <definedName name="IQ_COMPANY_NAME">"c215"</definedName>
    <definedName name="IQ_COMPANY_NAME_LONG">"c1585"</definedName>
    <definedName name="IQ_COMPANY_PHONE">"c216"</definedName>
    <definedName name="IQ_COMPANY_STATUS">"c2097"</definedName>
    <definedName name="IQ_COMPANY_STREET1">"c217"</definedName>
    <definedName name="IQ_COMPANY_STREET2">"c218"</definedName>
    <definedName name="IQ_COMPANY_TICKER">"c219"</definedName>
    <definedName name="IQ_COMPANY_TYPE">"c2096"</definedName>
    <definedName name="IQ_COMPANY_WEBSITE">"c220"</definedName>
    <definedName name="IQ_COMPANY_ZIP">"c221"</definedName>
    <definedName name="IQ_CONSTRUCTION_LOANS">"c222"</definedName>
    <definedName name="IQ_CONSUMER_LOANS">"c223"</definedName>
    <definedName name="IQ_CONTRACTS_OTHER_COMMODITIES_EQUITIES._FDIC" hidden="1">"c6522"</definedName>
    <definedName name="IQ_CONV_DATE">"c2191"</definedName>
    <definedName name="IQ_CONV_EXP_DATE">"c3043"</definedName>
    <definedName name="IQ_CONV_PREMIUM">"c2195"</definedName>
    <definedName name="IQ_CONV_PRICE">"c2193"</definedName>
    <definedName name="IQ_CONV_RATE">"c2192"</definedName>
    <definedName name="IQ_CONV_RATIO">"c2192"</definedName>
    <definedName name="IQ_CONV_SECURITY">"c2189"</definedName>
    <definedName name="IQ_CONV_SECURITY_ISSUER">"c2190"</definedName>
    <definedName name="IQ_CONV_SECURITY_PRICE">"c2194"</definedName>
    <definedName name="IQ_CONVERT">"c2536"</definedName>
    <definedName name="IQ_CONVERT_PCT">"c2537"</definedName>
    <definedName name="IQ_CONVEXITY">"c2182"</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"c2936"</definedName>
    <definedName name="IQ_COST_BORROWINGS">"c225"</definedName>
    <definedName name="IQ_COST_REV">"c226"</definedName>
    <definedName name="IQ_COST_REVENUE">"c1359"</definedName>
    <definedName name="IQ_COST_SAVINGS">"c227"</definedName>
    <definedName name="IQ_COST_SERVICE">"c228"</definedName>
    <definedName name="IQ_COST_TOTAL_BORROWINGS">"c229"</definedName>
    <definedName name="IQ_COUNTRY_NAME">"c230"</definedName>
    <definedName name="IQ_COVERED_POPS">"c2124"</definedName>
    <definedName name="IQ_CP">"c2495"</definedName>
    <definedName name="IQ_CP_PCT">"c2496"</definedName>
    <definedName name="IQ_CQ">5000</definedName>
    <definedName name="IQ_CREDIT_CARD_FEE_BNK">"c231"</definedName>
    <definedName name="IQ_CREDIT_CARD_FEE_FIN">"c1583"</definedName>
    <definedName name="IQ_CREDIT_LOSS_CF">"c232"</definedName>
    <definedName name="IQ_CUMULATIVE_SPLIT_FACTOR">"c2094"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"c2074"</definedName>
    <definedName name="IQ_CURR_FOREIGN_TAXES">"c2075"</definedName>
    <definedName name="IQ_CURRENCY_FACTOR_BS">"c233"</definedName>
    <definedName name="IQ_CURRENCY_FACTOR_IS">"c234"</definedName>
    <definedName name="IQ_CURRENCY_GAIN">"c235"</definedName>
    <definedName name="IQ_CURRENCY_GAIN_BR">"c236"</definedName>
    <definedName name="IQ_CURRENCY_GAIN_FIN">"c237"</definedName>
    <definedName name="IQ_CURRENCY_GAIN_INS">"c238"</definedName>
    <definedName name="IQ_CURRENCY_GAIN_REIT">"c239"</definedName>
    <definedName name="IQ_CURRENCY_GAIN_UTI">"c240"</definedName>
    <definedName name="IQ_CURRENT_PORT">"c241"</definedName>
    <definedName name="IQ_CURRENT_PORT_BNK">"c242"</definedName>
    <definedName name="IQ_CURRENT_PORT_DEBT">"c243"</definedName>
    <definedName name="IQ_CURRENT_PORT_DEBT_BNK">"c244"</definedName>
    <definedName name="IQ_CURRENT_PORT_DEBT_BR">"c1567"</definedName>
    <definedName name="IQ_CURRENT_PORT_DEBT_FIN">"c1568"</definedName>
    <definedName name="IQ_CURRENT_PORT_DEBT_INS">"c1569"</definedName>
    <definedName name="IQ_CURRENT_PORT_DEBT_REIT">"c1570"</definedName>
    <definedName name="IQ_CURRENT_PORT_DEBT_UTI">"c1571"</definedName>
    <definedName name="IQ_CURRENT_PORT_LEASES">"c245"</definedName>
    <definedName name="IQ_CURRENT_PORT_PCT">"c2541"</definedName>
    <definedName name="IQ_CURRENT_RATIO">"c246"</definedName>
    <definedName name="IQ_CUSIP">"c2245"</definedName>
    <definedName name="IQ_CY">10000</definedName>
    <definedName name="IQ_DA">"c247"</definedName>
    <definedName name="IQ_DA_BR">"c248"</definedName>
    <definedName name="IQ_DA_CF">"c249"</definedName>
    <definedName name="IQ_DA_CF_BNK">"c250"</definedName>
    <definedName name="IQ_DA_CF_BR">"c251"</definedName>
    <definedName name="IQ_DA_CF_FIN">"c252"</definedName>
    <definedName name="IQ_DA_CF_INS">"c253"</definedName>
    <definedName name="IQ_DA_CF_REIT">"c254"</definedName>
    <definedName name="IQ_DA_CF_UTI">"c255"</definedName>
    <definedName name="IQ_DA_EBITDA">"c5528"</definedName>
    <definedName name="IQ_DA_FIN">"c256"</definedName>
    <definedName name="IQ_DA_INS">"c257"</definedName>
    <definedName name="IQ_DA_REIT">"c258"</definedName>
    <definedName name="IQ_DA_SUPPL">"c259"</definedName>
    <definedName name="IQ_DA_SUPPL_BR">"c260"</definedName>
    <definedName name="IQ_DA_SUPPL_CF">"c261"</definedName>
    <definedName name="IQ_DA_SUPPL_CF_BNK">"c262"</definedName>
    <definedName name="IQ_DA_SUPPL_CF_BR">"c263"</definedName>
    <definedName name="IQ_DA_SUPPL_CF_FIN">"c264"</definedName>
    <definedName name="IQ_DA_SUPPL_CF_INS">"c265"</definedName>
    <definedName name="IQ_DA_SUPPL_CF_REIT">"c266"</definedName>
    <definedName name="IQ_DA_SUPPL_CF_UTI">"c267"</definedName>
    <definedName name="IQ_DA_SUPPL_FIN">"c268"</definedName>
    <definedName name="IQ_DA_SUPPL_INS">"c269"</definedName>
    <definedName name="IQ_DA_SUPPL_REIT">"c270"</definedName>
    <definedName name="IQ_DA_SUPPL_UTI">"c271"</definedName>
    <definedName name="IQ_DA_UTI">"c272"</definedName>
    <definedName name="IQ_DATED_DATE">"c2185"</definedName>
    <definedName name="IQ_DAY_COUNT">"c2161"</definedName>
    <definedName name="IQ_DAYS_COVER_SHORT">"c1578"</definedName>
    <definedName name="IQ_DAYS_INVENTORY_OUT">"c273"</definedName>
    <definedName name="IQ_DAYS_PAY_OUTST">"c1362"</definedName>
    <definedName name="IQ_DAYS_PAYABLE_OUT">"c274"</definedName>
    <definedName name="IQ_DAYS_SALES_OUT">"c275"</definedName>
    <definedName name="IQ_DAYS_SALES_OUTST">"c1363"</definedName>
    <definedName name="IQ_DEBT_ADJ">"c2515"</definedName>
    <definedName name="IQ_DEBT_ADJ_PCT">"c2516"</definedName>
    <definedName name="IQ_DEBT_EQUIV_NET_PBO">"c2938"</definedName>
    <definedName name="IQ_DEBT_EQUIV_OPER_LEASE">"c2935"</definedName>
    <definedName name="IQ_DEF_ACQ_CST">"c1364"</definedName>
    <definedName name="IQ_DEF_AMORT">"c276"</definedName>
    <definedName name="IQ_DEF_AMORT_BNK">"c277"</definedName>
    <definedName name="IQ_DEF_AMORT_BR">"c278"</definedName>
    <definedName name="IQ_DEF_AMORT_FIN">"c279"</definedName>
    <definedName name="IQ_DEF_AMORT_INS">"c280"</definedName>
    <definedName name="IQ_DEF_AMORT_REIT">"c281"</definedName>
    <definedName name="IQ_DEF_AMORT_UTI">"c282"</definedName>
    <definedName name="IQ_DEF_BENEFIT_INTEREST_COST">"c283"</definedName>
    <definedName name="IQ_DEF_BENEFIT_INTEREST_COST_DOMESTIC">"c2652"</definedName>
    <definedName name="IQ_DEF_BENEFIT_INTEREST_COST_FOREIGN">"c2660"</definedName>
    <definedName name="IQ_DEF_BENEFIT_OTHER_COST">"c284"</definedName>
    <definedName name="IQ_DEF_BENEFIT_OTHER_COST_DOMESTIC">"c2654"</definedName>
    <definedName name="IQ_DEF_BENEFIT_OTHER_COST_FOREIGN">"c2662"</definedName>
    <definedName name="IQ_DEF_BENEFIT_ROA">"c285"</definedName>
    <definedName name="IQ_DEF_BENEFIT_ROA_DOMESTIC">"c2653"</definedName>
    <definedName name="IQ_DEF_BENEFIT_ROA_FOREIGN">"c2661"</definedName>
    <definedName name="IQ_DEF_BENEFIT_SERVICE_COST">"c286"</definedName>
    <definedName name="IQ_DEF_BENEFIT_SERVICE_COST_DOMESTIC">"c2651"</definedName>
    <definedName name="IQ_DEF_BENEFIT_SERVICE_COST_FOREIGN">"c2659"</definedName>
    <definedName name="IQ_DEF_BENEFIT_TOTAL_COST">"c287"</definedName>
    <definedName name="IQ_DEF_BENEFIT_TOTAL_COST_DOMESTIC">"c2655"</definedName>
    <definedName name="IQ_DEF_BENEFIT_TOTAL_COST_FOREIGN">"c2663"</definedName>
    <definedName name="IQ_DEF_CHARGES_BR">"c288"</definedName>
    <definedName name="IQ_DEF_CHARGES_CF">"c289"</definedName>
    <definedName name="IQ_DEF_CHARGES_FIN">"c290"</definedName>
    <definedName name="IQ_DEF_CHARGES_INS">"c291"</definedName>
    <definedName name="IQ_DEF_CHARGES_LT">"c292"</definedName>
    <definedName name="IQ_DEF_CHARGES_LT_BNK">"c293"</definedName>
    <definedName name="IQ_DEF_CHARGES_LT_BR">"c294"</definedName>
    <definedName name="IQ_DEF_CHARGES_LT_FIN">"c295"</definedName>
    <definedName name="IQ_DEF_CHARGES_LT_INS">"c296"</definedName>
    <definedName name="IQ_DEF_CHARGES_LT_REIT">"c297"</definedName>
    <definedName name="IQ_DEF_CHARGES_LT_UTI">"c298"</definedName>
    <definedName name="IQ_DEF_CHARGES_REIT">"c299"</definedName>
    <definedName name="IQ_DEF_CONTRIBUTION_TOTAL_COST">"c300"</definedName>
    <definedName name="IQ_DEF_INC_TAX">"c1365"</definedName>
    <definedName name="IQ_DEF_POLICY_ACQ_COSTS">"c301"</definedName>
    <definedName name="IQ_DEF_POLICY_ACQ_COSTS_CF">"c302"</definedName>
    <definedName name="IQ_DEF_POLICY_AMORT">"c303"</definedName>
    <definedName name="IQ_DEF_TAX_ASSET_LT_BR">"c304"</definedName>
    <definedName name="IQ_DEF_TAX_ASSET_LT_FIN">"c305"</definedName>
    <definedName name="IQ_DEF_TAX_ASSET_LT_INS">"c306"</definedName>
    <definedName name="IQ_DEF_TAX_ASSET_LT_REIT">"c307"</definedName>
    <definedName name="IQ_DEF_TAX_ASSET_LT_UTI">"c308"</definedName>
    <definedName name="IQ_DEF_TAX_ASSETS_CURRENT">"c309"</definedName>
    <definedName name="IQ_DEF_TAX_ASSETS_LT">"c310"</definedName>
    <definedName name="IQ_DEF_TAX_ASSETS_LT_BNK">"c311"</definedName>
    <definedName name="IQ_DEF_TAX_LIAB_CURRENT">"c312"</definedName>
    <definedName name="IQ_DEF_TAX_LIAB_LT">"c313"</definedName>
    <definedName name="IQ_DEF_TAX_LIAB_LT_BNK">"c314"</definedName>
    <definedName name="IQ_DEF_TAX_LIAB_LT_BR">"c315"</definedName>
    <definedName name="IQ_DEF_TAX_LIAB_LT_FIN">"c316"</definedName>
    <definedName name="IQ_DEF_TAX_LIAB_LT_INS">"c317"</definedName>
    <definedName name="IQ_DEF_TAX_LIAB_LT_REIT">"c318"</definedName>
    <definedName name="IQ_DEF_TAX_LIAB_LT_UTI">"c319"</definedName>
    <definedName name="IQ_DEFERRED_DOMESTIC_TAXES">"c2077"</definedName>
    <definedName name="IQ_DEFERRED_FOREIGN_TAXES">"c2078"</definedName>
    <definedName name="IQ_DEFERRED_INC_TAX">"c1447"</definedName>
    <definedName name="IQ_DEFERRED_TAXES">"c1356"</definedName>
    <definedName name="IQ_DEMAND_DEP">"c320"</definedName>
    <definedName name="IQ_DEPOSITS_FIN">"c321"</definedName>
    <definedName name="IQ_DEPOSITS_INTEREST_SECURITIES">"c5509"</definedName>
    <definedName name="IQ_DEPRE_AMORT">"c1360"</definedName>
    <definedName name="IQ_DEPRE_AMORT_SUPPL">"c1593"</definedName>
    <definedName name="IQ_DEPRE_DEPLE">"c1361"</definedName>
    <definedName name="IQ_DEPRE_SUPP">"c1443"</definedName>
    <definedName name="IQ_DESCRIPTION_LONG">"c1520"</definedName>
    <definedName name="IQ_DEVELOP_LAND">"c323"</definedName>
    <definedName name="IQ_DIFF_LASTCLOSE_TARGET_PRICE">"c1854"</definedName>
    <definedName name="IQ_DILUT_ADJUST">"c1621"</definedName>
    <definedName name="IQ_DILUT_EPS_EXCL">"c324"</definedName>
    <definedName name="IQ_DILUT_EPS_INCL">"c325"</definedName>
    <definedName name="IQ_DILUT_EPS_NORM">"c1903"</definedName>
    <definedName name="IQ_DILUT_NI">"c2079"</definedName>
    <definedName name="IQ_DILUT_NORMAL_EPS">"c1594"</definedName>
    <definedName name="IQ_DILUT_WEIGHT">"c326"</definedName>
    <definedName name="IQ_DIRECT_AH_EARNED">"c2740"</definedName>
    <definedName name="IQ_DIRECT_EARNED">"c2730"</definedName>
    <definedName name="IQ_DIRECT_LIFE_EARNED">"c2735"</definedName>
    <definedName name="IQ_DIRECT_LIFE_IN_FORCE">"c2765"</definedName>
    <definedName name="IQ_DIRECT_PC_EARNED">"c2745"</definedName>
    <definedName name="IQ_DIRECT_WRITTEN">"c2724"</definedName>
    <definedName name="IQ_DISCONT_OPER">"c1367"</definedName>
    <definedName name="IQ_DISCOUNT_RATE_PENSION_DOMESTIC">"c327"</definedName>
    <definedName name="IQ_DISCOUNT_RATE_PENSION_FOREIGN">"c328"</definedName>
    <definedName name="IQ_DISTR_EXCESS_EARN">"c329"</definedName>
    <definedName name="IQ_DISTRIBUTABLE_CASH">"c3002"</definedName>
    <definedName name="IQ_DISTRIBUTABLE_CASH_ACT_OR_EST">"c4278"</definedName>
    <definedName name="IQ_DISTRIBUTABLE_CASH_PAYOUT">"c3005"</definedName>
    <definedName name="IQ_DISTRIBUTABLE_CASH_SHARE">"c3003"</definedName>
    <definedName name="IQ_DISTRIBUTABLE_CASH_SHARE_ACT_OR_EST">"c4286"</definedName>
    <definedName name="IQ_DIV_AMOUNT">"c3041"</definedName>
    <definedName name="IQ_DIV_PAYMENT_DATE">"c2205"</definedName>
    <definedName name="IQ_DIV_RECORD_DATE">"c2204"</definedName>
    <definedName name="IQ_DIV_SHARE">"c330"</definedName>
    <definedName name="IQ_DIVEST_CF">"c331"</definedName>
    <definedName name="IQ_DIVID_SHARE">"c1366"</definedName>
    <definedName name="IQ_DIVIDEND_YIELD">"c332"</definedName>
    <definedName name="IQ_DO">"c333"</definedName>
    <definedName name="IQ_DO_ASSETS_CURRENT">"c334"</definedName>
    <definedName name="IQ_DO_ASSETS_LT">"c335"</definedName>
    <definedName name="IQ_DO_CF">"c336"</definedName>
    <definedName name="IQ_DPAC_ACC">"c2799"</definedName>
    <definedName name="IQ_DPAC_AMORT">"c2795"</definedName>
    <definedName name="IQ_DPAC_BEG">"c2791"</definedName>
    <definedName name="IQ_DPAC_COMMISSIONS">"c2792"</definedName>
    <definedName name="IQ_DPAC_END">"c2801"</definedName>
    <definedName name="IQ_DPAC_FX">"c2798"</definedName>
    <definedName name="IQ_DPAC_OTHER_ADJ">"c2800"</definedName>
    <definedName name="IQ_DPAC_OTHERS">"c2793"</definedName>
    <definedName name="IQ_DPAC_PERIOD">"c2794"</definedName>
    <definedName name="IQ_DPAC_REAL_GAIN">"c2797"</definedName>
    <definedName name="IQ_DPAC_UNREAL_GAIN">"c2796"</definedName>
    <definedName name="IQ_DPS_10YR_ANN_GROWTH">"c337"</definedName>
    <definedName name="IQ_DPS_1YR_ANN_GROWTH">"c338"</definedName>
    <definedName name="IQ_DPS_2YR_ANN_GROWTH">"c339"</definedName>
    <definedName name="IQ_DPS_3YR_ANN_GROWTH">"c340"</definedName>
    <definedName name="IQ_DPS_5YR_ANN_GROWTH">"c341"</definedName>
    <definedName name="IQ_DPS_7YR_ANN_GROWTH">"c342"</definedName>
    <definedName name="IQ_DURATION">"c2181"</definedName>
    <definedName name="IQ_EARNING_ASSET_YIELD">"c343"</definedName>
    <definedName name="IQ_EARNING_CO">"c344"</definedName>
    <definedName name="IQ_EARNING_CO_10YR_ANN_GROWTH">"c345"</definedName>
    <definedName name="IQ_EARNING_CO_1YR_ANN_GROWTH">"c346"</definedName>
    <definedName name="IQ_EARNING_CO_2YR_ANN_GROWTH">"c347"</definedName>
    <definedName name="IQ_EARNING_CO_3YR_ANN_GROWTH">"c348"</definedName>
    <definedName name="IQ_EARNING_CO_5YR_ANN_GROWTH">"c349"</definedName>
    <definedName name="IQ_EARNING_CO_7YR_ANN_GROWTH">"c350"</definedName>
    <definedName name="IQ_EARNING_CO_MARGIN">"c351"</definedName>
    <definedName name="IQ_EARNINGS_ANNOUNCE_DATE">"c1649"</definedName>
    <definedName name="IQ_EARNINGS_ANNOUNCE_DATE_REUT">"c5314"</definedName>
    <definedName name="IQ_EBIT">"c352"</definedName>
    <definedName name="IQ_EBIT_10YR_ANN_GROWTH">"c353"</definedName>
    <definedName name="IQ_EBIT_1YR_ANN_GROWTH">"c354"</definedName>
    <definedName name="IQ_EBIT_2YR_ANN_GROWTH">"c355"</definedName>
    <definedName name="IQ_EBIT_3YR_ANN_GROWTH">"c356"</definedName>
    <definedName name="IQ_EBIT_5YR_ANN_GROWTH">"c357"</definedName>
    <definedName name="IQ_EBIT_7YR_ANN_GROWTH">"c358"</definedName>
    <definedName name="IQ_EBIT_EQ_INC">"c3498"</definedName>
    <definedName name="IQ_EBIT_EQ_INC_EXCL_SBC">"c3502"</definedName>
    <definedName name="IQ_EBIT_EXCL_SBC">"c3082"</definedName>
    <definedName name="IQ_EBIT_GW_ACT_OR_EST">"c4306"</definedName>
    <definedName name="IQ_EBIT_INT">"c360"</definedName>
    <definedName name="IQ_EBIT_MARGIN">"c359"</definedName>
    <definedName name="IQ_EBIT_OVER_IE">"c1369"</definedName>
    <definedName name="IQ_EBIT_SBC_ACT_OR_EST">"c4316"</definedName>
    <definedName name="IQ_EBIT_SBC_GW_ACT_OR_EST">"c4320"</definedName>
    <definedName name="IQ_EBITA">"c1910"</definedName>
    <definedName name="IQ_EBITA_10YR_ANN_GROWTH">"c1954"</definedName>
    <definedName name="IQ_EBITA_1YR_ANN_GROWTH">"c1949"</definedName>
    <definedName name="IQ_EBITA_2YR_ANN_GROWTH">"c1950"</definedName>
    <definedName name="IQ_EBITA_3YR_ANN_GROWTH">"c1951"</definedName>
    <definedName name="IQ_EBITA_5YR_ANN_GROWTH">"c1952"</definedName>
    <definedName name="IQ_EBITA_7YR_ANN_GROWTH">"c1953"</definedName>
    <definedName name="IQ_EBITA_EQ_INC">"c3497"</definedName>
    <definedName name="IQ_EBITA_EQ_INC_EXCL_SBC">"c3501"</definedName>
    <definedName name="IQ_EBITA_EXCL_SBC">"c3080"</definedName>
    <definedName name="IQ_EBITA_MARGIN">"c1963"</definedName>
    <definedName name="IQ_EBITDA">"c361"</definedName>
    <definedName name="IQ_EBITDA_10YR_ANN_GROWTH">"c362"</definedName>
    <definedName name="IQ_EBITDA_1YR_ANN_GROWTH">"c363"</definedName>
    <definedName name="IQ_EBITDA_2YR_ANN_GROWTH">"c364"</definedName>
    <definedName name="IQ_EBITDA_3YR_ANN_GROWTH">"c365"</definedName>
    <definedName name="IQ_EBITDA_5YR_ANN_GROWTH">"c366"</definedName>
    <definedName name="IQ_EBITDA_7YR_ANN_GROWTH">"c367"</definedName>
    <definedName name="IQ_EBITDA_ACT_OR_EST">"c2215"</definedName>
    <definedName name="IQ_EBITDA_CAPEX_INT">"c368"</definedName>
    <definedName name="IQ_EBITDA_CAPEX_OVER_TOTAL_IE">"c1370"</definedName>
    <definedName name="IQ_EBITDA_EQ_INC">"c3496"</definedName>
    <definedName name="IQ_EBITDA_EQ_INC_EXCL_SBC">"c3500"</definedName>
    <definedName name="IQ_EBITDA_EST">"c369"</definedName>
    <definedName name="IQ_EBITDA_EST_REUT">"c3640"</definedName>
    <definedName name="IQ_EBITDA_EXCL_SBC">"c3081"</definedName>
    <definedName name="IQ_EBITDA_HIGH_EST">"c370"</definedName>
    <definedName name="IQ_EBITDA_HIGH_EST_REUT">"c3642"</definedName>
    <definedName name="IQ_EBITDA_INT">"c373"</definedName>
    <definedName name="IQ_EBITDA_LOW_EST">"c371"</definedName>
    <definedName name="IQ_EBITDA_LOW_EST_REUT">"c3643"</definedName>
    <definedName name="IQ_EBITDA_MARGIN">"c372"</definedName>
    <definedName name="IQ_EBITDA_MEDIAN_EST">"c1663"</definedName>
    <definedName name="IQ_EBITDA_MEDIAN_EST_REUT">"c3641"</definedName>
    <definedName name="IQ_EBITDA_NUM_EST">"c374"</definedName>
    <definedName name="IQ_EBITDA_NUM_EST_REUT">"c3644"</definedName>
    <definedName name="IQ_EBITDA_OVER_TOTAL_IE">"c1371"</definedName>
    <definedName name="IQ_EBITDA_SBC_ACT_OR_EST">"c4337"</definedName>
    <definedName name="IQ_EBITDA_STDDEV_EST">"c375"</definedName>
    <definedName name="IQ_EBITDA_STDDEV_EST_REUT">"c3645"</definedName>
    <definedName name="IQ_EBITDAR">"c2989"</definedName>
    <definedName name="IQ_EBITDAR_EQ_INC">"c3499"</definedName>
    <definedName name="IQ_EBITDAR_EQ_INC_EXCL_SBC">"c3503"</definedName>
    <definedName name="IQ_EBITDAR_EXCL_SBC">"c3083"</definedName>
    <definedName name="IQ_EBT">"c376"</definedName>
    <definedName name="IQ_EBT_BNK">"c377"</definedName>
    <definedName name="IQ_EBT_BR">"c378"</definedName>
    <definedName name="IQ_EBT_EXCL">"c379"</definedName>
    <definedName name="IQ_EBT_EXCL_BNK">"c380"</definedName>
    <definedName name="IQ_EBT_EXCL_BR">"c381"</definedName>
    <definedName name="IQ_EBT_EXCL_FIN">"c382"</definedName>
    <definedName name="IQ_EBT_EXCL_INS">"c383"</definedName>
    <definedName name="IQ_EBT_EXCL_MARGIN">"c1462"</definedName>
    <definedName name="IQ_EBT_EXCL_REIT">"c384"</definedName>
    <definedName name="IQ_EBT_EXCL_UTI">"c385"</definedName>
    <definedName name="IQ_EBT_FIN">"c386"</definedName>
    <definedName name="IQ_EBT_INCL_MARGIN">"c387"</definedName>
    <definedName name="IQ_EBT_INS">"c388"</definedName>
    <definedName name="IQ_EBT_REIT">"c389"</definedName>
    <definedName name="IQ_EBT_SBC_ACT_OR_EST">"c4350"</definedName>
    <definedName name="IQ_EBT_SBC_GW_ACT_OR_EST">"c4354"</definedName>
    <definedName name="IQ_EBT_UTI">"c390"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"c1595"</definedName>
    <definedName name="IQ_EFFECT_TAX_RATE">"c1899"</definedName>
    <definedName name="IQ_EFFICIENCY_RATIO">"c391"</definedName>
    <definedName name="IQ_EMPLOYEES">"c392"</definedName>
    <definedName name="IQ_ENTERPRISE_VALUE">"c1348"</definedName>
    <definedName name="IQ_EPS_10YR_ANN_GROWTH">"c393"</definedName>
    <definedName name="IQ_EPS_1YR_ANN_GROWTH">"c394"</definedName>
    <definedName name="IQ_EPS_2YR_ANN_GROWTH">"c395"</definedName>
    <definedName name="IQ_EPS_3YR_ANN_GROWTH">"c396"</definedName>
    <definedName name="IQ_EPS_5YR_ANN_GROWTH">"c397"</definedName>
    <definedName name="IQ_EPS_7YR_ANN_GROWTH">"c398"</definedName>
    <definedName name="IQ_EPS_ACT_OR_EST">"c2213"</definedName>
    <definedName name="IQ_EPS_EST">"c399"</definedName>
    <definedName name="IQ_EPS_EST_REUT">"c5453"</definedName>
    <definedName name="IQ_EPS_HIGH_EST">"c400"</definedName>
    <definedName name="IQ_EPS_HIGH_EST_REUT">"c5454"</definedName>
    <definedName name="IQ_EPS_LOW_EST">"c401"</definedName>
    <definedName name="IQ_EPS_LOW_EST_REUT">"c5455"</definedName>
    <definedName name="IQ_EPS_MEDIAN_EST">"c1661"</definedName>
    <definedName name="IQ_EPS_MEDIAN_EST_REUT">"c5456"</definedName>
    <definedName name="IQ_EPS_NORM">"c1902"</definedName>
    <definedName name="IQ_EPS_NUM_EST">"c402"</definedName>
    <definedName name="IQ_EPS_NUM_EST_REUT">"c5451"</definedName>
    <definedName name="IQ_EPS_SBC_ACT_OR_EST">"c4376"</definedName>
    <definedName name="IQ_EPS_SBC_GW_ACT_OR_EST">"c4380"</definedName>
    <definedName name="IQ_EPS_STDDEV_EST">"c403"</definedName>
    <definedName name="IQ_EPS_STDDEV_EST_REUT">"c5452"</definedName>
    <definedName name="IQ_EQUITY_AFFIL">"c1451"</definedName>
    <definedName name="IQ_EQUITY_METHOD">"c404"</definedName>
    <definedName name="IQ_EQV_OVER_BV">"c1596"</definedName>
    <definedName name="IQ_EQV_OVER_LTM_PRETAX_INC">"c1390"</definedName>
    <definedName name="IQ_ESOP_DEBT">"c1597"</definedName>
    <definedName name="IQ_EST_ACT_EPS">"c1648"</definedName>
    <definedName name="IQ_EST_CURRENCY">"c2140"</definedName>
    <definedName name="IQ_EST_CURRENCY_REUT">"c5437"</definedName>
    <definedName name="IQ_EST_DATE">"c1634"</definedName>
    <definedName name="IQ_EST_DATE_REUT">"c5438"</definedName>
    <definedName name="IQ_EST_EPS_DIFF">"c1864"</definedName>
    <definedName name="IQ_EST_EPS_GROWTH_1YR">"c1636"</definedName>
    <definedName name="IQ_EST_EPS_GROWTH_1YR_REUT">"c3646"</definedName>
    <definedName name="IQ_EST_EPS_GROWTH_5YR">"c1655"</definedName>
    <definedName name="IQ_EST_EPS_GROWTH_5YR_REUT">"c3633"</definedName>
    <definedName name="IQ_EST_EPS_GROWTH_Q_1YR">"c1641"</definedName>
    <definedName name="IQ_EST_EPS_GROWTH_Q_1YR_REUT">"c5410"</definedName>
    <definedName name="IQ_EST_VENDOR">"c5564"</definedName>
    <definedName name="IQ_EV_OVER_EMPLOYEE">"c1428"</definedName>
    <definedName name="IQ_EV_OVER_LTM_EBIT">"c1426"</definedName>
    <definedName name="IQ_EV_OVER_LTM_EBITDA">"c1427"</definedName>
    <definedName name="IQ_EV_OVER_LTM_REVENUE">"c1429"</definedName>
    <definedName name="IQ_EVAL_DATE">"c2180"</definedName>
    <definedName name="IQ_EXCHANGE">"c405"</definedName>
    <definedName name="IQ_EXCISE_TAXES_EXCL_SALES">"c5515"</definedName>
    <definedName name="IQ_EXCISE_TAXES_INCL_SALES">"c5514"</definedName>
    <definedName name="IQ_EXERCISE_PRICE">"c1897"</definedName>
    <definedName name="IQ_EXERCISED">"c406"</definedName>
    <definedName name="IQ_EXP_RETURN_PENSION_DOMESTIC">"c407"</definedName>
    <definedName name="IQ_EXP_RETURN_PENSION_FOREIGN">"c408"</definedName>
    <definedName name="IQ_EXPLORE_DRILL">"c409"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"c410"</definedName>
    <definedName name="IQ_EXTRA_ACC_ITEMS_BNK">"c411"</definedName>
    <definedName name="IQ_EXTRA_ACC_ITEMS_BR">"c412"</definedName>
    <definedName name="IQ_EXTRA_ACC_ITEMS_FIN">"c413"</definedName>
    <definedName name="IQ_EXTRA_ACC_ITEMS_INS">"c414"</definedName>
    <definedName name="IQ_EXTRA_ACC_ITEMS_REIT">"c415"</definedName>
    <definedName name="IQ_EXTRA_ACC_ITEMS_UTI">"c416"</definedName>
    <definedName name="IQ_EXTRA_ITEMS">"c1459"</definedName>
    <definedName name="IQ_FDIC">"c417"</definedName>
    <definedName name="IQ_FEDFUNDS_SOLD">"c2256"</definedName>
    <definedName name="IQ_FFO">"c1574"</definedName>
    <definedName name="IQ_FFO_ADJ_ACT_OR_EST">"c4435"</definedName>
    <definedName name="IQ_FFO_PAYOUT_RATIO">"c3492"</definedName>
    <definedName name="IQ_FFO_SHARE_ACT_OR_EST">"c4446"</definedName>
    <definedName name="IQ_FH" hidden="1">100000</definedName>
    <definedName name="IQ_FHLB_DEBT">"c423"</definedName>
    <definedName name="IQ_FHLB_DUE_CY">"c2080"</definedName>
    <definedName name="IQ_FHLB_DUE_CY1">"c2081"</definedName>
    <definedName name="IQ_FHLB_DUE_CY2">"c2082"</definedName>
    <definedName name="IQ_FHLB_DUE_CY3">"c2083"</definedName>
    <definedName name="IQ_FHLB_DUE_CY4">"c2084"</definedName>
    <definedName name="IQ_FHLB_DUE_NEXT_FIVE">"c2085"</definedName>
    <definedName name="IQ_FILING_CURRENCY">"c2129"</definedName>
    <definedName name="IQ_FILINGDATE_BS">"c424"</definedName>
    <definedName name="IQ_FILINGDATE_CF">"c425"</definedName>
    <definedName name="IQ_FILINGDATE_IS">"c426"</definedName>
    <definedName name="IQ_FILM_RIGHTS">"c2254"</definedName>
    <definedName name="IQ_FIN_DIV_ASSETS_CURRENT">"c427"</definedName>
    <definedName name="IQ_FIN_DIV_ASSETS_LT">"c428"</definedName>
    <definedName name="IQ_FIN_DIV_CURRENT_PORT_DEBT_TOTAL">"c5524"</definedName>
    <definedName name="IQ_FIN_DIV_CURRENT_PORT_LEASES_TOTAL">"c5523"</definedName>
    <definedName name="IQ_FIN_DIV_DEBT_CURRENT">"c429"</definedName>
    <definedName name="IQ_FIN_DIV_DEBT_LT">"c430"</definedName>
    <definedName name="IQ_FIN_DIV_DEBT_LT_TOTAL">"c5526"</definedName>
    <definedName name="IQ_FIN_DIV_EXP">"c431"</definedName>
    <definedName name="IQ_FIN_DIV_INT_EXP">"c432"</definedName>
    <definedName name="IQ_FIN_DIV_LEASES_LT_TOTAL">"c5525"</definedName>
    <definedName name="IQ_FIN_DIV_LIAB_CURRENT">"c433"</definedName>
    <definedName name="IQ_FIN_DIV_LIAB_LT">"c434"</definedName>
    <definedName name="IQ_FIN_DIV_LOANS_CURRENT">"c435"</definedName>
    <definedName name="IQ_FIN_DIV_LOANS_LT">"c436"</definedName>
    <definedName name="IQ_FIN_DIV_NOTES_PAY_TOTAL">"c5522"</definedName>
    <definedName name="IQ_FIN_DIV_REV">"c437"</definedName>
    <definedName name="IQ_FIN_DIV_ST_DEBT_TOTAL">"c5527"</definedName>
    <definedName name="IQ_FINANCING_CASH">"c1405"</definedName>
    <definedName name="IQ_FINANCING_CASH_SUPPL">"c1406"</definedName>
    <definedName name="IQ_FINISHED_INV">"c438"</definedName>
    <definedName name="IQ_FIRST_INT_DATE">"c2186"</definedName>
    <definedName name="IQ_FIRST_YEAR_LIFE">"c439"</definedName>
    <definedName name="IQ_FIRST_YEAR_LIFE_PREM">"c2787"</definedName>
    <definedName name="IQ_FIRST_YEAR_PREM">"c2786"</definedName>
    <definedName name="IQ_FIRSTPRICINGDATE">"c3050"</definedName>
    <definedName name="IQ_FISCAL_Q">"c440"</definedName>
    <definedName name="IQ_FISCAL_Y">"c441"</definedName>
    <definedName name="IQ_FIVE_PERCENT_OWNER">"c442"</definedName>
    <definedName name="IQ_FIVEPERCENT_PERCENT">"c443"</definedName>
    <definedName name="IQ_FIVEPERCENT_SHARES">"c444"</definedName>
    <definedName name="IQ_FIXED_ASSET_TURNS">"c445"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"c1575"</definedName>
    <definedName name="IQ_FOREIGN_BRANCHES_U.S._BANKS_LOANS_FDIC" hidden="1">"c6438"</definedName>
    <definedName name="IQ_FOREIGN_DEP_IB">"c446"</definedName>
    <definedName name="IQ_FOREIGN_DEP_NON_IB">"c447"</definedName>
    <definedName name="IQ_FOREIGN_EXCHANGE">"c1376"</definedName>
    <definedName name="IQ_FOREIGN_LOANS">"c448"</definedName>
    <definedName name="IQ_FQ">500</definedName>
    <definedName name="IQ_FUEL">"c449"</definedName>
    <definedName name="IQ_FULL_TIME">"c450"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X">"c451"</definedName>
    <definedName name="IQ_FY">1000</definedName>
    <definedName name="IQ_GA_EXP">"c2241"</definedName>
    <definedName name="IQ_GAIN_ASSETS">"c452"</definedName>
    <definedName name="IQ_GAIN_ASSETS_BNK">"c453"</definedName>
    <definedName name="IQ_GAIN_ASSETS_BR">"c454"</definedName>
    <definedName name="IQ_GAIN_ASSETS_CF">"c455"</definedName>
    <definedName name="IQ_GAIN_ASSETS_CF_BNK">"c456"</definedName>
    <definedName name="IQ_GAIN_ASSETS_CF_BR">"c457"</definedName>
    <definedName name="IQ_GAIN_ASSETS_CF_FIN">"c458"</definedName>
    <definedName name="IQ_GAIN_ASSETS_CF_INS">"c459"</definedName>
    <definedName name="IQ_GAIN_ASSETS_CF_REIT">"c460"</definedName>
    <definedName name="IQ_GAIN_ASSETS_CF_UTI">"c461"</definedName>
    <definedName name="IQ_GAIN_ASSETS_FIN">"c462"</definedName>
    <definedName name="IQ_GAIN_ASSETS_INS">"c463"</definedName>
    <definedName name="IQ_GAIN_ASSETS_REIT">"c471"</definedName>
    <definedName name="IQ_GAIN_ASSETS_REV">"c472"</definedName>
    <definedName name="IQ_GAIN_ASSETS_REV_BNK">"c473"</definedName>
    <definedName name="IQ_GAIN_ASSETS_REV_BR">"c474"</definedName>
    <definedName name="IQ_GAIN_ASSETS_REV_FIN">"c475"</definedName>
    <definedName name="IQ_GAIN_ASSETS_REV_INS">"c476"</definedName>
    <definedName name="IQ_GAIN_ASSETS_REV_REIT">"c477"</definedName>
    <definedName name="IQ_GAIN_ASSETS_REV_UTI">"c478"</definedName>
    <definedName name="IQ_GAIN_ASSETS_UTI">"c479"</definedName>
    <definedName name="IQ_GAIN_INVEST">"c1463"</definedName>
    <definedName name="IQ_GAIN_INVEST_BNK">"c1582"</definedName>
    <definedName name="IQ_GAIN_INVEST_BR">"c1464"</definedName>
    <definedName name="IQ_GAIN_INVEST_CF">"c480"</definedName>
    <definedName name="IQ_GAIN_INVEST_CF_BNK">"c481"</definedName>
    <definedName name="IQ_GAIN_INVEST_CF_BR">"c482"</definedName>
    <definedName name="IQ_GAIN_INVEST_CF_FIN">"c483"</definedName>
    <definedName name="IQ_GAIN_INVEST_CF_INS">"c484"</definedName>
    <definedName name="IQ_GAIN_INVEST_CF_REIT">"c485"</definedName>
    <definedName name="IQ_GAIN_INVEST_CF_UTI">"c486"</definedName>
    <definedName name="IQ_GAIN_INVEST_FIN">"c1465"</definedName>
    <definedName name="IQ_GAIN_INVEST_INS">"c1466"</definedName>
    <definedName name="IQ_GAIN_INVEST_REIT">"c1467"</definedName>
    <definedName name="IQ_GAIN_INVEST_REV">"c494"</definedName>
    <definedName name="IQ_GAIN_INVEST_REV_BNK">"c495"</definedName>
    <definedName name="IQ_GAIN_INVEST_REV_BR">"c496"</definedName>
    <definedName name="IQ_GAIN_INVEST_REV_FIN">"c497"</definedName>
    <definedName name="IQ_GAIN_INVEST_REV_INS">"c498"</definedName>
    <definedName name="IQ_GAIN_INVEST_REV_REIT">"c499"</definedName>
    <definedName name="IQ_GAIN_INVEST_REV_UTI">"c500"</definedName>
    <definedName name="IQ_GAIN_INVEST_UTI">"c1468"</definedName>
    <definedName name="IQ_GAIN_LOANS_REC">"c501"</definedName>
    <definedName name="IQ_GAIN_LOANS_RECEIV">"c502"</definedName>
    <definedName name="IQ_GAIN_LOANS_RECEIV_REV_FIN">"c503"</definedName>
    <definedName name="IQ_GAIN_LOANS_REV">"c504"</definedName>
    <definedName name="IQ_GAIN_SALE_ASSETS">"c1377"</definedName>
    <definedName name="IQ_GEO_SEG_ASSETS">"c4069"</definedName>
    <definedName name="IQ_GEO_SEG_ASSETS_ABS">"c4091"</definedName>
    <definedName name="IQ_GEO_SEG_ASSETS_TOTAL">"c4123"</definedName>
    <definedName name="IQ_GEO_SEG_CAPEX">"c4083"</definedName>
    <definedName name="IQ_GEO_SEG_CAPEX_ABS">"c4105"</definedName>
    <definedName name="IQ_GEO_SEG_CAPEX_TOTAL">"c4127"</definedName>
    <definedName name="IQ_GEO_SEG_DA">"c4082"</definedName>
    <definedName name="IQ_GEO_SEG_DA_ABS">"c4104"</definedName>
    <definedName name="IQ_GEO_SEG_DA_TOTAL">"c4126"</definedName>
    <definedName name="IQ_GEO_SEG_EARNINGS_OP">"c4073"</definedName>
    <definedName name="IQ_GEO_SEG_EARNINGS_OP_ABS">"c4095"</definedName>
    <definedName name="IQ_GEO_SEG_EARNINGS_OP_TOTAL">"c4119"</definedName>
    <definedName name="IQ_GEO_SEG_EBT">"c4072"</definedName>
    <definedName name="IQ_GEO_SEG_EBT_ABS">"c4094"</definedName>
    <definedName name="IQ_GEO_SEG_EBT_TOTAL">"c4121"</definedName>
    <definedName name="IQ_GEO_SEG_GP">"c4070"</definedName>
    <definedName name="IQ_GEO_SEG_GP_ABS">"c4092"</definedName>
    <definedName name="IQ_GEO_SEG_GP_TOTAL">"c4120"</definedName>
    <definedName name="IQ_GEO_SEG_INC_TAX">"c4081"</definedName>
    <definedName name="IQ_GEO_SEG_INC_TAX_ABS">"c4103"</definedName>
    <definedName name="IQ_GEO_SEG_INC_TAX_TOTAL">"c4125"</definedName>
    <definedName name="IQ_GEO_SEG_INTEREST_EXP">"c4080"</definedName>
    <definedName name="IQ_GEO_SEG_INTEREST_EXP_ABS">"c4102"</definedName>
    <definedName name="IQ_GEO_SEG_INTEREST_EXP_TOTAL">"c4124"</definedName>
    <definedName name="IQ_GEO_SEG_NAME">"c5484"</definedName>
    <definedName name="IQ_GEO_SEG_NAME_ABS">"c5485"</definedName>
    <definedName name="IQ_GEO_SEG_NI">"c4071"</definedName>
    <definedName name="IQ_GEO_SEG_NI_ABS">"c4093"</definedName>
    <definedName name="IQ_GEO_SEG_NI_TOTAL">"c4122"</definedName>
    <definedName name="IQ_GEO_SEG_OPER_INC">"c4075"</definedName>
    <definedName name="IQ_GEO_SEG_OPER_INC_ABS">"c4097"</definedName>
    <definedName name="IQ_GEO_SEG_OPER_INC_TOTAL">"c4118"</definedName>
    <definedName name="IQ_GEO_SEG_REV">"c4074"</definedName>
    <definedName name="IQ_GEO_SEG_REV_ABS">"c4096"</definedName>
    <definedName name="IQ_GEO_SEG_REV_TOTAL">"c4117"</definedName>
    <definedName name="IQ_GOODWILL_NET">"c1380"</definedName>
    <definedName name="IQ_GP">"c511"</definedName>
    <definedName name="IQ_GP_10YR_ANN_GROWTH">"c512"</definedName>
    <definedName name="IQ_GP_1YR_ANN_GROWTH">"c513"</definedName>
    <definedName name="IQ_GP_2YR_ANN_GROWTH">"c514"</definedName>
    <definedName name="IQ_GP_3YR_ANN_GROWTH">"c515"</definedName>
    <definedName name="IQ_GP_5YR_ANN_GROWTH">"c516"</definedName>
    <definedName name="IQ_GP_7YR_ANN_GROWTH">"c517"</definedName>
    <definedName name="IQ_GPPE">"c518"</definedName>
    <definedName name="IQ_GROSS_AH_EARNED">"c2742"</definedName>
    <definedName name="IQ_GROSS_CLAIM_EXP_INCUR">"c2755"</definedName>
    <definedName name="IQ_GROSS_CLAIM_EXP_PAID">"c2758"</definedName>
    <definedName name="IQ_GROSS_CLAIM_EXP_RES">"c2752"</definedName>
    <definedName name="IQ_GROSS_DIVID">"c1446"</definedName>
    <definedName name="IQ_GROSS_EARNED">"c2732"</definedName>
    <definedName name="IQ_GROSS_LIFE_EARNED">"c2737"</definedName>
    <definedName name="IQ_GROSS_LIFE_IN_FORCE">"c2767"</definedName>
    <definedName name="IQ_GROSS_LOANS">"c521"</definedName>
    <definedName name="IQ_GROSS_LOANS_10YR_ANN_GROWTH">"c522"</definedName>
    <definedName name="IQ_GROSS_LOANS_1YR_ANN_GROWTH">"c523"</definedName>
    <definedName name="IQ_GROSS_LOANS_2YR_ANN_GROWTH">"c524"</definedName>
    <definedName name="IQ_GROSS_LOANS_3YR_ANN_GROWTH">"c525"</definedName>
    <definedName name="IQ_GROSS_LOANS_5YR_ANN_GROWTH">"c526"</definedName>
    <definedName name="IQ_GROSS_LOANS_7YR_ANN_GROWTH">"c527"</definedName>
    <definedName name="IQ_GROSS_LOANS_TOTAL_DEPOSITS">"c528"</definedName>
    <definedName name="IQ_GROSS_MARGIN">"c529"</definedName>
    <definedName name="IQ_GROSS_PC_EARNED">"c2747"</definedName>
    <definedName name="IQ_GROSS_PROFIT">"c1378"</definedName>
    <definedName name="IQ_GROSS_SPRD">"c2155"</definedName>
    <definedName name="IQ_GROSS_WRITTEN">"c2726"</definedName>
    <definedName name="IQ_GW">"c530"</definedName>
    <definedName name="IQ_GW_AMORT_BR">"c532"</definedName>
    <definedName name="IQ_GW_AMORT_FIN">"c540"</definedName>
    <definedName name="IQ_GW_AMORT_INS">"c541"</definedName>
    <definedName name="IQ_GW_AMORT_REIT">"c542"</definedName>
    <definedName name="IQ_GW_AMORT_UTI">"c543"</definedName>
    <definedName name="IQ_GW_INTAN_AMORT">"c1469"</definedName>
    <definedName name="IQ_GW_INTAN_AMORT_BNK">"c544"</definedName>
    <definedName name="IQ_GW_INTAN_AMORT_BR">"c1470"</definedName>
    <definedName name="IQ_GW_INTAN_AMORT_CF">"c1471"</definedName>
    <definedName name="IQ_GW_INTAN_AMORT_CF_BNK">"c1472"</definedName>
    <definedName name="IQ_GW_INTAN_AMORT_CF_BR">"c1473"</definedName>
    <definedName name="IQ_GW_INTAN_AMORT_CF_FIN">"c1474"</definedName>
    <definedName name="IQ_GW_INTAN_AMORT_CF_INS">"c1475"</definedName>
    <definedName name="IQ_GW_INTAN_AMORT_CF_REIT">"c1476"</definedName>
    <definedName name="IQ_GW_INTAN_AMORT_CF_UTI">"c1477"</definedName>
    <definedName name="IQ_GW_INTAN_AMORT_FIN">"c1478"</definedName>
    <definedName name="IQ_GW_INTAN_AMORT_INS">"c1479"</definedName>
    <definedName name="IQ_GW_INTAN_AMORT_REIT">"c1480"</definedName>
    <definedName name="IQ_GW_INTAN_AMORT_UTI">"c1481"</definedName>
    <definedName name="IQ_HIGH_TARGET_PRICE">"c1651"</definedName>
    <definedName name="IQ_HIGH_TARGET_PRICE_REUT">"c5317"</definedName>
    <definedName name="IQ_HIGHPRICE">"c545"</definedName>
    <definedName name="IQ_HOMEOWNERS_WRITTEN">"c546"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"c547"</definedName>
    <definedName name="IQ_IMPAIRMENT_GW">"c548"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"c2987"</definedName>
    <definedName name="IQ_IMPUT_OPER_LEASE_INT_EXP">"c2986"</definedName>
    <definedName name="IQ_INC_AFTER_TAX">"c1598"</definedName>
    <definedName name="IQ_INC_AVAIL_EXCL">"c1395"</definedName>
    <definedName name="IQ_INC_AVAIL_INCL">"c1396"</definedName>
    <definedName name="IQ_INC_BEFORE_TAX">"c1375"</definedName>
    <definedName name="IQ_INC_EQUITY">"c549"</definedName>
    <definedName name="IQ_INC_EQUITY_BR">"c550"</definedName>
    <definedName name="IQ_INC_EQUITY_CF">"c551"</definedName>
    <definedName name="IQ_INC_EQUITY_FIN">"c552"</definedName>
    <definedName name="IQ_INC_EQUITY_INS">"c553"</definedName>
    <definedName name="IQ_INC_EQUITY_REC_BNK">"c554"</definedName>
    <definedName name="IQ_INC_EQUITY_REIT">"c555"</definedName>
    <definedName name="IQ_INC_EQUITY_REV_BNK">"c556"</definedName>
    <definedName name="IQ_INC_EQUITY_UTI">"c557"</definedName>
    <definedName name="IQ_INC_REAL_ESTATE_REC">"c558"</definedName>
    <definedName name="IQ_INC_REAL_ESTATE_REV">"c559"</definedName>
    <definedName name="IQ_INC_TAX">"c560"</definedName>
    <definedName name="IQ_INC_TAX_EXCL">"c1599"</definedName>
    <definedName name="IQ_INC_TAX_PAY_CURRENT">"c561"</definedName>
    <definedName name="IQ_INC_TRADE_ACT">"c562"</definedName>
    <definedName name="IQ_INDUSTRY">"c3601"</definedName>
    <definedName name="IQ_INDUSTRY_GROUP">"c3602"</definedName>
    <definedName name="IQ_INDUSTRY_SECTOR">"c3603"</definedName>
    <definedName name="IQ_INS_ANNUITY_LIAB">"c563"</definedName>
    <definedName name="IQ_INS_ANNUITY_REV">"c2788"</definedName>
    <definedName name="IQ_INS_DIV_EXP">"c564"</definedName>
    <definedName name="IQ_INS_DIV_REV">"c565"</definedName>
    <definedName name="IQ_INS_IN_FORCE">"c566"</definedName>
    <definedName name="IQ_INS_LIAB">"c567"</definedName>
    <definedName name="IQ_INS_POLICY_EXP">"c568"</definedName>
    <definedName name="IQ_INS_REV">"c569"</definedName>
    <definedName name="IQ_INS_SETTLE">"c570"</definedName>
    <definedName name="IQ_INS_SETTLE_BNK">"c571"</definedName>
    <definedName name="IQ_INS_SETTLE_BR">"c572"</definedName>
    <definedName name="IQ_INS_SETTLE_FIN">"c573"</definedName>
    <definedName name="IQ_INS_SETTLE_INS">"c574"</definedName>
    <definedName name="IQ_INS_SETTLE_REIT">"c575"</definedName>
    <definedName name="IQ_INS_SETTLE_UTI">"c576"</definedName>
    <definedName name="IQ_INSIDER_3MTH_BOUGHT_PCT">"c1534"</definedName>
    <definedName name="IQ_INSIDER_3MTH_NET_PCT">"c1535"</definedName>
    <definedName name="IQ_INSIDER_3MTH_SOLD_PCT">"c1533"</definedName>
    <definedName name="IQ_INSIDER_6MTH_BOUGHT_PCT">"c1537"</definedName>
    <definedName name="IQ_INSIDER_6MTH_NET_PCT">"c1538"</definedName>
    <definedName name="IQ_INSIDER_6MTH_SOLD_PCT">"c1536"</definedName>
    <definedName name="IQ_INSIDER_OVER_TOTAL">"c1581"</definedName>
    <definedName name="IQ_INSIDER_OWNER">"c577"</definedName>
    <definedName name="IQ_INSIDER_PERCENT">"c578"</definedName>
    <definedName name="IQ_INSIDER_SHARES">"c579"</definedName>
    <definedName name="IQ_INSTITUTIONAL_OVER_TOTAL">"c1580"</definedName>
    <definedName name="IQ_INSTITUTIONAL_OWNER">"c580"</definedName>
    <definedName name="IQ_INSTITUTIONAL_PERCENT">"c581"</definedName>
    <definedName name="IQ_INSTITUTIONAL_SHARES">"c582"</definedName>
    <definedName name="IQ_INSUR_RECEIV">"c1600"</definedName>
    <definedName name="IQ_INT_BORROW">"c583"</definedName>
    <definedName name="IQ_INT_DEPOSITS">"c584"</definedName>
    <definedName name="IQ_INT_DIV_INC">"c585"</definedName>
    <definedName name="IQ_INT_EXP_BR">"c586"</definedName>
    <definedName name="IQ_INT_EXP_COVERAGE">"c587"</definedName>
    <definedName name="IQ_INT_EXP_FIN">"c588"</definedName>
    <definedName name="IQ_INT_EXP_INCL_CAP">"c2988"</definedName>
    <definedName name="IQ_INT_EXP_INS">"c589"</definedName>
    <definedName name="IQ_INT_EXP_LTD">"c2086"</definedName>
    <definedName name="IQ_INT_EXP_REIT">"c590"</definedName>
    <definedName name="IQ_INT_EXP_TOTAL">"c591"</definedName>
    <definedName name="IQ_INT_EXP_UTI">"c592"</definedName>
    <definedName name="IQ_INT_INC_BR">"c593"</definedName>
    <definedName name="IQ_INT_INC_FIN">"c594"</definedName>
    <definedName name="IQ_INT_INC_INVEST">"c595"</definedName>
    <definedName name="IQ_INT_INC_LOANS">"c596"</definedName>
    <definedName name="IQ_INT_INC_REIT">"c597"</definedName>
    <definedName name="IQ_INT_INC_TOTAL">"c598"</definedName>
    <definedName name="IQ_INT_INC_UTI">"c599"</definedName>
    <definedName name="IQ_INT_INV_INC">"c600"</definedName>
    <definedName name="IQ_INT_INV_INC_REIT">"c601"</definedName>
    <definedName name="IQ_INT_INV_INC_UTI">"c602"</definedName>
    <definedName name="IQ_INT_ON_BORROWING_COVERAGE">"c603"</definedName>
    <definedName name="IQ_INT_RATE_SPREAD">"c604"</definedName>
    <definedName name="IQ_INTANGIBLES_NET">"c1407"</definedName>
    <definedName name="IQ_INTEREST_CASH_DEPOSITS">"c2255"</definedName>
    <definedName name="IQ_INTEREST_EXP">"c618"</definedName>
    <definedName name="IQ_INTEREST_EXP_NET">"c1450"</definedName>
    <definedName name="IQ_INTEREST_EXP_NON">"c1383"</definedName>
    <definedName name="IQ_INTEREST_EXP_SUPPL">"c1460"</definedName>
    <definedName name="IQ_INTEREST_INC">"c1393"</definedName>
    <definedName name="IQ_INTEREST_INC_NON">"c1384"</definedName>
    <definedName name="IQ_INTEREST_INVEST_INC">"c619"</definedName>
    <definedName name="IQ_INV_10YR_ANN_GROWTH">"c1930"</definedName>
    <definedName name="IQ_INV_1YR_ANN_GROWTH">"c1925"</definedName>
    <definedName name="IQ_INV_2YR_ANN_GROWTH">"c1926"</definedName>
    <definedName name="IQ_INV_3YR_ANN_GROWTH">"c1927"</definedName>
    <definedName name="IQ_INV_5YR_ANN_GROWTH">"c1928"</definedName>
    <definedName name="IQ_INV_7YR_ANN_GROWTH">"c1929"</definedName>
    <definedName name="IQ_INV_BANKING_FEE">"c620"</definedName>
    <definedName name="IQ_INV_METHOD">"c621"</definedName>
    <definedName name="IQ_INVENTORY">"c622"</definedName>
    <definedName name="IQ_INVENTORY_TURNS">"c623"</definedName>
    <definedName name="IQ_INVENTORY_UTI">"c624"</definedName>
    <definedName name="IQ_INVEST_DEBT">"c625"</definedName>
    <definedName name="IQ_INVEST_EQUITY_PREF">"c626"</definedName>
    <definedName name="IQ_INVEST_FHLB">"c627"</definedName>
    <definedName name="IQ_INVEST_GOV_SECURITY">"c5510"</definedName>
    <definedName name="IQ_INVEST_LOANS_CF">"c628"</definedName>
    <definedName name="IQ_INVEST_LOANS_CF_BNK">"c629"</definedName>
    <definedName name="IQ_INVEST_LOANS_CF_BR">"c630"</definedName>
    <definedName name="IQ_INVEST_LOANS_CF_FIN">"c631"</definedName>
    <definedName name="IQ_INVEST_LOANS_CF_INS">"c632"</definedName>
    <definedName name="IQ_INVEST_LOANS_CF_REIT">"c633"</definedName>
    <definedName name="IQ_INVEST_LOANS_CF_UTI">"c634"</definedName>
    <definedName name="IQ_INVEST_MUNI_SECURITY">"c5512"</definedName>
    <definedName name="IQ_INVEST_REAL_ESTATE">"c635"</definedName>
    <definedName name="IQ_INVEST_SECURITY">"c636"</definedName>
    <definedName name="IQ_INVEST_SECURITY_CF">"c637"</definedName>
    <definedName name="IQ_INVEST_SECURITY_CF_BNK">"c638"</definedName>
    <definedName name="IQ_INVEST_SECURITY_CF_BR">"c639"</definedName>
    <definedName name="IQ_INVEST_SECURITY_CF_FIN">"c640"</definedName>
    <definedName name="IQ_INVEST_SECURITY_CF_INS">"c641"</definedName>
    <definedName name="IQ_INVEST_SECURITY_CF_REIT">"c642"</definedName>
    <definedName name="IQ_INVEST_SECURITY_CF_UTI">"c643"</definedName>
    <definedName name="IQ_INVEST_SECURITY_SUPPL">"c5511"</definedName>
    <definedName name="IQ_IPRD">"c644"</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"c1391"</definedName>
    <definedName name="IQ_ISS_STOCK_NET">"c1601"</definedName>
    <definedName name="IQ_ISSUE_CURRENCY">"c2156"</definedName>
    <definedName name="IQ_ISSUE_NAME">"c2142"</definedName>
    <definedName name="IQ_ISSUER">"c2143"</definedName>
    <definedName name="IQ_ISSUER_CIQID">"c2258"</definedName>
    <definedName name="IQ_ISSUER_PARENT">"c2144"</definedName>
    <definedName name="IQ_ISSUER_PARENT_CIQID">"c2260"</definedName>
    <definedName name="IQ_ISSUER_PARENT_TICKER">"c2259"</definedName>
    <definedName name="IQ_ISSUER_TICKER">"c2252"</definedName>
    <definedName name="IQ_JR_SUB_DEBT">"c2534"</definedName>
    <definedName name="IQ_JR_SUB_DEBT_EBITDA">"c2560"</definedName>
    <definedName name="IQ_JR_SUB_DEBT_EBITDA_CAPEX">"c2561"</definedName>
    <definedName name="IQ_JR_SUB_DEBT_PCT">"c2535"</definedName>
    <definedName name="IQ_LAND">"c645"</definedName>
    <definedName name="IQ_LAST_PMT_DATE">"c2188"</definedName>
    <definedName name="IQ_LAST_SPLIT_DATE">"c2095"</definedName>
    <definedName name="IQ_LAST_SPLIT_FACTOR">"c2093"</definedName>
    <definedName name="IQ_LASTPRICINGDATE">"c3051"</definedName>
    <definedName name="IQ_LASTSALEPRICE">"c646"</definedName>
    <definedName name="IQ_LASTSALEPRICE_DATE">"c2109"</definedName>
    <definedName name="IQ_LATESTK">1000</definedName>
    <definedName name="IQ_LATESTQ">500</definedName>
    <definedName name="IQ_LEGAL_SETTLE">"c647"</definedName>
    <definedName name="IQ_LEGAL_SETTLE_BNK">"c648"</definedName>
    <definedName name="IQ_LEGAL_SETTLE_BR">"c649"</definedName>
    <definedName name="IQ_LEGAL_SETTLE_FIN">"c650"</definedName>
    <definedName name="IQ_LEGAL_SETTLE_INS">"c651"</definedName>
    <definedName name="IQ_LEGAL_SETTLE_REIT">"c652"</definedName>
    <definedName name="IQ_LEGAL_SETTLE_UTI">"c653"</definedName>
    <definedName name="IQ_LEVERAGE_RATIO">"c654"</definedName>
    <definedName name="IQ_LEVERED_FCF">"c1907"</definedName>
    <definedName name="IQ_LFCF_10YR_ANN_GROWTH">"c1942"</definedName>
    <definedName name="IQ_LFCF_1YR_ANN_GROWTH">"c1937"</definedName>
    <definedName name="IQ_LFCF_2YR_ANN_GROWTH">"c1938"</definedName>
    <definedName name="IQ_LFCF_3YR_ANN_GROWTH">"c1939"</definedName>
    <definedName name="IQ_LFCF_5YR_ANN_GROWTH">"c1940"</definedName>
    <definedName name="IQ_LFCF_7YR_ANN_GROWTH">"c1941"</definedName>
    <definedName name="IQ_LFCF_MARGIN">"c1961"</definedName>
    <definedName name="IQ_LH_STATUTORY_SURPLUS">"c2771"</definedName>
    <definedName name="IQ_LICENSED_POPS">"c2123"</definedName>
    <definedName name="IQ_LIFE_EARNED">"c2739"</definedName>
    <definedName name="IQ_LIFOR">"c655"</definedName>
    <definedName name="IQ_LL">"c656"</definedName>
    <definedName name="IQ_LOAN_LEASE_RECEIV">"c657"</definedName>
    <definedName name="IQ_LOAN_LOSS">"c1386"</definedName>
    <definedName name="IQ_LOAN_SERVICE_REV">"c658"</definedName>
    <definedName name="IQ_LOANS_CF">"c659"</definedName>
    <definedName name="IQ_LOANS_CF_BNK">"c660"</definedName>
    <definedName name="IQ_LOANS_CF_BR">"c661"</definedName>
    <definedName name="IQ_LOANS_CF_FIN">"c662"</definedName>
    <definedName name="IQ_LOANS_CF_INS">"c663"</definedName>
    <definedName name="IQ_LOANS_CF_REIT">"c664"</definedName>
    <definedName name="IQ_LOANS_CF_UTI">"c665"</definedName>
    <definedName name="IQ_LOANS_FOR_SALE">"c666"</definedName>
    <definedName name="IQ_LOANS_PAST_DUE">"c667"</definedName>
    <definedName name="IQ_LOANS_RECEIV_CURRENT">"c668"</definedName>
    <definedName name="IQ_LOANS_RECEIV_LT">"c669"</definedName>
    <definedName name="IQ_LOANS_RECEIV_LT_UTI">"c670"</definedName>
    <definedName name="IQ_LONG_TERM_DEBT">"c1387"</definedName>
    <definedName name="IQ_LONG_TERM_DEBT_OVER_TOTAL_CAP">"c1388"</definedName>
    <definedName name="IQ_LONG_TERM_GROWTH">"c671"</definedName>
    <definedName name="IQ_LONG_TERM_INV">"c1389"</definedName>
    <definedName name="IQ_LOSS_LOSS_EXP">"c672"</definedName>
    <definedName name="IQ_LOSS_TO_NET_EARNED">"c2751"</definedName>
    <definedName name="IQ_LOW_TARGET_PRICE">"c1652"</definedName>
    <definedName name="IQ_LOW_TARGET_PRICE_REUT">"c5318"</definedName>
    <definedName name="IQ_LOWPRICE">"c673"</definedName>
    <definedName name="IQ_LT_DEBT">"c674"</definedName>
    <definedName name="IQ_LT_DEBT_BNK">"c675"</definedName>
    <definedName name="IQ_LT_DEBT_BR">"c676"</definedName>
    <definedName name="IQ_LT_DEBT_CAPITAL">"c677"</definedName>
    <definedName name="IQ_LT_DEBT_CAPITAL_LEASES">"c2542"</definedName>
    <definedName name="IQ_LT_DEBT_CAPITAL_LEASES_PCT">"c2543"</definedName>
    <definedName name="IQ_LT_DEBT_EQUITY">"c678"</definedName>
    <definedName name="IQ_LT_DEBT_FIN">"c679"</definedName>
    <definedName name="IQ_LT_DEBT_INS">"c680"</definedName>
    <definedName name="IQ_LT_DEBT_ISSUED">"c681"</definedName>
    <definedName name="IQ_LT_DEBT_ISSUED_BNK">"c682"</definedName>
    <definedName name="IQ_LT_DEBT_ISSUED_BR">"c683"</definedName>
    <definedName name="IQ_LT_DEBT_ISSUED_FIN">"c684"</definedName>
    <definedName name="IQ_LT_DEBT_ISSUED_INS">"c685"</definedName>
    <definedName name="IQ_LT_DEBT_ISSUED_REIT">"c686"</definedName>
    <definedName name="IQ_LT_DEBT_ISSUED_UTI">"c687"</definedName>
    <definedName name="IQ_LT_DEBT_REIT">"c688"</definedName>
    <definedName name="IQ_LT_DEBT_REPAID">"c689"</definedName>
    <definedName name="IQ_LT_DEBT_REPAID_BNK">"c690"</definedName>
    <definedName name="IQ_LT_DEBT_REPAID_BR">"c691"</definedName>
    <definedName name="IQ_LT_DEBT_REPAID_FIN">"c692"</definedName>
    <definedName name="IQ_LT_DEBT_REPAID_INS">"c693"</definedName>
    <definedName name="IQ_LT_DEBT_REPAID_REIT">"c694"</definedName>
    <definedName name="IQ_LT_DEBT_REPAID_UTI">"c695"</definedName>
    <definedName name="IQ_LT_DEBT_UTI">"c696"</definedName>
    <definedName name="IQ_LT_INVEST">"c697"</definedName>
    <definedName name="IQ_LT_INVEST_BR">"c698"</definedName>
    <definedName name="IQ_LT_INVEST_FIN">"c699"</definedName>
    <definedName name="IQ_LT_INVEST_REIT">"c700"</definedName>
    <definedName name="IQ_LT_INVEST_UTI">"c701"</definedName>
    <definedName name="IQ_LT_NOTE_RECEIV">"c1602"</definedName>
    <definedName name="IQ_LTD_DUE_AFTER_FIVE">"c704"</definedName>
    <definedName name="IQ_LTD_DUE_CY">"c705"</definedName>
    <definedName name="IQ_LTD_DUE_CY1">"c706"</definedName>
    <definedName name="IQ_LTD_DUE_CY2">"c707"</definedName>
    <definedName name="IQ_LTD_DUE_CY3">"c708"</definedName>
    <definedName name="IQ_LTD_DUE_CY4">"c709"</definedName>
    <definedName name="IQ_LTD_DUE_NEXT_FIVE">"c710"</definedName>
    <definedName name="IQ_LTM">2000</definedName>
    <definedName name="IQ_LTM_REVENUE_OVER_EMPLOYEES">"c1437"</definedName>
    <definedName name="IQ_MACHINERY">"c711"</definedName>
    <definedName name="IQ_MAINT_CAPEX">"c2947"</definedName>
    <definedName name="IQ_MAINT_CAPEX_ACT_OR_EST">"c4458"</definedName>
    <definedName name="IQ_MAINT_REPAIR">"c2087"</definedName>
    <definedName name="IQ_MAKE_WHOLE_END_DATE">"c2493"</definedName>
    <definedName name="IQ_MAKE_WHOLE_SPREAD">"c2494"</definedName>
    <definedName name="IQ_MAKE_WHOLE_START_DATE">"c2492"</definedName>
    <definedName name="IQ_MARKET_CAP_LFCF">"c2209"</definedName>
    <definedName name="IQ_MARKETCAP">"c712"</definedName>
    <definedName name="IQ_MARKETING">"c2239"</definedName>
    <definedName name="IQ_MATURITY_DATE">"c2146"</definedName>
    <definedName name="IQ_MC_RATIO">"c2783"</definedName>
    <definedName name="IQ_MC_STATUTORY_SURPLUS">"c2772"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"c1650"</definedName>
    <definedName name="IQ_MEDIAN_TARGET_PRICE_REUT">"c5316"</definedName>
    <definedName name="IQ_MERGER">"c713"</definedName>
    <definedName name="IQ_MERGER_BNK">"c714"</definedName>
    <definedName name="IQ_MERGER_BR">"c715"</definedName>
    <definedName name="IQ_MERGER_FIN">"c716"</definedName>
    <definedName name="IQ_MERGER_INS">"c717"</definedName>
    <definedName name="IQ_MERGER_REIT">"c718"</definedName>
    <definedName name="IQ_MERGER_RESTRUCTURE">"c719"</definedName>
    <definedName name="IQ_MERGER_RESTRUCTURE_BNK">"c720"</definedName>
    <definedName name="IQ_MERGER_RESTRUCTURE_BR">"c721"</definedName>
    <definedName name="IQ_MERGER_RESTRUCTURE_FIN">"c722"</definedName>
    <definedName name="IQ_MERGER_RESTRUCTURE_INS">"c723"</definedName>
    <definedName name="IQ_MERGER_RESTRUCTURE_REIT">"c724"</definedName>
    <definedName name="IQ_MERGER_RESTRUCTURE_UTI">"c725"</definedName>
    <definedName name="IQ_MERGER_UTI">"c726"</definedName>
    <definedName name="IQ_MINORITY_INTEREST">"c727"</definedName>
    <definedName name="IQ_MINORITY_INTEREST_BNK">"c728"</definedName>
    <definedName name="IQ_MINORITY_INTEREST_BR">"c729"</definedName>
    <definedName name="IQ_MINORITY_INTEREST_CF">"c730"</definedName>
    <definedName name="IQ_MINORITY_INTEREST_FIN">"c731"</definedName>
    <definedName name="IQ_MINORITY_INTEREST_INS">"c732"</definedName>
    <definedName name="IQ_MINORITY_INTEREST_IS">"c733"</definedName>
    <definedName name="IQ_MINORITY_INTEREST_REIT">"c734"</definedName>
    <definedName name="IQ_MINORITY_INTEREST_TOTAL">"c1905"</definedName>
    <definedName name="IQ_MINORITY_INTEREST_UTI">"c735"</definedName>
    <definedName name="IQ_MISC_ADJUST_CF">"c736"</definedName>
    <definedName name="IQ_MISC_EARN_ADJ">"c1603"</definedName>
    <definedName name="IQ_MKTCAP_EBT_EXCL">"c737"</definedName>
    <definedName name="IQ_MKTCAP_EBT_EXCL_AVG">"c738"</definedName>
    <definedName name="IQ_MKTCAP_EBT_INCL_AVG">"c739"</definedName>
    <definedName name="IQ_MKTCAP_TOTAL_REV">"c740"</definedName>
    <definedName name="IQ_MKTCAP_TOTAL_REV_AVG">"c741"</definedName>
    <definedName name="IQ_MKTCAP_TOTAL_REV_FWD">"c742"</definedName>
    <definedName name="IQ_MKTCAP_TOTAL_REV_FWD_REUT">"c4048"</definedName>
    <definedName name="IQ_MM_ACCOUNT">"c743"</definedName>
    <definedName name="IQ_MONTH" hidden="1">15000</definedName>
    <definedName name="IQ_MORT_BANK_ACT">"c744"</definedName>
    <definedName name="IQ_MORT_BANKING_FEE">"c745"</definedName>
    <definedName name="IQ_MORT_INT_INC">"c746"</definedName>
    <definedName name="IQ_MORT_LOANS">"c747"</definedName>
    <definedName name="IQ_MORT_SECURITY">"c748"</definedName>
    <definedName name="IQ_MORTGAGE_SERV_RIGHTS">"c2242"</definedName>
    <definedName name="IQ_NAMES_REVISION_DATE_" hidden="1">40263.0052546296</definedName>
    <definedName name="IQ_NET_CHANGE">"c749"</definedName>
    <definedName name="IQ_NET_CLAIM_EXP_INCUR">"c2757"</definedName>
    <definedName name="IQ_NET_CLAIM_EXP_INCUR_CY">"c2761"</definedName>
    <definedName name="IQ_NET_CLAIM_EXP_INCUR_PY">"c2762"</definedName>
    <definedName name="IQ_NET_CLAIM_EXP_PAID">"c2760"</definedName>
    <definedName name="IQ_NET_CLAIM_EXP_PAID_CY">"c2763"</definedName>
    <definedName name="IQ_NET_CLAIM_EXP_PAID_PY">"c2764"</definedName>
    <definedName name="IQ_NET_CLAIM_EXP_RES">"c2754"</definedName>
    <definedName name="IQ_NET_DEBT">"c1584"</definedName>
    <definedName name="IQ_NET_DEBT_EBITDA">"c750"</definedName>
    <definedName name="IQ_NET_DEBT_EBITDA_CAPEX">"c2949"</definedName>
    <definedName name="IQ_NET_DEBT_ISSUED">"c751"</definedName>
    <definedName name="IQ_NET_DEBT_ISSUED_BNK">"c752"</definedName>
    <definedName name="IQ_NET_DEBT_ISSUED_BR">"c753"</definedName>
    <definedName name="IQ_NET_DEBT_ISSUED_FIN">"c754"</definedName>
    <definedName name="IQ_NET_DEBT_ISSUED_INS">"c755"</definedName>
    <definedName name="IQ_NET_DEBT_ISSUED_REIT">"c756"</definedName>
    <definedName name="IQ_NET_DEBT_ISSUED_UTI">"c757"</definedName>
    <definedName name="IQ_NET_EARNED">"c2734"</definedName>
    <definedName name="IQ_NET_INC">"c1394"</definedName>
    <definedName name="IQ_NET_INC_BEFORE">"c1368"</definedName>
    <definedName name="IQ_NET_INC_CF">"c1397"</definedName>
    <definedName name="IQ_NET_INC_MARGIN">"c1398"</definedName>
    <definedName name="IQ_NET_INT_INC_10YR_ANN_GROWTH">"c758"</definedName>
    <definedName name="IQ_NET_INT_INC_1YR_ANN_GROWTH">"c759"</definedName>
    <definedName name="IQ_NET_INT_INC_2YR_ANN_GROWTH">"c760"</definedName>
    <definedName name="IQ_NET_INT_INC_3YR_ANN_GROWTH">"c761"</definedName>
    <definedName name="IQ_NET_INT_INC_5YR_ANN_GROWTH">"c762"</definedName>
    <definedName name="IQ_NET_INT_INC_7YR_ANN_GROWTH">"c763"</definedName>
    <definedName name="IQ_NET_INT_INC_BNK">"c764"</definedName>
    <definedName name="IQ_NET_INT_INC_BR">"c765"</definedName>
    <definedName name="IQ_NET_INT_INC_FIN">"c766"</definedName>
    <definedName name="IQ_NET_INT_INC_TOTAL_REV">"c767"</definedName>
    <definedName name="IQ_NET_INT_MARGIN">"c768"</definedName>
    <definedName name="IQ_NET_INTEREST_EXP">"c769"</definedName>
    <definedName name="IQ_NET_INTEREST_EXP_REIT">"c770"</definedName>
    <definedName name="IQ_NET_INTEREST_EXP_UTI">"c771"</definedName>
    <definedName name="IQ_NET_INTEREST_INC">"c1392"</definedName>
    <definedName name="IQ_NET_INTEREST_INC_AFTER_LL">"c1604"</definedName>
    <definedName name="IQ_NET_LIFE_INS_IN_FORCE">"c2769"</definedName>
    <definedName name="IQ_NET_LOANS">"c772"</definedName>
    <definedName name="IQ_NET_LOANS_10YR_ANN_GROWTH">"c773"</definedName>
    <definedName name="IQ_NET_LOANS_1YR_ANN_GROWTH">"c774"</definedName>
    <definedName name="IQ_NET_LOANS_2YR_ANN_GROWTH">"c775"</definedName>
    <definedName name="IQ_NET_LOANS_3YR_ANN_GROWTH">"c776"</definedName>
    <definedName name="IQ_NET_LOANS_5YR_ANN_GROWTH">"c777"</definedName>
    <definedName name="IQ_NET_LOANS_7YR_ANN_GROWTH">"c778"</definedName>
    <definedName name="IQ_NET_LOANS_TOTAL_DEPOSITS">"c779"</definedName>
    <definedName name="IQ_NET_RENTAL_EXP_FN">"c780"</definedName>
    <definedName name="IQ_NET_TO_GROSS_EARNED">"c2750"</definedName>
    <definedName name="IQ_NET_TO_GROSS_WRITTEN">"c2729"</definedName>
    <definedName name="IQ_NET_WORKING_CAP">"c3493"</definedName>
    <definedName name="IQ_NET_WRITTEN">"c2728"</definedName>
    <definedName name="IQ_NEW_PREM">"c2785"</definedName>
    <definedName name="IQ_NEXT_CALL_DATE">"c2198"</definedName>
    <definedName name="IQ_NEXT_CALL_PRICE">"c2199"</definedName>
    <definedName name="IQ_NEXT_INT_DATE">"c2187"</definedName>
    <definedName name="IQ_NEXT_PUT_DATE">"c2200"</definedName>
    <definedName name="IQ_NEXT_PUT_PRICE">"c2201"</definedName>
    <definedName name="IQ_NEXT_SINK_FUND_AMOUNT">"c2490"</definedName>
    <definedName name="IQ_NEXT_SINK_FUND_DATE">"c2489"</definedName>
    <definedName name="IQ_NEXT_SINK_FUND_PRICE">"c2491"</definedName>
    <definedName name="IQ_NI">"c781"</definedName>
    <definedName name="IQ_NI_10YR_ANN_GROWTH">"c782"</definedName>
    <definedName name="IQ_NI_1YR_ANN_GROWTH">"c783"</definedName>
    <definedName name="IQ_NI_2YR_ANN_GROWTH">"c784"</definedName>
    <definedName name="IQ_NI_3YR_ANN_GROWTH">"c785"</definedName>
    <definedName name="IQ_NI_5YR_ANN_GROWTH">"c786"</definedName>
    <definedName name="IQ_NI_7YR_ANN_GROWTH">"c787"</definedName>
    <definedName name="IQ_NI_AFTER_CAPITALIZED">"c788"</definedName>
    <definedName name="IQ_NI_AVAIL_EXCL">"c789"</definedName>
    <definedName name="IQ_NI_AVAIL_EXCL_MARGIN">"c790"</definedName>
    <definedName name="IQ_NI_AVAIL_INCL">"c791"</definedName>
    <definedName name="IQ_NI_BEFORE_CAPITALIZED">"c792"</definedName>
    <definedName name="IQ_NI_CF">"c793"</definedName>
    <definedName name="IQ_NI_MARGIN">"c794"</definedName>
    <definedName name="IQ_NI_NORM">"c1901"</definedName>
    <definedName name="IQ_NI_NORM_10YR_ANN_GROWTH">"c1960"</definedName>
    <definedName name="IQ_NI_NORM_1YR_ANN_GROWTH">"c1955"</definedName>
    <definedName name="IQ_NI_NORM_2YR_ANN_GROWTH">"c1956"</definedName>
    <definedName name="IQ_NI_NORM_3YR_ANN_GROWTH">"c1957"</definedName>
    <definedName name="IQ_NI_NORM_5YR_ANN_GROWTH">"c1958"</definedName>
    <definedName name="IQ_NI_NORM_7YR_ANN_GROWTH">"c1959"</definedName>
    <definedName name="IQ_NI_NORM_MARGIN">"c1964"</definedName>
    <definedName name="IQ_NI_SBC_ACT_OR_EST">"c4474"</definedName>
    <definedName name="IQ_NI_SBC_GW_ACT_OR_EST">"c4478"</definedName>
    <definedName name="IQ_NI_SFAS">"c795"</definedName>
    <definedName name="IQ_NOL_CF_1YR">"c3465"</definedName>
    <definedName name="IQ_NOL_CF_2YR">"c3466"</definedName>
    <definedName name="IQ_NOL_CF_3YR">"c3467"</definedName>
    <definedName name="IQ_NOL_CF_4YR">"c3468"</definedName>
    <definedName name="IQ_NOL_CF_5YR">"c3469"</definedName>
    <definedName name="IQ_NOL_CF_AFTER_FIVE">"c3470"</definedName>
    <definedName name="IQ_NOL_CF_MAX_YEAR">"c3473"</definedName>
    <definedName name="IQ_NOL_CF_NO_EXP">"c3471"</definedName>
    <definedName name="IQ_NOL_CF_TOTAL">"c3472"</definedName>
    <definedName name="IQ_NON_ACCRUAL_LOANS">"c796"</definedName>
    <definedName name="IQ_NON_CASH">"c1399"</definedName>
    <definedName name="IQ_NON_CASH_ITEMS">"c797"</definedName>
    <definedName name="IQ_NON_INS_EXP">"c798"</definedName>
    <definedName name="IQ_NON_INS_REV">"c799"</definedName>
    <definedName name="IQ_NON_INT_BEAR_CD">"c800"</definedName>
    <definedName name="IQ_NON_INT_EXP">"c801"</definedName>
    <definedName name="IQ_NON_INT_INC">"c802"</definedName>
    <definedName name="IQ_NON_INT_INC_10YR_ANN_GROWTH">"c803"</definedName>
    <definedName name="IQ_NON_INT_INC_1YR_ANN_GROWTH">"c804"</definedName>
    <definedName name="IQ_NON_INT_INC_2YR_ANN_GROWTH">"c805"</definedName>
    <definedName name="IQ_NON_INT_INC_3YR_ANN_GROWTH">"c806"</definedName>
    <definedName name="IQ_NON_INT_INC_5YR_ANN_GROWTH">"c807"</definedName>
    <definedName name="IQ_NON_INT_INC_7YR_ANN_GROWTH">"c808"</definedName>
    <definedName name="IQ_NON_INTEREST_EXP">"c1400"</definedName>
    <definedName name="IQ_NON_INTEREST_INC">"c1401"</definedName>
    <definedName name="IQ_NON_OPER_EXP">"c809"</definedName>
    <definedName name="IQ_NON_OPER_INC">"c810"</definedName>
    <definedName name="IQ_NON_PERF_ASSETS_10YR_ANN_GROWTH">"c811"</definedName>
    <definedName name="IQ_NON_PERF_ASSETS_1YR_ANN_GROWTH">"c812"</definedName>
    <definedName name="IQ_NON_PERF_ASSETS_2YR_ANN_GROWTH">"c813"</definedName>
    <definedName name="IQ_NON_PERF_ASSETS_3YR_ANN_GROWTH">"c814"</definedName>
    <definedName name="IQ_NON_PERF_ASSETS_5YR_ANN_GROWTH">"c815"</definedName>
    <definedName name="IQ_NON_PERF_ASSETS_7YR_ANN_GROWTH">"c816"</definedName>
    <definedName name="IQ_NON_PERF_ASSETS_TOTAL_ASSETS">"c817"</definedName>
    <definedName name="IQ_NON_PERF_LOANS_10YR_ANN_GROWTH">"c818"</definedName>
    <definedName name="IQ_NON_PERF_LOANS_1YR_ANN_GROWTH">"c819"</definedName>
    <definedName name="IQ_NON_PERF_LOANS_2YR_ANN_GROWTH">"c820"</definedName>
    <definedName name="IQ_NON_PERF_LOANS_3YR_ANN_GROWTH">"c821"</definedName>
    <definedName name="IQ_NON_PERF_LOANS_5YR_ANN_GROWTH">"c822"</definedName>
    <definedName name="IQ_NON_PERF_LOANS_7YR_ANN_GROWTH">"c823"</definedName>
    <definedName name="IQ_NON_PERF_LOANS_TOTAL_ASSETS">"c824"</definedName>
    <definedName name="IQ_NON_PERF_LOANS_TOTAL_LOANS">"c825"</definedName>
    <definedName name="IQ_NON_PERFORMING_ASSETS">"c826"</definedName>
    <definedName name="IQ_NON_PERFORMING_LOANS">"c827"</definedName>
    <definedName name="IQ_NONCASH_PENSION_EXP">"c3000"</definedName>
    <definedName name="IQ_NONRECOURSE_DEBT">"c2550"</definedName>
    <definedName name="IQ_NONRECOURSE_DEBT_PCT">"c2551"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UTIL_REV">"c2089"</definedName>
    <definedName name="IQ_NORMAL_INC_AFTER">"c1605"</definedName>
    <definedName name="IQ_NORMAL_INC_AVAIL">"c1606"</definedName>
    <definedName name="IQ_NORMAL_INC_BEFORE">"c1607"</definedName>
    <definedName name="IQ_NOTES_PAY">"c1423"</definedName>
    <definedName name="IQ_NOW_ACCOUNT">"c828"</definedName>
    <definedName name="IQ_NPPE">"c829"</definedName>
    <definedName name="IQ_NPPE_10YR_ANN_GROWTH">"c830"</definedName>
    <definedName name="IQ_NPPE_1YR_ANN_GROWTH">"c831"</definedName>
    <definedName name="IQ_NPPE_2YR_ANN_GROWTH">"c832"</definedName>
    <definedName name="IQ_NPPE_3YR_ANN_GROWTH">"c833"</definedName>
    <definedName name="IQ_NPPE_5YR_ANN_GROWTH">"c834"</definedName>
    <definedName name="IQ_NPPE_7YR_ANN_GROWTH">"c835"</definedName>
    <definedName name="IQ_NTM">6000</definedName>
    <definedName name="IQ_NUKE">"c836"</definedName>
    <definedName name="IQ_NUKE_CF">"c837"</definedName>
    <definedName name="IQ_NUKE_CONTR">"c838"</definedName>
    <definedName name="IQ_NUM_BRANCHES">"c2088"</definedName>
    <definedName name="IQ_NUMBER_ADRHOLDERS">"c1970"</definedName>
    <definedName name="IQ_NUMBER_DAYS">"c1904"</definedName>
    <definedName name="IQ_NUMBER_SHAREHOLDERS">"c1967"</definedName>
    <definedName name="IQ_NUMBER_SHAREHOLDERS_CLASSA">"c1968"</definedName>
    <definedName name="IQ_NUMBER_SHAREHOLDERS_OTHER">"c1969"</definedName>
    <definedName name="IQ_OCCUPY_EXP">"c839"</definedName>
    <definedName name="IQ_OFFER_AMOUNT">"c2152"</definedName>
    <definedName name="IQ_OFFER_COUPON">"c2147"</definedName>
    <definedName name="IQ_OFFER_COUPON_TYPE">"c2148"</definedName>
    <definedName name="IQ_OFFER_DATE">"c2149"</definedName>
    <definedName name="IQ_OFFER_PRICE">"c2150"</definedName>
    <definedName name="IQ_OFFER_YIELD">"c2151"</definedName>
    <definedName name="IQ_OG_10DISC">"c1998"</definedName>
    <definedName name="IQ_OG_10DISC_GAS">"c2018"</definedName>
    <definedName name="IQ_OG_10DISC_OIL">"c2008"</definedName>
    <definedName name="IQ_OG_ACQ_COST_PROVED">"c1975"</definedName>
    <definedName name="IQ_OG_ACQ_COST_PROVED_GAS">"c1987"</definedName>
    <definedName name="IQ_OG_ACQ_COST_PROVED_OIL">"c1981"</definedName>
    <definedName name="IQ_OG_ACQ_COST_UNPROVED">"c1976"</definedName>
    <definedName name="IQ_OG_ACQ_COST_UNPROVED_GAS">"c1988"</definedName>
    <definedName name="IQ_OG_ACQ_COST_UNPROVED_OIL">"c1982"</definedName>
    <definedName name="IQ_OG_AVG_DAILY_PROD_GAS">"c2910"</definedName>
    <definedName name="IQ_OG_AVG_DAILY_PROD_NGL">"c2911"</definedName>
    <definedName name="IQ_OG_AVG_DAILY_PROD_OIL">"c2909"</definedName>
    <definedName name="IQ_OG_CLOSE_BALANCE_GAS">"c2049"</definedName>
    <definedName name="IQ_OG_CLOSE_BALANCE_NGL">"c2920"</definedName>
    <definedName name="IQ_OG_CLOSE_BALANCE_OIL">"c2037"</definedName>
    <definedName name="IQ_OG_DCF_BEFORE_TAXES">"c2023"</definedName>
    <definedName name="IQ_OG_DCF_BEFORE_TAXES_GAS">"c2025"</definedName>
    <definedName name="IQ_OG_DCF_BEFORE_TAXES_OIL">"c2024"</definedName>
    <definedName name="IQ_OG_DEVELOPED_RESERVES_GAS">"c2053"</definedName>
    <definedName name="IQ_OG_DEVELOPED_RESERVES_NGL">"c2922"</definedName>
    <definedName name="IQ_OG_DEVELOPED_RESERVES_OIL">"c2054"</definedName>
    <definedName name="IQ_OG_DEVELOPMENT_COSTS">"c1978"</definedName>
    <definedName name="IQ_OG_DEVELOPMENT_COSTS_GAS">"c1990"</definedName>
    <definedName name="IQ_OG_DEVELOPMENT_COSTS_OIL">"c1984"</definedName>
    <definedName name="IQ_OG_EQUITY_DCF">"c2002"</definedName>
    <definedName name="IQ_OG_EQUITY_DCF_GAS">"c2022"</definedName>
    <definedName name="IQ_OG_EQUITY_DCF_OIL">"c2012"</definedName>
    <definedName name="IQ_OG_EQUTY_RESERVES_GAS">"c2050"</definedName>
    <definedName name="IQ_OG_EQUTY_RESERVES_NGL">"c2921"</definedName>
    <definedName name="IQ_OG_EQUTY_RESERVES_OIL">"c2038"</definedName>
    <definedName name="IQ_OG_EXPLORATION_COSTS">"c1977"</definedName>
    <definedName name="IQ_OG_EXPLORATION_COSTS_GAS">"c1989"</definedName>
    <definedName name="IQ_OG_EXPLORATION_COSTS_OIL">"c1983"</definedName>
    <definedName name="IQ_OG_EXT_DISC_GAS">"c2043"</definedName>
    <definedName name="IQ_OG_EXT_DISC_NGL">"c2914"</definedName>
    <definedName name="IQ_OG_EXT_DISC_OIL">"c2031"</definedName>
    <definedName name="IQ_OG_FUTURE_CASH_INFLOWS">"c1993"</definedName>
    <definedName name="IQ_OG_FUTURE_CASH_INFLOWS_GAS">"c2013"</definedName>
    <definedName name="IQ_OG_FUTURE_CASH_INFLOWS_OIL">"c2003"</definedName>
    <definedName name="IQ_OG_FUTURE_DEVELOPMENT_COSTS">"c1995"</definedName>
    <definedName name="IQ_OG_FUTURE_DEVELOPMENT_COSTS_GAS">"c2015"</definedName>
    <definedName name="IQ_OG_FUTURE_DEVELOPMENT_COSTS_OIL">"c2005"</definedName>
    <definedName name="IQ_OG_FUTURE_INC_TAXES">"c1997"</definedName>
    <definedName name="IQ_OG_FUTURE_INC_TAXES_GAS">"c2017"</definedName>
    <definedName name="IQ_OG_FUTURE_INC_TAXES_OIL">"c2007"</definedName>
    <definedName name="IQ_OG_FUTURE_PRODUCTION_COSTS">"c1994"</definedName>
    <definedName name="IQ_OG_FUTURE_PRODUCTION_COSTS_GAS">"c2014"</definedName>
    <definedName name="IQ_OG_FUTURE_PRODUCTION_COSTS_OIL">"c2004"</definedName>
    <definedName name="IQ_OG_GAS_PRICE_HEDGED">"c2056"</definedName>
    <definedName name="IQ_OG_GAS_PRICE_UNHEDGED">"c2058"</definedName>
    <definedName name="IQ_OG_IMPROVED_RECOVERY_GAS">"c2044"</definedName>
    <definedName name="IQ_OG_IMPROVED_RECOVERY_NGL">"c2915"</definedName>
    <definedName name="IQ_OG_IMPROVED_RECOVERY_OIL">"c2032"</definedName>
    <definedName name="IQ_OG_LIQUID_GAS_PRICE_HEDGED">"c2233"</definedName>
    <definedName name="IQ_OG_LIQUID_GAS_PRICE_UNHEDGED">"c2234"</definedName>
    <definedName name="IQ_OG_NET_FUTURE_CASH_FLOWS">"c1996"</definedName>
    <definedName name="IQ_OG_NET_FUTURE_CASH_FLOWS_GAS">"c2016"</definedName>
    <definedName name="IQ_OG_NET_FUTURE_CASH_FLOWS_OIL">"c2006"</definedName>
    <definedName name="IQ_OG_OIL_PRICE_HEDGED">"c2055"</definedName>
    <definedName name="IQ_OG_OIL_PRICE_UNHEDGED">"c2057"</definedName>
    <definedName name="IQ_OG_OPEN_BALANCE_GAS">"c2041"</definedName>
    <definedName name="IQ_OG_OPEN_BALANCE_NGL">"c2912"</definedName>
    <definedName name="IQ_OG_OPEN_BALANCE_OIL">"c2029"</definedName>
    <definedName name="IQ_OG_OTHER_ADJ_FCF">"c1999"</definedName>
    <definedName name="IQ_OG_OTHER_ADJ_FCF_GAS">"c2019"</definedName>
    <definedName name="IQ_OG_OTHER_ADJ_FCF_OIL">"c2009"</definedName>
    <definedName name="IQ_OG_OTHER_ADJ_GAS">"c2048"</definedName>
    <definedName name="IQ_OG_OTHER_ADJ_NGL">"c2919"</definedName>
    <definedName name="IQ_OG_OTHER_ADJ_OIL">"c2036"</definedName>
    <definedName name="IQ_OG_OTHER_COSTS">"c1979"</definedName>
    <definedName name="IQ_OG_OTHER_COSTS_GAS">"c1991"</definedName>
    <definedName name="IQ_OG_OTHER_COSTS_OIL">"c1985"</definedName>
    <definedName name="IQ_OG_PRODUCTION_GAS">"c2047"</definedName>
    <definedName name="IQ_OG_PRODUCTION_NGL">"c2918"</definedName>
    <definedName name="IQ_OG_PRODUCTION_OIL">"c2035"</definedName>
    <definedName name="IQ_OG_PURCHASES_GAS">"c2045"</definedName>
    <definedName name="IQ_OG_PURCHASES_NGL">"c2916"</definedName>
    <definedName name="IQ_OG_PURCHASES_OIL">"c2033"</definedName>
    <definedName name="IQ_OG_REVISIONS_GAS">"c2042"</definedName>
    <definedName name="IQ_OG_REVISIONS_NGL">"c2913"</definedName>
    <definedName name="IQ_OG_REVISIONS_OIL">"c2030"</definedName>
    <definedName name="IQ_OG_SALES_IN_PLACE_GAS">"c2046"</definedName>
    <definedName name="IQ_OG_SALES_IN_PLACE_NGL">"c2917"</definedName>
    <definedName name="IQ_OG_SALES_IN_PLACE_OIL">"c2034"</definedName>
    <definedName name="IQ_OG_STANDARDIZED_DCF">"c2000"</definedName>
    <definedName name="IQ_OG_STANDARDIZED_DCF_GAS">"c2020"</definedName>
    <definedName name="IQ_OG_STANDARDIZED_DCF_HEDGED">"c2001"</definedName>
    <definedName name="IQ_OG_STANDARDIZED_DCF_HEDGED_GAS">"c2021"</definedName>
    <definedName name="IQ_OG_STANDARDIZED_DCF_HEDGED_OIL">"c2011"</definedName>
    <definedName name="IQ_OG_STANDARDIZED_DCF_OIL">"c2010"</definedName>
    <definedName name="IQ_OG_TAXES">"c2026"</definedName>
    <definedName name="IQ_OG_TAXES_GAS">"c2028"</definedName>
    <definedName name="IQ_OG_TAXES_OIL">"c2027"</definedName>
    <definedName name="IQ_OG_TOTAL_COSTS">"c1980"</definedName>
    <definedName name="IQ_OG_TOTAL_COSTS_GAS">"c1992"</definedName>
    <definedName name="IQ_OG_TOTAL_COSTS_OIL">"c1986"</definedName>
    <definedName name="IQ_OG_TOTAL_EST_PROVED_RESERVES_GAS">"c2052"</definedName>
    <definedName name="IQ_OG_TOTAL_GAS_PRODUCTION">"c2060"</definedName>
    <definedName name="IQ_OG_TOTAL_LIQUID_GAS_PRODUCTION">"c2235"</definedName>
    <definedName name="IQ_OG_TOTAL_OIL_PRODUCTION">"c2059"</definedName>
    <definedName name="IQ_OG_UNDEVELOPED_RESERVES_GAS">"c2051"</definedName>
    <definedName name="IQ_OG_UNDEVELOPED_RESERVES_NGL">"c2923"</definedName>
    <definedName name="IQ_OG_UNDEVELOPED_RESERVES_OIL">"c2039"</definedName>
    <definedName name="IQ_OIL_IMPAIR">"c840"</definedName>
    <definedName name="IQ_OL_COMM_AFTER_FIVE">"c841"</definedName>
    <definedName name="IQ_OL_COMM_CY">"c842"</definedName>
    <definedName name="IQ_OL_COMM_CY1">"c843"</definedName>
    <definedName name="IQ_OL_COMM_CY2">"c844"</definedName>
    <definedName name="IQ_OL_COMM_CY3">"c845"</definedName>
    <definedName name="IQ_OL_COMM_CY4">"c846"</definedName>
    <definedName name="IQ_OL_COMM_NEXT_FIVE">"c847"</definedName>
    <definedName name="IQ_OPEB_ACCRUED_LIAB">"c3308"</definedName>
    <definedName name="IQ_OPEB_ACCRUED_LIAB_DOM">"c3306"</definedName>
    <definedName name="IQ_OPEB_ACCRUED_LIAB_FOREIGN">"c3307"</definedName>
    <definedName name="IQ_OPEB_ACCUM_OTHER_CI">"c3314"</definedName>
    <definedName name="IQ_OPEB_ACCUM_OTHER_CI_DOM">"c3312"</definedName>
    <definedName name="IQ_OPEB_ACCUM_OTHER_CI_FOREIGN">"c3313"</definedName>
    <definedName name="IQ_OPEB_ASSETS">"c3356"</definedName>
    <definedName name="IQ_OPEB_ASSETS_ACQ">"c3347"</definedName>
    <definedName name="IQ_OPEB_ASSETS_ACQ_DOM">"c3345"</definedName>
    <definedName name="IQ_OPEB_ASSETS_ACQ_FOREIGN">"c3346"</definedName>
    <definedName name="IQ_OPEB_ASSETS_ACTUAL_RETURN">"c3332"</definedName>
    <definedName name="IQ_OPEB_ASSETS_ACTUAL_RETURN_DOM">"c3330"</definedName>
    <definedName name="IQ_OPEB_ASSETS_ACTUAL_RETURN_FOREIGN">"c3331"</definedName>
    <definedName name="IQ_OPEB_ASSETS_BEG">"c3329"</definedName>
    <definedName name="IQ_OPEB_ASSETS_BEG_DOM">"c3327"</definedName>
    <definedName name="IQ_OPEB_ASSETS_BEG_FOREIGN">"c3328"</definedName>
    <definedName name="IQ_OPEB_ASSETS_BENEFITS_PAID">"c3341"</definedName>
    <definedName name="IQ_OPEB_ASSETS_BENEFITS_PAID_DOM">"c3339"</definedName>
    <definedName name="IQ_OPEB_ASSETS_BENEFITS_PAID_FOREIGN">"c3340"</definedName>
    <definedName name="IQ_OPEB_ASSETS_CURTAIL">"c3350"</definedName>
    <definedName name="IQ_OPEB_ASSETS_CURTAIL_DOM">"c3348"</definedName>
    <definedName name="IQ_OPEB_ASSETS_CURTAIL_FOREIGN">"c3349"</definedName>
    <definedName name="IQ_OPEB_ASSETS_DOM">"c3354"</definedName>
    <definedName name="IQ_OPEB_ASSETS_EMPLOYER_CONTRIBUTIONS">"c3335"</definedName>
    <definedName name="IQ_OPEB_ASSETS_EMPLOYER_CONTRIBUTIONS_DOM">"c3333"</definedName>
    <definedName name="IQ_OPEB_ASSETS_EMPLOYER_CONTRIBUTIONS_FOREIGN">"c3334"</definedName>
    <definedName name="IQ_OPEB_ASSETS_FOREIGN">"c3355"</definedName>
    <definedName name="IQ_OPEB_ASSETS_FX_ADJ">"c3344"</definedName>
    <definedName name="IQ_OPEB_ASSETS_FX_ADJ_DOM">"c3342"</definedName>
    <definedName name="IQ_OPEB_ASSETS_FX_ADJ_FOREIGN">"c3343"</definedName>
    <definedName name="IQ_OPEB_ASSETS_OTHER_PLAN_ADJ">"c3353"</definedName>
    <definedName name="IQ_OPEB_ASSETS_OTHER_PLAN_ADJ_DOM">"c3351"</definedName>
    <definedName name="IQ_OPEB_ASSETS_OTHER_PLAN_ADJ_FOREIGN">"c3352"</definedName>
    <definedName name="IQ_OPEB_ASSETS_PARTICIP_CONTRIBUTIONS">"c3338"</definedName>
    <definedName name="IQ_OPEB_ASSETS_PARTICIP_CONTRIBUTIONS_DOM">"c3336"</definedName>
    <definedName name="IQ_OPEB_ASSETS_PARTICIP_CONTRIBUTIONS_FOREIGN">"c3337"</definedName>
    <definedName name="IQ_OPEB_BENEFIT_INFO_DATE">"c3410"</definedName>
    <definedName name="IQ_OPEB_BENEFIT_INFO_DATE_DOM">"c3408"</definedName>
    <definedName name="IQ_OPEB_BENEFIT_INFO_DATE_FOREIGN">"c3409"</definedName>
    <definedName name="IQ_OPEB_BREAKDOWN_EQ">"c3275"</definedName>
    <definedName name="IQ_OPEB_BREAKDOWN_EQ_DOM">"c3273"</definedName>
    <definedName name="IQ_OPEB_BREAKDOWN_EQ_FOREIGN">"c3274"</definedName>
    <definedName name="IQ_OPEB_BREAKDOWN_FI">"c3278"</definedName>
    <definedName name="IQ_OPEB_BREAKDOWN_FI_DOM">"c3276"</definedName>
    <definedName name="IQ_OPEB_BREAKDOWN_FI_FOREIGN">"c3277"</definedName>
    <definedName name="IQ_OPEB_BREAKDOWN_OTHER">"c3284"</definedName>
    <definedName name="IQ_OPEB_BREAKDOWN_OTHER_DOM">"c3282"</definedName>
    <definedName name="IQ_OPEB_BREAKDOWN_OTHER_FOREIGN">"c3283"</definedName>
    <definedName name="IQ_OPEB_BREAKDOWN_PCT_EQ">"c3263"</definedName>
    <definedName name="IQ_OPEB_BREAKDOWN_PCT_EQ_DOM">"c3261"</definedName>
    <definedName name="IQ_OPEB_BREAKDOWN_PCT_EQ_FOREIGN">"c3262"</definedName>
    <definedName name="IQ_OPEB_BREAKDOWN_PCT_FI">"c3266"</definedName>
    <definedName name="IQ_OPEB_BREAKDOWN_PCT_FI_DOM">"c3264"</definedName>
    <definedName name="IQ_OPEB_BREAKDOWN_PCT_FI_FOREIGN">"c3265"</definedName>
    <definedName name="IQ_OPEB_BREAKDOWN_PCT_OTHER">"c3272"</definedName>
    <definedName name="IQ_OPEB_BREAKDOWN_PCT_OTHER_DOM">"c3270"</definedName>
    <definedName name="IQ_OPEB_BREAKDOWN_PCT_OTHER_FOREIGN">"c3271"</definedName>
    <definedName name="IQ_OPEB_BREAKDOWN_PCT_RE">"c3269"</definedName>
    <definedName name="IQ_OPEB_BREAKDOWN_PCT_RE_DOM">"c3267"</definedName>
    <definedName name="IQ_OPEB_BREAKDOWN_PCT_RE_FOREIGN">"c3268"</definedName>
    <definedName name="IQ_OPEB_BREAKDOWN_RE">"c3281"</definedName>
    <definedName name="IQ_OPEB_BREAKDOWN_RE_DOM">"c3279"</definedName>
    <definedName name="IQ_OPEB_BREAKDOWN_RE_FOREIGN">"c3280"</definedName>
    <definedName name="IQ_OPEB_DECREASE_EFFECT_PBO">"c3458"</definedName>
    <definedName name="IQ_OPEB_DECREASE_EFFECT_PBO_DOM">"c3456"</definedName>
    <definedName name="IQ_OPEB_DECREASE_EFFECT_PBO_FOREIGN">"c3457"</definedName>
    <definedName name="IQ_OPEB_DECREASE_EFFECT_SERVICE_INT_COST">"c3455"</definedName>
    <definedName name="IQ_OPEB_DECREASE_EFFECT_SERVICE_INT_COST_DOM">"c3453"</definedName>
    <definedName name="IQ_OPEB_DECREASE_EFFECT_SERVICE_INT_COST_FOREIGN">"c3454"</definedName>
    <definedName name="IQ_OPEB_DISC_RATE_MAX">"c3422"</definedName>
    <definedName name="IQ_OPEB_DISC_RATE_MAX_DOM">"c3420"</definedName>
    <definedName name="IQ_OPEB_DISC_RATE_MAX_FOREIGN">"c3421"</definedName>
    <definedName name="IQ_OPEB_DISC_RATE_MIN">"c3419"</definedName>
    <definedName name="IQ_OPEB_DISC_RATE_MIN_DOM">"c3417"</definedName>
    <definedName name="IQ_OPEB_DISC_RATE_MIN_FOREIGN">"c3418"</definedName>
    <definedName name="IQ_OPEB_EST_BENEFIT_1YR">"c3287"</definedName>
    <definedName name="IQ_OPEB_EST_BENEFIT_1YR_DOM">"c3285"</definedName>
    <definedName name="IQ_OPEB_EST_BENEFIT_1YR_FOREIGN">"c3286"</definedName>
    <definedName name="IQ_OPEB_EST_BENEFIT_2YR">"c3290"</definedName>
    <definedName name="IQ_OPEB_EST_BENEFIT_2YR_DOM">"c3288"</definedName>
    <definedName name="IQ_OPEB_EST_BENEFIT_2YR_FOREIGN">"c3289"</definedName>
    <definedName name="IQ_OPEB_EST_BENEFIT_3YR">"c3293"</definedName>
    <definedName name="IQ_OPEB_EST_BENEFIT_3YR_DOM">"c3291"</definedName>
    <definedName name="IQ_OPEB_EST_BENEFIT_3YR_FOREIGN">"c3292"</definedName>
    <definedName name="IQ_OPEB_EST_BENEFIT_4YR">"c3296"</definedName>
    <definedName name="IQ_OPEB_EST_BENEFIT_4YR_DOM">"c3294"</definedName>
    <definedName name="IQ_OPEB_EST_BENEFIT_4YR_FOREIGN">"c3295"</definedName>
    <definedName name="IQ_OPEB_EST_BENEFIT_5YR">"c3299"</definedName>
    <definedName name="IQ_OPEB_EST_BENEFIT_5YR_DOM">"c3297"</definedName>
    <definedName name="IQ_OPEB_EST_BENEFIT_5YR_FOREIGN">"c3298"</definedName>
    <definedName name="IQ_OPEB_EST_BENEFIT_AFTER5">"c3302"</definedName>
    <definedName name="IQ_OPEB_EST_BENEFIT_AFTER5_DOM">"c3300"</definedName>
    <definedName name="IQ_OPEB_EST_BENEFIT_AFTER5_FOREIGN">"c3301"</definedName>
    <definedName name="IQ_OPEB_EXP_RATE_RETURN_MAX">"c3434"</definedName>
    <definedName name="IQ_OPEB_EXP_RATE_RETURN_MAX_DOM">"c3432"</definedName>
    <definedName name="IQ_OPEB_EXP_RATE_RETURN_MAX_FOREIGN">"c3433"</definedName>
    <definedName name="IQ_OPEB_EXP_RATE_RETURN_MIN">"c3431"</definedName>
    <definedName name="IQ_OPEB_EXP_RATE_RETURN_MIN_DOM">"c3429"</definedName>
    <definedName name="IQ_OPEB_EXP_RATE_RETURN_MIN_FOREIGN">"c3430"</definedName>
    <definedName name="IQ_OPEB_EXP_RETURN">"c3398"</definedName>
    <definedName name="IQ_OPEB_EXP_RETURN_DOM">"c3396"</definedName>
    <definedName name="IQ_OPEB_EXP_RETURN_FOREIGN">"c3397"</definedName>
    <definedName name="IQ_OPEB_HEALTH_COST_TREND_INITIAL">"c3413"</definedName>
    <definedName name="IQ_OPEB_HEALTH_COST_TREND_INITIAL_DOM">"c3411"</definedName>
    <definedName name="IQ_OPEB_HEALTH_COST_TREND_INITIAL_FOREIGN">"c3412"</definedName>
    <definedName name="IQ_OPEB_HEALTH_COST_TREND_ULTIMATE">"c3416"</definedName>
    <definedName name="IQ_OPEB_HEALTH_COST_TREND_ULTIMATE_DOM">"c3414"</definedName>
    <definedName name="IQ_OPEB_HEALTH_COST_TREND_ULTIMATE_FOREIGN">"c3415"</definedName>
    <definedName name="IQ_OPEB_INCREASE_EFFECT_PBO">"c3452"</definedName>
    <definedName name="IQ_OPEB_INCREASE_EFFECT_PBO_DOM">"c3450"</definedName>
    <definedName name="IQ_OPEB_INCREASE_EFFECT_PBO_FOREIGN">"c3451"</definedName>
    <definedName name="IQ_OPEB_INCREASE_EFFECT_SERVICE_INT_COST">"c3449"</definedName>
    <definedName name="IQ_OPEB_INCREASE_EFFECT_SERVICE_INT_COST_DOM">"c3447"</definedName>
    <definedName name="IQ_OPEB_INCREASE_EFFECT_SERVICE_INT_COST_FOREIGN">"c3448"</definedName>
    <definedName name="IQ_OPEB_INTAN_ASSETS">"c3311"</definedName>
    <definedName name="IQ_OPEB_INTAN_ASSETS_DOM">"c3309"</definedName>
    <definedName name="IQ_OPEB_INTAN_ASSETS_FOREIGN">"c3310"</definedName>
    <definedName name="IQ_OPEB_INTEREST_COST">"c3395"</definedName>
    <definedName name="IQ_OPEB_INTEREST_COST_DOM">"c3393"</definedName>
    <definedName name="IQ_OPEB_INTEREST_COST_FOREIGN">"c3394"</definedName>
    <definedName name="IQ_OPEB_NET_ASSET_RECOG">"c3326"</definedName>
    <definedName name="IQ_OPEB_NET_ASSET_RECOG_DOM">"c3324"</definedName>
    <definedName name="IQ_OPEB_NET_ASSET_RECOG_FOREIGN">"c3325"</definedName>
    <definedName name="IQ_OPEB_OBLIGATION_ACCUMULATED">"c3407"</definedName>
    <definedName name="IQ_OPEB_OBLIGATION_ACCUMULATED_DOM">"c3405"</definedName>
    <definedName name="IQ_OPEB_OBLIGATION_ACCUMULATED_FOREIGN">"c3406"</definedName>
    <definedName name="IQ_OPEB_OBLIGATION_ACQ">"c3380"</definedName>
    <definedName name="IQ_OPEB_OBLIGATION_ACQ_DOM">"c3378"</definedName>
    <definedName name="IQ_OPEB_OBLIGATION_ACQ_FOREIGN">"c3379"</definedName>
    <definedName name="IQ_OPEB_OBLIGATION_ACTUARIAL_GAIN_LOSS">"c3371"</definedName>
    <definedName name="IQ_OPEB_OBLIGATION_ACTUARIAL_GAIN_LOSS_DOM">"c3369"</definedName>
    <definedName name="IQ_OPEB_OBLIGATION_ACTUARIAL_GAIN_LOSS_FOREIGN">"c3370"</definedName>
    <definedName name="IQ_OPEB_OBLIGATION_BEG">"c3359"</definedName>
    <definedName name="IQ_OPEB_OBLIGATION_BEG_DOM">"c3357"</definedName>
    <definedName name="IQ_OPEB_OBLIGATION_BEG_FOREIGN">"c3358"</definedName>
    <definedName name="IQ_OPEB_OBLIGATION_CURTAIL">"c3383"</definedName>
    <definedName name="IQ_OPEB_OBLIGATION_CURTAIL_DOM">"c3381"</definedName>
    <definedName name="IQ_OPEB_OBLIGATION_CURTAIL_FOREIGN">"c3382"</definedName>
    <definedName name="IQ_OPEB_OBLIGATION_EMPLOYEE_CONTRIBUTIONS">"c3368"</definedName>
    <definedName name="IQ_OPEB_OBLIGATION_EMPLOYEE_CONTRIBUTIONS_DOM">"c3366"</definedName>
    <definedName name="IQ_OPEB_OBLIGATION_EMPLOYEE_CONTRIBUTIONS_FOREIGN">"c3367"</definedName>
    <definedName name="IQ_OPEB_OBLIGATION_FX_ADJ">"c3377"</definedName>
    <definedName name="IQ_OPEB_OBLIGATION_FX_ADJ_DOM">"c3375"</definedName>
    <definedName name="IQ_OPEB_OBLIGATION_FX_ADJ_FOREIGN">"c3376"</definedName>
    <definedName name="IQ_OPEB_OBLIGATION_INTEREST_COST">"c3365"</definedName>
    <definedName name="IQ_OPEB_OBLIGATION_INTEREST_COST_DOM">"c3363"</definedName>
    <definedName name="IQ_OPEB_OBLIGATION_INTEREST_COST_FOREIGN">"c3364"</definedName>
    <definedName name="IQ_OPEB_OBLIGATION_OTHER_PLAN_ADJ">"c3386"</definedName>
    <definedName name="IQ_OPEB_OBLIGATION_OTHER_PLAN_ADJ_DOM">"c3384"</definedName>
    <definedName name="IQ_OPEB_OBLIGATION_OTHER_PLAN_ADJ_FOREIGN">"c3385"</definedName>
    <definedName name="IQ_OPEB_OBLIGATION_PAID">"c3374"</definedName>
    <definedName name="IQ_OPEB_OBLIGATION_PAID_DOM">"c3372"</definedName>
    <definedName name="IQ_OPEB_OBLIGATION_PAID_FOREIGN">"c3373"</definedName>
    <definedName name="IQ_OPEB_OBLIGATION_PROJECTED">"c3389"</definedName>
    <definedName name="IQ_OPEB_OBLIGATION_PROJECTED_DOM">"c3387"</definedName>
    <definedName name="IQ_OPEB_OBLIGATION_PROJECTED_FOREIGN">"c3388"</definedName>
    <definedName name="IQ_OPEB_OBLIGATION_SERVICE_COST">"c3362"</definedName>
    <definedName name="IQ_OPEB_OBLIGATION_SERVICE_COST_DOM">"c3360"</definedName>
    <definedName name="IQ_OPEB_OBLIGATION_SERVICE_COST_FOREIGN">"c3361"</definedName>
    <definedName name="IQ_OPEB_OTHER">"c3317"</definedName>
    <definedName name="IQ_OPEB_OTHER_ADJ">"c3323"</definedName>
    <definedName name="IQ_OPEB_OTHER_ADJ_DOM">"c3321"</definedName>
    <definedName name="IQ_OPEB_OTHER_ADJ_FOREIGN">"c3322"</definedName>
    <definedName name="IQ_OPEB_OTHER_COST">"c3401"</definedName>
    <definedName name="IQ_OPEB_OTHER_COST_DOM">"c3399"</definedName>
    <definedName name="IQ_OPEB_OTHER_COST_FOREIGN">"c3400"</definedName>
    <definedName name="IQ_OPEB_OTHER_DOM">"c3315"</definedName>
    <definedName name="IQ_OPEB_OTHER_FOREIGN">"c3316"</definedName>
    <definedName name="IQ_OPEB_PBO_ASSUMED_RATE_RET_MAX">"c3440"</definedName>
    <definedName name="IQ_OPEB_PBO_ASSUMED_RATE_RET_MAX_DOM">"c3438"</definedName>
    <definedName name="IQ_OPEB_PBO_ASSUMED_RATE_RET_MAX_FOREIGN">"c3439"</definedName>
    <definedName name="IQ_OPEB_PBO_ASSUMED_RATE_RET_MIN">"c3437"</definedName>
    <definedName name="IQ_OPEB_PBO_ASSUMED_RATE_RET_MIN_DOM">"c3435"</definedName>
    <definedName name="IQ_OPEB_PBO_ASSUMED_RATE_RET_MIN_FOREIGN">"c3436"</definedName>
    <definedName name="IQ_OPEB_PBO_RATE_COMP_INCREASE_MAX">"c3446"</definedName>
    <definedName name="IQ_OPEB_PBO_RATE_COMP_INCREASE_MAX_DOM">"c3444"</definedName>
    <definedName name="IQ_OPEB_PBO_RATE_COMP_INCREASE_MAX_FOREIGN">"c3445"</definedName>
    <definedName name="IQ_OPEB_PBO_RATE_COMP_INCREASE_MIN">"c3443"</definedName>
    <definedName name="IQ_OPEB_PBO_RATE_COMP_INCREASE_MIN_DOM">"c3441"</definedName>
    <definedName name="IQ_OPEB_PBO_RATE_COMP_INCREASE_MIN_FOREIGN">"c3442"</definedName>
    <definedName name="IQ_OPEB_PREPAID_COST">"c3305"</definedName>
    <definedName name="IQ_OPEB_PREPAID_COST_DOM">"c3303"</definedName>
    <definedName name="IQ_OPEB_PREPAID_COST_FOREIGN">"c3304"</definedName>
    <definedName name="IQ_OPEB_RATE_COMP_INCREASE_MAX">"c3428"</definedName>
    <definedName name="IQ_OPEB_RATE_COMP_INCREASE_MAX_DOM">"c3426"</definedName>
    <definedName name="IQ_OPEB_RATE_COMP_INCREASE_MAX_FOREIGN">"c3427"</definedName>
    <definedName name="IQ_OPEB_RATE_COMP_INCREASE_MIN">"c3425"</definedName>
    <definedName name="IQ_OPEB_RATE_COMP_INCREASE_MIN_DOM">"c3423"</definedName>
    <definedName name="IQ_OPEB_RATE_COMP_INCREASE_MIN_FOREIGN">"c3424"</definedName>
    <definedName name="IQ_OPEB_SERVICE_COST">"c3392"</definedName>
    <definedName name="IQ_OPEB_SERVICE_COST_DOM">"c3390"</definedName>
    <definedName name="IQ_OPEB_SERVICE_COST_FOREIGN">"c3391"</definedName>
    <definedName name="IQ_OPEB_TOTAL_COST">"c3404"</definedName>
    <definedName name="IQ_OPEB_TOTAL_COST_DOM">"c3402"</definedName>
    <definedName name="IQ_OPEB_TOTAL_COST_FOREIGN">"c3403"</definedName>
    <definedName name="IQ_OPEB_UNRECOG_PRIOR">"c3320"</definedName>
    <definedName name="IQ_OPEB_UNRECOG_PRIOR_DOM">"c3318"</definedName>
    <definedName name="IQ_OPEB_UNRECOG_PRIOR_FOREIGN">"c3319"</definedName>
    <definedName name="IQ_OPENED55" hidden="1">1</definedName>
    <definedName name="IQ_OPENPRICE">"c848"</definedName>
    <definedName name="IQ_OPER_INC">"c849"</definedName>
    <definedName name="IQ_OPER_INC_BR">"c850"</definedName>
    <definedName name="IQ_OPER_INC_FIN">"c851"</definedName>
    <definedName name="IQ_OPER_INC_INS">"c852"</definedName>
    <definedName name="IQ_OPER_INC_MARGIN">"c1448"</definedName>
    <definedName name="IQ_OPER_INC_REIT">"c853"</definedName>
    <definedName name="IQ_OPER_INC_UTI">"c854"</definedName>
    <definedName name="IQ_OPERATIONS_EXP">"c855"</definedName>
    <definedName name="IQ_OPTIONS_BEG_OS">"c1572"</definedName>
    <definedName name="IQ_OPTIONS_CANCELLED">"c856"</definedName>
    <definedName name="IQ_OPTIONS_END_OS">"c1573"</definedName>
    <definedName name="IQ_OPTIONS_EXERCISED">"c2116"</definedName>
    <definedName name="IQ_OPTIONS_GRANTED">"c2673"</definedName>
    <definedName name="IQ_OPTIONS_ISSUED">"c857"</definedName>
    <definedName name="IQ_OPTIONS_STRIKE_PRICE_GRANTED">"c2678"</definedName>
    <definedName name="IQ_OPTIONS_STRIKE_PRICE_OS">"c2677"</definedName>
    <definedName name="IQ_ORDER_BACKLOG">"c2090"</definedName>
    <definedName name="IQ_OTHER_ADJUST_GROSS_LOANS">"c859"</definedName>
    <definedName name="IQ_OTHER_AMORT">"c5563"</definedName>
    <definedName name="IQ_OTHER_ASSETS">"c860"</definedName>
    <definedName name="IQ_OTHER_ASSETS_BNK">"c861"</definedName>
    <definedName name="IQ_OTHER_ASSETS_BR">"c862"</definedName>
    <definedName name="IQ_OTHER_ASSETS_FIN">"c863"</definedName>
    <definedName name="IQ_OTHER_ASSETS_INS">"c864"</definedName>
    <definedName name="IQ_OTHER_ASSETS_REIT">"c865"</definedName>
    <definedName name="IQ_OTHER_ASSETS_SERV_RIGHTS">"c2243"</definedName>
    <definedName name="IQ_OTHER_ASSETS_UTI">"c866"</definedName>
    <definedName name="IQ_OTHER_BEARING_LIAB">"c1608"</definedName>
    <definedName name="IQ_OTHER_BENEFITS_OBLIGATION">"c867"</definedName>
    <definedName name="IQ_OTHER_CA">"c868"</definedName>
    <definedName name="IQ_OTHER_CA_SUPPL">"c869"</definedName>
    <definedName name="IQ_OTHER_CA_SUPPL_BNK">"c870"</definedName>
    <definedName name="IQ_OTHER_CA_SUPPL_BR">"c871"</definedName>
    <definedName name="IQ_OTHER_CA_SUPPL_FIN">"c872"</definedName>
    <definedName name="IQ_OTHER_CA_SUPPL_INS">"c873"</definedName>
    <definedName name="IQ_OTHER_CA_SUPPL_REIT">"c874"</definedName>
    <definedName name="IQ_OTHER_CA_SUPPL_UTI">"c875"</definedName>
    <definedName name="IQ_OTHER_CA_UTI">"c876"</definedName>
    <definedName name="IQ_OTHER_CL">"c877"</definedName>
    <definedName name="IQ_OTHER_CL_SUPPL">"c878"</definedName>
    <definedName name="IQ_OTHER_CL_SUPPL_BNK">"c879"</definedName>
    <definedName name="IQ_OTHER_CL_SUPPL_BR">"c880"</definedName>
    <definedName name="IQ_OTHER_CL_SUPPL_FIN">"c881"</definedName>
    <definedName name="IQ_OTHER_CL_SUPPL_REIT">"c882"</definedName>
    <definedName name="IQ_OTHER_CL_SUPPL_UTI">"c883"</definedName>
    <definedName name="IQ_OTHER_CL_UTI">"c884"</definedName>
    <definedName name="IQ_OTHER_CURRENT_ASSETS">"c1403"</definedName>
    <definedName name="IQ_OTHER_CURRENT_LIAB">"c1404"</definedName>
    <definedName name="IQ_OTHER_DEBT">"c2507"</definedName>
    <definedName name="IQ_OTHER_DEBT_PCT">"c2508"</definedName>
    <definedName name="IQ_OTHER_DEP">"c885"</definedName>
    <definedName name="IQ_OTHER_EARNING">"c1609"</definedName>
    <definedName name="IQ_OTHER_EQUITY">"c886"</definedName>
    <definedName name="IQ_OTHER_EQUITY_BNK">"c887"</definedName>
    <definedName name="IQ_OTHER_EQUITY_BR">"c888"</definedName>
    <definedName name="IQ_OTHER_EQUITY_FIN">"c889"</definedName>
    <definedName name="IQ_OTHER_EQUITY_INS">"c890"</definedName>
    <definedName name="IQ_OTHER_EQUITY_REIT">"c891"</definedName>
    <definedName name="IQ_OTHER_EQUITY_UTI">"c892"</definedName>
    <definedName name="IQ_OTHER_FINANCE_ACT">"c893"</definedName>
    <definedName name="IQ_OTHER_FINANCE_ACT_BNK">"c894"</definedName>
    <definedName name="IQ_OTHER_FINANCE_ACT_BR">"c895"</definedName>
    <definedName name="IQ_OTHER_FINANCE_ACT_FIN">"c896"</definedName>
    <definedName name="IQ_OTHER_FINANCE_ACT_INS">"c897"</definedName>
    <definedName name="IQ_OTHER_FINANCE_ACT_REIT">"c898"</definedName>
    <definedName name="IQ_OTHER_FINANCE_ACT_SUPPL">"c899"</definedName>
    <definedName name="IQ_OTHER_FINANCE_ACT_SUPPL_BNK">"c900"</definedName>
    <definedName name="IQ_OTHER_FINANCE_ACT_SUPPL_BR">"c901"</definedName>
    <definedName name="IQ_OTHER_FINANCE_ACT_SUPPL_FIN">"c902"</definedName>
    <definedName name="IQ_OTHER_FINANCE_ACT_SUPPL_INS">"c903"</definedName>
    <definedName name="IQ_OTHER_FINANCE_ACT_SUPPL_REIT">"c904"</definedName>
    <definedName name="IQ_OTHER_FINANCE_ACT_SUPPL_UTI">"c905"</definedName>
    <definedName name="IQ_OTHER_FINANCE_ACT_UTI">"c906"</definedName>
    <definedName name="IQ_OTHER_INTAN">"c907"</definedName>
    <definedName name="IQ_OTHER_INTAN_BNK">"c908"</definedName>
    <definedName name="IQ_OTHER_INTAN_BR">"c909"</definedName>
    <definedName name="IQ_OTHER_INTAN_FIN">"c910"</definedName>
    <definedName name="IQ_OTHER_INTAN_INS">"c911"</definedName>
    <definedName name="IQ_OTHER_INTAN_REIT">"c912"</definedName>
    <definedName name="IQ_OTHER_INTAN_UTI">"c913"</definedName>
    <definedName name="IQ_OTHER_INV">"c914"</definedName>
    <definedName name="IQ_OTHER_INVEST">"c915"</definedName>
    <definedName name="IQ_OTHER_INVEST_ACT">"c916"</definedName>
    <definedName name="IQ_OTHER_INVEST_ACT_BNK">"c917"</definedName>
    <definedName name="IQ_OTHER_INVEST_ACT_BR">"c918"</definedName>
    <definedName name="IQ_OTHER_INVEST_ACT_FIN">"c919"</definedName>
    <definedName name="IQ_OTHER_INVEST_ACT_INS">"c920"</definedName>
    <definedName name="IQ_OTHER_INVEST_ACT_REIT">"c921"</definedName>
    <definedName name="IQ_OTHER_INVEST_ACT_SUPPL">"c922"</definedName>
    <definedName name="IQ_OTHER_INVEST_ACT_SUPPL_BNK">"c923"</definedName>
    <definedName name="IQ_OTHER_INVEST_ACT_SUPPL_BR">"c924"</definedName>
    <definedName name="IQ_OTHER_INVEST_ACT_SUPPL_FIN">"c925"</definedName>
    <definedName name="IQ_OTHER_INVEST_ACT_SUPPL_INS">"c926"</definedName>
    <definedName name="IQ_OTHER_INVEST_ACT_SUPPL_REIT">"c927"</definedName>
    <definedName name="IQ_OTHER_INVEST_ACT_SUPPL_UTI">"c928"</definedName>
    <definedName name="IQ_OTHER_INVEST_ACT_UTI">"c929"</definedName>
    <definedName name="IQ_OTHER_INVESTING">"c1408"</definedName>
    <definedName name="IQ_OTHER_LIAB">"c930"</definedName>
    <definedName name="IQ_OTHER_LIAB_BNK">"c931"</definedName>
    <definedName name="IQ_OTHER_LIAB_BR">"c932"</definedName>
    <definedName name="IQ_OTHER_LIAB_FIN">"c933"</definedName>
    <definedName name="IQ_OTHER_LIAB_INS">"c934"</definedName>
    <definedName name="IQ_OTHER_LIAB_LT">"c935"</definedName>
    <definedName name="IQ_OTHER_LIAB_LT_BNK">"c936"</definedName>
    <definedName name="IQ_OTHER_LIAB_LT_BR">"c937"</definedName>
    <definedName name="IQ_OTHER_LIAB_LT_FIN">"c938"</definedName>
    <definedName name="IQ_OTHER_LIAB_LT_INS">"c939"</definedName>
    <definedName name="IQ_OTHER_LIAB_LT_REIT">"c940"</definedName>
    <definedName name="IQ_OTHER_LIAB_LT_UTI">"c941"</definedName>
    <definedName name="IQ_OTHER_LIAB_REIT">"c942"</definedName>
    <definedName name="IQ_OTHER_LIAB_UTI">"c943"</definedName>
    <definedName name="IQ_OTHER_LIAB_WRITTEN">"c944"</definedName>
    <definedName name="IQ_OTHER_LOANS">"c945"</definedName>
    <definedName name="IQ_OTHER_LONG_TERM">"c1409"</definedName>
    <definedName name="IQ_OTHER_LT_ASSETS">"c946"</definedName>
    <definedName name="IQ_OTHER_LT_ASSETS_BNK">"c947"</definedName>
    <definedName name="IQ_OTHER_LT_ASSETS_BR">"c948"</definedName>
    <definedName name="IQ_OTHER_LT_ASSETS_FIN">"c949"</definedName>
    <definedName name="IQ_OTHER_LT_ASSETS_INS">"c950"</definedName>
    <definedName name="IQ_OTHER_LT_ASSETS_REIT">"c951"</definedName>
    <definedName name="IQ_OTHER_LT_ASSETS_UTI">"c952"</definedName>
    <definedName name="IQ_OTHER_NET">"c1453"</definedName>
    <definedName name="IQ_OTHER_NON_INT_EXP">"c953"</definedName>
    <definedName name="IQ_OTHER_NON_INT_EXP_TOTAL">"c954"</definedName>
    <definedName name="IQ_OTHER_NON_INT_INC">"c955"</definedName>
    <definedName name="IQ_OTHER_NON_OPER_EXP">"c956"</definedName>
    <definedName name="IQ_OTHER_NON_OPER_EXP_BR">"c957"</definedName>
    <definedName name="IQ_OTHER_NON_OPER_EXP_FIN">"c958"</definedName>
    <definedName name="IQ_OTHER_NON_OPER_EXP_INS">"c959"</definedName>
    <definedName name="IQ_OTHER_NON_OPER_EXP_REIT">"c960"</definedName>
    <definedName name="IQ_OTHER_NON_OPER_EXP_SUPPL">"c961"</definedName>
    <definedName name="IQ_OTHER_NON_OPER_EXP_SUPPL_BR">"c962"</definedName>
    <definedName name="IQ_OTHER_NON_OPER_EXP_SUPPL_FIN">"c963"</definedName>
    <definedName name="IQ_OTHER_NON_OPER_EXP_SUPPL_INS">"c964"</definedName>
    <definedName name="IQ_OTHER_NON_OPER_EXP_SUPPL_REIT">"c965"</definedName>
    <definedName name="IQ_OTHER_NON_OPER_EXP_SUPPL_UTI">"c966"</definedName>
    <definedName name="IQ_OTHER_NON_OPER_EXP_UTI">"c967"</definedName>
    <definedName name="IQ_OTHER_OPER">"c982"</definedName>
    <definedName name="IQ_OTHER_OPER_ACT">"c983"</definedName>
    <definedName name="IQ_OTHER_OPER_ACT_BNK">"c984"</definedName>
    <definedName name="IQ_OTHER_OPER_ACT_BR">"c985"</definedName>
    <definedName name="IQ_OTHER_OPER_ACT_FIN">"c986"</definedName>
    <definedName name="IQ_OTHER_OPER_ACT_INS">"c987"</definedName>
    <definedName name="IQ_OTHER_OPER_ACT_REIT">"c988"</definedName>
    <definedName name="IQ_OTHER_OPER_ACT_UTI">"c989"</definedName>
    <definedName name="IQ_OTHER_OPER_BR">"c990"</definedName>
    <definedName name="IQ_OTHER_OPER_FIN">"c991"</definedName>
    <definedName name="IQ_OTHER_OPER_INS">"c992"</definedName>
    <definedName name="IQ_OTHER_OPER_REIT">"c993"</definedName>
    <definedName name="IQ_OTHER_OPER_SUPPL_BR">"c994"</definedName>
    <definedName name="IQ_OTHER_OPER_SUPPL_FIN">"c995"</definedName>
    <definedName name="IQ_OTHER_OPER_SUPPL_INS">"c996"</definedName>
    <definedName name="IQ_OTHER_OPER_SUPPL_REIT">"c997"</definedName>
    <definedName name="IQ_OTHER_OPER_SUPPL_UTI">"c998"</definedName>
    <definedName name="IQ_OTHER_OPER_TOT_BNK">"c999"</definedName>
    <definedName name="IQ_OTHER_OPER_TOT_BR">"c1000"</definedName>
    <definedName name="IQ_OTHER_OPER_TOT_FIN">"c1001"</definedName>
    <definedName name="IQ_OTHER_OPER_TOT_INS">"c1002"</definedName>
    <definedName name="IQ_OTHER_OPER_TOT_REIT">"c1003"</definedName>
    <definedName name="IQ_OTHER_OPER_TOT_UTI">"c1004"</definedName>
    <definedName name="IQ_OTHER_OPER_UTI">"c1005"</definedName>
    <definedName name="IQ_OTHER_OPTIONS_BEG_OS">"c2686"</definedName>
    <definedName name="IQ_OTHER_OPTIONS_CANCELLED">"c2689"</definedName>
    <definedName name="IQ_OTHER_OPTIONS_END_OS">"c2690"</definedName>
    <definedName name="IQ_OTHER_OPTIONS_EXERCISED">"c2688"</definedName>
    <definedName name="IQ_OTHER_OPTIONS_GRANTED">"c2687"</definedName>
    <definedName name="IQ_OTHER_OPTIONS_STRIKE_PRICE_OS">"c2691"</definedName>
    <definedName name="IQ_OTHER_OUTSTANDING_BS_DATE">"c1972"</definedName>
    <definedName name="IQ_OTHER_OUTSTANDING_FILING_DATE">"c1974"</definedName>
    <definedName name="IQ_OTHER_PC_WRITTEN">"c1006"</definedName>
    <definedName name="IQ_OTHER_REAL_ESTATE">"c1007"</definedName>
    <definedName name="IQ_OTHER_RECEIV">"c1008"</definedName>
    <definedName name="IQ_OTHER_RECEIV_INS">"c1009"</definedName>
    <definedName name="IQ_OTHER_REV">"c1010"</definedName>
    <definedName name="IQ_OTHER_REV_BR">"c1011"</definedName>
    <definedName name="IQ_OTHER_REV_FIN">"c1012"</definedName>
    <definedName name="IQ_OTHER_REV_INS">"c1013"</definedName>
    <definedName name="IQ_OTHER_REV_REIT">"c1014"</definedName>
    <definedName name="IQ_OTHER_REV_SUPPL">"c1015"</definedName>
    <definedName name="IQ_OTHER_REV_SUPPL_BR">"c1016"</definedName>
    <definedName name="IQ_OTHER_REV_SUPPL_FIN">"c1017"</definedName>
    <definedName name="IQ_OTHER_REV_SUPPL_INS">"c1018"</definedName>
    <definedName name="IQ_OTHER_REV_SUPPL_REIT">"c1019"</definedName>
    <definedName name="IQ_OTHER_REV_SUPPL_UTI">"c1020"</definedName>
    <definedName name="IQ_OTHER_REV_UTI">"c1021"</definedName>
    <definedName name="IQ_OTHER_REVENUE">"c1410"</definedName>
    <definedName name="IQ_OTHER_STRIKE_PRICE_GRANTED">"c2692"</definedName>
    <definedName name="IQ_OTHER_UNDRAWN">"c2522"</definedName>
    <definedName name="IQ_OTHER_UNUSUAL">"c1488"</definedName>
    <definedName name="IQ_OTHER_UNUSUAL_BNK">"c1560"</definedName>
    <definedName name="IQ_OTHER_UNUSUAL_BR">"c1561"</definedName>
    <definedName name="IQ_OTHER_UNUSUAL_FIN">"c1562"</definedName>
    <definedName name="IQ_OTHER_UNUSUAL_INS">"c1563"</definedName>
    <definedName name="IQ_OTHER_UNUSUAL_REIT">"c1564"</definedName>
    <definedName name="IQ_OTHER_UNUSUAL_SUPPL">"c1494"</definedName>
    <definedName name="IQ_OTHER_UNUSUAL_SUPPL_BNK">"c1495"</definedName>
    <definedName name="IQ_OTHER_UNUSUAL_SUPPL_BR">"c1496"</definedName>
    <definedName name="IQ_OTHER_UNUSUAL_SUPPL_FIN">"c1497"</definedName>
    <definedName name="IQ_OTHER_UNUSUAL_SUPPL_INS">"c1498"</definedName>
    <definedName name="IQ_OTHER_UNUSUAL_SUPPL_REIT">"c1499"</definedName>
    <definedName name="IQ_OTHER_UNUSUAL_SUPPL_UTI">"c1500"</definedName>
    <definedName name="IQ_OTHER_UNUSUAL_UTI">"c1565"</definedName>
    <definedName name="IQ_OTHER_WARRANTS_BEG_OS">"c2712"</definedName>
    <definedName name="IQ_OTHER_WARRANTS_CANCELLED">"c2715"</definedName>
    <definedName name="IQ_OTHER_WARRANTS_END_OS">"c2716"</definedName>
    <definedName name="IQ_OTHER_WARRANTS_EXERCISED">"c2714"</definedName>
    <definedName name="IQ_OTHER_WARRANTS_ISSUED">"c2713"</definedName>
    <definedName name="IQ_OTHER_WARRANTS_STRIKE_PRICE_ISSUED">"c2718"</definedName>
    <definedName name="IQ_OTHER_WARRANTS_STRIKE_PRICE_OS">"c2717"</definedName>
    <definedName name="IQ_OUTSTANDING_BS_DATE">"c2128"</definedName>
    <definedName name="IQ_OUTSTANDING_FILING_DATE">"c1023"</definedName>
    <definedName name="IQ_OWNERSHIP">"c2160"</definedName>
    <definedName name="IQ_PART_TIME">"c1024"</definedName>
    <definedName name="IQ_PAY_ACCRUED">"c1457"</definedName>
    <definedName name="IQ_PAYOUT_RATIO">"c1900"</definedName>
    <definedName name="IQ_PBV">"c1025"</definedName>
    <definedName name="IQ_PBV_AVG">"c1026"</definedName>
    <definedName name="IQ_PC_EARNED">"c2749"</definedName>
    <definedName name="IQ_PC_GAAP_COMBINED_RATIO">"c2781"</definedName>
    <definedName name="IQ_PC_GAAP_COMBINED_RATIO_EXCL_CL">"c2782"</definedName>
    <definedName name="IQ_PC_GAAP_EXPENSE_RATIO">"c2780"</definedName>
    <definedName name="IQ_PC_GAAP_LOSS">"c2779"</definedName>
    <definedName name="IQ_PC_POLICY_BENEFITS_EXP">"c2790"</definedName>
    <definedName name="IQ_PC_STAT_COMBINED_RATIO">"c2778"</definedName>
    <definedName name="IQ_PC_STAT_COMBINED_RATIO_EXCL_DIV">"c2777"</definedName>
    <definedName name="IQ_PC_STAT_DIVIDEND_RATIO">"c2776"</definedName>
    <definedName name="IQ_PC_STAT_EXPENSE_RATIO">"c2775"</definedName>
    <definedName name="IQ_PC_STAT_LOSS_RATIO">"c2774"</definedName>
    <definedName name="IQ_PC_STATUTORY_SURPLUS">"c2770"</definedName>
    <definedName name="IQ_PC_WRITTEN">"c1027"</definedName>
    <definedName name="IQ_PE_EXCL">"c1028"</definedName>
    <definedName name="IQ_PE_EXCL_AVG">"c1029"</definedName>
    <definedName name="IQ_PE_EXCL_FWD">"c1030"</definedName>
    <definedName name="IQ_PE_EXCL_FWD_REUT">"c4049"</definedName>
    <definedName name="IQ_PE_NORMALIZED">"c2207"</definedName>
    <definedName name="IQ_PE_RATIO">"c1610"</definedName>
    <definedName name="IQ_PEG_FWD">"c1863"</definedName>
    <definedName name="IQ_PEG_FWD_REUT">"c4052"</definedName>
    <definedName name="IQ_PENSION">"c1031"</definedName>
    <definedName name="IQ_PENSION_ACCRUED_LIAB">"c3134"</definedName>
    <definedName name="IQ_PENSION_ACCRUED_LIAB_DOM">"c3132"</definedName>
    <definedName name="IQ_PENSION_ACCRUED_LIAB_FOREIGN">"c3133"</definedName>
    <definedName name="IQ_PENSION_ACCUM_OTHER_CI">"c3140"</definedName>
    <definedName name="IQ_PENSION_ACCUM_OTHER_CI_DOM">"c3138"</definedName>
    <definedName name="IQ_PENSION_ACCUM_OTHER_CI_FOREIGN">"c3139"</definedName>
    <definedName name="IQ_PENSION_ACCUMULATED_OBLIGATION">"c3570"</definedName>
    <definedName name="IQ_PENSION_ACCUMULATED_OBLIGATION_DOMESTIC">"c3568"</definedName>
    <definedName name="IQ_PENSION_ACCUMULATED_OBLIGATION_FOREIGN">"c3569"</definedName>
    <definedName name="IQ_PENSION_ASSETS">"c3182"</definedName>
    <definedName name="IQ_PENSION_ASSETS_ACQ">"c3173"</definedName>
    <definedName name="IQ_PENSION_ASSETS_ACQ_DOM">"c3171"</definedName>
    <definedName name="IQ_PENSION_ASSETS_ACQ_FOREIGN">"c3172"</definedName>
    <definedName name="IQ_PENSION_ASSETS_ACTUAL_RETURN">"c3158"</definedName>
    <definedName name="IQ_PENSION_ASSETS_ACTUAL_RETURN_DOM">"c3156"</definedName>
    <definedName name="IQ_PENSION_ASSETS_ACTUAL_RETURN_FOREIGN">"c3157"</definedName>
    <definedName name="IQ_PENSION_ASSETS_BEG">"c3155"</definedName>
    <definedName name="IQ_PENSION_ASSETS_BEG_DOM">"c3153"</definedName>
    <definedName name="IQ_PENSION_ASSETS_BEG_FOREIGN">"c3154"</definedName>
    <definedName name="IQ_PENSION_ASSETS_BENEFITS_PAID">"c3167"</definedName>
    <definedName name="IQ_PENSION_ASSETS_BENEFITS_PAID_DOM">"c3165"</definedName>
    <definedName name="IQ_PENSION_ASSETS_BENEFITS_PAID_FOREIGN">"c3166"</definedName>
    <definedName name="IQ_PENSION_ASSETS_CURTAIL">"c3176"</definedName>
    <definedName name="IQ_PENSION_ASSETS_CURTAIL_DOM">"c3174"</definedName>
    <definedName name="IQ_PENSION_ASSETS_CURTAIL_FOREIGN">"c3175"</definedName>
    <definedName name="IQ_PENSION_ASSETS_DOM">"c3180"</definedName>
    <definedName name="IQ_PENSION_ASSETS_EMPLOYER_CONTRIBUTIONS">"c3161"</definedName>
    <definedName name="IQ_PENSION_ASSETS_EMPLOYER_CONTRIBUTIONS_DOM">"c3159"</definedName>
    <definedName name="IQ_PENSION_ASSETS_EMPLOYER_CONTRIBUTIONS_FOREIGN">"c3160"</definedName>
    <definedName name="IQ_PENSION_ASSETS_FOREIGN">"c3181"</definedName>
    <definedName name="IQ_PENSION_ASSETS_FX_ADJ">"c3170"</definedName>
    <definedName name="IQ_PENSION_ASSETS_FX_ADJ_DOM">"c3168"</definedName>
    <definedName name="IQ_PENSION_ASSETS_FX_ADJ_FOREIGN">"c3169"</definedName>
    <definedName name="IQ_PENSION_ASSETS_OTHER_PLAN_ADJ">"c3179"</definedName>
    <definedName name="IQ_PENSION_ASSETS_OTHER_PLAN_ADJ_DOM">"c3177"</definedName>
    <definedName name="IQ_PENSION_ASSETS_OTHER_PLAN_ADJ_FOREIGN">"c3178"</definedName>
    <definedName name="IQ_PENSION_ASSETS_PARTICIP_CONTRIBUTIONS">"c3164"</definedName>
    <definedName name="IQ_PENSION_ASSETS_PARTICIP_CONTRIBUTIONS_DOM">"c3162"</definedName>
    <definedName name="IQ_PENSION_ASSETS_PARTICIP_CONTRIBUTIONS_FOREIGN">"c3163"</definedName>
    <definedName name="IQ_PENSION_BENEFIT_INFO_DATE">"c3230"</definedName>
    <definedName name="IQ_PENSION_BENEFIT_INFO_DATE_DOM">"c3228"</definedName>
    <definedName name="IQ_PENSION_BENEFIT_INFO_DATE_FOREIGN">"c3229"</definedName>
    <definedName name="IQ_PENSION_BREAKDOWN_EQ">"c3101"</definedName>
    <definedName name="IQ_PENSION_BREAKDOWN_EQ_DOM">"c3099"</definedName>
    <definedName name="IQ_PENSION_BREAKDOWN_EQ_FOREIGN">"c3100"</definedName>
    <definedName name="IQ_PENSION_BREAKDOWN_FI">"c3104"</definedName>
    <definedName name="IQ_PENSION_BREAKDOWN_FI_DOM">"c3102"</definedName>
    <definedName name="IQ_PENSION_BREAKDOWN_FI_FOREIGN">"c3103"</definedName>
    <definedName name="IQ_PENSION_BREAKDOWN_OTHER">"c3110"</definedName>
    <definedName name="IQ_PENSION_BREAKDOWN_OTHER_DOM">"c3108"</definedName>
    <definedName name="IQ_PENSION_BREAKDOWN_OTHER_FOREIGN">"c3109"</definedName>
    <definedName name="IQ_PENSION_BREAKDOWN_PCT_EQ">"c3089"</definedName>
    <definedName name="IQ_PENSION_BREAKDOWN_PCT_EQ_DOM">"c3087"</definedName>
    <definedName name="IQ_PENSION_BREAKDOWN_PCT_EQ_FOREIGN">"c3088"</definedName>
    <definedName name="IQ_PENSION_BREAKDOWN_PCT_FI">"c3092"</definedName>
    <definedName name="IQ_PENSION_BREAKDOWN_PCT_FI_DOM">"c3090"</definedName>
    <definedName name="IQ_PENSION_BREAKDOWN_PCT_FI_FOREIGN">"c3091"</definedName>
    <definedName name="IQ_PENSION_BREAKDOWN_PCT_OTHER">"c3098"</definedName>
    <definedName name="IQ_PENSION_BREAKDOWN_PCT_OTHER_DOM">"c3096"</definedName>
    <definedName name="IQ_PENSION_BREAKDOWN_PCT_OTHER_FOREIGN">"c3097"</definedName>
    <definedName name="IQ_PENSION_BREAKDOWN_PCT_RE">"c3095"</definedName>
    <definedName name="IQ_PENSION_BREAKDOWN_PCT_RE_DOM">"c3093"</definedName>
    <definedName name="IQ_PENSION_BREAKDOWN_PCT_RE_FOREIGN">"c3094"</definedName>
    <definedName name="IQ_PENSION_BREAKDOWN_RE">"c3107"</definedName>
    <definedName name="IQ_PENSION_BREAKDOWN_RE_DOM">"c3105"</definedName>
    <definedName name="IQ_PENSION_BREAKDOWN_RE_FOREIGN">"c3106"</definedName>
    <definedName name="IQ_PENSION_CONTRIBUTION_TOTAL_COST">"c3559"</definedName>
    <definedName name="IQ_PENSION_DISC_RATE_MAX">"c3236"</definedName>
    <definedName name="IQ_PENSION_DISC_RATE_MAX_DOM">"c3234"</definedName>
    <definedName name="IQ_PENSION_DISC_RATE_MAX_FOREIGN">"c3235"</definedName>
    <definedName name="IQ_PENSION_DISC_RATE_MIN">"c3233"</definedName>
    <definedName name="IQ_PENSION_DISC_RATE_MIN_DOM">"c3231"</definedName>
    <definedName name="IQ_PENSION_DISC_RATE_MIN_FOREIGN">"c3232"</definedName>
    <definedName name="IQ_PENSION_DISCOUNT_RATE_DOMESTIC">"c3573"</definedName>
    <definedName name="IQ_PENSION_DISCOUNT_RATE_FOREIGN">"c3574"</definedName>
    <definedName name="IQ_PENSION_EST_BENEFIT_1YR">"c3113"</definedName>
    <definedName name="IQ_PENSION_EST_BENEFIT_1YR_DOM">"c3111"</definedName>
    <definedName name="IQ_PENSION_EST_BENEFIT_1YR_FOREIGN">"c3112"</definedName>
    <definedName name="IQ_PENSION_EST_BENEFIT_2YR">"c3116"</definedName>
    <definedName name="IQ_PENSION_EST_BENEFIT_2YR_DOM">"c3114"</definedName>
    <definedName name="IQ_PENSION_EST_BENEFIT_2YR_FOREIGN">"c3115"</definedName>
    <definedName name="IQ_PENSION_EST_BENEFIT_3YR">"c3119"</definedName>
    <definedName name="IQ_PENSION_EST_BENEFIT_3YR_DOM">"c3117"</definedName>
    <definedName name="IQ_PENSION_EST_BENEFIT_3YR_FOREIGN">"c3118"</definedName>
    <definedName name="IQ_PENSION_EST_BENEFIT_4YR">"c3122"</definedName>
    <definedName name="IQ_PENSION_EST_BENEFIT_4YR_DOM">"c3120"</definedName>
    <definedName name="IQ_PENSION_EST_BENEFIT_4YR_FOREIGN">"c3121"</definedName>
    <definedName name="IQ_PENSION_EST_BENEFIT_5YR">"c3125"</definedName>
    <definedName name="IQ_PENSION_EST_BENEFIT_5YR_DOM">"c3123"</definedName>
    <definedName name="IQ_PENSION_EST_BENEFIT_5YR_FOREIGN">"c3124"</definedName>
    <definedName name="IQ_PENSION_EST_BENEFIT_AFTER5">"c3128"</definedName>
    <definedName name="IQ_PENSION_EST_BENEFIT_AFTER5_DOM">"c3126"</definedName>
    <definedName name="IQ_PENSION_EST_BENEFIT_AFTER5_FOREIGN">"c3127"</definedName>
    <definedName name="IQ_PENSION_EST_CONTRIBUTIONS_NEXTYR">"c3218"</definedName>
    <definedName name="IQ_PENSION_EST_CONTRIBUTIONS_NEXTYR_DOM">"c3216"</definedName>
    <definedName name="IQ_PENSION_EST_CONTRIBUTIONS_NEXTYR_FOREIGN">"c3217"</definedName>
    <definedName name="IQ_PENSION_EXP_RATE_RETURN_MAX">"c3248"</definedName>
    <definedName name="IQ_PENSION_EXP_RATE_RETURN_MAX_DOM">"c3246"</definedName>
    <definedName name="IQ_PENSION_EXP_RATE_RETURN_MAX_FOREIGN">"c3247"</definedName>
    <definedName name="IQ_PENSION_EXP_RATE_RETURN_MIN">"c3245"</definedName>
    <definedName name="IQ_PENSION_EXP_RATE_RETURN_MIN_DOM">"c3243"</definedName>
    <definedName name="IQ_PENSION_EXP_RATE_RETURN_MIN_FOREIGN">"c3244"</definedName>
    <definedName name="IQ_PENSION_EXP_RETURN_DOMESTIC">"c3571"</definedName>
    <definedName name="IQ_PENSION_EXP_RETURN_FOREIGN">"c3572"</definedName>
    <definedName name="IQ_PENSION_INTAN_ASSETS">"c3137"</definedName>
    <definedName name="IQ_PENSION_INTAN_ASSETS_DOM">"c3135"</definedName>
    <definedName name="IQ_PENSION_INTAN_ASSETS_FOREIGN">"c3136"</definedName>
    <definedName name="IQ_PENSION_INTEREST_COST">"c3582"</definedName>
    <definedName name="IQ_PENSION_INTEREST_COST_DOM">"c3580"</definedName>
    <definedName name="IQ_PENSION_INTEREST_COST_FOREIGN">"c3581"</definedName>
    <definedName name="IQ_PENSION_NET_ASSET_RECOG">"c3152"</definedName>
    <definedName name="IQ_PENSION_NET_ASSET_RECOG_DOM">"c3150"</definedName>
    <definedName name="IQ_PENSION_NET_ASSET_RECOG_FOREIGN">"c3151"</definedName>
    <definedName name="IQ_PENSION_OBLIGATION_ACQ">"c3206"</definedName>
    <definedName name="IQ_PENSION_OBLIGATION_ACQ_DOM">"c3204"</definedName>
    <definedName name="IQ_PENSION_OBLIGATION_ACQ_FOREIGN">"c3205"</definedName>
    <definedName name="IQ_PENSION_OBLIGATION_ACTUARIAL_GAIN_LOSS">"c3197"</definedName>
    <definedName name="IQ_PENSION_OBLIGATION_ACTUARIAL_GAIN_LOSS_DOM">"c3195"</definedName>
    <definedName name="IQ_PENSION_OBLIGATION_ACTUARIAL_GAIN_LOSS_FOREIGN">"c3196"</definedName>
    <definedName name="IQ_PENSION_OBLIGATION_BEG">"c3185"</definedName>
    <definedName name="IQ_PENSION_OBLIGATION_BEG_DOM">"c3183"</definedName>
    <definedName name="IQ_PENSION_OBLIGATION_BEG_FOREIGN">"c3184"</definedName>
    <definedName name="IQ_PENSION_OBLIGATION_CURTAIL">"c3209"</definedName>
    <definedName name="IQ_PENSION_OBLIGATION_CURTAIL_DOM">"c3207"</definedName>
    <definedName name="IQ_PENSION_OBLIGATION_CURTAIL_FOREIGN">"c3208"</definedName>
    <definedName name="IQ_PENSION_OBLIGATION_EMPLOYEE_CONTRIBUTIONS">"c3194"</definedName>
    <definedName name="IQ_PENSION_OBLIGATION_EMPLOYEE_CONTRIBUTIONS_DOM">"c3192"</definedName>
    <definedName name="IQ_PENSION_OBLIGATION_EMPLOYEE_CONTRIBUTIONS_FOREIGN">"c3193"</definedName>
    <definedName name="IQ_PENSION_OBLIGATION_FX_ADJ">"c3203"</definedName>
    <definedName name="IQ_PENSION_OBLIGATION_FX_ADJ_DOM">"c3201"</definedName>
    <definedName name="IQ_PENSION_OBLIGATION_FX_ADJ_FOREIGN">"c3202"</definedName>
    <definedName name="IQ_PENSION_OBLIGATION_INTEREST_COST">"c3191"</definedName>
    <definedName name="IQ_PENSION_OBLIGATION_INTEREST_COST_DOM">"c3189"</definedName>
    <definedName name="IQ_PENSION_OBLIGATION_INTEREST_COST_FOREIGN">"c3190"</definedName>
    <definedName name="IQ_PENSION_OBLIGATION_OTHER_COST">"c3555"</definedName>
    <definedName name="IQ_PENSION_OBLIGATION_OTHER_COST_DOM">"c3553"</definedName>
    <definedName name="IQ_PENSION_OBLIGATION_OTHER_COST_FOREIGN">"c3554"</definedName>
    <definedName name="IQ_PENSION_OBLIGATION_OTHER_PLAN_ADJ">"c3212"</definedName>
    <definedName name="IQ_PENSION_OBLIGATION_OTHER_PLAN_ADJ_DOM">"c3210"</definedName>
    <definedName name="IQ_PENSION_OBLIGATION_OTHER_PLAN_ADJ_FOREIGN">"c3211"</definedName>
    <definedName name="IQ_PENSION_OBLIGATION_PAID">"c3200"</definedName>
    <definedName name="IQ_PENSION_OBLIGATION_PAID_DOM">"c3198"</definedName>
    <definedName name="IQ_PENSION_OBLIGATION_PAID_FOREIGN">"c3199"</definedName>
    <definedName name="IQ_PENSION_OBLIGATION_PROJECTED">"c3215"</definedName>
    <definedName name="IQ_PENSION_OBLIGATION_PROJECTED_DOM">"c3213"</definedName>
    <definedName name="IQ_PENSION_OBLIGATION_PROJECTED_FOREIGN">"c3214"</definedName>
    <definedName name="IQ_PENSION_OBLIGATION_ROA">"c3552"</definedName>
    <definedName name="IQ_PENSION_OBLIGATION_ROA_DOM">"c3550"</definedName>
    <definedName name="IQ_PENSION_OBLIGATION_ROA_FOREIGN">"c3551"</definedName>
    <definedName name="IQ_PENSION_OBLIGATION_SERVICE_COST">"c3188"</definedName>
    <definedName name="IQ_PENSION_OBLIGATION_SERVICE_COST_DOM">"c3186"</definedName>
    <definedName name="IQ_PENSION_OBLIGATION_SERVICE_COST_FOREIGN">"c3187"</definedName>
    <definedName name="IQ_PENSION_OBLIGATION_TOTAL_COST">"c3558"</definedName>
    <definedName name="IQ_PENSION_OBLIGATION_TOTAL_COST_DOM">"c3556"</definedName>
    <definedName name="IQ_PENSION_OBLIGATION_TOTAL_COST_FOREIGN">"c3557"</definedName>
    <definedName name="IQ_PENSION_OTHER">"c3143"</definedName>
    <definedName name="IQ_PENSION_OTHER_ADJ">"c3149"</definedName>
    <definedName name="IQ_PENSION_OTHER_ADJ_DOM">"c3147"</definedName>
    <definedName name="IQ_PENSION_OTHER_ADJ_FOREIGN">"c3148"</definedName>
    <definedName name="IQ_PENSION_OTHER_DOM">"c3141"</definedName>
    <definedName name="IQ_PENSION_OTHER_FOREIGN">"c3142"</definedName>
    <definedName name="IQ_PENSION_PBO_ASSUMED_RATE_RET_MAX">"c3254"</definedName>
    <definedName name="IQ_PENSION_PBO_ASSUMED_RATE_RET_MAX_DOM">"c3252"</definedName>
    <definedName name="IQ_PENSION_PBO_ASSUMED_RATE_RET_MAX_FOREIGN">"c3253"</definedName>
    <definedName name="IQ_PENSION_PBO_ASSUMED_RATE_RET_MIN">"c3251"</definedName>
    <definedName name="IQ_PENSION_PBO_ASSUMED_RATE_RET_MIN_DOM">"c3249"</definedName>
    <definedName name="IQ_PENSION_PBO_ASSUMED_RATE_RET_MIN_FOREIGN">"c3250"</definedName>
    <definedName name="IQ_PENSION_PBO_RATE_COMP_INCREASE_MAX">"c3260"</definedName>
    <definedName name="IQ_PENSION_PBO_RATE_COMP_INCREASE_MAX_DOM">"c3258"</definedName>
    <definedName name="IQ_PENSION_PBO_RATE_COMP_INCREASE_MAX_FOREIGN">"c3259"</definedName>
    <definedName name="IQ_PENSION_PBO_RATE_COMP_INCREASE_MIN">"c3257"</definedName>
    <definedName name="IQ_PENSION_PBO_RATE_COMP_INCREASE_MIN_DOM">"c3255"</definedName>
    <definedName name="IQ_PENSION_PBO_RATE_COMP_INCREASE_MIN_FOREIGN">"c3256"</definedName>
    <definedName name="IQ_PENSION_PREPAID_COST">"c3131"</definedName>
    <definedName name="IQ_PENSION_PREPAID_COST_DOM">"c3129"</definedName>
    <definedName name="IQ_PENSION_PREPAID_COST_FOREIGN">"c3130"</definedName>
    <definedName name="IQ_PENSION_PROJECTED_OBLIGATION">"c3566"</definedName>
    <definedName name="IQ_PENSION_PROJECTED_OBLIGATION_DOMESTIC">"c3564"</definedName>
    <definedName name="IQ_PENSION_PROJECTED_OBLIGATION_FOREIGN">"c3565"</definedName>
    <definedName name="IQ_PENSION_QUART_ADDL_CONTRIBUTIONS_EXP">"c3224"</definedName>
    <definedName name="IQ_PENSION_QUART_ADDL_CONTRIBUTIONS_EXP_DOM">"c3222"</definedName>
    <definedName name="IQ_PENSION_QUART_ADDL_CONTRIBUTIONS_EXP_FOREIGN">"c3223"</definedName>
    <definedName name="IQ_PENSION_QUART_EMPLOYER_CONTRIBUTIONS">"c3221"</definedName>
    <definedName name="IQ_PENSION_QUART_EMPLOYER_CONTRIBUTIONS_DOM">"c3219"</definedName>
    <definedName name="IQ_PENSION_QUART_EMPLOYER_CONTRIBUTIONS_FOREIGN">"c3220"</definedName>
    <definedName name="IQ_PENSION_RATE_COMP_GROWTH_DOMESTIC">"c3575"</definedName>
    <definedName name="IQ_PENSION_RATE_COMP_GROWTH_FOREIGN">"c3576"</definedName>
    <definedName name="IQ_PENSION_RATE_COMP_INCREASE_MAX">"c3242"</definedName>
    <definedName name="IQ_PENSION_RATE_COMP_INCREASE_MAX_DOM">"c3240"</definedName>
    <definedName name="IQ_PENSION_RATE_COMP_INCREASE_MAX_FOREIGN">"c3241"</definedName>
    <definedName name="IQ_PENSION_RATE_COMP_INCREASE_MIN">"c3239"</definedName>
    <definedName name="IQ_PENSION_RATE_COMP_INCREASE_MIN_DOM">"c3237"</definedName>
    <definedName name="IQ_PENSION_RATE_COMP_INCREASE_MIN_FOREIGN">"c3238"</definedName>
    <definedName name="IQ_PENSION_SERVICE_COST">"c3579"</definedName>
    <definedName name="IQ_PENSION_SERVICE_COST_DOM">"c3577"</definedName>
    <definedName name="IQ_PENSION_SERVICE_COST_FOREIGN">"c3578"</definedName>
    <definedName name="IQ_PENSION_TOTAL_ASSETS">"c3563"</definedName>
    <definedName name="IQ_PENSION_TOTAL_ASSETS_DOMESTIC">"c3561"</definedName>
    <definedName name="IQ_PENSION_TOTAL_ASSETS_FOREIGN">"c3562"</definedName>
    <definedName name="IQ_PENSION_TOTAL_EXP">"c3560"</definedName>
    <definedName name="IQ_PENSION_UNFUNDED_ADDL_MIN_LIAB">"c3227"</definedName>
    <definedName name="IQ_PENSION_UNFUNDED_ADDL_MIN_LIAB_DOM">"c3225"</definedName>
    <definedName name="IQ_PENSION_UNFUNDED_ADDL_MIN_LIAB_FOREIGN">"c3226"</definedName>
    <definedName name="IQ_PENSION_UNRECOG_PRIOR">"c3146"</definedName>
    <definedName name="IQ_PENSION_UNRECOG_PRIOR_DOM">"c3144"</definedName>
    <definedName name="IQ_PENSION_UNRECOG_PRIOR_FOREIGN">"c3145"</definedName>
    <definedName name="IQ_PENSION_UV_LIAB">"c3567"</definedName>
    <definedName name="IQ_PERIODDATE">"c1414"</definedName>
    <definedName name="IQ_PERIODDATE_BS">"c1032"</definedName>
    <definedName name="IQ_PERIODDATE_CF">"c1033"</definedName>
    <definedName name="IQ_PERIODDATE_IS">"c1034"</definedName>
    <definedName name="IQ_PERIODLENGTH_CF">"c1502"</definedName>
    <definedName name="IQ_PERIODLENGTH_IS">"c1503"</definedName>
    <definedName name="IQ_PERTYPE">"c1611"</definedName>
    <definedName name="IQ_PLL">"c2114"</definedName>
    <definedName name="IQ_PMT_FREQ">"c2236"</definedName>
    <definedName name="IQ_POISON_PUT_EFFECT_DATE">"c2486"</definedName>
    <definedName name="IQ_POISON_PUT_EXPIRATION_DATE">"c2487"</definedName>
    <definedName name="IQ_POISON_PUT_PRICE">"c2488"</definedName>
    <definedName name="IQ_POLICY_BENEFITS">"c1036"</definedName>
    <definedName name="IQ_POLICY_COST">"c1037"</definedName>
    <definedName name="IQ_POLICY_LIAB">"c1612"</definedName>
    <definedName name="IQ_POLICY_LOANS">"c1038"</definedName>
    <definedName name="IQ_POST_RETIRE_EXP">"c1039"</definedName>
    <definedName name="IQ_POSTPAID_CHURN">"c2121"</definedName>
    <definedName name="IQ_POSTPAID_SUBS">"c2118"</definedName>
    <definedName name="IQ_PRE_OPEN_COST">"c1040"</definedName>
    <definedName name="IQ_PREF_CONVERT">"c1041"</definedName>
    <definedName name="IQ_PREF_DIV_CF">"c1042"</definedName>
    <definedName name="IQ_PREF_DIV_OTHER">"c1043"</definedName>
    <definedName name="IQ_PREF_DIVID">"c1461"</definedName>
    <definedName name="IQ_PREF_EQUITY">"c1044"</definedName>
    <definedName name="IQ_PREF_ISSUED">"c1045"</definedName>
    <definedName name="IQ_PREF_ISSUED_BNK">"c1046"</definedName>
    <definedName name="IQ_PREF_ISSUED_BR">"c1047"</definedName>
    <definedName name="IQ_PREF_ISSUED_FIN">"c1048"</definedName>
    <definedName name="IQ_PREF_ISSUED_INS">"c1049"</definedName>
    <definedName name="IQ_PREF_ISSUED_REIT">"c1050"</definedName>
    <definedName name="IQ_PREF_ISSUED_UTI">"c1051"</definedName>
    <definedName name="IQ_PREF_NON_REDEEM">"c1052"</definedName>
    <definedName name="IQ_PREF_OTHER">"c1053"</definedName>
    <definedName name="IQ_PREF_OTHER_BNK">"c1054"</definedName>
    <definedName name="IQ_PREF_OTHER_BR">"c1055"</definedName>
    <definedName name="IQ_PREF_OTHER_FIN">"c1056"</definedName>
    <definedName name="IQ_PREF_OTHER_INS">"c1057"</definedName>
    <definedName name="IQ_PREF_OTHER_REIT">"c1058"</definedName>
    <definedName name="IQ_PREF_REDEEM">"c1059"</definedName>
    <definedName name="IQ_PREF_REP">"c1060"</definedName>
    <definedName name="IQ_PREF_REP_BNK">"c1061"</definedName>
    <definedName name="IQ_PREF_REP_BR">"c1062"</definedName>
    <definedName name="IQ_PREF_REP_FIN">"c1063"</definedName>
    <definedName name="IQ_PREF_REP_INS">"c1064"</definedName>
    <definedName name="IQ_PREF_REP_REIT">"c1065"</definedName>
    <definedName name="IQ_PREF_REP_UTI">"c1066"</definedName>
    <definedName name="IQ_PREF_STOCK">"c1416"</definedName>
    <definedName name="IQ_PREF_TOT">"c1415"</definedName>
    <definedName name="IQ_PREMIUMS_ANNUITY_REV">"c1067"</definedName>
    <definedName name="IQ_PREPAID_CHURN">"c2120"</definedName>
    <definedName name="IQ_PREPAID_EXP">"c1068"</definedName>
    <definedName name="IQ_PREPAID_EXPEN">"c1418"</definedName>
    <definedName name="IQ_PREPAID_SUBS">"c2117"</definedName>
    <definedName name="IQ_PRICE_OVER_BVPS">"c1412"</definedName>
    <definedName name="IQ_PRICE_OVER_LTM_EPS">"c1413"</definedName>
    <definedName name="IQ_PRICE_TARGET">"c82"</definedName>
    <definedName name="IQ_PRICE_TARGET_REUT">"c3631"</definedName>
    <definedName name="IQ_PRICEDATE">"c1069"</definedName>
    <definedName name="IQ_PRICING_DATE">"c1613"</definedName>
    <definedName name="IQ_PRIMARY_INDUSTRY">"c1070"</definedName>
    <definedName name="IQ_PRINCIPAL_AMT">"c2157"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O_FORMA_BASIC_EPS">"c1614"</definedName>
    <definedName name="IQ_PRO_FORMA_DILUT_EPS">"c1615"</definedName>
    <definedName name="IQ_PRO_FORMA_NET_INC">"c1452"</definedName>
    <definedName name="IQ_PROFESSIONAL">"c1071"</definedName>
    <definedName name="IQ_PROFESSIONAL_TITLE">"c1072"</definedName>
    <definedName name="IQ_PROJECTED_PENSION_OBLIGATION">"c1292"</definedName>
    <definedName name="IQ_PROJECTED_PENSION_OBLIGATION_DOMESTIC">"c2656"</definedName>
    <definedName name="IQ_PROJECTED_PENSION_OBLIGATION_FOREIGN">"c2664"</definedName>
    <definedName name="IQ_PROPERTY_EXP">"c1073"</definedName>
    <definedName name="IQ_PROPERTY_GROSS">"c1379"</definedName>
    <definedName name="IQ_PROPERTY_MGMT_FEE">"c1074"</definedName>
    <definedName name="IQ_PROPERTY_NET">"c1402"</definedName>
    <definedName name="IQ_PROV_BAD_DEBTS">"c1075"</definedName>
    <definedName name="IQ_PROV_BAD_DEBTS_CF">"c1076"</definedName>
    <definedName name="IQ_PROVISION_10YR_ANN_GROWTH">"c1077"</definedName>
    <definedName name="IQ_PROVISION_1YR_ANN_GROWTH">"c1078"</definedName>
    <definedName name="IQ_PROVISION_2YR_ANN_GROWTH">"c1079"</definedName>
    <definedName name="IQ_PROVISION_3YR_ANN_GROWTH">"c1080"</definedName>
    <definedName name="IQ_PROVISION_5YR_ANN_GROWTH">"c1081"</definedName>
    <definedName name="IQ_PROVISION_7YR_ANN_GROWTH">"c1082"</definedName>
    <definedName name="IQ_PROVISION_CHARGE_OFFS">"c1083"</definedName>
    <definedName name="IQ_PTBV">"c1084"</definedName>
    <definedName name="IQ_PTBV_AVG">"c1085"</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"c2483"</definedName>
    <definedName name="IQ_PUT_NOTIFICATION">"c2485"</definedName>
    <definedName name="IQ_PUT_PRICE_SCHEDULE">"c2484"</definedName>
    <definedName name="IQ_QUICK_RATIO">"c1086"</definedName>
    <definedName name="IQ_RATE_COMP_GROWTH_DOMESTIC">"c1087"</definedName>
    <definedName name="IQ_RATE_COMP_GROWTH_FOREIGN">"c1088"</definedName>
    <definedName name="IQ_RAW_INV">"c1089"</definedName>
    <definedName name="IQ_RC">"c2497"</definedName>
    <definedName name="IQ_RC_PCT">"c2498"</definedName>
    <definedName name="IQ_RD_EXP">"c1090"</definedName>
    <definedName name="IQ_RD_EXP_FN">"c1091"</definedName>
    <definedName name="IQ_RE">"c1092"</definedName>
    <definedName name="IQ_REAL_ESTATE">"c1093"</definedName>
    <definedName name="IQ_REAL_ESTATE_ASSETS">"c1094"</definedName>
    <definedName name="IQ_RECURRING_PROFIT_ACT_OR_EST">"c4507"</definedName>
    <definedName name="IQ_RECURRING_PROFIT_SHARE_ACT_OR_EST">"c4508"</definedName>
    <definedName name="IQ_REDEEM_PREF_STOCK">"c1417"</definedName>
    <definedName name="IQ_REG_ASSETS">"c1095"</definedName>
    <definedName name="IQ_REINSUR_PAY">"c1096"</definedName>
    <definedName name="IQ_REINSUR_PAY_CF">"c1097"</definedName>
    <definedName name="IQ_REINSUR_RECOVER">"c1098"</definedName>
    <definedName name="IQ_REINSUR_RECOVER_CF">"c1099"</definedName>
    <definedName name="IQ_REINSURANCE">"c1100"</definedName>
    <definedName name="IQ_RENTAL_REV">"c1101"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"c1419"</definedName>
    <definedName name="IQ_RESIDENTIAL_LOANS">"c1102"</definedName>
    <definedName name="IQ_RESTATEMENT_BS">"c1643"</definedName>
    <definedName name="IQ_RESTATEMENT_CF">"c1644"</definedName>
    <definedName name="IQ_RESTATEMENT_IS">"c1642"</definedName>
    <definedName name="IQ_RESTR_STOCK_COMP">"c3506"</definedName>
    <definedName name="IQ_RESTR_STOCK_COMP_PRETAX">"c3504"</definedName>
    <definedName name="IQ_RESTR_STOCK_COMP_TAX">"c3505"</definedName>
    <definedName name="IQ_RESTRICTED_CASH">"c1103"</definedName>
    <definedName name="IQ_RESTRUCTURE">"c1104"</definedName>
    <definedName name="IQ_RESTRUCTURE_BNK">"c1105"</definedName>
    <definedName name="IQ_RESTRUCTURE_BR">"c1106"</definedName>
    <definedName name="IQ_RESTRUCTURE_CF">"c1107"</definedName>
    <definedName name="IQ_RESTRUCTURE_FIN">"c1108"</definedName>
    <definedName name="IQ_RESTRUCTURE_INS">"c1109"</definedName>
    <definedName name="IQ_RESTRUCTURE_REIT">"c1110"</definedName>
    <definedName name="IQ_RESTRUCTURE_UTI">"c1111"</definedName>
    <definedName name="IQ_RESTRUCTURED_LOANS">"c1112"</definedName>
    <definedName name="IQ_RETAIL_ACQUIRED_FRANCHISE_STORES">"c2895"</definedName>
    <definedName name="IQ_RETAIL_ACQUIRED_OWNED_STORES">"c2903"</definedName>
    <definedName name="IQ_RETAIL_ACQUIRED_STORES">"c2887"</definedName>
    <definedName name="IQ_RETAIL_AVG_STORE_SIZE_GROSS">"c2066"</definedName>
    <definedName name="IQ_RETAIL_AVG_STORE_SIZE_NET">"c2067"</definedName>
    <definedName name="IQ_RETAIL_AVG_WK_SALES">"c2891"</definedName>
    <definedName name="IQ_RETAIL_AVG_WK_SALES_FRANCHISE">"c2899"</definedName>
    <definedName name="IQ_RETAIL_AVG_WK_SALES_OWNED">"c2907"</definedName>
    <definedName name="IQ_RETAIL_CLOSED_FRANCHISE_STORES">"c2896"</definedName>
    <definedName name="IQ_RETAIL_CLOSED_OWNED_STORES">"c2904"</definedName>
    <definedName name="IQ_RETAIL_CLOSED_STORES">"c2063"</definedName>
    <definedName name="IQ_RETAIL_FRANCHISE_STORES_BEG">"c2893"</definedName>
    <definedName name="IQ_RETAIL_OPENED_FRANCHISE_STORES">"c2894"</definedName>
    <definedName name="IQ_RETAIL_OPENED_OWNED_STORES">"c2902"</definedName>
    <definedName name="IQ_RETAIL_OPENED_STORES">"c2062"</definedName>
    <definedName name="IQ_RETAIL_OWNED_STORES_BEG">"c2901"</definedName>
    <definedName name="IQ_RETAIL_SALES_SQFT_ALL_GROSS">"c2138"</definedName>
    <definedName name="IQ_RETAIL_SALES_SQFT_ALL_NET">"c2139"</definedName>
    <definedName name="IQ_RETAIL_SALES_SQFT_COMPARABLE_GROSS">"c2136"</definedName>
    <definedName name="IQ_RETAIL_SALES_SQFT_COMPARABLE_NET">"c2137"</definedName>
    <definedName name="IQ_RETAIL_SALES_SQFT_OWNED_GROSS">"c2134"</definedName>
    <definedName name="IQ_RETAIL_SALES_SQFT_OWNED_NET">"c2135"</definedName>
    <definedName name="IQ_RETAIL_SOLD_FRANCHISE_STORES">"c2897"</definedName>
    <definedName name="IQ_RETAIL_SOLD_OWNED_STORES">"c2905"</definedName>
    <definedName name="IQ_RETAIL_SOLD_STORES">"c2889"</definedName>
    <definedName name="IQ_RETAIL_SQ_FOOTAGE">"c2064"</definedName>
    <definedName name="IQ_RETAIL_STORE_SELLING_AREA">"c2065"</definedName>
    <definedName name="IQ_RETAIL_STORES_BEG">"c2885"</definedName>
    <definedName name="IQ_RETAIL_TOTAL_FRANCHISE_STORES">"c2898"</definedName>
    <definedName name="IQ_RETAIL_TOTAL_OWNED_STORES">"c2906"</definedName>
    <definedName name="IQ_RETAIL_TOTAL_STORES">"c2061"</definedName>
    <definedName name="IQ_RETAINED_EARN">"c1420"</definedName>
    <definedName name="IQ_RETURN_ASSETS">"c1113"</definedName>
    <definedName name="IQ_RETURN_ASSETS_BANK">"c1114"</definedName>
    <definedName name="IQ_RETURN_ASSETS_BROK">"c1115"</definedName>
    <definedName name="IQ_RETURN_ASSETS_FS">"c1116"</definedName>
    <definedName name="IQ_RETURN_CAPITAL">"c1117"</definedName>
    <definedName name="IQ_RETURN_EQUITY">"c1118"</definedName>
    <definedName name="IQ_RETURN_EQUITY_BANK">"c1119"</definedName>
    <definedName name="IQ_RETURN_EQUITY_BROK">"c1120"</definedName>
    <definedName name="IQ_RETURN_EQUITY_FS">"c1121"</definedName>
    <definedName name="IQ_RETURN_INVESTMENT">"c1421"</definedName>
    <definedName name="IQ_REV">"c1122"</definedName>
    <definedName name="IQ_REV_BEFORE_LL">"c1123"</definedName>
    <definedName name="IQ_REV_STDDEV_EST">"c1124"</definedName>
    <definedName name="IQ_REV_STDDEV_EST_REUT">"c3639"</definedName>
    <definedName name="IQ_REV_UTI">"c1125"</definedName>
    <definedName name="IQ_REVENUE">"c1422"</definedName>
    <definedName name="IQ_REVENUE_ACT_OR_EST">"c2214"</definedName>
    <definedName name="IQ_REVENUE_EST">"c1126"</definedName>
    <definedName name="IQ_REVENUE_EST_REUT">"c3634"</definedName>
    <definedName name="IQ_REVENUE_HIGH_EST">"c1127"</definedName>
    <definedName name="IQ_REVENUE_HIGH_EST_REUT">"c3636"</definedName>
    <definedName name="IQ_REVENUE_LOW_EST">"c1128"</definedName>
    <definedName name="IQ_REVENUE_LOW_EST_REUT">"c3637"</definedName>
    <definedName name="IQ_REVENUE_MEDIAN_EST">"c1662"</definedName>
    <definedName name="IQ_REVENUE_MEDIAN_EST_REUT">"c3635"</definedName>
    <definedName name="IQ_REVENUE_NUM_EST">"c1129"</definedName>
    <definedName name="IQ_REVENUE_NUM_EST_REUT">"c3638"</definedName>
    <definedName name="IQ_REVISION_DATE_" localSheetId="15">39489.6256597222</definedName>
    <definedName name="IQ_REVISION_DATE_">39489.6256597222</definedName>
    <definedName name="IQ_RISK_ADJ_BANK_ASSETS">"c2670"</definedName>
    <definedName name="IQ_SALARY">"c1130"</definedName>
    <definedName name="IQ_SALE_INTAN_CF">"c1131"</definedName>
    <definedName name="IQ_SALE_INTAN_CF_BNK">"c1132"</definedName>
    <definedName name="IQ_SALE_INTAN_CF_BR">"c1133"</definedName>
    <definedName name="IQ_SALE_INTAN_CF_FIN">"c1134"</definedName>
    <definedName name="IQ_SALE_INTAN_CF_INS">"c1135"</definedName>
    <definedName name="IQ_SALE_INTAN_CF_REIT">"c1627"</definedName>
    <definedName name="IQ_SALE_INTAN_CF_UTI">"c1136"</definedName>
    <definedName name="IQ_SALE_PPE_CF">"c1137"</definedName>
    <definedName name="IQ_SALE_PPE_CF_BNK">"c1138"</definedName>
    <definedName name="IQ_SALE_PPE_CF_BR">"c1139"</definedName>
    <definedName name="IQ_SALE_PPE_CF_FIN">"c1140"</definedName>
    <definedName name="IQ_SALE_PPE_CF_INS">"c1141"</definedName>
    <definedName name="IQ_SALE_PPE_CF_UTI">"c1142"</definedName>
    <definedName name="IQ_SALE_RE_ASSETS">"c1629"</definedName>
    <definedName name="IQ_SALE_REAL_ESTATE_CF">"c1143"</definedName>
    <definedName name="IQ_SALE_REAL_ESTATE_CF_BNK">"c1144"</definedName>
    <definedName name="IQ_SALE_REAL_ESTATE_CF_BR">"c1145"</definedName>
    <definedName name="IQ_SALE_REAL_ESTATE_CF_FIN">"c1146"</definedName>
    <definedName name="IQ_SALE_REAL_ESTATE_CF_INS">"c1147"</definedName>
    <definedName name="IQ_SALE_REAL_ESTATE_CF_UTI">"c1148"</definedName>
    <definedName name="IQ_SALES_MARKETING">"c2240"</definedName>
    <definedName name="IQ_SAME_STORE">"c1149"</definedName>
    <definedName name="IQ_SAME_STORE_FRANCHISE">"c2900"</definedName>
    <definedName name="IQ_SAME_STORE_OWNED">"c2908"</definedName>
    <definedName name="IQ_SAME_STORE_TOTAL">"c2892"</definedName>
    <definedName name="IQ_SAVING_DEP">"c1150"</definedName>
    <definedName name="IQ_SEC_PURCHASED_RESELL">"c5513"</definedName>
    <definedName name="IQ_SECUR_RECEIV">"c1151"</definedName>
    <definedName name="IQ_SECURED_DEBT">"c2546"</definedName>
    <definedName name="IQ_SECURED_DEBT_PCT">"c2547"</definedName>
    <definedName name="IQ_SECURITY_BORROW">"c1152"</definedName>
    <definedName name="IQ_SECURITY_LEVEL">"c2159"</definedName>
    <definedName name="IQ_SECURITY_NOTES">"c2202"</definedName>
    <definedName name="IQ_SECURITY_OWN">"c1153"</definedName>
    <definedName name="IQ_SECURITY_RESELL">"c1154"</definedName>
    <definedName name="IQ_SECURITY_TYPE">"c2158"</definedName>
    <definedName name="IQ_SEPARATE_ACCT_ASSETS">"c1155"</definedName>
    <definedName name="IQ_SEPARATE_ACCT_LIAB">"c1156"</definedName>
    <definedName name="IQ_SERV_CHARGE_DEPOSITS">"c1157"</definedName>
    <definedName name="IQ_SGA">"c1158"</definedName>
    <definedName name="IQ_SGA_BNK">"c1159"</definedName>
    <definedName name="IQ_SGA_INS">"c1160"</definedName>
    <definedName name="IQ_SGA_MARGIN">"c1898"</definedName>
    <definedName name="IQ_SGA_REIT">"c1161"</definedName>
    <definedName name="IQ_SGA_SUPPL">"c1162"</definedName>
    <definedName name="IQ_SGA_UTI">"c1163"</definedName>
    <definedName name="IQ_SHAREOUTSTANDING">"c1347"</definedName>
    <definedName name="IQ_SHARESOUTSTANDING">"c1164"</definedName>
    <definedName name="IQ_SHORT_INTEREST">"c1165"</definedName>
    <definedName name="IQ_SHORT_INTEREST_OVER_FLOAT">"c1577"</definedName>
    <definedName name="IQ_SHORT_INTEREST_PERCENT">"c1576"</definedName>
    <definedName name="IQ_SHORT_TERM_INVEST">"c1425"</definedName>
    <definedName name="IQ_SMALL_INT_BEAR_CD">"c1166"</definedName>
    <definedName name="IQ_SOFTWARE">"c1167"</definedName>
    <definedName name="IQ_SOURCE">"c1168"</definedName>
    <definedName name="IQ_SP">"c2171"</definedName>
    <definedName name="IQ_SP_BANK">"c2637"</definedName>
    <definedName name="IQ_SP_BANK_ACTION">"c2636"</definedName>
    <definedName name="IQ_SP_BANK_DATE">"c2635"</definedName>
    <definedName name="IQ_SP_DATE">"c2172"</definedName>
    <definedName name="IQ_SP_FIN_ENHANCE_FX">"c2631"</definedName>
    <definedName name="IQ_SP_FIN_ENHANCE_FX_ACTION">"c2630"</definedName>
    <definedName name="IQ_SP_FIN_ENHANCE_FX_DATE">"c2629"</definedName>
    <definedName name="IQ_SP_FIN_ENHANCE_LC">"c2634"</definedName>
    <definedName name="IQ_SP_FIN_ENHANCE_LC_ACTION">"c2633"</definedName>
    <definedName name="IQ_SP_FIN_ENHANCE_LC_DATE">"c2632"</definedName>
    <definedName name="IQ_SP_FIN_STRENGTH_LC_ACTION_LT">"c2625"</definedName>
    <definedName name="IQ_SP_FIN_STRENGTH_LC_ACTION_ST">"c2626"</definedName>
    <definedName name="IQ_SP_FIN_STRENGTH_LC_DATE_LT">"c2623"</definedName>
    <definedName name="IQ_SP_FIN_STRENGTH_LC_DATE_ST">"c2624"</definedName>
    <definedName name="IQ_SP_FIN_STRENGTH_LC_LT">"c2627"</definedName>
    <definedName name="IQ_SP_FIN_STRENGTH_LC_ST">"c2628"</definedName>
    <definedName name="IQ_SP_FX_ACTION_LT">"c2613"</definedName>
    <definedName name="IQ_SP_FX_ACTION_ST">"c2614"</definedName>
    <definedName name="IQ_SP_FX_DATE_LT">"c2611"</definedName>
    <definedName name="IQ_SP_FX_DATE_ST">"c2612"</definedName>
    <definedName name="IQ_SP_FX_LT">"c2615"</definedName>
    <definedName name="IQ_SP_FX_ST">"c2616"</definedName>
    <definedName name="IQ_SP_ISSUE_ACTION">"c2644"</definedName>
    <definedName name="IQ_SP_ISSUE_DATE">"c2643"</definedName>
    <definedName name="IQ_SP_ISSUE_LT">"c2645"</definedName>
    <definedName name="IQ_SP_ISSUE_OUTLOOK_WATCH">"c2650"</definedName>
    <definedName name="IQ_SP_ISSUE_OUTLOOK_WATCH_DATE">"c2649"</definedName>
    <definedName name="IQ_SP_ISSUE_RECOVER">"c2648"</definedName>
    <definedName name="IQ_SP_ISSUE_RECOVER_ACTION">"c2647"</definedName>
    <definedName name="IQ_SP_ISSUE_RECOVER_DATE">"c2646"</definedName>
    <definedName name="IQ_SP_LC_ACTION_LT">"c2619"</definedName>
    <definedName name="IQ_SP_LC_ACTION_ST">"c2620"</definedName>
    <definedName name="IQ_SP_LC_DATE_LT">"c2617"</definedName>
    <definedName name="IQ_SP_LC_DATE_ST">"c2618"</definedName>
    <definedName name="IQ_SP_LC_LT">"c2621"</definedName>
    <definedName name="IQ_SP_LC_ST">"c2622"</definedName>
    <definedName name="IQ_SP_OUTLOOK_WATCH">"c2639"</definedName>
    <definedName name="IQ_SP_OUTLOOK_WATCH_DATE">"c2638"</definedName>
    <definedName name="IQ_SP_REASON">"c2174"</definedName>
    <definedName name="IQ_SP_STATUS">"c2173"</definedName>
    <definedName name="IQ_SPECIAL_DIV_CF">"c1169"</definedName>
    <definedName name="IQ_SPECIAL_DIV_CF_BNK">"c1170"</definedName>
    <definedName name="IQ_SPECIAL_DIV_CF_BR">"c1171"</definedName>
    <definedName name="IQ_SPECIAL_DIV_CF_FIN">"c1172"</definedName>
    <definedName name="IQ_SPECIAL_DIV_CF_INS">"c1173"</definedName>
    <definedName name="IQ_SPECIAL_DIV_CF_REIT">"c1174"</definedName>
    <definedName name="IQ_SPECIAL_DIV_CF_UTI">"c1175"</definedName>
    <definedName name="IQ_SPECIAL_DIV_SHARE">"c3007"</definedName>
    <definedName name="IQ_SR_BONDS_NOTES">"c2501"</definedName>
    <definedName name="IQ_SR_BONDS_NOTES_PCT">"c2502"</definedName>
    <definedName name="IQ_SR_DEBT">"c2526"</definedName>
    <definedName name="IQ_SR_DEBT_EBITDA">"c2552"</definedName>
    <definedName name="IQ_SR_DEBT_EBITDA_CAPEX">"c2553"</definedName>
    <definedName name="IQ_SR_DEBT_PCT">"c2527"</definedName>
    <definedName name="IQ_SR_SUB_DEBT">"c2530"</definedName>
    <definedName name="IQ_SR_SUB_DEBT_EBITDA">"c2556"</definedName>
    <definedName name="IQ_SR_SUB_DEBT_EBITDA_CAPEX">"c2557"</definedName>
    <definedName name="IQ_SR_SUB_DEBT_PCT">"c2531"</definedName>
    <definedName name="IQ_ST_DEBT">"c1176"</definedName>
    <definedName name="IQ_ST_DEBT_BNK">"c1177"</definedName>
    <definedName name="IQ_ST_DEBT_BR">"c1178"</definedName>
    <definedName name="IQ_ST_DEBT_FIN">"c1179"</definedName>
    <definedName name="IQ_ST_DEBT_INS">"c1180"</definedName>
    <definedName name="IQ_ST_DEBT_ISSUED">"c1181"</definedName>
    <definedName name="IQ_ST_DEBT_ISSUED_BNK">"c1182"</definedName>
    <definedName name="IQ_ST_DEBT_ISSUED_BR">"c1183"</definedName>
    <definedName name="IQ_ST_DEBT_ISSUED_FIN">"c1184"</definedName>
    <definedName name="IQ_ST_DEBT_ISSUED_INS">"c1185"</definedName>
    <definedName name="IQ_ST_DEBT_ISSUED_REIT">"c1186"</definedName>
    <definedName name="IQ_ST_DEBT_ISSUED_UTI">"c1187"</definedName>
    <definedName name="IQ_ST_DEBT_PCT">"c2539"</definedName>
    <definedName name="IQ_ST_DEBT_REIT">"c1188"</definedName>
    <definedName name="IQ_ST_DEBT_REPAID">"c1189"</definedName>
    <definedName name="IQ_ST_DEBT_REPAID_BNK">"c1190"</definedName>
    <definedName name="IQ_ST_DEBT_REPAID_BR">"c1191"</definedName>
    <definedName name="IQ_ST_DEBT_REPAID_FIN">"c1192"</definedName>
    <definedName name="IQ_ST_DEBT_REPAID_INS">"c1193"</definedName>
    <definedName name="IQ_ST_DEBT_REPAID_REIT">"c1194"</definedName>
    <definedName name="IQ_ST_DEBT_REPAID_UTI">"c1195"</definedName>
    <definedName name="IQ_ST_DEBT_UTI">"c1196"</definedName>
    <definedName name="IQ_ST_INVEST">"c1197"</definedName>
    <definedName name="IQ_ST_INVEST_UTI">"c1198"</definedName>
    <definedName name="IQ_ST_NOTE_RECEIV">"c1199"</definedName>
    <definedName name="IQ_STATE">"c1200"</definedName>
    <definedName name="IQ_STATUTORY_SURPLUS">"c1201"</definedName>
    <definedName name="IQ_STOCK_BASED">"c1202"</definedName>
    <definedName name="IQ_STOCK_BASED_AT">"c2999"</definedName>
    <definedName name="IQ_STOCK_BASED_CF">"c1203"</definedName>
    <definedName name="IQ_STOCK_BASED_COGS">"c2990"</definedName>
    <definedName name="IQ_STOCK_BASED_COMP">"c3512"</definedName>
    <definedName name="IQ_STOCK_BASED_COMP_PRETAX">"c3510"</definedName>
    <definedName name="IQ_STOCK_BASED_COMP_TAX">"c3511"</definedName>
    <definedName name="IQ_STOCK_BASED_GA">"c2993"</definedName>
    <definedName name="IQ_STOCK_BASED_OTHER">"c2995"</definedName>
    <definedName name="IQ_STOCK_BASED_RD">"c2991"</definedName>
    <definedName name="IQ_STOCK_BASED_SGA">"c2994"</definedName>
    <definedName name="IQ_STOCK_BASED_SM">"c2992"</definedName>
    <definedName name="IQ_STOCK_BASED_TOTAL">"c3040"</definedName>
    <definedName name="IQ_STOCK_OPTIONS_COMP">"c3509"</definedName>
    <definedName name="IQ_STOCK_OPTIONS_COMP_PRETAX">"c3507"</definedName>
    <definedName name="IQ_STOCK_OPTIONS_COMP_TAX">"c3508"</definedName>
    <definedName name="IQ_STRIKE_PRICE_ISSUED">"c1645"</definedName>
    <definedName name="IQ_STRIKE_PRICE_OS">"c1646"</definedName>
    <definedName name="IQ_STW">"c2166"</definedName>
    <definedName name="IQ_SUB_BONDS_NOTES">"c2503"</definedName>
    <definedName name="IQ_SUB_BONDS_NOTES_PCT">"c2504"</definedName>
    <definedName name="IQ_SUB_DEBT">"c2532"</definedName>
    <definedName name="IQ_SUB_DEBT_EBITDA">"c2558"</definedName>
    <definedName name="IQ_SUB_DEBT_EBITDA_CAPEX">"c2559"</definedName>
    <definedName name="IQ_SUB_DEBT_PCT">"c2533"</definedName>
    <definedName name="IQ_SUB_LEASE_AFTER_FIVE">"c1207"</definedName>
    <definedName name="IQ_SUB_LEASE_INC_CY">"c1208"</definedName>
    <definedName name="IQ_SUB_LEASE_INC_CY1">"c1209"</definedName>
    <definedName name="IQ_SUB_LEASE_INC_CY2">"c1210"</definedName>
    <definedName name="IQ_SUB_LEASE_INC_CY3">"c1211"</definedName>
    <definedName name="IQ_SUB_LEASE_INC_CY4">"c1212"</definedName>
    <definedName name="IQ_SUB_LEASE_NEXT_FIVE">"c1213"</definedName>
    <definedName name="IQ_SVA">"c1214"</definedName>
    <definedName name="IQ_TARGET_PRICE_NUM">"c1653"</definedName>
    <definedName name="IQ_TARGET_PRICE_NUM_REUT">"c5319"</definedName>
    <definedName name="IQ_TARGET_PRICE_STDDEV">"c1654"</definedName>
    <definedName name="IQ_TARGET_PRICE_STDDEV_REUT">"c5320"</definedName>
    <definedName name="IQ_TAX_BENEFIT_CF_1YR">"c3483"</definedName>
    <definedName name="IQ_TAX_BENEFIT_CF_2YR">"c3484"</definedName>
    <definedName name="IQ_TAX_BENEFIT_CF_3YR">"c3485"</definedName>
    <definedName name="IQ_TAX_BENEFIT_CF_4YR">"c3486"</definedName>
    <definedName name="IQ_TAX_BENEFIT_CF_5YR">"c3487"</definedName>
    <definedName name="IQ_TAX_BENEFIT_CF_AFTER_FIVE">"c3488"</definedName>
    <definedName name="IQ_TAX_BENEFIT_CF_MAX_YEAR">"c3491"</definedName>
    <definedName name="IQ_TAX_BENEFIT_CF_NO_EXP">"c3489"</definedName>
    <definedName name="IQ_TAX_BENEFIT_CF_TOTAL">"c3490"</definedName>
    <definedName name="IQ_TAX_BENEFIT_OPTIONS">"c1215"</definedName>
    <definedName name="IQ_TAX_EQUIV_NET_INT_INC">"c1216"</definedName>
    <definedName name="IQ_TBV">"c1906"</definedName>
    <definedName name="IQ_TBV_10YR_ANN_GROWTH">"c1936"</definedName>
    <definedName name="IQ_TBV_1YR_ANN_GROWTH">"c1931"</definedName>
    <definedName name="IQ_TBV_2YR_ANN_GROWTH">"c1932"</definedName>
    <definedName name="IQ_TBV_3YR_ANN_GROWTH">"c1933"</definedName>
    <definedName name="IQ_TBV_5YR_ANN_GROWTH">"c1934"</definedName>
    <definedName name="IQ_TBV_7YR_ANN_GROWTH">"c1935"</definedName>
    <definedName name="IQ_TBV_SHARE">"c1217"</definedName>
    <definedName name="IQ_TEMPLATE">"c1521"</definedName>
    <definedName name="IQ_TENANT">"c1218"</definedName>
    <definedName name="IQ_TERM_LOANS">"c2499"</definedName>
    <definedName name="IQ_TERM_LOANS_PCT">"c2500"</definedName>
    <definedName name="IQ_TEV">"c1219"</definedName>
    <definedName name="IQ_TEV_EBIT">"c1220"</definedName>
    <definedName name="IQ_TEV_EBIT_AVG">"c1221"</definedName>
    <definedName name="IQ_TEV_EBITDA">"c1222"</definedName>
    <definedName name="IQ_TEV_EBITDA_AVG">"c1223"</definedName>
    <definedName name="IQ_TEV_EBITDA_FWD">"c1224"</definedName>
    <definedName name="IQ_TEV_EBITDA_FWD_REUT">"c4050"</definedName>
    <definedName name="IQ_TEV_EMPLOYEE_AVG">"c1225"</definedName>
    <definedName name="IQ_TEV_TOTAL_REV">"c1226"</definedName>
    <definedName name="IQ_TEV_TOTAL_REV_AVG">"c1227"</definedName>
    <definedName name="IQ_TEV_TOTAL_REV_FWD">"c1228"</definedName>
    <definedName name="IQ_TEV_TOTAL_REV_FWD_REUT">"c4051"</definedName>
    <definedName name="IQ_TEV_UFCF">"c2208"</definedName>
    <definedName name="IQ_TIER_ONE_CAPITAL">"c2667"</definedName>
    <definedName name="IQ_TIER_ONE_RATIO">"c1229"</definedName>
    <definedName name="IQ_TIER_TWO_CAPITAL">"c2669"</definedName>
    <definedName name="IQ_TIME_DEP">"c1230"</definedName>
    <definedName name="IQ_TODAY">0</definedName>
    <definedName name="IQ_TOT_ADJ_INC">"c1616"</definedName>
    <definedName name="IQ_TOTAL_AR_BR">"c1231"</definedName>
    <definedName name="IQ_TOTAL_AR_REIT">"c1232"</definedName>
    <definedName name="IQ_TOTAL_AR_UTI">"c1233"</definedName>
    <definedName name="IQ_TOTAL_ASSETS">"c1234"</definedName>
    <definedName name="IQ_TOTAL_ASSETS_10YR_ANN_GROWTH">"c1235"</definedName>
    <definedName name="IQ_TOTAL_ASSETS_1YR_ANN_GROWTH">"c1236"</definedName>
    <definedName name="IQ_TOTAL_ASSETS_2YR_ANN_GROWTH">"c1237"</definedName>
    <definedName name="IQ_TOTAL_ASSETS_3YR_ANN_GROWTH">"c1238"</definedName>
    <definedName name="IQ_TOTAL_ASSETS_5YR_ANN_GROWTH">"c1239"</definedName>
    <definedName name="IQ_TOTAL_ASSETS_7YR_ANN_GROWTH">"c1240"</definedName>
    <definedName name="IQ_TOTAL_AVG_CE_TOTAL_AVG_ASSETS">"c1241"</definedName>
    <definedName name="IQ_TOTAL_AVG_EQUITY_TOTAL_AVG_ASSETS">"c1242"</definedName>
    <definedName name="IQ_TOTAL_BANK_CAPITAL">"c2668"</definedName>
    <definedName name="IQ_TOTAL_CA">"c1243"</definedName>
    <definedName name="IQ_TOTAL_CAP">"c1507"</definedName>
    <definedName name="IQ_TOTAL_CAPITAL_RATIO">"c1244"</definedName>
    <definedName name="IQ_TOTAL_CASH_DIVID">"c1455"</definedName>
    <definedName name="IQ_TOTAL_CASH_FINAN">"c1352"</definedName>
    <definedName name="IQ_TOTAL_CASH_INVEST">"c1353"</definedName>
    <definedName name="IQ_TOTAL_CASH_OPER">"c1354"</definedName>
    <definedName name="IQ_TOTAL_CHURN">"c2122"</definedName>
    <definedName name="IQ_TOTAL_CL">"c1245"</definedName>
    <definedName name="IQ_TOTAL_COMMON">"c1411"</definedName>
    <definedName name="IQ_TOTAL_COMMON_EQUITY">"c1246"</definedName>
    <definedName name="IQ_TOTAL_CURRENT_ASSETS">"c1430"</definedName>
    <definedName name="IQ_TOTAL_CURRENT_LIAB">"c1431"</definedName>
    <definedName name="IQ_TOTAL_DEBT">"c1247"</definedName>
    <definedName name="IQ_TOTAL_DEBT_CAPITAL">"c1248"</definedName>
    <definedName name="IQ_TOTAL_DEBT_EBITDA">"c1249"</definedName>
    <definedName name="IQ_TOTAL_DEBT_EBITDA_CAPEX">"c2948"</definedName>
    <definedName name="IQ_TOTAL_DEBT_EQUITY">"c1250"</definedName>
    <definedName name="IQ_TOTAL_DEBT_EXCL_FIN">"c2937"</definedName>
    <definedName name="IQ_TOTAL_DEBT_ISSUED">"c1251"</definedName>
    <definedName name="IQ_TOTAL_DEBT_ISSUED_BNK">"c1252"</definedName>
    <definedName name="IQ_TOTAL_DEBT_ISSUED_BR">"c1253"</definedName>
    <definedName name="IQ_TOTAL_DEBT_ISSUED_FIN">"c1254"</definedName>
    <definedName name="IQ_TOTAL_DEBT_ISSUED_REIT">"c1255"</definedName>
    <definedName name="IQ_TOTAL_DEBT_ISSUED_UTI">"c1256"</definedName>
    <definedName name="IQ_TOTAL_DEBT_ISSUES_INS">"c1257"</definedName>
    <definedName name="IQ_TOTAL_DEBT_OVER_EBITDA">"c1433"</definedName>
    <definedName name="IQ_TOTAL_DEBT_OVER_TOTAL_BV">"c1434"</definedName>
    <definedName name="IQ_TOTAL_DEBT_OVER_TOTAL_CAP">"c1432"</definedName>
    <definedName name="IQ_TOTAL_DEBT_REPAID">"c1258"</definedName>
    <definedName name="IQ_TOTAL_DEBT_REPAID_BNK">"c1259"</definedName>
    <definedName name="IQ_TOTAL_DEBT_REPAID_BR">"c1260"</definedName>
    <definedName name="IQ_TOTAL_DEBT_REPAID_FIN">"c1261"</definedName>
    <definedName name="IQ_TOTAL_DEBT_REPAID_INS">"c1262"</definedName>
    <definedName name="IQ_TOTAL_DEBT_REPAID_REIT">"c1263"</definedName>
    <definedName name="IQ_TOTAL_DEBT_REPAID_UTI">"c1264"</definedName>
    <definedName name="IQ_TOTAL_DEPOSITS">"c1265"</definedName>
    <definedName name="IQ_TOTAL_DIV_PAID_CF">"c1266"</definedName>
    <definedName name="IQ_TOTAL_EMPLOYEE">"c2141"</definedName>
    <definedName name="IQ_TOTAL_EMPLOYEES">"c1522"</definedName>
    <definedName name="IQ_TOTAL_EQUITY">"c1267"</definedName>
    <definedName name="IQ_TOTAL_EQUITY_10YR_ANN_GROWTH">"c1268"</definedName>
    <definedName name="IQ_TOTAL_EQUITY_1YR_ANN_GROWTH">"c1269"</definedName>
    <definedName name="IQ_TOTAL_EQUITY_2YR_ANN_GROWTH">"c1270"</definedName>
    <definedName name="IQ_TOTAL_EQUITY_3YR_ANN_GROWTH">"c1271"</definedName>
    <definedName name="IQ_TOTAL_EQUITY_5YR_ANN_GROWTH">"c1272"</definedName>
    <definedName name="IQ_TOTAL_EQUITY_7YR_ANN_GROWTH">"c1273"</definedName>
    <definedName name="IQ_TOTAL_EQUITY_ALLOWANCE_TOTAL_LOANS">"c1274"</definedName>
    <definedName name="IQ_TOTAL_INTEREST_EXP">"c1382"</definedName>
    <definedName name="IQ_TOTAL_INVENTORY">"c1385"</definedName>
    <definedName name="IQ_TOTAL_INVEST">"c1275"</definedName>
    <definedName name="IQ_TOTAL_LIAB">"c1276"</definedName>
    <definedName name="IQ_TOTAL_LIAB_BNK">"c1277"</definedName>
    <definedName name="IQ_TOTAL_LIAB_BR">"c1278"</definedName>
    <definedName name="IQ_TOTAL_LIAB_EQUITY">"c1279"</definedName>
    <definedName name="IQ_TOTAL_LIAB_FIN">"c1280"</definedName>
    <definedName name="IQ_TOTAL_LIAB_INS">"c1281"</definedName>
    <definedName name="IQ_TOTAL_LIAB_REIT">"c1282"</definedName>
    <definedName name="IQ_TOTAL_LIAB_SHAREHOLD">"c1435"</definedName>
    <definedName name="IQ_TOTAL_LIAB_TOTAL_ASSETS">"c1283"</definedName>
    <definedName name="IQ_TOTAL_LONG_DEBT">"c1617"</definedName>
    <definedName name="IQ_TOTAL_NON_REC">"c1444"</definedName>
    <definedName name="IQ_TOTAL_OPER_EXP_BR">"c1284"</definedName>
    <definedName name="IQ_TOTAL_OPER_EXP_FIN">"c1285"</definedName>
    <definedName name="IQ_TOTAL_OPER_EXP_INS">"c1286"</definedName>
    <definedName name="IQ_TOTAL_OPER_EXP_REIT">"c1287"</definedName>
    <definedName name="IQ_TOTAL_OPER_EXP_UTI">"c1288"</definedName>
    <definedName name="IQ_TOTAL_OPER_EXPEN">"c1445"</definedName>
    <definedName name="IQ_TOTAL_OPTIONS_BEG_OS">"c2693"</definedName>
    <definedName name="IQ_TOTAL_OPTIONS_CANCELLED">"c2696"</definedName>
    <definedName name="IQ_TOTAL_OPTIONS_END_OS">"c2697"</definedName>
    <definedName name="IQ_TOTAL_OPTIONS_EXERCISED">"c2695"</definedName>
    <definedName name="IQ_TOTAL_OPTIONS_GRANTED">"c2694"</definedName>
    <definedName name="IQ_TOTAL_OTHER_OPER">"c1289"</definedName>
    <definedName name="IQ_TOTAL_OUTSTANDING_BS_DATE">"c1022"</definedName>
    <definedName name="IQ_TOTAL_OUTSTANDING_FILING_DATE">"c2107"</definedName>
    <definedName name="IQ_TOTAL_PENSION_ASSETS">"c1290"</definedName>
    <definedName name="IQ_TOTAL_PENSION_ASSETS_DOMESTIC">"c2658"</definedName>
    <definedName name="IQ_TOTAL_PENSION_ASSETS_FOREIGN">"c2666"</definedName>
    <definedName name="IQ_TOTAL_PENSION_EXP">"c1291"</definedName>
    <definedName name="IQ_TOTAL_PRINCIPAL">"c2509"</definedName>
    <definedName name="IQ_TOTAL_PRINCIPAL_PCT">"c2510"</definedName>
    <definedName name="IQ_TOTAL_PROVED_RESERVES_NGL">"c2924"</definedName>
    <definedName name="IQ_TOTAL_PROVED_RESERVES_OIL">"c2040"</definedName>
    <definedName name="IQ_TOTAL_RECEIV">"c1293"</definedName>
    <definedName name="IQ_TOTAL_REV">"c1294"</definedName>
    <definedName name="IQ_TOTAL_REV_10YR_ANN_GROWTH">"c1295"</definedName>
    <definedName name="IQ_TOTAL_REV_1YR_ANN_GROWTH">"c1296"</definedName>
    <definedName name="IQ_TOTAL_REV_2YR_ANN_GROWTH">"c1297"</definedName>
    <definedName name="IQ_TOTAL_REV_3YR_ANN_GROWTH">"c1298"</definedName>
    <definedName name="IQ_TOTAL_REV_5YR_ANN_GROWTH">"c1299"</definedName>
    <definedName name="IQ_TOTAL_REV_7YR_ANN_GROWTH">"c1300"</definedName>
    <definedName name="IQ_TOTAL_REV_AS_REPORTED">"c1301"</definedName>
    <definedName name="IQ_TOTAL_REV_BNK">"c1302"</definedName>
    <definedName name="IQ_TOTAL_REV_BR">"c1303"</definedName>
    <definedName name="IQ_TOTAL_REV_EMPLOYEE">"c1304"</definedName>
    <definedName name="IQ_TOTAL_REV_FIN">"c1305"</definedName>
    <definedName name="IQ_TOTAL_REV_INS">"c1306"</definedName>
    <definedName name="IQ_TOTAL_REV_REIT">"c1307"</definedName>
    <definedName name="IQ_TOTAL_REV_SHARE">"c1912"</definedName>
    <definedName name="IQ_TOTAL_REV_UTI">"c1308"</definedName>
    <definedName name="IQ_TOTAL_REVENUE">"c1436"</definedName>
    <definedName name="IQ_TOTAL_SPECIAL">"c1618"</definedName>
    <definedName name="IQ_TOTAL_ST_BORROW">"c1424"</definedName>
    <definedName name="IQ_TOTAL_SUB_DEBT">"c2528"</definedName>
    <definedName name="IQ_TOTAL_SUB_DEBT_EBITDA">"c2554"</definedName>
    <definedName name="IQ_TOTAL_SUB_DEBT_EBITDA_CAPEX">"c2555"</definedName>
    <definedName name="IQ_TOTAL_SUB_DEBT_PCT">"c2529"</definedName>
    <definedName name="IQ_TOTAL_SUBS">"c2119"</definedName>
    <definedName name="IQ_TOTAL_UNUSUAL">"c1508"</definedName>
    <definedName name="IQ_TOTAL_UNUSUAL_BNK">"c5516"</definedName>
    <definedName name="IQ_TOTAL_UNUSUAL_BR">"c5517"</definedName>
    <definedName name="IQ_TOTAL_UNUSUAL_FIN">"c5518"</definedName>
    <definedName name="IQ_TOTAL_UNUSUAL_INS">"c5519"</definedName>
    <definedName name="IQ_TOTAL_UNUSUAL_REIT">"c5520"</definedName>
    <definedName name="IQ_TOTAL_UNUSUAL_UTI">"c5521"</definedName>
    <definedName name="IQ_TOTAL_WARRANTS_BEG_OS">"c2719"</definedName>
    <definedName name="IQ_TOTAL_WARRANTS_CANCELLED">"c2722"</definedName>
    <definedName name="IQ_TOTAL_WARRANTS_END_OS">"c2723"</definedName>
    <definedName name="IQ_TOTAL_WARRANTS_EXERCISED">"c2721"</definedName>
    <definedName name="IQ_TOTAL_WARRANTS_ISSUED">"c2720"</definedName>
    <definedName name="IQ_TR_ACCT_METHOD">"c2363"</definedName>
    <definedName name="IQ_TR_ACQ_52_WK_HI_PCT">"c2348"</definedName>
    <definedName name="IQ_TR_ACQ_52_WK_LOW_PCT">"c2347"</definedName>
    <definedName name="IQ_TR_ACQ_CASH_ST_INVEST">"c2372"</definedName>
    <definedName name="IQ_TR_ACQ_CLOSEPRICE_1D">"c3027"</definedName>
    <definedName name="IQ_TR_ACQ_DILUT_EPS_EXCL">"c3028"</definedName>
    <definedName name="IQ_TR_ACQ_EARNING_CO">"c2379"</definedName>
    <definedName name="IQ_TR_ACQ_EBIT">"c2380"</definedName>
    <definedName name="IQ_TR_ACQ_EBIT_EQ_INC">"c3611"</definedName>
    <definedName name="IQ_TR_ACQ_EBITDA">"c2381"</definedName>
    <definedName name="IQ_TR_ACQ_EBITDA_EQ_INC">"c3610"</definedName>
    <definedName name="IQ_TR_ACQ_FILING_CURRENCY">"c3033"</definedName>
    <definedName name="IQ_TR_ACQ_FILINGDATE">"c3607"</definedName>
    <definedName name="IQ_TR_ACQ_MCAP_1DAY">"c2345"</definedName>
    <definedName name="IQ_TR_ACQ_MIN_INT">"c2374"</definedName>
    <definedName name="IQ_TR_ACQ_NET_DEBT">"c2373"</definedName>
    <definedName name="IQ_TR_ACQ_NI">"c2378"</definedName>
    <definedName name="IQ_TR_ACQ_PERIODDATE">"c3606"</definedName>
    <definedName name="IQ_TR_ACQ_PRICEDATE_1D">"c2346"</definedName>
    <definedName name="IQ_TR_ACQ_RETURN">"c2349"</definedName>
    <definedName name="IQ_TR_ACQ_STOCKYEARHIGH_1D">"c2343"</definedName>
    <definedName name="IQ_TR_ACQ_STOCKYEARLOW_1D">"c2344"</definedName>
    <definedName name="IQ_TR_ACQ_TOTAL_ASSETS">"c2371"</definedName>
    <definedName name="IQ_TR_ACQ_TOTAL_COMMON_EQ">"c2377"</definedName>
    <definedName name="IQ_TR_ACQ_TOTAL_DEBT">"c2376"</definedName>
    <definedName name="IQ_TR_ACQ_TOTAL_PREF">"c2375"</definedName>
    <definedName name="IQ_TR_ACQ_TOTAL_REV">"c2382"</definedName>
    <definedName name="IQ_TR_ADJ_SIZE">"c3024"</definedName>
    <definedName name="IQ_TR_ANN_DATE">"c2395"</definedName>
    <definedName name="IQ_TR_ANN_DATE_BL">"c2394"</definedName>
    <definedName name="IQ_TR_BID_DATE">"c2357"</definedName>
    <definedName name="IQ_TR_BLUESKY_FEES">"c2277"</definedName>
    <definedName name="IQ_TR_BUY_ACC_ADVISORS">"c3048"</definedName>
    <definedName name="IQ_TR_BUY_FIN_ADVISORS">"c3045"</definedName>
    <definedName name="IQ_TR_BUY_LEG_ADVISORS">"c2387"</definedName>
    <definedName name="IQ_TR_BUYER_ID">"c2404"</definedName>
    <definedName name="IQ_TR_BUYERNAME">"c2401"</definedName>
    <definedName name="IQ_TR_CANCELLED_DATE">"c2284"</definedName>
    <definedName name="IQ_TR_CASH_CONSID_PCT">"c2296"</definedName>
    <definedName name="IQ_TR_CASH_ST_INVEST">"c3025"</definedName>
    <definedName name="IQ_TR_CHANGE_CONTROL">"c2365"</definedName>
    <definedName name="IQ_TR_CLOSED_DATE">"c2283"</definedName>
    <definedName name="IQ_TR_CO_NET_PROCEEDS">"c2268"</definedName>
    <definedName name="IQ_TR_CO_NET_PROCEEDS_PCT">"c2270"</definedName>
    <definedName name="IQ_TR_COMMENTS">"c2383"</definedName>
    <definedName name="IQ_TR_CURRENCY">"c3016"</definedName>
    <definedName name="IQ_TR_DEAL_ATTITUDE">"c2364"</definedName>
    <definedName name="IQ_TR_DEAL_CONDITIONS">"c2367"</definedName>
    <definedName name="IQ_TR_DEAL_RESOLUTION">"c2391"</definedName>
    <definedName name="IQ_TR_DEAL_RESPONSES">"c2366"</definedName>
    <definedName name="IQ_TR_DEBT_CONSID_PCT">"c2299"</definedName>
    <definedName name="IQ_TR_DEF_AGRMT_DATE">"c2285"</definedName>
    <definedName name="IQ_TR_DISCLOSED_FEES_EXP">"c2288"</definedName>
    <definedName name="IQ_TR_EARNOUTS">"c3023"</definedName>
    <definedName name="IQ_TR_EXPIRED_DATE">"c2412"</definedName>
    <definedName name="IQ_TR_GROSS_OFFERING_AMT">"c2262"</definedName>
    <definedName name="IQ_TR_HYBRID_CONSID_PCT">"c2300"</definedName>
    <definedName name="IQ_TR_IMPLIED_EQ">"c3018"</definedName>
    <definedName name="IQ_TR_IMPLIED_EQ_BV">"c3019"</definedName>
    <definedName name="IQ_TR_IMPLIED_EQ_NI_LTM">"c3020"</definedName>
    <definedName name="IQ_TR_IMPLIED_EV">"c2301"</definedName>
    <definedName name="IQ_TR_IMPLIED_EV_BV">"c2306"</definedName>
    <definedName name="IQ_TR_IMPLIED_EV_EBIT">"c2302"</definedName>
    <definedName name="IQ_TR_IMPLIED_EV_EBITDA">"c2303"</definedName>
    <definedName name="IQ_TR_IMPLIED_EV_NI_LTM">"c2307"</definedName>
    <definedName name="IQ_TR_IMPLIED_EV_REV">"c2304"</definedName>
    <definedName name="IQ_TR_INIT_FILED_DATE">"c3495"</definedName>
    <definedName name="IQ_TR_LOI_DATE">"c2282"</definedName>
    <definedName name="IQ_TR_MAJ_MIN_STAKE">"c2389"</definedName>
    <definedName name="IQ_TR_NEGOTIATED_BUYBACK_PRICE">"c2414"</definedName>
    <definedName name="IQ_TR_NET_ASSUM_LIABILITIES">"c2308"</definedName>
    <definedName name="IQ_TR_NET_PROCEEDS">"c2267"</definedName>
    <definedName name="IQ_TR_OFFER_DATE">"c2265"</definedName>
    <definedName name="IQ_TR_OFFER_DATE_MA">"c3035"</definedName>
    <definedName name="IQ_TR_OFFER_PER_SHARE">"c3017"</definedName>
    <definedName name="IQ_TR_OPTIONS_CONSID_PCT">"c2311"</definedName>
    <definedName name="IQ_TR_OTHER_CONSID">"c3022"</definedName>
    <definedName name="IQ_TR_PCT_SOUGHT">"c2309"</definedName>
    <definedName name="IQ_TR_PFEATURES">"c2384"</definedName>
    <definedName name="IQ_TR_PIPE_CONV_PRICE_SHARE">"c2292"</definedName>
    <definedName name="IQ_TR_PIPE_CPN_PCT">"c2291"</definedName>
    <definedName name="IQ_TR_PIPE_NUMBER_SHARES">"c2293"</definedName>
    <definedName name="IQ_TR_PIPE_PPS">"c2290"</definedName>
    <definedName name="IQ_TR_POSTMONEY_VAL">"c2286"</definedName>
    <definedName name="IQ_TR_PREDEAL_SITUATION">"c2390"</definedName>
    <definedName name="IQ_TR_PREF_CONSID_PCT">"c2310"</definedName>
    <definedName name="IQ_TR_PREMONEY_VAL">"c2287"</definedName>
    <definedName name="IQ_TR_PRINTING_FEES">"c2276"</definedName>
    <definedName name="IQ_TR_PT_MONETARY_VALUES">"c2415"</definedName>
    <definedName name="IQ_TR_PT_NUMBER_SHARES">"c2417"</definedName>
    <definedName name="IQ_TR_PT_PCT_SHARES">"c2416"</definedName>
    <definedName name="IQ_TR_RATING_FEES">"c2275"</definedName>
    <definedName name="IQ_TR_REG_EFFECT_DATE">"c2264"</definedName>
    <definedName name="IQ_TR_REG_FILED_DATE">"c2263"</definedName>
    <definedName name="IQ_TR_RENEWAL_BUYBACK">"c2413"</definedName>
    <definedName name="IQ_TR_ROUND_NUMBER">"c2295"</definedName>
    <definedName name="IQ_TR_SEC_FEES">"c2274"</definedName>
    <definedName name="IQ_TR_SECURITY_TYPE_REG">"c2279"</definedName>
    <definedName name="IQ_TR_SELL_ACC_ADVISORS">"c3049"</definedName>
    <definedName name="IQ_TR_SELL_FIN_ADVISORS">"c3046"</definedName>
    <definedName name="IQ_TR_SELL_LEG_ADVISORS">"c2388"</definedName>
    <definedName name="IQ_TR_SELLER_ID">"c2406"</definedName>
    <definedName name="IQ_TR_SELLERNAME">"c2402"</definedName>
    <definedName name="IQ_TR_SFEATURES">"c2385"</definedName>
    <definedName name="IQ_TR_SH_NET_PROCEEDS">"c2269"</definedName>
    <definedName name="IQ_TR_SH_NET_PROCEEDS_PCT">"c2271"</definedName>
    <definedName name="IQ_TR_SPECIAL_COMMITTEE">"c2362"</definedName>
    <definedName name="IQ_TR_STATUS">"c2399"</definedName>
    <definedName name="IQ_TR_STOCK_CONSID_PCT">"c2312"</definedName>
    <definedName name="IQ_TR_SUSPENDED_DATE">"c2407"</definedName>
    <definedName name="IQ_TR_TARGET_52WKHI_PCT">"c2351"</definedName>
    <definedName name="IQ_TR_TARGET_52WKLOW_PCT">"c2350"</definedName>
    <definedName name="IQ_TR_TARGET_ACC_ADVISORS">"c3047"</definedName>
    <definedName name="IQ_TR_TARGET_CASH_ST_INVEST">"c2327"</definedName>
    <definedName name="IQ_TR_TARGET_CLOSEPRICE_1D">"c2352"</definedName>
    <definedName name="IQ_TR_TARGET_CLOSEPRICE_1M">"c2354"</definedName>
    <definedName name="IQ_TR_TARGET_CLOSEPRICE_1W">"c2353"</definedName>
    <definedName name="IQ_TR_TARGET_DILUT_EPS_EXCL">"c2324"</definedName>
    <definedName name="IQ_TR_TARGET_EARNING_CO">"c2332"</definedName>
    <definedName name="IQ_TR_TARGET_EBIT">"c2333"</definedName>
    <definedName name="IQ_TR_TARGET_EBIT_EQ_INC">"c3609"</definedName>
    <definedName name="IQ_TR_TARGET_EBITDA">"c2334"</definedName>
    <definedName name="IQ_TR_TARGET_EBITDA_EQ_INC">"c3608"</definedName>
    <definedName name="IQ_TR_TARGET_FILING_CURRENCY">"c3034"</definedName>
    <definedName name="IQ_TR_TARGET_FILINGDATE">"c3605"</definedName>
    <definedName name="IQ_TR_TARGET_FIN_ADVISORS">"c3044"</definedName>
    <definedName name="IQ_TR_TARGET_ID">"c2405"</definedName>
    <definedName name="IQ_TR_TARGET_LEG_ADVISORS">"c2386"</definedName>
    <definedName name="IQ_TR_TARGET_MARKETCAP">"c2342"</definedName>
    <definedName name="IQ_TR_TARGET_MIN_INT">"c2328"</definedName>
    <definedName name="IQ_TR_TARGET_NET_DEBT">"c2326"</definedName>
    <definedName name="IQ_TR_TARGET_NI">"c2331"</definedName>
    <definedName name="IQ_TR_TARGET_PERIODDATE">"c3604"</definedName>
    <definedName name="IQ_TR_TARGET_PRICEDATE_1D">"c2341"</definedName>
    <definedName name="IQ_TR_TARGET_RETURN">"c2355"</definedName>
    <definedName name="IQ_TR_TARGET_SEC_DETAIL">"c3021"</definedName>
    <definedName name="IQ_TR_TARGET_SEC_TI_ID">"c2368"</definedName>
    <definedName name="IQ_TR_TARGET_SEC_TYPE">"c2369"</definedName>
    <definedName name="IQ_TR_TARGET_SPD">"c2313"</definedName>
    <definedName name="IQ_TR_TARGET_SPD_PCT">"c2314"</definedName>
    <definedName name="IQ_TR_TARGET_STOCKPREMIUM_1D">"c2336"</definedName>
    <definedName name="IQ_TR_TARGET_STOCKPREMIUM_1M">"c2337"</definedName>
    <definedName name="IQ_TR_TARGET_STOCKPREMIUM_1W">"c2338"</definedName>
    <definedName name="IQ_TR_TARGET_STOCKYEARHIGH_1D">"c2339"</definedName>
    <definedName name="IQ_TR_TARGET_STOCKYEARLOW_1D">"c2340"</definedName>
    <definedName name="IQ_TR_TARGET_TOTAL_ASSETS">"c2325"</definedName>
    <definedName name="IQ_TR_TARGET_TOTAL_COMMON_EQ">"c2421"</definedName>
    <definedName name="IQ_TR_TARGET_TOTAL_DEBT">"c2330"</definedName>
    <definedName name="IQ_TR_TARGET_TOTAL_PREF">"c2329"</definedName>
    <definedName name="IQ_TR_TARGET_TOTAL_REV">"c2335"</definedName>
    <definedName name="IQ_TR_TARGETNAME">"c2403"</definedName>
    <definedName name="IQ_TR_TERM_FEE">"c2298"</definedName>
    <definedName name="IQ_TR_TERM_FEE_PCT">"c2297"</definedName>
    <definedName name="IQ_TR_TODATE">"c3036"</definedName>
    <definedName name="IQ_TR_TODATE_MONETARY_VALUE">"c2418"</definedName>
    <definedName name="IQ_TR_TODATE_NUMBER_SHARES">"c2420"</definedName>
    <definedName name="IQ_TR_TODATE_PCT_SHARES">"c2419"</definedName>
    <definedName name="IQ_TR_TOTAL_ACCT_FEES">"c2273"</definedName>
    <definedName name="IQ_TR_TOTAL_CASH">"c2315"</definedName>
    <definedName name="IQ_TR_TOTAL_CONSID_SH">"c2316"</definedName>
    <definedName name="IQ_TR_TOTAL_DEBT">"c2317"</definedName>
    <definedName name="IQ_TR_TOTAL_GROSS_TV">"c2318"</definedName>
    <definedName name="IQ_TR_TOTAL_HYBRID">"c2319"</definedName>
    <definedName name="IQ_TR_TOTAL_LEGAL_FEES">"c2272"</definedName>
    <definedName name="IQ_TR_TOTAL_NET_TV">"c2320"</definedName>
    <definedName name="IQ_TR_TOTAL_NEWMONEY">"c2289"</definedName>
    <definedName name="IQ_TR_TOTAL_OPTIONS">"c2322"</definedName>
    <definedName name="IQ_TR_TOTAL_OPTIONS_BUYER">"c3026"</definedName>
    <definedName name="IQ_TR_TOTAL_PREFERRED">"c2321"</definedName>
    <definedName name="IQ_TR_TOTAL_REG_AMT">"c2261"</definedName>
    <definedName name="IQ_TR_TOTAL_STOCK">"c2323"</definedName>
    <definedName name="IQ_TR_TOTAL_TAKEDOWNS">"c2278"</definedName>
    <definedName name="IQ_TR_TOTAL_UW_COMP">"c2280"</definedName>
    <definedName name="IQ_TR_TOTALVALUE">"c2400"</definedName>
    <definedName name="IQ_TR_TRANSACTION_TYPE">"c2398"</definedName>
    <definedName name="IQ_TR_WITHDRAWN_DTE">"c2266"</definedName>
    <definedName name="IQ_TRADE_AR">"c1345"</definedName>
    <definedName name="IQ_TRADE_PRINCIPAL">"c1309"</definedName>
    <definedName name="IQ_TRADING_ASSETS">"c1310"</definedName>
    <definedName name="IQ_TRADING_CURRENCY">"c2212"</definedName>
    <definedName name="IQ_TREASURY">"c1311"</definedName>
    <definedName name="IQ_TREASURY_OTHER_EQUITY">"c1312"</definedName>
    <definedName name="IQ_TREASURY_OTHER_EQUITY_BNK">"c1313"</definedName>
    <definedName name="IQ_TREASURY_OTHER_EQUITY_BR">"c1314"</definedName>
    <definedName name="IQ_TREASURY_OTHER_EQUITY_FIN">"c1315"</definedName>
    <definedName name="IQ_TREASURY_OTHER_EQUITY_INS">"c1316"</definedName>
    <definedName name="IQ_TREASURY_OTHER_EQUITY_REIT">"c1317"</definedName>
    <definedName name="IQ_TREASURY_OTHER_EQUITY_UTI">"c1318"</definedName>
    <definedName name="IQ_TREASURY_STOCK">"c1438"</definedName>
    <definedName name="IQ_TRUST_INC">"c1319"</definedName>
    <definedName name="IQ_TRUST_PREF">"c1320"</definedName>
    <definedName name="IQ_TRUST_PREFERRED">"c3029"</definedName>
    <definedName name="IQ_TRUST_PREFERRED_PCT">"c3030"</definedName>
    <definedName name="IQ_UFCF_10YR_ANN_GROWTH">"c1948"</definedName>
    <definedName name="IQ_UFCF_1YR_ANN_GROWTH">"c1943"</definedName>
    <definedName name="IQ_UFCF_2YR_ANN_GROWTH">"c1944"</definedName>
    <definedName name="IQ_UFCF_3YR_ANN_GROWTH">"c1945"</definedName>
    <definedName name="IQ_UFCF_5YR_ANN_GROWTH">"c1946"</definedName>
    <definedName name="IQ_UFCF_7YR_ANN_GROWTH">"c1947"</definedName>
    <definedName name="IQ_UFCF_MARGIN">"c1962"</definedName>
    <definedName name="IQ_ULT_PARENT">"c3037"</definedName>
    <definedName name="IQ_ULT_PARENT_CIQID">"c3039"</definedName>
    <definedName name="IQ_ULT_PARENT_TICKER">"c3038"</definedName>
    <definedName name="IQ_UNAMORT_DISC">"c2513"</definedName>
    <definedName name="IQ_UNAMORT_DISC_PCT">"c2514"</definedName>
    <definedName name="IQ_UNAMORT_PREMIUM">"c2511"</definedName>
    <definedName name="IQ_UNAMORT_PREMIUM_PCT">"c2512"</definedName>
    <definedName name="IQ_UNDRAWN_CP">"c2518"</definedName>
    <definedName name="IQ_UNDRAWN_CREDIT">"c3032"</definedName>
    <definedName name="IQ_UNDRAWN_RC">"c2517"</definedName>
    <definedName name="IQ_UNDRAWN_TL">"c2519"</definedName>
    <definedName name="IQ_UNEARN_PREMIUM">"c1321"</definedName>
    <definedName name="IQ_UNEARN_REV_CURRENT">"c1322"</definedName>
    <definedName name="IQ_UNEARN_REV_CURRENT_BNK">"c1323"</definedName>
    <definedName name="IQ_UNEARN_REV_CURRENT_BR">"c1324"</definedName>
    <definedName name="IQ_UNEARN_REV_CURRENT_FIN">"c1325"</definedName>
    <definedName name="IQ_UNEARN_REV_CURRENT_INS">"c1326"</definedName>
    <definedName name="IQ_UNEARN_REV_CURRENT_REIT">"c1327"</definedName>
    <definedName name="IQ_UNEARN_REV_CURRENT_UTI">"c1328"</definedName>
    <definedName name="IQ_UNEARN_REV_LT">"c1329"</definedName>
    <definedName name="IQ_UNLEVERED_FCF">"c1908"</definedName>
    <definedName name="IQ_UNPAID_CLAIMS">"c1330"</definedName>
    <definedName name="IQ_UNREALIZED_GAIN">"c1619"</definedName>
    <definedName name="IQ_UNSECURED_DEBT">"c2548"</definedName>
    <definedName name="IQ_UNSECURED_DEBT_PCT">"c2549"</definedName>
    <definedName name="IQ_UNUSUAL_EXP">"c1456"</definedName>
    <definedName name="IQ_US_GAAP">"c1331"</definedName>
    <definedName name="IQ_US_GAAP_BASIC_EPS_EXCL">"c2984"</definedName>
    <definedName name="IQ_US_GAAP_BASIC_EPS_INCL">"c2982"</definedName>
    <definedName name="IQ_US_GAAP_BASIC_WEIGHT">"c2980"</definedName>
    <definedName name="IQ_US_GAAP_CA_ADJ">"c2925"</definedName>
    <definedName name="IQ_US_GAAP_CASH_FINAN">"c2945"</definedName>
    <definedName name="IQ_US_GAAP_CASH_FINAN_ADJ">"c2941"</definedName>
    <definedName name="IQ_US_GAAP_CASH_INVEST">"c2944"</definedName>
    <definedName name="IQ_US_GAAP_CASH_INVEST_ADJ">"c2940"</definedName>
    <definedName name="IQ_US_GAAP_CASH_OPER">"c2943"</definedName>
    <definedName name="IQ_US_GAAP_CASH_OPER_ADJ">"c2939"</definedName>
    <definedName name="IQ_US_GAAP_CL_ADJ">"c2927"</definedName>
    <definedName name="IQ_US_GAAP_COST_REV_ADJ">"c2951"</definedName>
    <definedName name="IQ_US_GAAP_DILUT_EPS_EXCL">"c2985"</definedName>
    <definedName name="IQ_US_GAAP_DILUT_EPS_INCL">"c2983"</definedName>
    <definedName name="IQ_US_GAAP_DILUT_NI">"c2979"</definedName>
    <definedName name="IQ_US_GAAP_DILUT_WEIGHT">"c2981"</definedName>
    <definedName name="IQ_US_GAAP_DO_ADJ">"c2959"</definedName>
    <definedName name="IQ_US_GAAP_EXTRA_ACC_ITEMS_ADJ">"c2958"</definedName>
    <definedName name="IQ_US_GAAP_INC_TAX_ADJ">"c2961"</definedName>
    <definedName name="IQ_US_GAAP_INTEREST_EXP_ADJ">"c2957"</definedName>
    <definedName name="IQ_US_GAAP_LIAB_LT_ADJ">"c2928"</definedName>
    <definedName name="IQ_US_GAAP_LIAB_TOTAL_LIAB">"c2933"</definedName>
    <definedName name="IQ_US_GAAP_MINORITY_INTEREST_IS_ADJ">"c2960"</definedName>
    <definedName name="IQ_US_GAAP_NCA_ADJ">"c2926"</definedName>
    <definedName name="IQ_US_GAAP_NET_CHANGE">"c2946"</definedName>
    <definedName name="IQ_US_GAAP_NET_CHANGE_ADJ">"c2942"</definedName>
    <definedName name="IQ_US_GAAP_NI">"c2976"</definedName>
    <definedName name="IQ_US_GAAP_NI_ADJ">"c2963"</definedName>
    <definedName name="IQ_US_GAAP_NI_AVAIL_INCL">"c2978"</definedName>
    <definedName name="IQ_US_GAAP_OTHER_ADJ_ADJ">"c2962"</definedName>
    <definedName name="IQ_US_GAAP_OTHER_NON_OPER_ADJ">"c2955"</definedName>
    <definedName name="IQ_US_GAAP_OTHER_OPER_ADJ">"c2954"</definedName>
    <definedName name="IQ_US_GAAP_RD_ADJ">"c2953"</definedName>
    <definedName name="IQ_US_GAAP_SGA_ADJ">"c2952"</definedName>
    <definedName name="IQ_US_GAAP_TOTAL_ASSETS">"c2931"</definedName>
    <definedName name="IQ_US_GAAP_TOTAL_EQUITY">"c2934"</definedName>
    <definedName name="IQ_US_GAAP_TOTAL_EQUITY_ADJ">"c2929"</definedName>
    <definedName name="IQ_US_GAAP_TOTAL_REV_ADJ">"c2950"</definedName>
    <definedName name="IQ_US_GAAP_TOTAL_UNUSUAL_ADJ">"c2956"</definedName>
    <definedName name="IQ_UTIL_PPE_NET">"c1620"</definedName>
    <definedName name="IQ_UTIL_REV">"c2091"</definedName>
    <definedName name="IQ_UV_PENSION_LIAB">"c1332"</definedName>
    <definedName name="IQ_VALUE_TRADED_LAST_3MTH">"c1530"</definedName>
    <definedName name="IQ_VALUE_TRADED_LAST_6MTH">"c1531"</definedName>
    <definedName name="IQ_VALUE_TRADED_LAST_MTH">"c1529"</definedName>
    <definedName name="IQ_VALUE_TRADED_LAST_WK">"c1528"</definedName>
    <definedName name="IQ_VALUE_TRADED_LAST_YR">"c1532"</definedName>
    <definedName name="IQ_VOL_LAST_3MTH">"c1525"</definedName>
    <definedName name="IQ_VOL_LAST_6MTH">"c1526"</definedName>
    <definedName name="IQ_VOL_LAST_MTH">"c1524"</definedName>
    <definedName name="IQ_VOL_LAST_WK">"c1523"</definedName>
    <definedName name="IQ_VOL_LAST_YR">"c1527"</definedName>
    <definedName name="IQ_VOLUME">"c1333"</definedName>
    <definedName name="IQ_WARRANTS_BEG_OS">"c2698"</definedName>
    <definedName name="IQ_WARRANTS_CANCELLED">"c2701"</definedName>
    <definedName name="IQ_WARRANTS_END_OS">"c2702"</definedName>
    <definedName name="IQ_WARRANTS_EXERCISED">"c2700"</definedName>
    <definedName name="IQ_WARRANTS_ISSUED">"c2699"</definedName>
    <definedName name="IQ_WARRANTS_STRIKE_PRICE_ISSUED">"c2704"</definedName>
    <definedName name="IQ_WARRANTS_STRIKE_PRICE_OS">"c2703"</definedName>
    <definedName name="IQ_WEEK" hidden="1">50000</definedName>
    <definedName name="IQ_WEIGHTED_AVG_PRICE">"c1334"</definedName>
    <definedName name="IQ_WIP_INV">"c1335"</definedName>
    <definedName name="IQ_WORKING_CAP">"c3494"</definedName>
    <definedName name="IQ_WORKMEN_WRITTEN">"c1336"</definedName>
    <definedName name="IQ_XDIV_DATE">"c2203"</definedName>
    <definedName name="IQ_YEARHIGH">"c1337"</definedName>
    <definedName name="IQ_YEARHIGH_DATE">"c2250"</definedName>
    <definedName name="IQ_YEARLOW">"c1338"</definedName>
    <definedName name="IQ_YEARLOW_DATE">"c2251"</definedName>
    <definedName name="IQ_YTD">3000</definedName>
    <definedName name="IQ_YTW">"c2163"</definedName>
    <definedName name="IQ_YTW_DATE">"c2164"</definedName>
    <definedName name="IQ_YTW_DATE_TYPE">"c2165"</definedName>
    <definedName name="IQ_Z_SCORE">"c1339"</definedName>
    <definedName name="KeepVersions" localSheetId="17">IndexInformation!$B$8</definedName>
    <definedName name="LanguageCode">IndexInformation!$B$38</definedName>
    <definedName name="LastCell" localSheetId="0">ImportantDisclosures!$A$22</definedName>
    <definedName name="Linking_1" localSheetId="15">DCF!$B$1:$I$49</definedName>
    <definedName name="Linking_20" localSheetId="15">DCF!$B$1:$I$51</definedName>
    <definedName name="Linking_20" xml:space="preserve">  sumry!$A$7:$FV$66</definedName>
    <definedName name="Linking_21" xml:space="preserve">  sumry!$A$7:$FV$66</definedName>
    <definedName name="Linking_22" xml:space="preserve">  bal!$A$6:$AP$42</definedName>
    <definedName name="Linking_23" xml:space="preserve">    bal!$A$6:$AO$41</definedName>
    <definedName name="Linking_24" xml:space="preserve">  bal!$A$6:$AO$41</definedName>
    <definedName name="Linking_25" xml:space="preserve">    bal!$A$6:$AO$41</definedName>
    <definedName name="Linking_26" xml:space="preserve">  bal!$A$1:$AR$41</definedName>
    <definedName name="Linking_27" xml:space="preserve">       bal!$A$1:$AR$41</definedName>
    <definedName name="Linking_28" xml:space="preserve">  bal!$A$1:$AR$41</definedName>
    <definedName name="Linking_29" xml:space="preserve">    flow!$A$5:$AQ$44</definedName>
    <definedName name="Linking_30" xml:space="preserve">  bal!$A$6:$AR$41</definedName>
    <definedName name="Linking_31" xml:space="preserve">  flow!$A$5:$AO$45</definedName>
    <definedName name="Linking_32" xml:space="preserve">  flow!$A$5:$AO$45</definedName>
    <definedName name="Linking_33" xml:space="preserve">     flow!$A$5:$AO$45</definedName>
    <definedName name="Linking_34" xml:space="preserve">  flow!$A$5:$AO$45</definedName>
    <definedName name="Linking_35" xml:space="preserve">  flow!$A$5:$AO$45</definedName>
    <definedName name="Linking_36" xml:space="preserve">  sumry!$A$7:$FW$66</definedName>
    <definedName name="Linking_37" xml:space="preserve">  sumry!$A$7:$FW$66</definedName>
    <definedName name="Linking_38" xml:space="preserve">         sumry!$A$7:$FW$66</definedName>
    <definedName name="Linking_39" xml:space="preserve">  bal!$A$6:$AQ$41</definedName>
    <definedName name="Linking_40" xml:space="preserve">   bal!$A$1:$AQ$41</definedName>
    <definedName name="Linking_41" xml:space="preserve">    bal!$A$1:$AQ$41</definedName>
    <definedName name="Linking_42" xml:space="preserve">     bal!$A$1:$AQ$41</definedName>
    <definedName name="Linking_43" xml:space="preserve">    flow!$A$1:$AR$44</definedName>
    <definedName name="Linking_Range_1">[17]Income!$A$2:$AH$87</definedName>
    <definedName name="Linking_Range_10">'qtrP&amp;L'!$A$6:$CP$194</definedName>
    <definedName name="Linking_Range_11">'yrP&amp;L'!$A$5:$AU$64</definedName>
    <definedName name="Linking_Range_111">sumry!$A$7:$FV$66</definedName>
    <definedName name="Linking_Range_12">'yrP&amp;L'!$A$4:$AU$64</definedName>
    <definedName name="Linking_Range_13">bal!$A$6:$AL$72</definedName>
    <definedName name="Linking_Range_14">bal!$A$6:$AL$41</definedName>
    <definedName name="Linking_Range_15">flow!$A$6:$AK$41</definedName>
    <definedName name="Linking_Range_16">flow!$A$6:$AJ$41</definedName>
    <definedName name="Linking_Range_17">bal!$A$6:$AK$42</definedName>
    <definedName name="Linking_Range_18">sumry!$A$7:$FQ$66</definedName>
    <definedName name="Linking_Range_2">[17]Income!$AN$2:$GE$87</definedName>
    <definedName name="Linking_Range_20">sumry!$A$7:$FR$66</definedName>
    <definedName name="Linking_Range_21">bal!$A$6:$AN$41</definedName>
    <definedName name="Linking_Range_22">flow!$A$6:$AM$41</definedName>
    <definedName name="Linking_Range_23">sumry!$A$7:$FS$73</definedName>
    <definedName name="Linking_Range_24">sumry!$A$7:$FS$66</definedName>
    <definedName name="Linking_Range_25">BullBaseBear!$A$50:$P$145</definedName>
    <definedName name="Linking_Range_26">sumry!$A$7:$FT$76</definedName>
    <definedName name="Linking_Range_27">sumry!$A$7:$FT$66</definedName>
    <definedName name="Linking_Range_28">sumry!$A$7:$FU$66</definedName>
    <definedName name="Linking_Range_29">bal!$A$6:$AP$41</definedName>
    <definedName name="Linking_Range_30">flow!$A$6:$AO$44</definedName>
    <definedName name="Linking_Range_31">flow!$A$6:$AO$41</definedName>
    <definedName name="Linking_Range_32">sumry!$A$7:$FV$76</definedName>
    <definedName name="Linking_Range_4">sumry!$A$7:$FR$73</definedName>
    <definedName name="Linking_Range_5">'qtrP&amp;L'!$A$6:$CP$76</definedName>
    <definedName name="Linking_Range_6">'qtrP&amp;L'!$A$6:$CP$46</definedName>
    <definedName name="Linking_Range_7">'qtrP&amp;L'!$A$6:$CP$96</definedName>
    <definedName name="Linking_Range_8">'qtrP&amp;L'!$A$6:$CP$136</definedName>
    <definedName name="Linking_Range_9">'qtrP&amp;L'!$A$6:$CP$146</definedName>
    <definedName name="linkrange1">sumry!$A$7:$FW$66</definedName>
    <definedName name="linkrange222222">bal!$A$6:$AQ$41</definedName>
    <definedName name="linkrange22222233">flow!$A$6:$AP$41</definedName>
    <definedName name="lookup_period">[17]Income!$A$1:$IV$1</definedName>
    <definedName name="MacroVersion" localSheetId="17">IndexInformation!$B$1</definedName>
    <definedName name="MACRS_schedule">[21]Analysis!$C$2</definedName>
    <definedName name="MACRSoptions">[21]MACRS!$C$4:$C$8</definedName>
    <definedName name="me">"Button 5"</definedName>
    <definedName name="ModelPrice" localSheetId="0">ImportantDisclosures!$A$14</definedName>
    <definedName name="MtCap">10000000000</definedName>
    <definedName name="Multiplier" localSheetId="17">IndexInformation!$B$35</definedName>
    <definedName name="multSecurities_L">[22]MultipleSecurities!$A$2:$A$17</definedName>
    <definedName name="NextYearEPS" localSheetId="17">IndexInformation!$B$13</definedName>
    <definedName name="NextYearTotalRevenue" localSheetId="17">IndexInformation!$B$12</definedName>
    <definedName name="NextYearTotalRevenueActual" localSheetId="17">IndexInformation!$B$33</definedName>
    <definedName name="NVCURR">[23]I!$B$1:$U$51</definedName>
    <definedName name="ObjectType">IndexInformation!$B$37</definedName>
    <definedName name="PANA" localSheetId="18">ModPubIndex!$A$11</definedName>
    <definedName name="PathName" localSheetId="17">IndexInformation!$B$25</definedName>
    <definedName name="_xlnm.Print_Area" localSheetId="10">bal!$A$1:$AN$44</definedName>
    <definedName name="_xlnm.Print_Area" localSheetId="2">BullBaseBear!$A$50:$P$147</definedName>
    <definedName name="_xlnm.Print_Area" localSheetId="14">dtc!$A$1:$AD$61</definedName>
    <definedName name="_xlnm.Print_Area" localSheetId="11">flow!$A$1:$AM$41</definedName>
    <definedName name="_xlnm.Print_Area" localSheetId="4">'qtrP&amp;L'!$A$1:$DF$228</definedName>
    <definedName name="_xlnm.Print_Area" localSheetId="5">qtrSales!$A$1:$AP$175</definedName>
    <definedName name="_xlnm.Print_Area" localSheetId="3">sumry!$A$1:$FU$76</definedName>
    <definedName name="_xlnm.Print_Area" localSheetId="12">turn!$A$5:$AJ$126</definedName>
    <definedName name="_xlnm.Print_Area" localSheetId="13">wc!$A$1:$BV$51</definedName>
    <definedName name="_xlnm.Print_Area" localSheetId="9">'yrP&amp;L'!$A$1:$AU$64</definedName>
    <definedName name="_xlnm.Print_Area" localSheetId="8">yrSales!$A$1:$AM$80</definedName>
    <definedName name="_xlnm.Print_Area">#REF!</definedName>
    <definedName name="_xlnm.Print_Titles" localSheetId="10">bal!$A:$C,bal!$1:$7</definedName>
    <definedName name="_xlnm.Print_Titles" localSheetId="4">'qtrP&amp;L'!$A:$A,'qtrP&amp;L'!$1:$6</definedName>
    <definedName name="_xlnm.Print_Titles" localSheetId="9">'yrP&amp;L'!$A:$A,'yrP&amp;L'!$1:$6</definedName>
    <definedName name="_xlnm.Print_Titles" localSheetId="8">yrSales!$A:$A,yrSales!$1:$6</definedName>
    <definedName name="_xlnm.Print_Titles">#REF!</definedName>
    <definedName name="PRODUCT" localSheetId="18">ModPubIndex!$A$6</definedName>
    <definedName name="ProImportExport.ImportFile" localSheetId="15">DCF!ProImportExport.ImportFile</definedName>
    <definedName name="ProImportExport.ImportFile">DCF!ProImportExport.ImportFile</definedName>
    <definedName name="ProImportExport.SaveNewFile" localSheetId="15">DCF!ProImportExport.SaveNewFile</definedName>
    <definedName name="ProImportExport.SaveNewFile">DCF!ProImportExport.SaveNewFile</definedName>
    <definedName name="ProjectName" localSheetId="15">{"Client Name or Project Name"}</definedName>
    <definedName name="ProjectName" localSheetId="6">{"Client Name or Project Name"}</definedName>
    <definedName name="ProjectName">{"Client Name or Project Name"}</definedName>
    <definedName name="PSYM" localSheetId="18">ModPubIndex!$A$4</definedName>
    <definedName name="PublishDate" localSheetId="17">IndexInformation!$B$2</definedName>
    <definedName name="qtr_bs">'[16]Old BKS'!$X$371:$AI$436</definedName>
    <definedName name="qtr_is_2">'[16]Old BKS'!$AE$1:$AO$90</definedName>
    <definedName name="qtr_store_model">[17]Income!$BQ$103:$CB$171</definedName>
    <definedName name="Rating" localSheetId="17">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l_Forw" localSheetId="15">OFFSET(Date_Range,0,10,,1)</definedName>
    <definedName name="Rel_Forw" localSheetId="16">OFFSET(Date_Range,0,10,,1)</definedName>
    <definedName name="Rel_Forw" localSheetId="6">OFFSET(Date_Range,0,10,,1)</definedName>
    <definedName name="Rel_Forw">OFFSET(Date_Range,0,10,,1)</definedName>
    <definedName name="RepairedName0359" hidden="1">"iQShowAnnual"</definedName>
    <definedName name="ResearchTopic" localSheetId="17">IndexInformation!$B$4</definedName>
    <definedName name="RIC" localSheetId="17">IndexInformation!$B$21</definedName>
    <definedName name="s" localSheetId="15">{"Client Name or Project Name"}</definedName>
    <definedName name="s">{"Client Name or Project Name"}</definedName>
    <definedName name="sales_1">[17]Income!$A$113:$IV$113</definedName>
    <definedName name="sales_2">[17]Income!$A$114:$IV$114</definedName>
    <definedName name="sales_3">[17]Income!$A$115:$IV$115</definedName>
    <definedName name="SaveNewFile" localSheetId="15">DCF!SaveNewFile</definedName>
    <definedName name="SaveNewFile">DCF!SaveNewFile</definedName>
    <definedName name="SECSettlement" localSheetId="0">ImportantDisclosures!#REF!</definedName>
    <definedName name="SEDOL" localSheetId="17">IndexInformation!$B$22</definedName>
    <definedName name="shares">'[16]Old BKS'!$A$592:$U$606</definedName>
    <definedName name="SourceDefined" localSheetId="0">ImportantDisclosures!$A$19</definedName>
    <definedName name="Sp">"       "</definedName>
    <definedName name="StockRating" localSheetId="0">ImportantDisclosures!$A$11</definedName>
    <definedName name="SubjectCode" localSheetId="17">IndexInformation!$B$6</definedName>
    <definedName name="SubmitterUserId">IndexInformation!$B$39</definedName>
    <definedName name="SUPPRESSED" localSheetId="18">ModPubIndex!$A$13</definedName>
    <definedName name="TargetPrice" localSheetId="0">ImportantDisclosures!$A$15</definedName>
    <definedName name="TemplateRegion">IndexInformation!$B$36</definedName>
    <definedName name="Ticker" localSheetId="0">ImportantDisclosures!$A$10</definedName>
    <definedName name="ticker">OFFSET('[24]Exclusion List'!$A$1,1,0,COUNTA('[24]Exclusion List'!$A$1:$A$65536)-1,1)</definedName>
    <definedName name="TickerRegion">IndexInformation!$B$41</definedName>
    <definedName name="Tickers" localSheetId="17">IndexInformation!$B$19</definedName>
    <definedName name="TRSLTicker">"JWN.N"</definedName>
    <definedName name="Update_This">[20]!Update_This</definedName>
    <definedName name="UpdateReason" localSheetId="17">IndexInformation!$B$17</definedName>
    <definedName name="USRegDisclosures" localSheetId="0">ImportantDisclosures!#REF!</definedName>
    <definedName name="ValidDateTable" localSheetId="15">[18]mwareDates!$B$2:$E$76</definedName>
    <definedName name="Version">"June 29, 2004"</definedName>
    <definedName name="wrn.2._.pagers." hidden="1">{"Cover",#N/A,FALSE,"Cover";"Summary",#N/A,FALSE,"Summarpage"}</definedName>
    <definedName name="wrn.96_model." hidden="1">{"qtr_is_94_95",#N/A,FALSE,"MA";"ann_is_96",#N/A,FALSE,"MA";"seg_sales_96",#N/A,FALSE,"MA";"seg_inc_96",#N/A,FALSE,"MA";"divisional_91_95",#N/A,FALSE,"MA";"ann_bs_96",#N/A,FALSE,"MA";"ann_cf_96",#N/A,FALSE,"MA"}</definedName>
    <definedName name="wrn.allpages." hidden="1">{#N/A,#N/A,TRUE,"Historicals";#N/A,#N/A,TRUE,"Charts";#N/A,#N/A,TRUE,"Forecasts"}</definedName>
    <definedName name="wrn.cn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omplete." localSheetId="15"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DG"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FT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UZ_REP." hidden="1">{"FUZ_INC_A",#N/A,FALSE,"NOBE";"FUZ_INC_Q",#N/A,FALSE,"NOBE";"FUZ_BAL_A",#N/A,FALSE,"NOBE";"FUZ_CASH_A",#N/A,FALSE,"NOBE";"FUZ_PROD_A",#N/A,FALSE,"NOBE"}</definedName>
    <definedName name="wrn.fuz_report." hidden="1">{"fuz_inc_a",#N/A,FALSE,"BKS";"fuz_inc_q",#N/A,FALSE,"BKS";"fuz_bal_a",#N/A,FALSE,"BKS";"fuz_cash_a",#N/A,FALSE,"BKS";"fuz_prod_a",#N/A,FALSE,"BKS";"fuz_div_a",#N/A,FALSE,"BKS";"fuz_div2_a",#N/A,FALSE,"BKS"}</definedName>
    <definedName name="wrn.Industry.xls." localSheetId="15"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MOBIL." hidden="1">{"quarter",#N/A,FALSE,"MOB"}</definedName>
    <definedName name="wrn.PETC."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ulp." hidden="1">{"Pulp Production",#N/A,FALSE,"Pulp";"Pulp Earnings",#N/A,FALSE,"Pulp"}</definedName>
    <definedName name="wrn.Q._.Report." hidden="1">{"Quarterly Earnings",#N/A,FALSE,"FTS";"Quarterly Margins",#N/A,FALSE,"FTS";"Q Sales",#N/A,FALSE,"FTS";"Q EBIT",#N/A,FALSE,"FTS";"Unit Analysis",#N/A,FALSE,"FTS";"Inventory Analysis",#N/A,FALSE,"FTS"}</definedName>
    <definedName name="xaxislabels">OFFSET([7]LIZ!$AD$31,0,0,COUNTA([7]LIZ!$AD$31:$AD$37)+1,1)</definedName>
    <definedName name="xbrlAssumption">bal!$AZ:$AZ</definedName>
    <definedName name="xbrlDates">bal!$74:$74</definedName>
    <definedName name="xbrlFormat">bal!$AX:$AX</definedName>
    <definedName name="xbrlLabels">bal!$B:$B</definedName>
    <definedName name="xbrlNames">bal!$AV:$AV</definedName>
    <definedName name="xbrlReverseSign">bal!$AY:$AY</definedName>
    <definedName name="xbrlScale">bal!$AW:$AW</definedName>
  </definedNames>
  <calcPr calcId="145621" iterate="1"/>
</workbook>
</file>

<file path=xl/calcChain.xml><?xml version="1.0" encoding="utf-8"?>
<calcChain xmlns="http://schemas.openxmlformats.org/spreadsheetml/2006/main">
  <c r="E271" i="54" l="1"/>
  <c r="C271" i="54"/>
  <c r="C37" i="106" l="1"/>
  <c r="C35" i="106"/>
  <c r="C31" i="106"/>
  <c r="CJ37" i="6" l="1"/>
  <c r="F15" i="106" l="1"/>
  <c r="G15" i="106"/>
  <c r="F13" i="106"/>
  <c r="G13" i="106"/>
  <c r="G8" i="106"/>
  <c r="F8" i="106"/>
  <c r="E15" i="106"/>
  <c r="E13" i="106"/>
  <c r="E8" i="106"/>
  <c r="D15" i="106"/>
  <c r="D13" i="106"/>
  <c r="D8" i="106"/>
  <c r="C15" i="106"/>
  <c r="C13" i="106"/>
  <c r="C8" i="106"/>
  <c r="C6" i="106"/>
  <c r="C5" i="106"/>
  <c r="C4" i="106"/>
  <c r="AR47" i="10" l="1"/>
  <c r="AQ47" i="10"/>
  <c r="AP47" i="10"/>
  <c r="AO47" i="10"/>
  <c r="AN47" i="10"/>
  <c r="AL47" i="10"/>
  <c r="AP59" i="10"/>
  <c r="AQ59" i="10"/>
  <c r="AR59" i="10"/>
  <c r="H153" i="8" l="1"/>
  <c r="H152" i="8"/>
  <c r="AA18" i="100" l="1"/>
  <c r="AA58" i="100"/>
  <c r="AA50" i="100"/>
  <c r="AA34" i="100"/>
  <c r="AA26" i="100"/>
  <c r="AA10" i="100"/>
  <c r="AA65" i="100"/>
  <c r="AA57" i="100"/>
  <c r="AA49" i="100"/>
  <c r="AA33" i="100"/>
  <c r="AA25" i="100"/>
  <c r="AA17" i="100"/>
  <c r="AM47" i="10"/>
  <c r="AO29" i="9" l="1"/>
  <c r="AN38" i="9" l="1"/>
  <c r="AN30" i="9"/>
  <c r="AN24" i="9"/>
  <c r="AN19" i="9"/>
  <c r="AM35" i="10"/>
  <c r="AM23" i="10"/>
  <c r="AM11" i="10"/>
  <c r="AI40" i="100" l="1"/>
  <c r="AA42" i="100"/>
  <c r="AA41" i="100"/>
  <c r="AH34" i="100"/>
  <c r="Z66" i="100"/>
  <c r="Z58" i="100"/>
  <c r="Z50" i="100"/>
  <c r="Z42" i="100"/>
  <c r="Z34" i="100"/>
  <c r="Z26" i="100"/>
  <c r="Z18" i="100"/>
  <c r="Z10" i="100" l="1"/>
  <c r="DH213" i="1" l="1"/>
  <c r="DH214" i="1" s="1"/>
  <c r="DL222" i="1"/>
  <c r="DL221" i="1"/>
  <c r="DL220" i="1"/>
  <c r="DF24" i="1"/>
  <c r="DD224" i="1"/>
  <c r="DD223" i="1" s="1"/>
  <c r="DH223" i="1" s="1"/>
  <c r="DL223" i="1" s="1"/>
  <c r="CZ224" i="1"/>
  <c r="CV224" i="1"/>
  <c r="CR224" i="1"/>
  <c r="DD222" i="1"/>
  <c r="CV222" i="1"/>
  <c r="CN222" i="1"/>
  <c r="CN223" i="1" s="1"/>
  <c r="DH221" i="1"/>
  <c r="DH222" i="1" s="1"/>
  <c r="DD221" i="1"/>
  <c r="CZ221" i="1"/>
  <c r="CZ222" i="1" s="1"/>
  <c r="CZ223" i="1" s="1"/>
  <c r="CV221" i="1"/>
  <c r="CR221" i="1"/>
  <c r="CR222" i="1" s="1"/>
  <c r="CR220" i="1"/>
  <c r="CG218" i="1"/>
  <c r="CX215" i="1"/>
  <c r="CT215" i="1"/>
  <c r="DD214" i="1"/>
  <c r="CZ214" i="1"/>
  <c r="CV214" i="1"/>
  <c r="CR214" i="1"/>
  <c r="CN214" i="1"/>
  <c r="DE213" i="1"/>
  <c r="CS213" i="1"/>
  <c r="CO213" i="1"/>
  <c r="DE212" i="1"/>
  <c r="CW212" i="1"/>
  <c r="CS212" i="1"/>
  <c r="CO212" i="1"/>
  <c r="DE211" i="1"/>
  <c r="DA211" i="1"/>
  <c r="CW211" i="1"/>
  <c r="CS211" i="1"/>
  <c r="DI210" i="1"/>
  <c r="DA210" i="1"/>
  <c r="CW210" i="1"/>
  <c r="CO210" i="1"/>
  <c r="CG208" i="1"/>
  <c r="DH204" i="1"/>
  <c r="DD204" i="1"/>
  <c r="CG198" i="1"/>
  <c r="DH194" i="1"/>
  <c r="DD194" i="1"/>
  <c r="CN194" i="1"/>
  <c r="DH154" i="1"/>
  <c r="DH123" i="1"/>
  <c r="DO185" i="1"/>
  <c r="DH73" i="1"/>
  <c r="DJ14" i="1"/>
  <c r="AO155" i="3"/>
  <c r="AQ155" i="3" s="1"/>
  <c r="AO154" i="3"/>
  <c r="AQ154" i="3" s="1"/>
  <c r="C155" i="3"/>
  <c r="AA64" i="100"/>
  <c r="AA63" i="100"/>
  <c r="AA62" i="100"/>
  <c r="Z60" i="100"/>
  <c r="AA56" i="100"/>
  <c r="AA55" i="100"/>
  <c r="AA54" i="100"/>
  <c r="Z52" i="100"/>
  <c r="AA48" i="100"/>
  <c r="AA47" i="100"/>
  <c r="AA46" i="100"/>
  <c r="Z44" i="100"/>
  <c r="AA40" i="100"/>
  <c r="AA39" i="100"/>
  <c r="AA38" i="100"/>
  <c r="Z36" i="100"/>
  <c r="Z33" i="100"/>
  <c r="Z32" i="100"/>
  <c r="AA32" i="100" s="1"/>
  <c r="AA31" i="100"/>
  <c r="Z31" i="100"/>
  <c r="Z30" i="100"/>
  <c r="AA30" i="100" s="1"/>
  <c r="Z28" i="100"/>
  <c r="AA24" i="100"/>
  <c r="AA23" i="100"/>
  <c r="AA22" i="100"/>
  <c r="Z20" i="100"/>
  <c r="AA16" i="100"/>
  <c r="AA15" i="100"/>
  <c r="AA14" i="100"/>
  <c r="Z12" i="100"/>
  <c r="Z9" i="100"/>
  <c r="AA9" i="100" s="1"/>
  <c r="Z8" i="100"/>
  <c r="AA8" i="100" s="1"/>
  <c r="Z7" i="100"/>
  <c r="AA7" i="100" s="1"/>
  <c r="Z6" i="100"/>
  <c r="AA6" i="100" s="1"/>
  <c r="CV223" i="1" l="1"/>
  <c r="DL210" i="1"/>
  <c r="DL211" i="1" s="1"/>
  <c r="DL212" i="1" s="1"/>
  <c r="DL213" i="1" s="1"/>
  <c r="DL214" i="1" s="1"/>
  <c r="DL224" i="1"/>
  <c r="DH224" i="1"/>
  <c r="CR223" i="1"/>
  <c r="DL200" i="1" l="1"/>
  <c r="AN10" i="10"/>
  <c r="AO10" i="10" s="1"/>
  <c r="AP10" i="10" s="1"/>
  <c r="AQ10" i="10" s="1"/>
  <c r="AR10" i="10" s="1"/>
  <c r="AB22" i="67"/>
  <c r="AB23" i="67"/>
  <c r="AB35" i="67"/>
  <c r="AB53" i="67"/>
  <c r="AB64" i="67"/>
  <c r="AB66" i="67"/>
  <c r="AB67" i="67"/>
  <c r="AB68" i="67"/>
  <c r="AB69" i="67"/>
  <c r="AB70" i="67"/>
  <c r="AB71" i="67"/>
  <c r="AB72" i="67"/>
  <c r="AB58" i="67" s="1"/>
  <c r="AB73" i="67"/>
  <c r="AB74" i="67"/>
  <c r="AB75" i="67"/>
  <c r="AB76" i="67"/>
  <c r="AB77" i="67"/>
  <c r="AB78" i="67"/>
  <c r="AB79" i="67"/>
  <c r="AB80" i="67"/>
  <c r="AB81" i="67"/>
  <c r="AB82" i="67"/>
  <c r="AB83" i="67"/>
  <c r="AB84" i="67"/>
  <c r="AB85" i="67"/>
  <c r="AB86" i="67"/>
  <c r="AB87" i="67"/>
  <c r="AB88" i="67"/>
  <c r="AB89" i="67"/>
  <c r="AB90" i="67"/>
  <c r="AB91" i="67"/>
  <c r="AB92" i="67"/>
  <c r="AB93" i="67"/>
  <c r="AB94" i="67"/>
  <c r="AB95" i="67"/>
  <c r="AB96" i="67"/>
  <c r="AB100" i="67"/>
  <c r="AB101" i="67"/>
  <c r="AB102" i="67"/>
  <c r="AB103" i="67"/>
  <c r="AB104" i="67"/>
  <c r="AB105" i="67"/>
  <c r="AB106" i="67"/>
  <c r="AB107" i="67"/>
  <c r="AB108" i="67"/>
  <c r="AB109" i="67"/>
  <c r="AB110" i="67"/>
  <c r="AB111" i="67"/>
  <c r="AB112" i="67"/>
  <c r="AB113" i="67"/>
  <c r="AB114" i="67"/>
  <c r="AB115" i="67"/>
  <c r="AB116" i="67"/>
  <c r="AB117" i="67"/>
  <c r="AB132" i="67" s="1"/>
  <c r="AB118" i="67"/>
  <c r="AB119" i="67"/>
  <c r="AB120" i="67"/>
  <c r="AB121" i="67"/>
  <c r="AB122" i="67"/>
  <c r="AB123" i="67"/>
  <c r="AB124" i="67"/>
  <c r="AB125" i="67"/>
  <c r="AB126" i="67"/>
  <c r="AB127" i="67"/>
  <c r="AB128" i="67"/>
  <c r="AB129" i="67"/>
  <c r="AB130" i="67"/>
  <c r="AB15" i="67"/>
  <c r="AB16" i="67"/>
  <c r="AB6" i="67"/>
  <c r="AB3" i="67"/>
  <c r="AB140" i="67"/>
  <c r="AB141" i="67"/>
  <c r="AB142" i="67"/>
  <c r="AB143" i="67"/>
  <c r="AB144" i="67"/>
  <c r="AB145" i="67"/>
  <c r="AB146" i="67"/>
  <c r="AB147" i="67"/>
  <c r="AB148" i="67"/>
  <c r="AB149" i="67"/>
  <c r="AB150" i="67"/>
  <c r="AB151" i="67"/>
  <c r="AB152" i="67"/>
  <c r="AB153" i="67"/>
  <c r="AB154" i="67"/>
  <c r="AB155" i="67"/>
  <c r="AB156" i="67"/>
  <c r="AB157" i="67"/>
  <c r="AB158" i="67"/>
  <c r="AB138" i="67"/>
  <c r="AB136" i="67"/>
  <c r="DL190" i="1" l="1"/>
  <c r="DL201" i="1"/>
  <c r="AB56" i="67"/>
  <c r="AB57" i="67" s="1"/>
  <c r="AB17" i="67"/>
  <c r="AB50" i="67"/>
  <c r="AB25" i="67"/>
  <c r="DL202" i="1" l="1"/>
  <c r="DL191" i="1"/>
  <c r="AB26" i="67"/>
  <c r="AB24" i="67" s="1"/>
  <c r="AB159" i="67"/>
  <c r="AB173" i="67" s="1"/>
  <c r="AB18" i="67" s="1"/>
  <c r="AB51" i="67"/>
  <c r="AB59" i="67"/>
  <c r="DL192" i="1" l="1"/>
  <c r="DL203" i="1"/>
  <c r="DL193" i="1" s="1"/>
  <c r="AB7" i="67"/>
  <c r="AB8" i="67" s="1"/>
  <c r="AB11" i="67" s="1"/>
  <c r="AB19" i="67"/>
  <c r="AB10" i="67"/>
  <c r="AB13" i="67" s="1"/>
  <c r="AB27" i="67"/>
  <c r="AB37" i="67" s="1"/>
  <c r="DL194" i="1" l="1"/>
  <c r="DL204" i="1"/>
  <c r="AB29" i="67"/>
  <c r="AB31" i="67"/>
  <c r="AB32" i="67" s="1"/>
  <c r="FY43" i="11" l="1"/>
  <c r="FX43" i="11"/>
  <c r="FW43" i="11"/>
  <c r="FV43" i="11"/>
  <c r="FU43" i="11"/>
  <c r="AP27" i="5" l="1"/>
  <c r="AO27" i="5"/>
  <c r="AN27" i="5"/>
  <c r="AA158" i="67" l="1"/>
  <c r="AA157" i="67"/>
  <c r="AA156" i="67"/>
  <c r="AA155" i="67"/>
  <c r="AA154" i="67"/>
  <c r="AA153" i="67"/>
  <c r="AA152" i="67"/>
  <c r="AA151" i="67"/>
  <c r="AA150" i="67"/>
  <c r="AA149" i="67"/>
  <c r="AA148" i="67"/>
  <c r="AA147" i="67"/>
  <c r="AA146" i="67"/>
  <c r="AA145" i="67"/>
  <c r="AA144" i="67"/>
  <c r="AA143" i="67"/>
  <c r="AA142" i="67"/>
  <c r="AA141" i="67"/>
  <c r="AA140" i="67"/>
  <c r="AA138" i="67"/>
  <c r="AA136" i="67"/>
  <c r="AA100" i="67"/>
  <c r="AA96" i="67"/>
  <c r="AA95" i="67"/>
  <c r="AA130" i="67" s="1"/>
  <c r="AA94" i="67"/>
  <c r="AA129" i="67" s="1"/>
  <c r="AA93" i="67"/>
  <c r="AA128" i="67" s="1"/>
  <c r="AA92" i="67"/>
  <c r="AA127" i="67" s="1"/>
  <c r="AA91" i="67"/>
  <c r="AA126" i="67" s="1"/>
  <c r="AA90" i="67"/>
  <c r="AA125" i="67" s="1"/>
  <c r="AA89" i="67"/>
  <c r="AA124" i="67" s="1"/>
  <c r="AA88" i="67"/>
  <c r="AA123" i="67" s="1"/>
  <c r="AA87" i="67"/>
  <c r="AA122" i="67" s="1"/>
  <c r="AA86" i="67"/>
  <c r="AA121" i="67" s="1"/>
  <c r="AA85" i="67"/>
  <c r="AA120" i="67" s="1"/>
  <c r="AA84" i="67"/>
  <c r="AA119" i="67" s="1"/>
  <c r="AA83" i="67"/>
  <c r="AA118" i="67" s="1"/>
  <c r="AA82" i="67"/>
  <c r="AA117" i="67" s="1"/>
  <c r="AA81" i="67"/>
  <c r="AA116" i="67" s="1"/>
  <c r="AA80" i="67"/>
  <c r="AA115" i="67" s="1"/>
  <c r="AA79" i="67"/>
  <c r="AA114" i="67" s="1"/>
  <c r="AA78" i="67"/>
  <c r="AA113" i="67" s="1"/>
  <c r="AA77" i="67"/>
  <c r="AA112" i="67" s="1"/>
  <c r="AA76" i="67"/>
  <c r="AA111" i="67" s="1"/>
  <c r="AA75" i="67"/>
  <c r="AA110" i="67" s="1"/>
  <c r="AA74" i="67"/>
  <c r="AA109" i="67" s="1"/>
  <c r="AA73" i="67"/>
  <c r="AA108" i="67" s="1"/>
  <c r="AA72" i="67"/>
  <c r="AA58" i="67" s="1"/>
  <c r="AA71" i="67"/>
  <c r="AA106" i="67" s="1"/>
  <c r="AA70" i="67"/>
  <c r="AA105" i="67" s="1"/>
  <c r="AA69" i="67"/>
  <c r="AA104" i="67" s="1"/>
  <c r="AA68" i="67"/>
  <c r="AA103" i="67" s="1"/>
  <c r="AA67" i="67"/>
  <c r="AA102" i="67" s="1"/>
  <c r="AA66" i="67"/>
  <c r="AA101" i="67" s="1"/>
  <c r="AA64" i="67"/>
  <c r="AA53" i="67"/>
  <c r="AA35" i="67"/>
  <c r="AA23" i="67"/>
  <c r="AA22" i="67"/>
  <c r="AA16" i="67"/>
  <c r="AA15" i="67"/>
  <c r="AA6" i="67"/>
  <c r="AA25" i="67" s="1"/>
  <c r="AA3" i="67"/>
  <c r="AA56" i="67" l="1"/>
  <c r="AA57" i="67" s="1"/>
  <c r="AA107" i="67"/>
  <c r="AA132" i="67" s="1"/>
  <c r="AA50" i="67" l="1"/>
  <c r="AA17" i="67"/>
  <c r="AA59" i="67"/>
  <c r="AA26" i="67" l="1"/>
  <c r="AA24" i="67" s="1"/>
  <c r="AA159" i="67"/>
  <c r="AA173" i="67" s="1"/>
  <c r="AA18" i="67" s="1"/>
  <c r="AA7" i="67" s="1"/>
  <c r="AA8" i="67" s="1"/>
  <c r="AA19" i="67"/>
  <c r="AA51" i="67"/>
  <c r="AA11" i="67" l="1"/>
  <c r="AA10" i="67"/>
  <c r="AA13" i="67" s="1"/>
  <c r="AA27" i="67"/>
  <c r="AA31" i="67" s="1"/>
  <c r="AA32" i="67" s="1"/>
  <c r="AA29" i="67" l="1"/>
  <c r="AA37" i="67"/>
  <c r="J270" i="54" l="1"/>
  <c r="CJ36" i="6"/>
  <c r="CG36" i="6"/>
  <c r="DH52" i="1" l="1"/>
  <c r="E270" i="54"/>
  <c r="E132" i="54"/>
  <c r="H151" i="8" l="1"/>
  <c r="H150" i="8"/>
  <c r="AL58" i="7"/>
  <c r="AL52" i="7"/>
  <c r="DI22" i="1"/>
  <c r="DI21" i="1"/>
  <c r="C154" i="3"/>
  <c r="F171" i="3"/>
  <c r="F170" i="3"/>
  <c r="AL53" i="5" l="1"/>
  <c r="AK53" i="5"/>
  <c r="AL40" i="5"/>
  <c r="AK40" i="5"/>
  <c r="AL29" i="5"/>
  <c r="DL20" i="1" l="1"/>
  <c r="DL21" i="1"/>
  <c r="DL22" i="1"/>
  <c r="DN13" i="1"/>
  <c r="DN12" i="1"/>
  <c r="DN11" i="1"/>
  <c r="DN10" i="1"/>
  <c r="DJ10" i="1"/>
  <c r="AO163" i="3"/>
  <c r="AO162" i="3"/>
  <c r="U202" i="83" l="1"/>
  <c r="U200" i="83"/>
  <c r="U199" i="83" s="1"/>
  <c r="U150" i="83"/>
  <c r="U100" i="83"/>
  <c r="U149" i="83" s="1"/>
  <c r="U51" i="83"/>
  <c r="U43" i="83"/>
  <c r="U201" i="83" s="1"/>
  <c r="FY33" i="11"/>
  <c r="FY26" i="11"/>
  <c r="EM46" i="11"/>
  <c r="EP33" i="11"/>
  <c r="EO33" i="11"/>
  <c r="EN33" i="11"/>
  <c r="EM33" i="11"/>
  <c r="EP26" i="11"/>
  <c r="EO26" i="11"/>
  <c r="EN26" i="11"/>
  <c r="EM26" i="11"/>
  <c r="EP25" i="11"/>
  <c r="EO25" i="11"/>
  <c r="EN25" i="11"/>
  <c r="EM25" i="11"/>
  <c r="EO11" i="11"/>
  <c r="EN11" i="11"/>
  <c r="EM11" i="11"/>
  <c r="AP9" i="5"/>
  <c r="FY62" i="11" s="1"/>
  <c r="DL156" i="1"/>
  <c r="DL155" i="1"/>
  <c r="DL136" i="1"/>
  <c r="DL135" i="1"/>
  <c r="DL134" i="1"/>
  <c r="DL106" i="1"/>
  <c r="DL105" i="1"/>
  <c r="DL96" i="1"/>
  <c r="DL95" i="1"/>
  <c r="DL94" i="1"/>
  <c r="AL37" i="5" s="1"/>
  <c r="DL76" i="1"/>
  <c r="DL75" i="1"/>
  <c r="DN75" i="1" s="1"/>
  <c r="DL74" i="1"/>
  <c r="DN73" i="1"/>
  <c r="DN72" i="1"/>
  <c r="DN71" i="1"/>
  <c r="DM71" i="1"/>
  <c r="DN70" i="1"/>
  <c r="DM70" i="1"/>
  <c r="DL25" i="1"/>
  <c r="DM25" i="1" s="1"/>
  <c r="DM72" i="1"/>
  <c r="B273" i="54"/>
  <c r="R139" i="54"/>
  <c r="R138" i="54"/>
  <c r="R137" i="54"/>
  <c r="R136" i="54"/>
  <c r="M135" i="54"/>
  <c r="B135" i="54"/>
  <c r="AE63" i="100"/>
  <c r="AE62" i="100"/>
  <c r="AD60" i="100"/>
  <c r="AE55" i="100"/>
  <c r="AE54" i="100"/>
  <c r="AD52" i="100"/>
  <c r="AE47" i="100"/>
  <c r="AE46" i="100"/>
  <c r="AD44" i="100"/>
  <c r="AE39" i="100"/>
  <c r="AE38" i="100"/>
  <c r="AD36" i="100"/>
  <c r="AE31" i="100"/>
  <c r="AE30" i="100"/>
  <c r="AD28" i="100"/>
  <c r="AE23" i="100"/>
  <c r="AE22" i="100"/>
  <c r="AD20" i="100"/>
  <c r="AE15" i="100"/>
  <c r="AE14" i="100"/>
  <c r="AD12" i="100"/>
  <c r="AE7" i="100"/>
  <c r="AE6" i="100"/>
  <c r="AP76" i="4"/>
  <c r="AP79" i="4" s="1"/>
  <c r="AP19" i="5"/>
  <c r="AR66" i="10"/>
  <c r="AR65" i="10"/>
  <c r="AR64" i="10"/>
  <c r="AR63" i="10"/>
  <c r="AR62" i="10"/>
  <c r="CJ35" i="6"/>
  <c r="CO35" i="6" s="1"/>
  <c r="CF37" i="6"/>
  <c r="CO37" i="6"/>
  <c r="CO36" i="6"/>
  <c r="CO31" i="6"/>
  <c r="CO30" i="6"/>
  <c r="CO29" i="6"/>
  <c r="CO28" i="6"/>
  <c r="CO25" i="6"/>
  <c r="CO24" i="6"/>
  <c r="CO23" i="6"/>
  <c r="CO22" i="6"/>
  <c r="CO19" i="6"/>
  <c r="CO18" i="6"/>
  <c r="CO17" i="6"/>
  <c r="CO16" i="6"/>
  <c r="CP13" i="6"/>
  <c r="CP19" i="6" s="1"/>
  <c r="CP25" i="6" s="1"/>
  <c r="CP31" i="6" s="1"/>
  <c r="CP37" i="6" s="1"/>
  <c r="CP43" i="6" s="1"/>
  <c r="CP12" i="6"/>
  <c r="CP18" i="6" s="1"/>
  <c r="CP24" i="6" s="1"/>
  <c r="CP30" i="6" s="1"/>
  <c r="CP36" i="6" s="1"/>
  <c r="CP42" i="6" s="1"/>
  <c r="CP11" i="6"/>
  <c r="CP17" i="6" s="1"/>
  <c r="CP23" i="6" s="1"/>
  <c r="CP29" i="6" s="1"/>
  <c r="CP35" i="6" s="1"/>
  <c r="CP41" i="6" s="1"/>
  <c r="CP10" i="6"/>
  <c r="CP16" i="6" s="1"/>
  <c r="CP22" i="6" s="1"/>
  <c r="CP28" i="6" s="1"/>
  <c r="CP34" i="6" s="1"/>
  <c r="CP40" i="6" s="1"/>
  <c r="CN7" i="6"/>
  <c r="K24" i="106"/>
  <c r="AP77" i="4" l="1"/>
  <c r="DM75" i="1"/>
  <c r="CO34" i="6"/>
  <c r="G50" i="100" l="1"/>
  <c r="G48" i="100"/>
  <c r="G47" i="100"/>
  <c r="G46" i="100"/>
  <c r="G42" i="100"/>
  <c r="G40" i="100"/>
  <c r="G39" i="100"/>
  <c r="G38" i="100"/>
  <c r="G26" i="100"/>
  <c r="G24" i="100"/>
  <c r="G23" i="100"/>
  <c r="G22" i="100"/>
  <c r="G18" i="100"/>
  <c r="G16" i="100"/>
  <c r="G15" i="100"/>
  <c r="G14" i="100"/>
  <c r="K16" i="100"/>
  <c r="K15" i="100"/>
  <c r="K14" i="100"/>
  <c r="K24" i="100"/>
  <c r="K23" i="100"/>
  <c r="K22" i="100"/>
  <c r="K48" i="100"/>
  <c r="K47" i="100"/>
  <c r="K46" i="100"/>
  <c r="K40" i="100"/>
  <c r="K39" i="100"/>
  <c r="K38" i="100"/>
  <c r="B65" i="100"/>
  <c r="F65" i="100"/>
  <c r="B49" i="100"/>
  <c r="B41" i="100"/>
  <c r="B25" i="100"/>
  <c r="B17" i="100"/>
  <c r="B32" i="100"/>
  <c r="B8" i="100" s="1"/>
  <c r="B31" i="100"/>
  <c r="B7" i="100" s="1"/>
  <c r="B30" i="100"/>
  <c r="B6" i="100" s="1"/>
  <c r="B33" i="100" l="1"/>
  <c r="B9" i="100" s="1"/>
  <c r="B10" i="100" s="1"/>
  <c r="B34" i="100" l="1"/>
  <c r="J269" i="54" l="1"/>
  <c r="DH11" i="1" l="1"/>
  <c r="DJ11" i="1"/>
  <c r="DI11" i="1" l="1"/>
  <c r="AO153" i="3" l="1"/>
  <c r="AL51" i="7"/>
  <c r="AL57" i="7"/>
  <c r="DI61" i="1"/>
  <c r="DQ61" i="1" s="1"/>
  <c r="DI41" i="1"/>
  <c r="AO161" i="3" l="1"/>
  <c r="AQ153" i="3"/>
  <c r="D5" i="85" l="1"/>
  <c r="J24" i="106" l="1"/>
  <c r="I24" i="106"/>
  <c r="H24" i="106"/>
  <c r="G24" i="106"/>
  <c r="F24" i="106"/>
  <c r="E24" i="106"/>
  <c r="D24" i="106"/>
  <c r="C24" i="106"/>
  <c r="D23" i="106"/>
  <c r="E23" i="106"/>
  <c r="F23" i="106" l="1"/>
  <c r="CZ156" i="1"/>
  <c r="CZ155" i="1"/>
  <c r="CZ154" i="1"/>
  <c r="CV156" i="1"/>
  <c r="CV155" i="1"/>
  <c r="CV154" i="1"/>
  <c r="CR156" i="1"/>
  <c r="CR155" i="1"/>
  <c r="CR154" i="1"/>
  <c r="CN156" i="1"/>
  <c r="CN155" i="1"/>
  <c r="CN154" i="1"/>
  <c r="CJ156" i="1"/>
  <c r="CJ155" i="1"/>
  <c r="CJ154" i="1"/>
  <c r="CF156" i="1"/>
  <c r="CF155" i="1"/>
  <c r="CF154" i="1"/>
  <c r="DH134" i="1"/>
  <c r="DD134" i="1"/>
  <c r="CZ134" i="1"/>
  <c r="CV134" i="1"/>
  <c r="CR134" i="1"/>
  <c r="CN134" i="1"/>
  <c r="CJ134" i="1"/>
  <c r="CF134" i="1"/>
  <c r="CJ124" i="1"/>
  <c r="CF124" i="1"/>
  <c r="CJ74" i="1"/>
  <c r="CF74" i="1"/>
  <c r="CJ64" i="1"/>
  <c r="CF64" i="1"/>
  <c r="CF44" i="1"/>
  <c r="CJ44" i="1"/>
  <c r="CF24" i="1"/>
  <c r="E268" i="54"/>
  <c r="E244" i="54"/>
  <c r="G23" i="106" l="1"/>
  <c r="H23" i="106" l="1"/>
  <c r="I23" i="106" l="1"/>
  <c r="DD60" i="1" l="1"/>
  <c r="AO152" i="3" l="1"/>
  <c r="AO160" i="3" l="1"/>
  <c r="AO164" i="3" s="1"/>
  <c r="AQ152" i="3"/>
  <c r="AL9" i="4"/>
  <c r="CJ34" i="6"/>
  <c r="P130" i="54"/>
  <c r="E130" i="54"/>
  <c r="DH50" i="1"/>
  <c r="AG66" i="100"/>
  <c r="AG65" i="100"/>
  <c r="AG64" i="100"/>
  <c r="AG63" i="100"/>
  <c r="AH62" i="100"/>
  <c r="AG62" i="100"/>
  <c r="AG58" i="100"/>
  <c r="AG57" i="100"/>
  <c r="AG56" i="100"/>
  <c r="AG55" i="100"/>
  <c r="AH54" i="100"/>
  <c r="AG54" i="100"/>
  <c r="AG50" i="100"/>
  <c r="AG49" i="100"/>
  <c r="AG48" i="100"/>
  <c r="AG47" i="100"/>
  <c r="AH46" i="100"/>
  <c r="AG46" i="100"/>
  <c r="AG42" i="100"/>
  <c r="AG41" i="100"/>
  <c r="AG40" i="100"/>
  <c r="AG39" i="100"/>
  <c r="AH38" i="100"/>
  <c r="AG38" i="100"/>
  <c r="AG34" i="100"/>
  <c r="AG33" i="100"/>
  <c r="AG32" i="100"/>
  <c r="AG31" i="100"/>
  <c r="AH30" i="100"/>
  <c r="AG30" i="100"/>
  <c r="AG26" i="100"/>
  <c r="AG25" i="100"/>
  <c r="AG24" i="100"/>
  <c r="AG23" i="100"/>
  <c r="AH22" i="100"/>
  <c r="AG22" i="100"/>
  <c r="DI20" i="1"/>
  <c r="AH14" i="100" l="1"/>
  <c r="C49" i="85" l="1"/>
  <c r="F26" i="85"/>
  <c r="F24" i="85"/>
  <c r="F27" i="85" l="1"/>
  <c r="F20" i="85"/>
  <c r="F22" i="85" l="1"/>
  <c r="F16" i="85"/>
  <c r="F18" i="85" l="1"/>
  <c r="F37" i="85"/>
  <c r="H11" i="85"/>
  <c r="F9" i="85"/>
  <c r="F12" i="85" l="1"/>
  <c r="F10" i="85"/>
  <c r="F4" i="85"/>
  <c r="F38" i="85" l="1"/>
  <c r="F36" i="85"/>
  <c r="F35" i="85"/>
  <c r="F31" i="85"/>
  <c r="F6" i="85"/>
  <c r="F32" i="85"/>
  <c r="F34" i="85"/>
  <c r="I3" i="85"/>
  <c r="H3" i="85"/>
  <c r="AL28" i="7" l="1"/>
  <c r="AL27" i="7"/>
  <c r="AL26" i="7"/>
  <c r="D150" i="8"/>
  <c r="CK37" i="6"/>
  <c r="CK31" i="6"/>
  <c r="CK30" i="6"/>
  <c r="CK29" i="6"/>
  <c r="CK28" i="6"/>
  <c r="CK25" i="6"/>
  <c r="CK24" i="6"/>
  <c r="CK23" i="6"/>
  <c r="CK22" i="6"/>
  <c r="CK19" i="6"/>
  <c r="CK18" i="6"/>
  <c r="CK17" i="6"/>
  <c r="CK16" i="6"/>
  <c r="AO148" i="3"/>
  <c r="AP155" i="3" s="1"/>
  <c r="AO147" i="3"/>
  <c r="AP154" i="3" s="1"/>
  <c r="AO146" i="3"/>
  <c r="AP153" i="3" s="1"/>
  <c r="AO145" i="3"/>
  <c r="AP152" i="3" s="1"/>
  <c r="DW70" i="1"/>
  <c r="DV70" i="1"/>
  <c r="AL32" i="7" l="1"/>
  <c r="AL44" i="7"/>
  <c r="AL50" i="7" s="1"/>
  <c r="AL33" i="7"/>
  <c r="AL45" i="7"/>
  <c r="AL34" i="7"/>
  <c r="AL46" i="7"/>
  <c r="EH18" i="11" a="1"/>
  <c r="EI18" i="11" s="1"/>
  <c r="AL56" i="7" l="1"/>
  <c r="EJ18" i="11"/>
  <c r="EH18" i="11"/>
  <c r="EK18" i="11"/>
  <c r="AG18" i="100"/>
  <c r="DD152" i="1" l="1"/>
  <c r="DD122" i="1"/>
  <c r="Z32" i="83" l="1"/>
  <c r="AG17" i="100" l="1"/>
  <c r="W41" i="100" l="1"/>
  <c r="W25" i="100"/>
  <c r="W17" i="100"/>
  <c r="P127" i="54"/>
  <c r="N127" i="54"/>
  <c r="E127" i="54"/>
  <c r="C127" i="54"/>
  <c r="P126" i="54"/>
  <c r="N126" i="54"/>
  <c r="E126" i="54"/>
  <c r="C126" i="54"/>
  <c r="AM30" i="9"/>
  <c r="AM38" i="9"/>
  <c r="AM24" i="9"/>
  <c r="AM19" i="9"/>
  <c r="AL11" i="10"/>
  <c r="AL35" i="10"/>
  <c r="AL23" i="10"/>
  <c r="DE23" i="1"/>
  <c r="DF14" i="1"/>
  <c r="CB25" i="6"/>
  <c r="DD63" i="1"/>
  <c r="DD123" i="1"/>
  <c r="DD13" i="1"/>
  <c r="DE43" i="1" l="1"/>
  <c r="DE63" i="1"/>
  <c r="CF36" i="6" l="1"/>
  <c r="CG30" i="6"/>
  <c r="CG18" i="6"/>
  <c r="CK36" i="6" l="1"/>
  <c r="CF42" i="6"/>
  <c r="T202" i="83"/>
  <c r="T200" i="83"/>
  <c r="T199" i="83"/>
  <c r="T150" i="83"/>
  <c r="T100" i="83"/>
  <c r="T149" i="83" s="1"/>
  <c r="T51" i="83"/>
  <c r="T43" i="83"/>
  <c r="T201" i="83" s="1"/>
  <c r="S202" i="83"/>
  <c r="S200" i="83"/>
  <c r="S199" i="83" s="1"/>
  <c r="S150" i="83"/>
  <c r="S100" i="83"/>
  <c r="S149" i="83" s="1"/>
  <c r="S51" i="83"/>
  <c r="S43" i="83"/>
  <c r="S201" i="83" s="1"/>
  <c r="DW72" i="1" l="1"/>
  <c r="DW71" i="1"/>
  <c r="DW73" i="1" l="1"/>
  <c r="DL23" i="1"/>
  <c r="DE61" i="1"/>
  <c r="DL24" i="1" l="1"/>
  <c r="EP11" i="11"/>
  <c r="DM73" i="1"/>
  <c r="EM18" i="11" s="1" a="1"/>
  <c r="DL26" i="1"/>
  <c r="DM76" i="1" s="1"/>
  <c r="AJ40" i="5"/>
  <c r="EP18" i="11" l="1"/>
  <c r="EP22" i="11" s="1"/>
  <c r="EM18" i="11"/>
  <c r="EM22" i="11" s="1"/>
  <c r="EN18" i="11"/>
  <c r="EN22" i="11" s="1"/>
  <c r="EO18" i="11"/>
  <c r="EO22" i="11" s="1"/>
  <c r="AL11" i="5"/>
  <c r="AL30" i="5" s="1"/>
  <c r="DM74" i="1"/>
  <c r="FX33" i="11"/>
  <c r="FW33" i="11"/>
  <c r="FX26" i="11"/>
  <c r="FW26" i="11"/>
  <c r="EH6" i="11"/>
  <c r="DY6" i="11"/>
  <c r="DZ6" i="11" s="1"/>
  <c r="EA6" i="11" s="1"/>
  <c r="EC6" i="11"/>
  <c r="ED6" i="11" s="1"/>
  <c r="EE6" i="11" s="1"/>
  <c r="EF6" i="11" s="1"/>
  <c r="DX6" i="11"/>
  <c r="EK33" i="11"/>
  <c r="EJ33" i="11"/>
  <c r="EI33" i="11"/>
  <c r="EH33" i="11"/>
  <c r="EK26" i="11"/>
  <c r="EJ26" i="11"/>
  <c r="C19" i="85" s="1"/>
  <c r="EI26" i="11"/>
  <c r="EH26" i="11"/>
  <c r="EK25" i="11"/>
  <c r="EJ25" i="11"/>
  <c r="C18" i="85" s="1"/>
  <c r="EI25" i="11"/>
  <c r="EH25" i="11"/>
  <c r="EK11" i="11"/>
  <c r="EJ11" i="11"/>
  <c r="C7" i="85" s="1"/>
  <c r="EI11" i="11"/>
  <c r="AQ66" i="10"/>
  <c r="AQ65" i="10"/>
  <c r="AQ64" i="10"/>
  <c r="AQ63" i="10"/>
  <c r="AQ62" i="10"/>
  <c r="AQ57" i="10"/>
  <c r="AR57" i="10" s="1"/>
  <c r="AQ55" i="10"/>
  <c r="AR55" i="10" s="1"/>
  <c r="AP66" i="10"/>
  <c r="AP65" i="10"/>
  <c r="AP64" i="10"/>
  <c r="AP63" i="10"/>
  <c r="AP62" i="10"/>
  <c r="AP58" i="10"/>
  <c r="AQ58" i="10" s="1"/>
  <c r="AP57" i="10"/>
  <c r="AP56" i="10"/>
  <c r="AQ56" i="10" s="1"/>
  <c r="AR56" i="10" s="1"/>
  <c r="AP55" i="10"/>
  <c r="AP54" i="10"/>
  <c r="AQ54" i="10" s="1"/>
  <c r="AR54" i="10" s="1"/>
  <c r="AO19" i="5"/>
  <c r="AO9" i="5"/>
  <c r="FX62" i="11" s="1"/>
  <c r="AN19" i="5"/>
  <c r="AN9" i="5"/>
  <c r="FW62" i="11" s="1"/>
  <c r="AO76" i="4"/>
  <c r="AO79" i="4" s="1"/>
  <c r="AN76" i="4"/>
  <c r="AN79" i="4" s="1"/>
  <c r="EH46" i="11"/>
  <c r="EN46" i="11"/>
  <c r="DI71" i="1"/>
  <c r="DI72" i="1"/>
  <c r="DJ41" i="1"/>
  <c r="EI62" i="11"/>
  <c r="DJ12" i="1"/>
  <c r="EJ62" i="11" s="1"/>
  <c r="DJ13" i="1"/>
  <c r="EK62" i="11" s="1"/>
  <c r="EH62" i="11"/>
  <c r="DH156" i="1"/>
  <c r="DH155" i="1"/>
  <c r="DH136" i="1"/>
  <c r="DH135" i="1"/>
  <c r="DH106" i="1"/>
  <c r="DH105" i="1"/>
  <c r="DH96" i="1"/>
  <c r="DH95" i="1"/>
  <c r="DH94" i="1"/>
  <c r="AK37" i="5" s="1"/>
  <c r="DH76" i="1"/>
  <c r="DN76" i="1" s="1"/>
  <c r="DH75" i="1"/>
  <c r="DH74" i="1"/>
  <c r="DJ73" i="1"/>
  <c r="DI73" i="1"/>
  <c r="DJ72" i="1"/>
  <c r="DJ71" i="1"/>
  <c r="DJ70" i="1"/>
  <c r="B267" i="54"/>
  <c r="R133" i="54"/>
  <c r="R132" i="54"/>
  <c r="R131" i="54"/>
  <c r="R130" i="54"/>
  <c r="AR58" i="10" l="1"/>
  <c r="EJ46" i="11"/>
  <c r="EI46" i="11"/>
  <c r="AK29" i="5"/>
  <c r="DN74" i="1"/>
  <c r="I18" i="85"/>
  <c r="J18" i="85"/>
  <c r="C42" i="85"/>
  <c r="AN77" i="4"/>
  <c r="AO77" i="4"/>
  <c r="DV86" i="1"/>
  <c r="EO46" i="11" l="1"/>
  <c r="EP46" i="11"/>
  <c r="FT43" i="11"/>
  <c r="W49" i="100" l="1"/>
  <c r="W65" i="100" l="1"/>
  <c r="W64" i="100"/>
  <c r="W63" i="100"/>
  <c r="AE135" i="83" l="1"/>
  <c r="AX7" i="5" l="1"/>
  <c r="DV71" i="1"/>
  <c r="DE22" i="1"/>
  <c r="K63" i="100"/>
  <c r="AG14" i="100" l="1"/>
  <c r="AG16" i="100"/>
  <c r="AG15" i="100"/>
  <c r="DF122" i="1"/>
  <c r="CG12" i="6"/>
  <c r="W48" i="100"/>
  <c r="W40" i="100"/>
  <c r="W24" i="100"/>
  <c r="W16" i="100"/>
  <c r="DD62" i="1"/>
  <c r="DF62" i="1"/>
  <c r="DD12" i="1"/>
  <c r="DE42" i="1" l="1"/>
  <c r="DE62" i="1"/>
  <c r="DD52" i="1"/>
  <c r="DF12" i="1" l="1"/>
  <c r="Z158" i="67" l="1"/>
  <c r="Z157" i="67"/>
  <c r="Z156" i="67"/>
  <c r="Z155" i="67"/>
  <c r="Z154" i="67"/>
  <c r="Z153" i="67"/>
  <c r="Z152" i="67"/>
  <c r="Z151" i="67"/>
  <c r="Z150" i="67"/>
  <c r="Z149" i="67"/>
  <c r="Z148" i="67"/>
  <c r="Z147" i="67"/>
  <c r="Z146" i="67"/>
  <c r="Z145" i="67"/>
  <c r="Z144" i="67"/>
  <c r="Z143" i="67"/>
  <c r="Z142" i="67"/>
  <c r="Z141" i="67"/>
  <c r="Z140" i="67"/>
  <c r="Z138" i="67"/>
  <c r="Z136" i="67"/>
  <c r="Z100" i="67"/>
  <c r="Z96" i="67"/>
  <c r="Z95" i="67"/>
  <c r="Z130" i="67" s="1"/>
  <c r="Z94" i="67"/>
  <c r="Z129" i="67" s="1"/>
  <c r="Z93" i="67"/>
  <c r="Z128" i="67" s="1"/>
  <c r="Z92" i="67"/>
  <c r="Z127" i="67" s="1"/>
  <c r="Z91" i="67"/>
  <c r="Z126" i="67" s="1"/>
  <c r="Z90" i="67"/>
  <c r="Z125" i="67" s="1"/>
  <c r="Z89" i="67"/>
  <c r="Z124" i="67" s="1"/>
  <c r="Z88" i="67"/>
  <c r="Z123" i="67" s="1"/>
  <c r="Z87" i="67"/>
  <c r="Z122" i="67" s="1"/>
  <c r="Z86" i="67"/>
  <c r="Z121" i="67" s="1"/>
  <c r="Z85" i="67"/>
  <c r="Z120" i="67" s="1"/>
  <c r="Z84" i="67"/>
  <c r="Z119" i="67" s="1"/>
  <c r="Z83" i="67"/>
  <c r="Z118" i="67" s="1"/>
  <c r="Z82" i="67"/>
  <c r="Z117" i="67" s="1"/>
  <c r="Z81" i="67"/>
  <c r="Z116" i="67" s="1"/>
  <c r="Z80" i="67"/>
  <c r="Z115" i="67" s="1"/>
  <c r="Z79" i="67"/>
  <c r="Z114" i="67" s="1"/>
  <c r="Z78" i="67"/>
  <c r="Z113" i="67" s="1"/>
  <c r="Z77" i="67"/>
  <c r="Z112" i="67" s="1"/>
  <c r="Z76" i="67"/>
  <c r="Z111" i="67" s="1"/>
  <c r="Z75" i="67"/>
  <c r="Z110" i="67" s="1"/>
  <c r="Z74" i="67"/>
  <c r="Z109" i="67" s="1"/>
  <c r="Z73" i="67"/>
  <c r="Z108" i="67" s="1"/>
  <c r="Z72" i="67"/>
  <c r="Z107" i="67" s="1"/>
  <c r="Z71" i="67"/>
  <c r="Z106" i="67" s="1"/>
  <c r="Z70" i="67"/>
  <c r="Z105" i="67" s="1"/>
  <c r="Z69" i="67"/>
  <c r="Z104" i="67" s="1"/>
  <c r="Z68" i="67"/>
  <c r="Z103" i="67" s="1"/>
  <c r="Z67" i="67"/>
  <c r="Z102" i="67" s="1"/>
  <c r="Z66" i="67"/>
  <c r="Z101" i="67" s="1"/>
  <c r="Z132" i="67" s="1"/>
  <c r="Z64" i="67"/>
  <c r="Z58" i="67"/>
  <c r="Z59" i="67" s="1"/>
  <c r="Z56" i="67"/>
  <c r="Z57" i="67" s="1"/>
  <c r="Z53" i="67"/>
  <c r="Z35" i="67"/>
  <c r="Z23" i="67"/>
  <c r="Z22" i="67"/>
  <c r="Z16" i="67"/>
  <c r="Z15" i="67"/>
  <c r="Z6" i="67"/>
  <c r="Z25" i="67" s="1"/>
  <c r="Z3" i="67"/>
  <c r="Z50" i="67" l="1"/>
  <c r="Z17" i="67"/>
  <c r="Z26" i="67" l="1"/>
  <c r="Z24" i="67" s="1"/>
  <c r="Z159" i="67"/>
  <c r="Z173" i="67" s="1"/>
  <c r="Z18" i="67" s="1"/>
  <c r="Z51" i="67"/>
  <c r="Z7" i="67" l="1"/>
  <c r="Z8" i="67" s="1"/>
  <c r="Z19" i="67"/>
  <c r="Z10" i="67"/>
  <c r="Z13" i="67" s="1"/>
  <c r="Z37" i="67"/>
  <c r="Z27" i="67"/>
  <c r="Z29" i="67" l="1"/>
  <c r="Z31" i="67"/>
  <c r="Z32" i="67" s="1"/>
  <c r="Z11" i="67"/>
  <c r="V131" i="83"/>
  <c r="X163" i="83" l="1"/>
  <c r="W163" i="83"/>
  <c r="V121" i="83"/>
  <c r="CS10" i="6"/>
  <c r="CS11" i="6"/>
  <c r="CG11" i="6" l="1"/>
  <c r="EI96" i="11"/>
  <c r="CF35" i="6" l="1"/>
  <c r="CG29" i="6"/>
  <c r="CG28" i="6"/>
  <c r="CG16" i="6"/>
  <c r="CF41" i="6" l="1"/>
  <c r="CK35" i="6"/>
  <c r="DE41" i="1"/>
  <c r="DE21" i="1"/>
  <c r="W47" i="100"/>
  <c r="W39" i="100"/>
  <c r="W23" i="100"/>
  <c r="W15" i="100"/>
  <c r="R146" i="3"/>
  <c r="C153" i="3" s="1"/>
  <c r="G153" i="3" s="1"/>
  <c r="R145" i="3"/>
  <c r="C152" i="3" s="1"/>
  <c r="G152" i="3" s="1"/>
  <c r="H32" i="106" l="1"/>
  <c r="DF11" i="1" l="1"/>
  <c r="DF13" i="1"/>
  <c r="Y253" i="54"/>
  <c r="Y254" i="54" s="1"/>
  <c r="Y252" i="54"/>
  <c r="EK46" i="11" l="1"/>
  <c r="AP67" i="10" l="1"/>
  <c r="FW46" i="11"/>
  <c r="S29" i="83" s="1"/>
  <c r="S77" i="83" s="1"/>
  <c r="S126" i="83" s="1"/>
  <c r="S178" i="83" s="1"/>
  <c r="Y66" i="83"/>
  <c r="AB121" i="83"/>
  <c r="DD120" i="1"/>
  <c r="DF120" i="1" s="1"/>
  <c r="V60" i="100"/>
  <c r="V52" i="100"/>
  <c r="V44" i="100"/>
  <c r="V36" i="100"/>
  <c r="V28" i="100"/>
  <c r="V20" i="100"/>
  <c r="V12" i="100"/>
  <c r="C124" i="54"/>
  <c r="V66" i="100"/>
  <c r="W62" i="100"/>
  <c r="V58" i="100"/>
  <c r="W57" i="100"/>
  <c r="W56" i="100"/>
  <c r="W55" i="100"/>
  <c r="W54" i="100"/>
  <c r="V50" i="100"/>
  <c r="W46" i="100"/>
  <c r="V42" i="100"/>
  <c r="W38" i="100"/>
  <c r="V33" i="100"/>
  <c r="V32" i="100"/>
  <c r="V8" i="100" s="1"/>
  <c r="V31" i="100"/>
  <c r="V30" i="100"/>
  <c r="V26" i="100"/>
  <c r="W22" i="100"/>
  <c r="V18" i="100"/>
  <c r="W14" i="100"/>
  <c r="CF34" i="6"/>
  <c r="CG10" i="6"/>
  <c r="DE40" i="1"/>
  <c r="DE20" i="1"/>
  <c r="DE10" i="1"/>
  <c r="CH10" i="6" s="1"/>
  <c r="CH16" i="6" s="1"/>
  <c r="CH22" i="6" s="1"/>
  <c r="CH28" i="6" s="1"/>
  <c r="CH34" i="6" s="1"/>
  <c r="CH40" i="6" s="1"/>
  <c r="F49" i="100"/>
  <c r="F41" i="100"/>
  <c r="F25" i="100"/>
  <c r="F60" i="100"/>
  <c r="F52" i="100"/>
  <c r="F44" i="100"/>
  <c r="F36" i="100"/>
  <c r="F28" i="100"/>
  <c r="F20" i="100"/>
  <c r="F12" i="100"/>
  <c r="G64" i="100"/>
  <c r="G63" i="100"/>
  <c r="G62" i="100"/>
  <c r="F58" i="100"/>
  <c r="G58" i="100" s="1"/>
  <c r="G57" i="100"/>
  <c r="G56" i="100"/>
  <c r="G55" i="100"/>
  <c r="G54" i="100"/>
  <c r="F32" i="100"/>
  <c r="F31" i="100"/>
  <c r="G31" i="100" s="1"/>
  <c r="F30" i="100"/>
  <c r="G30" i="100" s="1"/>
  <c r="O65" i="100"/>
  <c r="O64" i="100"/>
  <c r="O63" i="100"/>
  <c r="O62" i="100"/>
  <c r="S65" i="100"/>
  <c r="S64" i="100"/>
  <c r="S63" i="100"/>
  <c r="S62" i="100"/>
  <c r="O57" i="100"/>
  <c r="O56" i="100"/>
  <c r="O55" i="100"/>
  <c r="O54" i="100"/>
  <c r="S57" i="100"/>
  <c r="S56" i="100"/>
  <c r="S55" i="100"/>
  <c r="S54" i="100"/>
  <c r="O49" i="100"/>
  <c r="O48" i="100"/>
  <c r="O47" i="100"/>
  <c r="O46" i="100"/>
  <c r="S49" i="100"/>
  <c r="S48" i="100"/>
  <c r="S47" i="100"/>
  <c r="S46" i="100"/>
  <c r="O41" i="100"/>
  <c r="O40" i="100"/>
  <c r="O39" i="100"/>
  <c r="O38" i="100"/>
  <c r="S41" i="100"/>
  <c r="S40" i="100"/>
  <c r="S39" i="100"/>
  <c r="S38" i="100"/>
  <c r="O25" i="100"/>
  <c r="O24" i="100"/>
  <c r="O23" i="100"/>
  <c r="O22" i="100"/>
  <c r="S25" i="100"/>
  <c r="S24" i="100"/>
  <c r="S23" i="100"/>
  <c r="S22" i="100"/>
  <c r="K65" i="100"/>
  <c r="K64" i="100"/>
  <c r="K62" i="100"/>
  <c r="K57" i="100"/>
  <c r="K56" i="100"/>
  <c r="K55" i="100"/>
  <c r="K54" i="100"/>
  <c r="O17" i="100"/>
  <c r="O16" i="100"/>
  <c r="O15" i="100"/>
  <c r="O14" i="100"/>
  <c r="S17" i="100"/>
  <c r="S16" i="100"/>
  <c r="S15" i="100"/>
  <c r="S14" i="100"/>
  <c r="J33" i="100"/>
  <c r="J32" i="100"/>
  <c r="J31" i="100"/>
  <c r="J30" i="100"/>
  <c r="K30" i="100" s="1"/>
  <c r="N33" i="100"/>
  <c r="O33" i="100" s="1"/>
  <c r="N32" i="100"/>
  <c r="O32" i="100" s="1"/>
  <c r="N31" i="100"/>
  <c r="N7" i="100" s="1"/>
  <c r="N30" i="100"/>
  <c r="N6" i="100" s="1"/>
  <c r="R33" i="100"/>
  <c r="S33" i="100" s="1"/>
  <c r="R32" i="100"/>
  <c r="R31" i="100"/>
  <c r="R7" i="100" s="1"/>
  <c r="R66" i="100"/>
  <c r="N66" i="100"/>
  <c r="J66" i="100"/>
  <c r="K66" i="100" s="1"/>
  <c r="R30" i="100"/>
  <c r="R6" i="100" s="1"/>
  <c r="R58" i="100"/>
  <c r="N58" i="100"/>
  <c r="J58" i="100"/>
  <c r="K58" i="100" s="1"/>
  <c r="R50" i="100"/>
  <c r="N50" i="100"/>
  <c r="J50" i="100"/>
  <c r="K50" i="100" s="1"/>
  <c r="R42" i="100"/>
  <c r="N42" i="100"/>
  <c r="J42" i="100"/>
  <c r="K42" i="100" s="1"/>
  <c r="R26" i="100"/>
  <c r="N26" i="100"/>
  <c r="J26" i="100"/>
  <c r="K26" i="100" s="1"/>
  <c r="R18" i="100"/>
  <c r="N18" i="100"/>
  <c r="J18" i="100"/>
  <c r="K18" i="100" s="1"/>
  <c r="AJ35" i="10"/>
  <c r="AA152" i="83"/>
  <c r="CZ63" i="1"/>
  <c r="CB13" i="6"/>
  <c r="CC13" i="6" s="1"/>
  <c r="DT73" i="1"/>
  <c r="DT72" i="1"/>
  <c r="DT71" i="1"/>
  <c r="DT70" i="1"/>
  <c r="AP148" i="3"/>
  <c r="AK35" i="10"/>
  <c r="AK31" i="10"/>
  <c r="AK37" i="10" s="1"/>
  <c r="AK23" i="10"/>
  <c r="AK24" i="10" s="1"/>
  <c r="AK26" i="10" s="1"/>
  <c r="AK12" i="10"/>
  <c r="AK11" i="10"/>
  <c r="DU73" i="1"/>
  <c r="DU70" i="1"/>
  <c r="AL38" i="9"/>
  <c r="AL30" i="9"/>
  <c r="AL29" i="9"/>
  <c r="C45" i="106" s="1"/>
  <c r="AL24" i="9"/>
  <c r="AL19" i="9"/>
  <c r="AO37" i="9"/>
  <c r="AP37" i="9" s="1"/>
  <c r="AQ37" i="9" s="1"/>
  <c r="AR37" i="9" s="1"/>
  <c r="AS37" i="9" s="1"/>
  <c r="CZ53" i="1"/>
  <c r="DB15" i="1"/>
  <c r="R141" i="3"/>
  <c r="C148" i="3" s="1"/>
  <c r="G148" i="3" s="1"/>
  <c r="DA43" i="1"/>
  <c r="Y148" i="83"/>
  <c r="EH92" i="11"/>
  <c r="EH91" i="11"/>
  <c r="W139" i="83"/>
  <c r="W130" i="83"/>
  <c r="AP147" i="3"/>
  <c r="Z144" i="83"/>
  <c r="Z143" i="83"/>
  <c r="Z134" i="83"/>
  <c r="Y134" i="83"/>
  <c r="AN68" i="9"/>
  <c r="AO68" i="9" s="1"/>
  <c r="AP68" i="9" s="1"/>
  <c r="AQ68" i="9" s="1"/>
  <c r="AR68" i="9" s="1"/>
  <c r="AS68" i="9" s="1"/>
  <c r="AO30" i="9"/>
  <c r="DS18" i="11" a="1"/>
  <c r="DV18" i="11" s="1"/>
  <c r="FI18" i="11"/>
  <c r="FH18" i="11"/>
  <c r="FG18" i="11"/>
  <c r="FF18" i="11"/>
  <c r="FE18" i="11"/>
  <c r="FD18" i="11"/>
  <c r="FC18" i="11"/>
  <c r="FB18" i="11"/>
  <c r="FA18" i="11"/>
  <c r="EZ18" i="11"/>
  <c r="EY18" i="11"/>
  <c r="EX18" i="11"/>
  <c r="EW18" i="11"/>
  <c r="EV18" i="11"/>
  <c r="EU18" i="11"/>
  <c r="ET18" i="11"/>
  <c r="ES18" i="11"/>
  <c r="FI17" i="11"/>
  <c r="FH17" i="11"/>
  <c r="FG17" i="11"/>
  <c r="FF17" i="11"/>
  <c r="FE17" i="11"/>
  <c r="FD17" i="11"/>
  <c r="FC17" i="11"/>
  <c r="FB17" i="11"/>
  <c r="FA17" i="11"/>
  <c r="EZ17" i="11"/>
  <c r="EY17" i="11"/>
  <c r="EX17" i="11"/>
  <c r="EW17" i="11"/>
  <c r="EV17" i="11"/>
  <c r="EU17" i="11"/>
  <c r="ET17" i="11"/>
  <c r="ES17" i="11"/>
  <c r="DE70" i="1"/>
  <c r="DD75" i="1"/>
  <c r="DJ75" i="1" s="1"/>
  <c r="DE73" i="1"/>
  <c r="DW74" i="1" s="1"/>
  <c r="DF70" i="1"/>
  <c r="B142" i="67"/>
  <c r="B143" i="67"/>
  <c r="B144" i="67" s="1"/>
  <c r="B145" i="67" s="1"/>
  <c r="B146" i="67" s="1"/>
  <c r="B147" i="67" s="1"/>
  <c r="B148" i="67" s="1"/>
  <c r="B149" i="67" s="1"/>
  <c r="B150" i="67" s="1"/>
  <c r="B151" i="67" s="1"/>
  <c r="B152" i="67" s="1"/>
  <c r="B153" i="67" s="1"/>
  <c r="B154" i="67" s="1"/>
  <c r="B155" i="67" s="1"/>
  <c r="B156" i="67" s="1"/>
  <c r="B157" i="67" s="1"/>
  <c r="B158" i="67" s="1"/>
  <c r="B159" i="67" s="1"/>
  <c r="B160" i="67" s="1"/>
  <c r="B161" i="67" s="1"/>
  <c r="B162" i="67" s="1"/>
  <c r="B163" i="67" s="1"/>
  <c r="B164" i="67" s="1"/>
  <c r="B165" i="67" s="1"/>
  <c r="B166" i="67" s="1"/>
  <c r="B167" i="67" s="1"/>
  <c r="B168" i="67"/>
  <c r="B169" i="67" s="1"/>
  <c r="B170" i="67" s="1"/>
  <c r="B171" i="67" s="1"/>
  <c r="Q136" i="67"/>
  <c r="R136" i="67" s="1"/>
  <c r="S136" i="67" s="1"/>
  <c r="T136" i="67" s="1"/>
  <c r="U136" i="67" s="1"/>
  <c r="V136" i="67" s="1"/>
  <c r="W136" i="67" s="1"/>
  <c r="X136" i="67" s="1"/>
  <c r="Y136" i="67" s="1"/>
  <c r="M136" i="67"/>
  <c r="N136" i="67" s="1"/>
  <c r="O136" i="67" s="1"/>
  <c r="P136" i="67" s="1"/>
  <c r="L136" i="67"/>
  <c r="I136" i="67"/>
  <c r="H136" i="67"/>
  <c r="G136" i="67"/>
  <c r="F136" i="67"/>
  <c r="E136" i="67" s="1"/>
  <c r="D136" i="67" s="1"/>
  <c r="C136" i="67" s="1"/>
  <c r="B120" i="67"/>
  <c r="A120" i="67"/>
  <c r="B121" i="67" s="1"/>
  <c r="A121" i="67"/>
  <c r="A122" i="67"/>
  <c r="B123" i="67"/>
  <c r="B119" i="67"/>
  <c r="B118" i="67"/>
  <c r="B117" i="67"/>
  <c r="B116" i="67"/>
  <c r="B115" i="67"/>
  <c r="B114" i="67"/>
  <c r="B113" i="67"/>
  <c r="B112" i="67"/>
  <c r="B111" i="67"/>
  <c r="B110" i="67"/>
  <c r="B109" i="67"/>
  <c r="B108" i="67"/>
  <c r="B107" i="67"/>
  <c r="C106" i="67"/>
  <c r="B106" i="67"/>
  <c r="Q105" i="67"/>
  <c r="P105" i="67"/>
  <c r="O105" i="67"/>
  <c r="N105" i="67"/>
  <c r="M105" i="67"/>
  <c r="L105" i="67"/>
  <c r="K105" i="67"/>
  <c r="J105" i="67"/>
  <c r="I105" i="67"/>
  <c r="H105" i="67"/>
  <c r="G105" i="67"/>
  <c r="F105" i="67"/>
  <c r="E105" i="67"/>
  <c r="D105" i="67"/>
  <c r="C105" i="67"/>
  <c r="B105" i="67"/>
  <c r="Q104" i="67"/>
  <c r="P104" i="67"/>
  <c r="O104" i="67"/>
  <c r="N104" i="67"/>
  <c r="M104" i="67"/>
  <c r="L104" i="67"/>
  <c r="K104" i="67"/>
  <c r="J104" i="67"/>
  <c r="I104" i="67"/>
  <c r="H104" i="67"/>
  <c r="G104" i="67"/>
  <c r="F104" i="67"/>
  <c r="E104" i="67"/>
  <c r="D104" i="67"/>
  <c r="C104" i="67"/>
  <c r="B104" i="67"/>
  <c r="Q103" i="67"/>
  <c r="P103" i="67"/>
  <c r="O103" i="67"/>
  <c r="N103" i="67"/>
  <c r="M103" i="67"/>
  <c r="L103" i="67"/>
  <c r="K103" i="67"/>
  <c r="J103" i="67"/>
  <c r="I103" i="67"/>
  <c r="H103" i="67"/>
  <c r="G103" i="67"/>
  <c r="F103" i="67"/>
  <c r="E103" i="67"/>
  <c r="D103" i="67"/>
  <c r="C103" i="67"/>
  <c r="B103" i="67"/>
  <c r="R102" i="67"/>
  <c r="Q102" i="67"/>
  <c r="P102" i="67"/>
  <c r="O102" i="67"/>
  <c r="N102" i="67"/>
  <c r="M102" i="67"/>
  <c r="L102" i="67"/>
  <c r="K102" i="67"/>
  <c r="J102" i="67"/>
  <c r="I102" i="67"/>
  <c r="H102" i="67"/>
  <c r="G102" i="67"/>
  <c r="F102" i="67"/>
  <c r="E102" i="67"/>
  <c r="D102" i="67"/>
  <c r="C102" i="67"/>
  <c r="B102" i="67"/>
  <c r="P100" i="67"/>
  <c r="Q100" i="67"/>
  <c r="R100" i="67"/>
  <c r="S100" i="67" s="1"/>
  <c r="T100" i="67" s="1"/>
  <c r="U100" i="67" s="1"/>
  <c r="V100" i="67" s="1"/>
  <c r="W100" i="67" s="1"/>
  <c r="X100" i="67" s="1"/>
  <c r="Y100" i="67" s="1"/>
  <c r="L100" i="67"/>
  <c r="M100" i="67" s="1"/>
  <c r="N100" i="67" s="1"/>
  <c r="O100" i="67" s="1"/>
  <c r="I100" i="67"/>
  <c r="H100" i="67" s="1"/>
  <c r="G100" i="67" s="1"/>
  <c r="F100" i="67" s="1"/>
  <c r="E100" i="67" s="1"/>
  <c r="D100" i="67" s="1"/>
  <c r="C100" i="67" s="1"/>
  <c r="S73" i="67"/>
  <c r="T73" i="67" s="1"/>
  <c r="O73" i="67"/>
  <c r="M73" i="67"/>
  <c r="E73" i="67"/>
  <c r="T72" i="67"/>
  <c r="U72" i="67" s="1"/>
  <c r="S72" i="67"/>
  <c r="R72" i="67"/>
  <c r="Q72" i="67"/>
  <c r="Q73" i="67" s="1"/>
  <c r="P72" i="67"/>
  <c r="O72" i="67"/>
  <c r="N72" i="67"/>
  <c r="N107" i="67" s="1"/>
  <c r="M72" i="67"/>
  <c r="L72" i="67"/>
  <c r="K72" i="67"/>
  <c r="J72" i="67"/>
  <c r="J73" i="67" s="1"/>
  <c r="I72" i="67"/>
  <c r="I73" i="67" s="1"/>
  <c r="H72" i="67"/>
  <c r="G72" i="67"/>
  <c r="G73" i="67" s="1"/>
  <c r="F72" i="67"/>
  <c r="E72" i="67"/>
  <c r="D72" i="67"/>
  <c r="C72" i="67"/>
  <c r="T71" i="67"/>
  <c r="T70" i="67"/>
  <c r="T105" i="67" s="1"/>
  <c r="U69" i="67"/>
  <c r="T69" i="67"/>
  <c r="U68" i="67"/>
  <c r="T68" i="67"/>
  <c r="T103" i="67" s="1"/>
  <c r="V67" i="67"/>
  <c r="T67" i="67"/>
  <c r="U67" i="67" s="1"/>
  <c r="S66" i="67"/>
  <c r="S53" i="67" s="1"/>
  <c r="R66" i="67"/>
  <c r="Q66" i="67"/>
  <c r="Q101" i="67"/>
  <c r="P66" i="67"/>
  <c r="O66" i="67"/>
  <c r="O6" i="67" s="1"/>
  <c r="N66" i="67"/>
  <c r="N101" i="67"/>
  <c r="M66" i="67"/>
  <c r="M101" i="67" s="1"/>
  <c r="L66" i="67"/>
  <c r="K66" i="67"/>
  <c r="J66" i="67"/>
  <c r="I66" i="67"/>
  <c r="H66" i="67"/>
  <c r="H6" i="67" s="1"/>
  <c r="H25" i="67" s="1"/>
  <c r="G66" i="67"/>
  <c r="G101" i="67" s="1"/>
  <c r="F66" i="67"/>
  <c r="F101" i="67" s="1"/>
  <c r="E66" i="67"/>
  <c r="E101" i="67"/>
  <c r="D66" i="67"/>
  <c r="C66" i="67"/>
  <c r="Y64" i="67"/>
  <c r="O64" i="67"/>
  <c r="P64" i="67" s="1"/>
  <c r="Q64" i="67" s="1"/>
  <c r="R64" i="67" s="1"/>
  <c r="S64" i="67" s="1"/>
  <c r="T64" i="67" s="1"/>
  <c r="U64" i="67" s="1"/>
  <c r="V64" i="67" s="1"/>
  <c r="W64" i="67" s="1"/>
  <c r="X64" i="67" s="1"/>
  <c r="N64" i="67"/>
  <c r="I64" i="67"/>
  <c r="H64" i="67"/>
  <c r="G64" i="67"/>
  <c r="F64" i="67"/>
  <c r="E64" i="67" s="1"/>
  <c r="D64" i="67" s="1"/>
  <c r="C64" i="67" s="1"/>
  <c r="S61" i="67"/>
  <c r="R61" i="67"/>
  <c r="Q61" i="67"/>
  <c r="Q138" i="67" s="1"/>
  <c r="P61" i="67"/>
  <c r="P138" i="67"/>
  <c r="O61" i="67"/>
  <c r="O138" i="67" s="1"/>
  <c r="N61" i="67"/>
  <c r="N138" i="67" s="1"/>
  <c r="M61" i="67"/>
  <c r="M138" i="67" s="1"/>
  <c r="L61" i="67"/>
  <c r="L138" i="67"/>
  <c r="K61" i="67"/>
  <c r="K138" i="67" s="1"/>
  <c r="J61" i="67"/>
  <c r="J138" i="67" s="1"/>
  <c r="I61" i="67"/>
  <c r="I138" i="67" s="1"/>
  <c r="H61" i="67"/>
  <c r="H138" i="67" s="1"/>
  <c r="G61" i="67"/>
  <c r="G138" i="67" s="1"/>
  <c r="F61" i="67"/>
  <c r="F138" i="67"/>
  <c r="E61" i="67"/>
  <c r="E138" i="67"/>
  <c r="D61" i="67"/>
  <c r="D138" i="67" s="1"/>
  <c r="C61" i="67"/>
  <c r="C138" i="67" s="1"/>
  <c r="P59" i="67"/>
  <c r="M59" i="67"/>
  <c r="L59" i="67"/>
  <c r="I59" i="67"/>
  <c r="S56" i="67"/>
  <c r="R56" i="67"/>
  <c r="Q56" i="67"/>
  <c r="Q57" i="67" s="1"/>
  <c r="P56" i="67"/>
  <c r="O56" i="67"/>
  <c r="O59" i="67"/>
  <c r="N56" i="67"/>
  <c r="M56" i="67"/>
  <c r="L56" i="67"/>
  <c r="L57" i="67" s="1"/>
  <c r="K56" i="67"/>
  <c r="K59" i="67" s="1"/>
  <c r="J56" i="67"/>
  <c r="J57" i="67" s="1"/>
  <c r="I56" i="67"/>
  <c r="H56" i="67"/>
  <c r="H59" i="67" s="1"/>
  <c r="G56" i="67"/>
  <c r="F56" i="67"/>
  <c r="F57" i="67"/>
  <c r="E56" i="67"/>
  <c r="E59" i="67" s="1"/>
  <c r="E57" i="67"/>
  <c r="D56" i="67"/>
  <c r="D59" i="67" s="1"/>
  <c r="C56" i="67"/>
  <c r="C59" i="67"/>
  <c r="R53" i="67"/>
  <c r="R54" i="67" s="1"/>
  <c r="Q53" i="67"/>
  <c r="N53" i="67"/>
  <c r="N54" i="67" s="1"/>
  <c r="M53" i="67"/>
  <c r="F53" i="67"/>
  <c r="F54" i="67" s="1"/>
  <c r="E53" i="67"/>
  <c r="U40" i="67"/>
  <c r="T40" i="67"/>
  <c r="U41" i="67" s="1"/>
  <c r="S40" i="67"/>
  <c r="R40" i="67"/>
  <c r="R41" i="67" s="1"/>
  <c r="Q40" i="67"/>
  <c r="P40" i="67"/>
  <c r="O40" i="67"/>
  <c r="P41" i="67" s="1"/>
  <c r="N40" i="67"/>
  <c r="M40" i="67"/>
  <c r="L40" i="67"/>
  <c r="L41" i="67"/>
  <c r="K40" i="67"/>
  <c r="K41" i="67" s="1"/>
  <c r="J40" i="67"/>
  <c r="I40" i="67"/>
  <c r="H40" i="67"/>
  <c r="I41" i="67" s="1"/>
  <c r="G40" i="67"/>
  <c r="F40" i="67"/>
  <c r="E40" i="67"/>
  <c r="D40" i="67"/>
  <c r="D41" i="67" s="1"/>
  <c r="C40" i="67"/>
  <c r="U38" i="67"/>
  <c r="T38" i="67"/>
  <c r="S38" i="67"/>
  <c r="S101" i="67" s="1"/>
  <c r="R38" i="67"/>
  <c r="Q35" i="67"/>
  <c r="R35" i="67" s="1"/>
  <c r="S35" i="67" s="1"/>
  <c r="T35" i="67" s="1"/>
  <c r="U35" i="67" s="1"/>
  <c r="V35" i="67" s="1"/>
  <c r="W35" i="67" s="1"/>
  <c r="X35" i="67" s="1"/>
  <c r="Y35" i="67" s="1"/>
  <c r="N35" i="67"/>
  <c r="O35" i="67" s="1"/>
  <c r="P35" i="67"/>
  <c r="I35" i="67"/>
  <c r="H35" i="67" s="1"/>
  <c r="G35" i="67" s="1"/>
  <c r="F35" i="67" s="1"/>
  <c r="E35" i="67" s="1"/>
  <c r="D35" i="67" s="1"/>
  <c r="C35" i="67" s="1"/>
  <c r="C26" i="67"/>
  <c r="Q25" i="67"/>
  <c r="O22" i="67"/>
  <c r="P22" i="67" s="1"/>
  <c r="Q22" i="67" s="1"/>
  <c r="R22" i="67" s="1"/>
  <c r="S22" i="67" s="1"/>
  <c r="T22" i="67" s="1"/>
  <c r="U22" i="67"/>
  <c r="V22" i="67" s="1"/>
  <c r="W22" i="67" s="1"/>
  <c r="X22" i="67" s="1"/>
  <c r="Y22" i="67" s="1"/>
  <c r="L22" i="67"/>
  <c r="M22" i="67"/>
  <c r="N22" i="67" s="1"/>
  <c r="I22" i="67"/>
  <c r="H22" i="67"/>
  <c r="G22" i="67"/>
  <c r="F22" i="67" s="1"/>
  <c r="E22" i="67" s="1"/>
  <c r="D22" i="67" s="1"/>
  <c r="C22" i="67" s="1"/>
  <c r="X15" i="67"/>
  <c r="Y15" i="67"/>
  <c r="M15" i="67"/>
  <c r="N15" i="67" s="1"/>
  <c r="O15" i="67" s="1"/>
  <c r="P15" i="67" s="1"/>
  <c r="Q15" i="67" s="1"/>
  <c r="R15" i="67" s="1"/>
  <c r="S15" i="67" s="1"/>
  <c r="T15" i="67" s="1"/>
  <c r="U15" i="67" s="1"/>
  <c r="V15" i="67" s="1"/>
  <c r="W15" i="67" s="1"/>
  <c r="L15" i="67"/>
  <c r="I15" i="67"/>
  <c r="H15" i="67" s="1"/>
  <c r="G15" i="67"/>
  <c r="F15" i="67" s="1"/>
  <c r="E15" i="67" s="1"/>
  <c r="D15" i="67" s="1"/>
  <c r="C15" i="67" s="1"/>
  <c r="S6" i="67"/>
  <c r="R6" i="67"/>
  <c r="Q6" i="67"/>
  <c r="N6" i="67"/>
  <c r="N25" i="67" s="1"/>
  <c r="M6" i="67"/>
  <c r="L6" i="67"/>
  <c r="G6" i="67"/>
  <c r="G25" i="67"/>
  <c r="F6" i="67"/>
  <c r="F25" i="67" s="1"/>
  <c r="E6" i="67"/>
  <c r="E25" i="67" s="1"/>
  <c r="N3" i="67"/>
  <c r="O3" i="67"/>
  <c r="P3" i="67" s="1"/>
  <c r="Q3" i="67" s="1"/>
  <c r="R3" i="67" s="1"/>
  <c r="S3" i="67" s="1"/>
  <c r="T3" i="67" s="1"/>
  <c r="U3" i="67" s="1"/>
  <c r="V3" i="67" s="1"/>
  <c r="W3" i="67" s="1"/>
  <c r="X3" i="67"/>
  <c r="Y3" i="67" s="1"/>
  <c r="I3" i="67"/>
  <c r="H3" i="67"/>
  <c r="G3" i="67"/>
  <c r="F3" i="67" s="1"/>
  <c r="E3" i="67" s="1"/>
  <c r="D3" i="67" s="1"/>
  <c r="C3" i="67" s="1"/>
  <c r="R25" i="67"/>
  <c r="J41" i="67"/>
  <c r="Q41" i="67"/>
  <c r="G53" i="67"/>
  <c r="O57" i="67"/>
  <c r="S25" i="67"/>
  <c r="D57" i="67"/>
  <c r="P57" i="67"/>
  <c r="C53" i="67"/>
  <c r="K101" i="67"/>
  <c r="I74" i="67"/>
  <c r="U73" i="67"/>
  <c r="V69" i="67"/>
  <c r="E106" i="67"/>
  <c r="D73" i="67"/>
  <c r="H73" i="67"/>
  <c r="M106" i="67"/>
  <c r="L73" i="67"/>
  <c r="Q106" i="67"/>
  <c r="P107" i="67"/>
  <c r="P73" i="67"/>
  <c r="P74" i="67" s="1"/>
  <c r="S105" i="67"/>
  <c r="S104" i="67"/>
  <c r="S103" i="67"/>
  <c r="S102" i="67"/>
  <c r="H101" i="67"/>
  <c r="H53" i="67"/>
  <c r="P101" i="67"/>
  <c r="P53" i="67"/>
  <c r="Q54" i="67" s="1"/>
  <c r="Q78" i="67" s="1"/>
  <c r="F59" i="67"/>
  <c r="N59" i="67"/>
  <c r="R59" i="67"/>
  <c r="R138" i="67"/>
  <c r="F107" i="67"/>
  <c r="J107" i="67"/>
  <c r="K106" i="67"/>
  <c r="O106" i="67"/>
  <c r="N73" i="67"/>
  <c r="R73" i="67"/>
  <c r="K73" i="67"/>
  <c r="C107" i="67"/>
  <c r="H106" i="67"/>
  <c r="G74" i="67"/>
  <c r="P106" i="67"/>
  <c r="O74" i="67"/>
  <c r="O75" i="67" s="1"/>
  <c r="S74" i="67"/>
  <c r="E74" i="67"/>
  <c r="J74" i="67"/>
  <c r="T102" i="67"/>
  <c r="E107" i="67"/>
  <c r="F106" i="67"/>
  <c r="N106" i="67"/>
  <c r="J106" i="67"/>
  <c r="A123" i="67"/>
  <c r="B122" i="67"/>
  <c r="AD39" i="7"/>
  <c r="AJ28" i="7"/>
  <c r="AJ46" i="7" s="1"/>
  <c r="AJ27" i="7"/>
  <c r="AJ26" i="7"/>
  <c r="AH28" i="7"/>
  <c r="AH46" i="7" s="1"/>
  <c r="AH27" i="7"/>
  <c r="AH33" i="7" s="1"/>
  <c r="AH26" i="7"/>
  <c r="AH32" i="7" s="1"/>
  <c r="AF29" i="7"/>
  <c r="AF47" i="7" s="1"/>
  <c r="AF28" i="7"/>
  <c r="AF46" i="7" s="1"/>
  <c r="AF52" i="7" s="1"/>
  <c r="AF27" i="7"/>
  <c r="AF26" i="7"/>
  <c r="AF32" i="7" s="1"/>
  <c r="AD28" i="7"/>
  <c r="AD46" i="7" s="1"/>
  <c r="AD27" i="7"/>
  <c r="AD26" i="7"/>
  <c r="AB28" i="7"/>
  <c r="AB46" i="7" s="1"/>
  <c r="AB27" i="7"/>
  <c r="AB26" i="7"/>
  <c r="Z29" i="7"/>
  <c r="Z28" i="7"/>
  <c r="Z46" i="7" s="1"/>
  <c r="Z27" i="7"/>
  <c r="Z26" i="7"/>
  <c r="X29" i="7"/>
  <c r="X47" i="7" s="1"/>
  <c r="X53" i="7" s="1"/>
  <c r="X28" i="7"/>
  <c r="X46" i="7" s="1"/>
  <c r="X27" i="7"/>
  <c r="X33" i="7" s="1"/>
  <c r="X26" i="7"/>
  <c r="V29" i="7"/>
  <c r="V47" i="7" s="1"/>
  <c r="V28" i="7"/>
  <c r="V46" i="7" s="1"/>
  <c r="V52" i="7" s="1"/>
  <c r="V27" i="7"/>
  <c r="V33" i="7" s="1"/>
  <c r="V26" i="7"/>
  <c r="T29" i="7"/>
  <c r="T47" i="7"/>
  <c r="T53" i="7" s="1"/>
  <c r="T28" i="7"/>
  <c r="T46" i="7"/>
  <c r="T27" i="7"/>
  <c r="T26" i="7"/>
  <c r="R29" i="7"/>
  <c r="R28" i="7"/>
  <c r="R46" i="7"/>
  <c r="R27" i="7"/>
  <c r="R26" i="7"/>
  <c r="P29" i="7"/>
  <c r="P28" i="7"/>
  <c r="P46" i="7" s="1"/>
  <c r="P27" i="7"/>
  <c r="P26" i="7"/>
  <c r="N29" i="7"/>
  <c r="N47" i="7"/>
  <c r="N28" i="7"/>
  <c r="N46" i="7"/>
  <c r="N27" i="7"/>
  <c r="N26" i="7"/>
  <c r="L29" i="7"/>
  <c r="L47" i="7"/>
  <c r="L28" i="7"/>
  <c r="L46" i="7"/>
  <c r="L27" i="7"/>
  <c r="L26" i="7"/>
  <c r="J29" i="7"/>
  <c r="J47" i="7" s="1"/>
  <c r="J28" i="7"/>
  <c r="J46" i="7"/>
  <c r="J58" i="7" s="1"/>
  <c r="J27" i="7"/>
  <c r="J45" i="7" s="1"/>
  <c r="J26" i="7"/>
  <c r="H29" i="7"/>
  <c r="H47" i="7"/>
  <c r="H53" i="7" s="1"/>
  <c r="H28" i="7"/>
  <c r="H27" i="7"/>
  <c r="H26" i="7"/>
  <c r="F29" i="7"/>
  <c r="F28" i="7"/>
  <c r="F46" i="7"/>
  <c r="F27" i="7"/>
  <c r="F26" i="7"/>
  <c r="D29" i="7"/>
  <c r="D47" i="7"/>
  <c r="AH29" i="7"/>
  <c r="AD23" i="7"/>
  <c r="AD29" i="7" s="1"/>
  <c r="AB23" i="7"/>
  <c r="AB17" i="7"/>
  <c r="L5" i="7"/>
  <c r="H5" i="7"/>
  <c r="D125" i="8"/>
  <c r="D124" i="8"/>
  <c r="D123" i="8"/>
  <c r="D122" i="8"/>
  <c r="B23" i="8"/>
  <c r="T43" i="6"/>
  <c r="T42" i="6"/>
  <c r="T41" i="6"/>
  <c r="T40" i="6"/>
  <c r="BP40" i="6"/>
  <c r="BL43" i="6"/>
  <c r="BL41" i="6"/>
  <c r="BL40" i="6"/>
  <c r="BH43" i="6"/>
  <c r="BH42" i="6"/>
  <c r="BH41" i="6"/>
  <c r="BH40" i="6"/>
  <c r="BD43" i="6"/>
  <c r="BD42" i="6"/>
  <c r="BD41" i="6"/>
  <c r="BD40" i="6"/>
  <c r="AZ43" i="6"/>
  <c r="AZ42" i="6"/>
  <c r="AZ41" i="6"/>
  <c r="AZ40" i="6"/>
  <c r="AV43" i="6"/>
  <c r="AV42" i="6"/>
  <c r="AV41" i="6"/>
  <c r="AV40" i="6"/>
  <c r="AR43" i="6"/>
  <c r="AR42" i="6"/>
  <c r="AR41" i="6"/>
  <c r="AR40" i="6"/>
  <c r="AN43" i="6"/>
  <c r="AN42" i="6"/>
  <c r="AN41" i="6"/>
  <c r="AN40" i="6"/>
  <c r="AJ43" i="6"/>
  <c r="AJ42" i="6"/>
  <c r="AJ41" i="6"/>
  <c r="AO41" i="6" s="1"/>
  <c r="AJ40" i="6"/>
  <c r="AF43" i="6"/>
  <c r="AF42" i="6"/>
  <c r="AF41" i="6"/>
  <c r="AF40" i="6"/>
  <c r="AB43" i="6"/>
  <c r="AB42" i="6"/>
  <c r="AF48" i="6" s="1"/>
  <c r="AB41" i="6"/>
  <c r="AB40" i="6"/>
  <c r="X43" i="6"/>
  <c r="X49" i="6" s="1"/>
  <c r="X42" i="6"/>
  <c r="X48" i="6" s="1"/>
  <c r="X41" i="6"/>
  <c r="X47" i="6" s="1"/>
  <c r="X40" i="6"/>
  <c r="CB36" i="6"/>
  <c r="CB35" i="6"/>
  <c r="CG35" i="6" s="1"/>
  <c r="CB34" i="6"/>
  <c r="BP37" i="6"/>
  <c r="BQ37" i="6" s="1"/>
  <c r="BP36" i="6"/>
  <c r="BP42" i="6" s="1"/>
  <c r="BL36" i="6"/>
  <c r="BL42" i="6" s="1"/>
  <c r="BX37" i="6"/>
  <c r="BX36" i="6"/>
  <c r="BX42" i="6" s="1"/>
  <c r="BX35" i="6"/>
  <c r="BX34" i="6"/>
  <c r="BT37" i="6"/>
  <c r="BU37" i="6" s="1"/>
  <c r="BT36" i="6"/>
  <c r="BT35" i="6"/>
  <c r="BU35" i="6" s="1"/>
  <c r="BT34" i="6"/>
  <c r="BU34" i="6" s="1"/>
  <c r="BQ35" i="6"/>
  <c r="BQ34" i="6"/>
  <c r="BM37" i="6"/>
  <c r="BM35" i="6"/>
  <c r="BM34" i="6"/>
  <c r="BI37" i="6"/>
  <c r="BI36" i="6"/>
  <c r="BI35" i="6"/>
  <c r="BI34" i="6"/>
  <c r="BE37" i="6"/>
  <c r="BE36" i="6"/>
  <c r="BE35" i="6"/>
  <c r="BE34" i="6"/>
  <c r="BA37" i="6"/>
  <c r="BA36" i="6"/>
  <c r="BA35" i="6"/>
  <c r="BA34" i="6"/>
  <c r="AW37" i="6"/>
  <c r="AW36" i="6"/>
  <c r="AW35" i="6"/>
  <c r="AW34" i="6"/>
  <c r="AS37" i="6"/>
  <c r="AS36" i="6"/>
  <c r="AS35" i="6"/>
  <c r="AS34" i="6"/>
  <c r="AO37" i="6"/>
  <c r="AO36" i="6"/>
  <c r="AO35" i="6"/>
  <c r="AO34" i="6"/>
  <c r="AK37" i="6"/>
  <c r="AK36" i="6"/>
  <c r="AK35" i="6"/>
  <c r="AK34" i="6"/>
  <c r="AG37" i="6"/>
  <c r="AG36" i="6"/>
  <c r="AG35" i="6"/>
  <c r="AG34" i="6"/>
  <c r="AC37" i="6"/>
  <c r="AC36" i="6"/>
  <c r="AC35" i="6"/>
  <c r="AC34" i="6"/>
  <c r="Y37" i="6"/>
  <c r="Y36" i="6"/>
  <c r="Y35" i="6"/>
  <c r="Y34" i="6"/>
  <c r="CC30" i="6"/>
  <c r="CC29" i="6"/>
  <c r="CC28" i="6"/>
  <c r="BY31" i="6"/>
  <c r="BY30" i="6"/>
  <c r="BY29" i="6"/>
  <c r="BY28" i="6"/>
  <c r="BU31" i="6"/>
  <c r="BU30" i="6"/>
  <c r="BU29" i="6"/>
  <c r="BU28" i="6"/>
  <c r="BQ31" i="6"/>
  <c r="BQ30" i="6"/>
  <c r="BQ29" i="6"/>
  <c r="BQ28" i="6"/>
  <c r="BM31" i="6"/>
  <c r="BM30" i="6"/>
  <c r="BM29" i="6"/>
  <c r="BM28" i="6"/>
  <c r="BI31" i="6"/>
  <c r="BI30" i="6"/>
  <c r="BI29" i="6"/>
  <c r="BI28" i="6"/>
  <c r="BE31" i="6"/>
  <c r="BE30" i="6"/>
  <c r="BE29" i="6"/>
  <c r="BE28" i="6"/>
  <c r="BA31" i="6"/>
  <c r="BA30" i="6"/>
  <c r="BA29" i="6"/>
  <c r="BA28" i="6"/>
  <c r="AW31" i="6"/>
  <c r="AW30" i="6"/>
  <c r="AW29" i="6"/>
  <c r="AW28" i="6"/>
  <c r="AS31" i="6"/>
  <c r="AS30" i="6"/>
  <c r="AS29" i="6"/>
  <c r="AS28" i="6"/>
  <c r="AO31" i="6"/>
  <c r="AO30" i="6"/>
  <c r="AO29" i="6"/>
  <c r="AO28" i="6"/>
  <c r="AK31" i="6"/>
  <c r="AK30" i="6"/>
  <c r="AK29" i="6"/>
  <c r="AK28" i="6"/>
  <c r="AG31" i="6"/>
  <c r="AG30" i="6"/>
  <c r="AG29" i="6"/>
  <c r="AG28" i="6"/>
  <c r="AC31" i="6"/>
  <c r="AC30" i="6"/>
  <c r="AC29" i="6"/>
  <c r="AC28" i="6"/>
  <c r="Y31" i="6"/>
  <c r="Y30" i="6"/>
  <c r="Y29" i="6"/>
  <c r="Y28" i="6"/>
  <c r="CB24" i="6"/>
  <c r="CG24" i="6" s="1"/>
  <c r="CB23" i="6"/>
  <c r="CG23" i="6" s="1"/>
  <c r="CB22" i="6"/>
  <c r="CG22" i="6" s="1"/>
  <c r="BX25" i="6"/>
  <c r="BT25" i="6"/>
  <c r="BP25" i="6"/>
  <c r="BX23" i="6"/>
  <c r="BX41" i="6" s="1"/>
  <c r="BX22" i="6"/>
  <c r="BT23" i="6"/>
  <c r="BT41" i="6" s="1"/>
  <c r="BT22" i="6"/>
  <c r="BT40" i="6"/>
  <c r="BT46" i="6" s="1"/>
  <c r="BY24" i="6"/>
  <c r="BU24" i="6"/>
  <c r="BU22" i="6"/>
  <c r="BQ24" i="6"/>
  <c r="BQ23" i="6"/>
  <c r="BQ22" i="6"/>
  <c r="BM25" i="6"/>
  <c r="BM24" i="6"/>
  <c r="BM23" i="6"/>
  <c r="BM22" i="6"/>
  <c r="BI25" i="6"/>
  <c r="BI24" i="6"/>
  <c r="BI23" i="6"/>
  <c r="BI22" i="6"/>
  <c r="BE25" i="6"/>
  <c r="BE24" i="6"/>
  <c r="BE23" i="6"/>
  <c r="BE22" i="6"/>
  <c r="BA25" i="6"/>
  <c r="BA24" i="6"/>
  <c r="BA23" i="6"/>
  <c r="BA22" i="6"/>
  <c r="AW25" i="6"/>
  <c r="AW24" i="6"/>
  <c r="AW23" i="6"/>
  <c r="AW22" i="6"/>
  <c r="AS25" i="6"/>
  <c r="AS24" i="6"/>
  <c r="AS23" i="6"/>
  <c r="AS22" i="6"/>
  <c r="AO25" i="6"/>
  <c r="AO24" i="6"/>
  <c r="AO23" i="6"/>
  <c r="AO22" i="6"/>
  <c r="AK25" i="6"/>
  <c r="AK24" i="6"/>
  <c r="AK23" i="6"/>
  <c r="AK22" i="6"/>
  <c r="AG25" i="6"/>
  <c r="AG24" i="6"/>
  <c r="AG23" i="6"/>
  <c r="AG22" i="6"/>
  <c r="AC25" i="6"/>
  <c r="AC24" i="6"/>
  <c r="AC23" i="6"/>
  <c r="AC22" i="6"/>
  <c r="Y25" i="6"/>
  <c r="Y24" i="6"/>
  <c r="Y23" i="6"/>
  <c r="Y22" i="6"/>
  <c r="CC19" i="6"/>
  <c r="CC18" i="6"/>
  <c r="CC16" i="6"/>
  <c r="BY18" i="6"/>
  <c r="BY17" i="6"/>
  <c r="BY16" i="6"/>
  <c r="CB17" i="6"/>
  <c r="CG17" i="6" s="1"/>
  <c r="BU19" i="6"/>
  <c r="BU18" i="6"/>
  <c r="BU17" i="6"/>
  <c r="BU16" i="6"/>
  <c r="BQ19" i="6"/>
  <c r="BQ18" i="6"/>
  <c r="BQ17" i="6"/>
  <c r="BQ16" i="6"/>
  <c r="BM19" i="6"/>
  <c r="BM18" i="6"/>
  <c r="BM17" i="6"/>
  <c r="BM16" i="6"/>
  <c r="BI19" i="6"/>
  <c r="BI18" i="6"/>
  <c r="BI17" i="6"/>
  <c r="BI16" i="6"/>
  <c r="BE19" i="6"/>
  <c r="BE18" i="6"/>
  <c r="BE17" i="6"/>
  <c r="BE16" i="6"/>
  <c r="BA19" i="6"/>
  <c r="BA18" i="6"/>
  <c r="BA17" i="6"/>
  <c r="BA16" i="6"/>
  <c r="AW19" i="6"/>
  <c r="AW18" i="6"/>
  <c r="AW17" i="6"/>
  <c r="AW16" i="6"/>
  <c r="AS19" i="6"/>
  <c r="AS18" i="6"/>
  <c r="AS17" i="6"/>
  <c r="AS16" i="6"/>
  <c r="AO19" i="6"/>
  <c r="AO18" i="6"/>
  <c r="AO17" i="6"/>
  <c r="AO16" i="6"/>
  <c r="AK19" i="6"/>
  <c r="AK18" i="6"/>
  <c r="AK17" i="6"/>
  <c r="AK16" i="6"/>
  <c r="AG19" i="6"/>
  <c r="AG18" i="6"/>
  <c r="AG17" i="6"/>
  <c r="AG16" i="6"/>
  <c r="AC19" i="6"/>
  <c r="AC18" i="6"/>
  <c r="AC17" i="6"/>
  <c r="AC16" i="6"/>
  <c r="Y19" i="6"/>
  <c r="Y18" i="6"/>
  <c r="Y17" i="6"/>
  <c r="Y16" i="6"/>
  <c r="BY14" i="6"/>
  <c r="BY13" i="6"/>
  <c r="BY12" i="6"/>
  <c r="BY11" i="6"/>
  <c r="BY10" i="6"/>
  <c r="CC12" i="6"/>
  <c r="CC11" i="6"/>
  <c r="CC10" i="6"/>
  <c r="BP11" i="6"/>
  <c r="BP41" i="6" s="1"/>
  <c r="BP47" i="6" s="1"/>
  <c r="BU13" i="6"/>
  <c r="BU12" i="6"/>
  <c r="BU10" i="6"/>
  <c r="BQ13" i="6"/>
  <c r="BQ12" i="6"/>
  <c r="BQ10" i="6"/>
  <c r="BM13" i="6"/>
  <c r="BM12" i="6"/>
  <c r="BM11" i="6"/>
  <c r="BM10" i="6"/>
  <c r="BI13" i="6"/>
  <c r="BI12" i="6"/>
  <c r="BI11" i="6"/>
  <c r="BI10" i="6"/>
  <c r="BE13" i="6"/>
  <c r="BE12" i="6"/>
  <c r="BE11" i="6"/>
  <c r="BE10" i="6"/>
  <c r="BA13" i="6"/>
  <c r="BA12" i="6"/>
  <c r="BA11" i="6"/>
  <c r="BA10" i="6"/>
  <c r="AW13" i="6"/>
  <c r="AW12" i="6"/>
  <c r="AW11" i="6"/>
  <c r="AW10" i="6"/>
  <c r="AS13" i="6"/>
  <c r="AS12" i="6"/>
  <c r="AS11" i="6"/>
  <c r="AS10" i="6"/>
  <c r="AO13" i="6"/>
  <c r="AO12" i="6"/>
  <c r="AO11" i="6"/>
  <c r="AO10" i="6"/>
  <c r="AK13" i="6"/>
  <c r="AK12" i="6"/>
  <c r="AK11" i="6"/>
  <c r="AK10" i="6"/>
  <c r="AG13" i="6"/>
  <c r="AG12" i="6"/>
  <c r="AG11" i="6"/>
  <c r="AG10" i="6"/>
  <c r="AC13" i="6"/>
  <c r="AC12" i="6"/>
  <c r="AC11" i="6"/>
  <c r="AC10" i="6"/>
  <c r="Y13" i="6"/>
  <c r="Y12" i="6"/>
  <c r="Y11" i="6"/>
  <c r="Y10" i="6"/>
  <c r="U13" i="6"/>
  <c r="U12" i="6"/>
  <c r="U11" i="6"/>
  <c r="U10" i="6"/>
  <c r="Q13" i="6"/>
  <c r="Q12" i="6"/>
  <c r="Q11" i="6"/>
  <c r="Q10" i="6"/>
  <c r="M13" i="6"/>
  <c r="M12" i="6"/>
  <c r="M11" i="6"/>
  <c r="M10" i="6"/>
  <c r="I13" i="6"/>
  <c r="I12" i="6"/>
  <c r="I11" i="6"/>
  <c r="I10" i="6"/>
  <c r="BP9" i="6"/>
  <c r="AR7" i="6"/>
  <c r="AJ7" i="6"/>
  <c r="AF7" i="6" s="1"/>
  <c r="AB7" i="6" s="1"/>
  <c r="X7" i="6" s="1"/>
  <c r="T7" i="6" s="1"/>
  <c r="P7" i="6" s="1"/>
  <c r="L7" i="6" s="1"/>
  <c r="H7" i="6" s="1"/>
  <c r="D7" i="6" s="1"/>
  <c r="AK72" i="9"/>
  <c r="AJ72" i="9"/>
  <c r="EA70" i="11" s="1"/>
  <c r="AI72" i="9"/>
  <c r="AH72" i="9"/>
  <c r="DY70" i="11" s="1"/>
  <c r="AG72" i="9"/>
  <c r="AF72" i="9"/>
  <c r="DN70" i="11" s="1"/>
  <c r="AE72" i="9"/>
  <c r="AD72" i="9"/>
  <c r="DK70" i="11" s="1"/>
  <c r="AC72" i="9"/>
  <c r="AB72" i="9"/>
  <c r="DI70" i="11" s="1"/>
  <c r="AA72" i="9"/>
  <c r="Z72" i="9"/>
  <c r="Y72" i="9"/>
  <c r="X72" i="9"/>
  <c r="W72" i="9"/>
  <c r="V72" i="9"/>
  <c r="U72" i="9"/>
  <c r="T72" i="9"/>
  <c r="S72" i="9"/>
  <c r="R72" i="9"/>
  <c r="Q72" i="9"/>
  <c r="P72" i="9"/>
  <c r="O72" i="9"/>
  <c r="N72" i="9"/>
  <c r="M72" i="9"/>
  <c r="L72" i="9"/>
  <c r="K72" i="9"/>
  <c r="J72" i="9"/>
  <c r="I72" i="9"/>
  <c r="H72" i="9"/>
  <c r="G72" i="9"/>
  <c r="F72" i="9"/>
  <c r="E72" i="9"/>
  <c r="L61" i="9"/>
  <c r="L66" i="9" s="1"/>
  <c r="L70" i="9" s="1"/>
  <c r="K61" i="9"/>
  <c r="K66" i="9" s="1"/>
  <c r="K70" i="9" s="1"/>
  <c r="J61" i="9"/>
  <c r="J66" i="9" s="1"/>
  <c r="J70" i="9" s="1"/>
  <c r="I61" i="9"/>
  <c r="I66" i="9" s="1"/>
  <c r="I70" i="9" s="1"/>
  <c r="H61" i="9"/>
  <c r="H66" i="9" s="1"/>
  <c r="H70" i="9" s="1"/>
  <c r="G61" i="9"/>
  <c r="G66" i="9" s="1"/>
  <c r="G70" i="9" s="1"/>
  <c r="F61" i="9"/>
  <c r="F66" i="9" s="1"/>
  <c r="F70" i="9" s="1"/>
  <c r="E61" i="9"/>
  <c r="E66" i="9" s="1"/>
  <c r="E70" i="9" s="1"/>
  <c r="L60" i="9"/>
  <c r="L65" i="9" s="1"/>
  <c r="L69" i="9" s="1"/>
  <c r="K60" i="9"/>
  <c r="K65" i="9" s="1"/>
  <c r="K69" i="9" s="1"/>
  <c r="J60" i="9"/>
  <c r="J65" i="9" s="1"/>
  <c r="J69" i="9" s="1"/>
  <c r="I60" i="9"/>
  <c r="I65" i="9" s="1"/>
  <c r="I69" i="9" s="1"/>
  <c r="H60" i="9"/>
  <c r="H65" i="9" s="1"/>
  <c r="H69" i="9" s="1"/>
  <c r="G60" i="9"/>
  <c r="G65" i="9" s="1"/>
  <c r="G69" i="9" s="1"/>
  <c r="F60" i="9"/>
  <c r="F65" i="9" s="1"/>
  <c r="F69" i="9" s="1"/>
  <c r="E60" i="9"/>
  <c r="E65" i="9" s="1"/>
  <c r="E69" i="9" s="1"/>
  <c r="L59" i="9"/>
  <c r="L64" i="9" s="1"/>
  <c r="L68" i="9" s="1"/>
  <c r="K59" i="9"/>
  <c r="K64" i="9" s="1"/>
  <c r="K68" i="9" s="1"/>
  <c r="J59" i="9"/>
  <c r="J64" i="9" s="1"/>
  <c r="J68" i="9" s="1"/>
  <c r="I59" i="9"/>
  <c r="I64" i="9" s="1"/>
  <c r="I68" i="9" s="1"/>
  <c r="H59" i="9"/>
  <c r="H64" i="9" s="1"/>
  <c r="H68" i="9" s="1"/>
  <c r="G59" i="9"/>
  <c r="G64" i="9" s="1"/>
  <c r="G68" i="9" s="1"/>
  <c r="F59" i="9"/>
  <c r="F64" i="9" s="1"/>
  <c r="F68" i="9" s="1"/>
  <c r="E59" i="9"/>
  <c r="E64" i="9" s="1"/>
  <c r="E68" i="9" s="1"/>
  <c r="AL50" i="9"/>
  <c r="AK50" i="9"/>
  <c r="AJ50" i="9"/>
  <c r="AI50" i="9"/>
  <c r="AH50" i="9"/>
  <c r="AG50" i="9"/>
  <c r="AF50" i="9"/>
  <c r="AE50" i="9"/>
  <c r="AD50" i="9"/>
  <c r="AC50" i="9"/>
  <c r="AB50" i="9"/>
  <c r="AA50" i="9"/>
  <c r="Z50" i="9"/>
  <c r="Y50" i="9"/>
  <c r="X50" i="9"/>
  <c r="W50" i="9"/>
  <c r="V50" i="9"/>
  <c r="U50" i="9"/>
  <c r="T50" i="9"/>
  <c r="S50" i="9"/>
  <c r="R50" i="9"/>
  <c r="Q50" i="9"/>
  <c r="Q51" i="9" s="1"/>
  <c r="P50" i="9"/>
  <c r="P51" i="9" s="1"/>
  <c r="O50" i="9"/>
  <c r="N50" i="9"/>
  <c r="M50" i="9"/>
  <c r="L50" i="9"/>
  <c r="L51" i="9" s="1"/>
  <c r="K50" i="9"/>
  <c r="J50" i="9"/>
  <c r="J51" i="9" s="1"/>
  <c r="I50" i="9"/>
  <c r="I51" i="9" s="1"/>
  <c r="H50" i="9"/>
  <c r="H51" i="9" s="1"/>
  <c r="G50" i="9"/>
  <c r="F50" i="9"/>
  <c r="E50" i="9"/>
  <c r="AH39" i="9"/>
  <c r="AG39" i="9"/>
  <c r="AG52" i="9" s="1"/>
  <c r="AG55" i="9" s="1"/>
  <c r="AF39" i="9"/>
  <c r="AE39" i="9"/>
  <c r="AE54" i="9" s="1"/>
  <c r="AD39" i="9"/>
  <c r="AC39" i="9"/>
  <c r="AB39" i="9"/>
  <c r="AA39" i="9"/>
  <c r="Z39" i="9"/>
  <c r="Y39" i="9"/>
  <c r="X39" i="9"/>
  <c r="W39" i="9"/>
  <c r="W54" i="9" s="1"/>
  <c r="V39" i="9"/>
  <c r="Q39" i="9"/>
  <c r="P39" i="9"/>
  <c r="O39" i="9"/>
  <c r="N39" i="9"/>
  <c r="M39" i="9"/>
  <c r="L39" i="9"/>
  <c r="K39" i="9"/>
  <c r="K52" i="9" s="1"/>
  <c r="K55" i="9" s="1"/>
  <c r="J39" i="9"/>
  <c r="I39" i="9"/>
  <c r="H39" i="9"/>
  <c r="H52" i="9" s="1"/>
  <c r="G39" i="9"/>
  <c r="F39" i="9"/>
  <c r="E39" i="9"/>
  <c r="AK38" i="9"/>
  <c r="AJ38" i="9"/>
  <c r="AJ39" i="9" s="1"/>
  <c r="AD41" i="7" s="1"/>
  <c r="AI38" i="9"/>
  <c r="AI39" i="9" s="1"/>
  <c r="AB41" i="7" s="1"/>
  <c r="U38" i="9"/>
  <c r="U39" i="9" s="1"/>
  <c r="T38" i="9"/>
  <c r="T39" i="9" s="1"/>
  <c r="S38" i="9"/>
  <c r="S39" i="9" s="1"/>
  <c r="R38" i="9"/>
  <c r="AH32" i="9"/>
  <c r="AG32" i="9"/>
  <c r="AF32" i="9"/>
  <c r="AE32" i="9"/>
  <c r="AD32" i="9"/>
  <c r="AC32" i="9"/>
  <c r="AB32" i="9"/>
  <c r="AA32" i="9"/>
  <c r="Z32" i="9"/>
  <c r="Y32" i="9"/>
  <c r="X32" i="9"/>
  <c r="W32" i="9"/>
  <c r="V32" i="9"/>
  <c r="U32" i="9"/>
  <c r="T32" i="9"/>
  <c r="S32" i="9"/>
  <c r="R32" i="9"/>
  <c r="Q32" i="9"/>
  <c r="P32" i="9"/>
  <c r="O32" i="9"/>
  <c r="N32" i="9"/>
  <c r="M32" i="9"/>
  <c r="L32" i="9"/>
  <c r="K32" i="9"/>
  <c r="J32" i="9"/>
  <c r="I32" i="9"/>
  <c r="H32" i="9"/>
  <c r="G32" i="9"/>
  <c r="F32" i="9"/>
  <c r="E32" i="9"/>
  <c r="AK30" i="9"/>
  <c r="AK32" i="9" s="1"/>
  <c r="AJ30" i="9"/>
  <c r="AJ32" i="9" s="1"/>
  <c r="AI30" i="9"/>
  <c r="AI32" i="9" s="1"/>
  <c r="AH27" i="9"/>
  <c r="AG27" i="9"/>
  <c r="AF27" i="9"/>
  <c r="AF34" i="9" s="1"/>
  <c r="AE27" i="9"/>
  <c r="AD27" i="9"/>
  <c r="AC27" i="9"/>
  <c r="AB27" i="9"/>
  <c r="AA27" i="9"/>
  <c r="AA34" i="9" s="1"/>
  <c r="Z27" i="9"/>
  <c r="Z34" i="9" s="1"/>
  <c r="Y27" i="9"/>
  <c r="X27" i="9"/>
  <c r="W27" i="9"/>
  <c r="W34" i="9" s="1"/>
  <c r="W41" i="9" s="1"/>
  <c r="V27" i="9"/>
  <c r="U27" i="9"/>
  <c r="T27" i="9"/>
  <c r="T34" i="9" s="1"/>
  <c r="S27" i="9"/>
  <c r="S34" i="9" s="1"/>
  <c r="R27" i="9"/>
  <c r="Q27" i="9"/>
  <c r="P27" i="9"/>
  <c r="O27" i="9"/>
  <c r="N27" i="9"/>
  <c r="M27" i="9"/>
  <c r="L27" i="9"/>
  <c r="K27" i="9"/>
  <c r="J27" i="9"/>
  <c r="I27" i="9"/>
  <c r="H27" i="9"/>
  <c r="G27" i="9"/>
  <c r="F27" i="9"/>
  <c r="F34" i="9" s="1"/>
  <c r="E27" i="9"/>
  <c r="AK24" i="9"/>
  <c r="AK27" i="9" s="1"/>
  <c r="AJ24" i="9"/>
  <c r="AI24" i="9"/>
  <c r="AI27" i="9" s="1"/>
  <c r="AK19" i="9"/>
  <c r="AJ19" i="9"/>
  <c r="AI19" i="9"/>
  <c r="Q18" i="9"/>
  <c r="P18" i="9"/>
  <c r="O18" i="9"/>
  <c r="N18" i="9"/>
  <c r="M18" i="9"/>
  <c r="L18" i="9"/>
  <c r="K18" i="9"/>
  <c r="K20" i="9" s="1"/>
  <c r="J18" i="9"/>
  <c r="J20" i="9" s="1"/>
  <c r="I18" i="9"/>
  <c r="H18" i="9"/>
  <c r="G18" i="9"/>
  <c r="G20" i="9" s="1"/>
  <c r="F18" i="9"/>
  <c r="E18" i="9"/>
  <c r="S14" i="9"/>
  <c r="R14" i="9"/>
  <c r="R53" i="9" s="1"/>
  <c r="Q14" i="9"/>
  <c r="P14" i="9"/>
  <c r="O14" i="9"/>
  <c r="N14" i="9"/>
  <c r="M14" i="9"/>
  <c r="L14" i="9"/>
  <c r="K14" i="9"/>
  <c r="J14" i="9"/>
  <c r="I14" i="9"/>
  <c r="H14" i="9"/>
  <c r="G14" i="9"/>
  <c r="F14" i="9"/>
  <c r="E14" i="9"/>
  <c r="AK12" i="9"/>
  <c r="AJ12" i="9"/>
  <c r="AI12" i="9"/>
  <c r="P6" i="9"/>
  <c r="Q6" i="9" s="1"/>
  <c r="R6" i="9" s="1"/>
  <c r="S6" i="9" s="1"/>
  <c r="T6" i="9" s="1"/>
  <c r="U6" i="9" s="1"/>
  <c r="V6" i="9" s="1"/>
  <c r="W6" i="9" s="1"/>
  <c r="X6" i="9" s="1"/>
  <c r="Y6" i="9" s="1"/>
  <c r="Z6" i="9" s="1"/>
  <c r="AA6" i="9" s="1"/>
  <c r="AB6" i="9" s="1"/>
  <c r="AC6" i="9" s="1"/>
  <c r="AD6" i="9" s="1"/>
  <c r="AE6" i="9" s="1"/>
  <c r="AF6" i="9" s="1"/>
  <c r="AG6" i="9" s="1"/>
  <c r="AH6" i="9" s="1"/>
  <c r="AI6" i="9" s="1"/>
  <c r="AJ6" i="9" s="1"/>
  <c r="AK6" i="9" s="1"/>
  <c r="AL6" i="9" s="1"/>
  <c r="AM6" i="9" s="1"/>
  <c r="AN6" i="9" s="1"/>
  <c r="AO6" i="9" s="1"/>
  <c r="AP6" i="9" s="1"/>
  <c r="AQ6" i="9" s="1"/>
  <c r="AR6" i="9" s="1"/>
  <c r="AS6" i="9" s="1"/>
  <c r="N6" i="9"/>
  <c r="M6" i="9" s="1"/>
  <c r="L6" i="9" s="1"/>
  <c r="K6" i="9" s="1"/>
  <c r="J6" i="9" s="1"/>
  <c r="I6" i="9" s="1"/>
  <c r="H6" i="9" s="1"/>
  <c r="G6" i="9" s="1"/>
  <c r="F6" i="9" s="1"/>
  <c r="E6" i="9" s="1"/>
  <c r="AH69" i="10"/>
  <c r="AJ67" i="10"/>
  <c r="AI67" i="10"/>
  <c r="AH67" i="10"/>
  <c r="AG67" i="10"/>
  <c r="AF67" i="10"/>
  <c r="AE67" i="10"/>
  <c r="AD67" i="10"/>
  <c r="AC67" i="10"/>
  <c r="AB67" i="10"/>
  <c r="AJ65" i="10"/>
  <c r="AK65" i="10" s="1"/>
  <c r="AL65" i="10" s="1"/>
  <c r="AM65" i="10"/>
  <c r="AN65" i="10"/>
  <c r="AO65" i="10"/>
  <c r="AG64" i="10"/>
  <c r="AG65" i="10" s="1"/>
  <c r="AC64" i="10"/>
  <c r="AC65" i="10" s="1"/>
  <c r="AI63" i="10"/>
  <c r="AI64" i="10" s="1"/>
  <c r="AI65" i="10" s="1"/>
  <c r="AH63" i="10"/>
  <c r="AH64" i="10"/>
  <c r="AH65" i="10" s="1"/>
  <c r="AG63" i="10"/>
  <c r="AF63" i="10"/>
  <c r="AF64" i="10"/>
  <c r="AF65" i="10"/>
  <c r="AE63" i="10"/>
  <c r="AE64" i="10" s="1"/>
  <c r="AE65" i="10" s="1"/>
  <c r="AD63" i="10"/>
  <c r="AD64" i="10"/>
  <c r="AD65" i="10" s="1"/>
  <c r="AC63" i="10"/>
  <c r="AK66" i="10"/>
  <c r="AL66" i="10"/>
  <c r="AM66" i="10"/>
  <c r="AN66" i="10"/>
  <c r="AO66" i="10" s="1"/>
  <c r="AK64" i="10"/>
  <c r="AL64" i="10" s="1"/>
  <c r="AM64" i="10" s="1"/>
  <c r="AN64" i="10"/>
  <c r="AO64" i="10"/>
  <c r="AL63" i="10"/>
  <c r="AM63" i="10"/>
  <c r="AN63" i="10"/>
  <c r="AO63" i="10"/>
  <c r="AK63" i="10"/>
  <c r="AK62" i="10"/>
  <c r="AL62" i="10"/>
  <c r="AM62" i="10"/>
  <c r="AN62" i="10" s="1"/>
  <c r="AO62" i="10" s="1"/>
  <c r="AJ59" i="10"/>
  <c r="AI59" i="10"/>
  <c r="AH59" i="10"/>
  <c r="AD59" i="10"/>
  <c r="AB59" i="10"/>
  <c r="AA59" i="10"/>
  <c r="AG58" i="10"/>
  <c r="AG59" i="10"/>
  <c r="AF58" i="10"/>
  <c r="AF59" i="10" s="1"/>
  <c r="AE58" i="10"/>
  <c r="AE59" i="10" s="1"/>
  <c r="AD58" i="10"/>
  <c r="AC58" i="10"/>
  <c r="AC59" i="10" s="1"/>
  <c r="AJ57" i="10"/>
  <c r="AI57" i="10"/>
  <c r="AH56" i="10"/>
  <c r="AH57" i="10" s="1"/>
  <c r="AM58" i="10"/>
  <c r="AM59" i="10" s="1"/>
  <c r="AK58" i="10"/>
  <c r="AL58" i="10" s="1"/>
  <c r="AK59" i="10"/>
  <c r="AK57" i="10"/>
  <c r="AL57" i="10" s="1"/>
  <c r="AM57" i="10" s="1"/>
  <c r="AN57" i="10" s="1"/>
  <c r="AO57" i="10" s="1"/>
  <c r="AN56" i="10"/>
  <c r="AO56" i="10"/>
  <c r="AK56" i="10"/>
  <c r="AL56" i="10" s="1"/>
  <c r="AM56" i="10" s="1"/>
  <c r="AK55" i="10"/>
  <c r="AL55" i="10" s="1"/>
  <c r="AM55" i="10" s="1"/>
  <c r="AN55" i="10"/>
  <c r="AO55" i="10"/>
  <c r="AN54" i="10"/>
  <c r="AO54" i="10" s="1"/>
  <c r="AK54" i="10"/>
  <c r="AL54" i="10" s="1"/>
  <c r="AM54" i="10" s="1"/>
  <c r="AK47" i="10"/>
  <c r="AJ47" i="10"/>
  <c r="AI47" i="10"/>
  <c r="AH47" i="10"/>
  <c r="AJ37" i="10"/>
  <c r="AG37" i="10"/>
  <c r="AF37" i="10"/>
  <c r="AE37" i="10"/>
  <c r="AD37" i="10"/>
  <c r="AC37" i="10"/>
  <c r="AB37" i="10"/>
  <c r="AA37" i="10"/>
  <c r="Z37" i="10"/>
  <c r="Y37" i="10"/>
  <c r="X37" i="10"/>
  <c r="W37" i="10"/>
  <c r="V37" i="10"/>
  <c r="U37" i="10"/>
  <c r="T37" i="10"/>
  <c r="S37" i="10"/>
  <c r="AI35" i="10"/>
  <c r="AI37" i="10"/>
  <c r="AH35" i="10"/>
  <c r="AH37" i="10"/>
  <c r="AM32" i="9"/>
  <c r="W26" i="10"/>
  <c r="S26" i="10"/>
  <c r="AJ24" i="10"/>
  <c r="AJ26" i="10" s="1"/>
  <c r="AH24" i="10"/>
  <c r="AH26" i="10"/>
  <c r="AG24" i="10"/>
  <c r="AG26" i="10" s="1"/>
  <c r="AF24" i="10"/>
  <c r="AF26" i="10" s="1"/>
  <c r="AE24" i="10"/>
  <c r="AE26" i="10" s="1"/>
  <c r="AD24" i="10"/>
  <c r="AD26" i="10" s="1"/>
  <c r="AC24" i="10"/>
  <c r="AC26" i="10" s="1"/>
  <c r="AB24" i="10"/>
  <c r="AB26" i="10"/>
  <c r="AA24" i="10"/>
  <c r="AA26" i="10" s="1"/>
  <c r="Z24" i="10"/>
  <c r="Z26" i="10"/>
  <c r="Y24" i="10"/>
  <c r="Y26" i="10" s="1"/>
  <c r="X24" i="10"/>
  <c r="X26" i="10" s="1"/>
  <c r="W24" i="10"/>
  <c r="V24" i="10"/>
  <c r="V26" i="10"/>
  <c r="U24" i="10"/>
  <c r="U26" i="10" s="1"/>
  <c r="T24" i="10"/>
  <c r="T26" i="10"/>
  <c r="S24" i="10"/>
  <c r="AJ23" i="10"/>
  <c r="AI23" i="10"/>
  <c r="AI24" i="10"/>
  <c r="AI26" i="10"/>
  <c r="AH23" i="10"/>
  <c r="AJ12" i="10"/>
  <c r="AI12" i="10"/>
  <c r="AH12" i="10"/>
  <c r="AJ11" i="10"/>
  <c r="AI11" i="10"/>
  <c r="AH11" i="10"/>
  <c r="S6" i="10"/>
  <c r="R6" i="10"/>
  <c r="Q6" i="10"/>
  <c r="P6" i="10"/>
  <c r="O6" i="10"/>
  <c r="N6" i="10"/>
  <c r="M6" i="10" s="1"/>
  <c r="L6" i="10" s="1"/>
  <c r="K6" i="10" s="1"/>
  <c r="J6" i="10" s="1"/>
  <c r="I6" i="10" s="1"/>
  <c r="H6" i="10" s="1"/>
  <c r="G6" i="10" s="1"/>
  <c r="F6" i="10" s="1"/>
  <c r="E6" i="10" s="1"/>
  <c r="I38" i="5"/>
  <c r="H38" i="5"/>
  <c r="G38" i="5"/>
  <c r="F38" i="5"/>
  <c r="E38" i="5"/>
  <c r="D38" i="5"/>
  <c r="C38" i="5"/>
  <c r="I22" i="5"/>
  <c r="H22" i="5"/>
  <c r="H23" i="5" s="1"/>
  <c r="G22" i="5"/>
  <c r="F22" i="5"/>
  <c r="G23" i="5" s="1"/>
  <c r="E22" i="5"/>
  <c r="D22" i="5"/>
  <c r="C22" i="5"/>
  <c r="B22" i="5"/>
  <c r="I18" i="5"/>
  <c r="I19" i="5" s="1"/>
  <c r="H18" i="5"/>
  <c r="G18" i="5"/>
  <c r="F18" i="5"/>
  <c r="E18" i="5"/>
  <c r="D18" i="5"/>
  <c r="C18" i="5"/>
  <c r="C19" i="5" s="1"/>
  <c r="B18" i="5"/>
  <c r="I14" i="5"/>
  <c r="H14" i="5"/>
  <c r="H34" i="5"/>
  <c r="G14" i="5"/>
  <c r="G34" i="5"/>
  <c r="G32" i="4" s="1"/>
  <c r="G42" i="5"/>
  <c r="G43" i="5" s="1"/>
  <c r="F14" i="5"/>
  <c r="F15" i="5" s="1"/>
  <c r="E14" i="5"/>
  <c r="D14" i="5"/>
  <c r="C14" i="5"/>
  <c r="C34" i="5" s="1"/>
  <c r="B14" i="5"/>
  <c r="B34" i="5"/>
  <c r="I12" i="5"/>
  <c r="H12" i="5"/>
  <c r="G12" i="5"/>
  <c r="F12" i="5"/>
  <c r="E12" i="5"/>
  <c r="D12" i="5"/>
  <c r="C12" i="5"/>
  <c r="I8" i="5"/>
  <c r="H8" i="5"/>
  <c r="G8" i="5"/>
  <c r="F8" i="5"/>
  <c r="E8" i="5"/>
  <c r="D8" i="5"/>
  <c r="C8" i="5"/>
  <c r="AM9" i="5"/>
  <c r="Y5" i="5"/>
  <c r="Z5" i="5" s="1"/>
  <c r="S5" i="5"/>
  <c r="R5" i="5" s="1"/>
  <c r="AM76" i="4"/>
  <c r="AM79" i="4" s="1"/>
  <c r="AL76" i="4"/>
  <c r="AL77" i="4" s="1"/>
  <c r="AK76" i="4"/>
  <c r="AK77" i="4" s="1"/>
  <c r="AJ76" i="4"/>
  <c r="AI76" i="4"/>
  <c r="AI79" i="4" s="1"/>
  <c r="AH76" i="4"/>
  <c r="AH79" i="4" s="1"/>
  <c r="P76" i="4"/>
  <c r="AA72" i="4"/>
  <c r="AA70" i="4" s="1"/>
  <c r="AF72" i="4"/>
  <c r="AE72" i="4"/>
  <c r="AD72" i="4"/>
  <c r="AC72" i="4"/>
  <c r="AB72" i="4"/>
  <c r="P64" i="4"/>
  <c r="AA60" i="4"/>
  <c r="AA58" i="4" s="1"/>
  <c r="AF60" i="4"/>
  <c r="AE60" i="4"/>
  <c r="AD60" i="4"/>
  <c r="AC60" i="4"/>
  <c r="AB60" i="4"/>
  <c r="P52" i="4"/>
  <c r="O49" i="4"/>
  <c r="N49" i="4"/>
  <c r="M49" i="4"/>
  <c r="L49" i="4"/>
  <c r="K49" i="4"/>
  <c r="J49" i="4"/>
  <c r="I49" i="4"/>
  <c r="H49" i="4"/>
  <c r="G49" i="4"/>
  <c r="F49" i="4"/>
  <c r="E49" i="4"/>
  <c r="D49" i="4"/>
  <c r="C49" i="4"/>
  <c r="AH48" i="4"/>
  <c r="FQ72" i="11" s="1"/>
  <c r="FQ83" i="11" s="1"/>
  <c r="AG48" i="4"/>
  <c r="O46" i="4"/>
  <c r="N46" i="4"/>
  <c r="O47" i="4" s="1"/>
  <c r="M46" i="4"/>
  <c r="M47" i="4" s="1"/>
  <c r="L46" i="4"/>
  <c r="K46" i="4"/>
  <c r="K47" i="4" s="1"/>
  <c r="J46" i="4"/>
  <c r="J47" i="4" s="1"/>
  <c r="I46" i="4"/>
  <c r="I47" i="4"/>
  <c r="H46" i="4"/>
  <c r="G46" i="4"/>
  <c r="F46" i="4"/>
  <c r="G47" i="4" s="1"/>
  <c r="E46" i="4"/>
  <c r="E47" i="4" s="1"/>
  <c r="D46" i="4"/>
  <c r="D47" i="4"/>
  <c r="C46" i="4"/>
  <c r="K43" i="4"/>
  <c r="O42" i="4"/>
  <c r="AF41" i="4"/>
  <c r="O40" i="4"/>
  <c r="D41" i="4"/>
  <c r="N40" i="4"/>
  <c r="N41" i="4" s="1"/>
  <c r="N43" i="4"/>
  <c r="M40" i="4"/>
  <c r="M43" i="4"/>
  <c r="L40" i="4"/>
  <c r="L41" i="4" s="1"/>
  <c r="L43" i="4"/>
  <c r="K40" i="4"/>
  <c r="K41" i="4" s="1"/>
  <c r="J40" i="4"/>
  <c r="I40" i="4"/>
  <c r="I43" i="4"/>
  <c r="H40" i="4"/>
  <c r="G40" i="4"/>
  <c r="G43" i="4"/>
  <c r="F40" i="4"/>
  <c r="F43" i="4" s="1"/>
  <c r="E40" i="4"/>
  <c r="E43" i="4" s="1"/>
  <c r="D40" i="4"/>
  <c r="D43" i="4" s="1"/>
  <c r="C40" i="4"/>
  <c r="C43" i="4" s="1"/>
  <c r="C41" i="4"/>
  <c r="H32" i="4"/>
  <c r="AG30" i="4"/>
  <c r="I26" i="4"/>
  <c r="H26" i="4"/>
  <c r="G26" i="4"/>
  <c r="F26" i="4"/>
  <c r="E26" i="4"/>
  <c r="D26" i="4"/>
  <c r="C26" i="4"/>
  <c r="B26" i="4"/>
  <c r="M20" i="4"/>
  <c r="EV74" i="11" s="1"/>
  <c r="I20" i="4"/>
  <c r="E20" i="4"/>
  <c r="E21" i="4" s="1"/>
  <c r="M14" i="4"/>
  <c r="I14" i="4"/>
  <c r="E14" i="4"/>
  <c r="D14" i="4"/>
  <c r="B14" i="4"/>
  <c r="I11" i="4"/>
  <c r="I12" i="4" s="1"/>
  <c r="H11" i="4"/>
  <c r="G11" i="4"/>
  <c r="G33" i="4" s="1"/>
  <c r="F11" i="4"/>
  <c r="E11" i="4"/>
  <c r="E23" i="4" s="1"/>
  <c r="D11" i="4"/>
  <c r="C11" i="4"/>
  <c r="C23" i="4" s="1"/>
  <c r="B11" i="4"/>
  <c r="Y5" i="4"/>
  <c r="X5" i="4"/>
  <c r="W5" i="4"/>
  <c r="V5" i="4"/>
  <c r="U5" i="4"/>
  <c r="T5" i="4"/>
  <c r="S5" i="4"/>
  <c r="S48" i="4" s="1"/>
  <c r="J258" i="54"/>
  <c r="J257" i="54"/>
  <c r="J256" i="54"/>
  <c r="J253" i="54"/>
  <c r="J252" i="54"/>
  <c r="J251" i="54"/>
  <c r="J250" i="54"/>
  <c r="J246" i="54"/>
  <c r="J245" i="54"/>
  <c r="J244" i="54"/>
  <c r="C244" i="54"/>
  <c r="I241" i="54"/>
  <c r="AF48" i="4" s="1"/>
  <c r="FO72" i="11" s="1"/>
  <c r="S43" i="67" s="1"/>
  <c r="S45" i="67" s="1"/>
  <c r="F241" i="54"/>
  <c r="D241" i="54"/>
  <c r="J240" i="54"/>
  <c r="J239" i="54"/>
  <c r="J238" i="54"/>
  <c r="E238" i="54"/>
  <c r="E239" i="54" s="1"/>
  <c r="C238" i="54"/>
  <c r="I235" i="54"/>
  <c r="F235" i="54"/>
  <c r="D235" i="54"/>
  <c r="J234" i="54"/>
  <c r="J233" i="54"/>
  <c r="J232" i="54"/>
  <c r="C234" i="54"/>
  <c r="C233" i="54"/>
  <c r="C232" i="54"/>
  <c r="I229" i="54"/>
  <c r="J229" i="54" s="1"/>
  <c r="F229" i="54"/>
  <c r="D229" i="54"/>
  <c r="J228" i="54"/>
  <c r="J227" i="54"/>
  <c r="J226" i="54"/>
  <c r="C228" i="54"/>
  <c r="C227" i="54"/>
  <c r="C226" i="54"/>
  <c r="E226" i="54" s="1"/>
  <c r="J223" i="54"/>
  <c r="J222" i="54"/>
  <c r="J221" i="54"/>
  <c r="J220" i="54"/>
  <c r="F223" i="54"/>
  <c r="D223" i="54"/>
  <c r="C222" i="54"/>
  <c r="C221" i="54"/>
  <c r="C220" i="54"/>
  <c r="E220" i="54" s="1"/>
  <c r="J217" i="54"/>
  <c r="J216" i="54"/>
  <c r="J215" i="54"/>
  <c r="J214" i="54"/>
  <c r="F217" i="54"/>
  <c r="D217" i="54"/>
  <c r="C216" i="54"/>
  <c r="E216" i="54" s="1"/>
  <c r="C215" i="54"/>
  <c r="E215" i="54" s="1"/>
  <c r="C214" i="54"/>
  <c r="E214" i="54" s="1"/>
  <c r="J211" i="54"/>
  <c r="J210" i="54"/>
  <c r="J209" i="54"/>
  <c r="J208" i="54"/>
  <c r="J205" i="54"/>
  <c r="J204" i="54"/>
  <c r="J203" i="54"/>
  <c r="J202" i="54"/>
  <c r="J199" i="54"/>
  <c r="J198" i="54"/>
  <c r="J197" i="54"/>
  <c r="J196" i="54"/>
  <c r="J193" i="54"/>
  <c r="J192" i="54"/>
  <c r="J191" i="54"/>
  <c r="J190" i="54"/>
  <c r="J187" i="54"/>
  <c r="J186" i="54"/>
  <c r="J185" i="54"/>
  <c r="J184" i="54"/>
  <c r="J181" i="54"/>
  <c r="J180" i="54"/>
  <c r="J179" i="54"/>
  <c r="J178" i="54"/>
  <c r="J175" i="54"/>
  <c r="J174" i="54"/>
  <c r="J173" i="54"/>
  <c r="J172" i="54"/>
  <c r="J169" i="54"/>
  <c r="J168" i="54"/>
  <c r="J167" i="54"/>
  <c r="J166" i="54"/>
  <c r="J163" i="54"/>
  <c r="J162" i="54"/>
  <c r="J161" i="54"/>
  <c r="J160" i="54"/>
  <c r="B159" i="54"/>
  <c r="B165" i="54" s="1"/>
  <c r="J157" i="54"/>
  <c r="J156" i="54"/>
  <c r="J155" i="54"/>
  <c r="J154" i="54"/>
  <c r="J151" i="54"/>
  <c r="R127" i="54"/>
  <c r="R126" i="54"/>
  <c r="R125" i="54"/>
  <c r="R124" i="54"/>
  <c r="R121" i="54"/>
  <c r="R120" i="54"/>
  <c r="R119" i="54"/>
  <c r="R118" i="54"/>
  <c r="C118" i="54"/>
  <c r="R115" i="54"/>
  <c r="R114" i="54"/>
  <c r="R113" i="54"/>
  <c r="R112" i="54"/>
  <c r="P113" i="54"/>
  <c r="P112" i="54"/>
  <c r="N115" i="54"/>
  <c r="N114" i="54"/>
  <c r="N113" i="54"/>
  <c r="N112" i="54"/>
  <c r="E115" i="54"/>
  <c r="E118" i="54" s="1"/>
  <c r="P115" i="54"/>
  <c r="D115" i="54"/>
  <c r="F114" i="54"/>
  <c r="E114" i="54"/>
  <c r="P114" i="54"/>
  <c r="D114" i="54"/>
  <c r="F113" i="54"/>
  <c r="F112" i="54"/>
  <c r="D113" i="54"/>
  <c r="D112" i="54"/>
  <c r="I115" i="54"/>
  <c r="I114" i="54"/>
  <c r="I113" i="54"/>
  <c r="I112" i="54"/>
  <c r="R109" i="54"/>
  <c r="R108" i="54"/>
  <c r="R107" i="54"/>
  <c r="R106" i="54"/>
  <c r="P109" i="54"/>
  <c r="P108" i="54"/>
  <c r="P107" i="54"/>
  <c r="P106" i="54"/>
  <c r="N109" i="54"/>
  <c r="N108" i="54"/>
  <c r="N107" i="54"/>
  <c r="N106" i="54"/>
  <c r="F109" i="54"/>
  <c r="F108" i="54"/>
  <c r="F107" i="54"/>
  <c r="F106" i="54"/>
  <c r="D109" i="54"/>
  <c r="D108" i="54"/>
  <c r="D107" i="54"/>
  <c r="D106" i="54"/>
  <c r="I109" i="54"/>
  <c r="I108" i="54"/>
  <c r="I107" i="54"/>
  <c r="I106" i="54"/>
  <c r="R103" i="54"/>
  <c r="R102" i="54"/>
  <c r="R101" i="54"/>
  <c r="R100" i="54"/>
  <c r="P103" i="54"/>
  <c r="P102" i="54"/>
  <c r="P101" i="54"/>
  <c r="P100" i="54"/>
  <c r="N103" i="54"/>
  <c r="N102" i="54"/>
  <c r="N101" i="54"/>
  <c r="N100" i="54"/>
  <c r="F103" i="54"/>
  <c r="F102" i="54"/>
  <c r="F101" i="54"/>
  <c r="F100" i="54"/>
  <c r="D103" i="54"/>
  <c r="D102" i="54"/>
  <c r="D101" i="54"/>
  <c r="D100" i="54"/>
  <c r="I103" i="54"/>
  <c r="T106" i="54" s="1"/>
  <c r="I102" i="54"/>
  <c r="I101" i="54"/>
  <c r="T101" i="54" s="1"/>
  <c r="I100" i="54"/>
  <c r="R97" i="54"/>
  <c r="R96" i="54"/>
  <c r="R95" i="54"/>
  <c r="R94" i="54"/>
  <c r="P97" i="54"/>
  <c r="P96" i="54"/>
  <c r="P95" i="54"/>
  <c r="P94" i="54"/>
  <c r="N97" i="54"/>
  <c r="N96" i="54"/>
  <c r="N95" i="54"/>
  <c r="N94" i="54"/>
  <c r="F97" i="54"/>
  <c r="F96" i="54"/>
  <c r="F95" i="54"/>
  <c r="F94" i="54"/>
  <c r="D97" i="54"/>
  <c r="D96" i="54"/>
  <c r="D95" i="54"/>
  <c r="D94" i="54"/>
  <c r="I97" i="54"/>
  <c r="I96" i="54"/>
  <c r="I95" i="54"/>
  <c r="I94" i="54"/>
  <c r="R91" i="54"/>
  <c r="R90" i="54"/>
  <c r="R89" i="54"/>
  <c r="R88" i="54"/>
  <c r="P91" i="54"/>
  <c r="P90" i="54"/>
  <c r="P89" i="54"/>
  <c r="P88" i="54"/>
  <c r="N91" i="54"/>
  <c r="N90" i="54"/>
  <c r="N89" i="54"/>
  <c r="N88" i="54"/>
  <c r="F91" i="54"/>
  <c r="F90" i="54"/>
  <c r="F89" i="54"/>
  <c r="F88" i="54"/>
  <c r="D91" i="54"/>
  <c r="D90" i="54"/>
  <c r="D89" i="54"/>
  <c r="D88" i="54"/>
  <c r="I91" i="54"/>
  <c r="I90" i="54"/>
  <c r="I89" i="54"/>
  <c r="I88" i="54"/>
  <c r="R85" i="54"/>
  <c r="R84" i="54"/>
  <c r="R83" i="54"/>
  <c r="R82" i="54"/>
  <c r="P85" i="54"/>
  <c r="P84" i="54"/>
  <c r="P83" i="54"/>
  <c r="P82" i="54"/>
  <c r="N85" i="54"/>
  <c r="N84" i="54"/>
  <c r="N83" i="54"/>
  <c r="N82" i="54"/>
  <c r="F85" i="54"/>
  <c r="F84" i="54"/>
  <c r="F83" i="54"/>
  <c r="F82" i="54"/>
  <c r="D85" i="54"/>
  <c r="D84" i="54"/>
  <c r="D83" i="54"/>
  <c r="D82" i="54"/>
  <c r="I85" i="54"/>
  <c r="I84" i="54"/>
  <c r="I83" i="54"/>
  <c r="I82" i="54"/>
  <c r="R79" i="54"/>
  <c r="R78" i="54"/>
  <c r="R77" i="54"/>
  <c r="R76" i="54"/>
  <c r="P79" i="54"/>
  <c r="P78" i="54"/>
  <c r="P77" i="54"/>
  <c r="P76" i="54"/>
  <c r="N79" i="54"/>
  <c r="N78" i="54"/>
  <c r="N77" i="54"/>
  <c r="N76" i="54"/>
  <c r="F79" i="54"/>
  <c r="F78" i="54"/>
  <c r="F77" i="54"/>
  <c r="F76" i="54"/>
  <c r="D79" i="54"/>
  <c r="D78" i="54"/>
  <c r="D77" i="54"/>
  <c r="D76" i="54"/>
  <c r="I79" i="54"/>
  <c r="J85" i="54" s="1"/>
  <c r="I78" i="54"/>
  <c r="I77" i="54"/>
  <c r="I76" i="54"/>
  <c r="R73" i="54"/>
  <c r="R72" i="54"/>
  <c r="R71" i="54"/>
  <c r="R70" i="54"/>
  <c r="P73" i="54"/>
  <c r="P72" i="54"/>
  <c r="P71" i="54"/>
  <c r="P70" i="54"/>
  <c r="N73" i="54"/>
  <c r="N72" i="54"/>
  <c r="N71" i="54"/>
  <c r="N70" i="54"/>
  <c r="F73" i="54"/>
  <c r="F72" i="54"/>
  <c r="F71" i="54"/>
  <c r="F70" i="54"/>
  <c r="D73" i="54"/>
  <c r="D72" i="54"/>
  <c r="D71" i="54"/>
  <c r="D70" i="54"/>
  <c r="H71" i="54"/>
  <c r="H70" i="54"/>
  <c r="I73" i="54"/>
  <c r="I72" i="54"/>
  <c r="T72" i="54" s="1"/>
  <c r="I71" i="54"/>
  <c r="I70" i="54"/>
  <c r="R67" i="54"/>
  <c r="R66" i="54"/>
  <c r="R65" i="54"/>
  <c r="R64" i="54"/>
  <c r="P67" i="54"/>
  <c r="P66" i="54"/>
  <c r="P65" i="54"/>
  <c r="P64" i="54"/>
  <c r="N67" i="54"/>
  <c r="N66" i="54"/>
  <c r="N65" i="54"/>
  <c r="N64" i="54"/>
  <c r="F67" i="54"/>
  <c r="F66" i="54"/>
  <c r="F65" i="54"/>
  <c r="F64" i="54"/>
  <c r="D67" i="54"/>
  <c r="D66" i="54"/>
  <c r="D65" i="54"/>
  <c r="D64" i="54"/>
  <c r="I67" i="54"/>
  <c r="J73" i="54" s="1"/>
  <c r="H67" i="54"/>
  <c r="I66" i="54"/>
  <c r="H66" i="54"/>
  <c r="I65" i="54"/>
  <c r="H65" i="54"/>
  <c r="I64" i="54"/>
  <c r="H64" i="54"/>
  <c r="R61" i="54"/>
  <c r="R60" i="54"/>
  <c r="R59" i="54"/>
  <c r="R58" i="54"/>
  <c r="P61" i="54"/>
  <c r="P60" i="54"/>
  <c r="P59" i="54"/>
  <c r="P58" i="54"/>
  <c r="N61" i="54"/>
  <c r="N60" i="54"/>
  <c r="N59" i="54"/>
  <c r="N58" i="54"/>
  <c r="F61" i="54"/>
  <c r="F60" i="54"/>
  <c r="F59" i="54"/>
  <c r="F58" i="54"/>
  <c r="D61" i="54"/>
  <c r="D60" i="54"/>
  <c r="D59" i="54"/>
  <c r="D58" i="54"/>
  <c r="I61" i="54"/>
  <c r="H61" i="54"/>
  <c r="I60" i="54"/>
  <c r="H60" i="54"/>
  <c r="I59" i="54"/>
  <c r="H59" i="54"/>
  <c r="I58" i="54"/>
  <c r="J64" i="54" s="1"/>
  <c r="H58" i="54"/>
  <c r="R55" i="54"/>
  <c r="R54" i="54"/>
  <c r="R53" i="54"/>
  <c r="R52" i="54"/>
  <c r="P55" i="54"/>
  <c r="P54" i="54"/>
  <c r="P53" i="54"/>
  <c r="P52" i="54"/>
  <c r="N55" i="54"/>
  <c r="N54" i="54"/>
  <c r="N53" i="54"/>
  <c r="N52" i="54"/>
  <c r="F55" i="54"/>
  <c r="F54" i="54"/>
  <c r="F53" i="54"/>
  <c r="F52" i="54"/>
  <c r="D55" i="54"/>
  <c r="D54" i="54"/>
  <c r="D53" i="54"/>
  <c r="D52" i="54"/>
  <c r="I55" i="54"/>
  <c r="H55" i="54"/>
  <c r="I54" i="54"/>
  <c r="H54" i="54"/>
  <c r="I53" i="54"/>
  <c r="H53" i="54"/>
  <c r="I52" i="54"/>
  <c r="H52" i="54"/>
  <c r="R49" i="54"/>
  <c r="R48" i="54"/>
  <c r="R47" i="54"/>
  <c r="R46" i="54"/>
  <c r="P49" i="54"/>
  <c r="P48" i="54"/>
  <c r="P47" i="54"/>
  <c r="P46" i="54"/>
  <c r="N49" i="54"/>
  <c r="N48" i="54"/>
  <c r="N47" i="54"/>
  <c r="N46" i="54"/>
  <c r="F49" i="54"/>
  <c r="F48" i="54"/>
  <c r="F47" i="54"/>
  <c r="F46" i="54"/>
  <c r="D49" i="54"/>
  <c r="D48" i="54"/>
  <c r="D47" i="54"/>
  <c r="D46" i="54"/>
  <c r="I49" i="54"/>
  <c r="H49" i="54"/>
  <c r="I48" i="54"/>
  <c r="H48" i="54"/>
  <c r="I47" i="54"/>
  <c r="H47" i="54"/>
  <c r="I46" i="54"/>
  <c r="H46" i="54"/>
  <c r="R43" i="54"/>
  <c r="R42" i="54"/>
  <c r="R41" i="54"/>
  <c r="R40" i="54"/>
  <c r="P43" i="54"/>
  <c r="P42" i="54"/>
  <c r="P41" i="54"/>
  <c r="P40" i="54"/>
  <c r="N43" i="54"/>
  <c r="N42" i="54"/>
  <c r="N41" i="54"/>
  <c r="N40" i="54"/>
  <c r="F43" i="54"/>
  <c r="F42" i="54"/>
  <c r="F41" i="54"/>
  <c r="F40" i="54"/>
  <c r="D43" i="54"/>
  <c r="D42" i="54"/>
  <c r="D41" i="54"/>
  <c r="D40" i="54"/>
  <c r="I43" i="54"/>
  <c r="H43" i="54"/>
  <c r="I42" i="54"/>
  <c r="J48" i="54" s="1"/>
  <c r="H42" i="54"/>
  <c r="I41" i="54"/>
  <c r="H41" i="54"/>
  <c r="I40" i="54"/>
  <c r="H40" i="54"/>
  <c r="R37" i="54"/>
  <c r="R36" i="54"/>
  <c r="R35" i="54"/>
  <c r="R34" i="54"/>
  <c r="P37" i="54"/>
  <c r="P36" i="54"/>
  <c r="P35" i="54"/>
  <c r="P34" i="54"/>
  <c r="N37" i="54"/>
  <c r="N36" i="54"/>
  <c r="N35" i="54"/>
  <c r="N34" i="54"/>
  <c r="F37" i="54"/>
  <c r="F36" i="54"/>
  <c r="F35" i="54"/>
  <c r="F34" i="54"/>
  <c r="D37" i="54"/>
  <c r="D36" i="54"/>
  <c r="D35" i="54"/>
  <c r="D34" i="54"/>
  <c r="I37" i="54"/>
  <c r="H37" i="54"/>
  <c r="I36" i="54"/>
  <c r="H36" i="54"/>
  <c r="I35" i="54"/>
  <c r="H35" i="54"/>
  <c r="I34" i="54"/>
  <c r="H34" i="54"/>
  <c r="R31" i="54"/>
  <c r="R30" i="54"/>
  <c r="R29" i="54"/>
  <c r="R28" i="54"/>
  <c r="P31" i="54"/>
  <c r="P30" i="54"/>
  <c r="P29" i="54"/>
  <c r="P28" i="54"/>
  <c r="N31" i="54"/>
  <c r="N30" i="54"/>
  <c r="N29" i="54"/>
  <c r="N28" i="54"/>
  <c r="F31" i="54"/>
  <c r="F30" i="54"/>
  <c r="F29" i="54"/>
  <c r="F28" i="54"/>
  <c r="D31" i="54"/>
  <c r="D30" i="54"/>
  <c r="D29" i="54"/>
  <c r="D28" i="54"/>
  <c r="I31" i="54"/>
  <c r="H31" i="54"/>
  <c r="I30" i="54"/>
  <c r="H30" i="54"/>
  <c r="I29" i="54"/>
  <c r="H29" i="54"/>
  <c r="I28" i="54"/>
  <c r="H28" i="54"/>
  <c r="R25" i="54"/>
  <c r="R24" i="54"/>
  <c r="R23" i="54"/>
  <c r="R22" i="54"/>
  <c r="P25" i="54"/>
  <c r="P24" i="54"/>
  <c r="P23" i="54"/>
  <c r="P22" i="54"/>
  <c r="N25" i="54"/>
  <c r="N24" i="54"/>
  <c r="N23" i="54"/>
  <c r="N22" i="54"/>
  <c r="F25" i="54"/>
  <c r="F24" i="54"/>
  <c r="F23" i="54"/>
  <c r="F22" i="54"/>
  <c r="D25" i="54"/>
  <c r="D24" i="54"/>
  <c r="D23" i="54"/>
  <c r="D22" i="54"/>
  <c r="I25" i="54"/>
  <c r="T28" i="54" s="1"/>
  <c r="H25" i="54"/>
  <c r="I24" i="54"/>
  <c r="H24" i="54"/>
  <c r="I23" i="54"/>
  <c r="H23" i="54"/>
  <c r="I22" i="54"/>
  <c r="H22" i="54"/>
  <c r="M21" i="54"/>
  <c r="M27" i="54" s="1"/>
  <c r="M33" i="54" s="1"/>
  <c r="M39" i="54" s="1"/>
  <c r="M45" i="54" s="1"/>
  <c r="M51" i="54" s="1"/>
  <c r="M57" i="54" s="1"/>
  <c r="M63" i="54" s="1"/>
  <c r="M69" i="54" s="1"/>
  <c r="M75" i="54" s="1"/>
  <c r="M81" i="54" s="1"/>
  <c r="M87" i="54" s="1"/>
  <c r="M93" i="54" s="1"/>
  <c r="M99" i="54" s="1"/>
  <c r="M105" i="54" s="1"/>
  <c r="M111" i="54" s="1"/>
  <c r="M117" i="54" s="1"/>
  <c r="M123" i="54" s="1"/>
  <c r="M129" i="54" s="1"/>
  <c r="B21" i="54"/>
  <c r="B27" i="54" s="1"/>
  <c r="R19" i="54"/>
  <c r="R18" i="54"/>
  <c r="R17" i="54"/>
  <c r="R16" i="54"/>
  <c r="P19" i="54"/>
  <c r="P18" i="54"/>
  <c r="P17" i="54"/>
  <c r="P16" i="54"/>
  <c r="N19" i="54"/>
  <c r="N18" i="54"/>
  <c r="N17" i="54"/>
  <c r="N16" i="54"/>
  <c r="F19" i="54"/>
  <c r="F18" i="54"/>
  <c r="F17" i="54"/>
  <c r="F16" i="54"/>
  <c r="D19" i="54"/>
  <c r="D18" i="54"/>
  <c r="D17" i="54"/>
  <c r="D16" i="54"/>
  <c r="I19" i="54"/>
  <c r="H19" i="54"/>
  <c r="I18" i="54"/>
  <c r="H18" i="54"/>
  <c r="I17" i="54"/>
  <c r="H17" i="54"/>
  <c r="I16" i="54"/>
  <c r="H16" i="54"/>
  <c r="R13" i="54"/>
  <c r="R12" i="54"/>
  <c r="R11" i="54"/>
  <c r="R10" i="54"/>
  <c r="P13" i="54"/>
  <c r="P12" i="54"/>
  <c r="P11" i="54"/>
  <c r="P10" i="54"/>
  <c r="N13" i="54"/>
  <c r="N12" i="54"/>
  <c r="N11" i="54"/>
  <c r="N10" i="54"/>
  <c r="I13" i="54"/>
  <c r="H13" i="54"/>
  <c r="F13" i="54"/>
  <c r="D13" i="54"/>
  <c r="I12" i="54"/>
  <c r="I11" i="54"/>
  <c r="I10" i="54"/>
  <c r="I7" i="54"/>
  <c r="P4" i="54"/>
  <c r="N4" i="54"/>
  <c r="R140" i="3"/>
  <c r="R139" i="3"/>
  <c r="C146" i="3" s="1"/>
  <c r="G146" i="3" s="1"/>
  <c r="R138" i="3"/>
  <c r="C145" i="3" s="1"/>
  <c r="G145" i="3" s="1"/>
  <c r="Z140" i="3"/>
  <c r="AB138" i="8" s="1"/>
  <c r="Z139" i="3"/>
  <c r="AB137" i="8" s="1"/>
  <c r="Z138" i="3"/>
  <c r="AB136" i="8" s="1"/>
  <c r="E140" i="3"/>
  <c r="E139" i="3"/>
  <c r="E138" i="3"/>
  <c r="E134" i="3"/>
  <c r="E133" i="3"/>
  <c r="E132" i="3"/>
  <c r="E131" i="3"/>
  <c r="R134" i="3"/>
  <c r="R133" i="3"/>
  <c r="R132" i="3"/>
  <c r="C132" i="3" s="1"/>
  <c r="R131" i="3"/>
  <c r="C131" i="3" s="1"/>
  <c r="E129" i="3"/>
  <c r="R128" i="3"/>
  <c r="A25" i="3"/>
  <c r="X19" i="3"/>
  <c r="X12" i="3"/>
  <c r="CG188" i="1"/>
  <c r="CG178" i="1"/>
  <c r="CG168" i="1"/>
  <c r="CG158" i="1"/>
  <c r="DD156" i="1"/>
  <c r="DD155" i="1"/>
  <c r="CB156" i="1"/>
  <c r="CB155" i="1"/>
  <c r="BX156" i="1"/>
  <c r="BX155" i="1"/>
  <c r="BT156" i="1"/>
  <c r="BT155" i="1"/>
  <c r="BP156" i="1"/>
  <c r="BP155" i="1"/>
  <c r="BL156" i="1"/>
  <c r="BL155" i="1"/>
  <c r="BH156" i="1"/>
  <c r="BH155" i="1"/>
  <c r="BD156" i="1"/>
  <c r="BD155" i="1"/>
  <c r="AZ156" i="1"/>
  <c r="AV156" i="1"/>
  <c r="AV155" i="1"/>
  <c r="AR155" i="1"/>
  <c r="AN156" i="1"/>
  <c r="AN155" i="1"/>
  <c r="AJ156" i="1"/>
  <c r="AJ155" i="1"/>
  <c r="AF156" i="1"/>
  <c r="AF155" i="1"/>
  <c r="AB156" i="1"/>
  <c r="AB155" i="1"/>
  <c r="X156" i="1"/>
  <c r="X155" i="1"/>
  <c r="T156" i="1"/>
  <c r="T155" i="1"/>
  <c r="P156" i="1"/>
  <c r="P155" i="1"/>
  <c r="L155" i="1"/>
  <c r="L154" i="1"/>
  <c r="L153" i="1"/>
  <c r="L156" i="1" s="1"/>
  <c r="H156" i="1"/>
  <c r="H155" i="1"/>
  <c r="D156" i="1"/>
  <c r="D155" i="1"/>
  <c r="AR153" i="1"/>
  <c r="AR156" i="1" s="1"/>
  <c r="AZ151" i="1"/>
  <c r="AZ155" i="1" s="1"/>
  <c r="CG148" i="1"/>
  <c r="CG138" i="1"/>
  <c r="DD136" i="1"/>
  <c r="DD135" i="1"/>
  <c r="CZ136" i="1"/>
  <c r="CZ135" i="1"/>
  <c r="CV136" i="1"/>
  <c r="CV135" i="1"/>
  <c r="CR136" i="1"/>
  <c r="CR135" i="1"/>
  <c r="CN136" i="1"/>
  <c r="CN135" i="1"/>
  <c r="CJ136" i="1"/>
  <c r="CJ135" i="1"/>
  <c r="CF136" i="1"/>
  <c r="CF135" i="1"/>
  <c r="CB136" i="1"/>
  <c r="CB135" i="1"/>
  <c r="BX136" i="1"/>
  <c r="BX135" i="1"/>
  <c r="BT136" i="1"/>
  <c r="BT135" i="1"/>
  <c r="BP136" i="1"/>
  <c r="BP135" i="1"/>
  <c r="BL136" i="1"/>
  <c r="BL135" i="1"/>
  <c r="BH136" i="1"/>
  <c r="BH135" i="1"/>
  <c r="BD136" i="1"/>
  <c r="BD135" i="1"/>
  <c r="AZ136" i="1"/>
  <c r="AZ135" i="1"/>
  <c r="AV136" i="1"/>
  <c r="AV135" i="1"/>
  <c r="AR136" i="1"/>
  <c r="AR135" i="1"/>
  <c r="AN136" i="1"/>
  <c r="AN135" i="1"/>
  <c r="AJ136" i="1"/>
  <c r="AJ135" i="1"/>
  <c r="AF136" i="1"/>
  <c r="AF135" i="1"/>
  <c r="AB136" i="1"/>
  <c r="AB135" i="1"/>
  <c r="X136" i="1"/>
  <c r="X135" i="1"/>
  <c r="T136" i="1"/>
  <c r="T135" i="1"/>
  <c r="P136" i="1"/>
  <c r="P135" i="1"/>
  <c r="L136" i="1"/>
  <c r="L135" i="1"/>
  <c r="H136" i="1"/>
  <c r="H135" i="1"/>
  <c r="D136" i="1"/>
  <c r="D135" i="1"/>
  <c r="CG128" i="1"/>
  <c r="CJ126" i="1"/>
  <c r="CJ125" i="1"/>
  <c r="CF126" i="1"/>
  <c r="CF125" i="1"/>
  <c r="CB126" i="1"/>
  <c r="CB125" i="1"/>
  <c r="BX126" i="1"/>
  <c r="BX125" i="1"/>
  <c r="BT126" i="1"/>
  <c r="BT125" i="1"/>
  <c r="BZ125" i="1" s="1"/>
  <c r="BP126" i="1"/>
  <c r="BP125" i="1"/>
  <c r="BL126" i="1"/>
  <c r="BL125" i="1"/>
  <c r="BH126" i="1"/>
  <c r="BH125" i="1"/>
  <c r="BD126" i="1"/>
  <c r="BD125" i="1"/>
  <c r="AZ126" i="1"/>
  <c r="AZ125" i="1"/>
  <c r="AV126" i="1"/>
  <c r="AV125" i="1"/>
  <c r="AR126" i="1"/>
  <c r="AR125" i="1"/>
  <c r="AN126" i="1"/>
  <c r="AN125" i="1"/>
  <c r="AJ126" i="1"/>
  <c r="AJ125" i="1"/>
  <c r="AF126" i="1"/>
  <c r="AF125" i="1"/>
  <c r="AB126" i="1"/>
  <c r="AB125" i="1"/>
  <c r="X126" i="1"/>
  <c r="X125" i="1"/>
  <c r="T126" i="1"/>
  <c r="T125" i="1"/>
  <c r="P126" i="1"/>
  <c r="P125" i="1"/>
  <c r="L126" i="1"/>
  <c r="L125" i="1"/>
  <c r="H126" i="1"/>
  <c r="H125" i="1"/>
  <c r="D126" i="1"/>
  <c r="D125" i="1"/>
  <c r="CV126" i="1"/>
  <c r="CV125" i="1"/>
  <c r="CV124" i="1"/>
  <c r="CR126" i="1"/>
  <c r="CR125" i="1"/>
  <c r="CR124" i="1"/>
  <c r="CN126" i="1"/>
  <c r="CN125" i="1"/>
  <c r="CP125" i="1" s="1"/>
  <c r="CN124" i="1"/>
  <c r="CP124" i="1" s="1"/>
  <c r="DB122" i="1"/>
  <c r="DB120" i="1"/>
  <c r="CZ121" i="1"/>
  <c r="CX123" i="1"/>
  <c r="CX122" i="1"/>
  <c r="CX121" i="1"/>
  <c r="CX120" i="1"/>
  <c r="CT123" i="1"/>
  <c r="CT122" i="1"/>
  <c r="CT121" i="1"/>
  <c r="CT120" i="1"/>
  <c r="CP123" i="1"/>
  <c r="CP122" i="1"/>
  <c r="CP121" i="1"/>
  <c r="CP120" i="1"/>
  <c r="CL124" i="1"/>
  <c r="CL123" i="1"/>
  <c r="CL122" i="1"/>
  <c r="CL121" i="1"/>
  <c r="CL120" i="1"/>
  <c r="CH124" i="1"/>
  <c r="CH123" i="1"/>
  <c r="CH122" i="1"/>
  <c r="CH121" i="1"/>
  <c r="CH120" i="1"/>
  <c r="CD124" i="1"/>
  <c r="CD123" i="1"/>
  <c r="CD122" i="1"/>
  <c r="CD121" i="1"/>
  <c r="CD120" i="1"/>
  <c r="BZ124" i="1"/>
  <c r="BZ123" i="1"/>
  <c r="BZ122" i="1"/>
  <c r="BZ121" i="1"/>
  <c r="BZ120" i="1"/>
  <c r="BV124" i="1"/>
  <c r="BV123" i="1"/>
  <c r="BV122" i="1"/>
  <c r="BV121" i="1"/>
  <c r="BV120" i="1"/>
  <c r="CG118" i="1"/>
  <c r="CG108" i="1"/>
  <c r="DD106" i="1"/>
  <c r="DD105" i="1"/>
  <c r="CZ106" i="1"/>
  <c r="CZ105" i="1"/>
  <c r="CV106" i="1"/>
  <c r="CV105" i="1"/>
  <c r="CR106" i="1"/>
  <c r="CR105" i="1"/>
  <c r="CN106" i="1"/>
  <c r="CN105" i="1"/>
  <c r="CJ106" i="1"/>
  <c r="CJ105" i="1"/>
  <c r="CF106" i="1"/>
  <c r="CF105" i="1"/>
  <c r="CB106" i="1"/>
  <c r="CB105" i="1"/>
  <c r="BX106" i="1"/>
  <c r="BX105" i="1"/>
  <c r="BT106" i="1"/>
  <c r="BT105" i="1"/>
  <c r="BP106" i="1"/>
  <c r="BP105" i="1"/>
  <c r="BL106" i="1"/>
  <c r="BL105" i="1"/>
  <c r="BH106" i="1"/>
  <c r="BH105" i="1"/>
  <c r="BD106" i="1"/>
  <c r="BD105" i="1"/>
  <c r="AZ106" i="1"/>
  <c r="AZ105" i="1"/>
  <c r="AV106" i="1"/>
  <c r="AV105" i="1"/>
  <c r="AR106" i="1"/>
  <c r="AR105" i="1"/>
  <c r="AN106" i="1"/>
  <c r="AN105" i="1"/>
  <c r="AJ106" i="1"/>
  <c r="AJ105" i="1"/>
  <c r="AF106" i="1"/>
  <c r="AF105" i="1"/>
  <c r="AB106" i="1"/>
  <c r="AB105" i="1"/>
  <c r="X106" i="1"/>
  <c r="X105" i="1"/>
  <c r="T106" i="1"/>
  <c r="T105" i="1"/>
  <c r="P106" i="1"/>
  <c r="P105" i="1"/>
  <c r="L106" i="1"/>
  <c r="L105" i="1"/>
  <c r="H106" i="1"/>
  <c r="H105" i="1"/>
  <c r="D106" i="1"/>
  <c r="D105" i="1"/>
  <c r="CG98" i="1"/>
  <c r="DD94" i="1"/>
  <c r="DD96" i="1"/>
  <c r="CZ95" i="1"/>
  <c r="CV96" i="1"/>
  <c r="CV95" i="1"/>
  <c r="CV94" i="1"/>
  <c r="CR96" i="1"/>
  <c r="CR95" i="1"/>
  <c r="CR94" i="1"/>
  <c r="CN96" i="1"/>
  <c r="CN95" i="1"/>
  <c r="CN94" i="1"/>
  <c r="CS94" i="1" s="1"/>
  <c r="CJ96" i="1"/>
  <c r="CJ95" i="1"/>
  <c r="CF96" i="1"/>
  <c r="CF95" i="1"/>
  <c r="CB96" i="1"/>
  <c r="CB95" i="1"/>
  <c r="BX96" i="1"/>
  <c r="BX95" i="1"/>
  <c r="BT96" i="1"/>
  <c r="BT95" i="1"/>
  <c r="BP96" i="1"/>
  <c r="BP95" i="1"/>
  <c r="BL96" i="1"/>
  <c r="BL95" i="1"/>
  <c r="BH96" i="1"/>
  <c r="BH95" i="1"/>
  <c r="BD96" i="1"/>
  <c r="BD95" i="1"/>
  <c r="AZ96" i="1"/>
  <c r="AZ95" i="1"/>
  <c r="AV96" i="1"/>
  <c r="AV95" i="1"/>
  <c r="AR96" i="1"/>
  <c r="AR95" i="1"/>
  <c r="AN96" i="1"/>
  <c r="AN95" i="1"/>
  <c r="AJ96" i="1"/>
  <c r="AJ95" i="1"/>
  <c r="AF96" i="1"/>
  <c r="AF95" i="1"/>
  <c r="AB96" i="1"/>
  <c r="AB95" i="1"/>
  <c r="X96" i="1"/>
  <c r="X95" i="1"/>
  <c r="T96" i="1"/>
  <c r="T95" i="1"/>
  <c r="P96" i="1"/>
  <c r="P95" i="1"/>
  <c r="L96" i="1"/>
  <c r="L95" i="1"/>
  <c r="H96" i="1"/>
  <c r="H95" i="1"/>
  <c r="D96" i="1"/>
  <c r="D95" i="1"/>
  <c r="CZ96" i="1"/>
  <c r="CG88" i="1"/>
  <c r="CG79" i="1"/>
  <c r="CJ76" i="1"/>
  <c r="CJ75" i="1"/>
  <c r="CF76" i="1"/>
  <c r="CF75" i="1"/>
  <c r="CB76" i="1"/>
  <c r="CB75" i="1"/>
  <c r="BX76" i="1"/>
  <c r="BX75" i="1"/>
  <c r="BT76" i="1"/>
  <c r="BT75" i="1"/>
  <c r="CV76" i="1"/>
  <c r="CV75" i="1"/>
  <c r="CV74" i="1"/>
  <c r="CR76" i="1"/>
  <c r="CN76" i="1"/>
  <c r="CN75" i="1"/>
  <c r="CN74" i="1"/>
  <c r="BU74" i="1"/>
  <c r="BU73" i="1"/>
  <c r="BU72" i="1"/>
  <c r="BU71" i="1"/>
  <c r="BU70" i="1"/>
  <c r="CZ72" i="1"/>
  <c r="DB72" i="1" s="1"/>
  <c r="CZ71" i="1"/>
  <c r="DU71" i="1" s="1"/>
  <c r="DB73" i="1"/>
  <c r="DB71" i="1"/>
  <c r="DB70" i="1"/>
  <c r="DA70" i="1"/>
  <c r="CX73" i="1"/>
  <c r="CW73" i="1"/>
  <c r="CX72" i="1"/>
  <c r="CW72" i="1"/>
  <c r="CX71" i="1"/>
  <c r="CW71" i="1"/>
  <c r="CW70" i="1"/>
  <c r="CS73" i="1"/>
  <c r="CS72" i="1"/>
  <c r="CS71" i="1"/>
  <c r="CR70" i="1"/>
  <c r="CO73" i="1"/>
  <c r="CO72" i="1"/>
  <c r="CO71" i="1"/>
  <c r="CO70" i="1"/>
  <c r="CK73" i="1"/>
  <c r="CK72" i="1"/>
  <c r="CK71" i="1"/>
  <c r="CP71" i="1" s="1"/>
  <c r="CK70" i="1"/>
  <c r="CG74" i="1"/>
  <c r="CG73" i="1"/>
  <c r="CG72" i="1"/>
  <c r="CG71" i="1"/>
  <c r="CG70" i="1"/>
  <c r="CC74" i="1"/>
  <c r="CC73" i="1"/>
  <c r="CC72" i="1"/>
  <c r="CC71" i="1"/>
  <c r="CC70" i="1"/>
  <c r="BY74" i="1"/>
  <c r="BY73" i="1"/>
  <c r="BY72" i="1"/>
  <c r="BY71" i="1"/>
  <c r="BZ71" i="1" s="1"/>
  <c r="BY70" i="1"/>
  <c r="CG68" i="1"/>
  <c r="CJ66" i="1"/>
  <c r="CJ65" i="1"/>
  <c r="CF66" i="1"/>
  <c r="CF65" i="1"/>
  <c r="CB66" i="1"/>
  <c r="CB65" i="1"/>
  <c r="BX66" i="1"/>
  <c r="BX65" i="1"/>
  <c r="BT66" i="1"/>
  <c r="BT65" i="1"/>
  <c r="CV66" i="1"/>
  <c r="CV65" i="1"/>
  <c r="CV64" i="1"/>
  <c r="CR66" i="1"/>
  <c r="CR65" i="1"/>
  <c r="CR64" i="1"/>
  <c r="CN66" i="1"/>
  <c r="CN65" i="1"/>
  <c r="CN64" i="1"/>
  <c r="DB61" i="1"/>
  <c r="DB62" i="1"/>
  <c r="DA61" i="1"/>
  <c r="CZ60" i="1"/>
  <c r="CZ65" i="1" s="1"/>
  <c r="CX63" i="1"/>
  <c r="CW63" i="1"/>
  <c r="CX62" i="1"/>
  <c r="CW62" i="1"/>
  <c r="CX61" i="1"/>
  <c r="CW61" i="1"/>
  <c r="CX60" i="1"/>
  <c r="CW60" i="1"/>
  <c r="CG58" i="1"/>
  <c r="BP56" i="1"/>
  <c r="BP55" i="1"/>
  <c r="BL56" i="1"/>
  <c r="BL55" i="1"/>
  <c r="BH56" i="1"/>
  <c r="BH55" i="1"/>
  <c r="BD56" i="1"/>
  <c r="BD55" i="1"/>
  <c r="AZ56" i="1"/>
  <c r="AZ55" i="1"/>
  <c r="AV56" i="1"/>
  <c r="AV55" i="1"/>
  <c r="AR56" i="1"/>
  <c r="AR55" i="1"/>
  <c r="AN56" i="1"/>
  <c r="AN55" i="1"/>
  <c r="AJ56" i="1"/>
  <c r="AJ55" i="1"/>
  <c r="AF56" i="1"/>
  <c r="AF55" i="1"/>
  <c r="AB56" i="1"/>
  <c r="AB55" i="1"/>
  <c r="X56" i="1"/>
  <c r="X55" i="1"/>
  <c r="T56" i="1"/>
  <c r="T55" i="1"/>
  <c r="P56" i="1"/>
  <c r="P55" i="1"/>
  <c r="L56" i="1"/>
  <c r="L55" i="1"/>
  <c r="H56" i="1"/>
  <c r="H55" i="1"/>
  <c r="D56" i="1"/>
  <c r="D55" i="1"/>
  <c r="CV56" i="1"/>
  <c r="CV55" i="1"/>
  <c r="CV54" i="1"/>
  <c r="CR56" i="1"/>
  <c r="CR55" i="1"/>
  <c r="CR54" i="1"/>
  <c r="CN56" i="1"/>
  <c r="CN55" i="1"/>
  <c r="CN54" i="1"/>
  <c r="DB52" i="1"/>
  <c r="CZ51" i="1"/>
  <c r="DB51" i="1" s="1"/>
  <c r="CX53" i="1"/>
  <c r="CX52" i="1"/>
  <c r="CX51" i="1"/>
  <c r="CX50" i="1"/>
  <c r="CJ54" i="1"/>
  <c r="CJ53" i="1"/>
  <c r="CJ52" i="1"/>
  <c r="CJ51" i="1"/>
  <c r="CJ50" i="1"/>
  <c r="CF54" i="1"/>
  <c r="CF53" i="1"/>
  <c r="CF52" i="1"/>
  <c r="CF51" i="1"/>
  <c r="CF50" i="1"/>
  <c r="CB54" i="1"/>
  <c r="CB53" i="1"/>
  <c r="CB52" i="1"/>
  <c r="CB51" i="1"/>
  <c r="CB50" i="1"/>
  <c r="CB55" i="1" s="1"/>
  <c r="BX54" i="1"/>
  <c r="BX53" i="1"/>
  <c r="BX52" i="1"/>
  <c r="BX51" i="1"/>
  <c r="BX50" i="1"/>
  <c r="BT54" i="1"/>
  <c r="BT53" i="1"/>
  <c r="BT52" i="1"/>
  <c r="BT51" i="1"/>
  <c r="BT50" i="1"/>
  <c r="BT55" i="1" s="1"/>
  <c r="CW43" i="1"/>
  <c r="CW42" i="1"/>
  <c r="CW41" i="1"/>
  <c r="CW40" i="1"/>
  <c r="CG48" i="1"/>
  <c r="CV46" i="1"/>
  <c r="CV45" i="1"/>
  <c r="CV44" i="1"/>
  <c r="CR46" i="1"/>
  <c r="CR45" i="1"/>
  <c r="CR44" i="1"/>
  <c r="CJ46" i="1"/>
  <c r="CJ45" i="1"/>
  <c r="CF46" i="1"/>
  <c r="CF45" i="1"/>
  <c r="CB46" i="1"/>
  <c r="CB45" i="1"/>
  <c r="BX46" i="1"/>
  <c r="BX45" i="1"/>
  <c r="BT46" i="1"/>
  <c r="BT45" i="1"/>
  <c r="BP46" i="1"/>
  <c r="BP45" i="1"/>
  <c r="BL46" i="1"/>
  <c r="BL45" i="1"/>
  <c r="BH46" i="1"/>
  <c r="BH45" i="1"/>
  <c r="BD46" i="1"/>
  <c r="BD45" i="1"/>
  <c r="AZ46" i="1"/>
  <c r="AZ45" i="1"/>
  <c r="AV46" i="1"/>
  <c r="AV45" i="1"/>
  <c r="AR46" i="1"/>
  <c r="AR45" i="1"/>
  <c r="AN46" i="1"/>
  <c r="AN45" i="1"/>
  <c r="AJ46" i="1"/>
  <c r="AJ45" i="1"/>
  <c r="AF46" i="1"/>
  <c r="AF45" i="1"/>
  <c r="AB46" i="1"/>
  <c r="AB45" i="1"/>
  <c r="X46" i="1"/>
  <c r="X45" i="1"/>
  <c r="T46" i="1"/>
  <c r="T45" i="1"/>
  <c r="P46" i="1"/>
  <c r="P45" i="1"/>
  <c r="L46" i="1"/>
  <c r="L45" i="1"/>
  <c r="H46" i="1"/>
  <c r="H45" i="1"/>
  <c r="D46" i="1"/>
  <c r="D45" i="1"/>
  <c r="CZ45" i="1"/>
  <c r="CN46" i="1"/>
  <c r="CN45" i="1"/>
  <c r="CN44" i="1"/>
  <c r="DA42" i="1"/>
  <c r="DA41" i="1"/>
  <c r="DA40" i="1"/>
  <c r="CG38" i="1"/>
  <c r="CZ32" i="1"/>
  <c r="DA52" i="1" s="1"/>
  <c r="CZ31" i="1"/>
  <c r="CZ81" i="1" s="1"/>
  <c r="CZ30" i="1"/>
  <c r="CV33" i="1"/>
  <c r="CV32" i="1"/>
  <c r="CV31" i="1"/>
  <c r="CV30" i="1"/>
  <c r="CW50" i="1" s="1"/>
  <c r="CF28" i="1"/>
  <c r="D26" i="1"/>
  <c r="D25" i="1"/>
  <c r="CF26" i="1"/>
  <c r="CF25" i="1"/>
  <c r="CB26" i="1"/>
  <c r="CB25" i="1"/>
  <c r="BX26" i="1"/>
  <c r="BX25" i="1"/>
  <c r="BT26" i="1"/>
  <c r="BT25" i="1"/>
  <c r="BP26" i="1"/>
  <c r="BP25" i="1"/>
  <c r="BL26" i="1"/>
  <c r="BQ26" i="1" s="1"/>
  <c r="BL25" i="1"/>
  <c r="BH26" i="1"/>
  <c r="BH25" i="1"/>
  <c r="BD26" i="1"/>
  <c r="BI26" i="1" s="1"/>
  <c r="BD25" i="1"/>
  <c r="AZ26" i="1"/>
  <c r="BE26" i="1" s="1"/>
  <c r="AZ25" i="1"/>
  <c r="AV26" i="1"/>
  <c r="AV25" i="1"/>
  <c r="AR26" i="1"/>
  <c r="AR25" i="1"/>
  <c r="AN26" i="1"/>
  <c r="AN25" i="1"/>
  <c r="AJ26" i="1"/>
  <c r="AJ25" i="1"/>
  <c r="AF26" i="1"/>
  <c r="AK26" i="1" s="1"/>
  <c r="AF25" i="1"/>
  <c r="AB26" i="1"/>
  <c r="AG26" i="1" s="1"/>
  <c r="AB25" i="1"/>
  <c r="X26" i="1"/>
  <c r="AC26" i="1" s="1"/>
  <c r="X25" i="1"/>
  <c r="T26" i="1"/>
  <c r="T25" i="1"/>
  <c r="P26" i="1"/>
  <c r="P25" i="1"/>
  <c r="L26" i="1"/>
  <c r="L25" i="1"/>
  <c r="H26" i="1"/>
  <c r="M26" i="1" s="1"/>
  <c r="H25" i="1"/>
  <c r="CV26" i="1"/>
  <c r="CV25" i="1"/>
  <c r="CV24" i="1"/>
  <c r="CR26" i="1"/>
  <c r="CR25" i="1"/>
  <c r="CS25" i="1" s="1"/>
  <c r="CR24" i="1"/>
  <c r="CN26" i="1"/>
  <c r="CN25" i="1"/>
  <c r="CN24" i="1"/>
  <c r="CJ26" i="1"/>
  <c r="CJ25" i="1"/>
  <c r="CO25" i="1" s="1"/>
  <c r="CJ24" i="1"/>
  <c r="CK24" i="1" s="1"/>
  <c r="CG24" i="1"/>
  <c r="CG23" i="1"/>
  <c r="CG22" i="1"/>
  <c r="CG21" i="1"/>
  <c r="CG20" i="1"/>
  <c r="CC24" i="1"/>
  <c r="CC23" i="1"/>
  <c r="CC22" i="1"/>
  <c r="CC21" i="1"/>
  <c r="CC20" i="1"/>
  <c r="BY24" i="1"/>
  <c r="BY23" i="1"/>
  <c r="BY22" i="1"/>
  <c r="BY21" i="1"/>
  <c r="BY20" i="1"/>
  <c r="BU24" i="1"/>
  <c r="BU23" i="1"/>
  <c r="BU22" i="1"/>
  <c r="BU21" i="1"/>
  <c r="BU20" i="1"/>
  <c r="BQ24" i="1"/>
  <c r="BQ23" i="1"/>
  <c r="BQ22" i="1"/>
  <c r="BQ21" i="1"/>
  <c r="BQ20" i="1"/>
  <c r="BM24" i="1"/>
  <c r="BM23" i="1"/>
  <c r="BM22" i="1"/>
  <c r="BM21" i="1"/>
  <c r="BM20" i="1"/>
  <c r="BI24" i="1"/>
  <c r="BI23" i="1"/>
  <c r="BI22" i="1"/>
  <c r="BI21" i="1"/>
  <c r="BI20" i="1"/>
  <c r="BE24" i="1"/>
  <c r="BE23" i="1"/>
  <c r="BE22" i="1"/>
  <c r="BE21" i="1"/>
  <c r="BE20" i="1"/>
  <c r="BA24" i="1"/>
  <c r="BA23" i="1"/>
  <c r="BA22" i="1"/>
  <c r="BA21" i="1"/>
  <c r="BA20" i="1"/>
  <c r="AW24" i="1"/>
  <c r="AW23" i="1"/>
  <c r="AW22" i="1"/>
  <c r="AW21" i="1"/>
  <c r="AW20" i="1"/>
  <c r="AS24" i="1"/>
  <c r="AS23" i="1"/>
  <c r="AS22" i="1"/>
  <c r="AS21" i="1"/>
  <c r="AS20" i="1"/>
  <c r="AO24" i="1"/>
  <c r="AO23" i="1"/>
  <c r="AO22" i="1"/>
  <c r="AO21" i="1"/>
  <c r="AO20" i="1"/>
  <c r="AK24" i="1"/>
  <c r="AK23" i="1"/>
  <c r="AK22" i="1"/>
  <c r="AK21" i="1"/>
  <c r="AK20" i="1"/>
  <c r="AG24" i="1"/>
  <c r="AG23" i="1"/>
  <c r="AG22" i="1"/>
  <c r="AG21" i="1"/>
  <c r="AG20" i="1"/>
  <c r="AC24" i="1"/>
  <c r="AC23" i="1"/>
  <c r="AC22" i="1"/>
  <c r="AC21" i="1"/>
  <c r="AC20" i="1"/>
  <c r="Y24" i="1"/>
  <c r="Y23" i="1"/>
  <c r="Y22" i="1"/>
  <c r="Y21" i="1"/>
  <c r="Y20" i="1"/>
  <c r="U24" i="1"/>
  <c r="U23" i="1"/>
  <c r="U22" i="1"/>
  <c r="U21" i="1"/>
  <c r="U20" i="1"/>
  <c r="Q24" i="1"/>
  <c r="Q23" i="1"/>
  <c r="Q22" i="1"/>
  <c r="Q21" i="1"/>
  <c r="Q20" i="1"/>
  <c r="M24" i="1"/>
  <c r="M23" i="1"/>
  <c r="M22" i="1"/>
  <c r="M21" i="1"/>
  <c r="M20" i="1"/>
  <c r="I24" i="1"/>
  <c r="I23" i="1"/>
  <c r="I22" i="1"/>
  <c r="I21" i="1"/>
  <c r="I20" i="1"/>
  <c r="CZ25" i="1"/>
  <c r="DA23" i="1"/>
  <c r="CW23" i="1"/>
  <c r="CW22" i="1"/>
  <c r="CW21" i="1"/>
  <c r="CW20" i="1"/>
  <c r="CS23" i="1"/>
  <c r="CS22" i="1"/>
  <c r="CS21" i="1"/>
  <c r="CS20" i="1"/>
  <c r="CO23" i="1"/>
  <c r="CO22" i="1"/>
  <c r="CO21" i="1"/>
  <c r="CO20" i="1"/>
  <c r="CK23" i="1"/>
  <c r="CK22" i="1"/>
  <c r="CK21" i="1"/>
  <c r="CK20" i="1"/>
  <c r="DA22" i="1"/>
  <c r="DA21" i="1"/>
  <c r="DA20" i="1"/>
  <c r="CG18" i="1"/>
  <c r="CX16" i="1"/>
  <c r="CV16" i="1"/>
  <c r="CX15" i="1"/>
  <c r="CV15" i="1"/>
  <c r="CZ15" i="1"/>
  <c r="DA12" i="1"/>
  <c r="CD12" i="6" s="1"/>
  <c r="CD18" i="6" s="1"/>
  <c r="CD24" i="6" s="1"/>
  <c r="CD30" i="6" s="1"/>
  <c r="CD36" i="6" s="1"/>
  <c r="CD42" i="6" s="1"/>
  <c r="DA11" i="1"/>
  <c r="CD11" i="6" s="1"/>
  <c r="CD17" i="6" s="1"/>
  <c r="CD23" i="6" s="1"/>
  <c r="CD29" i="6" s="1"/>
  <c r="CD35" i="6" s="1"/>
  <c r="CD41" i="6" s="1"/>
  <c r="DA10" i="1"/>
  <c r="CD10" i="6" s="1"/>
  <c r="CD16" i="6" s="1"/>
  <c r="CD22" i="6" s="1"/>
  <c r="CD28" i="6" s="1"/>
  <c r="CD34" i="6" s="1"/>
  <c r="CD40" i="6" s="1"/>
  <c r="CT13" i="1"/>
  <c r="CR13" i="1"/>
  <c r="CS43" i="1" s="1"/>
  <c r="CT12" i="1"/>
  <c r="CR12" i="1"/>
  <c r="CT11" i="1"/>
  <c r="CR11" i="1"/>
  <c r="CW11" i="1" s="1"/>
  <c r="BZ11" i="6" s="1"/>
  <c r="BZ17" i="6" s="1"/>
  <c r="BZ23" i="6" s="1"/>
  <c r="BZ29" i="6" s="1"/>
  <c r="BZ35" i="6" s="1"/>
  <c r="BZ41" i="6" s="1"/>
  <c r="CT10" i="1"/>
  <c r="CR10" i="1"/>
  <c r="CG8" i="1"/>
  <c r="BT6" i="1"/>
  <c r="BP6" i="1"/>
  <c r="BH6" i="1"/>
  <c r="BD6" i="1" s="1"/>
  <c r="AZ6" i="1" s="1"/>
  <c r="EX72" i="11"/>
  <c r="EX83" i="11" s="1"/>
  <c r="EW72" i="11"/>
  <c r="EV72" i="11"/>
  <c r="EU72" i="11"/>
  <c r="ET72" i="11"/>
  <c r="ES72" i="11"/>
  <c r="EC70" i="11"/>
  <c r="DZ70" i="11"/>
  <c r="DX70" i="11"/>
  <c r="FP68" i="11"/>
  <c r="FO68" i="11"/>
  <c r="EX69" i="11"/>
  <c r="EX82" i="11" s="1"/>
  <c r="EW69" i="11"/>
  <c r="EW82" i="11" s="1"/>
  <c r="EV69" i="11"/>
  <c r="EV82" i="11" s="1"/>
  <c r="EU69" i="11"/>
  <c r="EU82" i="11" s="1"/>
  <c r="ET69" i="11"/>
  <c r="ES69" i="11"/>
  <c r="ES68" i="11"/>
  <c r="DY68" i="11"/>
  <c r="DX68" i="11" s="1"/>
  <c r="DN68" i="11" s="1"/>
  <c r="DL68" i="11" s="1"/>
  <c r="DK68" i="11" s="1"/>
  <c r="DL70" i="11"/>
  <c r="DJ70" i="11"/>
  <c r="EU62" i="11"/>
  <c r="ET62" i="11"/>
  <c r="BI66" i="11"/>
  <c r="BH66" i="11"/>
  <c r="BG66" i="11"/>
  <c r="BF66" i="11"/>
  <c r="BD66" i="11"/>
  <c r="BC66" i="11"/>
  <c r="BB66" i="11"/>
  <c r="BA66" i="11"/>
  <c r="AY66" i="11"/>
  <c r="AX66" i="11"/>
  <c r="AW66" i="11"/>
  <c r="AV66" i="11"/>
  <c r="AT66" i="11"/>
  <c r="AS66" i="11"/>
  <c r="AR66" i="11"/>
  <c r="AQ66" i="11"/>
  <c r="AO66" i="11"/>
  <c r="AN66" i="11"/>
  <c r="AM66" i="11"/>
  <c r="AL66" i="11"/>
  <c r="AJ66" i="11"/>
  <c r="AI66" i="11"/>
  <c r="AH66" i="11"/>
  <c r="AG66" i="11"/>
  <c r="AE66" i="11"/>
  <c r="AD66" i="11"/>
  <c r="AC66" i="11"/>
  <c r="AB66" i="11"/>
  <c r="Z66" i="11"/>
  <c r="Y66" i="11"/>
  <c r="X66" i="11"/>
  <c r="W66" i="11"/>
  <c r="U66" i="11"/>
  <c r="T66" i="11"/>
  <c r="S66" i="11"/>
  <c r="R66" i="11"/>
  <c r="P66" i="11"/>
  <c r="O66" i="11"/>
  <c r="N66" i="11"/>
  <c r="M66" i="11"/>
  <c r="K66" i="11"/>
  <c r="J66" i="11"/>
  <c r="I66" i="11"/>
  <c r="H66" i="11"/>
  <c r="FR46" i="11"/>
  <c r="N29" i="83" s="1"/>
  <c r="N77" i="83" s="1"/>
  <c r="FQ46" i="11"/>
  <c r="M29" i="83" s="1"/>
  <c r="M77" i="83" s="1"/>
  <c r="FP46" i="11"/>
  <c r="L29" i="83" s="1"/>
  <c r="FO46" i="11"/>
  <c r="K29" i="83" s="1"/>
  <c r="K77" i="83" s="1"/>
  <c r="K126" i="83" s="1"/>
  <c r="K178" i="83" s="1"/>
  <c r="FN46" i="11"/>
  <c r="J29" i="83" s="1"/>
  <c r="J77" i="83" s="1"/>
  <c r="J126" i="83" s="1"/>
  <c r="FM46" i="11"/>
  <c r="I29" i="83" s="1"/>
  <c r="I77" i="83" s="1"/>
  <c r="I126" i="83" s="1"/>
  <c r="I178" i="83" s="1"/>
  <c r="FL46" i="11"/>
  <c r="H29" i="83" s="1"/>
  <c r="H77" i="83" s="1"/>
  <c r="H126" i="83" s="1"/>
  <c r="H178" i="83" s="1"/>
  <c r="FK46" i="11"/>
  <c r="G29" i="83" s="1"/>
  <c r="G77" i="83" s="1"/>
  <c r="G126" i="83" s="1"/>
  <c r="G178" i="83" s="1"/>
  <c r="FJ46" i="11"/>
  <c r="F29" i="83" s="1"/>
  <c r="F77" i="83" s="1"/>
  <c r="F126" i="83" s="1"/>
  <c r="FI46" i="11"/>
  <c r="E29" i="83" s="1"/>
  <c r="E77" i="83" s="1"/>
  <c r="E126" i="83" s="1"/>
  <c r="E178" i="83" s="1"/>
  <c r="FH46" i="11"/>
  <c r="D29" i="83" s="1"/>
  <c r="D77" i="83" s="1"/>
  <c r="D126" i="83" s="1"/>
  <c r="D178" i="83" s="1"/>
  <c r="FG46" i="11"/>
  <c r="C29" i="83" s="1"/>
  <c r="C77" i="83" s="1"/>
  <c r="C126" i="83" s="1"/>
  <c r="C178" i="83" s="1"/>
  <c r="FF46" i="11"/>
  <c r="FE46" i="11"/>
  <c r="FD46" i="11"/>
  <c r="FC46" i="11"/>
  <c r="FB46" i="11"/>
  <c r="FA46" i="11"/>
  <c r="EZ46" i="11"/>
  <c r="EY46" i="11"/>
  <c r="EX46" i="11"/>
  <c r="EW46" i="11"/>
  <c r="EV46" i="11"/>
  <c r="EU46" i="11"/>
  <c r="ET46" i="11"/>
  <c r="ES46" i="11"/>
  <c r="FV33" i="11"/>
  <c r="FU33" i="11"/>
  <c r="FT33" i="11"/>
  <c r="FV26" i="11"/>
  <c r="FU26" i="11"/>
  <c r="FT26" i="11"/>
  <c r="FS26" i="11"/>
  <c r="FQ7" i="11"/>
  <c r="ET7" i="11"/>
  <c r="CE7" i="11"/>
  <c r="BP7" i="11"/>
  <c r="AV7" i="11"/>
  <c r="EI6" i="11"/>
  <c r="DS6" i="11"/>
  <c r="DN6" i="11"/>
  <c r="DI6" i="11"/>
  <c r="BZ6" i="11"/>
  <c r="BU6" i="11"/>
  <c r="BA6" i="11"/>
  <c r="BB6" i="11" s="1"/>
  <c r="T74" i="67"/>
  <c r="B124" i="67"/>
  <c r="A124" i="67"/>
  <c r="A125" i="67" s="1"/>
  <c r="A126" i="67" s="1"/>
  <c r="H74" i="67"/>
  <c r="P108" i="67"/>
  <c r="I75" i="67"/>
  <c r="S54" i="67"/>
  <c r="T53" i="67"/>
  <c r="U53" i="67" s="1"/>
  <c r="V53" i="67" s="1"/>
  <c r="W53" i="67" s="1"/>
  <c r="X53" i="67" s="1"/>
  <c r="Y53" i="67" s="1"/>
  <c r="S138" i="67"/>
  <c r="L74" i="67"/>
  <c r="M107" i="67"/>
  <c r="H54" i="67"/>
  <c r="D74" i="67"/>
  <c r="D75" i="67"/>
  <c r="E109" i="67"/>
  <c r="W69" i="67"/>
  <c r="AD35" i="7"/>
  <c r="F34" i="7"/>
  <c r="F58" i="7" s="1"/>
  <c r="J34" i="7"/>
  <c r="L34" i="7"/>
  <c r="L58" i="7" s="1"/>
  <c r="P34" i="7"/>
  <c r="P58" i="7" s="1"/>
  <c r="R34" i="7"/>
  <c r="R58" i="7"/>
  <c r="T34" i="7"/>
  <c r="T58" i="7"/>
  <c r="X34" i="7"/>
  <c r="X58" i="7" s="1"/>
  <c r="Z34" i="7"/>
  <c r="AB34" i="7"/>
  <c r="AF34" i="7"/>
  <c r="AJ34" i="7"/>
  <c r="F44" i="7"/>
  <c r="F50" i="7" s="1"/>
  <c r="H44" i="7"/>
  <c r="J44" i="7"/>
  <c r="J50" i="7"/>
  <c r="N44" i="7"/>
  <c r="N50" i="7"/>
  <c r="P44" i="7"/>
  <c r="T44" i="7"/>
  <c r="T50" i="7" s="1"/>
  <c r="V44" i="7"/>
  <c r="V50" i="7" s="1"/>
  <c r="Z44" i="7"/>
  <c r="Z50" i="7" s="1"/>
  <c r="AB44" i="7"/>
  <c r="AB50" i="7" s="1"/>
  <c r="AF44" i="7"/>
  <c r="AF50" i="7" s="1"/>
  <c r="F52" i="7"/>
  <c r="J52" i="7"/>
  <c r="L52" i="7"/>
  <c r="P52" i="7"/>
  <c r="R52" i="7"/>
  <c r="X52" i="7"/>
  <c r="D35" i="7"/>
  <c r="D59" i="7" s="1"/>
  <c r="H35" i="7"/>
  <c r="H59" i="7" s="1"/>
  <c r="J35" i="7"/>
  <c r="J59" i="7"/>
  <c r="L35" i="7"/>
  <c r="L59" i="7" s="1"/>
  <c r="N35" i="7"/>
  <c r="N59" i="7"/>
  <c r="T35" i="7"/>
  <c r="T59" i="7"/>
  <c r="X35" i="7"/>
  <c r="X59" i="7" s="1"/>
  <c r="F45" i="7"/>
  <c r="H45" i="7"/>
  <c r="H51" i="7"/>
  <c r="J51" i="7"/>
  <c r="L45" i="7"/>
  <c r="N45" i="7"/>
  <c r="N51" i="7" s="1"/>
  <c r="P45" i="7"/>
  <c r="P51" i="7"/>
  <c r="T45" i="7"/>
  <c r="T51" i="7" s="1"/>
  <c r="V45" i="7"/>
  <c r="V51" i="7" s="1"/>
  <c r="X45" i="7"/>
  <c r="X51" i="7" s="1"/>
  <c r="AF45" i="7"/>
  <c r="AF51" i="7"/>
  <c r="AH45" i="7"/>
  <c r="D53" i="7"/>
  <c r="J53" i="7"/>
  <c r="L53" i="7"/>
  <c r="N53" i="7"/>
  <c r="F32" i="7"/>
  <c r="F56" i="7" s="1"/>
  <c r="H32" i="7"/>
  <c r="J32" i="7"/>
  <c r="N32" i="7"/>
  <c r="N56" i="7"/>
  <c r="T32" i="7"/>
  <c r="V32" i="7"/>
  <c r="V56" i="7" s="1"/>
  <c r="Z32" i="7"/>
  <c r="Z56" i="7" s="1"/>
  <c r="AB32" i="7"/>
  <c r="AB56" i="7" s="1"/>
  <c r="AF56" i="7"/>
  <c r="F33" i="7"/>
  <c r="F57" i="7" s="1"/>
  <c r="H33" i="7"/>
  <c r="H57" i="7" s="1"/>
  <c r="J33" i="7"/>
  <c r="J57" i="7" s="1"/>
  <c r="N33" i="7"/>
  <c r="N57" i="7" s="1"/>
  <c r="P33" i="7"/>
  <c r="P57" i="7" s="1"/>
  <c r="T33" i="7"/>
  <c r="AD33" i="7"/>
  <c r="AF33" i="7"/>
  <c r="B16" i="8"/>
  <c r="BQ11" i="6"/>
  <c r="BU11" i="6"/>
  <c r="AG41" i="6"/>
  <c r="AF47" i="6"/>
  <c r="AV47" i="6"/>
  <c r="BM41" i="6"/>
  <c r="BL47" i="6"/>
  <c r="AZ47" i="6"/>
  <c r="BU23" i="6"/>
  <c r="Y41" i="6"/>
  <c r="AN47" i="6"/>
  <c r="BE41" i="6"/>
  <c r="BD47" i="6"/>
  <c r="AS41" i="6"/>
  <c r="BI41" i="6"/>
  <c r="AB47" i="6"/>
  <c r="BH47" i="6"/>
  <c r="AJ48" i="6"/>
  <c r="BH48" i="6"/>
  <c r="BY22" i="6"/>
  <c r="BY35" i="6"/>
  <c r="CC35" i="6"/>
  <c r="Y42" i="6"/>
  <c r="AG42" i="6"/>
  <c r="BA42" i="6"/>
  <c r="AK39" i="9"/>
  <c r="L20" i="9"/>
  <c r="M53" i="9"/>
  <c r="M20" i="9"/>
  <c r="F54" i="9"/>
  <c r="F51" i="9"/>
  <c r="R54" i="9"/>
  <c r="AI54" i="9"/>
  <c r="W52" i="9"/>
  <c r="W55" i="9" s="1"/>
  <c r="AE52" i="9"/>
  <c r="AE55" i="9" s="1"/>
  <c r="L54" i="9"/>
  <c r="X52" i="9"/>
  <c r="X55" i="9" s="1"/>
  <c r="I54" i="9"/>
  <c r="G51" i="9"/>
  <c r="O51" i="9"/>
  <c r="S51" i="9"/>
  <c r="H54" i="9"/>
  <c r="AN58" i="10"/>
  <c r="AN59" i="10" s="1"/>
  <c r="AL59" i="10"/>
  <c r="AK67" i="10"/>
  <c r="B42" i="5"/>
  <c r="H19" i="5"/>
  <c r="G19" i="5"/>
  <c r="F34" i="5"/>
  <c r="F32" i="4" s="1"/>
  <c r="G50" i="5"/>
  <c r="G46" i="5"/>
  <c r="G35" i="5"/>
  <c r="H42" i="5"/>
  <c r="H35" i="5"/>
  <c r="C15" i="5"/>
  <c r="G15" i="5"/>
  <c r="D20" i="4"/>
  <c r="H43" i="4"/>
  <c r="H17" i="4" s="1"/>
  <c r="H41" i="4"/>
  <c r="D23" i="4"/>
  <c r="O41" i="4"/>
  <c r="G41" i="4"/>
  <c r="F41" i="4"/>
  <c r="E44" i="4"/>
  <c r="I44" i="4"/>
  <c r="E41" i="4"/>
  <c r="I41" i="4"/>
  <c r="M41" i="4"/>
  <c r="AH77" i="4"/>
  <c r="AI77" i="4"/>
  <c r="AM77" i="4"/>
  <c r="T53" i="54"/>
  <c r="T78" i="54"/>
  <c r="T37" i="54"/>
  <c r="T73" i="54"/>
  <c r="J106" i="54"/>
  <c r="E227" i="54"/>
  <c r="E233" i="54"/>
  <c r="J40" i="54"/>
  <c r="J61" i="54"/>
  <c r="J101" i="54"/>
  <c r="J25" i="54"/>
  <c r="J71" i="54"/>
  <c r="T84" i="54"/>
  <c r="T103" i="54"/>
  <c r="T76" i="54"/>
  <c r="T89" i="54"/>
  <c r="J247" i="54"/>
  <c r="T83" i="54"/>
  <c r="J91" i="54"/>
  <c r="J96" i="54"/>
  <c r="J43" i="54"/>
  <c r="J47" i="54"/>
  <c r="J76" i="54"/>
  <c r="J95" i="54"/>
  <c r="J100" i="54"/>
  <c r="J109" i="54"/>
  <c r="F115" i="54"/>
  <c r="T42" i="54"/>
  <c r="T46" i="54"/>
  <c r="T58" i="54"/>
  <c r="DA73" i="1"/>
  <c r="CV80" i="1"/>
  <c r="CV110" i="1" s="1"/>
  <c r="DA51" i="1"/>
  <c r="CG76" i="1"/>
  <c r="CW65" i="1"/>
  <c r="CZ24" i="1"/>
  <c r="CZ26" i="1"/>
  <c r="DA26" i="1" s="1"/>
  <c r="CV83" i="1"/>
  <c r="CW83" i="1" s="1"/>
  <c r="CO75" i="1"/>
  <c r="DB60" i="1"/>
  <c r="DA72" i="1"/>
  <c r="DA62" i="1"/>
  <c r="CZ76" i="1"/>
  <c r="CZ94" i="1"/>
  <c r="DD95" i="1"/>
  <c r="CT124" i="1"/>
  <c r="BZ126" i="1"/>
  <c r="J109" i="67"/>
  <c r="T138" i="67"/>
  <c r="Q108" i="67"/>
  <c r="B125" i="67"/>
  <c r="E108" i="67"/>
  <c r="D76" i="67"/>
  <c r="P75" i="67"/>
  <c r="AF57" i="7"/>
  <c r="AO58" i="10"/>
  <c r="AO59" i="10" s="1"/>
  <c r="G58" i="5"/>
  <c r="G51" i="5"/>
  <c r="F42" i="5"/>
  <c r="F35" i="5"/>
  <c r="B43" i="5"/>
  <c r="C20" i="4"/>
  <c r="C14" i="4"/>
  <c r="H20" i="4"/>
  <c r="H14" i="4"/>
  <c r="D21" i="4"/>
  <c r="D44" i="4"/>
  <c r="CV113" i="1"/>
  <c r="CW123" i="1" s="1"/>
  <c r="P76" i="67"/>
  <c r="B126" i="67"/>
  <c r="U138" i="67"/>
  <c r="P77" i="67"/>
  <c r="F46" i="5"/>
  <c r="I21" i="4"/>
  <c r="D121" i="54"/>
  <c r="C125" i="54"/>
  <c r="P78" i="67"/>
  <c r="B127" i="67"/>
  <c r="A127" i="67"/>
  <c r="V138" i="67"/>
  <c r="W138" i="67" s="1"/>
  <c r="X138" i="67" s="1"/>
  <c r="Y138" i="67"/>
  <c r="B128" i="67"/>
  <c r="A128" i="67"/>
  <c r="A129" i="67" s="1"/>
  <c r="C208" i="83"/>
  <c r="R202" i="83"/>
  <c r="Q202" i="83"/>
  <c r="R200" i="83"/>
  <c r="Q200" i="83"/>
  <c r="Q199" i="83" s="1"/>
  <c r="R199" i="83"/>
  <c r="A191" i="83"/>
  <c r="A187" i="83"/>
  <c r="A160" i="83"/>
  <c r="A159" i="83"/>
  <c r="E160" i="83"/>
  <c r="D160" i="83"/>
  <c r="C160" i="83"/>
  <c r="E159" i="83"/>
  <c r="D159" i="83"/>
  <c r="C159" i="83"/>
  <c r="A153" i="83"/>
  <c r="R150" i="83"/>
  <c r="Q150" i="83"/>
  <c r="P150" i="83"/>
  <c r="O150" i="83"/>
  <c r="N150" i="83"/>
  <c r="M150" i="83"/>
  <c r="L150" i="83"/>
  <c r="K150" i="83"/>
  <c r="J150" i="83"/>
  <c r="I150" i="83"/>
  <c r="H150" i="83"/>
  <c r="G150" i="83"/>
  <c r="F150" i="83"/>
  <c r="E150" i="83"/>
  <c r="D150" i="83"/>
  <c r="C150" i="83"/>
  <c r="Q149" i="83"/>
  <c r="P149" i="83"/>
  <c r="O149" i="83"/>
  <c r="N149" i="83"/>
  <c r="M149" i="83"/>
  <c r="L149" i="83"/>
  <c r="K149" i="83"/>
  <c r="J149" i="83"/>
  <c r="I149" i="83"/>
  <c r="H149" i="83"/>
  <c r="G149" i="83"/>
  <c r="F149" i="83"/>
  <c r="E149" i="83"/>
  <c r="D149" i="83"/>
  <c r="C149" i="83"/>
  <c r="A146" i="83"/>
  <c r="A145" i="83"/>
  <c r="A207" i="83" s="1"/>
  <c r="A144" i="83"/>
  <c r="A206" i="83" s="1"/>
  <c r="A143" i="83"/>
  <c r="A205" i="83" s="1"/>
  <c r="A142" i="83"/>
  <c r="A204" i="83" s="1"/>
  <c r="A141" i="83"/>
  <c r="A203" i="83" s="1"/>
  <c r="A140" i="83"/>
  <c r="A139" i="83"/>
  <c r="A198" i="83" s="1"/>
  <c r="A138" i="83"/>
  <c r="A197" i="83" s="1"/>
  <c r="A137" i="83"/>
  <c r="A196" i="83" s="1"/>
  <c r="C138" i="83"/>
  <c r="C137" i="83"/>
  <c r="A111" i="83"/>
  <c r="A110" i="83"/>
  <c r="A103" i="83"/>
  <c r="A152" i="83" s="1"/>
  <c r="R100" i="83"/>
  <c r="R149" i="83"/>
  <c r="E62" i="83"/>
  <c r="E111" i="83" s="1"/>
  <c r="D62" i="83"/>
  <c r="D111" i="83"/>
  <c r="C62" i="83"/>
  <c r="C111" i="83" s="1"/>
  <c r="E61" i="83"/>
  <c r="E110" i="83"/>
  <c r="D61" i="83"/>
  <c r="D110" i="83"/>
  <c r="C61" i="83"/>
  <c r="C110" i="83"/>
  <c r="R51" i="83"/>
  <c r="R43" i="83"/>
  <c r="R201" i="83" s="1"/>
  <c r="B129" i="67"/>
  <c r="FR33" i="11"/>
  <c r="BV6" i="11"/>
  <c r="DT6" i="11"/>
  <c r="AQ7" i="11"/>
  <c r="FQ68" i="11"/>
  <c r="FR7" i="11"/>
  <c r="FS7" i="11"/>
  <c r="CA6" i="11"/>
  <c r="BK7" i="11"/>
  <c r="BP6" i="11"/>
  <c r="BW6" i="11"/>
  <c r="CJ7" i="11"/>
  <c r="CE6" i="11"/>
  <c r="DA13" i="1"/>
  <c r="CD13" i="6" s="1"/>
  <c r="CD19" i="6" s="1"/>
  <c r="CD25" i="6" s="1"/>
  <c r="CD31" i="6" s="1"/>
  <c r="CD37" i="6" s="1"/>
  <c r="CD43" i="6" s="1"/>
  <c r="CZ44" i="1"/>
  <c r="CZ33" i="1"/>
  <c r="DA53" i="1" s="1"/>
  <c r="CZ16" i="1"/>
  <c r="DA16" i="1" s="1"/>
  <c r="CB6" i="11"/>
  <c r="CC6" i="11" s="1"/>
  <c r="CF6" i="11"/>
  <c r="CO7" i="11"/>
  <c r="CT7" i="11" s="1"/>
  <c r="CT6" i="11" s="1"/>
  <c r="CJ6" i="11"/>
  <c r="CZ46" i="1"/>
  <c r="CZ66" i="1"/>
  <c r="CK6" i="11"/>
  <c r="I20" i="9"/>
  <c r="DU18" i="11"/>
  <c r="FS46" i="11"/>
  <c r="O29" i="83" s="1"/>
  <c r="AM67" i="10"/>
  <c r="AL67" i="10"/>
  <c r="CZ35" i="1"/>
  <c r="DF43" i="1"/>
  <c r="DA63" i="1"/>
  <c r="DF73" i="1"/>
  <c r="DB53" i="1"/>
  <c r="CZ56" i="1"/>
  <c r="DB56" i="1" s="1"/>
  <c r="CZ83" i="1"/>
  <c r="DA83" i="1" s="1"/>
  <c r="DB63" i="1"/>
  <c r="AO18" i="9"/>
  <c r="AP18" i="9" s="1"/>
  <c r="AQ18" i="9" s="1"/>
  <c r="AR18" i="9" s="1"/>
  <c r="AS18" i="9" s="1"/>
  <c r="FT46" i="11"/>
  <c r="Z141" i="3"/>
  <c r="AB139" i="8" s="1"/>
  <c r="AI48" i="4"/>
  <c r="FR72" i="11" s="1"/>
  <c r="J259" i="54"/>
  <c r="FV46" i="11"/>
  <c r="R29" i="83" s="1"/>
  <c r="R77" i="83" s="1"/>
  <c r="R126" i="83" s="1"/>
  <c r="R178" i="83" s="1"/>
  <c r="CB31" i="6"/>
  <c r="CC31" i="6" s="1"/>
  <c r="AL27" i="9"/>
  <c r="AL72" i="9"/>
  <c r="ED70" i="11"/>
  <c r="D143" i="8"/>
  <c r="L150" i="8" s="1"/>
  <c r="CZ126" i="1"/>
  <c r="DB126" i="1" s="1"/>
  <c r="CZ124" i="1"/>
  <c r="DB124" i="1" s="1"/>
  <c r="DB123" i="1"/>
  <c r="AL39" i="9"/>
  <c r="AL54" i="9" s="1"/>
  <c r="DB16" i="1"/>
  <c r="E141" i="3"/>
  <c r="BK6" i="11"/>
  <c r="BF7" i="11"/>
  <c r="FT7" i="11"/>
  <c r="FS68" i="11"/>
  <c r="AQ6" i="11"/>
  <c r="AL7" i="11"/>
  <c r="DO6" i="11"/>
  <c r="DP6" i="11" s="1"/>
  <c r="DQ6" i="11" s="1"/>
  <c r="FR68" i="11"/>
  <c r="CL6" i="11"/>
  <c r="AV6" i="11"/>
  <c r="DJ6" i="11"/>
  <c r="BQ6" i="11"/>
  <c r="BC6" i="11"/>
  <c r="DD30" i="1"/>
  <c r="DE30" i="1" s="1"/>
  <c r="AL6" i="11"/>
  <c r="AM6" i="11" s="1"/>
  <c r="AN6" i="11" s="1"/>
  <c r="AO6" i="11" s="1"/>
  <c r="AG7" i="11"/>
  <c r="BD6" i="11"/>
  <c r="DK6" i="11"/>
  <c r="DL6" i="11" s="1"/>
  <c r="FT68" i="11"/>
  <c r="FU7" i="11"/>
  <c r="AB7" i="11"/>
  <c r="AG6" i="11"/>
  <c r="AH6" i="11" s="1"/>
  <c r="AI6" i="11" s="1"/>
  <c r="AJ6" i="11" s="1"/>
  <c r="W7" i="11"/>
  <c r="J6" i="100"/>
  <c r="J9" i="100"/>
  <c r="AO24" i="9"/>
  <c r="AP24" i="9" s="1"/>
  <c r="AQ24" i="9" s="1"/>
  <c r="AR24" i="9" s="1"/>
  <c r="AS24" i="9" s="1"/>
  <c r="AP30" i="9"/>
  <c r="AQ30" i="9" s="1"/>
  <c r="AR30" i="9" s="1"/>
  <c r="AS30" i="9" s="1"/>
  <c r="Z41" i="9"/>
  <c r="Z54" i="9"/>
  <c r="O54" i="9"/>
  <c r="O52" i="9"/>
  <c r="O55" i="9" s="1"/>
  <c r="AG54" i="9"/>
  <c r="Q52" i="9"/>
  <c r="V54" i="9"/>
  <c r="S41" i="9"/>
  <c r="X54" i="9"/>
  <c r="Q54" i="9"/>
  <c r="F17" i="100"/>
  <c r="T141" i="3"/>
  <c r="AI141" i="3" s="1"/>
  <c r="Z145" i="3"/>
  <c r="DV73" i="1"/>
  <c r="DD26" i="1"/>
  <c r="DE26" i="1" s="1"/>
  <c r="DE71" i="1"/>
  <c r="DD25" i="1"/>
  <c r="DE25" i="1" s="1"/>
  <c r="DD24" i="1"/>
  <c r="J53" i="9" l="1"/>
  <c r="G53" i="9"/>
  <c r="K53" i="9"/>
  <c r="O53" i="9"/>
  <c r="F20" i="9"/>
  <c r="AR67" i="10"/>
  <c r="FY46" i="11"/>
  <c r="U29" i="83" s="1"/>
  <c r="U77" i="83" s="1"/>
  <c r="U126" i="83" s="1"/>
  <c r="U178" i="83" s="1"/>
  <c r="H20" i="9"/>
  <c r="L53" i="9"/>
  <c r="AB29" i="7"/>
  <c r="G54" i="9"/>
  <c r="AL32" i="9"/>
  <c r="AL34" i="9" s="1"/>
  <c r="AL41" i="9" s="1"/>
  <c r="CW13" i="1"/>
  <c r="BZ13" i="6" s="1"/>
  <c r="BZ19" i="6" s="1"/>
  <c r="BZ25" i="6" s="1"/>
  <c r="BZ31" i="6" s="1"/>
  <c r="BZ37" i="6" s="1"/>
  <c r="BZ43" i="6" s="1"/>
  <c r="AL79" i="4"/>
  <c r="AK79" i="4"/>
  <c r="CS60" i="1"/>
  <c r="AB140" i="3"/>
  <c r="I17" i="4"/>
  <c r="I23" i="4"/>
  <c r="D12" i="4"/>
  <c r="D36" i="4" s="1"/>
  <c r="D17" i="4"/>
  <c r="G23" i="4"/>
  <c r="C12" i="4"/>
  <c r="CC24" i="6"/>
  <c r="CR15" i="6"/>
  <c r="BY36" i="6"/>
  <c r="BY25" i="6"/>
  <c r="AC41" i="6"/>
  <c r="BU40" i="6"/>
  <c r="BX43" i="6"/>
  <c r="CC23" i="6"/>
  <c r="BQ41" i="6"/>
  <c r="CF40" i="6"/>
  <c r="CK34" i="6"/>
  <c r="CG34" i="6"/>
  <c r="K49" i="100"/>
  <c r="G49" i="100"/>
  <c r="J7" i="100"/>
  <c r="O7" i="100" s="1"/>
  <c r="K31" i="100"/>
  <c r="F8" i="100"/>
  <c r="G8" i="100" s="1"/>
  <c r="G32" i="100"/>
  <c r="G25" i="100"/>
  <c r="K25" i="100"/>
  <c r="K17" i="100"/>
  <c r="G17" i="100"/>
  <c r="J8" i="100"/>
  <c r="K8" i="100" s="1"/>
  <c r="K32" i="100"/>
  <c r="G41" i="100"/>
  <c r="K41" i="100"/>
  <c r="O42" i="100"/>
  <c r="O18" i="100"/>
  <c r="S26" i="100"/>
  <c r="S42" i="100"/>
  <c r="V6" i="100"/>
  <c r="W6" i="100"/>
  <c r="O50" i="100"/>
  <c r="S58" i="100"/>
  <c r="V7" i="100"/>
  <c r="V9" i="100"/>
  <c r="AH27" i="100"/>
  <c r="T48" i="54"/>
  <c r="O77" i="83"/>
  <c r="O126" i="83" s="1"/>
  <c r="O178" i="83" s="1"/>
  <c r="L77" i="83"/>
  <c r="L126" i="83" s="1"/>
  <c r="L178" i="83" s="1"/>
  <c r="DA76" i="1"/>
  <c r="CW24" i="1"/>
  <c r="X57" i="7"/>
  <c r="AB51" i="7"/>
  <c r="AB33" i="7"/>
  <c r="AB45" i="7"/>
  <c r="AF35" i="7"/>
  <c r="AD34" i="7"/>
  <c r="AD58" i="7" s="1"/>
  <c r="V34" i="7"/>
  <c r="V58" i="7" s="1"/>
  <c r="AH34" i="7"/>
  <c r="AF53" i="7"/>
  <c r="AB58" i="7"/>
  <c r="AB52" i="7"/>
  <c r="AF58" i="7"/>
  <c r="AH57" i="7"/>
  <c r="AJ32" i="7"/>
  <c r="AD45" i="7"/>
  <c r="AD51" i="7" s="1"/>
  <c r="AH51" i="7"/>
  <c r="AJ45" i="7"/>
  <c r="AJ51" i="7"/>
  <c r="AH58" i="7"/>
  <c r="AH52" i="7"/>
  <c r="AJ52" i="7"/>
  <c r="CW113" i="1"/>
  <c r="AM50" i="9"/>
  <c r="AO32" i="9"/>
  <c r="AQ67" i="10"/>
  <c r="FX46" i="11"/>
  <c r="T29" i="83" s="1"/>
  <c r="T77" i="83" s="1"/>
  <c r="T126" i="83" s="1"/>
  <c r="T178" i="83" s="1"/>
  <c r="C32" i="4"/>
  <c r="C33" i="4" s="1"/>
  <c r="C42" i="5"/>
  <c r="C35" i="5"/>
  <c r="H15" i="5"/>
  <c r="E15" i="5"/>
  <c r="F19" i="5"/>
  <c r="F23" i="5"/>
  <c r="T48" i="4"/>
  <c r="FC72" i="11" s="1"/>
  <c r="H33" i="4"/>
  <c r="AB143" i="8"/>
  <c r="EJ6" i="11"/>
  <c r="EX73" i="11"/>
  <c r="Q20" i="9"/>
  <c r="AI34" i="9"/>
  <c r="AI41" i="9" s="1"/>
  <c r="AK34" i="9"/>
  <c r="R34" i="9"/>
  <c r="R41" i="9" s="1"/>
  <c r="X34" i="9"/>
  <c r="J54" i="9"/>
  <c r="O56" i="9"/>
  <c r="E20" i="9"/>
  <c r="E43" i="9" s="1"/>
  <c r="E34" i="9"/>
  <c r="E41" i="9" s="1"/>
  <c r="G34" i="9"/>
  <c r="G41" i="9" s="1"/>
  <c r="G43" i="9" s="1"/>
  <c r="AC34" i="9"/>
  <c r="G52" i="9"/>
  <c r="G56" i="9" s="1"/>
  <c r="Z52" i="9"/>
  <c r="AD54" i="9"/>
  <c r="AL52" i="9"/>
  <c r="AL55" i="9" s="1"/>
  <c r="Y34" i="9"/>
  <c r="Y41" i="9" s="1"/>
  <c r="AA41" i="9"/>
  <c r="R20" i="9"/>
  <c r="E53" i="9"/>
  <c r="Q53" i="9"/>
  <c r="F53" i="9"/>
  <c r="AJ29" i="7"/>
  <c r="AL17" i="7"/>
  <c r="T41" i="9"/>
  <c r="H34" i="9"/>
  <c r="H41" i="9" s="1"/>
  <c r="J34" i="9"/>
  <c r="J41" i="9" s="1"/>
  <c r="J43" i="9" s="1"/>
  <c r="N34" i="9"/>
  <c r="N41" i="9" s="1"/>
  <c r="P34" i="9"/>
  <c r="P41" i="9" s="1"/>
  <c r="V34" i="9"/>
  <c r="V41" i="9" s="1"/>
  <c r="N54" i="9"/>
  <c r="AH54" i="9"/>
  <c r="Z55" i="9"/>
  <c r="AH52" i="9"/>
  <c r="AH55" i="9" s="1"/>
  <c r="G55" i="9"/>
  <c r="Y52" i="9"/>
  <c r="Y55" i="9" s="1"/>
  <c r="Y54" i="9"/>
  <c r="P54" i="9"/>
  <c r="AK41" i="9"/>
  <c r="H53" i="9"/>
  <c r="I53" i="9"/>
  <c r="I34" i="9"/>
  <c r="I41" i="9" s="1"/>
  <c r="I43" i="9" s="1"/>
  <c r="K34" i="9"/>
  <c r="M34" i="9"/>
  <c r="M41" i="9" s="1"/>
  <c r="M43" i="9" s="1"/>
  <c r="O34" i="9"/>
  <c r="O41" i="9" s="1"/>
  <c r="Q34" i="9"/>
  <c r="U34" i="9"/>
  <c r="U41" i="9" s="1"/>
  <c r="AB34" i="9"/>
  <c r="AB41" i="9" s="1"/>
  <c r="AD34" i="9"/>
  <c r="AD41" i="9" s="1"/>
  <c r="AH34" i="9"/>
  <c r="AH41" i="9" s="1"/>
  <c r="J52" i="9"/>
  <c r="J55" i="9" s="1"/>
  <c r="L52" i="9"/>
  <c r="L56" i="9" s="1"/>
  <c r="P52" i="9"/>
  <c r="Q41" i="9"/>
  <c r="F52" i="9"/>
  <c r="I52" i="9"/>
  <c r="AI52" i="9"/>
  <c r="AI55" i="9" s="1"/>
  <c r="AB47" i="7"/>
  <c r="AB53" i="7" s="1"/>
  <c r="AH47" i="7"/>
  <c r="AH53" i="7" s="1"/>
  <c r="H12" i="4"/>
  <c r="I28" i="4"/>
  <c r="ET73" i="11"/>
  <c r="G17" i="4"/>
  <c r="AV49" i="6"/>
  <c r="CB42" i="6"/>
  <c r="AK42" i="6"/>
  <c r="AN48" i="6"/>
  <c r="BA40" i="6"/>
  <c r="BI42" i="6"/>
  <c r="BY34" i="6"/>
  <c r="CC34" i="6"/>
  <c r="AJ46" i="6"/>
  <c r="AR46" i="6"/>
  <c r="AV46" i="6"/>
  <c r="BD46" i="6"/>
  <c r="BM40" i="6"/>
  <c r="AZ46" i="6"/>
  <c r="CC25" i="6"/>
  <c r="AC42" i="6"/>
  <c r="BY23" i="6"/>
  <c r="AB48" i="6"/>
  <c r="BX40" i="6"/>
  <c r="BX46" i="6" s="1"/>
  <c r="AO43" i="6"/>
  <c r="BA43" i="6"/>
  <c r="BD49" i="6"/>
  <c r="H54" i="8"/>
  <c r="H46" i="8"/>
  <c r="H20" i="8"/>
  <c r="BL48" i="6"/>
  <c r="BQ42" i="6"/>
  <c r="BM42" i="6"/>
  <c r="BP48" i="6"/>
  <c r="BU36" i="6"/>
  <c r="CC36" i="6"/>
  <c r="BM36" i="6"/>
  <c r="BQ36" i="6"/>
  <c r="AK41" i="6"/>
  <c r="AN46" i="6"/>
  <c r="AS43" i="6"/>
  <c r="BE40" i="6"/>
  <c r="BI40" i="6"/>
  <c r="Y43" i="6"/>
  <c r="BH46" i="6"/>
  <c r="BY37" i="6"/>
  <c r="AW40" i="6"/>
  <c r="BA41" i="6"/>
  <c r="CG37" i="6"/>
  <c r="CB43" i="6"/>
  <c r="N8" i="100"/>
  <c r="O58" i="100"/>
  <c r="S30" i="100"/>
  <c r="O30" i="100"/>
  <c r="F6" i="100"/>
  <c r="G6" i="100" s="1"/>
  <c r="R34" i="100"/>
  <c r="O6" i="100"/>
  <c r="S50" i="100"/>
  <c r="S66" i="100"/>
  <c r="W66" i="100"/>
  <c r="T88" i="54"/>
  <c r="J89" i="54"/>
  <c r="T91" i="54"/>
  <c r="J60" i="54"/>
  <c r="J66" i="54"/>
  <c r="CV143" i="1"/>
  <c r="CX64" i="1"/>
  <c r="CW66" i="1"/>
  <c r="CL72" i="1"/>
  <c r="CP70" i="1"/>
  <c r="CW75" i="1"/>
  <c r="CW46" i="1"/>
  <c r="DB40" i="1"/>
  <c r="CS63" i="1"/>
  <c r="CR31" i="1"/>
  <c r="CR81" i="1" s="1"/>
  <c r="CS81" i="1" s="1"/>
  <c r="CW80" i="1"/>
  <c r="DA60" i="1"/>
  <c r="CW53" i="1"/>
  <c r="CW10" i="1"/>
  <c r="BZ10" i="6" s="1"/>
  <c r="BZ16" i="6" s="1"/>
  <c r="BZ22" i="6" s="1"/>
  <c r="BZ28" i="6" s="1"/>
  <c r="BZ34" i="6" s="1"/>
  <c r="BZ40" i="6" s="1"/>
  <c r="CS41" i="1"/>
  <c r="CK26" i="1"/>
  <c r="I26" i="1"/>
  <c r="M25" i="1"/>
  <c r="U25" i="1"/>
  <c r="BI25" i="1"/>
  <c r="CV35" i="1"/>
  <c r="DA30" i="1"/>
  <c r="CF55" i="1"/>
  <c r="CF56" i="1"/>
  <c r="CJ56" i="1"/>
  <c r="CX54" i="1"/>
  <c r="CX55" i="1"/>
  <c r="BZ72" i="1"/>
  <c r="BZ74" i="1"/>
  <c r="CD73" i="1"/>
  <c r="CH74" i="1"/>
  <c r="DA71" i="1"/>
  <c r="CZ75" i="1"/>
  <c r="DB75" i="1" s="1"/>
  <c r="CZ74" i="1"/>
  <c r="DA74" i="1" s="1"/>
  <c r="BY76" i="1"/>
  <c r="CT126" i="1"/>
  <c r="DA75" i="1"/>
  <c r="CL126" i="1"/>
  <c r="DF60" i="1"/>
  <c r="CO26" i="1"/>
  <c r="CZ36" i="1"/>
  <c r="DA24" i="1"/>
  <c r="CR15" i="1"/>
  <c r="CS45" i="1" s="1"/>
  <c r="CS61" i="1"/>
  <c r="DA46" i="1"/>
  <c r="CS40" i="1"/>
  <c r="CX40" i="1" s="1"/>
  <c r="CU40" i="1"/>
  <c r="CR33" i="1"/>
  <c r="CK74" i="1"/>
  <c r="CL74" i="1" s="1"/>
  <c r="I25" i="1"/>
  <c r="Y26" i="1"/>
  <c r="AS26" i="1"/>
  <c r="BA25" i="1"/>
  <c r="BE25" i="1"/>
  <c r="CW45" i="1"/>
  <c r="CB56" i="1"/>
  <c r="CX65" i="1"/>
  <c r="CD71" i="1"/>
  <c r="BZ73" i="1"/>
  <c r="CD70" i="1"/>
  <c r="CD72" i="1"/>
  <c r="CL70" i="1"/>
  <c r="CP72" i="1"/>
  <c r="CS76" i="1"/>
  <c r="CC75" i="1"/>
  <c r="DB121" i="1"/>
  <c r="DF121" i="1"/>
  <c r="CP126" i="1"/>
  <c r="BV125" i="1"/>
  <c r="BV126" i="1"/>
  <c r="DT74" i="1"/>
  <c r="DA35" i="1"/>
  <c r="AO25" i="1"/>
  <c r="AS25" i="1"/>
  <c r="BU25" i="1"/>
  <c r="DB42" i="1"/>
  <c r="DF42" i="1"/>
  <c r="DP42" i="1" s="1"/>
  <c r="DA45" i="1"/>
  <c r="CD74" i="1"/>
  <c r="CH71" i="1"/>
  <c r="CT71" i="1"/>
  <c r="CX126" i="1"/>
  <c r="CD125" i="1"/>
  <c r="CH125" i="1"/>
  <c r="D139" i="8"/>
  <c r="AB141" i="3"/>
  <c r="AK141" i="3" s="1"/>
  <c r="AH46" i="4"/>
  <c r="AE58" i="4"/>
  <c r="AB145" i="3"/>
  <c r="U43" i="67"/>
  <c r="U45" i="67" s="1"/>
  <c r="V45" i="67" s="1"/>
  <c r="V43" i="67" s="1"/>
  <c r="V44" i="67" s="1"/>
  <c r="F239" i="54"/>
  <c r="AB139" i="3"/>
  <c r="T43" i="54"/>
  <c r="J58" i="54"/>
  <c r="C245" i="54"/>
  <c r="E245" i="54" s="1"/>
  <c r="AH49" i="4"/>
  <c r="AE61" i="4"/>
  <c r="AB70" i="4"/>
  <c r="AB71" i="4" s="1"/>
  <c r="J82" i="54"/>
  <c r="AF70" i="4"/>
  <c r="AI46" i="4"/>
  <c r="AI47" i="4" s="1"/>
  <c r="AF58" i="4"/>
  <c r="AF73" i="4"/>
  <c r="T66" i="4"/>
  <c r="U64" i="4" s="1"/>
  <c r="T59" i="54"/>
  <c r="J65" i="54"/>
  <c r="T60" i="54"/>
  <c r="T61" i="54"/>
  <c r="T64" i="54"/>
  <c r="J70" i="54"/>
  <c r="T71" i="54"/>
  <c r="J78" i="54"/>
  <c r="T90" i="54"/>
  <c r="T94" i="54"/>
  <c r="E228" i="54"/>
  <c r="FP72" i="11"/>
  <c r="T43" i="67" s="1"/>
  <c r="T45" i="67" s="1"/>
  <c r="AG49" i="4"/>
  <c r="AD61" i="4"/>
  <c r="AC58" i="4"/>
  <c r="AC61" i="4"/>
  <c r="T13" i="54"/>
  <c r="J13" i="54"/>
  <c r="T16" i="54"/>
  <c r="T24" i="54"/>
  <c r="T25" i="54"/>
  <c r="J29" i="54"/>
  <c r="T40" i="54"/>
  <c r="T41" i="54"/>
  <c r="J90" i="54"/>
  <c r="J84" i="54"/>
  <c r="T95" i="54"/>
  <c r="T96" i="54"/>
  <c r="E232" i="54"/>
  <c r="D234" i="54"/>
  <c r="J42" i="54"/>
  <c r="J54" i="54"/>
  <c r="T55" i="54"/>
  <c r="T65" i="54"/>
  <c r="J72" i="54"/>
  <c r="T85" i="54"/>
  <c r="J94" i="54"/>
  <c r="AD73" i="4"/>
  <c r="FR83" i="11"/>
  <c r="FR73" i="11"/>
  <c r="AI49" i="4"/>
  <c r="AF61" i="4"/>
  <c r="AB73" i="4"/>
  <c r="C141" i="3"/>
  <c r="G141" i="3" s="1"/>
  <c r="D138" i="8"/>
  <c r="C147" i="3"/>
  <c r="G147" i="3" s="1"/>
  <c r="AJ58" i="7"/>
  <c r="J10" i="100"/>
  <c r="S18" i="100"/>
  <c r="O26" i="100"/>
  <c r="O66" i="100"/>
  <c r="S6" i="100"/>
  <c r="F7" i="100"/>
  <c r="G7" i="100" s="1"/>
  <c r="O31" i="100"/>
  <c r="W50" i="100"/>
  <c r="F33" i="100"/>
  <c r="K33" i="100" s="1"/>
  <c r="J34" i="100"/>
  <c r="S31" i="100"/>
  <c r="W18" i="100"/>
  <c r="W58" i="100"/>
  <c r="G132" i="3"/>
  <c r="D137" i="8"/>
  <c r="C134" i="3"/>
  <c r="G134" i="3" s="1"/>
  <c r="D130" i="8"/>
  <c r="T134" i="3"/>
  <c r="AI134" i="3" s="1"/>
  <c r="DT18" i="11"/>
  <c r="D132" i="8"/>
  <c r="L132" i="8" s="1"/>
  <c r="T140" i="3"/>
  <c r="AI140" i="3" s="1"/>
  <c r="R142" i="3"/>
  <c r="D140" i="8" s="1"/>
  <c r="C140" i="3"/>
  <c r="G140" i="3" s="1"/>
  <c r="DS18" i="11"/>
  <c r="D129" i="8"/>
  <c r="L129" i="8" s="1"/>
  <c r="AJ33" i="7"/>
  <c r="AJ57" i="7" s="1"/>
  <c r="DE75" i="1"/>
  <c r="P29" i="83"/>
  <c r="EU73" i="11"/>
  <c r="AJ44" i="7"/>
  <c r="AJ50" i="7" s="1"/>
  <c r="F28" i="4"/>
  <c r="G12" i="4"/>
  <c r="G36" i="4" s="1"/>
  <c r="F23" i="4"/>
  <c r="F12" i="4"/>
  <c r="F17" i="4"/>
  <c r="BR6" i="11"/>
  <c r="R5" i="4"/>
  <c r="D221" i="54"/>
  <c r="E221" i="54"/>
  <c r="D227" i="54"/>
  <c r="BU41" i="1"/>
  <c r="BT31" i="1"/>
  <c r="BU61" i="1"/>
  <c r="R7" i="11"/>
  <c r="W6" i="11"/>
  <c r="X6" i="11" s="1"/>
  <c r="Y6" i="11" s="1"/>
  <c r="Z6" i="11" s="1"/>
  <c r="CG6" i="11"/>
  <c r="D24" i="4"/>
  <c r="E24" i="4"/>
  <c r="Q5" i="5"/>
  <c r="FV62" i="11"/>
  <c r="D19" i="5"/>
  <c r="E19" i="5"/>
  <c r="E143" i="3"/>
  <c r="D94" i="8"/>
  <c r="F56" i="9"/>
  <c r="F55" i="9"/>
  <c r="M51" i="9"/>
  <c r="M52" i="9"/>
  <c r="M55" i="9" s="1"/>
  <c r="M54" i="9"/>
  <c r="U52" i="9"/>
  <c r="U55" i="9" s="1"/>
  <c r="U54" i="9"/>
  <c r="AC54" i="9"/>
  <c r="AC52" i="9"/>
  <c r="AC55" i="9" s="1"/>
  <c r="AK54" i="9"/>
  <c r="AK52" i="9"/>
  <c r="AK55" i="9" s="1"/>
  <c r="AR6" i="11"/>
  <c r="P80" i="67"/>
  <c r="F178" i="83"/>
  <c r="M126" i="83"/>
  <c r="BX6" i="1"/>
  <c r="CG75" i="1"/>
  <c r="CG25" i="1"/>
  <c r="CR14" i="1"/>
  <c r="D126" i="8"/>
  <c r="DE24" i="1"/>
  <c r="CM6" i="11"/>
  <c r="BL6" i="11"/>
  <c r="D108" i="8"/>
  <c r="A130" i="67"/>
  <c r="B130" i="67"/>
  <c r="U74" i="67"/>
  <c r="EK6" i="11"/>
  <c r="J178" i="83"/>
  <c r="CR74" i="1"/>
  <c r="CS70" i="1"/>
  <c r="CT70" i="1" s="1"/>
  <c r="CX70" i="1"/>
  <c r="CR75" i="1"/>
  <c r="N20" i="4"/>
  <c r="N44" i="4"/>
  <c r="N14" i="4"/>
  <c r="AF41" i="9"/>
  <c r="AF54" i="9"/>
  <c r="AF52" i="9"/>
  <c r="AF55" i="9" s="1"/>
  <c r="N126" i="83"/>
  <c r="D109" i="8"/>
  <c r="CU6" i="11"/>
  <c r="D102" i="8"/>
  <c r="CX43" i="1"/>
  <c r="DB43" i="1"/>
  <c r="DP43" i="1" s="1"/>
  <c r="BX55" i="1"/>
  <c r="CH73" i="1"/>
  <c r="CL73" i="1"/>
  <c r="K20" i="4"/>
  <c r="K14" i="4"/>
  <c r="L44" i="4"/>
  <c r="AE70" i="4"/>
  <c r="AE73" i="4"/>
  <c r="AD70" i="4"/>
  <c r="AJ79" i="4"/>
  <c r="AJ77" i="4"/>
  <c r="BX6" i="11"/>
  <c r="DU6" i="11"/>
  <c r="H55" i="9"/>
  <c r="H56" i="9"/>
  <c r="AP145" i="3"/>
  <c r="AP146" i="3"/>
  <c r="AC9" i="4"/>
  <c r="T110" i="3"/>
  <c r="AA9" i="4"/>
  <c r="T96" i="3"/>
  <c r="AB9" i="4"/>
  <c r="T105" i="3"/>
  <c r="S107" i="67"/>
  <c r="S41" i="67"/>
  <c r="T41" i="67"/>
  <c r="FU68" i="11"/>
  <c r="FV7" i="11"/>
  <c r="FW7" i="11" s="1"/>
  <c r="F227" i="54"/>
  <c r="F233" i="54"/>
  <c r="AO19" i="9"/>
  <c r="EU7" i="11"/>
  <c r="ET68" i="11"/>
  <c r="BU11" i="1"/>
  <c r="AX11" i="6" s="1"/>
  <c r="AX17" i="6" s="1"/>
  <c r="AX23" i="6" s="1"/>
  <c r="AX29" i="6" s="1"/>
  <c r="AX35" i="6" s="1"/>
  <c r="AX41" i="6" s="1"/>
  <c r="B171" i="54"/>
  <c r="P109" i="67"/>
  <c r="R78" i="67"/>
  <c r="Q56" i="9"/>
  <c r="Q55" i="9"/>
  <c r="BF6" i="11"/>
  <c r="CW143" i="1"/>
  <c r="CV173" i="1"/>
  <c r="CV163" i="1"/>
  <c r="I77" i="67"/>
  <c r="I76" i="67"/>
  <c r="T112" i="54"/>
  <c r="J112" i="54"/>
  <c r="T54" i="9"/>
  <c r="T52" i="9"/>
  <c r="T55" i="9" s="1"/>
  <c r="AB52" i="9"/>
  <c r="AB55" i="9" s="1"/>
  <c r="AB54" i="9"/>
  <c r="AJ54" i="9"/>
  <c r="AJ52" i="9"/>
  <c r="AJ55" i="9" s="1"/>
  <c r="AW6" i="11"/>
  <c r="DA81" i="1"/>
  <c r="CZ111" i="1"/>
  <c r="BY26" i="1"/>
  <c r="BU26" i="1"/>
  <c r="BU76" i="1"/>
  <c r="T102" i="54"/>
  <c r="J102" i="54"/>
  <c r="J108" i="54"/>
  <c r="J114" i="54"/>
  <c r="T109" i="54"/>
  <c r="T108" i="54"/>
  <c r="F118" i="54"/>
  <c r="E119" i="54"/>
  <c r="I118" i="54"/>
  <c r="AN67" i="10"/>
  <c r="FU46" i="11"/>
  <c r="CZ113" i="1"/>
  <c r="DB83" i="1"/>
  <c r="CY7" i="11"/>
  <c r="CW110" i="1"/>
  <c r="CW120" i="1"/>
  <c r="CV140" i="1"/>
  <c r="CS62" i="1"/>
  <c r="CW12" i="1"/>
  <c r="BZ12" i="6" s="1"/>
  <c r="BZ18" i="6" s="1"/>
  <c r="BZ24" i="6" s="1"/>
  <c r="BZ30" i="6" s="1"/>
  <c r="BZ36" i="6" s="1"/>
  <c r="BZ42" i="6" s="1"/>
  <c r="CR16" i="1"/>
  <c r="CS42" i="1"/>
  <c r="CR32" i="1"/>
  <c r="BX56" i="1"/>
  <c r="T49" i="54"/>
  <c r="T52" i="54"/>
  <c r="J49" i="54"/>
  <c r="J55" i="54"/>
  <c r="J53" i="54"/>
  <c r="T54" i="54"/>
  <c r="T97" i="54"/>
  <c r="T100" i="54"/>
  <c r="J97" i="54"/>
  <c r="J41" i="4"/>
  <c r="J43" i="4"/>
  <c r="AO42" i="6"/>
  <c r="AS42" i="6"/>
  <c r="AR48" i="6"/>
  <c r="AZ48" i="6"/>
  <c r="BD48" i="6"/>
  <c r="BE42" i="6"/>
  <c r="O25" i="67"/>
  <c r="AB6" i="11"/>
  <c r="AC6" i="11" s="1"/>
  <c r="AD6" i="11" s="1"/>
  <c r="AE6" i="11" s="1"/>
  <c r="AV6" i="1"/>
  <c r="F220" i="54"/>
  <c r="F226" i="54"/>
  <c r="B9" i="8"/>
  <c r="H18" i="8"/>
  <c r="H21" i="8"/>
  <c r="H17" i="8"/>
  <c r="H19" i="8"/>
  <c r="X69" i="67"/>
  <c r="CV81" i="1"/>
  <c r="CW51" i="1"/>
  <c r="DA31" i="1"/>
  <c r="E136" i="3"/>
  <c r="R135" i="3"/>
  <c r="C133" i="3"/>
  <c r="G133" i="3" s="1"/>
  <c r="T133" i="3"/>
  <c r="D131" i="8"/>
  <c r="L131" i="8" s="1"/>
  <c r="C139" i="3"/>
  <c r="G139" i="3" s="1"/>
  <c r="S53" i="9"/>
  <c r="S20" i="9"/>
  <c r="S43" i="9" s="1"/>
  <c r="P47" i="7"/>
  <c r="P53" i="7"/>
  <c r="P35" i="7"/>
  <c r="P59" i="7" s="1"/>
  <c r="Z45" i="7"/>
  <c r="Z51" i="7" s="1"/>
  <c r="Z33" i="7"/>
  <c r="AD44" i="7"/>
  <c r="AD50" i="7" s="1"/>
  <c r="AD32" i="7"/>
  <c r="S57" i="67"/>
  <c r="S59" i="67"/>
  <c r="I6" i="67"/>
  <c r="I101" i="67"/>
  <c r="I53" i="67"/>
  <c r="I54" i="67" s="1"/>
  <c r="P6" i="67"/>
  <c r="U103" i="67"/>
  <c r="V68" i="67"/>
  <c r="M75" i="67"/>
  <c r="M108" i="67"/>
  <c r="M74" i="67"/>
  <c r="AO67" i="10"/>
  <c r="CR111" i="1"/>
  <c r="CW55" i="1"/>
  <c r="CV85" i="1"/>
  <c r="FB72" i="11"/>
  <c r="L77" i="67"/>
  <c r="L75" i="67"/>
  <c r="L76" i="67"/>
  <c r="CG26" i="1"/>
  <c r="CC26" i="1"/>
  <c r="DB41" i="1"/>
  <c r="DF41" i="1"/>
  <c r="CX56" i="1"/>
  <c r="CT125" i="1"/>
  <c r="CX125" i="1"/>
  <c r="T10" i="54"/>
  <c r="T11" i="54"/>
  <c r="J16" i="54"/>
  <c r="T18" i="54"/>
  <c r="J18" i="54"/>
  <c r="T19" i="54"/>
  <c r="J24" i="54"/>
  <c r="J46" i="54"/>
  <c r="T47" i="54"/>
  <c r="J52" i="54"/>
  <c r="F44" i="4"/>
  <c r="F14" i="4"/>
  <c r="F20" i="4"/>
  <c r="F21" i="4" s="1"/>
  <c r="AV7" i="6"/>
  <c r="H83" i="8" s="1"/>
  <c r="N5" i="7"/>
  <c r="D136" i="8"/>
  <c r="C138" i="3"/>
  <c r="G138" i="3" s="1"/>
  <c r="AC73" i="4"/>
  <c r="AC70" i="4"/>
  <c r="AC71" i="4" s="1"/>
  <c r="E54" i="9"/>
  <c r="E51" i="9"/>
  <c r="E52" i="9"/>
  <c r="E55" i="9" s="1"/>
  <c r="K51" i="9"/>
  <c r="K56" i="9" s="1"/>
  <c r="K54" i="9"/>
  <c r="S54" i="9"/>
  <c r="S52" i="9"/>
  <c r="S55" i="9" s="1"/>
  <c r="AA52" i="9"/>
  <c r="AA55" i="9" s="1"/>
  <c r="AA54" i="9"/>
  <c r="BI43" i="6"/>
  <c r="BE43" i="6"/>
  <c r="H46" i="7"/>
  <c r="H34" i="7"/>
  <c r="H58" i="7" s="1"/>
  <c r="H52" i="7"/>
  <c r="L44" i="7"/>
  <c r="L50" i="7"/>
  <c r="L32" i="7"/>
  <c r="L56" i="7" s="1"/>
  <c r="R32" i="7"/>
  <c r="R56" i="7" s="1"/>
  <c r="R44" i="7"/>
  <c r="R50" i="7" s="1"/>
  <c r="T52" i="7"/>
  <c r="V35" i="7"/>
  <c r="V59" i="7" s="1"/>
  <c r="V53" i="7"/>
  <c r="Z58" i="7"/>
  <c r="Z52" i="7"/>
  <c r="N74" i="67"/>
  <c r="N75" i="67" s="1"/>
  <c r="O107" i="67"/>
  <c r="DB66" i="1"/>
  <c r="DA66" i="1"/>
  <c r="FO83" i="11"/>
  <c r="F43" i="5"/>
  <c r="F50" i="5"/>
  <c r="EV73" i="11"/>
  <c r="EW73" i="11"/>
  <c r="CO24" i="1"/>
  <c r="CO74" i="1"/>
  <c r="CP74" i="1" s="1"/>
  <c r="CS24" i="1"/>
  <c r="CV36" i="1"/>
  <c r="CW56" i="1" s="1"/>
  <c r="CV82" i="1"/>
  <c r="CW52" i="1"/>
  <c r="DB74" i="1"/>
  <c r="T30" i="54"/>
  <c r="J30" i="54"/>
  <c r="T107" i="54"/>
  <c r="J107" i="54"/>
  <c r="J113" i="54"/>
  <c r="T114" i="54"/>
  <c r="T113" i="54"/>
  <c r="C119" i="54"/>
  <c r="D118" i="54"/>
  <c r="D124" i="54"/>
  <c r="D226" i="54"/>
  <c r="D220" i="54"/>
  <c r="Y40" i="6"/>
  <c r="X46" i="6"/>
  <c r="I36" i="4"/>
  <c r="H109" i="67"/>
  <c r="AG25" i="1"/>
  <c r="AK25" i="1"/>
  <c r="CW74" i="1"/>
  <c r="CC76" i="1"/>
  <c r="CW94" i="1"/>
  <c r="J41" i="54"/>
  <c r="T35" i="54"/>
  <c r="J35" i="54"/>
  <c r="J77" i="54"/>
  <c r="T77" i="54"/>
  <c r="J103" i="54"/>
  <c r="J115" i="54"/>
  <c r="T115" i="54"/>
  <c r="D222" i="54"/>
  <c r="E222" i="54"/>
  <c r="I15" i="5"/>
  <c r="I34" i="5"/>
  <c r="H77" i="8"/>
  <c r="H68" i="8"/>
  <c r="H59" i="8"/>
  <c r="H56" i="8"/>
  <c r="H33" i="8"/>
  <c r="H76" i="8"/>
  <c r="H67" i="8"/>
  <c r="H55" i="8"/>
  <c r="H45" i="8"/>
  <c r="H42" i="8"/>
  <c r="H32" i="8"/>
  <c r="H74" i="8"/>
  <c r="H66" i="8"/>
  <c r="H60" i="8"/>
  <c r="H49" i="8"/>
  <c r="H25" i="8"/>
  <c r="H53" i="8"/>
  <c r="H48" i="8"/>
  <c r="H75" i="8"/>
  <c r="H61" i="8"/>
  <c r="H73" i="8"/>
  <c r="H39" i="8"/>
  <c r="H35" i="8"/>
  <c r="H28" i="8"/>
  <c r="H47" i="8"/>
  <c r="H38" i="8"/>
  <c r="H34" i="8"/>
  <c r="H24" i="8"/>
  <c r="H27" i="8"/>
  <c r="H63" i="8"/>
  <c r="H41" i="8"/>
  <c r="H26" i="8"/>
  <c r="H62" i="8"/>
  <c r="H40" i="8"/>
  <c r="H70" i="8"/>
  <c r="H52" i="8"/>
  <c r="H69" i="8"/>
  <c r="H31" i="8"/>
  <c r="BL46" i="6"/>
  <c r="BQ40" i="6"/>
  <c r="H82" i="8"/>
  <c r="L107" i="67"/>
  <c r="K108" i="67"/>
  <c r="I107" i="67"/>
  <c r="H75" i="67"/>
  <c r="H76" i="67"/>
  <c r="H108" i="67"/>
  <c r="L25" i="67"/>
  <c r="F245" i="54"/>
  <c r="BY25" i="1"/>
  <c r="CP73" i="1"/>
  <c r="CT73" i="1"/>
  <c r="CL125" i="1"/>
  <c r="D118" i="8"/>
  <c r="T120" i="3"/>
  <c r="C127" i="3"/>
  <c r="G127" i="3" s="1"/>
  <c r="F228" i="54"/>
  <c r="F232" i="54"/>
  <c r="G44" i="4"/>
  <c r="G14" i="4"/>
  <c r="G20" i="4"/>
  <c r="H44" i="4"/>
  <c r="L14" i="4"/>
  <c r="L20" i="4"/>
  <c r="M44" i="4"/>
  <c r="I23" i="5"/>
  <c r="AE34" i="9"/>
  <c r="AE41" i="9" s="1"/>
  <c r="K41" i="9"/>
  <c r="K43" i="9" s="1"/>
  <c r="AC40" i="6"/>
  <c r="AB46" i="6"/>
  <c r="AZ49" i="6"/>
  <c r="L51" i="7"/>
  <c r="L33" i="7"/>
  <c r="L57" i="7" s="1"/>
  <c r="N52" i="7"/>
  <c r="N34" i="7"/>
  <c r="N58" i="7" s="1"/>
  <c r="R45" i="7"/>
  <c r="R51" i="7"/>
  <c r="R33" i="7"/>
  <c r="X44" i="7"/>
  <c r="X50" i="7" s="1"/>
  <c r="X32" i="7"/>
  <c r="AH44" i="7"/>
  <c r="AH56" i="7" s="1"/>
  <c r="G75" i="67"/>
  <c r="G76" i="67"/>
  <c r="E41" i="67"/>
  <c r="R8" i="100"/>
  <c r="S8" i="100" s="1"/>
  <c r="W32" i="100"/>
  <c r="S32" i="100"/>
  <c r="N9" i="100"/>
  <c r="O9" i="100" s="1"/>
  <c r="N34" i="100"/>
  <c r="Y25" i="1"/>
  <c r="BA26" i="1"/>
  <c r="AW26" i="1"/>
  <c r="CJ55" i="1"/>
  <c r="DB65" i="1"/>
  <c r="DA65" i="1"/>
  <c r="CH72" i="1"/>
  <c r="CX124" i="1"/>
  <c r="J17" i="54"/>
  <c r="J23" i="54"/>
  <c r="T17" i="54"/>
  <c r="AE48" i="4"/>
  <c r="AF46" i="4" s="1"/>
  <c r="J235" i="54"/>
  <c r="J241" i="54"/>
  <c r="S66" i="4"/>
  <c r="S78" i="4"/>
  <c r="S54" i="4"/>
  <c r="P53" i="9"/>
  <c r="P20" i="9"/>
  <c r="AV48" i="6"/>
  <c r="AW42" i="6"/>
  <c r="F41" i="67"/>
  <c r="R107" i="67"/>
  <c r="S106" i="67"/>
  <c r="R75" i="67"/>
  <c r="S109" i="67" s="1"/>
  <c r="R74" i="67"/>
  <c r="R10" i="100"/>
  <c r="R9" i="100"/>
  <c r="W33" i="100"/>
  <c r="AF59" i="7"/>
  <c r="DJ68" i="11"/>
  <c r="BM25" i="1"/>
  <c r="BQ25" i="1"/>
  <c r="CX66" i="1"/>
  <c r="A18" i="3"/>
  <c r="T36" i="54"/>
  <c r="T82" i="54"/>
  <c r="J88" i="54"/>
  <c r="C23" i="5"/>
  <c r="D23" i="5"/>
  <c r="L34" i="9"/>
  <c r="L41" i="9" s="1"/>
  <c r="L43" i="9" s="1"/>
  <c r="AG34" i="9"/>
  <c r="AG41" i="9" s="1"/>
  <c r="F41" i="9"/>
  <c r="F43" i="9" s="1"/>
  <c r="CC22" i="6"/>
  <c r="CB40" i="6"/>
  <c r="BP46" i="6"/>
  <c r="AJ47" i="6"/>
  <c r="U108" i="67"/>
  <c r="V73" i="67"/>
  <c r="G54" i="67"/>
  <c r="M25" i="67"/>
  <c r="C6" i="67"/>
  <c r="C101" i="67"/>
  <c r="J53" i="67"/>
  <c r="J54" i="67" s="1"/>
  <c r="J6" i="67"/>
  <c r="J101" i="67"/>
  <c r="P79" i="67"/>
  <c r="D77" i="67"/>
  <c r="DA15" i="1"/>
  <c r="AC25" i="1"/>
  <c r="AO26" i="1"/>
  <c r="BM26" i="1"/>
  <c r="BY75" i="1"/>
  <c r="CC25" i="1"/>
  <c r="B33" i="54"/>
  <c r="T54" i="4"/>
  <c r="T78" i="4"/>
  <c r="E12" i="4"/>
  <c r="E36" i="4" s="1"/>
  <c r="E28" i="4"/>
  <c r="E17" i="4"/>
  <c r="N47" i="4"/>
  <c r="AC43" i="6"/>
  <c r="AB49" i="6"/>
  <c r="AG43" i="6"/>
  <c r="AF49" i="6"/>
  <c r="I109" i="67"/>
  <c r="J108" i="67"/>
  <c r="D101" i="67"/>
  <c r="D53" i="67"/>
  <c r="D6" i="67"/>
  <c r="K6" i="67"/>
  <c r="K53" i="67"/>
  <c r="CO6" i="11"/>
  <c r="H46" i="5"/>
  <c r="H43" i="5"/>
  <c r="H50" i="5"/>
  <c r="U26" i="1"/>
  <c r="Q26" i="1"/>
  <c r="DA32" i="1"/>
  <c r="CZ82" i="1"/>
  <c r="T31" i="54"/>
  <c r="J31" i="54"/>
  <c r="J37" i="54"/>
  <c r="H47" i="4"/>
  <c r="H23" i="4"/>
  <c r="AG40" i="6"/>
  <c r="AF46" i="6"/>
  <c r="F47" i="7"/>
  <c r="F53" i="7" s="1"/>
  <c r="F35" i="7"/>
  <c r="K57" i="67"/>
  <c r="J59" i="67"/>
  <c r="L101" i="67"/>
  <c r="L53" i="67"/>
  <c r="DA33" i="1"/>
  <c r="B50" i="5"/>
  <c r="B46" i="5"/>
  <c r="T57" i="7"/>
  <c r="J56" i="7"/>
  <c r="H50" i="7"/>
  <c r="H56" i="7"/>
  <c r="CH70" i="1"/>
  <c r="CT72" i="1"/>
  <c r="J34" i="54"/>
  <c r="T29" i="54"/>
  <c r="J28" i="54"/>
  <c r="J83" i="54"/>
  <c r="D15" i="5"/>
  <c r="D34" i="5"/>
  <c r="E23" i="5"/>
  <c r="N53" i="9"/>
  <c r="N20" i="9"/>
  <c r="N43" i="9" s="1"/>
  <c r="BQ25" i="6"/>
  <c r="BP43" i="6"/>
  <c r="AJ49" i="6"/>
  <c r="AN49" i="6"/>
  <c r="AR47" i="6"/>
  <c r="AW41" i="6"/>
  <c r="F51" i="7"/>
  <c r="J75" i="67"/>
  <c r="R101" i="67"/>
  <c r="R104" i="67"/>
  <c r="R105" i="67"/>
  <c r="R103" i="67"/>
  <c r="G41" i="67"/>
  <c r="M41" i="67"/>
  <c r="N57" i="67"/>
  <c r="M57" i="67"/>
  <c r="C73" i="67"/>
  <c r="D106" i="67"/>
  <c r="L106" i="67"/>
  <c r="K107" i="67"/>
  <c r="K74" i="67"/>
  <c r="K75" i="67"/>
  <c r="DF75" i="1"/>
  <c r="S7" i="100"/>
  <c r="G131" i="3"/>
  <c r="T98" i="3"/>
  <c r="F33" i="4"/>
  <c r="BU41" i="6"/>
  <c r="BT47" i="6"/>
  <c r="T56" i="7"/>
  <c r="CK25" i="1"/>
  <c r="CW25" i="1"/>
  <c r="DA25" i="1"/>
  <c r="Q25" i="1"/>
  <c r="AW25" i="1"/>
  <c r="BZ70" i="1"/>
  <c r="CX76" i="1"/>
  <c r="CW76" i="1"/>
  <c r="DB76" i="1"/>
  <c r="CZ125" i="1"/>
  <c r="DB125" i="1" s="1"/>
  <c r="T22" i="54"/>
  <c r="J22" i="54"/>
  <c r="T23" i="54"/>
  <c r="T66" i="54"/>
  <c r="T79" i="54"/>
  <c r="J79" i="54"/>
  <c r="E234" i="54"/>
  <c r="F238" i="54"/>
  <c r="F244" i="54"/>
  <c r="C246" i="54"/>
  <c r="G28" i="4"/>
  <c r="F47" i="4"/>
  <c r="AB58" i="4"/>
  <c r="AB59" i="4" s="1"/>
  <c r="AB61" i="4"/>
  <c r="E34" i="5"/>
  <c r="AC41" i="9"/>
  <c r="AD47" i="7"/>
  <c r="BT43" i="6"/>
  <c r="BY43" i="6" s="1"/>
  <c r="BU25" i="6"/>
  <c r="BT42" i="6"/>
  <c r="AK43" i="6"/>
  <c r="BH49" i="6"/>
  <c r="BM43" i="6"/>
  <c r="C74" i="67"/>
  <c r="H41" i="67"/>
  <c r="O41" i="67"/>
  <c r="N41" i="67"/>
  <c r="G59" i="67"/>
  <c r="G57" i="67"/>
  <c r="U107" i="67"/>
  <c r="V72" i="67"/>
  <c r="D103" i="8"/>
  <c r="CT15" i="1"/>
  <c r="BU75" i="1"/>
  <c r="CK75" i="1"/>
  <c r="CD126" i="1"/>
  <c r="CH126" i="1"/>
  <c r="J59" i="54"/>
  <c r="E240" i="54"/>
  <c r="C17" i="4"/>
  <c r="D28" i="4"/>
  <c r="O20" i="9"/>
  <c r="O43" i="9" s="1"/>
  <c r="X41" i="9"/>
  <c r="R52" i="9"/>
  <c r="R55" i="9" s="1"/>
  <c r="R51" i="9"/>
  <c r="BX47" i="6"/>
  <c r="BY41" i="6"/>
  <c r="D96" i="8"/>
  <c r="S75" i="67"/>
  <c r="H57" i="67"/>
  <c r="I57" i="67"/>
  <c r="O101" i="67"/>
  <c r="O53" i="67"/>
  <c r="J62" i="9"/>
  <c r="G55" i="5"/>
  <c r="CB48" i="6"/>
  <c r="BT56" i="1"/>
  <c r="CZ64" i="1"/>
  <c r="CZ50" i="1"/>
  <c r="CK76" i="1"/>
  <c r="CL76" i="1" s="1"/>
  <c r="D232" i="54"/>
  <c r="AA5" i="5"/>
  <c r="Z5" i="4"/>
  <c r="B32" i="4"/>
  <c r="B33" i="4" s="1"/>
  <c r="B35" i="5"/>
  <c r="N52" i="9"/>
  <c r="N55" i="9" s="1"/>
  <c r="N51" i="9"/>
  <c r="V52" i="9"/>
  <c r="V55" i="9" s="1"/>
  <c r="AD52" i="9"/>
  <c r="AD55" i="9" s="1"/>
  <c r="CC37" i="6"/>
  <c r="Z47" i="7"/>
  <c r="Z53" i="7" s="1"/>
  <c r="Z35" i="7"/>
  <c r="AD52" i="7"/>
  <c r="O76" i="67"/>
  <c r="O77" i="67"/>
  <c r="W26" i="100"/>
  <c r="DD50" i="1"/>
  <c r="DE60" i="1"/>
  <c r="AD57" i="7"/>
  <c r="CR30" i="1"/>
  <c r="CW26" i="1"/>
  <c r="CL71" i="1"/>
  <c r="T12" i="54"/>
  <c r="J19" i="54"/>
  <c r="T34" i="54"/>
  <c r="T67" i="54"/>
  <c r="J67" i="54"/>
  <c r="T70" i="54"/>
  <c r="D228" i="54"/>
  <c r="D233" i="54"/>
  <c r="D244" i="54"/>
  <c r="P40" i="4"/>
  <c r="O43" i="4"/>
  <c r="AR49" i="6"/>
  <c r="AW43" i="6"/>
  <c r="Q59" i="67"/>
  <c r="R57" i="67"/>
  <c r="U102" i="67"/>
  <c r="I108" i="67"/>
  <c r="R106" i="67"/>
  <c r="CS26" i="1"/>
  <c r="DD76" i="1"/>
  <c r="DJ76" i="1" s="1"/>
  <c r="DU72" i="1"/>
  <c r="DU74" i="1" s="1"/>
  <c r="DX18" i="11" a="1"/>
  <c r="CO76" i="1"/>
  <c r="CT76" i="1" s="1"/>
  <c r="CC17" i="6"/>
  <c r="CB41" i="6"/>
  <c r="AK40" i="6"/>
  <c r="P50" i="7"/>
  <c r="P32" i="7"/>
  <c r="P56" i="7" s="1"/>
  <c r="R47" i="7"/>
  <c r="R53" i="7" s="1"/>
  <c r="R35" i="7"/>
  <c r="R59" i="7" s="1"/>
  <c r="V57" i="7"/>
  <c r="V102" i="67"/>
  <c r="W67" i="67"/>
  <c r="Q107" i="67"/>
  <c r="Q74" i="67"/>
  <c r="Q109" i="67" s="1"/>
  <c r="T108" i="67"/>
  <c r="W31" i="100"/>
  <c r="V34" i="100"/>
  <c r="AH28" i="100" s="1"/>
  <c r="DF40" i="1"/>
  <c r="DP40" i="1" s="1"/>
  <c r="G106" i="67"/>
  <c r="F73" i="67"/>
  <c r="D238" i="54"/>
  <c r="H28" i="4"/>
  <c r="L47" i="4"/>
  <c r="AD58" i="4"/>
  <c r="BL49" i="6"/>
  <c r="U104" i="67"/>
  <c r="U70" i="67"/>
  <c r="T107" i="67"/>
  <c r="T104" i="67"/>
  <c r="T106" i="67"/>
  <c r="E75" i="67"/>
  <c r="AP141" i="3"/>
  <c r="AG46" i="4"/>
  <c r="J36" i="54"/>
  <c r="C239" i="54"/>
  <c r="T66" i="67"/>
  <c r="U71" i="67"/>
  <c r="I106" i="67"/>
  <c r="H107" i="67"/>
  <c r="DF71" i="1"/>
  <c r="W42" i="100"/>
  <c r="AJ27" i="9"/>
  <c r="AJ34" i="9" s="1"/>
  <c r="AJ41" i="9" s="1"/>
  <c r="AO40" i="6"/>
  <c r="AS40" i="6"/>
  <c r="W30" i="100"/>
  <c r="CR225" i="1" l="1"/>
  <c r="FX7" i="11"/>
  <c r="FW68" i="11"/>
  <c r="P77" i="83"/>
  <c r="H43" i="9"/>
  <c r="Q43" i="9"/>
  <c r="P43" i="9"/>
  <c r="R56" i="9"/>
  <c r="R43" i="9"/>
  <c r="AN32" i="9"/>
  <c r="AL23" i="7"/>
  <c r="AL29" i="7" s="1"/>
  <c r="AO25" i="9"/>
  <c r="AP25" i="9" s="1"/>
  <c r="AQ25" i="9" s="1"/>
  <c r="AR25" i="9" s="1"/>
  <c r="AS25" i="9" s="1"/>
  <c r="AP112" i="3"/>
  <c r="AK140" i="3"/>
  <c r="C142" i="3"/>
  <c r="AP120" i="3"/>
  <c r="AP117" i="3"/>
  <c r="CS51" i="1"/>
  <c r="CW31" i="1"/>
  <c r="CW15" i="1"/>
  <c r="CS65" i="1"/>
  <c r="CX45" i="1"/>
  <c r="AF49" i="4"/>
  <c r="AF59" i="4"/>
  <c r="FP73" i="11"/>
  <c r="T44" i="67"/>
  <c r="W45" i="67"/>
  <c r="X45" i="67" s="1"/>
  <c r="Y45" i="67" s="1"/>
  <c r="Z45" i="67" s="1"/>
  <c r="AA45" i="67" s="1"/>
  <c r="AB45" i="67" s="1"/>
  <c r="H36" i="4"/>
  <c r="T46" i="4"/>
  <c r="H84" i="8"/>
  <c r="H81" i="8"/>
  <c r="P82" i="8" s="1"/>
  <c r="H80" i="8"/>
  <c r="N80" i="8" s="1"/>
  <c r="O8" i="100"/>
  <c r="F9" i="100"/>
  <c r="G33" i="100"/>
  <c r="K7" i="100"/>
  <c r="K6" i="100"/>
  <c r="DX83" i="11"/>
  <c r="DZ83" i="11"/>
  <c r="DY83" i="11"/>
  <c r="EA83" i="11"/>
  <c r="EC83" i="11"/>
  <c r="W9" i="100"/>
  <c r="W7" i="100"/>
  <c r="CC42" i="6"/>
  <c r="CF48" i="6"/>
  <c r="CG42" i="6"/>
  <c r="CF47" i="6"/>
  <c r="CG41" i="6"/>
  <c r="CF46" i="6"/>
  <c r="CG40" i="6"/>
  <c r="AH50" i="7"/>
  <c r="AD56" i="7"/>
  <c r="AB57" i="7"/>
  <c r="X56" i="7"/>
  <c r="Z59" i="7"/>
  <c r="Z57" i="7"/>
  <c r="AJ56" i="7"/>
  <c r="J46" i="8"/>
  <c r="BZ76" i="1"/>
  <c r="CB49" i="6"/>
  <c r="CC43" i="6"/>
  <c r="CH75" i="1"/>
  <c r="DB45" i="1"/>
  <c r="DB46" i="1"/>
  <c r="D127" i="54"/>
  <c r="C130" i="54"/>
  <c r="AN50" i="9"/>
  <c r="L137" i="8"/>
  <c r="C50" i="5"/>
  <c r="C43" i="5"/>
  <c r="C46" i="5"/>
  <c r="T49" i="4"/>
  <c r="AP29" i="9"/>
  <c r="AQ29" i="9" s="1"/>
  <c r="N56" i="9"/>
  <c r="S56" i="9"/>
  <c r="J56" i="9"/>
  <c r="I55" i="9"/>
  <c r="I56" i="9"/>
  <c r="L55" i="9"/>
  <c r="P56" i="9"/>
  <c r="P55" i="9"/>
  <c r="BY40" i="6"/>
  <c r="O34" i="100"/>
  <c r="F34" i="100"/>
  <c r="G34" i="100" s="1"/>
  <c r="W8" i="100"/>
  <c r="L138" i="8"/>
  <c r="CX41" i="1"/>
  <c r="DP41" i="1"/>
  <c r="DA56" i="1"/>
  <c r="CZ86" i="1"/>
  <c r="CR83" i="1"/>
  <c r="CS53" i="1"/>
  <c r="CW33" i="1"/>
  <c r="U44" i="67"/>
  <c r="FQ73" i="11"/>
  <c r="FP83" i="11"/>
  <c r="N10" i="100"/>
  <c r="O10" i="100" s="1"/>
  <c r="L139" i="8"/>
  <c r="L130" i="8"/>
  <c r="CZ14" i="1"/>
  <c r="AP106" i="3"/>
  <c r="AP104" i="3"/>
  <c r="AP103" i="3"/>
  <c r="DF76" i="1"/>
  <c r="DE76" i="1"/>
  <c r="G78" i="67"/>
  <c r="N110" i="67"/>
  <c r="O109" i="67"/>
  <c r="DK71" i="11"/>
  <c r="P83" i="67"/>
  <c r="E76" i="67"/>
  <c r="E111" i="67" s="1"/>
  <c r="E110" i="67"/>
  <c r="BE41" i="1"/>
  <c r="BD31" i="1"/>
  <c r="BE11" i="1"/>
  <c r="AH11" i="6" s="1"/>
  <c r="AH17" i="6" s="1"/>
  <c r="AH23" i="6" s="1"/>
  <c r="AH29" i="6" s="1"/>
  <c r="AH35" i="6" s="1"/>
  <c r="AH41" i="6" s="1"/>
  <c r="D54" i="67"/>
  <c r="E54" i="67"/>
  <c r="J34" i="8"/>
  <c r="N34" i="8"/>
  <c r="P34" i="8"/>
  <c r="AE71" i="4"/>
  <c r="AF71" i="4"/>
  <c r="BD34" i="1"/>
  <c r="BE44" i="1"/>
  <c r="BE14" i="1"/>
  <c r="P75" i="8"/>
  <c r="J75" i="8"/>
  <c r="N75" i="8"/>
  <c r="BI41" i="1"/>
  <c r="BI11" i="1"/>
  <c r="AL11" i="6" s="1"/>
  <c r="AL17" i="6" s="1"/>
  <c r="AL23" i="6" s="1"/>
  <c r="AL29" i="6" s="1"/>
  <c r="AL35" i="6" s="1"/>
  <c r="AL41" i="6" s="1"/>
  <c r="BH31" i="1"/>
  <c r="Q80" i="67"/>
  <c r="BS6" i="11"/>
  <c r="U106" i="67"/>
  <c r="V71" i="67"/>
  <c r="AG47" i="4"/>
  <c r="AH47" i="4"/>
  <c r="DE50" i="1"/>
  <c r="DF50" i="1"/>
  <c r="DD80" i="1"/>
  <c r="AD53" i="7"/>
  <c r="AD59" i="7"/>
  <c r="DA82" i="1"/>
  <c r="DB82" i="1"/>
  <c r="CZ112" i="1"/>
  <c r="T52" i="4"/>
  <c r="T55" i="4" s="1"/>
  <c r="S42" i="4"/>
  <c r="P31" i="8"/>
  <c r="N31" i="8"/>
  <c r="J31" i="8"/>
  <c r="N73" i="8"/>
  <c r="P73" i="8"/>
  <c r="J73" i="8"/>
  <c r="CX81" i="1"/>
  <c r="CV111" i="1"/>
  <c r="CW81" i="1"/>
  <c r="AP119" i="3"/>
  <c r="CO42" i="1"/>
  <c r="CT42" i="1" s="1"/>
  <c r="CO62" i="1"/>
  <c r="CN32" i="1"/>
  <c r="CS32" i="1" s="1"/>
  <c r="CS12" i="1"/>
  <c r="BV12" i="6" s="1"/>
  <c r="BV18" i="6" s="1"/>
  <c r="BV24" i="6" s="1"/>
  <c r="BV30" i="6" s="1"/>
  <c r="BV36" i="6" s="1"/>
  <c r="BV42" i="6" s="1"/>
  <c r="D104" i="8"/>
  <c r="T106" i="3"/>
  <c r="C109" i="67"/>
  <c r="D108" i="67"/>
  <c r="D32" i="4"/>
  <c r="D33" i="4" s="1"/>
  <c r="D42" i="5"/>
  <c r="D35" i="5"/>
  <c r="T76" i="4"/>
  <c r="T79" i="4" s="1"/>
  <c r="N33" i="8"/>
  <c r="P33" i="8"/>
  <c r="J33" i="8"/>
  <c r="V74" i="67"/>
  <c r="V70" i="67"/>
  <c r="U105" i="67"/>
  <c r="V104" i="67"/>
  <c r="P110" i="67"/>
  <c r="O78" i="67"/>
  <c r="DB64" i="1"/>
  <c r="G56" i="5"/>
  <c r="G61" i="5"/>
  <c r="I8" i="10"/>
  <c r="CL75" i="1"/>
  <c r="CP75" i="1"/>
  <c r="V107" i="67"/>
  <c r="W72" i="67"/>
  <c r="B55" i="5"/>
  <c r="B58" i="5"/>
  <c r="B51" i="5"/>
  <c r="E62" i="9"/>
  <c r="BZ75" i="1"/>
  <c r="CD75" i="1"/>
  <c r="C25" i="67"/>
  <c r="T64" i="4"/>
  <c r="L125" i="8"/>
  <c r="H110" i="67"/>
  <c r="H78" i="67"/>
  <c r="I112" i="67" s="1"/>
  <c r="P25" i="8"/>
  <c r="J25" i="8"/>
  <c r="N25" i="8"/>
  <c r="N45" i="8"/>
  <c r="P46" i="8"/>
  <c r="J45" i="8"/>
  <c r="P45" i="8"/>
  <c r="M110" i="67"/>
  <c r="P19" i="8"/>
  <c r="J19" i="8"/>
  <c r="CS52" i="1"/>
  <c r="CR36" i="1"/>
  <c r="CW36" i="1" s="1"/>
  <c r="CR82" i="1"/>
  <c r="DA111" i="1"/>
  <c r="CZ141" i="1"/>
  <c r="DA121" i="1"/>
  <c r="BQ10" i="1"/>
  <c r="AT10" i="6" s="1"/>
  <c r="AT16" i="6" s="1"/>
  <c r="AT22" i="6" s="1"/>
  <c r="AT28" i="6" s="1"/>
  <c r="AT34" i="6" s="1"/>
  <c r="AT40" i="6" s="1"/>
  <c r="D10" i="8"/>
  <c r="BQ40" i="1"/>
  <c r="BP30" i="1"/>
  <c r="BP15" i="1"/>
  <c r="BR15" i="1" s="1"/>
  <c r="T104" i="3"/>
  <c r="R78" i="4"/>
  <c r="R54" i="4"/>
  <c r="R48" i="4"/>
  <c r="R66" i="4"/>
  <c r="F36" i="4"/>
  <c r="DZ18" i="11"/>
  <c r="DY18" i="11"/>
  <c r="EA18" i="11"/>
  <c r="DX18" i="11"/>
  <c r="F240" i="54"/>
  <c r="L103" i="8"/>
  <c r="F234" i="54"/>
  <c r="W73" i="67"/>
  <c r="V108" i="67"/>
  <c r="P81" i="67"/>
  <c r="L21" i="4"/>
  <c r="EU74" i="11"/>
  <c r="M21" i="4"/>
  <c r="N40" i="8"/>
  <c r="P40" i="8"/>
  <c r="J40" i="8"/>
  <c r="J47" i="8"/>
  <c r="P47" i="8"/>
  <c r="N54" i="8"/>
  <c r="N47" i="8"/>
  <c r="L78" i="67"/>
  <c r="DA113" i="1"/>
  <c r="CZ143" i="1"/>
  <c r="CV183" i="1"/>
  <c r="CW163" i="1"/>
  <c r="U66" i="67"/>
  <c r="T6" i="67"/>
  <c r="T101" i="67"/>
  <c r="I110" i="67"/>
  <c r="P62" i="8"/>
  <c r="J62" i="8"/>
  <c r="N62" i="8"/>
  <c r="BA43" i="1"/>
  <c r="AZ16" i="1"/>
  <c r="BB16" i="1" s="1"/>
  <c r="AZ33" i="1"/>
  <c r="CW140" i="1"/>
  <c r="CV170" i="1"/>
  <c r="CV160" i="1"/>
  <c r="R108" i="67"/>
  <c r="BM43" i="1"/>
  <c r="BL16" i="1"/>
  <c r="BN16" i="1" s="1"/>
  <c r="BL33" i="1"/>
  <c r="BM13" i="1"/>
  <c r="AP13" i="6" s="1"/>
  <c r="AP19" i="6" s="1"/>
  <c r="AP25" i="6" s="1"/>
  <c r="AP31" i="6" s="1"/>
  <c r="AP37" i="6" s="1"/>
  <c r="AP43" i="6" s="1"/>
  <c r="CS75" i="1"/>
  <c r="CT75" i="1" s="1"/>
  <c r="CX75" i="1"/>
  <c r="AS6" i="11"/>
  <c r="E77" i="67"/>
  <c r="E112" i="67" s="1"/>
  <c r="BT49" i="6"/>
  <c r="BU43" i="6"/>
  <c r="BX49" i="6"/>
  <c r="M54" i="67"/>
  <c r="L54" i="67"/>
  <c r="K54" i="67"/>
  <c r="U76" i="4"/>
  <c r="DI68" i="11"/>
  <c r="DJ71" i="11"/>
  <c r="G21" i="4"/>
  <c r="H21" i="4"/>
  <c r="N82" i="8"/>
  <c r="J26" i="8"/>
  <c r="P26" i="8"/>
  <c r="N26" i="8"/>
  <c r="N27" i="8"/>
  <c r="J27" i="8"/>
  <c r="P27" i="8"/>
  <c r="P55" i="8"/>
  <c r="N55" i="8"/>
  <c r="J55" i="8"/>
  <c r="I32" i="4"/>
  <c r="I33" i="4" s="1"/>
  <c r="I42" i="5"/>
  <c r="I35" i="5"/>
  <c r="CW32" i="1"/>
  <c r="I25" i="67"/>
  <c r="AR6" i="1"/>
  <c r="BA13" i="1"/>
  <c r="AD13" i="6" s="1"/>
  <c r="AD19" i="6" s="1"/>
  <c r="AD25" i="6" s="1"/>
  <c r="AD31" i="6" s="1"/>
  <c r="AD37" i="6" s="1"/>
  <c r="AD43" i="6" s="1"/>
  <c r="BA11" i="1"/>
  <c r="AD11" i="6" s="1"/>
  <c r="AD17" i="6" s="1"/>
  <c r="AD23" i="6" s="1"/>
  <c r="AD29" i="6" s="1"/>
  <c r="AD35" i="6" s="1"/>
  <c r="AD41" i="6" s="1"/>
  <c r="BA10" i="1"/>
  <c r="AD10" i="6" s="1"/>
  <c r="AD16" i="6" s="1"/>
  <c r="AD22" i="6" s="1"/>
  <c r="AD28" i="6" s="1"/>
  <c r="AD34" i="6" s="1"/>
  <c r="AD40" i="6" s="1"/>
  <c r="CX42" i="1"/>
  <c r="DB81" i="1"/>
  <c r="EV7" i="11"/>
  <c r="EU68" i="11"/>
  <c r="BI40" i="1"/>
  <c r="BI10" i="1"/>
  <c r="AL10" i="6" s="1"/>
  <c r="AL16" i="6" s="1"/>
  <c r="AL22" i="6" s="1"/>
  <c r="AL28" i="6" s="1"/>
  <c r="AL34" i="6" s="1"/>
  <c r="AL40" i="6" s="1"/>
  <c r="BH30" i="1"/>
  <c r="BH15" i="1"/>
  <c r="BJ15" i="1" s="1"/>
  <c r="BM11" i="1"/>
  <c r="AP11" i="6" s="1"/>
  <c r="AP17" i="6" s="1"/>
  <c r="AP23" i="6" s="1"/>
  <c r="AP29" i="6" s="1"/>
  <c r="AP35" i="6" s="1"/>
  <c r="AP41" i="6" s="1"/>
  <c r="BL31" i="1"/>
  <c r="BM41" i="1"/>
  <c r="BN41" i="1" s="1"/>
  <c r="BT81" i="1"/>
  <c r="BU51" i="1"/>
  <c r="G24" i="4"/>
  <c r="F24" i="4"/>
  <c r="J78" i="67"/>
  <c r="J110" i="67"/>
  <c r="J77" i="67"/>
  <c r="J112" i="67" s="1"/>
  <c r="N61" i="8"/>
  <c r="J61" i="8"/>
  <c r="P61" i="8"/>
  <c r="P74" i="8"/>
  <c r="N74" i="8"/>
  <c r="J74" i="8"/>
  <c r="P5" i="7"/>
  <c r="R5" i="7" s="1"/>
  <c r="T5" i="7" s="1"/>
  <c r="V5" i="7" s="1"/>
  <c r="X5" i="7" s="1"/>
  <c r="Z5" i="7" s="1"/>
  <c r="AB5" i="7" s="1"/>
  <c r="AD5" i="7" s="1"/>
  <c r="DZ71" i="11"/>
  <c r="DN71" i="11"/>
  <c r="ED71" i="11"/>
  <c r="EC71" i="11"/>
  <c r="DY71" i="11"/>
  <c r="BH32" i="1"/>
  <c r="BI42" i="1"/>
  <c r="BI12" i="1"/>
  <c r="AL12" i="6" s="1"/>
  <c r="AL18" i="6" s="1"/>
  <c r="AL24" i="6" s="1"/>
  <c r="AL30" i="6" s="1"/>
  <c r="AL36" i="6" s="1"/>
  <c r="AL42" i="6" s="1"/>
  <c r="AI110" i="3"/>
  <c r="CH6" i="11"/>
  <c r="AB5" i="5"/>
  <c r="AA5" i="4"/>
  <c r="E32" i="4"/>
  <c r="E33" i="4" s="1"/>
  <c r="E35" i="5"/>
  <c r="E42" i="5"/>
  <c r="AI98" i="3"/>
  <c r="K62" i="9"/>
  <c r="H58" i="5"/>
  <c r="H59" i="5" s="1"/>
  <c r="H51" i="5"/>
  <c r="H55" i="5"/>
  <c r="B39" i="54"/>
  <c r="U78" i="4"/>
  <c r="V54" i="4"/>
  <c r="U54" i="4"/>
  <c r="U66" i="4"/>
  <c r="J39" i="8"/>
  <c r="P39" i="8"/>
  <c r="N39" i="8"/>
  <c r="N46" i="8"/>
  <c r="CW85" i="1"/>
  <c r="CV115" i="1"/>
  <c r="CW115" i="1" s="1"/>
  <c r="AZ31" i="1"/>
  <c r="BA41" i="1"/>
  <c r="Q75" i="67"/>
  <c r="Q110" i="67" s="1"/>
  <c r="P111" i="67"/>
  <c r="BT48" i="6"/>
  <c r="BU42" i="6"/>
  <c r="BX48" i="6"/>
  <c r="CP6" i="11"/>
  <c r="H10" i="8"/>
  <c r="N17" i="8" s="1"/>
  <c r="H12" i="8"/>
  <c r="H11" i="8"/>
  <c r="N18" i="8" s="1"/>
  <c r="H14" i="8"/>
  <c r="H13" i="8"/>
  <c r="J17" i="8" s="1"/>
  <c r="B177" i="54"/>
  <c r="AI96" i="3"/>
  <c r="T118" i="3"/>
  <c r="D116" i="8"/>
  <c r="C125" i="3"/>
  <c r="G125" i="3" s="1"/>
  <c r="D239" i="54"/>
  <c r="C240" i="54"/>
  <c r="D245" i="54"/>
  <c r="X67" i="67"/>
  <c r="W102" i="67"/>
  <c r="CC41" i="6"/>
  <c r="CB47" i="6"/>
  <c r="CB52" i="6"/>
  <c r="T75" i="67"/>
  <c r="U109" i="67" s="1"/>
  <c r="S110" i="67"/>
  <c r="T109" i="67"/>
  <c r="D246" i="54"/>
  <c r="C247" i="54"/>
  <c r="E246" i="54"/>
  <c r="C108" i="67"/>
  <c r="C75" i="67"/>
  <c r="D107" i="67"/>
  <c r="BY42" i="6"/>
  <c r="K25" i="67"/>
  <c r="T53" i="4"/>
  <c r="U52" i="4"/>
  <c r="T42" i="4"/>
  <c r="S9" i="100"/>
  <c r="S108" i="67"/>
  <c r="R77" i="67"/>
  <c r="R112" i="67" s="1"/>
  <c r="H77" i="67"/>
  <c r="K76" i="67"/>
  <c r="P52" i="8"/>
  <c r="N52" i="8"/>
  <c r="J52" i="8"/>
  <c r="J41" i="8"/>
  <c r="N41" i="8"/>
  <c r="P41" i="8"/>
  <c r="P48" i="8"/>
  <c r="J48" i="8"/>
  <c r="N48" i="8"/>
  <c r="N60" i="8"/>
  <c r="J60" i="8"/>
  <c r="P60" i="8"/>
  <c r="DL71" i="11"/>
  <c r="CS46" i="1"/>
  <c r="CT16" i="1"/>
  <c r="CW16" i="1"/>
  <c r="CS66" i="1"/>
  <c r="AI105" i="3"/>
  <c r="I78" i="67"/>
  <c r="R113" i="67"/>
  <c r="S78" i="67"/>
  <c r="AP105" i="3"/>
  <c r="AP111" i="3"/>
  <c r="T111" i="3"/>
  <c r="AP125" i="3"/>
  <c r="T125" i="3"/>
  <c r="AP139" i="3"/>
  <c r="T139" i="3"/>
  <c r="P20" i="8"/>
  <c r="BL32" i="1"/>
  <c r="BM42" i="1"/>
  <c r="BM12" i="1"/>
  <c r="AP12" i="6" s="1"/>
  <c r="AP18" i="6" s="1"/>
  <c r="AP24" i="6" s="1"/>
  <c r="AP30" i="6" s="1"/>
  <c r="AP36" i="6" s="1"/>
  <c r="AP42" i="6" s="1"/>
  <c r="N178" i="83"/>
  <c r="F108" i="67"/>
  <c r="F74" i="67"/>
  <c r="F76" i="67" s="1"/>
  <c r="F75" i="67"/>
  <c r="G107" i="67"/>
  <c r="O54" i="67"/>
  <c r="P54" i="67"/>
  <c r="K110" i="67"/>
  <c r="L109" i="67"/>
  <c r="K109" i="67"/>
  <c r="L108" i="67"/>
  <c r="D79" i="67"/>
  <c r="D78" i="67"/>
  <c r="J25" i="67"/>
  <c r="DH83" i="11"/>
  <c r="DM83" i="11"/>
  <c r="DR83" i="11"/>
  <c r="N38" i="8"/>
  <c r="J38" i="8"/>
  <c r="P38" i="8"/>
  <c r="CB6" i="1"/>
  <c r="AD59" i="4"/>
  <c r="AE59" i="4"/>
  <c r="W34" i="100"/>
  <c r="V10" i="100"/>
  <c r="W10" i="100" s="1"/>
  <c r="DD74" i="1"/>
  <c r="DJ74" i="1" s="1"/>
  <c r="EC18" i="11" a="1"/>
  <c r="DF72" i="1"/>
  <c r="DE72" i="1"/>
  <c r="DV72" i="1"/>
  <c r="DV74" i="1" s="1"/>
  <c r="CR80" i="1"/>
  <c r="CW30" i="1"/>
  <c r="CS50" i="1"/>
  <c r="CR35" i="1"/>
  <c r="AD9" i="4"/>
  <c r="AP107" i="3"/>
  <c r="CZ80" i="1"/>
  <c r="DB50" i="1"/>
  <c r="CZ55" i="1"/>
  <c r="CZ54" i="1"/>
  <c r="DA50" i="1"/>
  <c r="AI120" i="3"/>
  <c r="N69" i="8"/>
  <c r="J69" i="8"/>
  <c r="P69" i="8"/>
  <c r="J83" i="8"/>
  <c r="P83" i="8"/>
  <c r="N83" i="8"/>
  <c r="CS111" i="1"/>
  <c r="CS121" i="1"/>
  <c r="CR141" i="1"/>
  <c r="BU44" i="1"/>
  <c r="BU64" i="1"/>
  <c r="BT34" i="1"/>
  <c r="BU14" i="1"/>
  <c r="O20" i="4"/>
  <c r="O14" i="4"/>
  <c r="O44" i="4"/>
  <c r="CP76" i="1"/>
  <c r="S76" i="67"/>
  <c r="J76" i="67"/>
  <c r="J111" i="67" s="1"/>
  <c r="BP49" i="6"/>
  <c r="BQ43" i="6"/>
  <c r="F59" i="7"/>
  <c r="H24" i="4"/>
  <c r="I24" i="4"/>
  <c r="BE43" i="1"/>
  <c r="BE13" i="1"/>
  <c r="AH13" i="6" s="1"/>
  <c r="AH19" i="6" s="1"/>
  <c r="AH25" i="6" s="1"/>
  <c r="AH31" i="6" s="1"/>
  <c r="AH37" i="6" s="1"/>
  <c r="AH43" i="6" s="1"/>
  <c r="BD16" i="1"/>
  <c r="BF16" i="1" s="1"/>
  <c r="BD33" i="1"/>
  <c r="D25" i="67"/>
  <c r="AC59" i="4"/>
  <c r="Q79" i="67"/>
  <c r="P82" i="67"/>
  <c r="CC40" i="6"/>
  <c r="CB46" i="6"/>
  <c r="S34" i="100"/>
  <c r="R76" i="67"/>
  <c r="FN72" i="11"/>
  <c r="G79" i="67"/>
  <c r="G77" i="67"/>
  <c r="R57" i="7"/>
  <c r="N24" i="8"/>
  <c r="P24" i="8"/>
  <c r="J24" i="8"/>
  <c r="N53" i="8"/>
  <c r="J53" i="8"/>
  <c r="P53" i="8"/>
  <c r="J54" i="8"/>
  <c r="P54" i="8"/>
  <c r="J66" i="8"/>
  <c r="N66" i="8"/>
  <c r="P66" i="8"/>
  <c r="N76" i="8"/>
  <c r="P76" i="8"/>
  <c r="J76" i="8"/>
  <c r="U48" i="4"/>
  <c r="CV112" i="1"/>
  <c r="CW82" i="1"/>
  <c r="O108" i="67"/>
  <c r="N109" i="67"/>
  <c r="N76" i="67"/>
  <c r="L136" i="8"/>
  <c r="L143" i="8"/>
  <c r="DX71" i="11"/>
  <c r="DA44" i="1"/>
  <c r="V103" i="67"/>
  <c r="W68" i="67"/>
  <c r="BG6" i="11"/>
  <c r="Q113" i="67"/>
  <c r="T124" i="3"/>
  <c r="AO128" i="3"/>
  <c r="AP124" i="3"/>
  <c r="AP114" i="3"/>
  <c r="AE9" i="4"/>
  <c r="AP127" i="3"/>
  <c r="T127" i="3"/>
  <c r="AP134" i="3"/>
  <c r="AP132" i="3"/>
  <c r="T132" i="3"/>
  <c r="J20" i="8"/>
  <c r="CS74" i="1"/>
  <c r="CT74" i="1" s="1"/>
  <c r="CX74" i="1"/>
  <c r="BU42" i="1"/>
  <c r="BT32" i="1"/>
  <c r="BU12" i="1"/>
  <c r="AX12" i="6" s="1"/>
  <c r="AX18" i="6" s="1"/>
  <c r="AX24" i="6" s="1"/>
  <c r="AX30" i="6" s="1"/>
  <c r="AX36" i="6" s="1"/>
  <c r="AX42" i="6" s="1"/>
  <c r="BU62" i="1"/>
  <c r="P67" i="8"/>
  <c r="J67" i="8"/>
  <c r="N67" i="8"/>
  <c r="CH76" i="1"/>
  <c r="CD76" i="1"/>
  <c r="F55" i="5"/>
  <c r="F58" i="5"/>
  <c r="I62" i="9"/>
  <c r="F51" i="5"/>
  <c r="J14" i="4"/>
  <c r="J44" i="4"/>
  <c r="J20" i="4"/>
  <c r="Q29" i="83"/>
  <c r="Q77" i="83" s="1"/>
  <c r="Q126" i="83" s="1"/>
  <c r="AB10" i="4"/>
  <c r="AP110" i="3"/>
  <c r="FC83" i="11"/>
  <c r="G43" i="67"/>
  <c r="FC73" i="11"/>
  <c r="CV86" i="1"/>
  <c r="DA36" i="1"/>
  <c r="E56" i="9"/>
  <c r="AZ7" i="6"/>
  <c r="F43" i="67"/>
  <c r="FB83" i="11"/>
  <c r="AI133" i="3"/>
  <c r="BA44" i="1"/>
  <c r="AZ34" i="1"/>
  <c r="AP19" i="9"/>
  <c r="AN11" i="10"/>
  <c r="AP118" i="3"/>
  <c r="AC10" i="4"/>
  <c r="AP121" i="3"/>
  <c r="AF9" i="4"/>
  <c r="K44" i="4"/>
  <c r="BH33" i="1"/>
  <c r="BI13" i="1"/>
  <c r="AL13" i="6" s="1"/>
  <c r="AL19" i="6" s="1"/>
  <c r="AL25" i="6" s="1"/>
  <c r="AL31" i="6" s="1"/>
  <c r="AL37" i="6" s="1"/>
  <c r="AL43" i="6" s="1"/>
  <c r="BI43" i="1"/>
  <c r="BH16" i="1"/>
  <c r="BM10" i="1"/>
  <c r="AP10" i="6" s="1"/>
  <c r="AP16" i="6" s="1"/>
  <c r="AP22" i="6" s="1"/>
  <c r="AP28" i="6" s="1"/>
  <c r="AP34" i="6" s="1"/>
  <c r="AP40" i="6" s="1"/>
  <c r="BL30" i="1"/>
  <c r="BL15" i="1"/>
  <c r="BM40" i="1"/>
  <c r="BM6" i="11"/>
  <c r="BU13" i="1"/>
  <c r="AX13" i="6" s="1"/>
  <c r="AX19" i="6" s="1"/>
  <c r="AX25" i="6" s="1"/>
  <c r="AX31" i="6" s="1"/>
  <c r="AX37" i="6" s="1"/>
  <c r="AX43" i="6" s="1"/>
  <c r="BT33" i="1"/>
  <c r="BU43" i="1"/>
  <c r="BU63" i="1"/>
  <c r="BT16" i="1"/>
  <c r="M178" i="83"/>
  <c r="M56" i="9"/>
  <c r="M7" i="11"/>
  <c r="R6" i="11"/>
  <c r="S6" i="11" s="1"/>
  <c r="T6" i="11" s="1"/>
  <c r="U6" i="11" s="1"/>
  <c r="F221" i="54"/>
  <c r="P59" i="8"/>
  <c r="N59" i="8"/>
  <c r="J59" i="8"/>
  <c r="F222" i="54"/>
  <c r="M109" i="67"/>
  <c r="N108" i="67"/>
  <c r="M76" i="67"/>
  <c r="P25" i="67"/>
  <c r="Y69" i="67"/>
  <c r="AZ32" i="1"/>
  <c r="BA42" i="1"/>
  <c r="T118" i="54"/>
  <c r="J118" i="54"/>
  <c r="AX6" i="11"/>
  <c r="D12" i="8"/>
  <c r="BQ12" i="1"/>
  <c r="AT12" i="6" s="1"/>
  <c r="AT18" i="6" s="1"/>
  <c r="AT24" i="6" s="1"/>
  <c r="AT30" i="6" s="1"/>
  <c r="AT36" i="6" s="1"/>
  <c r="AT42" i="6" s="1"/>
  <c r="BP32" i="1"/>
  <c r="BQ42" i="1"/>
  <c r="D14" i="8"/>
  <c r="BQ44" i="1"/>
  <c r="BP34" i="1"/>
  <c r="BQ14" i="1"/>
  <c r="AO135" i="3"/>
  <c r="AP131" i="3"/>
  <c r="T131" i="3"/>
  <c r="AP113" i="3"/>
  <c r="AP126" i="3"/>
  <c r="T126" i="3"/>
  <c r="AP138" i="3"/>
  <c r="T138" i="3"/>
  <c r="AO142" i="3"/>
  <c r="AQ142" i="3" s="1"/>
  <c r="DV6" i="11"/>
  <c r="AD71" i="4"/>
  <c r="BI44" i="1"/>
  <c r="BH34" i="1"/>
  <c r="BI14" i="1"/>
  <c r="BM44" i="1"/>
  <c r="BL34" i="1"/>
  <c r="BM14" i="1"/>
  <c r="CN33" i="1"/>
  <c r="CO43" i="1"/>
  <c r="CS13" i="1"/>
  <c r="BV13" i="6" s="1"/>
  <c r="BV19" i="6" s="1"/>
  <c r="BV25" i="6" s="1"/>
  <c r="BV31" i="6" s="1"/>
  <c r="BV37" i="6" s="1"/>
  <c r="BV43" i="6" s="1"/>
  <c r="CN16" i="1"/>
  <c r="CS16" i="1" s="1"/>
  <c r="CO63" i="1"/>
  <c r="BU10" i="1"/>
  <c r="AX10" i="6" s="1"/>
  <c r="AX16" i="6" s="1"/>
  <c r="AX22" i="6" s="1"/>
  <c r="AX28" i="6" s="1"/>
  <c r="AX34" i="6" s="1"/>
  <c r="AX40" i="6" s="1"/>
  <c r="BT15" i="1"/>
  <c r="BV15" i="1" s="1"/>
  <c r="BT30" i="1"/>
  <c r="BU40" i="1"/>
  <c r="BU60" i="1"/>
  <c r="Q5" i="4"/>
  <c r="P5" i="5"/>
  <c r="P32" i="8"/>
  <c r="J32" i="8"/>
  <c r="N32" i="8"/>
  <c r="J68" i="8"/>
  <c r="N68" i="8"/>
  <c r="P68" i="8"/>
  <c r="C120" i="54"/>
  <c r="D119" i="54"/>
  <c r="D125" i="54"/>
  <c r="C135" i="3"/>
  <c r="CV14" i="1"/>
  <c r="D133" i="8"/>
  <c r="P18" i="8"/>
  <c r="J18" i="8"/>
  <c r="AZ30" i="1"/>
  <c r="BA40" i="1"/>
  <c r="AZ15" i="1"/>
  <c r="DD7" i="11"/>
  <c r="CY6" i="11"/>
  <c r="F119" i="54"/>
  <c r="I119" i="54"/>
  <c r="E120" i="54"/>
  <c r="BQ43" i="1"/>
  <c r="D13" i="8"/>
  <c r="BP33" i="1"/>
  <c r="BQ13" i="1"/>
  <c r="AT13" i="6" s="1"/>
  <c r="AT19" i="6" s="1"/>
  <c r="AT25" i="6" s="1"/>
  <c r="AT31" i="6" s="1"/>
  <c r="AT37" i="6" s="1"/>
  <c r="AT43" i="6" s="1"/>
  <c r="BP16" i="1"/>
  <c r="BR16" i="1" s="1"/>
  <c r="BQ41" i="1"/>
  <c r="BV41" i="1" s="1"/>
  <c r="BP31" i="1"/>
  <c r="BU31" i="1" s="1"/>
  <c r="BQ11" i="1"/>
  <c r="AT11" i="6" s="1"/>
  <c r="AT17" i="6" s="1"/>
  <c r="AT23" i="6" s="1"/>
  <c r="AT29" i="6" s="1"/>
  <c r="AT35" i="6" s="1"/>
  <c r="AT41" i="6" s="1"/>
  <c r="D11" i="8"/>
  <c r="FV68" i="11"/>
  <c r="AP140" i="3"/>
  <c r="AP133" i="3"/>
  <c r="ET74" i="11"/>
  <c r="CV6" i="11"/>
  <c r="BE42" i="1"/>
  <c r="BE12" i="1"/>
  <c r="AH12" i="6" s="1"/>
  <c r="AH18" i="6" s="1"/>
  <c r="AH24" i="6" s="1"/>
  <c r="AH30" i="6" s="1"/>
  <c r="AH36" i="6" s="1"/>
  <c r="AH42" i="6" s="1"/>
  <c r="BD32" i="1"/>
  <c r="BE10" i="1"/>
  <c r="AH10" i="6" s="1"/>
  <c r="AH16" i="6" s="1"/>
  <c r="AH22" i="6" s="1"/>
  <c r="AH28" i="6" s="1"/>
  <c r="AH34" i="6" s="1"/>
  <c r="AH40" i="6" s="1"/>
  <c r="BD15" i="1"/>
  <c r="BE40" i="1"/>
  <c r="BD30" i="1"/>
  <c r="L109" i="8"/>
  <c r="EW74" i="11"/>
  <c r="N21" i="4"/>
  <c r="CR34" i="1"/>
  <c r="CR226" i="1" s="1"/>
  <c r="CS44" i="1"/>
  <c r="CS64" i="1"/>
  <c r="FX68" i="11" l="1"/>
  <c r="FY7" i="11"/>
  <c r="FY68" i="11" s="1"/>
  <c r="AO50" i="9"/>
  <c r="AP50" i="9"/>
  <c r="AP32" i="9"/>
  <c r="P126" i="83"/>
  <c r="CX82" i="1"/>
  <c r="BJ44" i="1"/>
  <c r="J82" i="8"/>
  <c r="BJ41" i="1"/>
  <c r="P80" i="8"/>
  <c r="J80" i="8"/>
  <c r="P81" i="8"/>
  <c r="N81" i="8"/>
  <c r="J81" i="8"/>
  <c r="G9" i="100"/>
  <c r="K9" i="100"/>
  <c r="K34" i="100"/>
  <c r="F10" i="100"/>
  <c r="D130" i="54"/>
  <c r="C131" i="54"/>
  <c r="AO11" i="10"/>
  <c r="AQ19" i="9"/>
  <c r="AQ32" i="9"/>
  <c r="AR29" i="9"/>
  <c r="AS29" i="9" s="1"/>
  <c r="AQ50" i="9"/>
  <c r="C58" i="5"/>
  <c r="C59" i="5" s="1"/>
  <c r="F62" i="9"/>
  <c r="C55" i="5"/>
  <c r="C51" i="5"/>
  <c r="T77" i="4"/>
  <c r="S10" i="100"/>
  <c r="CX83" i="1"/>
  <c r="CR113" i="1"/>
  <c r="CS83" i="1"/>
  <c r="CZ116" i="1"/>
  <c r="DA116" i="1" s="1"/>
  <c r="DA86" i="1"/>
  <c r="BN44" i="1"/>
  <c r="BV44" i="1"/>
  <c r="BR42" i="1"/>
  <c r="CZ34" i="1"/>
  <c r="DA54" i="1" s="1"/>
  <c r="BR40" i="1"/>
  <c r="DA64" i="1"/>
  <c r="BF43" i="1"/>
  <c r="BR43" i="1"/>
  <c r="BN40" i="1"/>
  <c r="BN43" i="1"/>
  <c r="BV40" i="1"/>
  <c r="BF42" i="1"/>
  <c r="BV43" i="1"/>
  <c r="P17" i="8"/>
  <c r="J12" i="8"/>
  <c r="N19" i="8"/>
  <c r="F111" i="67"/>
  <c r="F78" i="67"/>
  <c r="G110" i="67"/>
  <c r="CT63" i="1"/>
  <c r="BU66" i="1"/>
  <c r="BU46" i="1"/>
  <c r="BU16" i="1"/>
  <c r="J21" i="4"/>
  <c r="ES74" i="11"/>
  <c r="CO40" i="1"/>
  <c r="CN15" i="1"/>
  <c r="CP15" i="1" s="1"/>
  <c r="CO60" i="1"/>
  <c r="CS10" i="1"/>
  <c r="BV10" i="6" s="1"/>
  <c r="BV16" i="6" s="1"/>
  <c r="BV22" i="6" s="1"/>
  <c r="BV28" i="6" s="1"/>
  <c r="BV34" i="6" s="1"/>
  <c r="BV40" i="6" s="1"/>
  <c r="CN30" i="1"/>
  <c r="AB5" i="4"/>
  <c r="AC5" i="5"/>
  <c r="BT111" i="1"/>
  <c r="BU81" i="1"/>
  <c r="DA143" i="1"/>
  <c r="CZ173" i="1"/>
  <c r="CZ163" i="1"/>
  <c r="DB143" i="1"/>
  <c r="BT80" i="1"/>
  <c r="BT35" i="1"/>
  <c r="BU30" i="1"/>
  <c r="BU50" i="1"/>
  <c r="W103" i="67"/>
  <c r="X68" i="67"/>
  <c r="FN83" i="11"/>
  <c r="R43" i="67"/>
  <c r="FO73" i="11"/>
  <c r="U6" i="67"/>
  <c r="V66" i="67"/>
  <c r="U101" i="67"/>
  <c r="X73" i="67"/>
  <c r="W108" i="67"/>
  <c r="H8" i="10"/>
  <c r="F56" i="5"/>
  <c r="F61" i="5"/>
  <c r="J70" i="8"/>
  <c r="BU34" i="1"/>
  <c r="BU54" i="1"/>
  <c r="BT84" i="1"/>
  <c r="BY41" i="1"/>
  <c r="BZ41" i="1" s="1"/>
  <c r="BY11" i="1"/>
  <c r="BB11" i="6" s="1"/>
  <c r="BB17" i="6" s="1"/>
  <c r="BB23" i="6" s="1"/>
  <c r="BB29" i="6" s="1"/>
  <c r="BB35" i="6" s="1"/>
  <c r="BB41" i="6" s="1"/>
  <c r="BY61" i="1"/>
  <c r="BZ61" i="1" s="1"/>
  <c r="BX31" i="1"/>
  <c r="BJ42" i="1"/>
  <c r="AV32" i="1"/>
  <c r="BA32" i="1" s="1"/>
  <c r="AW42" i="1"/>
  <c r="BB42" i="1" s="1"/>
  <c r="BM16" i="1"/>
  <c r="BM46" i="1"/>
  <c r="AI104" i="3"/>
  <c r="DA122" i="1"/>
  <c r="CZ142" i="1"/>
  <c r="CZ146" i="1" s="1"/>
  <c r="DA112" i="1"/>
  <c r="AI138" i="3"/>
  <c r="AZ84" i="1"/>
  <c r="BA54" i="1"/>
  <c r="AI132" i="3"/>
  <c r="K111" i="67"/>
  <c r="E50" i="5"/>
  <c r="E46" i="5"/>
  <c r="E43" i="5"/>
  <c r="AW13" i="1"/>
  <c r="Z13" i="6" s="1"/>
  <c r="Z19" i="6" s="1"/>
  <c r="Z25" i="6" s="1"/>
  <c r="Z31" i="6" s="1"/>
  <c r="Z37" i="6" s="1"/>
  <c r="Z43" i="6" s="1"/>
  <c r="AN6" i="1"/>
  <c r="W107" i="67"/>
  <c r="X72" i="67"/>
  <c r="Q114" i="67"/>
  <c r="R79" i="67"/>
  <c r="D115" i="8"/>
  <c r="C124" i="3"/>
  <c r="G124" i="3" s="1"/>
  <c r="T117" i="3"/>
  <c r="R121" i="3"/>
  <c r="BE32" i="1"/>
  <c r="BD82" i="1"/>
  <c r="BE52" i="1"/>
  <c r="BQ16" i="1"/>
  <c r="BQ46" i="1"/>
  <c r="E121" i="54"/>
  <c r="I120" i="54"/>
  <c r="F120" i="54"/>
  <c r="Q48" i="4"/>
  <c r="R49" i="4" s="1"/>
  <c r="P5" i="4"/>
  <c r="Q66" i="4"/>
  <c r="Q78" i="4"/>
  <c r="Q54" i="4"/>
  <c r="BL84" i="1"/>
  <c r="BM54" i="1"/>
  <c r="BM34" i="1"/>
  <c r="AY6" i="11"/>
  <c r="BA52" i="1"/>
  <c r="AZ82" i="1"/>
  <c r="M77" i="67"/>
  <c r="BN6" i="11"/>
  <c r="BJ43" i="1"/>
  <c r="CP16" i="1"/>
  <c r="AI124" i="3"/>
  <c r="Q82" i="67"/>
  <c r="BE46" i="1"/>
  <c r="BE16" i="1"/>
  <c r="CZ110" i="1"/>
  <c r="DB80" i="1"/>
  <c r="DA80" i="1"/>
  <c r="BY12" i="1"/>
  <c r="BB12" i="6" s="1"/>
  <c r="BB18" i="6" s="1"/>
  <c r="BB24" i="6" s="1"/>
  <c r="BB30" i="6" s="1"/>
  <c r="BB36" i="6" s="1"/>
  <c r="BB42" i="6" s="1"/>
  <c r="BY42" i="1"/>
  <c r="BZ42" i="1" s="1"/>
  <c r="BY62" i="1"/>
  <c r="BZ62" i="1" s="1"/>
  <c r="BX32" i="1"/>
  <c r="D101" i="8"/>
  <c r="T103" i="3"/>
  <c r="AI125" i="3"/>
  <c r="E79" i="67"/>
  <c r="V78" i="4"/>
  <c r="BJ40" i="1"/>
  <c r="AW41" i="1"/>
  <c r="BB41" i="1" s="1"/>
  <c r="AV31" i="1"/>
  <c r="BA31" i="1" s="1"/>
  <c r="S64" i="4"/>
  <c r="BP35" i="1"/>
  <c r="BQ50" i="1"/>
  <c r="BQ30" i="1"/>
  <c r="BP80" i="1"/>
  <c r="J49" i="8"/>
  <c r="T67" i="4"/>
  <c r="T65" i="4"/>
  <c r="B56" i="5"/>
  <c r="B61" i="5"/>
  <c r="W70" i="67"/>
  <c r="V105" i="67"/>
  <c r="W104" i="67"/>
  <c r="AI106" i="3"/>
  <c r="CW121" i="1"/>
  <c r="CW111" i="1"/>
  <c r="CV141" i="1"/>
  <c r="BF41" i="1"/>
  <c r="T119" i="54"/>
  <c r="J119" i="54"/>
  <c r="DD6" i="11"/>
  <c r="BA45" i="1"/>
  <c r="N111" i="67"/>
  <c r="O110" i="67"/>
  <c r="CR161" i="1"/>
  <c r="CR171" i="1"/>
  <c r="CS141" i="1"/>
  <c r="EE18" i="11"/>
  <c r="EC18" i="11"/>
  <c r="ED18" i="11"/>
  <c r="EF18" i="11"/>
  <c r="Y67" i="67"/>
  <c r="Y102" i="67" s="1"/>
  <c r="X102" i="67"/>
  <c r="AF10" i="4"/>
  <c r="BD7" i="6"/>
  <c r="H87" i="8"/>
  <c r="H89" i="8"/>
  <c r="H90" i="8"/>
  <c r="H88" i="8"/>
  <c r="AI111" i="3"/>
  <c r="W52" i="4"/>
  <c r="BE50" i="1"/>
  <c r="BD35" i="1"/>
  <c r="BD80" i="1"/>
  <c r="BE30" i="1"/>
  <c r="AP142" i="3"/>
  <c r="T142" i="3"/>
  <c r="AI9" i="4"/>
  <c r="T76" i="67"/>
  <c r="S111" i="67"/>
  <c r="CQ6" i="11"/>
  <c r="BB15" i="1"/>
  <c r="BI31" i="1"/>
  <c r="BI51" i="1"/>
  <c r="BH81" i="1"/>
  <c r="CW6" i="11"/>
  <c r="AP135" i="3"/>
  <c r="AH9" i="4"/>
  <c r="CO41" i="1"/>
  <c r="CN31" i="1"/>
  <c r="CO61" i="1"/>
  <c r="CS11" i="1"/>
  <c r="BV11" i="6" s="1"/>
  <c r="BV17" i="6" s="1"/>
  <c r="BV23" i="6" s="1"/>
  <c r="BV29" i="6" s="1"/>
  <c r="BV35" i="6" s="1"/>
  <c r="BV41" i="6" s="1"/>
  <c r="CB225" i="1"/>
  <c r="CF6" i="1"/>
  <c r="D240" i="54"/>
  <c r="CS82" i="1"/>
  <c r="CR112" i="1"/>
  <c r="E80" i="67"/>
  <c r="I79" i="67"/>
  <c r="BE45" i="1"/>
  <c r="BE15" i="1"/>
  <c r="H7" i="11"/>
  <c r="M6" i="11"/>
  <c r="N6" i="11" s="1"/>
  <c r="O6" i="11" s="1"/>
  <c r="P6" i="11" s="1"/>
  <c r="BL80" i="1"/>
  <c r="BL35" i="1"/>
  <c r="BM30" i="1"/>
  <c r="BM50" i="1"/>
  <c r="EX74" i="11"/>
  <c r="O21" i="4"/>
  <c r="DB54" i="1"/>
  <c r="CS80" i="1"/>
  <c r="CR110" i="1"/>
  <c r="CX80" i="1"/>
  <c r="BN42" i="1"/>
  <c r="AI139" i="3"/>
  <c r="AK139" i="3" s="1"/>
  <c r="H112" i="67"/>
  <c r="R109" i="67"/>
  <c r="J13" i="8"/>
  <c r="N20" i="8"/>
  <c r="U77" i="4"/>
  <c r="V76" i="4"/>
  <c r="U79" i="4"/>
  <c r="BI15" i="1"/>
  <c r="BI45" i="1"/>
  <c r="AV15" i="1"/>
  <c r="BA15" i="1" s="1"/>
  <c r="AV30" i="1"/>
  <c r="BA30" i="1" s="1"/>
  <c r="AW40" i="1"/>
  <c r="BB40" i="1" s="1"/>
  <c r="H91" i="8"/>
  <c r="Q81" i="67"/>
  <c r="BF15" i="1"/>
  <c r="CS56" i="1"/>
  <c r="CR86" i="1"/>
  <c r="CX86" i="1" s="1"/>
  <c r="D95" i="8"/>
  <c r="T97" i="3"/>
  <c r="U55" i="4"/>
  <c r="U56" i="4" s="1"/>
  <c r="U53" i="4"/>
  <c r="U42" i="4"/>
  <c r="V52" i="4"/>
  <c r="V55" i="4" s="1"/>
  <c r="AW43" i="1"/>
  <c r="BB43" i="1" s="1"/>
  <c r="AV16" i="1"/>
  <c r="AV33" i="1"/>
  <c r="BA33" i="1" s="1"/>
  <c r="BP83" i="1"/>
  <c r="BQ33" i="1"/>
  <c r="BQ53" i="1"/>
  <c r="BP36" i="1"/>
  <c r="CZ6" i="11"/>
  <c r="BP82" i="1"/>
  <c r="BQ32" i="1"/>
  <c r="BQ52" i="1"/>
  <c r="BH83" i="1"/>
  <c r="BI53" i="1"/>
  <c r="BI33" i="1"/>
  <c r="BH36" i="1"/>
  <c r="CT62" i="1"/>
  <c r="G59" i="5"/>
  <c r="AD10" i="4"/>
  <c r="DF74" i="1"/>
  <c r="DE74" i="1"/>
  <c r="C110" i="67"/>
  <c r="D109" i="67"/>
  <c r="L116" i="8"/>
  <c r="L123" i="8"/>
  <c r="B45" i="54"/>
  <c r="BM33" i="1"/>
  <c r="BL83" i="1"/>
  <c r="BL36" i="1"/>
  <c r="BM53" i="1"/>
  <c r="D120" i="54"/>
  <c r="D126" i="54"/>
  <c r="BI54" i="1"/>
  <c r="BH84" i="1"/>
  <c r="BI34" i="1"/>
  <c r="Q76" i="67"/>
  <c r="AI118" i="3"/>
  <c r="BL81" i="1"/>
  <c r="BM51" i="1"/>
  <c r="BM31" i="1"/>
  <c r="I43" i="5"/>
  <c r="I50" i="5"/>
  <c r="I46" i="5"/>
  <c r="S52" i="4"/>
  <c r="R42" i="4"/>
  <c r="J35" i="8"/>
  <c r="CW64" i="1"/>
  <c r="CV34" i="1"/>
  <c r="CW14" i="1"/>
  <c r="CW44" i="1"/>
  <c r="BU33" i="1"/>
  <c r="BU53" i="1"/>
  <c r="BT83" i="1"/>
  <c r="BT36" i="1"/>
  <c r="AE10" i="4"/>
  <c r="H56" i="5"/>
  <c r="H61" i="5"/>
  <c r="H62" i="5" s="1"/>
  <c r="J8" i="10"/>
  <c r="S76" i="4"/>
  <c r="T40" i="4"/>
  <c r="T43" i="4" s="1"/>
  <c r="FB69" i="11"/>
  <c r="CR84" i="1"/>
  <c r="CS54" i="1"/>
  <c r="CT43" i="1"/>
  <c r="Q178" i="83"/>
  <c r="DA14" i="1"/>
  <c r="BQ31" i="1"/>
  <c r="BP81" i="1"/>
  <c r="BQ51" i="1"/>
  <c r="BR51" i="1" s="1"/>
  <c r="CO53" i="1"/>
  <c r="CN83" i="1"/>
  <c r="CS33" i="1"/>
  <c r="CN36" i="1"/>
  <c r="CS36" i="1" s="1"/>
  <c r="AO149" i="3"/>
  <c r="T145" i="3"/>
  <c r="BP84" i="1"/>
  <c r="BQ54" i="1"/>
  <c r="BR54" i="1" s="1"/>
  <c r="BQ34" i="1"/>
  <c r="BA12" i="1"/>
  <c r="AD12" i="6" s="1"/>
  <c r="AD18" i="6" s="1"/>
  <c r="AD24" i="6" s="1"/>
  <c r="AD30" i="6" s="1"/>
  <c r="AD36" i="6" s="1"/>
  <c r="AD42" i="6" s="1"/>
  <c r="F45" i="67"/>
  <c r="CW86" i="1"/>
  <c r="CV116" i="1"/>
  <c r="CW116" i="1" s="1"/>
  <c r="DB86" i="1"/>
  <c r="J21" i="8"/>
  <c r="R111" i="67"/>
  <c r="K77" i="67"/>
  <c r="DB55" i="1"/>
  <c r="CZ85" i="1"/>
  <c r="DA55" i="1"/>
  <c r="BY60" i="1"/>
  <c r="BZ60" i="1" s="1"/>
  <c r="BY10" i="1"/>
  <c r="BB10" i="6" s="1"/>
  <c r="BB16" i="6" s="1"/>
  <c r="BB22" i="6" s="1"/>
  <c r="BB28" i="6" s="1"/>
  <c r="BB34" i="6" s="1"/>
  <c r="BB40" i="6" s="1"/>
  <c r="BY40" i="1"/>
  <c r="BZ40" i="1" s="1"/>
  <c r="BX15" i="1"/>
  <c r="BX30" i="1"/>
  <c r="F77" i="67"/>
  <c r="BM52" i="1"/>
  <c r="BL82" i="1"/>
  <c r="BM32" i="1"/>
  <c r="I80" i="67"/>
  <c r="L110" i="67"/>
  <c r="C76" i="67"/>
  <c r="S77" i="67"/>
  <c r="Q77" i="67"/>
  <c r="Q112" i="67" s="1"/>
  <c r="V48" i="4"/>
  <c r="J11" i="8"/>
  <c r="BA51" i="1"/>
  <c r="AZ81" i="1"/>
  <c r="EA71" i="11"/>
  <c r="BI30" i="1"/>
  <c r="BH80" i="1"/>
  <c r="BI50" i="1"/>
  <c r="BH35" i="1"/>
  <c r="AT6" i="11"/>
  <c r="CV180" i="1"/>
  <c r="CW160" i="1"/>
  <c r="BA46" i="1"/>
  <c r="H79" i="67"/>
  <c r="P112" i="67"/>
  <c r="O81" i="67"/>
  <c r="O79" i="67"/>
  <c r="W74" i="67"/>
  <c r="J77" i="8"/>
  <c r="DF80" i="1"/>
  <c r="DE80" i="1"/>
  <c r="DD110" i="1"/>
  <c r="DE120" i="1" s="1"/>
  <c r="R80" i="67"/>
  <c r="Q115" i="67"/>
  <c r="BF44" i="1"/>
  <c r="D117" i="8"/>
  <c r="C126" i="3"/>
  <c r="G126" i="3" s="1"/>
  <c r="T119" i="3"/>
  <c r="CR85" i="1"/>
  <c r="CS55" i="1"/>
  <c r="CW35" i="1"/>
  <c r="S113" i="67"/>
  <c r="T78" i="67"/>
  <c r="F246" i="54"/>
  <c r="J113" i="67"/>
  <c r="T25" i="67"/>
  <c r="Q83" i="67"/>
  <c r="CO46" i="1"/>
  <c r="CO66" i="1"/>
  <c r="AI131" i="3"/>
  <c r="BU32" i="1"/>
  <c r="BT82" i="1"/>
  <c r="BU52" i="1"/>
  <c r="D110" i="8"/>
  <c r="L110" i="8" s="1"/>
  <c r="T112" i="3"/>
  <c r="BX34" i="1"/>
  <c r="BY14" i="1"/>
  <c r="BY64" i="1"/>
  <c r="BZ64" i="1" s="1"/>
  <c r="BY44" i="1"/>
  <c r="BZ44" i="1" s="1"/>
  <c r="AG60" i="4"/>
  <c r="E247" i="54"/>
  <c r="C250" i="54"/>
  <c r="D247" i="54"/>
  <c r="J80" i="67"/>
  <c r="DI71" i="11"/>
  <c r="FA72" i="11"/>
  <c r="S46" i="4"/>
  <c r="S49" i="4"/>
  <c r="E78" i="67"/>
  <c r="L133" i="8"/>
  <c r="L140" i="8"/>
  <c r="BU65" i="1"/>
  <c r="BU45" i="1"/>
  <c r="BU15" i="1"/>
  <c r="BV42" i="1"/>
  <c r="CV142" i="1"/>
  <c r="CW122" i="1"/>
  <c r="CW112" i="1"/>
  <c r="I113" i="67"/>
  <c r="U40" i="4"/>
  <c r="FC69" i="11"/>
  <c r="J79" i="67"/>
  <c r="EW7" i="11"/>
  <c r="EV68" i="11"/>
  <c r="H113" i="67"/>
  <c r="BF40" i="1"/>
  <c r="BA50" i="1"/>
  <c r="AZ35" i="1"/>
  <c r="AZ80" i="1"/>
  <c r="O5" i="5"/>
  <c r="BM15" i="1"/>
  <c r="BM45" i="1"/>
  <c r="BH6" i="11"/>
  <c r="J28" i="8"/>
  <c r="BI32" i="1"/>
  <c r="BH82" i="1"/>
  <c r="BI52" i="1"/>
  <c r="AW14" i="1"/>
  <c r="AW44" i="1"/>
  <c r="BB44" i="1" s="1"/>
  <c r="AV34" i="1"/>
  <c r="BA34" i="1" s="1"/>
  <c r="P85" i="67"/>
  <c r="BA53" i="1"/>
  <c r="AZ36" i="1"/>
  <c r="AZ83" i="1"/>
  <c r="P84" i="67"/>
  <c r="T135" i="3"/>
  <c r="BA14" i="1"/>
  <c r="N77" i="67"/>
  <c r="K21" i="4"/>
  <c r="BR41" i="1"/>
  <c r="AI126" i="3"/>
  <c r="BR44" i="1"/>
  <c r="M111" i="67"/>
  <c r="M78" i="67"/>
  <c r="J63" i="8"/>
  <c r="BI46" i="1"/>
  <c r="BI16" i="1"/>
  <c r="G45" i="67"/>
  <c r="G44" i="67"/>
  <c r="AI127" i="3"/>
  <c r="AG9" i="4"/>
  <c r="AP128" i="3"/>
  <c r="T128" i="3"/>
  <c r="FD72" i="11"/>
  <c r="U46" i="4"/>
  <c r="U47" i="4" s="1"/>
  <c r="U49" i="4"/>
  <c r="G80" i="67"/>
  <c r="BD36" i="1"/>
  <c r="BE53" i="1"/>
  <c r="BD83" i="1"/>
  <c r="BE33" i="1"/>
  <c r="BJ16" i="1"/>
  <c r="BX33" i="1"/>
  <c r="BY43" i="1"/>
  <c r="BZ43" i="1" s="1"/>
  <c r="BY13" i="1"/>
  <c r="BB13" i="6" s="1"/>
  <c r="BB19" i="6" s="1"/>
  <c r="BB25" i="6" s="1"/>
  <c r="BB31" i="6" s="1"/>
  <c r="BB37" i="6" s="1"/>
  <c r="BB43" i="6" s="1"/>
  <c r="BX16" i="1"/>
  <c r="BZ16" i="1" s="1"/>
  <c r="BY63" i="1"/>
  <c r="BZ63" i="1" s="1"/>
  <c r="J42" i="8"/>
  <c r="D80" i="67"/>
  <c r="F110" i="67"/>
  <c r="G109" i="67"/>
  <c r="G108" i="67"/>
  <c r="F109" i="67"/>
  <c r="BN15" i="1"/>
  <c r="I111" i="67"/>
  <c r="CX46" i="1"/>
  <c r="L79" i="67"/>
  <c r="J56" i="8"/>
  <c r="T110" i="67"/>
  <c r="U75" i="67"/>
  <c r="B183" i="54"/>
  <c r="U67" i="4"/>
  <c r="V64" i="4"/>
  <c r="U65" i="4"/>
  <c r="BV16" i="1"/>
  <c r="H111" i="67"/>
  <c r="BQ15" i="1"/>
  <c r="BQ45" i="1"/>
  <c r="CZ171" i="1"/>
  <c r="DA141" i="1"/>
  <c r="CZ161" i="1"/>
  <c r="O80" i="67"/>
  <c r="D46" i="5"/>
  <c r="D50" i="5"/>
  <c r="D43" i="5"/>
  <c r="CO52" i="1"/>
  <c r="CT52" i="1" s="1"/>
  <c r="CN82" i="1"/>
  <c r="CT82" i="1" s="1"/>
  <c r="V106" i="67"/>
  <c r="W71" i="67"/>
  <c r="BE54" i="1"/>
  <c r="BD84" i="1"/>
  <c r="BE34" i="1"/>
  <c r="BD81" i="1"/>
  <c r="BE51" i="1"/>
  <c r="BE31" i="1"/>
  <c r="V66" i="4"/>
  <c r="P178" i="83" l="1"/>
  <c r="AS50" i="9"/>
  <c r="AS32" i="9"/>
  <c r="BF54" i="1"/>
  <c r="J84" i="8"/>
  <c r="G10" i="100"/>
  <c r="K10" i="100"/>
  <c r="V42" i="4"/>
  <c r="W40" i="4" s="1"/>
  <c r="D131" i="54"/>
  <c r="C132" i="54"/>
  <c r="C270" i="54" s="1"/>
  <c r="AP11" i="10"/>
  <c r="AR19" i="9"/>
  <c r="AS19" i="9" s="1"/>
  <c r="AR32" i="9"/>
  <c r="AR50" i="9"/>
  <c r="CZ84" i="1"/>
  <c r="DA34" i="1"/>
  <c r="C56" i="5"/>
  <c r="C61" i="5"/>
  <c r="E8" i="10"/>
  <c r="C62" i="5"/>
  <c r="U68" i="4"/>
  <c r="CR143" i="1"/>
  <c r="CS123" i="1"/>
  <c r="CS113" i="1"/>
  <c r="T41" i="4"/>
  <c r="U43" i="4"/>
  <c r="U20" i="4" s="1"/>
  <c r="FD74" i="11" s="1"/>
  <c r="V56" i="4"/>
  <c r="BN51" i="1"/>
  <c r="BJ52" i="1"/>
  <c r="BV52" i="1"/>
  <c r="BJ50" i="1"/>
  <c r="BN46" i="1"/>
  <c r="BJ53" i="1"/>
  <c r="BJ46" i="1"/>
  <c r="BV45" i="1"/>
  <c r="BR46" i="1"/>
  <c r="AX15" i="1"/>
  <c r="BJ45" i="1"/>
  <c r="BF51" i="1"/>
  <c r="BN45" i="1"/>
  <c r="BF52" i="1"/>
  <c r="BR53" i="1"/>
  <c r="BR50" i="1"/>
  <c r="BV51" i="1"/>
  <c r="J14" i="8"/>
  <c r="BE56" i="1"/>
  <c r="BE36" i="1"/>
  <c r="BD86" i="1"/>
  <c r="FC82" i="11"/>
  <c r="G42" i="67"/>
  <c r="BY54" i="1"/>
  <c r="BZ54" i="1" s="1"/>
  <c r="BY34" i="1"/>
  <c r="BX84" i="1"/>
  <c r="CX44" i="1"/>
  <c r="DB44" i="1"/>
  <c r="CV171" i="1"/>
  <c r="DA171" i="1" s="1"/>
  <c r="CV161" i="1"/>
  <c r="DB161" i="1" s="1"/>
  <c r="CX141" i="1"/>
  <c r="CW141" i="1"/>
  <c r="CV144" i="1"/>
  <c r="CV145" i="1"/>
  <c r="G82" i="67"/>
  <c r="CT53" i="1"/>
  <c r="B51" i="54"/>
  <c r="B57" i="54" s="1"/>
  <c r="B63" i="54" s="1"/>
  <c r="W78" i="4"/>
  <c r="W54" i="4"/>
  <c r="Y66" i="4"/>
  <c r="W66" i="4"/>
  <c r="L80" i="67"/>
  <c r="L81" i="67"/>
  <c r="AG10" i="4"/>
  <c r="BD111" i="1"/>
  <c r="BE81" i="1"/>
  <c r="BF81" i="1"/>
  <c r="CZ181" i="1"/>
  <c r="DA161" i="1"/>
  <c r="Q118" i="67"/>
  <c r="R83" i="67"/>
  <c r="BH110" i="1"/>
  <c r="BI80" i="1"/>
  <c r="BJ80" i="1"/>
  <c r="BT86" i="1"/>
  <c r="BU36" i="1"/>
  <c r="BU56" i="1"/>
  <c r="BL111" i="1"/>
  <c r="BM81" i="1"/>
  <c r="BN81" i="1"/>
  <c r="BI84" i="1"/>
  <c r="BJ84" i="1"/>
  <c r="BH114" i="1"/>
  <c r="T111" i="67"/>
  <c r="U76" i="67"/>
  <c r="V53" i="4"/>
  <c r="E114" i="67"/>
  <c r="L101" i="8"/>
  <c r="L108" i="8"/>
  <c r="D81" i="67"/>
  <c r="K112" i="67"/>
  <c r="L111" i="67"/>
  <c r="K80" i="67"/>
  <c r="K79" i="67"/>
  <c r="K78" i="67"/>
  <c r="BR81" i="1"/>
  <c r="BQ81" i="1"/>
  <c r="BP111" i="1"/>
  <c r="BV81" i="1"/>
  <c r="CS110" i="1"/>
  <c r="CR140" i="1"/>
  <c r="CS120" i="1"/>
  <c r="B189" i="54"/>
  <c r="U110" i="67"/>
  <c r="V75" i="67"/>
  <c r="BD113" i="1"/>
  <c r="BF83" i="1"/>
  <c r="BE83" i="1"/>
  <c r="BA80" i="1"/>
  <c r="AZ110" i="1"/>
  <c r="T113" i="67"/>
  <c r="U78" i="67"/>
  <c r="BL86" i="1"/>
  <c r="BM36" i="1"/>
  <c r="BM56" i="1"/>
  <c r="BR83" i="1"/>
  <c r="BP113" i="1"/>
  <c r="BQ83" i="1"/>
  <c r="CT60" i="1"/>
  <c r="DB141" i="1"/>
  <c r="FD83" i="11"/>
  <c r="FD73" i="11"/>
  <c r="H43" i="67"/>
  <c r="BA55" i="1"/>
  <c r="AZ85" i="1"/>
  <c r="BV82" i="1"/>
  <c r="BT112" i="1"/>
  <c r="BU82" i="1"/>
  <c r="I115" i="67"/>
  <c r="I82" i="67"/>
  <c r="L102" i="8"/>
  <c r="H6" i="11"/>
  <c r="I6" i="11" s="1"/>
  <c r="J6" i="11" s="1"/>
  <c r="K6" i="11" s="1"/>
  <c r="C7" i="11"/>
  <c r="E115" i="67"/>
  <c r="V101" i="67"/>
  <c r="V6" i="67"/>
  <c r="W66" i="67"/>
  <c r="F113" i="67"/>
  <c r="G112" i="67"/>
  <c r="DA110" i="1"/>
  <c r="CZ140" i="1"/>
  <c r="DA120" i="1"/>
  <c r="AW46" i="1"/>
  <c r="BB46" i="1" s="1"/>
  <c r="BA16" i="1"/>
  <c r="AX16" i="1"/>
  <c r="N87" i="8"/>
  <c r="P87" i="8"/>
  <c r="J87" i="8"/>
  <c r="G81" i="67"/>
  <c r="BH112" i="1"/>
  <c r="BI82" i="1"/>
  <c r="BJ82" i="1"/>
  <c r="T47" i="4"/>
  <c r="CT66" i="1"/>
  <c r="V109" i="67"/>
  <c r="BD110" i="1"/>
  <c r="BE80" i="1"/>
  <c r="BF80" i="1"/>
  <c r="BH7" i="6"/>
  <c r="H104" i="8" s="1"/>
  <c r="H96" i="8"/>
  <c r="H95" i="8"/>
  <c r="H94" i="8"/>
  <c r="H97" i="8"/>
  <c r="H98" i="8"/>
  <c r="E124" i="54"/>
  <c r="F121" i="54"/>
  <c r="I121" i="54"/>
  <c r="D82" i="67"/>
  <c r="FA83" i="11"/>
  <c r="E43" i="67"/>
  <c r="FB73" i="11"/>
  <c r="CT46" i="1"/>
  <c r="BP86" i="1"/>
  <c r="BQ36" i="1"/>
  <c r="BQ56" i="1"/>
  <c r="CC14" i="1"/>
  <c r="CC44" i="1"/>
  <c r="CD44" i="1" s="1"/>
  <c r="CC64" i="1"/>
  <c r="CD64" i="1" s="1"/>
  <c r="CB34" i="1"/>
  <c r="CB226" i="1" s="1"/>
  <c r="AS41" i="1"/>
  <c r="AR31" i="1"/>
  <c r="AW11" i="1"/>
  <c r="Z11" i="6" s="1"/>
  <c r="Z17" i="6" s="1"/>
  <c r="Z23" i="6" s="1"/>
  <c r="Z29" i="6" s="1"/>
  <c r="Z35" i="6" s="1"/>
  <c r="Z41" i="6" s="1"/>
  <c r="BV54" i="1"/>
  <c r="BM84" i="1"/>
  <c r="BL114" i="1"/>
  <c r="BN84" i="1"/>
  <c r="BY31" i="1"/>
  <c r="BX81" i="1"/>
  <c r="BY51" i="1"/>
  <c r="BZ51" i="1" s="1"/>
  <c r="AG72" i="4"/>
  <c r="F247" i="54"/>
  <c r="E250" i="54"/>
  <c r="AI119" i="3"/>
  <c r="S80" i="67"/>
  <c r="R115" i="67"/>
  <c r="BA81" i="1"/>
  <c r="AZ111" i="1"/>
  <c r="I51" i="5"/>
  <c r="I55" i="5"/>
  <c r="I58" i="5"/>
  <c r="I59" i="5" s="1"/>
  <c r="L62" i="9"/>
  <c r="CB15" i="1"/>
  <c r="CC40" i="1"/>
  <c r="CD40" i="1" s="1"/>
  <c r="CC60" i="1"/>
  <c r="CD60" i="1" s="1"/>
  <c r="CC10" i="1"/>
  <c r="BF10" i="6" s="1"/>
  <c r="BF16" i="6" s="1"/>
  <c r="BF22" i="6" s="1"/>
  <c r="BF28" i="6" s="1"/>
  <c r="BF34" i="6" s="1"/>
  <c r="BF40" i="6" s="1"/>
  <c r="CB30" i="1"/>
  <c r="BE35" i="1"/>
  <c r="BE55" i="1"/>
  <c r="BD85" i="1"/>
  <c r="AS42" i="1"/>
  <c r="AX42" i="1" s="1"/>
  <c r="AR32" i="1"/>
  <c r="AW32" i="1" s="1"/>
  <c r="BT85" i="1"/>
  <c r="BU55" i="1"/>
  <c r="BU35" i="1"/>
  <c r="P114" i="67"/>
  <c r="BY66" i="1"/>
  <c r="BZ66" i="1" s="1"/>
  <c r="BY16" i="1"/>
  <c r="BY46" i="1"/>
  <c r="BZ46" i="1" s="1"/>
  <c r="BI6" i="11"/>
  <c r="J114" i="67"/>
  <c r="CV162" i="1"/>
  <c r="CV172" i="1"/>
  <c r="CW142" i="1"/>
  <c r="CV146" i="1"/>
  <c r="AI112" i="3"/>
  <c r="CS85" i="1"/>
  <c r="CR115" i="1"/>
  <c r="CS115" i="1" s="1"/>
  <c r="CX85" i="1"/>
  <c r="T99" i="3"/>
  <c r="D97" i="8"/>
  <c r="T77" i="67"/>
  <c r="S112" i="67"/>
  <c r="F112" i="67"/>
  <c r="G111" i="67"/>
  <c r="BY15" i="1"/>
  <c r="BY45" i="1"/>
  <c r="BZ45" i="1" s="1"/>
  <c r="BY65" i="1"/>
  <c r="BZ65" i="1" s="1"/>
  <c r="CN86" i="1"/>
  <c r="CO56" i="1"/>
  <c r="S55" i="4"/>
  <c r="S53" i="4"/>
  <c r="AV36" i="1"/>
  <c r="AV83" i="1"/>
  <c r="BB83" i="1" s="1"/>
  <c r="AW53" i="1"/>
  <c r="BB53" i="1" s="1"/>
  <c r="AW45" i="1"/>
  <c r="BB45" i="1" s="1"/>
  <c r="BZ15" i="1"/>
  <c r="BN50" i="1"/>
  <c r="AH10" i="4"/>
  <c r="AI10" i="4"/>
  <c r="S65" i="4"/>
  <c r="S67" i="4"/>
  <c r="T68" i="4" s="1"/>
  <c r="AI103" i="3"/>
  <c r="R82" i="67"/>
  <c r="Q117" i="67"/>
  <c r="Q42" i="4"/>
  <c r="R52" i="4"/>
  <c r="J120" i="54"/>
  <c r="T120" i="54"/>
  <c r="AI117" i="3"/>
  <c r="AS44" i="1"/>
  <c r="AR34" i="1"/>
  <c r="AW34" i="1" s="1"/>
  <c r="BV84" i="1"/>
  <c r="BU84" i="1"/>
  <c r="BT114" i="1"/>
  <c r="P115" i="67"/>
  <c r="C111" i="67"/>
  <c r="D110" i="67"/>
  <c r="BJ54" i="1"/>
  <c r="BH113" i="1"/>
  <c r="BI83" i="1"/>
  <c r="BJ83" i="1"/>
  <c r="AI97" i="3"/>
  <c r="BL85" i="1"/>
  <c r="BM55" i="1"/>
  <c r="BM35" i="1"/>
  <c r="BF45" i="1"/>
  <c r="CS112" i="1"/>
  <c r="CS122" i="1"/>
  <c r="CR142" i="1"/>
  <c r="CC11" i="1"/>
  <c r="BF11" i="6" s="1"/>
  <c r="BF17" i="6" s="1"/>
  <c r="BF23" i="6" s="1"/>
  <c r="BF29" i="6" s="1"/>
  <c r="BF35" i="6" s="1"/>
  <c r="BF41" i="6" s="1"/>
  <c r="CB31" i="1"/>
  <c r="CC61" i="1"/>
  <c r="CD61" i="1" s="1"/>
  <c r="CC41" i="1"/>
  <c r="CD41" i="1" s="1"/>
  <c r="CR6" i="11"/>
  <c r="J90" i="8"/>
  <c r="N90" i="8"/>
  <c r="P90" i="8"/>
  <c r="BQ80" i="1"/>
  <c r="BR80" i="1"/>
  <c r="BP110" i="1"/>
  <c r="R76" i="4"/>
  <c r="AS40" i="1"/>
  <c r="AX40" i="1" s="1"/>
  <c r="AR30" i="1"/>
  <c r="AW30" i="1" s="1"/>
  <c r="AR15" i="1"/>
  <c r="AW15" i="1" s="1"/>
  <c r="AS43" i="1"/>
  <c r="AX43" i="1" s="1"/>
  <c r="AR16" i="1"/>
  <c r="AW16" i="1" s="1"/>
  <c r="AR33" i="1"/>
  <c r="AW33" i="1" s="1"/>
  <c r="U25" i="67"/>
  <c r="BV46" i="1"/>
  <c r="BE84" i="1"/>
  <c r="BD114" i="1"/>
  <c r="BF84" i="1"/>
  <c r="BY53" i="1"/>
  <c r="BZ53" i="1" s="1"/>
  <c r="BX83" i="1"/>
  <c r="BY33" i="1"/>
  <c r="BX36" i="1"/>
  <c r="BF53" i="1"/>
  <c r="M113" i="67"/>
  <c r="Q84" i="67"/>
  <c r="BA83" i="1"/>
  <c r="AZ113" i="1"/>
  <c r="C251" i="54"/>
  <c r="D250" i="54"/>
  <c r="X74" i="67"/>
  <c r="H114" i="67"/>
  <c r="H80" i="67"/>
  <c r="H81" i="67"/>
  <c r="CO83" i="1"/>
  <c r="CN113" i="1"/>
  <c r="CT83" i="1"/>
  <c r="CW54" i="1"/>
  <c r="CW34" i="1"/>
  <c r="CV84" i="1"/>
  <c r="BN53" i="1"/>
  <c r="BR52" i="1"/>
  <c r="Q116" i="67"/>
  <c r="R81" i="67"/>
  <c r="BM80" i="1"/>
  <c r="BL110" i="1"/>
  <c r="BN80" i="1"/>
  <c r="I114" i="67"/>
  <c r="I81" i="67"/>
  <c r="CT61" i="1"/>
  <c r="CR181" i="1"/>
  <c r="CS161" i="1"/>
  <c r="DE6" i="11"/>
  <c r="CW126" i="1"/>
  <c r="CW125" i="1"/>
  <c r="AI128" i="3"/>
  <c r="M112" i="67"/>
  <c r="M80" i="67"/>
  <c r="M115" i="67" s="1"/>
  <c r="BN54" i="1"/>
  <c r="R64" i="4"/>
  <c r="L122" i="8"/>
  <c r="L115" i="8"/>
  <c r="R45" i="67"/>
  <c r="S44" i="67"/>
  <c r="BV50" i="1"/>
  <c r="CZ183" i="1"/>
  <c r="DA183" i="1" s="1"/>
  <c r="DA163" i="1"/>
  <c r="DB163" i="1"/>
  <c r="AD5" i="5"/>
  <c r="AC5" i="4"/>
  <c r="CO65" i="1"/>
  <c r="CO45" i="1"/>
  <c r="CS15" i="1"/>
  <c r="P48" i="4"/>
  <c r="P78" i="4"/>
  <c r="P66" i="4"/>
  <c r="O5" i="4"/>
  <c r="P54" i="4"/>
  <c r="R114" i="67"/>
  <c r="S79" i="67"/>
  <c r="H62" i="9"/>
  <c r="E51" i="5"/>
  <c r="E55" i="5"/>
  <c r="E58" i="5"/>
  <c r="DA146" i="1"/>
  <c r="CT40" i="1"/>
  <c r="CO82" i="1"/>
  <c r="CN112" i="1"/>
  <c r="Q85" i="67"/>
  <c r="T107" i="3"/>
  <c r="D105" i="8"/>
  <c r="DA85" i="1"/>
  <c r="CZ115" i="1"/>
  <c r="DA115" i="1" s="1"/>
  <c r="DB85" i="1"/>
  <c r="BQ84" i="1"/>
  <c r="BP114" i="1"/>
  <c r="BR84" i="1"/>
  <c r="CS84" i="1"/>
  <c r="CR114" i="1"/>
  <c r="BL113" i="1"/>
  <c r="BM83" i="1"/>
  <c r="BN83" i="1"/>
  <c r="BP112" i="1"/>
  <c r="BQ82" i="1"/>
  <c r="BR82" i="1"/>
  <c r="V40" i="4"/>
  <c r="U41" i="4"/>
  <c r="FD69" i="11"/>
  <c r="BQ55" i="1"/>
  <c r="BQ35" i="1"/>
  <c r="BP85" i="1"/>
  <c r="EZ72" i="11"/>
  <c r="CZ162" i="1"/>
  <c r="CZ172" i="1"/>
  <c r="DA142" i="1"/>
  <c r="DB142" i="1"/>
  <c r="AW12" i="1"/>
  <c r="Z12" i="6" s="1"/>
  <c r="Z18" i="6" s="1"/>
  <c r="Z24" i="6" s="1"/>
  <c r="Z30" i="6" s="1"/>
  <c r="Z36" i="6" s="1"/>
  <c r="Z42" i="6" s="1"/>
  <c r="DB173" i="1"/>
  <c r="DA173" i="1"/>
  <c r="W106" i="67"/>
  <c r="X71" i="67"/>
  <c r="N112" i="67"/>
  <c r="O111" i="67"/>
  <c r="N5" i="5"/>
  <c r="E113" i="67"/>
  <c r="R46" i="4"/>
  <c r="S47" i="4" s="1"/>
  <c r="AG61" i="4"/>
  <c r="AG58" i="4"/>
  <c r="AG59" i="4" s="1"/>
  <c r="DD140" i="1"/>
  <c r="DE110" i="1"/>
  <c r="BL112" i="1"/>
  <c r="BM82" i="1"/>
  <c r="BN82" i="1"/>
  <c r="AI145" i="3"/>
  <c r="FB82" i="11"/>
  <c r="F42" i="67"/>
  <c r="BV53" i="1"/>
  <c r="S40" i="4"/>
  <c r="FA69" i="11"/>
  <c r="Q111" i="67"/>
  <c r="R110" i="67"/>
  <c r="AW50" i="1"/>
  <c r="BB50" i="1" s="1"/>
  <c r="AV35" i="1"/>
  <c r="BA35" i="1" s="1"/>
  <c r="AV80" i="1"/>
  <c r="H82" i="67"/>
  <c r="CC12" i="1"/>
  <c r="BF12" i="6" s="1"/>
  <c r="BF18" i="6" s="1"/>
  <c r="BF24" i="6" s="1"/>
  <c r="BF30" i="6" s="1"/>
  <c r="BF36" i="6" s="1"/>
  <c r="BF42" i="6" s="1"/>
  <c r="CC62" i="1"/>
  <c r="CD62" i="1" s="1"/>
  <c r="CB32" i="1"/>
  <c r="CC42" i="1"/>
  <c r="CD42" i="1" s="1"/>
  <c r="CC13" i="1"/>
  <c r="BF13" i="6" s="1"/>
  <c r="BF19" i="6" s="1"/>
  <c r="BF25" i="6" s="1"/>
  <c r="BF31" i="6" s="1"/>
  <c r="BF37" i="6" s="1"/>
  <c r="BF43" i="6" s="1"/>
  <c r="CC63" i="1"/>
  <c r="CD63" i="1" s="1"/>
  <c r="CB16" i="1"/>
  <c r="CD16" i="1" s="1"/>
  <c r="CB33" i="1"/>
  <c r="CC43" i="1"/>
  <c r="CD43" i="1" s="1"/>
  <c r="BI81" i="1"/>
  <c r="BH111" i="1"/>
  <c r="BJ81" i="1"/>
  <c r="BF50" i="1"/>
  <c r="AV81" i="1"/>
  <c r="BB81" i="1" s="1"/>
  <c r="AW51" i="1"/>
  <c r="BF46" i="1"/>
  <c r="Y72" i="67"/>
  <c r="X107" i="67"/>
  <c r="AI142" i="3"/>
  <c r="BT110" i="1"/>
  <c r="BU80" i="1"/>
  <c r="BV80" i="1"/>
  <c r="CN35" i="1"/>
  <c r="CO50" i="1"/>
  <c r="CN80" i="1"/>
  <c r="CS30" i="1"/>
  <c r="F79" i="67"/>
  <c r="C77" i="67"/>
  <c r="BT141" i="1"/>
  <c r="BU111" i="1"/>
  <c r="BU121" i="1"/>
  <c r="D55" i="5"/>
  <c r="G62" i="9"/>
  <c r="D51" i="5"/>
  <c r="D58" i="5"/>
  <c r="D59" i="5" s="1"/>
  <c r="BR45" i="1"/>
  <c r="AZ86" i="1"/>
  <c r="BA56" i="1"/>
  <c r="S77" i="4"/>
  <c r="S79" i="4"/>
  <c r="BT113" i="1"/>
  <c r="BU83" i="1"/>
  <c r="BV83" i="1"/>
  <c r="CO51" i="1"/>
  <c r="CN81" i="1"/>
  <c r="CS31" i="1"/>
  <c r="N88" i="8"/>
  <c r="J88" i="8"/>
  <c r="P88" i="8"/>
  <c r="T113" i="3"/>
  <c r="D111" i="8"/>
  <c r="AZ112" i="1"/>
  <c r="BA82" i="1"/>
  <c r="BF82" i="1"/>
  <c r="BE82" i="1"/>
  <c r="BD112" i="1"/>
  <c r="W64" i="4"/>
  <c r="V67" i="4"/>
  <c r="V68" i="4" s="1"/>
  <c r="V65" i="4"/>
  <c r="AV84" i="1"/>
  <c r="AW54" i="1"/>
  <c r="BB54" i="1" s="1"/>
  <c r="EX7" i="11"/>
  <c r="EW68" i="11"/>
  <c r="P86" i="67"/>
  <c r="AI135" i="3"/>
  <c r="G62" i="5"/>
  <c r="L117" i="8"/>
  <c r="L124" i="8"/>
  <c r="P113" i="67"/>
  <c r="O82" i="67"/>
  <c r="BI35" i="1"/>
  <c r="BI55" i="1"/>
  <c r="BH85" i="1"/>
  <c r="V46" i="4"/>
  <c r="V47" i="4" s="1"/>
  <c r="FE72" i="11"/>
  <c r="V49" i="4"/>
  <c r="BN52" i="1"/>
  <c r="BY30" i="1"/>
  <c r="BX80" i="1"/>
  <c r="BX35" i="1"/>
  <c r="BY50" i="1"/>
  <c r="BZ50" i="1" s="1"/>
  <c r="N78" i="67"/>
  <c r="AP149" i="3"/>
  <c r="AJ9" i="4"/>
  <c r="T14" i="4"/>
  <c r="T20" i="4"/>
  <c r="BH86" i="1"/>
  <c r="BI56" i="1"/>
  <c r="BI36" i="1"/>
  <c r="DA6" i="11"/>
  <c r="CR116" i="1"/>
  <c r="CS116" i="1" s="1"/>
  <c r="CS86" i="1"/>
  <c r="AW10" i="1"/>
  <c r="Z10" i="6" s="1"/>
  <c r="Z16" i="6" s="1"/>
  <c r="Z22" i="6" s="1"/>
  <c r="Z28" i="6" s="1"/>
  <c r="Z34" i="6" s="1"/>
  <c r="Z40" i="6" s="1"/>
  <c r="J81" i="67"/>
  <c r="CF225" i="1"/>
  <c r="CJ6" i="1"/>
  <c r="CT41" i="1"/>
  <c r="BJ51" i="1"/>
  <c r="E81" i="67"/>
  <c r="J89" i="8"/>
  <c r="P89" i="8"/>
  <c r="N89" i="8"/>
  <c r="W105" i="67"/>
  <c r="X70" i="67"/>
  <c r="X104" i="67"/>
  <c r="W76" i="4"/>
  <c r="V77" i="4"/>
  <c r="V79" i="4"/>
  <c r="M79" i="67"/>
  <c r="BX82" i="1"/>
  <c r="BY32" i="1"/>
  <c r="BY52" i="1"/>
  <c r="BZ52" i="1" s="1"/>
  <c r="D119" i="8"/>
  <c r="CN14" i="1"/>
  <c r="CN225" i="1" s="1"/>
  <c r="T121" i="3"/>
  <c r="C128" i="3"/>
  <c r="AS12" i="1"/>
  <c r="V12" i="6" s="1"/>
  <c r="V18" i="6" s="1"/>
  <c r="V24" i="6" s="1"/>
  <c r="V30" i="6" s="1"/>
  <c r="V36" i="6" s="1"/>
  <c r="V42" i="6" s="1"/>
  <c r="AS14" i="1"/>
  <c r="AS11" i="1"/>
  <c r="V11" i="6" s="1"/>
  <c r="V17" i="6" s="1"/>
  <c r="V23" i="6" s="1"/>
  <c r="V29" i="6" s="1"/>
  <c r="V35" i="6" s="1"/>
  <c r="V41" i="6" s="1"/>
  <c r="AJ6" i="1"/>
  <c r="BA84" i="1"/>
  <c r="AZ114" i="1"/>
  <c r="BB84" i="1"/>
  <c r="AV82" i="1"/>
  <c r="BB82" i="1" s="1"/>
  <c r="AW52" i="1"/>
  <c r="BB52" i="1" s="1"/>
  <c r="X108" i="67"/>
  <c r="Y73" i="67"/>
  <c r="Y108" i="67" s="1"/>
  <c r="X103" i="67"/>
  <c r="Y68" i="67"/>
  <c r="Y103" i="67" s="1"/>
  <c r="O83" i="67"/>
  <c r="AQ11" i="10" l="1"/>
  <c r="AR11" i="10"/>
  <c r="DA84" i="1"/>
  <c r="FE69" i="11"/>
  <c r="V43" i="4"/>
  <c r="V20" i="4" s="1"/>
  <c r="X78" i="4"/>
  <c r="Y76" i="4" s="1"/>
  <c r="Y54" i="4"/>
  <c r="Z52" i="4" s="1"/>
  <c r="CZ114" i="1"/>
  <c r="DA114" i="1" s="1"/>
  <c r="C133" i="54"/>
  <c r="D132" i="54"/>
  <c r="DB84" i="1"/>
  <c r="U14" i="4"/>
  <c r="U21" i="4"/>
  <c r="CR163" i="1"/>
  <c r="CS143" i="1"/>
  <c r="CX143" i="1"/>
  <c r="CR173" i="1"/>
  <c r="BJ55" i="1"/>
  <c r="U44" i="4"/>
  <c r="DB171" i="1"/>
  <c r="AT16" i="1"/>
  <c r="BJ56" i="1"/>
  <c r="BN56" i="1"/>
  <c r="BF55" i="1"/>
  <c r="BV55" i="1"/>
  <c r="BV56" i="1"/>
  <c r="AN15" i="1"/>
  <c r="AP15" i="1" s="1"/>
  <c r="AN30" i="1"/>
  <c r="AS30" i="1" s="1"/>
  <c r="AO40" i="1"/>
  <c r="AT40" i="1" s="1"/>
  <c r="J116" i="67"/>
  <c r="J83" i="67"/>
  <c r="F8" i="10"/>
  <c r="D56" i="5"/>
  <c r="D61" i="5"/>
  <c r="D62" i="5" s="1"/>
  <c r="P65" i="4"/>
  <c r="Q64" i="4"/>
  <c r="P67" i="4"/>
  <c r="AI99" i="3"/>
  <c r="BA121" i="1"/>
  <c r="AZ141" i="1"/>
  <c r="BA111" i="1"/>
  <c r="J121" i="54"/>
  <c r="T121" i="54"/>
  <c r="CR170" i="1"/>
  <c r="CR145" i="1"/>
  <c r="CS140" i="1"/>
  <c r="CR144" i="1"/>
  <c r="CX144" i="1" s="1"/>
  <c r="CR160" i="1"/>
  <c r="CX140" i="1"/>
  <c r="BM112" i="1"/>
  <c r="BM122" i="1"/>
  <c r="BL142" i="1"/>
  <c r="CT45" i="1"/>
  <c r="C252" i="54"/>
  <c r="D251" i="54"/>
  <c r="CN116" i="1"/>
  <c r="CO116" i="1" s="1"/>
  <c r="CO86" i="1"/>
  <c r="U113" i="67"/>
  <c r="V78" i="67"/>
  <c r="W79" i="4"/>
  <c r="X76" i="4"/>
  <c r="W77" i="4"/>
  <c r="FE74" i="11"/>
  <c r="V21" i="4"/>
  <c r="EY7" i="11"/>
  <c r="EX68" i="11"/>
  <c r="BQ124" i="1"/>
  <c r="BQ114" i="1"/>
  <c r="BE124" i="1"/>
  <c r="BE114" i="1"/>
  <c r="BQ110" i="1"/>
  <c r="BP140" i="1"/>
  <c r="BQ120" i="1"/>
  <c r="BH116" i="1"/>
  <c r="BI116" i="1" s="1"/>
  <c r="BJ86" i="1"/>
  <c r="BI86" i="1"/>
  <c r="CN111" i="1"/>
  <c r="CO81" i="1"/>
  <c r="CT81" i="1"/>
  <c r="BT171" i="1"/>
  <c r="BU141" i="1"/>
  <c r="BT161" i="1"/>
  <c r="AW81" i="1"/>
  <c r="AV111" i="1"/>
  <c r="CB82" i="1"/>
  <c r="CC32" i="1"/>
  <c r="CC52" i="1"/>
  <c r="CD52" i="1" s="1"/>
  <c r="V44" i="4"/>
  <c r="V14" i="4"/>
  <c r="T56" i="4"/>
  <c r="L126" i="8"/>
  <c r="BX112" i="1"/>
  <c r="BY82" i="1"/>
  <c r="BZ82" i="1"/>
  <c r="E116" i="67"/>
  <c r="CJ225" i="1"/>
  <c r="CT86" i="1"/>
  <c r="BX110" i="1"/>
  <c r="BY80" i="1"/>
  <c r="BZ80" i="1"/>
  <c r="AN34" i="1"/>
  <c r="AS34" i="1" s="1"/>
  <c r="AO44" i="1"/>
  <c r="AT44" i="1" s="1"/>
  <c r="M114" i="67"/>
  <c r="M81" i="67"/>
  <c r="CG63" i="1"/>
  <c r="CH63" i="1" s="1"/>
  <c r="CG43" i="1"/>
  <c r="CH43" i="1" s="1"/>
  <c r="CF33" i="1"/>
  <c r="CG13" i="1"/>
  <c r="BJ13" i="6" s="1"/>
  <c r="BJ19" i="6" s="1"/>
  <c r="BJ25" i="6" s="1"/>
  <c r="BJ31" i="6" s="1"/>
  <c r="BJ37" i="6" s="1"/>
  <c r="BJ43" i="6" s="1"/>
  <c r="CF16" i="1"/>
  <c r="CH16" i="1" s="1"/>
  <c r="BJ85" i="1"/>
  <c r="BH115" i="1"/>
  <c r="BI115" i="1" s="1"/>
  <c r="BI85" i="1"/>
  <c r="E82" i="67"/>
  <c r="J115" i="67"/>
  <c r="AI113" i="3"/>
  <c r="CT50" i="1"/>
  <c r="CB83" i="1"/>
  <c r="CC33" i="1"/>
  <c r="CC53" i="1"/>
  <c r="CD53" i="1" s="1"/>
  <c r="CB36" i="1"/>
  <c r="S43" i="4"/>
  <c r="S41" i="4"/>
  <c r="DD170" i="1"/>
  <c r="DF140" i="1"/>
  <c r="DE140" i="1"/>
  <c r="DD160" i="1"/>
  <c r="BQ112" i="1"/>
  <c r="BP142" i="1"/>
  <c r="BQ122" i="1"/>
  <c r="CS124" i="1"/>
  <c r="CS114" i="1"/>
  <c r="E59" i="5"/>
  <c r="F59" i="5"/>
  <c r="N5" i="4"/>
  <c r="X109" i="67"/>
  <c r="Y74" i="67"/>
  <c r="AS46" i="1"/>
  <c r="R77" i="4"/>
  <c r="R79" i="4"/>
  <c r="V41" i="4"/>
  <c r="CC31" i="1"/>
  <c r="CC51" i="1"/>
  <c r="CD51" i="1" s="1"/>
  <c r="CB81" i="1"/>
  <c r="S115" i="67"/>
  <c r="T80" i="67"/>
  <c r="BZ81" i="1"/>
  <c r="BY81" i="1"/>
  <c r="BX111" i="1"/>
  <c r="BE120" i="1"/>
  <c r="BE110" i="1"/>
  <c r="BD140" i="1"/>
  <c r="CZ170" i="1"/>
  <c r="DA140" i="1"/>
  <c r="DB140" i="1"/>
  <c r="CZ145" i="1"/>
  <c r="CZ160" i="1"/>
  <c r="CZ144" i="1"/>
  <c r="CS125" i="1"/>
  <c r="CS126" i="1"/>
  <c r="K113" i="67"/>
  <c r="L112" i="67"/>
  <c r="Z54" i="4"/>
  <c r="Z66" i="4"/>
  <c r="CW145" i="1"/>
  <c r="BF56" i="1"/>
  <c r="AJ10" i="4"/>
  <c r="CC16" i="1"/>
  <c r="CC66" i="1"/>
  <c r="CD66" i="1" s="1"/>
  <c r="CC46" i="1"/>
  <c r="CD46" i="1" s="1"/>
  <c r="EZ83" i="11"/>
  <c r="D43" i="67"/>
  <c r="E44" i="67" s="1"/>
  <c r="E61" i="5"/>
  <c r="G8" i="10"/>
  <c r="E56" i="5"/>
  <c r="K115" i="67"/>
  <c r="U111" i="67"/>
  <c r="V76" i="67"/>
  <c r="P117" i="67"/>
  <c r="Y71" i="67"/>
  <c r="Y106" i="67" s="1"/>
  <c r="X106" i="67"/>
  <c r="P79" i="4"/>
  <c r="Q76" i="4"/>
  <c r="P77" i="4"/>
  <c r="I116" i="67"/>
  <c r="AI121" i="3"/>
  <c r="U77" i="67"/>
  <c r="T112" i="67"/>
  <c r="CW146" i="1"/>
  <c r="AO43" i="1"/>
  <c r="AT43" i="1" s="1"/>
  <c r="AN33" i="1"/>
  <c r="AS33" i="1" s="1"/>
  <c r="AN16" i="1"/>
  <c r="AP16" i="1" s="1"/>
  <c r="AZ116" i="1"/>
  <c r="BA116" i="1" s="1"/>
  <c r="BA86" i="1"/>
  <c r="CZ182" i="1"/>
  <c r="DB162" i="1"/>
  <c r="DA162" i="1"/>
  <c r="CT65" i="1"/>
  <c r="H116" i="67"/>
  <c r="BN55" i="1"/>
  <c r="S82" i="67"/>
  <c r="R117" i="67"/>
  <c r="AW56" i="1"/>
  <c r="BB56" i="1" s="1"/>
  <c r="AV86" i="1"/>
  <c r="AR81" i="1"/>
  <c r="AX81" i="1" s="1"/>
  <c r="AS51" i="1"/>
  <c r="E125" i="54"/>
  <c r="I124" i="54"/>
  <c r="F124" i="54"/>
  <c r="V124" i="54"/>
  <c r="BL7" i="6"/>
  <c r="H108" i="8"/>
  <c r="H102" i="8"/>
  <c r="H101" i="8"/>
  <c r="C6" i="11"/>
  <c r="D6" i="11" s="1"/>
  <c r="E6" i="11" s="1"/>
  <c r="F6" i="11" s="1"/>
  <c r="H44" i="67"/>
  <c r="H45" i="67"/>
  <c r="BP143" i="1"/>
  <c r="BQ113" i="1"/>
  <c r="BQ123" i="1"/>
  <c r="BD143" i="1"/>
  <c r="BE123" i="1"/>
  <c r="BE113" i="1"/>
  <c r="BI120" i="1"/>
  <c r="BH140" i="1"/>
  <c r="BI110" i="1"/>
  <c r="L114" i="67"/>
  <c r="Z64" i="4"/>
  <c r="I70" i="3"/>
  <c r="I35" i="3"/>
  <c r="I78" i="3"/>
  <c r="I76" i="3"/>
  <c r="I40" i="3"/>
  <c r="I61" i="3"/>
  <c r="I62" i="3"/>
  <c r="I71" i="3"/>
  <c r="I57" i="3"/>
  <c r="I49" i="3"/>
  <c r="I48" i="3"/>
  <c r="I64" i="3"/>
  <c r="I15" i="3"/>
  <c r="I69" i="3"/>
  <c r="I33" i="3"/>
  <c r="I13" i="3"/>
  <c r="I42" i="3"/>
  <c r="I12" i="3"/>
  <c r="I77" i="3"/>
  <c r="I14" i="3"/>
  <c r="B69" i="54"/>
  <c r="I50" i="3"/>
  <c r="I29" i="3"/>
  <c r="I47" i="3"/>
  <c r="I56" i="3"/>
  <c r="I43" i="3"/>
  <c r="I41" i="3"/>
  <c r="I55" i="3"/>
  <c r="I63" i="3"/>
  <c r="I27" i="3"/>
  <c r="I75" i="3"/>
  <c r="I34" i="3"/>
  <c r="I36" i="3"/>
  <c r="I68" i="3"/>
  <c r="I54" i="3"/>
  <c r="I26" i="3"/>
  <c r="I28" i="3"/>
  <c r="I21" i="3"/>
  <c r="I19" i="3"/>
  <c r="I20" i="3"/>
  <c r="I22" i="3"/>
  <c r="AO12" i="1"/>
  <c r="R12" i="6" s="1"/>
  <c r="AF6" i="1"/>
  <c r="AO10" i="1"/>
  <c r="R10" i="6" s="1"/>
  <c r="AO14" i="1"/>
  <c r="AX41" i="1"/>
  <c r="FE83" i="11"/>
  <c r="I43" i="67"/>
  <c r="FE73" i="11"/>
  <c r="BA36" i="1"/>
  <c r="BU110" i="1"/>
  <c r="BU120" i="1"/>
  <c r="BT140" i="1"/>
  <c r="AW31" i="1"/>
  <c r="BI121" i="1"/>
  <c r="BH141" i="1"/>
  <c r="BI111" i="1"/>
  <c r="BR55" i="1"/>
  <c r="BM123" i="1"/>
  <c r="BM113" i="1"/>
  <c r="BL143" i="1"/>
  <c r="Q120" i="67"/>
  <c r="R85" i="67"/>
  <c r="S114" i="67"/>
  <c r="T79" i="67"/>
  <c r="R65" i="4"/>
  <c r="R67" i="4"/>
  <c r="R116" i="67"/>
  <c r="S81" i="67"/>
  <c r="H115" i="67"/>
  <c r="H83" i="67"/>
  <c r="H84" i="67"/>
  <c r="R84" i="67"/>
  <c r="Q119" i="67"/>
  <c r="BX113" i="1"/>
  <c r="BY83" i="1"/>
  <c r="BZ83" i="1"/>
  <c r="AR35" i="1"/>
  <c r="AW35" i="1" s="1"/>
  <c r="AR80" i="1"/>
  <c r="AX80" i="1" s="1"/>
  <c r="AS50" i="1"/>
  <c r="AX50" i="1" s="1"/>
  <c r="CS142" i="1"/>
  <c r="CR172" i="1"/>
  <c r="CX172" i="1" s="1"/>
  <c r="CR162" i="1"/>
  <c r="CX162" i="1" s="1"/>
  <c r="CR146" i="1"/>
  <c r="CX146" i="1" s="1"/>
  <c r="BL115" i="1"/>
  <c r="BM115" i="1" s="1"/>
  <c r="BN85" i="1"/>
  <c r="BM85" i="1"/>
  <c r="AR84" i="1"/>
  <c r="AX84" i="1" s="1"/>
  <c r="AS54" i="1"/>
  <c r="AX54" i="1" s="1"/>
  <c r="CX142" i="1"/>
  <c r="AX44" i="1"/>
  <c r="BT115" i="1"/>
  <c r="BU115" i="1" s="1"/>
  <c r="BU85" i="1"/>
  <c r="BV85" i="1"/>
  <c r="F250" i="54"/>
  <c r="E251" i="54"/>
  <c r="BR56" i="1"/>
  <c r="E45" i="67"/>
  <c r="F44" i="67"/>
  <c r="D84" i="67"/>
  <c r="H105" i="8"/>
  <c r="V25" i="67"/>
  <c r="BU122" i="1"/>
  <c r="BT142" i="1"/>
  <c r="BU112" i="1"/>
  <c r="BA120" i="1"/>
  <c r="BA110" i="1"/>
  <c r="AZ140" i="1"/>
  <c r="BQ111" i="1"/>
  <c r="BP141" i="1"/>
  <c r="BQ121" i="1"/>
  <c r="BL141" i="1"/>
  <c r="BM111" i="1"/>
  <c r="BM121" i="1"/>
  <c r="BD141" i="1"/>
  <c r="BE111" i="1"/>
  <c r="BE121" i="1"/>
  <c r="L115" i="67"/>
  <c r="W42" i="4"/>
  <c r="W43" i="4" s="1"/>
  <c r="W55" i="4"/>
  <c r="W56" i="4" s="1"/>
  <c r="X52" i="4"/>
  <c r="W53" i="4"/>
  <c r="CV181" i="1"/>
  <c r="CW181" i="1" s="1"/>
  <c r="CW161" i="1"/>
  <c r="CX161" i="1"/>
  <c r="CV165" i="1"/>
  <c r="DB6" i="11"/>
  <c r="BE112" i="1"/>
  <c r="BE122" i="1"/>
  <c r="BD142" i="1"/>
  <c r="CN85" i="1"/>
  <c r="CO55" i="1"/>
  <c r="CS35" i="1"/>
  <c r="CC15" i="1"/>
  <c r="CC65" i="1"/>
  <c r="CD65" i="1" s="1"/>
  <c r="CC45" i="1"/>
  <c r="CD45" i="1" s="1"/>
  <c r="N104" i="8"/>
  <c r="J91" i="8"/>
  <c r="I117" i="67"/>
  <c r="AV112" i="1"/>
  <c r="AW82" i="1"/>
  <c r="DA172" i="1"/>
  <c r="DB172" i="1"/>
  <c r="AV113" i="1"/>
  <c r="AW83" i="1"/>
  <c r="W101" i="67"/>
  <c r="X66" i="67"/>
  <c r="W6" i="67"/>
  <c r="B195" i="54"/>
  <c r="X48" i="4"/>
  <c r="CG64" i="1"/>
  <c r="CH64" i="1" s="1"/>
  <c r="CG44" i="1"/>
  <c r="CH44" i="1" s="1"/>
  <c r="CG14" i="1"/>
  <c r="CF34" i="1"/>
  <c r="CF226" i="1" s="1"/>
  <c r="N113" i="67"/>
  <c r="O112" i="67"/>
  <c r="BT143" i="1"/>
  <c r="BU113" i="1"/>
  <c r="BU123" i="1"/>
  <c r="F114" i="67"/>
  <c r="G113" i="67"/>
  <c r="Y107" i="67"/>
  <c r="BB51" i="1"/>
  <c r="P46" i="4"/>
  <c r="P47" i="4" s="1"/>
  <c r="P49" i="4"/>
  <c r="EY72" i="11"/>
  <c r="CZ166" i="1"/>
  <c r="BL140" i="1"/>
  <c r="BM110" i="1"/>
  <c r="BM120" i="1"/>
  <c r="O84" i="67"/>
  <c r="CN143" i="1"/>
  <c r="CO123" i="1"/>
  <c r="CO113" i="1"/>
  <c r="R55" i="4"/>
  <c r="R53" i="4"/>
  <c r="CB35" i="1"/>
  <c r="CC50" i="1"/>
  <c r="CD50" i="1" s="1"/>
  <c r="CC30" i="1"/>
  <c r="CB80" i="1"/>
  <c r="D83" i="67"/>
  <c r="V110" i="67"/>
  <c r="W75" i="67"/>
  <c r="N79" i="67"/>
  <c r="N80" i="67" s="1"/>
  <c r="AO41" i="1"/>
  <c r="AN31" i="1"/>
  <c r="AS31" i="1" s="1"/>
  <c r="CO14" i="1"/>
  <c r="CN34" i="1"/>
  <c r="CN226" i="1" s="1"/>
  <c r="CO64" i="1"/>
  <c r="CO44" i="1"/>
  <c r="CS14" i="1"/>
  <c r="Y70" i="67"/>
  <c r="Y105" i="67" s="1"/>
  <c r="X105" i="67"/>
  <c r="Y104" i="67"/>
  <c r="CG41" i="1"/>
  <c r="CH41" i="1" s="1"/>
  <c r="CG11" i="1"/>
  <c r="BJ11" i="6" s="1"/>
  <c r="BJ17" i="6" s="1"/>
  <c r="BJ23" i="6" s="1"/>
  <c r="BJ29" i="6" s="1"/>
  <c r="BJ35" i="6" s="1"/>
  <c r="BJ41" i="6" s="1"/>
  <c r="CF31" i="1"/>
  <c r="CG61" i="1"/>
  <c r="CH61" i="1" s="1"/>
  <c r="CG42" i="1"/>
  <c r="CH42" i="1" s="1"/>
  <c r="CF32" i="1"/>
  <c r="CG62" i="1"/>
  <c r="CH62" i="1" s="1"/>
  <c r="CG12" i="1"/>
  <c r="BJ12" i="6" s="1"/>
  <c r="BJ18" i="6" s="1"/>
  <c r="BJ24" i="6" s="1"/>
  <c r="BJ30" i="6" s="1"/>
  <c r="BJ36" i="6" s="1"/>
  <c r="BJ42" i="6" s="1"/>
  <c r="FC74" i="11"/>
  <c r="BX85" i="1"/>
  <c r="BY35" i="1"/>
  <c r="BY55" i="1"/>
  <c r="BZ55" i="1" s="1"/>
  <c r="P116" i="67"/>
  <c r="AW84" i="1"/>
  <c r="AV114" i="1"/>
  <c r="BA122" i="1"/>
  <c r="BA112" i="1"/>
  <c r="AZ142" i="1"/>
  <c r="CO80" i="1"/>
  <c r="CN110" i="1"/>
  <c r="CT80" i="1"/>
  <c r="AV110" i="1"/>
  <c r="AW80" i="1"/>
  <c r="AK145" i="3"/>
  <c r="Q49" i="4"/>
  <c r="CO122" i="1"/>
  <c r="CO112" i="1"/>
  <c r="CN142" i="1"/>
  <c r="AR36" i="1"/>
  <c r="AR83" i="1"/>
  <c r="AS53" i="1"/>
  <c r="AX53" i="1" s="1"/>
  <c r="FE82" i="11"/>
  <c r="I42" i="67"/>
  <c r="R40" i="4"/>
  <c r="EZ69" i="11"/>
  <c r="AI107" i="3"/>
  <c r="CT56" i="1"/>
  <c r="CW162" i="1"/>
  <c r="CV182" i="1"/>
  <c r="CV166" i="1"/>
  <c r="AG73" i="4"/>
  <c r="AG70" i="4"/>
  <c r="AG71" i="4" s="1"/>
  <c r="X66" i="4"/>
  <c r="BR86" i="1"/>
  <c r="BQ86" i="1"/>
  <c r="BP116" i="1"/>
  <c r="BQ116" i="1" s="1"/>
  <c r="FA73" i="11"/>
  <c r="H103" i="8"/>
  <c r="J104" i="8" s="1"/>
  <c r="BH142" i="1"/>
  <c r="BI122" i="1"/>
  <c r="BI112" i="1"/>
  <c r="BB80" i="1"/>
  <c r="S83" i="67"/>
  <c r="R118" i="67"/>
  <c r="X54" i="4"/>
  <c r="Y78" i="4"/>
  <c r="BF86" i="1"/>
  <c r="BD116" i="1"/>
  <c r="BE116" i="1" s="1"/>
  <c r="BE86" i="1"/>
  <c r="D112" i="8"/>
  <c r="L112" i="8" s="1"/>
  <c r="T114" i="3"/>
  <c r="BX86" i="1"/>
  <c r="BY36" i="1"/>
  <c r="BY56" i="1"/>
  <c r="BZ56" i="1" s="1"/>
  <c r="N95" i="8"/>
  <c r="P95" i="8"/>
  <c r="J95" i="8"/>
  <c r="CV174" i="1"/>
  <c r="CV164" i="1"/>
  <c r="CW144" i="1"/>
  <c r="AO42" i="1"/>
  <c r="AT42" i="1" s="1"/>
  <c r="AN32" i="1"/>
  <c r="AS32" i="1" s="1"/>
  <c r="BR85" i="1"/>
  <c r="BQ85" i="1"/>
  <c r="BP115" i="1"/>
  <c r="BQ115" i="1" s="1"/>
  <c r="AS45" i="1"/>
  <c r="BE85" i="1"/>
  <c r="BD115" i="1"/>
  <c r="BE115" i="1" s="1"/>
  <c r="BF85" i="1"/>
  <c r="M5" i="5"/>
  <c r="H42" i="67"/>
  <c r="FD82" i="11"/>
  <c r="DF6" i="11"/>
  <c r="AS10" i="1"/>
  <c r="V10" i="6" s="1"/>
  <c r="V16" i="6" s="1"/>
  <c r="V22" i="6" s="1"/>
  <c r="V28" i="6" s="1"/>
  <c r="V34" i="6" s="1"/>
  <c r="V40" i="6" s="1"/>
  <c r="BU114" i="1"/>
  <c r="BU124" i="1"/>
  <c r="AR82" i="1"/>
  <c r="AS52" i="1"/>
  <c r="AT15" i="1"/>
  <c r="N94" i="8"/>
  <c r="J94" i="8"/>
  <c r="P94" i="8"/>
  <c r="K114" i="67"/>
  <c r="L113" i="67"/>
  <c r="L82" i="67"/>
  <c r="CX171" i="1"/>
  <c r="CW171" i="1"/>
  <c r="BX114" i="1"/>
  <c r="BZ84" i="1"/>
  <c r="BY84" i="1"/>
  <c r="BA124" i="1"/>
  <c r="BA114" i="1"/>
  <c r="AZ144" i="1"/>
  <c r="CF15" i="1"/>
  <c r="CH15" i="1" s="1"/>
  <c r="CG60" i="1"/>
  <c r="CH60" i="1" s="1"/>
  <c r="CG40" i="1"/>
  <c r="CH40" i="1" s="1"/>
  <c r="CF30" i="1"/>
  <c r="CG10" i="1"/>
  <c r="BJ10" i="6" s="1"/>
  <c r="BJ16" i="6" s="1"/>
  <c r="BJ22" i="6" s="1"/>
  <c r="BJ28" i="6" s="1"/>
  <c r="BJ34" i="6" s="1"/>
  <c r="BJ40" i="6" s="1"/>
  <c r="Q86" i="67"/>
  <c r="P87" i="67"/>
  <c r="L111" i="8"/>
  <c r="L118" i="8"/>
  <c r="CT51" i="1"/>
  <c r="C112" i="67"/>
  <c r="D111" i="67"/>
  <c r="AW55" i="1"/>
  <c r="BB55" i="1" s="1"/>
  <c r="AV85" i="1"/>
  <c r="BB85" i="1" s="1"/>
  <c r="FA82" i="11"/>
  <c r="E42" i="67"/>
  <c r="Q46" i="4"/>
  <c r="DB146" i="1"/>
  <c r="Q52" i="4"/>
  <c r="P53" i="4"/>
  <c r="P42" i="4"/>
  <c r="P55" i="4"/>
  <c r="C78" i="67"/>
  <c r="AE5" i="5"/>
  <c r="AD5" i="4"/>
  <c r="I83" i="67"/>
  <c r="I118" i="67" s="1"/>
  <c r="CV114" i="1"/>
  <c r="CW84" i="1"/>
  <c r="CX84" i="1"/>
  <c r="W109" i="67"/>
  <c r="BA113" i="1"/>
  <c r="BA123" i="1"/>
  <c r="AZ143" i="1"/>
  <c r="AS13" i="1"/>
  <c r="V13" i="6" s="1"/>
  <c r="V19" i="6" s="1"/>
  <c r="V25" i="6" s="1"/>
  <c r="V31" i="6" s="1"/>
  <c r="V37" i="6" s="1"/>
  <c r="V43" i="6" s="1"/>
  <c r="BH143" i="1"/>
  <c r="BI113" i="1"/>
  <c r="BI123" i="1"/>
  <c r="S68" i="4"/>
  <c r="L104" i="8"/>
  <c r="J82" i="67"/>
  <c r="I61" i="5"/>
  <c r="I62" i="5" s="1"/>
  <c r="I56" i="5"/>
  <c r="K8" i="10"/>
  <c r="BM114" i="1"/>
  <c r="BM124" i="1"/>
  <c r="CB84" i="1"/>
  <c r="CC34" i="1"/>
  <c r="CC54" i="1"/>
  <c r="CD54" i="1" s="1"/>
  <c r="P97" i="8"/>
  <c r="N97" i="8"/>
  <c r="J97" i="8"/>
  <c r="J96" i="8"/>
  <c r="P96" i="8"/>
  <c r="N96" i="8"/>
  <c r="DA125" i="1"/>
  <c r="DA126" i="1"/>
  <c r="BA85" i="1"/>
  <c r="AZ115" i="1"/>
  <c r="BA115" i="1" s="1"/>
  <c r="CD15" i="1"/>
  <c r="BM86" i="1"/>
  <c r="BL116" i="1"/>
  <c r="BM116" i="1" s="1"/>
  <c r="BN86" i="1"/>
  <c r="K81" i="67"/>
  <c r="BI114" i="1"/>
  <c r="BI124" i="1"/>
  <c r="BT116" i="1"/>
  <c r="BU116" i="1" s="1"/>
  <c r="BU86" i="1"/>
  <c r="BV86" i="1"/>
  <c r="X64" i="4"/>
  <c r="W67" i="4"/>
  <c r="W68" i="4" s="1"/>
  <c r="W65" i="4"/>
  <c r="Z78" i="4"/>
  <c r="G83" i="67"/>
  <c r="F80" i="67"/>
  <c r="AK54" i="4" l="1"/>
  <c r="C136" i="54"/>
  <c r="DA124" i="1"/>
  <c r="Q47" i="4"/>
  <c r="X77" i="4"/>
  <c r="AA66" i="4"/>
  <c r="FJ71" i="11" s="1"/>
  <c r="D133" i="54"/>
  <c r="AA54" i="4"/>
  <c r="FJ70" i="11" s="1"/>
  <c r="CW172" i="1"/>
  <c r="CW173" i="1"/>
  <c r="CX173" i="1"/>
  <c r="DA182" i="1"/>
  <c r="CR183" i="1"/>
  <c r="CW183" i="1" s="1"/>
  <c r="CS163" i="1"/>
  <c r="CX163" i="1"/>
  <c r="X79" i="4"/>
  <c r="AS15" i="1"/>
  <c r="L119" i="8"/>
  <c r="AS16" i="1"/>
  <c r="K14" i="3"/>
  <c r="N115" i="67"/>
  <c r="O114" i="67"/>
  <c r="N81" i="67"/>
  <c r="W14" i="4"/>
  <c r="W44" i="4"/>
  <c r="K29" i="3"/>
  <c r="V26" i="8"/>
  <c r="X26" i="8" s="1"/>
  <c r="J28" i="3"/>
  <c r="AX82" i="11"/>
  <c r="V76" i="8"/>
  <c r="J78" i="3"/>
  <c r="CH82" i="11"/>
  <c r="J108" i="8"/>
  <c r="N108" i="8"/>
  <c r="P108" i="8"/>
  <c r="D85" i="67"/>
  <c r="CK41" i="1"/>
  <c r="CK61" i="1"/>
  <c r="CJ31" i="1"/>
  <c r="CK11" i="1"/>
  <c r="BN11" i="6" s="1"/>
  <c r="BN17" i="6" s="1"/>
  <c r="BN23" i="6" s="1"/>
  <c r="BN29" i="6" s="1"/>
  <c r="BN35" i="6" s="1"/>
  <c r="BN41" i="6" s="1"/>
  <c r="CO11" i="1"/>
  <c r="BR11" i="6" s="1"/>
  <c r="BR17" i="6" s="1"/>
  <c r="BR23" i="6" s="1"/>
  <c r="BR29" i="6" s="1"/>
  <c r="BR35" i="6" s="1"/>
  <c r="BR41" i="6" s="1"/>
  <c r="BA125" i="1"/>
  <c r="BA126" i="1"/>
  <c r="BT170" i="1"/>
  <c r="BU140" i="1"/>
  <c r="BV140" i="1"/>
  <c r="BT160" i="1"/>
  <c r="BT144" i="1"/>
  <c r="BT145" i="1"/>
  <c r="V24" i="8"/>
  <c r="X24" i="8" s="1"/>
  <c r="K26" i="3"/>
  <c r="J26" i="3"/>
  <c r="K27" i="3"/>
  <c r="AV82" i="11"/>
  <c r="V45" i="8"/>
  <c r="X45" i="8" s="1"/>
  <c r="K48" i="3"/>
  <c r="K47" i="3"/>
  <c r="J47" i="3"/>
  <c r="BK82" i="11"/>
  <c r="V60" i="8"/>
  <c r="X60" i="8" s="1"/>
  <c r="J62" i="3"/>
  <c r="K63" i="3"/>
  <c r="BV82" i="11"/>
  <c r="BP7" i="6"/>
  <c r="H118" i="8" s="1"/>
  <c r="H109" i="8"/>
  <c r="H110" i="8"/>
  <c r="S117" i="67"/>
  <c r="T82" i="67"/>
  <c r="D45" i="67"/>
  <c r="DB170" i="1"/>
  <c r="DA170" i="1"/>
  <c r="BY121" i="1"/>
  <c r="BY111" i="1"/>
  <c r="BX141" i="1"/>
  <c r="S20" i="4"/>
  <c r="S14" i="4"/>
  <c r="T44" i="4"/>
  <c r="CJ15" i="1"/>
  <c r="CK60" i="1"/>
  <c r="CK10" i="1"/>
  <c r="BN10" i="6" s="1"/>
  <c r="BN16" i="6" s="1"/>
  <c r="BN22" i="6" s="1"/>
  <c r="BN28" i="6" s="1"/>
  <c r="BN34" i="6" s="1"/>
  <c r="BN40" i="6" s="1"/>
  <c r="CK40" i="1"/>
  <c r="CJ30" i="1"/>
  <c r="CO10" i="1"/>
  <c r="BR10" i="6" s="1"/>
  <c r="BR16" i="6" s="1"/>
  <c r="BR22" i="6" s="1"/>
  <c r="BR28" i="6" s="1"/>
  <c r="BR34" i="6" s="1"/>
  <c r="BR40" i="6" s="1"/>
  <c r="AN80" i="1"/>
  <c r="AO50" i="1"/>
  <c r="AT50" i="1" s="1"/>
  <c r="AN35" i="1"/>
  <c r="AS35" i="1" s="1"/>
  <c r="I84" i="67"/>
  <c r="J118" i="67" s="1"/>
  <c r="K116" i="67"/>
  <c r="K82" i="67"/>
  <c r="Q53" i="4"/>
  <c r="Q55" i="4"/>
  <c r="R56" i="4" s="1"/>
  <c r="BY114" i="1"/>
  <c r="BY124" i="1"/>
  <c r="BX144" i="1"/>
  <c r="AX45" i="1"/>
  <c r="BN140" i="1"/>
  <c r="BL144" i="1"/>
  <c r="BL160" i="1"/>
  <c r="BL145" i="1"/>
  <c r="BM140" i="1"/>
  <c r="BL170" i="1"/>
  <c r="BD162" i="1"/>
  <c r="BE142" i="1"/>
  <c r="BD172" i="1"/>
  <c r="BF142" i="1"/>
  <c r="H112" i="8"/>
  <c r="F251" i="54"/>
  <c r="E252" i="54"/>
  <c r="S84" i="67"/>
  <c r="R119" i="67"/>
  <c r="BU126" i="1"/>
  <c r="BU125" i="1"/>
  <c r="I45" i="67"/>
  <c r="I44" i="67"/>
  <c r="AK42" i="1"/>
  <c r="AP42" i="1" s="1"/>
  <c r="AJ32" i="1"/>
  <c r="AO32" i="1" s="1"/>
  <c r="J54" i="3"/>
  <c r="K54" i="3"/>
  <c r="V52" i="8"/>
  <c r="X52" i="8" s="1"/>
  <c r="K55" i="3"/>
  <c r="BP82" i="11"/>
  <c r="V32" i="8"/>
  <c r="X32" i="8" s="1"/>
  <c r="J34" i="3"/>
  <c r="K35" i="3"/>
  <c r="BB82" i="11"/>
  <c r="B75" i="54"/>
  <c r="AA78" i="4"/>
  <c r="V40" i="8"/>
  <c r="X40" i="8" s="1"/>
  <c r="J42" i="3"/>
  <c r="K43" i="3"/>
  <c r="BH82" i="11"/>
  <c r="V46" i="8"/>
  <c r="X46" i="8" s="1"/>
  <c r="K49" i="3"/>
  <c r="J48" i="3"/>
  <c r="BL82" i="11"/>
  <c r="V59" i="8"/>
  <c r="X59" i="8" s="1"/>
  <c r="K61" i="3"/>
  <c r="K62" i="3"/>
  <c r="J61" i="3"/>
  <c r="BU82" i="11"/>
  <c r="BE143" i="1"/>
  <c r="BD163" i="1"/>
  <c r="BD146" i="1"/>
  <c r="BD173" i="1"/>
  <c r="BF143" i="1"/>
  <c r="BD170" i="1"/>
  <c r="BE140" i="1"/>
  <c r="BD144" i="1"/>
  <c r="BF140" i="1"/>
  <c r="BD145" i="1"/>
  <c r="BD160" i="1"/>
  <c r="AN84" i="1"/>
  <c r="AO54" i="1"/>
  <c r="AT54" i="1" s="1"/>
  <c r="BQ126" i="1"/>
  <c r="BQ125" i="1"/>
  <c r="D252" i="54"/>
  <c r="C253" i="54"/>
  <c r="CR165" i="1"/>
  <c r="CX165" i="1" s="1"/>
  <c r="CS160" i="1"/>
  <c r="CR180" i="1"/>
  <c r="CX160" i="1"/>
  <c r="AZ171" i="1"/>
  <c r="AZ161" i="1"/>
  <c r="BA141" i="1"/>
  <c r="AO45" i="1"/>
  <c r="AT45" i="1" s="1"/>
  <c r="CW114" i="1"/>
  <c r="CW124" i="1"/>
  <c r="Q87" i="67"/>
  <c r="AZ164" i="1"/>
  <c r="BA144" i="1"/>
  <c r="AZ174" i="1"/>
  <c r="R47" i="4"/>
  <c r="CG32" i="1"/>
  <c r="CF82" i="1"/>
  <c r="CG52" i="1"/>
  <c r="CH52" i="1" s="1"/>
  <c r="AO51" i="1"/>
  <c r="AT51" i="1" s="1"/>
  <c r="AN81" i="1"/>
  <c r="AT81" i="1" s="1"/>
  <c r="EY73" i="11"/>
  <c r="EY83" i="11"/>
  <c r="C43" i="67"/>
  <c r="C45" i="67" s="1"/>
  <c r="W25" i="67"/>
  <c r="R120" i="67"/>
  <c r="S85" i="67"/>
  <c r="BJ141" i="1"/>
  <c r="BI141" i="1"/>
  <c r="BH161" i="1"/>
  <c r="BH171" i="1"/>
  <c r="AJ31" i="1"/>
  <c r="AK41" i="1"/>
  <c r="K21" i="3"/>
  <c r="V18" i="8"/>
  <c r="X18" i="8" s="1"/>
  <c r="AR82" i="11"/>
  <c r="V61" i="8"/>
  <c r="X61" i="8" s="1"/>
  <c r="J63" i="3"/>
  <c r="K64" i="3"/>
  <c r="BW82" i="11"/>
  <c r="J50" i="3"/>
  <c r="V48" i="8"/>
  <c r="BN82" i="11"/>
  <c r="AO53" i="1"/>
  <c r="AT53" i="1" s="1"/>
  <c r="AN83" i="1"/>
  <c r="AT83" i="1" s="1"/>
  <c r="AN36" i="1"/>
  <c r="AS36" i="1" s="1"/>
  <c r="M5" i="4"/>
  <c r="CK13" i="1"/>
  <c r="BN13" i="6" s="1"/>
  <c r="BN19" i="6" s="1"/>
  <c r="BN25" i="6" s="1"/>
  <c r="BN31" i="6" s="1"/>
  <c r="BN37" i="6" s="1"/>
  <c r="BN43" i="6" s="1"/>
  <c r="CK43" i="1"/>
  <c r="CJ33" i="1"/>
  <c r="CJ16" i="1"/>
  <c r="CK63" i="1"/>
  <c r="CO13" i="1"/>
  <c r="BR13" i="6" s="1"/>
  <c r="BR19" i="6" s="1"/>
  <c r="BR25" i="6" s="1"/>
  <c r="BR31" i="6" s="1"/>
  <c r="BR37" i="6" s="1"/>
  <c r="BR43" i="6" s="1"/>
  <c r="AA76" i="4"/>
  <c r="C113" i="67"/>
  <c r="D112" i="67"/>
  <c r="Q121" i="67"/>
  <c r="R86" i="67"/>
  <c r="DG6" i="11"/>
  <c r="AN82" i="1"/>
  <c r="AO52" i="1"/>
  <c r="D42" i="67"/>
  <c r="EZ82" i="11"/>
  <c r="T81" i="67"/>
  <c r="S116" i="67"/>
  <c r="K20" i="3"/>
  <c r="K19" i="3"/>
  <c r="V17" i="8"/>
  <c r="X17" i="8" s="1"/>
  <c r="AQ82" i="11"/>
  <c r="V54" i="8"/>
  <c r="X54" i="8" s="1"/>
  <c r="K57" i="3"/>
  <c r="J56" i="3"/>
  <c r="BR82" i="11"/>
  <c r="V31" i="8"/>
  <c r="X31" i="8" s="1"/>
  <c r="K34" i="3"/>
  <c r="K33" i="3"/>
  <c r="J33" i="3"/>
  <c r="BA82" i="11"/>
  <c r="EY68" i="11"/>
  <c r="EZ7" i="11"/>
  <c r="AR112" i="1"/>
  <c r="AS82" i="1"/>
  <c r="M82" i="67"/>
  <c r="M83" i="67" s="1"/>
  <c r="H117" i="67"/>
  <c r="J84" i="67"/>
  <c r="X67" i="4"/>
  <c r="X68" i="4" s="1"/>
  <c r="X65" i="4"/>
  <c r="Y64" i="4"/>
  <c r="R43" i="4"/>
  <c r="S44" i="4" s="1"/>
  <c r="R41" i="4"/>
  <c r="AS56" i="1"/>
  <c r="AX56" i="1" s="1"/>
  <c r="AR86" i="1"/>
  <c r="AX86" i="1" s="1"/>
  <c r="X40" i="4"/>
  <c r="FF69" i="11"/>
  <c r="W41" i="4"/>
  <c r="BM141" i="1"/>
  <c r="BL171" i="1"/>
  <c r="BL161" i="1"/>
  <c r="BN141" i="1"/>
  <c r="J69" i="3"/>
  <c r="K70" i="3"/>
  <c r="V67" i="8"/>
  <c r="X67" i="8" s="1"/>
  <c r="CA82" i="11"/>
  <c r="AW36" i="1"/>
  <c r="AA64" i="4"/>
  <c r="Z67" i="4"/>
  <c r="Z65" i="4"/>
  <c r="BY110" i="1"/>
  <c r="BX140" i="1"/>
  <c r="BY120" i="1"/>
  <c r="S56" i="4"/>
  <c r="CC82" i="1"/>
  <c r="CB112" i="1"/>
  <c r="CD82" i="1"/>
  <c r="BL162" i="1"/>
  <c r="BM142" i="1"/>
  <c r="BL172" i="1"/>
  <c r="BN142" i="1"/>
  <c r="BX115" i="1"/>
  <c r="BY115" i="1" s="1"/>
  <c r="BY85" i="1"/>
  <c r="BZ85" i="1"/>
  <c r="CG51" i="1"/>
  <c r="CH51" i="1" s="1"/>
  <c r="CF81" i="1"/>
  <c r="CG31" i="1"/>
  <c r="CT64" i="1"/>
  <c r="CC80" i="1"/>
  <c r="CD80" i="1"/>
  <c r="CB110" i="1"/>
  <c r="BM126" i="1"/>
  <c r="BM125" i="1"/>
  <c r="CS146" i="1"/>
  <c r="AJ15" i="1"/>
  <c r="AO15" i="1" s="1"/>
  <c r="AJ30" i="1"/>
  <c r="AK40" i="1"/>
  <c r="AP40" i="1" s="1"/>
  <c r="V53" i="8"/>
  <c r="X53" i="8" s="1"/>
  <c r="K56" i="3"/>
  <c r="J55" i="3"/>
  <c r="BQ82" i="11"/>
  <c r="AR111" i="1"/>
  <c r="AS81" i="1"/>
  <c r="AA52" i="4"/>
  <c r="Z55" i="4"/>
  <c r="Z53" i="4"/>
  <c r="Z42" i="4"/>
  <c r="AW111" i="1"/>
  <c r="AV141" i="1"/>
  <c r="BB141" i="1" s="1"/>
  <c r="AW121" i="1"/>
  <c r="CG50" i="1"/>
  <c r="CH50" i="1" s="1"/>
  <c r="CF35" i="1"/>
  <c r="CF80" i="1"/>
  <c r="CG30" i="1"/>
  <c r="CN84" i="1"/>
  <c r="CO54" i="1"/>
  <c r="CS34" i="1"/>
  <c r="BU143" i="1"/>
  <c r="BT173" i="1"/>
  <c r="BT163" i="1"/>
  <c r="BV143" i="1"/>
  <c r="BT146" i="1"/>
  <c r="G84" i="67"/>
  <c r="AK10" i="1"/>
  <c r="N10" i="6" s="1"/>
  <c r="AK12" i="1"/>
  <c r="N12" i="6" s="1"/>
  <c r="AK11" i="1"/>
  <c r="N11" i="6" s="1"/>
  <c r="AK14" i="1"/>
  <c r="AB6" i="1"/>
  <c r="AK13" i="1"/>
  <c r="N13" i="6" s="1"/>
  <c r="V34" i="8"/>
  <c r="J36" i="3"/>
  <c r="BD82" i="11"/>
  <c r="K13" i="3"/>
  <c r="K12" i="3"/>
  <c r="L83" i="67"/>
  <c r="CV184" i="1"/>
  <c r="CW164" i="1"/>
  <c r="CW166" i="1"/>
  <c r="CN163" i="1"/>
  <c r="CN146" i="1"/>
  <c r="CT146" i="1" s="1"/>
  <c r="CN173" i="1"/>
  <c r="CO143" i="1"/>
  <c r="CT143" i="1"/>
  <c r="DB166" i="1"/>
  <c r="DA166" i="1"/>
  <c r="AW113" i="1"/>
  <c r="AV143" i="1"/>
  <c r="AW123" i="1"/>
  <c r="BT172" i="1"/>
  <c r="BU142" i="1"/>
  <c r="BV142" i="1"/>
  <c r="BT162" i="1"/>
  <c r="AS84" i="1"/>
  <c r="AT84" i="1"/>
  <c r="AR114" i="1"/>
  <c r="T114" i="67"/>
  <c r="U79" i="67"/>
  <c r="K76" i="3"/>
  <c r="V73" i="8"/>
  <c r="X73" i="8" s="1"/>
  <c r="K75" i="3"/>
  <c r="J75" i="3"/>
  <c r="CE82" i="11"/>
  <c r="K15" i="3"/>
  <c r="J49" i="3"/>
  <c r="V47" i="8"/>
  <c r="X47" i="8" s="1"/>
  <c r="K50" i="3"/>
  <c r="BM82" i="11"/>
  <c r="V33" i="8"/>
  <c r="X33" i="8" s="1"/>
  <c r="J35" i="3"/>
  <c r="K36" i="3"/>
  <c r="BC82" i="11"/>
  <c r="AO46" i="1"/>
  <c r="AT46" i="1" s="1"/>
  <c r="DA181" i="1"/>
  <c r="DD180" i="1"/>
  <c r="DE160" i="1"/>
  <c r="DF160" i="1"/>
  <c r="AX52" i="1"/>
  <c r="CJ34" i="1"/>
  <c r="CK44" i="1"/>
  <c r="CL44" i="1" s="1"/>
  <c r="CK64" i="1"/>
  <c r="CL64" i="1" s="1"/>
  <c r="CK14" i="1"/>
  <c r="BX142" i="1"/>
  <c r="BY122" i="1"/>
  <c r="BY112" i="1"/>
  <c r="BP170" i="1"/>
  <c r="BP145" i="1"/>
  <c r="BQ140" i="1"/>
  <c r="BP144" i="1"/>
  <c r="BP160" i="1"/>
  <c r="BR140" i="1"/>
  <c r="CR174" i="1"/>
  <c r="CW174" i="1" s="1"/>
  <c r="CR164" i="1"/>
  <c r="CX164" i="1" s="1"/>
  <c r="CS144" i="1"/>
  <c r="Q67" i="4"/>
  <c r="R68" i="4" s="1"/>
  <c r="Q65" i="4"/>
  <c r="V41" i="8"/>
  <c r="J43" i="3"/>
  <c r="BI126" i="1"/>
  <c r="BI125" i="1"/>
  <c r="BP173" i="1"/>
  <c r="BR143" i="1"/>
  <c r="BP146" i="1"/>
  <c r="BQ143" i="1"/>
  <c r="BP163" i="1"/>
  <c r="F125" i="54"/>
  <c r="I125" i="54"/>
  <c r="AW86" i="1"/>
  <c r="AV116" i="1"/>
  <c r="AW116" i="1" s="1"/>
  <c r="CZ165" i="1"/>
  <c r="CZ180" i="1"/>
  <c r="DA180" i="1" s="1"/>
  <c r="DB160" i="1"/>
  <c r="DA160" i="1"/>
  <c r="T115" i="67"/>
  <c r="U80" i="67"/>
  <c r="BP162" i="1"/>
  <c r="BR142" i="1"/>
  <c r="BP172" i="1"/>
  <c r="BQ142" i="1"/>
  <c r="BT181" i="1"/>
  <c r="BU161" i="1"/>
  <c r="W78" i="67"/>
  <c r="V113" i="67"/>
  <c r="CS145" i="1"/>
  <c r="J98" i="8"/>
  <c r="BX116" i="1"/>
  <c r="BY116" i="1" s="1"/>
  <c r="BZ86" i="1"/>
  <c r="BY86" i="1"/>
  <c r="J103" i="8"/>
  <c r="N103" i="8"/>
  <c r="P103" i="8"/>
  <c r="AR113" i="1"/>
  <c r="AS83" i="1"/>
  <c r="CO120" i="1"/>
  <c r="CN140" i="1"/>
  <c r="CO110" i="1"/>
  <c r="P118" i="67"/>
  <c r="CW165" i="1"/>
  <c r="V38" i="8"/>
  <c r="X38" i="8" s="1"/>
  <c r="K40" i="3"/>
  <c r="J40" i="3"/>
  <c r="K41" i="3"/>
  <c r="BF82" i="11"/>
  <c r="N102" i="8"/>
  <c r="P102" i="8"/>
  <c r="J102" i="8"/>
  <c r="BB86" i="1"/>
  <c r="E62" i="5"/>
  <c r="F62" i="5"/>
  <c r="DA145" i="1"/>
  <c r="DB145" i="1"/>
  <c r="CD81" i="1"/>
  <c r="CB111" i="1"/>
  <c r="CC81" i="1"/>
  <c r="CG53" i="1"/>
  <c r="CH53" i="1" s="1"/>
  <c r="CF36" i="1"/>
  <c r="CG33" i="1"/>
  <c r="CF83" i="1"/>
  <c r="M116" i="67"/>
  <c r="CX170" i="1"/>
  <c r="CW170" i="1"/>
  <c r="BI82" i="11"/>
  <c r="Y77" i="4"/>
  <c r="Y79" i="4"/>
  <c r="Z76" i="4"/>
  <c r="Z79" i="4" s="1"/>
  <c r="AW124" i="1"/>
  <c r="AW114" i="1"/>
  <c r="CP44" i="1"/>
  <c r="CT44" i="1"/>
  <c r="N114" i="67"/>
  <c r="O113" i="67"/>
  <c r="X101" i="67"/>
  <c r="Y66" i="67"/>
  <c r="X6" i="67"/>
  <c r="CT55" i="1"/>
  <c r="AZ170" i="1"/>
  <c r="AZ145" i="1"/>
  <c r="AZ160" i="1"/>
  <c r="BA140" i="1"/>
  <c r="BN143" i="1"/>
  <c r="BL173" i="1"/>
  <c r="BL146" i="1"/>
  <c r="BM143" i="1"/>
  <c r="BL163" i="1"/>
  <c r="AJ16" i="1"/>
  <c r="AK43" i="1"/>
  <c r="AP43" i="1" s="1"/>
  <c r="AJ33" i="1"/>
  <c r="AO33" i="1" s="1"/>
  <c r="V19" i="8"/>
  <c r="X19" i="8" s="1"/>
  <c r="K22" i="3"/>
  <c r="AS82" i="11"/>
  <c r="K77" i="3"/>
  <c r="J76" i="3"/>
  <c r="V74" i="8"/>
  <c r="X74" i="8" s="1"/>
  <c r="CF82" i="11"/>
  <c r="DE170" i="1"/>
  <c r="DF170" i="1"/>
  <c r="CB113" i="1"/>
  <c r="CD83" i="1"/>
  <c r="CC83" i="1"/>
  <c r="CJ32" i="1"/>
  <c r="CK62" i="1"/>
  <c r="CK42" i="1"/>
  <c r="CK12" i="1"/>
  <c r="BN12" i="6" s="1"/>
  <c r="BN18" i="6" s="1"/>
  <c r="BN24" i="6" s="1"/>
  <c r="BN30" i="6" s="1"/>
  <c r="BN36" i="6" s="1"/>
  <c r="BN42" i="6" s="1"/>
  <c r="CO12" i="1"/>
  <c r="BR12" i="6" s="1"/>
  <c r="BR18" i="6" s="1"/>
  <c r="BR24" i="6" s="1"/>
  <c r="BR30" i="6" s="1"/>
  <c r="BR36" i="6" s="1"/>
  <c r="BR42" i="6" s="1"/>
  <c r="D87" i="67"/>
  <c r="EY69" i="11"/>
  <c r="P41" i="4"/>
  <c r="Q40" i="4"/>
  <c r="P43" i="4"/>
  <c r="AB52" i="4"/>
  <c r="L5" i="5"/>
  <c r="O85" i="67"/>
  <c r="X55" i="4"/>
  <c r="X56" i="4" s="1"/>
  <c r="X42" i="4"/>
  <c r="X53" i="4"/>
  <c r="Y52" i="4"/>
  <c r="AI100" i="3"/>
  <c r="AB64" i="4"/>
  <c r="AX82" i="1"/>
  <c r="P104" i="8"/>
  <c r="AX46" i="1"/>
  <c r="AS80" i="1"/>
  <c r="AR110" i="1"/>
  <c r="BY123" i="1"/>
  <c r="BX143" i="1"/>
  <c r="BY113" i="1"/>
  <c r="K68" i="3"/>
  <c r="K69" i="3"/>
  <c r="V66" i="8"/>
  <c r="X66" i="8" s="1"/>
  <c r="J68" i="3"/>
  <c r="BZ82" i="11"/>
  <c r="V69" i="8"/>
  <c r="J71" i="3"/>
  <c r="CC82" i="11"/>
  <c r="EZ73" i="11"/>
  <c r="E117" i="67"/>
  <c r="AE5" i="4"/>
  <c r="AF5" i="5"/>
  <c r="L84" i="67"/>
  <c r="AV142" i="1"/>
  <c r="BB142" i="1" s="1"/>
  <c r="AW122" i="1"/>
  <c r="AW112" i="1"/>
  <c r="CO85" i="1"/>
  <c r="CN115" i="1"/>
  <c r="CO115" i="1" s="1"/>
  <c r="CT85" i="1"/>
  <c r="CS162" i="1"/>
  <c r="CR182" i="1"/>
  <c r="CW182" i="1" s="1"/>
  <c r="CR166" i="1"/>
  <c r="AS55" i="1"/>
  <c r="AR85" i="1"/>
  <c r="H85" i="67"/>
  <c r="V39" i="8"/>
  <c r="X39" i="8" s="1"/>
  <c r="K42" i="3"/>
  <c r="J41" i="3"/>
  <c r="BG82" i="11"/>
  <c r="V62" i="8"/>
  <c r="J64" i="3"/>
  <c r="BX82" i="11"/>
  <c r="AW85" i="1"/>
  <c r="AV115" i="1"/>
  <c r="AW115" i="1" s="1"/>
  <c r="D86" i="67"/>
  <c r="BH172" i="1"/>
  <c r="BJ142" i="1"/>
  <c r="BH162" i="1"/>
  <c r="BI142" i="1"/>
  <c r="AV140" i="1"/>
  <c r="AW110" i="1"/>
  <c r="AW120" i="1"/>
  <c r="FG72" i="11"/>
  <c r="F115" i="67"/>
  <c r="G114" i="67"/>
  <c r="CD84" i="1"/>
  <c r="CC84" i="1"/>
  <c r="CB114" i="1"/>
  <c r="J117" i="67"/>
  <c r="BH163" i="1"/>
  <c r="BH173" i="1"/>
  <c r="BJ143" i="1"/>
  <c r="BI143" i="1"/>
  <c r="BH146" i="1"/>
  <c r="AZ146" i="1"/>
  <c r="AZ173" i="1"/>
  <c r="AZ163" i="1"/>
  <c r="BA143" i="1"/>
  <c r="P88" i="67"/>
  <c r="CG65" i="1"/>
  <c r="CH65" i="1" s="1"/>
  <c r="CG15" i="1"/>
  <c r="CG45" i="1"/>
  <c r="CH45" i="1" s="1"/>
  <c r="CX174" i="1"/>
  <c r="T83" i="67"/>
  <c r="S118" i="67"/>
  <c r="CO142" i="1"/>
  <c r="CN172" i="1"/>
  <c r="CN162" i="1"/>
  <c r="E84" i="67"/>
  <c r="E119" i="67" s="1"/>
  <c r="BA142" i="1"/>
  <c r="AZ172" i="1"/>
  <c r="AZ162" i="1"/>
  <c r="AO11" i="1"/>
  <c r="R11" i="6" s="1"/>
  <c r="X75" i="67"/>
  <c r="Y109" i="67" s="1"/>
  <c r="W110" i="67"/>
  <c r="CB85" i="1"/>
  <c r="CC35" i="1"/>
  <c r="CC55" i="1"/>
  <c r="CD55" i="1" s="1"/>
  <c r="F81" i="67"/>
  <c r="CF84" i="1"/>
  <c r="CG34" i="1"/>
  <c r="CG54" i="1"/>
  <c r="CH54" i="1" s="1"/>
  <c r="B201" i="54"/>
  <c r="Z48" i="4" s="1"/>
  <c r="Y48" i="4"/>
  <c r="AX83" i="1"/>
  <c r="Y42" i="4"/>
  <c r="BE141" i="1"/>
  <c r="BD161" i="1"/>
  <c r="BD171" i="1"/>
  <c r="BF141" i="1"/>
  <c r="BP171" i="1"/>
  <c r="BP161" i="1"/>
  <c r="BV161" i="1" s="1"/>
  <c r="BQ141" i="1"/>
  <c r="BR141" i="1"/>
  <c r="H111" i="8"/>
  <c r="CT142" i="1"/>
  <c r="AK44" i="1"/>
  <c r="AJ34" i="1"/>
  <c r="V20" i="8"/>
  <c r="AT82" i="11"/>
  <c r="V25" i="8"/>
  <c r="X25" i="8" s="1"/>
  <c r="K28" i="3"/>
  <c r="J27" i="3"/>
  <c r="AW82" i="11"/>
  <c r="V27" i="8"/>
  <c r="J29" i="3"/>
  <c r="AY82" i="11"/>
  <c r="K78" i="3"/>
  <c r="J77" i="3"/>
  <c r="V75" i="8"/>
  <c r="X75" i="8" s="1"/>
  <c r="CG82" i="11"/>
  <c r="V55" i="8"/>
  <c r="J57" i="3"/>
  <c r="BS82" i="11"/>
  <c r="K71" i="3"/>
  <c r="V68" i="8"/>
  <c r="X68" i="8" s="1"/>
  <c r="J70" i="3"/>
  <c r="CB82" i="11"/>
  <c r="BH160" i="1"/>
  <c r="BI140" i="1"/>
  <c r="BJ140" i="1"/>
  <c r="BH145" i="1"/>
  <c r="BH170" i="1"/>
  <c r="BH144" i="1"/>
  <c r="N101" i="8"/>
  <c r="J101" i="8"/>
  <c r="P101" i="8"/>
  <c r="J124" i="54"/>
  <c r="T124" i="54"/>
  <c r="AO13" i="1"/>
  <c r="R13" i="6" s="1"/>
  <c r="U112" i="67"/>
  <c r="V77" i="67"/>
  <c r="Q79" i="4"/>
  <c r="Q77" i="4"/>
  <c r="W76" i="67"/>
  <c r="V111" i="67"/>
  <c r="CX145" i="1"/>
  <c r="DB144" i="1"/>
  <c r="CZ164" i="1"/>
  <c r="DA144" i="1"/>
  <c r="CZ174" i="1"/>
  <c r="BE125" i="1"/>
  <c r="BE126" i="1"/>
  <c r="CC36" i="1"/>
  <c r="CB86" i="1"/>
  <c r="CC56" i="1"/>
  <c r="CD56" i="1" s="1"/>
  <c r="CG46" i="1"/>
  <c r="CH46" i="1" s="1"/>
  <c r="CG66" i="1"/>
  <c r="CH66" i="1" s="1"/>
  <c r="CG16" i="1"/>
  <c r="E83" i="67"/>
  <c r="AT41" i="1"/>
  <c r="BV141" i="1"/>
  <c r="CO121" i="1"/>
  <c r="CO111" i="1"/>
  <c r="CN141" i="1"/>
  <c r="AX51" i="1"/>
  <c r="C79" i="67"/>
  <c r="AI114" i="3"/>
  <c r="CO34" i="1" l="1"/>
  <c r="CJ226" i="1"/>
  <c r="C137" i="54"/>
  <c r="D136" i="54"/>
  <c r="AA53" i="4"/>
  <c r="AA65" i="4"/>
  <c r="AA42" i="4"/>
  <c r="FJ69" i="11" s="1"/>
  <c r="M70" i="3"/>
  <c r="BI170" i="1"/>
  <c r="H119" i="8"/>
  <c r="H117" i="8"/>
  <c r="P118" i="8" s="1"/>
  <c r="H115" i="8"/>
  <c r="J115" i="8" s="1"/>
  <c r="DE180" i="1"/>
  <c r="BQ171" i="1"/>
  <c r="CP64" i="1"/>
  <c r="M71" i="3"/>
  <c r="BI172" i="1"/>
  <c r="Z77" i="4"/>
  <c r="X43" i="4"/>
  <c r="X44" i="4" s="1"/>
  <c r="Z53" i="8"/>
  <c r="BQ170" i="1"/>
  <c r="BU170" i="1"/>
  <c r="Z74" i="8"/>
  <c r="BU171" i="1"/>
  <c r="BE172" i="1"/>
  <c r="BE171" i="1"/>
  <c r="BM173" i="1"/>
  <c r="BM172" i="1"/>
  <c r="BM171" i="1"/>
  <c r="AL15" i="1"/>
  <c r="BE170" i="1"/>
  <c r="M56" i="3"/>
  <c r="M77" i="3"/>
  <c r="M22" i="3"/>
  <c r="M36" i="3"/>
  <c r="Z59" i="8"/>
  <c r="M55" i="3"/>
  <c r="M41" i="3"/>
  <c r="M21" i="3"/>
  <c r="M35" i="3"/>
  <c r="Z38" i="8"/>
  <c r="M57" i="3"/>
  <c r="M29" i="3"/>
  <c r="Z73" i="8"/>
  <c r="Z52" i="8"/>
  <c r="Z24" i="8"/>
  <c r="M62" i="3"/>
  <c r="Z32" i="8"/>
  <c r="M27" i="3"/>
  <c r="Z75" i="8"/>
  <c r="Z68" i="8"/>
  <c r="Z54" i="8"/>
  <c r="Z46" i="8"/>
  <c r="Z60" i="8"/>
  <c r="M118" i="67"/>
  <c r="M84" i="67"/>
  <c r="M119" i="67" s="1"/>
  <c r="BA163" i="1"/>
  <c r="AZ183" i="1"/>
  <c r="AZ166" i="1"/>
  <c r="AR115" i="1"/>
  <c r="AS115" i="1" s="1"/>
  <c r="AS85" i="1"/>
  <c r="AF5" i="4"/>
  <c r="AG5" i="5"/>
  <c r="CT173" i="1"/>
  <c r="CS173" i="1"/>
  <c r="S120" i="67"/>
  <c r="T85" i="67"/>
  <c r="K117" i="67"/>
  <c r="L116" i="67"/>
  <c r="Z26" i="8"/>
  <c r="J111" i="8"/>
  <c r="N111" i="8"/>
  <c r="P111" i="8"/>
  <c r="X78" i="67"/>
  <c r="AG12" i="1"/>
  <c r="J12" i="6" s="1"/>
  <c r="X6" i="1"/>
  <c r="AG13" i="1"/>
  <c r="J13" i="6" s="1"/>
  <c r="AG10" i="1"/>
  <c r="J10" i="6" s="1"/>
  <c r="Q88" i="67"/>
  <c r="V63" i="8"/>
  <c r="X62" i="8"/>
  <c r="V70" i="8"/>
  <c r="X69" i="8"/>
  <c r="CN171" i="1"/>
  <c r="CN161" i="1"/>
  <c r="CO141" i="1"/>
  <c r="CT141" i="1"/>
  <c r="V21" i="8"/>
  <c r="X20" i="8"/>
  <c r="BI163" i="1"/>
  <c r="BH166" i="1"/>
  <c r="BJ163" i="1"/>
  <c r="BH183" i="1"/>
  <c r="BH182" i="1"/>
  <c r="BJ162" i="1"/>
  <c r="BI162" i="1"/>
  <c r="L85" i="67"/>
  <c r="M68" i="3"/>
  <c r="K72" i="3"/>
  <c r="AA67" i="4"/>
  <c r="AA68" i="4" s="1"/>
  <c r="Y40" i="4"/>
  <c r="Y43" i="4" s="1"/>
  <c r="FG69" i="11"/>
  <c r="X41" i="4"/>
  <c r="AA55" i="4"/>
  <c r="AA56" i="4" s="1"/>
  <c r="C42" i="67"/>
  <c r="EY82" i="11"/>
  <c r="CL62" i="1"/>
  <c r="CP62" i="1"/>
  <c r="BN146" i="1"/>
  <c r="BM146" i="1"/>
  <c r="CF86" i="1"/>
  <c r="CG36" i="1"/>
  <c r="CG56" i="1"/>
  <c r="CH56" i="1" s="1"/>
  <c r="CO140" i="1"/>
  <c r="CN160" i="1"/>
  <c r="CN145" i="1"/>
  <c r="CN144" i="1"/>
  <c r="CN170" i="1"/>
  <c r="CT140" i="1"/>
  <c r="BQ172" i="1"/>
  <c r="DA165" i="1"/>
  <c r="DB165" i="1"/>
  <c r="BP183" i="1"/>
  <c r="BQ163" i="1"/>
  <c r="BR163" i="1"/>
  <c r="BP166" i="1"/>
  <c r="V42" i="8"/>
  <c r="X41" i="8"/>
  <c r="BP180" i="1"/>
  <c r="BP165" i="1"/>
  <c r="BR160" i="1"/>
  <c r="BQ160" i="1"/>
  <c r="AR144" i="1"/>
  <c r="AS124" i="1"/>
  <c r="AS114" i="1"/>
  <c r="K16" i="3"/>
  <c r="AF16" i="1"/>
  <c r="AH16" i="1" s="1"/>
  <c r="AG43" i="1"/>
  <c r="AF33" i="1"/>
  <c r="AK33" i="1" s="1"/>
  <c r="G85" i="67"/>
  <c r="CT54" i="1"/>
  <c r="J42" i="67"/>
  <c r="FF82" i="11"/>
  <c r="U81" i="67"/>
  <c r="T116" i="67"/>
  <c r="CF112" i="1"/>
  <c r="CH82" i="1"/>
  <c r="CG82" i="1"/>
  <c r="AN114" i="1"/>
  <c r="AO84" i="1"/>
  <c r="B81" i="54"/>
  <c r="AC78" i="4" s="1"/>
  <c r="AB66" i="4"/>
  <c r="AC54" i="4"/>
  <c r="K58" i="3"/>
  <c r="M54" i="3"/>
  <c r="BM170" i="1"/>
  <c r="CK15" i="1"/>
  <c r="CK65" i="1"/>
  <c r="CK45" i="1"/>
  <c r="CO15" i="1"/>
  <c r="CK51" i="1"/>
  <c r="CJ81" i="1"/>
  <c r="CK31" i="1"/>
  <c r="CO31" i="1"/>
  <c r="BI145" i="1"/>
  <c r="BJ145" i="1"/>
  <c r="CC85" i="1"/>
  <c r="CB115" i="1"/>
  <c r="CC115" i="1" s="1"/>
  <c r="CD85" i="1"/>
  <c r="CJ82" i="1"/>
  <c r="CK52" i="1"/>
  <c r="CK32" i="1"/>
  <c r="CO32" i="1"/>
  <c r="CO126" i="1"/>
  <c r="CO125" i="1"/>
  <c r="BP164" i="1"/>
  <c r="BQ144" i="1"/>
  <c r="BR144" i="1"/>
  <c r="BP174" i="1"/>
  <c r="BU146" i="1"/>
  <c r="BV146" i="1"/>
  <c r="V49" i="8"/>
  <c r="X48" i="8"/>
  <c r="T117" i="67"/>
  <c r="U82" i="67"/>
  <c r="CH84" i="1"/>
  <c r="CF114" i="1"/>
  <c r="CG84" i="1"/>
  <c r="BR146" i="1"/>
  <c r="BQ146" i="1"/>
  <c r="U114" i="67"/>
  <c r="V79" i="67"/>
  <c r="CW180" i="1"/>
  <c r="BM145" i="1"/>
  <c r="BN145" i="1"/>
  <c r="M26" i="3"/>
  <c r="K30" i="3"/>
  <c r="N116" i="67"/>
  <c r="O115" i="67"/>
  <c r="X25" i="67"/>
  <c r="V80" i="67"/>
  <c r="U115" i="67"/>
  <c r="BQ145" i="1"/>
  <c r="BR145" i="1"/>
  <c r="Z33" i="8"/>
  <c r="AG44" i="1"/>
  <c r="AF34" i="1"/>
  <c r="AK34" i="1" s="1"/>
  <c r="AG14" i="1"/>
  <c r="AV161" i="1"/>
  <c r="BB161" i="1" s="1"/>
  <c r="AW141" i="1"/>
  <c r="AV171" i="1"/>
  <c r="BA171" i="1" s="1"/>
  <c r="AK50" i="1"/>
  <c r="AJ80" i="1"/>
  <c r="AP80" i="1" s="1"/>
  <c r="AJ35" i="1"/>
  <c r="AO35" i="1" s="1"/>
  <c r="BX145" i="1"/>
  <c r="BY140" i="1"/>
  <c r="BX160" i="1"/>
  <c r="BZ140" i="1"/>
  <c r="BX170" i="1"/>
  <c r="BY170" i="1" s="1"/>
  <c r="AO82" i="1"/>
  <c r="AN112" i="1"/>
  <c r="CK46" i="1"/>
  <c r="CK66" i="1"/>
  <c r="CK16" i="1"/>
  <c r="CO16" i="1"/>
  <c r="AK51" i="1"/>
  <c r="AP51" i="1" s="1"/>
  <c r="AJ81" i="1"/>
  <c r="BD165" i="1"/>
  <c r="BD180" i="1"/>
  <c r="BF160" i="1"/>
  <c r="BE160" i="1"/>
  <c r="V112" i="67"/>
  <c r="W77" i="67"/>
  <c r="BH165" i="1"/>
  <c r="BH180" i="1"/>
  <c r="BI160" i="1"/>
  <c r="BJ160" i="1"/>
  <c r="CO162" i="1"/>
  <c r="CN182" i="1"/>
  <c r="BI146" i="1"/>
  <c r="BJ146" i="1"/>
  <c r="H86" i="67"/>
  <c r="CN183" i="1"/>
  <c r="CO163" i="1"/>
  <c r="CN166" i="1"/>
  <c r="CT166" i="1" s="1"/>
  <c r="CT163" i="1"/>
  <c r="V35" i="8"/>
  <c r="X34" i="8"/>
  <c r="M64" i="3"/>
  <c r="BE173" i="1"/>
  <c r="M47" i="3"/>
  <c r="K51" i="3"/>
  <c r="BV145" i="1"/>
  <c r="BU145" i="1"/>
  <c r="C114" i="67"/>
  <c r="D113" i="67"/>
  <c r="CC86" i="1"/>
  <c r="CB116" i="1"/>
  <c r="CC116" i="1" s="1"/>
  <c r="CD86" i="1"/>
  <c r="M28" i="3"/>
  <c r="BR161" i="1"/>
  <c r="BP181" i="1"/>
  <c r="BU181" i="1" s="1"/>
  <c r="BQ161" i="1"/>
  <c r="Y46" i="4"/>
  <c r="FH76" i="11" s="1"/>
  <c r="Y49" i="4"/>
  <c r="FH72" i="11"/>
  <c r="AX55" i="1"/>
  <c r="AV160" i="1"/>
  <c r="BB160" i="1" s="1"/>
  <c r="AW140" i="1"/>
  <c r="AV144" i="1"/>
  <c r="AV170" i="1"/>
  <c r="BA170" i="1" s="1"/>
  <c r="AV145" i="1"/>
  <c r="P89" i="67"/>
  <c r="P44" i="4"/>
  <c r="P14" i="4"/>
  <c r="P20" i="4"/>
  <c r="CC123" i="1"/>
  <c r="CB143" i="1"/>
  <c r="CC113" i="1"/>
  <c r="AK46" i="1"/>
  <c r="AP46" i="1" s="1"/>
  <c r="BB140" i="1"/>
  <c r="T125" i="54"/>
  <c r="J125" i="54"/>
  <c r="CR184" i="1"/>
  <c r="CS164" i="1"/>
  <c r="AO16" i="1"/>
  <c r="M50" i="3"/>
  <c r="M76" i="3"/>
  <c r="AG41" i="1"/>
  <c r="AL41" i="1" s="1"/>
  <c r="AF31" i="1"/>
  <c r="AK31" i="1" s="1"/>
  <c r="CG80" i="1"/>
  <c r="CF110" i="1"/>
  <c r="CH80" i="1"/>
  <c r="AP44" i="1"/>
  <c r="CB140" i="1"/>
  <c r="CC110" i="1"/>
  <c r="CC120" i="1"/>
  <c r="CG81" i="1"/>
  <c r="CF111" i="1"/>
  <c r="CH81" i="1"/>
  <c r="CC122" i="1"/>
  <c r="CB142" i="1"/>
  <c r="CC112" i="1"/>
  <c r="Z67" i="8"/>
  <c r="R14" i="4"/>
  <c r="R20" i="4"/>
  <c r="AT82" i="1"/>
  <c r="FA7" i="11"/>
  <c r="EZ68" i="11"/>
  <c r="M34" i="3"/>
  <c r="K23" i="3"/>
  <c r="M19" i="3"/>
  <c r="AP41" i="1"/>
  <c r="CL43" i="1"/>
  <c r="CP43" i="1"/>
  <c r="BI171" i="1"/>
  <c r="AO31" i="1"/>
  <c r="CL15" i="1"/>
  <c r="BE146" i="1"/>
  <c r="BF146" i="1"/>
  <c r="AB78" i="4"/>
  <c r="CT172" i="1"/>
  <c r="BF162" i="1"/>
  <c r="BD182" i="1"/>
  <c r="BE162" i="1"/>
  <c r="CL40" i="1"/>
  <c r="CP40" i="1"/>
  <c r="J110" i="8"/>
  <c r="P110" i="8"/>
  <c r="N110" i="8"/>
  <c r="M48" i="3"/>
  <c r="BT164" i="1"/>
  <c r="BV144" i="1"/>
  <c r="BU144" i="1"/>
  <c r="BT174" i="1"/>
  <c r="W111" i="67"/>
  <c r="X76" i="67"/>
  <c r="AK54" i="1"/>
  <c r="AP54" i="1" s="1"/>
  <c r="AJ84" i="1"/>
  <c r="AP84" i="1" s="1"/>
  <c r="R121" i="67"/>
  <c r="S86" i="67"/>
  <c r="L5" i="4"/>
  <c r="AZ184" i="1"/>
  <c r="BA164" i="1"/>
  <c r="AO80" i="1"/>
  <c r="AN110" i="1"/>
  <c r="DB174" i="1"/>
  <c r="DA174" i="1"/>
  <c r="V28" i="8"/>
  <c r="X27" i="8"/>
  <c r="CC124" i="1"/>
  <c r="CC114" i="1"/>
  <c r="AJ83" i="1"/>
  <c r="AJ36" i="1"/>
  <c r="AO36" i="1" s="1"/>
  <c r="AK53" i="1"/>
  <c r="AP53" i="1" s="1"/>
  <c r="BQ162" i="1"/>
  <c r="BP182" i="1"/>
  <c r="BR162" i="1"/>
  <c r="CO146" i="1"/>
  <c r="M43" i="3"/>
  <c r="CL41" i="1"/>
  <c r="CP41" i="1"/>
  <c r="FH69" i="11"/>
  <c r="Z40" i="4"/>
  <c r="Z43" i="4" s="1"/>
  <c r="Z20" i="4" s="1"/>
  <c r="BA146" i="1"/>
  <c r="K79" i="3"/>
  <c r="M75" i="3"/>
  <c r="AR141" i="1"/>
  <c r="AX141" i="1" s="1"/>
  <c r="AS121" i="1"/>
  <c r="AS111" i="1"/>
  <c r="K65" i="3"/>
  <c r="M61" i="3"/>
  <c r="AJ82" i="1"/>
  <c r="AP82" i="1" s="1"/>
  <c r="AK52" i="1"/>
  <c r="AP52" i="1" s="1"/>
  <c r="U83" i="67"/>
  <c r="T118" i="67"/>
  <c r="CS166" i="1"/>
  <c r="AZ180" i="1"/>
  <c r="BA160" i="1"/>
  <c r="AZ165" i="1"/>
  <c r="AS113" i="1"/>
  <c r="AS123" i="1"/>
  <c r="AR143" i="1"/>
  <c r="AX143" i="1" s="1"/>
  <c r="BQ173" i="1"/>
  <c r="BV162" i="1"/>
  <c r="BT182" i="1"/>
  <c r="BU162" i="1"/>
  <c r="BU173" i="1"/>
  <c r="BM161" i="1"/>
  <c r="BN161" i="1"/>
  <c r="BL181" i="1"/>
  <c r="M117" i="67"/>
  <c r="CJ83" i="1"/>
  <c r="CK33" i="1"/>
  <c r="CK53" i="1"/>
  <c r="CJ36" i="1"/>
  <c r="CO33" i="1"/>
  <c r="AO81" i="1"/>
  <c r="AN111" i="1"/>
  <c r="Q122" i="67"/>
  <c r="R87" i="67"/>
  <c r="BE145" i="1"/>
  <c r="BF145" i="1"/>
  <c r="Z40" i="8"/>
  <c r="CJ80" i="1"/>
  <c r="CK30" i="1"/>
  <c r="CJ35" i="1"/>
  <c r="CK50" i="1"/>
  <c r="CO30" i="1"/>
  <c r="E118" i="67"/>
  <c r="E85" i="67"/>
  <c r="Z25" i="8"/>
  <c r="Z69" i="3"/>
  <c r="Z47" i="3"/>
  <c r="Z64" i="3"/>
  <c r="Z35" i="3"/>
  <c r="Z15" i="3"/>
  <c r="Z55" i="3"/>
  <c r="Z68" i="3"/>
  <c r="Z70" i="3"/>
  <c r="Z50" i="3"/>
  <c r="Z36" i="3"/>
  <c r="Z14" i="3"/>
  <c r="Z61" i="3"/>
  <c r="Z49" i="3"/>
  <c r="Z34" i="3"/>
  <c r="Z13" i="3"/>
  <c r="Z56" i="3"/>
  <c r="Z63" i="3"/>
  <c r="Z48" i="3"/>
  <c r="B207" i="54"/>
  <c r="B213" i="54" s="1"/>
  <c r="B219" i="54" s="1"/>
  <c r="B225" i="54" s="1"/>
  <c r="B231" i="54" s="1"/>
  <c r="B237" i="54" s="1"/>
  <c r="B243" i="54" s="1"/>
  <c r="B249" i="54" s="1"/>
  <c r="Z113" i="3"/>
  <c r="AB111" i="8" s="1"/>
  <c r="AD111" i="8" s="1"/>
  <c r="Z96" i="3"/>
  <c r="Z43" i="3"/>
  <c r="Z103" i="3"/>
  <c r="Z133" i="3"/>
  <c r="Z42" i="3"/>
  <c r="Z105" i="3"/>
  <c r="Z84" i="3"/>
  <c r="Z104" i="3"/>
  <c r="Z120" i="3"/>
  <c r="Z125" i="3"/>
  <c r="Z131" i="3"/>
  <c r="Z132" i="3"/>
  <c r="Z33" i="3"/>
  <c r="Z78" i="3"/>
  <c r="Z76" i="3"/>
  <c r="Z75" i="3"/>
  <c r="Z92" i="3"/>
  <c r="Z89" i="3"/>
  <c r="Z90" i="3"/>
  <c r="Z54" i="3"/>
  <c r="Z62" i="3"/>
  <c r="Z12" i="3"/>
  <c r="Z112" i="3"/>
  <c r="Z71" i="3"/>
  <c r="Z117" i="3"/>
  <c r="Z41" i="3"/>
  <c r="Z77" i="3"/>
  <c r="Z40" i="3"/>
  <c r="Z82" i="3"/>
  <c r="Z98" i="3"/>
  <c r="Z57" i="3"/>
  <c r="Z99" i="3"/>
  <c r="Z28" i="3"/>
  <c r="Z26" i="3"/>
  <c r="Z29" i="3"/>
  <c r="Z27" i="3"/>
  <c r="Z22" i="3"/>
  <c r="Z20" i="3"/>
  <c r="Z19" i="3"/>
  <c r="Z21" i="3"/>
  <c r="AA48" i="4"/>
  <c r="AC48" i="4"/>
  <c r="AB48" i="4"/>
  <c r="F116" i="67"/>
  <c r="G115" i="67"/>
  <c r="F82" i="67"/>
  <c r="BA162" i="1"/>
  <c r="AZ182" i="1"/>
  <c r="AX85" i="1"/>
  <c r="M42" i="3"/>
  <c r="AW142" i="1"/>
  <c r="AV172" i="1"/>
  <c r="BA172" i="1" s="1"/>
  <c r="AV162" i="1"/>
  <c r="BB162" i="1" s="1"/>
  <c r="Z66" i="8"/>
  <c r="AR140" i="1"/>
  <c r="AX140" i="1" s="1"/>
  <c r="AS120" i="1"/>
  <c r="AS110" i="1"/>
  <c r="Y53" i="4"/>
  <c r="Y55" i="4"/>
  <c r="Y56" i="4" s="1"/>
  <c r="K5" i="5"/>
  <c r="Q43" i="4"/>
  <c r="R44" i="4" s="1"/>
  <c r="Q41" i="4"/>
  <c r="BM163" i="1"/>
  <c r="BN163" i="1"/>
  <c r="BL166" i="1"/>
  <c r="BL183" i="1"/>
  <c r="BA145" i="1"/>
  <c r="CG83" i="1"/>
  <c r="CF113" i="1"/>
  <c r="CH83" i="1"/>
  <c r="K44" i="3"/>
  <c r="M40" i="3"/>
  <c r="BX172" i="1"/>
  <c r="BY172" i="1" s="1"/>
  <c r="BY142" i="1"/>
  <c r="BZ142" i="1"/>
  <c r="BX162" i="1"/>
  <c r="Z47" i="8"/>
  <c r="AG42" i="1"/>
  <c r="AF32" i="1"/>
  <c r="CG55" i="1"/>
  <c r="CH55" i="1" s="1"/>
  <c r="CG35" i="1"/>
  <c r="CF85" i="1"/>
  <c r="FI69" i="11"/>
  <c r="AA40" i="4"/>
  <c r="Y65" i="4"/>
  <c r="Y67" i="4"/>
  <c r="Y68" i="4" s="1"/>
  <c r="Z31" i="8"/>
  <c r="M20" i="3"/>
  <c r="AN113" i="1"/>
  <c r="AO83" i="1"/>
  <c r="Z61" i="8"/>
  <c r="BH181" i="1"/>
  <c r="BI161" i="1"/>
  <c r="BJ161" i="1"/>
  <c r="BA161" i="1"/>
  <c r="AZ181" i="1"/>
  <c r="AH60" i="4"/>
  <c r="C256" i="54"/>
  <c r="D253" i="54"/>
  <c r="AO34" i="1"/>
  <c r="BF144" i="1"/>
  <c r="BD164" i="1"/>
  <c r="BE144" i="1"/>
  <c r="BD174" i="1"/>
  <c r="BE174" i="1" s="1"/>
  <c r="BD183" i="1"/>
  <c r="BF163" i="1"/>
  <c r="BE163" i="1"/>
  <c r="BD166" i="1"/>
  <c r="AB54" i="4"/>
  <c r="CS172" i="1"/>
  <c r="K83" i="67"/>
  <c r="AO30" i="1"/>
  <c r="D44" i="67"/>
  <c r="Z45" i="8"/>
  <c r="BU160" i="1"/>
  <c r="BV160" i="1"/>
  <c r="BT165" i="1"/>
  <c r="BT180" i="1"/>
  <c r="V77" i="8"/>
  <c r="X76" i="8"/>
  <c r="BE161" i="1"/>
  <c r="BD181" i="1"/>
  <c r="BF161" i="1"/>
  <c r="N118" i="8"/>
  <c r="CL61" i="1"/>
  <c r="CP61" i="1"/>
  <c r="J105" i="8"/>
  <c r="CC121" i="1"/>
  <c r="CC111" i="1"/>
  <c r="CB141" i="1"/>
  <c r="AV173" i="1"/>
  <c r="AV163" i="1"/>
  <c r="AW143" i="1"/>
  <c r="AV146" i="1"/>
  <c r="CN114" i="1"/>
  <c r="CO84" i="1"/>
  <c r="CT84" i="1"/>
  <c r="BY125" i="1"/>
  <c r="BY126" i="1"/>
  <c r="AS86" i="1"/>
  <c r="AR116" i="1"/>
  <c r="AS116" i="1" s="1"/>
  <c r="CL63" i="1"/>
  <c r="CP63" i="1"/>
  <c r="Z46" i="4"/>
  <c r="Z49" i="4"/>
  <c r="FI72" i="11"/>
  <c r="V56" i="8"/>
  <c r="X55" i="8"/>
  <c r="AW125" i="1"/>
  <c r="AW126" i="1"/>
  <c r="BX163" i="1"/>
  <c r="BX173" i="1"/>
  <c r="BY173" i="1" s="1"/>
  <c r="BZ143" i="1"/>
  <c r="BX146" i="1"/>
  <c r="BY143" i="1"/>
  <c r="P119" i="67"/>
  <c r="CK54" i="1"/>
  <c r="CL54" i="1" s="1"/>
  <c r="CK34" i="1"/>
  <c r="CJ84" i="1"/>
  <c r="BT183" i="1"/>
  <c r="BU163" i="1"/>
  <c r="BT166" i="1"/>
  <c r="BV163" i="1"/>
  <c r="BL182" i="1"/>
  <c r="BN162" i="1"/>
  <c r="BM162" i="1"/>
  <c r="BL180" i="1"/>
  <c r="BN160" i="1"/>
  <c r="BM160" i="1"/>
  <c r="BL165" i="1"/>
  <c r="BX164" i="1"/>
  <c r="BX174" i="1"/>
  <c r="BZ144" i="1"/>
  <c r="BY144" i="1"/>
  <c r="CZ184" i="1"/>
  <c r="DA184" i="1" s="1"/>
  <c r="DB164" i="1"/>
  <c r="DA164" i="1"/>
  <c r="X110" i="67"/>
  <c r="Y75" i="67"/>
  <c r="Y101" i="67"/>
  <c r="Y6" i="67"/>
  <c r="D88" i="67"/>
  <c r="AK45" i="1"/>
  <c r="AP45" i="1" s="1"/>
  <c r="K37" i="3"/>
  <c r="M33" i="3"/>
  <c r="AO56" i="1"/>
  <c r="AT56" i="1" s="1"/>
  <c r="AN86" i="1"/>
  <c r="AT86" i="1" s="1"/>
  <c r="CS165" i="1"/>
  <c r="S119" i="67"/>
  <c r="T84" i="67"/>
  <c r="BN144" i="1"/>
  <c r="BL164" i="1"/>
  <c r="BL174" i="1"/>
  <c r="BM144" i="1"/>
  <c r="I119" i="67"/>
  <c r="I85" i="67"/>
  <c r="FB74" i="11"/>
  <c r="T21" i="4"/>
  <c r="BT7" i="6"/>
  <c r="H125" i="8" s="1"/>
  <c r="H116" i="8"/>
  <c r="H122" i="8"/>
  <c r="BH164" i="1"/>
  <c r="BJ144" i="1"/>
  <c r="BH174" i="1"/>
  <c r="BI144" i="1"/>
  <c r="M78" i="3"/>
  <c r="BB143" i="1"/>
  <c r="BI173" i="1"/>
  <c r="K43" i="67"/>
  <c r="FG83" i="11"/>
  <c r="Z39" i="8"/>
  <c r="CT162" i="1"/>
  <c r="M69" i="3"/>
  <c r="AT80" i="1"/>
  <c r="CL42" i="1"/>
  <c r="CP42" i="1"/>
  <c r="F126" i="54"/>
  <c r="I126" i="54"/>
  <c r="AL16" i="1"/>
  <c r="BU172" i="1"/>
  <c r="CX166" i="1"/>
  <c r="AG40" i="1"/>
  <c r="AL40" i="1" s="1"/>
  <c r="AF30" i="1"/>
  <c r="AF15" i="1"/>
  <c r="AH15" i="1" s="1"/>
  <c r="H118" i="67"/>
  <c r="AS112" i="1"/>
  <c r="AR142" i="1"/>
  <c r="AS122" i="1"/>
  <c r="CL16" i="1"/>
  <c r="AT52" i="1"/>
  <c r="AD48" i="4"/>
  <c r="M49" i="3"/>
  <c r="AB76" i="4"/>
  <c r="AA77" i="4"/>
  <c r="AA79" i="4"/>
  <c r="E253" i="54"/>
  <c r="F252" i="54"/>
  <c r="N82" i="67"/>
  <c r="O86" i="67"/>
  <c r="AN85" i="1"/>
  <c r="AO55" i="1"/>
  <c r="CL60" i="1"/>
  <c r="CP60" i="1"/>
  <c r="BZ141" i="1"/>
  <c r="BX171" i="1"/>
  <c r="BY171" i="1" s="1"/>
  <c r="BY141" i="1"/>
  <c r="BX161" i="1"/>
  <c r="N109" i="8"/>
  <c r="J109" i="8"/>
  <c r="P109" i="8"/>
  <c r="M63" i="3"/>
  <c r="C80" i="67"/>
  <c r="J85" i="67"/>
  <c r="C138" i="54" l="1"/>
  <c r="D137" i="54"/>
  <c r="X14" i="4"/>
  <c r="AB40" i="4"/>
  <c r="AA43" i="4"/>
  <c r="AA44" i="4" s="1"/>
  <c r="DG83" i="11"/>
  <c r="Z41" i="4"/>
  <c r="H124" i="8"/>
  <c r="P125" i="8" s="1"/>
  <c r="J118" i="8"/>
  <c r="N115" i="8"/>
  <c r="N117" i="8"/>
  <c r="J117" i="8"/>
  <c r="I130" i="54"/>
  <c r="F130" i="54"/>
  <c r="E131" i="54"/>
  <c r="X20" i="4"/>
  <c r="FG74" i="11" s="1"/>
  <c r="P115" i="8"/>
  <c r="Z106" i="3"/>
  <c r="Z118" i="3"/>
  <c r="Z110" i="3"/>
  <c r="DD83" i="11" s="1"/>
  <c r="Z134" i="3"/>
  <c r="Z97" i="3"/>
  <c r="Z83" i="3"/>
  <c r="AB84" i="3" s="1"/>
  <c r="AB15" i="3"/>
  <c r="Z91" i="3"/>
  <c r="AB89" i="8" s="1"/>
  <c r="AD89" i="8" s="1"/>
  <c r="Z119" i="3"/>
  <c r="AB117" i="8" s="1"/>
  <c r="AD117" i="8" s="1"/>
  <c r="Z124" i="3"/>
  <c r="AB124" i="3" s="1"/>
  <c r="Z127" i="3"/>
  <c r="AB125" i="8" s="1"/>
  <c r="AD125" i="8" s="1"/>
  <c r="Z126" i="3"/>
  <c r="AB124" i="8" s="1"/>
  <c r="Z111" i="3"/>
  <c r="DE83" i="11" s="1"/>
  <c r="Y41" i="4"/>
  <c r="AC66" i="4"/>
  <c r="AC42" i="4" s="1"/>
  <c r="Z47" i="4"/>
  <c r="FI76" i="11"/>
  <c r="BM180" i="1"/>
  <c r="BI174" i="1"/>
  <c r="BE181" i="1"/>
  <c r="BI183" i="1"/>
  <c r="BY174" i="1"/>
  <c r="BM182" i="1"/>
  <c r="BU182" i="1"/>
  <c r="BU180" i="1"/>
  <c r="BQ183" i="1"/>
  <c r="AK16" i="1"/>
  <c r="BQ174" i="1"/>
  <c r="BI180" i="1"/>
  <c r="Z55" i="8"/>
  <c r="BI182" i="1"/>
  <c r="M37" i="3"/>
  <c r="M79" i="3"/>
  <c r="P117" i="8"/>
  <c r="Z62" i="8"/>
  <c r="Z27" i="8"/>
  <c r="M51" i="3"/>
  <c r="Z34" i="8"/>
  <c r="H88" i="67"/>
  <c r="AD76" i="4"/>
  <c r="AH72" i="4"/>
  <c r="E256" i="54"/>
  <c r="F253" i="54"/>
  <c r="BE164" i="1"/>
  <c r="BF164" i="1"/>
  <c r="BD184" i="1"/>
  <c r="BE184" i="1" s="1"/>
  <c r="BX182" i="1"/>
  <c r="BY182" i="1" s="1"/>
  <c r="BZ162" i="1"/>
  <c r="BY162" i="1"/>
  <c r="AB96" i="8"/>
  <c r="AD96" i="8" s="1"/>
  <c r="AB99" i="3"/>
  <c r="CV83" i="11"/>
  <c r="AB46" i="8"/>
  <c r="AD46" i="8" s="1"/>
  <c r="AB49" i="3"/>
  <c r="BL83" i="11"/>
  <c r="AW145" i="1"/>
  <c r="W112" i="67"/>
  <c r="X77" i="67"/>
  <c r="K45" i="67"/>
  <c r="BH184" i="1"/>
  <c r="BJ164" i="1"/>
  <c r="BI164" i="1"/>
  <c r="I120" i="67"/>
  <c r="I86" i="67"/>
  <c r="CO124" i="1"/>
  <c r="CO114" i="1"/>
  <c r="AB49" i="4"/>
  <c r="AB46" i="4"/>
  <c r="FK72" i="11"/>
  <c r="AB88" i="8"/>
  <c r="AD88" i="8" s="1"/>
  <c r="AB91" i="3"/>
  <c r="CP83" i="11"/>
  <c r="AB61" i="8"/>
  <c r="AD61" i="8" s="1"/>
  <c r="AB64" i="3"/>
  <c r="BW83" i="11"/>
  <c r="FA74" i="11"/>
  <c r="AD52" i="4"/>
  <c r="FL70" i="11"/>
  <c r="Z56" i="4"/>
  <c r="BZ161" i="1"/>
  <c r="BX181" i="1"/>
  <c r="BY181" i="1" s="1"/>
  <c r="BY161" i="1"/>
  <c r="AO85" i="1"/>
  <c r="AN115" i="1"/>
  <c r="AO115" i="1" s="1"/>
  <c r="AG45" i="1"/>
  <c r="AL45" i="1" s="1"/>
  <c r="BI181" i="1"/>
  <c r="FL72" i="11"/>
  <c r="AC49" i="4"/>
  <c r="AC46" i="4"/>
  <c r="AB87" i="8"/>
  <c r="AD87" i="8" s="1"/>
  <c r="AB90" i="3"/>
  <c r="CO83" i="11"/>
  <c r="AB41" i="8"/>
  <c r="AD41" i="8" s="1"/>
  <c r="BI83" i="11"/>
  <c r="AB66" i="8"/>
  <c r="AD66" i="8" s="1"/>
  <c r="AB69" i="3"/>
  <c r="AB68" i="3"/>
  <c r="BZ83" i="11"/>
  <c r="CL80" i="1"/>
  <c r="CK80" i="1"/>
  <c r="CJ110" i="1"/>
  <c r="CP80" i="1"/>
  <c r="AK84" i="1"/>
  <c r="AJ114" i="1"/>
  <c r="CC125" i="1"/>
  <c r="CC126" i="1"/>
  <c r="V114" i="67"/>
  <c r="W79" i="67"/>
  <c r="Z41" i="8"/>
  <c r="J126" i="54"/>
  <c r="T126" i="54"/>
  <c r="N117" i="67"/>
  <c r="O116" i="67"/>
  <c r="N83" i="67"/>
  <c r="AF80" i="1"/>
  <c r="AF35" i="1"/>
  <c r="AK35" i="1" s="1"/>
  <c r="AG50" i="1"/>
  <c r="I127" i="54"/>
  <c r="F127" i="54"/>
  <c r="J116" i="8"/>
  <c r="N116" i="8"/>
  <c r="P116" i="8"/>
  <c r="AO86" i="1"/>
  <c r="AN116" i="1"/>
  <c r="AO116" i="1" s="1"/>
  <c r="D89" i="67"/>
  <c r="BY146" i="1"/>
  <c r="BZ146" i="1"/>
  <c r="BX7" i="6"/>
  <c r="H126" i="8"/>
  <c r="H130" i="8"/>
  <c r="BM164" i="1"/>
  <c r="BN164" i="1"/>
  <c r="BL184" i="1"/>
  <c r="Y25" i="67"/>
  <c r="BU183" i="1"/>
  <c r="N42" i="67"/>
  <c r="FJ82" i="11"/>
  <c r="FI83" i="11"/>
  <c r="M43" i="67"/>
  <c r="FI73" i="11"/>
  <c r="AV183" i="1"/>
  <c r="BA183" i="1" s="1"/>
  <c r="AW163" i="1"/>
  <c r="AV166" i="1"/>
  <c r="BB166" i="1" s="1"/>
  <c r="J112" i="8"/>
  <c r="K118" i="67"/>
  <c r="K84" i="67"/>
  <c r="L117" i="67"/>
  <c r="FI82" i="11"/>
  <c r="M42" i="67"/>
  <c r="M44" i="3"/>
  <c r="BM183" i="1"/>
  <c r="AB17" i="8"/>
  <c r="AD17" i="8" s="1"/>
  <c r="AB20" i="3"/>
  <c r="AB19" i="3"/>
  <c r="AQ83" i="11"/>
  <c r="AB55" i="8"/>
  <c r="AD55" i="8" s="1"/>
  <c r="BS83" i="11"/>
  <c r="AB113" i="3"/>
  <c r="AB110" i="8"/>
  <c r="AD110" i="8" s="1"/>
  <c r="DF83" i="11"/>
  <c r="AB74" i="8"/>
  <c r="AD74" i="8" s="1"/>
  <c r="AB77" i="3"/>
  <c r="CF83" i="11"/>
  <c r="AB82" i="8"/>
  <c r="AD82" i="8" s="1"/>
  <c r="CL83" i="11"/>
  <c r="B255" i="54"/>
  <c r="B261" i="54" s="1"/>
  <c r="W48" i="4"/>
  <c r="AB47" i="8"/>
  <c r="AD47" i="8" s="1"/>
  <c r="AB50" i="3"/>
  <c r="BM83" i="11"/>
  <c r="Z85" i="3"/>
  <c r="AB89" i="3" s="1"/>
  <c r="AB36" i="3"/>
  <c r="AB33" i="8"/>
  <c r="AD33" i="8" s="1"/>
  <c r="BC83" i="11"/>
  <c r="CJ86" i="1"/>
  <c r="CK56" i="1"/>
  <c r="CK36" i="1"/>
  <c r="CO36" i="1"/>
  <c r="Z44" i="4"/>
  <c r="Z14" i="4"/>
  <c r="AK56" i="1"/>
  <c r="AP56" i="1" s="1"/>
  <c r="AJ86" i="1"/>
  <c r="X111" i="67"/>
  <c r="Y76" i="67"/>
  <c r="BE182" i="1"/>
  <c r="CB170" i="1"/>
  <c r="CC170" i="1" s="1"/>
  <c r="CB144" i="1"/>
  <c r="CB160" i="1"/>
  <c r="CB145" i="1"/>
  <c r="CD140" i="1"/>
  <c r="CC140" i="1"/>
  <c r="Q89" i="67"/>
  <c r="P90" i="67"/>
  <c r="CO166" i="1"/>
  <c r="CL66" i="1"/>
  <c r="CP66" i="1"/>
  <c r="BY160" i="1"/>
  <c r="BZ160" i="1"/>
  <c r="BX165" i="1"/>
  <c r="BX180" i="1"/>
  <c r="BY180" i="1" s="1"/>
  <c r="AT55" i="1"/>
  <c r="V82" i="67"/>
  <c r="U117" i="67"/>
  <c r="Z48" i="8"/>
  <c r="AO124" i="1"/>
  <c r="AN144" i="1"/>
  <c r="AT144" i="1" s="1"/>
  <c r="AO114" i="1"/>
  <c r="V81" i="67"/>
  <c r="U116" i="67"/>
  <c r="AR164" i="1"/>
  <c r="AR174" i="1"/>
  <c r="AS144" i="1"/>
  <c r="CO144" i="1"/>
  <c r="CN174" i="1"/>
  <c r="CN164" i="1"/>
  <c r="CT144" i="1"/>
  <c r="K42" i="67"/>
  <c r="FG82" i="11"/>
  <c r="CN181" i="1"/>
  <c r="CO161" i="1"/>
  <c r="CT161" i="1"/>
  <c r="AB34" i="1"/>
  <c r="AC44" i="1"/>
  <c r="T120" i="67"/>
  <c r="U85" i="67"/>
  <c r="T58" i="67"/>
  <c r="BB163" i="1"/>
  <c r="AR172" i="1"/>
  <c r="AR162" i="1"/>
  <c r="AX162" i="1" s="1"/>
  <c r="AS142" i="1"/>
  <c r="AB18" i="8"/>
  <c r="AD18" i="8" s="1"/>
  <c r="AB21" i="3"/>
  <c r="AR83" i="11"/>
  <c r="AB103" i="8"/>
  <c r="AD103" i="8" s="1"/>
  <c r="AB106" i="3"/>
  <c r="DA83" i="11"/>
  <c r="CL50" i="1"/>
  <c r="CP50" i="1"/>
  <c r="Y14" i="4"/>
  <c r="Y44" i="4"/>
  <c r="T119" i="67"/>
  <c r="U84" i="67"/>
  <c r="CK84" i="1"/>
  <c r="CL84" i="1"/>
  <c r="CJ114" i="1"/>
  <c r="BX183" i="1"/>
  <c r="BY183" i="1" s="1"/>
  <c r="BZ163" i="1"/>
  <c r="BX166" i="1"/>
  <c r="BY163" i="1"/>
  <c r="CD141" i="1"/>
  <c r="CB171" i="1"/>
  <c r="CC171" i="1" s="1"/>
  <c r="CC141" i="1"/>
  <c r="CB161" i="1"/>
  <c r="BU165" i="1"/>
  <c r="BV165" i="1"/>
  <c r="AC52" i="4"/>
  <c r="AC53" i="4" s="1"/>
  <c r="AB42" i="4"/>
  <c r="AB43" i="4" s="1"/>
  <c r="FK70" i="11"/>
  <c r="AB55" i="4"/>
  <c r="AB56" i="4" s="1"/>
  <c r="AB53" i="4"/>
  <c r="AB20" i="8"/>
  <c r="AD20" i="8" s="1"/>
  <c r="AT83" i="11"/>
  <c r="AB80" i="8"/>
  <c r="AD80" i="8" s="1"/>
  <c r="AB82" i="3"/>
  <c r="CJ83" i="11"/>
  <c r="AB60" i="8"/>
  <c r="AD60" i="8" s="1"/>
  <c r="AB63" i="3"/>
  <c r="BV83" i="11"/>
  <c r="AB31" i="8"/>
  <c r="AD31" i="8" s="1"/>
  <c r="AB33" i="3"/>
  <c r="AB34" i="3"/>
  <c r="BA83" i="11"/>
  <c r="AB40" i="8"/>
  <c r="AD40" i="8" s="1"/>
  <c r="AB43" i="3"/>
  <c r="BH83" i="11"/>
  <c r="AB92" i="3"/>
  <c r="AB120" i="3"/>
  <c r="AB95" i="8"/>
  <c r="AD95" i="8" s="1"/>
  <c r="AB98" i="3"/>
  <c r="CU83" i="11"/>
  <c r="S87" i="67"/>
  <c r="R122" i="67"/>
  <c r="CL53" i="1"/>
  <c r="CP53" i="1"/>
  <c r="U118" i="67"/>
  <c r="V83" i="67"/>
  <c r="AR171" i="1"/>
  <c r="AW171" i="1" s="1"/>
  <c r="AS141" i="1"/>
  <c r="AR161" i="1"/>
  <c r="AX161" i="1" s="1"/>
  <c r="FH82" i="11"/>
  <c r="L42" i="67"/>
  <c r="AK83" i="1"/>
  <c r="AJ113" i="1"/>
  <c r="S121" i="67"/>
  <c r="T86" i="67"/>
  <c r="BU174" i="1"/>
  <c r="CG111" i="1"/>
  <c r="CF141" i="1"/>
  <c r="CG121" i="1"/>
  <c r="CW184" i="1"/>
  <c r="Y20" i="4"/>
  <c r="Z21" i="4" s="1"/>
  <c r="AJ111" i="1"/>
  <c r="AK81" i="1"/>
  <c r="AN142" i="1"/>
  <c r="AT142" i="1" s="1"/>
  <c r="AO122" i="1"/>
  <c r="AO112" i="1"/>
  <c r="BY145" i="1"/>
  <c r="BZ145" i="1"/>
  <c r="AW161" i="1"/>
  <c r="AV181" i="1"/>
  <c r="BA181" i="1" s="1"/>
  <c r="BA173" i="1"/>
  <c r="AD64" i="4"/>
  <c r="FL71" i="11"/>
  <c r="CN165" i="1"/>
  <c r="CN180" i="1"/>
  <c r="CO160" i="1"/>
  <c r="CT160" i="1"/>
  <c r="Z69" i="8"/>
  <c r="AB31" i="1"/>
  <c r="AG31" i="1" s="1"/>
  <c r="AC41" i="1"/>
  <c r="AH41" i="1" s="1"/>
  <c r="W113" i="67"/>
  <c r="M85" i="67"/>
  <c r="J86" i="67"/>
  <c r="N124" i="8"/>
  <c r="S21" i="4"/>
  <c r="AL43" i="1"/>
  <c r="CP84" i="1"/>
  <c r="BE166" i="1"/>
  <c r="BF166" i="1"/>
  <c r="CF143" i="1"/>
  <c r="CG113" i="1"/>
  <c r="CG123" i="1"/>
  <c r="AX142" i="1"/>
  <c r="AB28" i="3"/>
  <c r="AB25" i="8"/>
  <c r="AD25" i="8" s="1"/>
  <c r="AW83" i="11"/>
  <c r="AB38" i="8"/>
  <c r="AD38" i="8" s="1"/>
  <c r="AB40" i="3"/>
  <c r="AB41" i="3"/>
  <c r="BF83" i="11"/>
  <c r="AB52" i="8"/>
  <c r="AD52" i="8" s="1"/>
  <c r="AB54" i="3"/>
  <c r="AB55" i="3"/>
  <c r="BP83" i="11"/>
  <c r="AB130" i="8"/>
  <c r="AB133" i="3"/>
  <c r="DT83" i="11"/>
  <c r="AB131" i="8"/>
  <c r="AB134" i="3"/>
  <c r="DU83" i="11"/>
  <c r="AB104" i="8"/>
  <c r="AD104" i="8" s="1"/>
  <c r="AF111" i="8" s="1"/>
  <c r="DB83" i="11"/>
  <c r="CK35" i="1"/>
  <c r="CJ85" i="1"/>
  <c r="CK55" i="1"/>
  <c r="CO35" i="1"/>
  <c r="BA165" i="1"/>
  <c r="AN140" i="1"/>
  <c r="AT140" i="1" s="1"/>
  <c r="AO120" i="1"/>
  <c r="AO110" i="1"/>
  <c r="AB77" i="4"/>
  <c r="AC76" i="4"/>
  <c r="AC79" i="4" s="1"/>
  <c r="AB79" i="4"/>
  <c r="CG110" i="1"/>
  <c r="CF140" i="1"/>
  <c r="CG120" i="1"/>
  <c r="FH73" i="11"/>
  <c r="L43" i="67"/>
  <c r="FH83" i="11"/>
  <c r="CS183" i="1"/>
  <c r="AK30" i="1"/>
  <c r="M30" i="3"/>
  <c r="CL45" i="1"/>
  <c r="CP45" i="1"/>
  <c r="Z68" i="4"/>
  <c r="AG46" i="1"/>
  <c r="BR165" i="1"/>
  <c r="BQ165" i="1"/>
  <c r="M72" i="3"/>
  <c r="AG5" i="4"/>
  <c r="AH5" i="5"/>
  <c r="CH85" i="1"/>
  <c r="CG85" i="1"/>
  <c r="CF115" i="1"/>
  <c r="CG115" i="1" s="1"/>
  <c r="J5" i="5"/>
  <c r="AB12" i="3"/>
  <c r="AB13" i="3"/>
  <c r="AB132" i="8"/>
  <c r="AB138" i="3"/>
  <c r="DV83" i="11"/>
  <c r="CD142" i="1"/>
  <c r="CB162" i="1"/>
  <c r="CC142" i="1"/>
  <c r="CB172" i="1"/>
  <c r="CC172" i="1" s="1"/>
  <c r="X113" i="67"/>
  <c r="Y78" i="67"/>
  <c r="N125" i="8"/>
  <c r="AF82" i="1"/>
  <c r="AG52" i="1"/>
  <c r="AS125" i="1"/>
  <c r="AS126" i="1"/>
  <c r="AB75" i="8"/>
  <c r="AD75" i="8" s="1"/>
  <c r="AB78" i="3"/>
  <c r="CG83" i="11"/>
  <c r="AB101" i="8"/>
  <c r="AD101" i="8" s="1"/>
  <c r="AB104" i="3"/>
  <c r="AB103" i="3"/>
  <c r="CY83" i="11"/>
  <c r="AB71" i="3"/>
  <c r="AB68" i="8"/>
  <c r="AD68" i="8" s="1"/>
  <c r="CB83" i="11"/>
  <c r="CK83" i="1"/>
  <c r="CJ113" i="1"/>
  <c r="CL83" i="1"/>
  <c r="CP83" i="1"/>
  <c r="AJ112" i="1"/>
  <c r="AK82" i="1"/>
  <c r="BQ182" i="1"/>
  <c r="AX144" i="1"/>
  <c r="AW144" i="1"/>
  <c r="AV164" i="1"/>
  <c r="AV174" i="1"/>
  <c r="BB144" i="1"/>
  <c r="V115" i="67"/>
  <c r="W80" i="67"/>
  <c r="CG114" i="1"/>
  <c r="CG124" i="1"/>
  <c r="C115" i="67"/>
  <c r="D114" i="67"/>
  <c r="C81" i="67"/>
  <c r="BX184" i="1"/>
  <c r="BZ164" i="1"/>
  <c r="BY164" i="1"/>
  <c r="D256" i="54"/>
  <c r="C257" i="54"/>
  <c r="AS140" i="1"/>
  <c r="AR170" i="1"/>
  <c r="AW170" i="1" s="1"/>
  <c r="AR160" i="1"/>
  <c r="AR145" i="1"/>
  <c r="AX145" i="1" s="1"/>
  <c r="AB39" i="8"/>
  <c r="AD39" i="8" s="1"/>
  <c r="AB42" i="3"/>
  <c r="BG83" i="11"/>
  <c r="AB54" i="8"/>
  <c r="AD54" i="8" s="1"/>
  <c r="AB57" i="3"/>
  <c r="BR83" i="11"/>
  <c r="AB109" i="8"/>
  <c r="AD109" i="8" s="1"/>
  <c r="AK32" i="1"/>
  <c r="BU164" i="1"/>
  <c r="BT184" i="1"/>
  <c r="BV164" i="1"/>
  <c r="AK80" i="1"/>
  <c r="AJ110" i="1"/>
  <c r="CK82" i="1"/>
  <c r="CJ112" i="1"/>
  <c r="CL82" i="1"/>
  <c r="CP82" i="1"/>
  <c r="AC43" i="1"/>
  <c r="AB33" i="1"/>
  <c r="AG33" i="1" s="1"/>
  <c r="AB16" i="1"/>
  <c r="AD16" i="1" s="1"/>
  <c r="AT85" i="1"/>
  <c r="BU166" i="1"/>
  <c r="BV166" i="1"/>
  <c r="AW146" i="1"/>
  <c r="BE183" i="1"/>
  <c r="AH58" i="4"/>
  <c r="AH59" i="4" s="1"/>
  <c r="AH61" i="4"/>
  <c r="BB145" i="1"/>
  <c r="F117" i="67"/>
  <c r="G116" i="67"/>
  <c r="F83" i="67"/>
  <c r="FJ72" i="11"/>
  <c r="AA49" i="4"/>
  <c r="AA46" i="4"/>
  <c r="AA47" i="4" s="1"/>
  <c r="AA20" i="4"/>
  <c r="AB29" i="3"/>
  <c r="AB26" i="8"/>
  <c r="AD26" i="8" s="1"/>
  <c r="AX83" i="11"/>
  <c r="AB115" i="8"/>
  <c r="AD115" i="8" s="1"/>
  <c r="AB118" i="3"/>
  <c r="AB117" i="3"/>
  <c r="DI83" i="11"/>
  <c r="AB90" i="8"/>
  <c r="AD90" i="8" s="1"/>
  <c r="CR83" i="11"/>
  <c r="AB118" i="8"/>
  <c r="AD118" i="8" s="1"/>
  <c r="AF118" i="8" s="1"/>
  <c r="DL83" i="11"/>
  <c r="AB96" i="3"/>
  <c r="AB94" i="8"/>
  <c r="AD94" i="8" s="1"/>
  <c r="AB97" i="3"/>
  <c r="CT83" i="11"/>
  <c r="AB14" i="3"/>
  <c r="AB34" i="8"/>
  <c r="AD34" i="8" s="1"/>
  <c r="BD83" i="11"/>
  <c r="AB53" i="8"/>
  <c r="AD53" i="8" s="1"/>
  <c r="AB56" i="3"/>
  <c r="BQ83" i="11"/>
  <c r="AB48" i="3"/>
  <c r="AB47" i="3"/>
  <c r="AB45" i="8"/>
  <c r="AD45" i="8" s="1"/>
  <c r="BK83" i="11"/>
  <c r="AL42" i="1"/>
  <c r="BB146" i="1"/>
  <c r="J119" i="67"/>
  <c r="M23" i="3"/>
  <c r="AG11" i="1"/>
  <c r="J11" i="6" s="1"/>
  <c r="CB146" i="1"/>
  <c r="CB173" i="1"/>
  <c r="CC173" i="1" s="1"/>
  <c r="CC143" i="1"/>
  <c r="CD143" i="1"/>
  <c r="CB163" i="1"/>
  <c r="AV165" i="1"/>
  <c r="AV180" i="1"/>
  <c r="BA180" i="1" s="1"/>
  <c r="AW160" i="1"/>
  <c r="BE180" i="1"/>
  <c r="AL50" i="1"/>
  <c r="AG34" i="1"/>
  <c r="AG54" i="1"/>
  <c r="AF84" i="1"/>
  <c r="AL84" i="1" s="1"/>
  <c r="CL81" i="1"/>
  <c r="CJ111" i="1"/>
  <c r="CK81" i="1"/>
  <c r="CP81" i="1"/>
  <c r="AP50" i="1"/>
  <c r="B87" i="54"/>
  <c r="AD78" i="4" s="1"/>
  <c r="AD66" i="4"/>
  <c r="CF142" i="1"/>
  <c r="CG112" i="1"/>
  <c r="CG122" i="1"/>
  <c r="CP54" i="1"/>
  <c r="L86" i="67"/>
  <c r="Q123" i="67"/>
  <c r="R88" i="67"/>
  <c r="AC40" i="1"/>
  <c r="AB15" i="1"/>
  <c r="AG15" i="1" s="1"/>
  <c r="AB30" i="1"/>
  <c r="AC10" i="1"/>
  <c r="F10" i="6" s="1"/>
  <c r="AC13" i="1"/>
  <c r="F13" i="6" s="1"/>
  <c r="T6" i="1"/>
  <c r="AO113" i="1"/>
  <c r="AO123" i="1"/>
  <c r="AN143" i="1"/>
  <c r="AT143" i="1" s="1"/>
  <c r="BM166" i="1"/>
  <c r="BN166" i="1"/>
  <c r="AB76" i="8"/>
  <c r="AD76" i="8" s="1"/>
  <c r="CH83" i="11"/>
  <c r="AB62" i="8"/>
  <c r="AD62" i="8" s="1"/>
  <c r="BX83" i="11"/>
  <c r="K5" i="4"/>
  <c r="FB7" i="11"/>
  <c r="FA68" i="11"/>
  <c r="P21" i="4"/>
  <c r="EY74" i="11"/>
  <c r="CL46" i="1"/>
  <c r="CP46" i="1"/>
  <c r="M58" i="3"/>
  <c r="AF36" i="1"/>
  <c r="AF83" i="1"/>
  <c r="AG53" i="1"/>
  <c r="AL53" i="1" s="1"/>
  <c r="CO145" i="1"/>
  <c r="CT145" i="1"/>
  <c r="CT171" i="1"/>
  <c r="CS171" i="1"/>
  <c r="BA166" i="1"/>
  <c r="FM72" i="11"/>
  <c r="AD46" i="4"/>
  <c r="AD49" i="4"/>
  <c r="AE46" i="4"/>
  <c r="AE49" i="4"/>
  <c r="AV182" i="1"/>
  <c r="AW162" i="1"/>
  <c r="AB27" i="8"/>
  <c r="AD27" i="8" s="1"/>
  <c r="AY83" i="11"/>
  <c r="AB129" i="8"/>
  <c r="AB132" i="3"/>
  <c r="DS83" i="11"/>
  <c r="AB59" i="8"/>
  <c r="AD59" i="8" s="1"/>
  <c r="AB62" i="3"/>
  <c r="AB61" i="3"/>
  <c r="BU83" i="11"/>
  <c r="AO111" i="1"/>
  <c r="AO121" i="1"/>
  <c r="AN141" i="1"/>
  <c r="H87" i="67"/>
  <c r="AK55" i="1"/>
  <c r="AP55" i="1" s="1"/>
  <c r="AJ85" i="1"/>
  <c r="AP85" i="1" s="1"/>
  <c r="CL52" i="1"/>
  <c r="CP52" i="1"/>
  <c r="CL65" i="1"/>
  <c r="CP65" i="1"/>
  <c r="BQ180" i="1"/>
  <c r="Y110" i="67"/>
  <c r="Q44" i="4"/>
  <c r="Q14" i="4"/>
  <c r="Q20" i="4"/>
  <c r="R21" i="4" s="1"/>
  <c r="AB24" i="8"/>
  <c r="AD24" i="8" s="1"/>
  <c r="AB27" i="3"/>
  <c r="AD27" i="3" s="1"/>
  <c r="AB26" i="3"/>
  <c r="AV83" i="11"/>
  <c r="AB123" i="8"/>
  <c r="AB126" i="3"/>
  <c r="DO83" i="11"/>
  <c r="E120" i="67"/>
  <c r="E86" i="67"/>
  <c r="AP81" i="1"/>
  <c r="FK71" i="11"/>
  <c r="AC64" i="4"/>
  <c r="AC67" i="4" s="1"/>
  <c r="AB67" i="4"/>
  <c r="AB68" i="4" s="1"/>
  <c r="AB65" i="4"/>
  <c r="P120" i="67"/>
  <c r="O87" i="67"/>
  <c r="BN165" i="1"/>
  <c r="BM165" i="1"/>
  <c r="N122" i="8"/>
  <c r="P122" i="8"/>
  <c r="J122" i="8"/>
  <c r="BM174" i="1"/>
  <c r="AK15" i="1"/>
  <c r="AA41" i="4"/>
  <c r="FI74" i="11"/>
  <c r="Z76" i="8"/>
  <c r="AP83" i="1"/>
  <c r="AB19" i="8"/>
  <c r="AD19" i="8" s="1"/>
  <c r="AB22" i="3"/>
  <c r="AS83" i="11"/>
  <c r="AB97" i="8"/>
  <c r="AD97" i="8" s="1"/>
  <c r="CW83" i="11"/>
  <c r="AB69" i="8"/>
  <c r="AD69" i="8" s="1"/>
  <c r="CC83" i="11"/>
  <c r="AB73" i="8"/>
  <c r="AD73" i="8" s="1"/>
  <c r="AB75" i="3"/>
  <c r="AB76" i="3"/>
  <c r="CE83" i="11"/>
  <c r="AB102" i="8"/>
  <c r="AD102" i="8" s="1"/>
  <c r="AB105" i="3"/>
  <c r="CZ83" i="11"/>
  <c r="AB32" i="8"/>
  <c r="AD32" i="8" s="1"/>
  <c r="AB35" i="3"/>
  <c r="BB83" i="11"/>
  <c r="AB48" i="8"/>
  <c r="AD48" i="8" s="1"/>
  <c r="BN83" i="11"/>
  <c r="AB67" i="8"/>
  <c r="AD67" i="8" s="1"/>
  <c r="AB70" i="3"/>
  <c r="CA83" i="11"/>
  <c r="BM181" i="1"/>
  <c r="AS143" i="1"/>
  <c r="AR173" i="1"/>
  <c r="AW173" i="1" s="1"/>
  <c r="AR163" i="1"/>
  <c r="AX163" i="1" s="1"/>
  <c r="AR146" i="1"/>
  <c r="AX146" i="1" s="1"/>
  <c r="M65" i="3"/>
  <c r="AL54" i="1"/>
  <c r="AG51" i="1"/>
  <c r="AF81" i="1"/>
  <c r="AL81" i="1" s="1"/>
  <c r="CS182" i="1"/>
  <c r="BQ181" i="1"/>
  <c r="BJ165" i="1"/>
  <c r="BI165" i="1"/>
  <c r="BF165" i="1"/>
  <c r="BE165" i="1"/>
  <c r="AL44" i="1"/>
  <c r="BP184" i="1"/>
  <c r="BQ184" i="1" s="1"/>
  <c r="BQ164" i="1"/>
  <c r="BR164" i="1"/>
  <c r="CL51" i="1"/>
  <c r="CP51" i="1"/>
  <c r="H119" i="67"/>
  <c r="G86" i="67"/>
  <c r="BQ166" i="1"/>
  <c r="BR166" i="1"/>
  <c r="CS170" i="1"/>
  <c r="CT170" i="1"/>
  <c r="CH86" i="1"/>
  <c r="CG86" i="1"/>
  <c r="CF116" i="1"/>
  <c r="CG116" i="1" s="1"/>
  <c r="BJ166" i="1"/>
  <c r="BI166" i="1"/>
  <c r="AB32" i="1"/>
  <c r="AC42" i="1"/>
  <c r="AH42" i="1" s="1"/>
  <c r="J125" i="8" l="1"/>
  <c r="C139" i="54"/>
  <c r="D138" i="54"/>
  <c r="AB81" i="8"/>
  <c r="AD81" i="8" s="1"/>
  <c r="AF88" i="8" s="1"/>
  <c r="AB127" i="3"/>
  <c r="AB131" i="3"/>
  <c r="AD131" i="3" s="1"/>
  <c r="AF131" i="3" s="1"/>
  <c r="DQ83" i="11"/>
  <c r="AB111" i="3"/>
  <c r="AD124" i="8"/>
  <c r="AF124" i="8" s="1"/>
  <c r="AD48" i="3"/>
  <c r="AB110" i="3"/>
  <c r="AD117" i="3" s="1"/>
  <c r="AB119" i="3"/>
  <c r="AD126" i="3" s="1"/>
  <c r="AF126" i="3" s="1"/>
  <c r="AD22" i="3"/>
  <c r="AB108" i="8"/>
  <c r="AD108" i="8" s="1"/>
  <c r="AF115" i="8" s="1"/>
  <c r="AB125" i="3"/>
  <c r="AD125" i="3" s="1"/>
  <c r="AF125" i="3" s="1"/>
  <c r="AB122" i="8"/>
  <c r="AD122" i="8" s="1"/>
  <c r="AF122" i="8" s="1"/>
  <c r="AB112" i="3"/>
  <c r="AB116" i="8"/>
  <c r="AD116" i="8" s="1"/>
  <c r="AF116" i="8" s="1"/>
  <c r="DK83" i="11"/>
  <c r="CK83" i="11"/>
  <c r="DJ83" i="11"/>
  <c r="AB83" i="3"/>
  <c r="AD83" i="3" s="1"/>
  <c r="AD47" i="4"/>
  <c r="AD62" i="3"/>
  <c r="J119" i="8"/>
  <c r="F131" i="54"/>
  <c r="I131" i="54"/>
  <c r="J130" i="54"/>
  <c r="T130" i="54"/>
  <c r="AD54" i="4"/>
  <c r="FM70" i="11" s="1"/>
  <c r="AC47" i="4"/>
  <c r="DP83" i="11"/>
  <c r="CQ83" i="11"/>
  <c r="DN83" i="11"/>
  <c r="AB44" i="4"/>
  <c r="AB20" i="4"/>
  <c r="AB21" i="4" s="1"/>
  <c r="AC68" i="4"/>
  <c r="AB85" i="3"/>
  <c r="AD92" i="3" s="1"/>
  <c r="AC55" i="4"/>
  <c r="AC56" i="4" s="1"/>
  <c r="AF32" i="8"/>
  <c r="BI184" i="1"/>
  <c r="BY184" i="1"/>
  <c r="AD28" i="3"/>
  <c r="AF24" i="8"/>
  <c r="AF27" i="8"/>
  <c r="AF48" i="8"/>
  <c r="AF117" i="8"/>
  <c r="AF54" i="8"/>
  <c r="AF109" i="8"/>
  <c r="AF53" i="8"/>
  <c r="AF38" i="8"/>
  <c r="AD77" i="3"/>
  <c r="AD76" i="3"/>
  <c r="AD56" i="3"/>
  <c r="AD41" i="3"/>
  <c r="AF25" i="8"/>
  <c r="AF101" i="8"/>
  <c r="AD64" i="3"/>
  <c r="AF34" i="8"/>
  <c r="AD42" i="3"/>
  <c r="AD78" i="3"/>
  <c r="AF96" i="8"/>
  <c r="AF59" i="8"/>
  <c r="AF68" i="8"/>
  <c r="AF80" i="8"/>
  <c r="AD91" i="3"/>
  <c r="AF125" i="8"/>
  <c r="AF89" i="8"/>
  <c r="AF103" i="8"/>
  <c r="AF95" i="8"/>
  <c r="AF62" i="8"/>
  <c r="AF33" i="8"/>
  <c r="AD77" i="4"/>
  <c r="AE76" i="4"/>
  <c r="AD79" i="4"/>
  <c r="X32" i="1"/>
  <c r="Y42" i="1"/>
  <c r="AD42" i="1" s="1"/>
  <c r="AB100" i="3"/>
  <c r="AD96" i="3"/>
  <c r="AK96" i="3"/>
  <c r="CK112" i="1"/>
  <c r="CJ142" i="1"/>
  <c r="CK122" i="1"/>
  <c r="AD111" i="3"/>
  <c r="AK111" i="3"/>
  <c r="AD124" i="3"/>
  <c r="AF124" i="3" s="1"/>
  <c r="AK124" i="3"/>
  <c r="D90" i="67"/>
  <c r="AF110" i="1"/>
  <c r="AG80" i="1"/>
  <c r="AF87" i="8"/>
  <c r="X112" i="67"/>
  <c r="Y77" i="67"/>
  <c r="AR181" i="1"/>
  <c r="AW181" i="1" s="1"/>
  <c r="AS161" i="1"/>
  <c r="AD98" i="3"/>
  <c r="AK98" i="3"/>
  <c r="AF66" i="8"/>
  <c r="E257" i="54"/>
  <c r="F256" i="54"/>
  <c r="AF69" i="8"/>
  <c r="AF75" i="8"/>
  <c r="CB182" i="1"/>
  <c r="CC182" i="1" s="1"/>
  <c r="CD162" i="1"/>
  <c r="CC162" i="1"/>
  <c r="AF52" i="8"/>
  <c r="AH43" i="1"/>
  <c r="T121" i="67"/>
  <c r="U86" i="67"/>
  <c r="T87" i="67"/>
  <c r="S122" i="67"/>
  <c r="AF60" i="8"/>
  <c r="CS174" i="1"/>
  <c r="CT174" i="1"/>
  <c r="W82" i="67"/>
  <c r="V117" i="67"/>
  <c r="AD50" i="3"/>
  <c r="AD19" i="3"/>
  <c r="AB23" i="3"/>
  <c r="H89" i="67"/>
  <c r="AC52" i="1"/>
  <c r="AH52" i="1" s="1"/>
  <c r="AB82" i="1"/>
  <c r="AH82" i="1" s="1"/>
  <c r="AF111" i="1"/>
  <c r="AG81" i="1"/>
  <c r="AD70" i="3"/>
  <c r="AS146" i="1"/>
  <c r="AF102" i="8"/>
  <c r="AF97" i="8"/>
  <c r="Q21" i="4"/>
  <c r="EZ74" i="11"/>
  <c r="R123" i="67"/>
  <c r="S88" i="67"/>
  <c r="AD97" i="3"/>
  <c r="AK97" i="3"/>
  <c r="AK126" i="3"/>
  <c r="Q43" i="67"/>
  <c r="FM83" i="11"/>
  <c r="FM73" i="11"/>
  <c r="FN73" i="11"/>
  <c r="X15" i="1"/>
  <c r="Y40" i="1"/>
  <c r="AD40" i="1" s="1"/>
  <c r="X30" i="1"/>
  <c r="AC30" i="1" s="1"/>
  <c r="AF114" i="1"/>
  <c r="AG84" i="1"/>
  <c r="AW165" i="1"/>
  <c r="AF94" i="8"/>
  <c r="AD118" i="3"/>
  <c r="AK118" i="3"/>
  <c r="N43" i="67"/>
  <c r="FJ83" i="11"/>
  <c r="FJ73" i="11"/>
  <c r="C258" i="54"/>
  <c r="D257" i="54"/>
  <c r="C116" i="67"/>
  <c r="D115" i="67"/>
  <c r="C82" i="67"/>
  <c r="AV184" i="1"/>
  <c r="AX164" i="1"/>
  <c r="AW164" i="1"/>
  <c r="BB164" i="1"/>
  <c r="AB107" i="3"/>
  <c r="AD103" i="3"/>
  <c r="AK103" i="3"/>
  <c r="AG32" i="1"/>
  <c r="CF145" i="1"/>
  <c r="CF160" i="1"/>
  <c r="CG140" i="1"/>
  <c r="CI140" i="1" s="1"/>
  <c r="CF144" i="1"/>
  <c r="CF170" i="1"/>
  <c r="CG170" i="1" s="1"/>
  <c r="CH140" i="1"/>
  <c r="AO125" i="1"/>
  <c r="AO126" i="1"/>
  <c r="AD140" i="3"/>
  <c r="AF140" i="3" s="1"/>
  <c r="AD133" i="3"/>
  <c r="AF133" i="3" s="1"/>
  <c r="AK133" i="3"/>
  <c r="AD40" i="3"/>
  <c r="AB44" i="3"/>
  <c r="AJ143" i="1"/>
  <c r="AK113" i="1"/>
  <c r="AK123" i="1"/>
  <c r="W83" i="67"/>
  <c r="V118" i="67"/>
  <c r="AD34" i="3"/>
  <c r="AD82" i="3"/>
  <c r="BZ166" i="1"/>
  <c r="BY166" i="1"/>
  <c r="V84" i="67"/>
  <c r="U119" i="67"/>
  <c r="U58" i="67"/>
  <c r="V85" i="67"/>
  <c r="U120" i="67"/>
  <c r="CS181" i="1"/>
  <c r="BY165" i="1"/>
  <c r="BZ165" i="1"/>
  <c r="CD160" i="1"/>
  <c r="CB180" i="1"/>
  <c r="CC180" i="1" s="1"/>
  <c r="CB165" i="1"/>
  <c r="CC160" i="1"/>
  <c r="AJ116" i="1"/>
  <c r="AK116" i="1" s="1"/>
  <c r="AK86" i="1"/>
  <c r="AF110" i="8"/>
  <c r="AW166" i="1"/>
  <c r="AF85" i="1"/>
  <c r="AL85" i="1" s="1"/>
  <c r="AG55" i="1"/>
  <c r="AB47" i="4"/>
  <c r="AD15" i="1"/>
  <c r="Y13" i="1"/>
  <c r="P6" i="1"/>
  <c r="Y14" i="1"/>
  <c r="Y10" i="1"/>
  <c r="AD33" i="3"/>
  <c r="AB37" i="3"/>
  <c r="CB164" i="1"/>
  <c r="CC144" i="1"/>
  <c r="CD144" i="1"/>
  <c r="CB174" i="1"/>
  <c r="CC174" i="1" s="1"/>
  <c r="AD130" i="8"/>
  <c r="AD99" i="3"/>
  <c r="AK99" i="3"/>
  <c r="AB79" i="3"/>
  <c r="AD75" i="3"/>
  <c r="X31" i="1"/>
  <c r="AC31" i="1" s="1"/>
  <c r="Y41" i="1"/>
  <c r="AD41" i="1" s="1"/>
  <c r="CH142" i="1"/>
  <c r="CF162" i="1"/>
  <c r="CG142" i="1"/>
  <c r="CI142" i="1" s="1"/>
  <c r="CF172" i="1"/>
  <c r="CG172" i="1" s="1"/>
  <c r="CK111" i="1"/>
  <c r="CJ141" i="1"/>
  <c r="CK121" i="1"/>
  <c r="AC46" i="1"/>
  <c r="AH46" i="1" s="1"/>
  <c r="AF39" i="8"/>
  <c r="CK113" i="1"/>
  <c r="CK123" i="1"/>
  <c r="CJ143" i="1"/>
  <c r="AG82" i="1"/>
  <c r="AF112" i="1"/>
  <c r="AB142" i="3"/>
  <c r="AD145" i="3"/>
  <c r="AF145" i="3" s="1"/>
  <c r="AK138" i="3"/>
  <c r="I5" i="5"/>
  <c r="H5" i="5" s="1"/>
  <c r="G5" i="5" s="1"/>
  <c r="F5" i="5" s="1"/>
  <c r="E5" i="5" s="1"/>
  <c r="D5" i="5" s="1"/>
  <c r="C5" i="5" s="1"/>
  <c r="B5" i="5" s="1"/>
  <c r="AL52" i="1"/>
  <c r="AD127" i="3"/>
  <c r="AF127" i="3" s="1"/>
  <c r="AK127" i="3"/>
  <c r="CS180" i="1"/>
  <c r="AN162" i="1"/>
  <c r="AO142" i="1"/>
  <c r="AN172" i="1"/>
  <c r="AS172" i="1" s="1"/>
  <c r="CF171" i="1"/>
  <c r="CG171" i="1" s="1"/>
  <c r="CF161" i="1"/>
  <c r="CH141" i="1"/>
  <c r="CG141" i="1"/>
  <c r="CI141" i="1" s="1"/>
  <c r="AF31" i="8"/>
  <c r="Q124" i="67"/>
  <c r="R89" i="67"/>
  <c r="AD36" i="3"/>
  <c r="N118" i="67"/>
  <c r="O117" i="67"/>
  <c r="N84" i="67"/>
  <c r="W114" i="67"/>
  <c r="X79" i="67"/>
  <c r="AD68" i="3"/>
  <c r="AB72" i="3"/>
  <c r="AD89" i="3"/>
  <c r="AB93" i="3"/>
  <c r="AC77" i="4"/>
  <c r="G87" i="67"/>
  <c r="H120" i="67"/>
  <c r="AD35" i="3"/>
  <c r="AF73" i="8"/>
  <c r="AD26" i="3"/>
  <c r="AB30" i="3"/>
  <c r="AO141" i="1"/>
  <c r="AN171" i="1"/>
  <c r="AS171" i="1" s="1"/>
  <c r="AN161" i="1"/>
  <c r="AD139" i="3"/>
  <c r="AF139" i="3" s="1"/>
  <c r="AK132" i="3"/>
  <c r="AF113" i="1"/>
  <c r="AG83" i="1"/>
  <c r="AF76" i="8"/>
  <c r="X34" i="1"/>
  <c r="Y44" i="1"/>
  <c r="AC50" i="1"/>
  <c r="AB35" i="1"/>
  <c r="AG35" i="1" s="1"/>
  <c r="AB80" i="1"/>
  <c r="AH80" i="1" s="1"/>
  <c r="L87" i="67"/>
  <c r="AF26" i="8"/>
  <c r="AB83" i="1"/>
  <c r="AH83" i="1" s="1"/>
  <c r="AC53" i="1"/>
  <c r="AH53" i="1" s="1"/>
  <c r="AB36" i="1"/>
  <c r="AG36" i="1" s="1"/>
  <c r="AK120" i="1"/>
  <c r="AK110" i="1"/>
  <c r="AJ140" i="1"/>
  <c r="AP140" i="1" s="1"/>
  <c r="AD112" i="3"/>
  <c r="AK112" i="3"/>
  <c r="L44" i="67"/>
  <c r="L45" i="67"/>
  <c r="BB165" i="1"/>
  <c r="AD55" i="3"/>
  <c r="AC11" i="1"/>
  <c r="F11" i="6" s="1"/>
  <c r="CO165" i="1"/>
  <c r="CT165" i="1"/>
  <c r="CD161" i="1"/>
  <c r="CB181" i="1"/>
  <c r="CC181" i="1" s="1"/>
  <c r="CC161" i="1"/>
  <c r="CK124" i="1"/>
  <c r="CJ144" i="1"/>
  <c r="CK114" i="1"/>
  <c r="AS162" i="1"/>
  <c r="AR182" i="1"/>
  <c r="AW182" i="1" s="1"/>
  <c r="AC14" i="1"/>
  <c r="AR184" i="1"/>
  <c r="AS164" i="1"/>
  <c r="AB83" i="8"/>
  <c r="AD83" i="8" s="1"/>
  <c r="AF83" i="8" s="1"/>
  <c r="CM83" i="11"/>
  <c r="AF82" i="8"/>
  <c r="AF55" i="8"/>
  <c r="AP86" i="1"/>
  <c r="AD69" i="3"/>
  <c r="FL69" i="11"/>
  <c r="AD40" i="4"/>
  <c r="AF61" i="8"/>
  <c r="AS163" i="1"/>
  <c r="AR183" i="1"/>
  <c r="AW183" i="1" s="1"/>
  <c r="AR166" i="1"/>
  <c r="AX166" i="1" s="1"/>
  <c r="AN160" i="1"/>
  <c r="AT160" i="1" s="1"/>
  <c r="AN145" i="1"/>
  <c r="AT145" i="1" s="1"/>
  <c r="AN170" i="1"/>
  <c r="AS170" i="1" s="1"/>
  <c r="AO140" i="1"/>
  <c r="CH143" i="1"/>
  <c r="CF173" i="1"/>
  <c r="CG173" i="1" s="1"/>
  <c r="CG143" i="1"/>
  <c r="CI143" i="1" s="1"/>
  <c r="CF146" i="1"/>
  <c r="CF163" i="1"/>
  <c r="AK119" i="3"/>
  <c r="Q90" i="67"/>
  <c r="P91" i="67"/>
  <c r="AD113" i="3"/>
  <c r="AK113" i="3"/>
  <c r="AK114" i="1"/>
  <c r="AK124" i="1"/>
  <c r="AE47" i="4"/>
  <c r="AF47" i="4"/>
  <c r="AG56" i="1"/>
  <c r="AF86" i="1"/>
  <c r="AS145" i="1"/>
  <c r="AI5" i="5"/>
  <c r="AH5" i="4"/>
  <c r="AC51" i="1"/>
  <c r="AB81" i="1"/>
  <c r="AB84" i="1"/>
  <c r="AC54" i="1"/>
  <c r="AH54" i="1" s="1"/>
  <c r="CN184" i="1"/>
  <c r="CO164" i="1"/>
  <c r="CT164" i="1"/>
  <c r="E121" i="67"/>
  <c r="E87" i="67"/>
  <c r="E122" i="67" s="1"/>
  <c r="AF45" i="8"/>
  <c r="F118" i="67"/>
  <c r="G117" i="67"/>
  <c r="AR180" i="1"/>
  <c r="AW180" i="1" s="1"/>
  <c r="AR165" i="1"/>
  <c r="AX165" i="1" s="1"/>
  <c r="AS160" i="1"/>
  <c r="AL82" i="1"/>
  <c r="K119" i="67"/>
  <c r="K85" i="67"/>
  <c r="L118" i="67"/>
  <c r="J127" i="54"/>
  <c r="T127" i="54"/>
  <c r="AW172" i="1"/>
  <c r="AJ115" i="1"/>
  <c r="AK115" i="1" s="1"/>
  <c r="AK85" i="1"/>
  <c r="J5" i="4"/>
  <c r="AN173" i="1"/>
  <c r="AS173" i="1" s="1"/>
  <c r="AO143" i="1"/>
  <c r="AN163" i="1"/>
  <c r="AT163" i="1" s="1"/>
  <c r="AN146" i="1"/>
  <c r="AT146" i="1" s="1"/>
  <c r="X16" i="1"/>
  <c r="X33" i="1"/>
  <c r="AC33" i="1" s="1"/>
  <c r="Y43" i="1"/>
  <c r="AD43" i="1" s="1"/>
  <c r="B93" i="54"/>
  <c r="AX160" i="1"/>
  <c r="AB51" i="3"/>
  <c r="AD47" i="3"/>
  <c r="AD57" i="3"/>
  <c r="AJ142" i="1"/>
  <c r="AP142" i="1" s="1"/>
  <c r="AK112" i="1"/>
  <c r="AK122" i="1"/>
  <c r="AD71" i="3"/>
  <c r="AL46" i="1"/>
  <c r="CL55" i="1"/>
  <c r="CP55" i="1"/>
  <c r="J87" i="67"/>
  <c r="AC65" i="4"/>
  <c r="Y21" i="4"/>
  <c r="FH74" i="11"/>
  <c r="AF40" i="8"/>
  <c r="CL56" i="1"/>
  <c r="CP56" i="1"/>
  <c r="AF47" i="8"/>
  <c r="AF74" i="8"/>
  <c r="AD20" i="3"/>
  <c r="BM184" i="1"/>
  <c r="AH40" i="1"/>
  <c r="AG30" i="1"/>
  <c r="CJ140" i="1"/>
  <c r="CK110" i="1"/>
  <c r="CK120" i="1"/>
  <c r="AF41" i="8"/>
  <c r="FL83" i="11"/>
  <c r="FL73" i="11"/>
  <c r="P43" i="67"/>
  <c r="I121" i="67"/>
  <c r="I87" i="67"/>
  <c r="J121" i="67" s="1"/>
  <c r="J120" i="67"/>
  <c r="AD49" i="3"/>
  <c r="F84" i="67"/>
  <c r="CD163" i="1"/>
  <c r="CB166" i="1"/>
  <c r="CB183" i="1"/>
  <c r="CC183" i="1" s="1"/>
  <c r="CC163" i="1"/>
  <c r="AD104" i="3"/>
  <c r="AK104" i="3"/>
  <c r="AK131" i="3"/>
  <c r="AM131" i="3" s="1"/>
  <c r="AE64" i="4"/>
  <c r="AD65" i="4"/>
  <c r="FM71" i="11"/>
  <c r="AD67" i="4"/>
  <c r="AD68" i="4" s="1"/>
  <c r="AD29" i="3"/>
  <c r="X80" i="67"/>
  <c r="W115" i="67"/>
  <c r="AD54" i="3"/>
  <c r="AB58" i="3"/>
  <c r="AD63" i="3"/>
  <c r="AD106" i="3"/>
  <c r="AK106" i="3"/>
  <c r="P121" i="67"/>
  <c r="O88" i="67"/>
  <c r="FC7" i="11"/>
  <c r="FB68" i="11"/>
  <c r="AC45" i="1"/>
  <c r="AH45" i="1" s="1"/>
  <c r="CD146" i="1"/>
  <c r="CC146" i="1"/>
  <c r="AA21" i="4"/>
  <c r="FJ74" i="11"/>
  <c r="AL80" i="1"/>
  <c r="AB16" i="3"/>
  <c r="AK134" i="3"/>
  <c r="AD134" i="3"/>
  <c r="AF134" i="3" s="1"/>
  <c r="AD141" i="3"/>
  <c r="AF141" i="3" s="1"/>
  <c r="BA182" i="1"/>
  <c r="AK111" i="1"/>
  <c r="AJ141" i="1"/>
  <c r="AK121" i="1"/>
  <c r="AD43" i="3"/>
  <c r="V116" i="67"/>
  <c r="W81" i="67"/>
  <c r="Y111" i="67"/>
  <c r="M45" i="67"/>
  <c r="M44" i="67"/>
  <c r="CB7" i="6"/>
  <c r="CF7" i="6" s="1"/>
  <c r="AH70" i="4"/>
  <c r="AH71" i="4" s="1"/>
  <c r="AH73" i="4"/>
  <c r="AH44" i="1"/>
  <c r="AD105" i="3"/>
  <c r="AK105" i="3"/>
  <c r="AC12" i="1"/>
  <c r="F12" i="6" s="1"/>
  <c r="AF67" i="8"/>
  <c r="AD61" i="3"/>
  <c r="AB65" i="3"/>
  <c r="AB121" i="3"/>
  <c r="AK117" i="3"/>
  <c r="BU184" i="1"/>
  <c r="AW174" i="1"/>
  <c r="BA174" i="1"/>
  <c r="AG16" i="1"/>
  <c r="AL51" i="1"/>
  <c r="CG125" i="1"/>
  <c r="CG126" i="1"/>
  <c r="CL85" i="1"/>
  <c r="CJ115" i="1"/>
  <c r="CK115" i="1" s="1"/>
  <c r="CK85" i="1"/>
  <c r="CP85" i="1"/>
  <c r="AF104" i="8"/>
  <c r="M120" i="67"/>
  <c r="M86" i="67"/>
  <c r="AL83" i="1"/>
  <c r="AT141" i="1"/>
  <c r="AD120" i="3"/>
  <c r="AK120" i="3"/>
  <c r="AC40" i="4"/>
  <c r="AC43" i="4" s="1"/>
  <c r="AB41" i="4"/>
  <c r="FK69" i="11"/>
  <c r="AD21" i="3"/>
  <c r="T56" i="67"/>
  <c r="T57" i="67" s="1"/>
  <c r="AO144" i="1"/>
  <c r="AN174" i="1"/>
  <c r="AS174" i="1" s="1"/>
  <c r="AN164" i="1"/>
  <c r="AT164" i="1" s="1"/>
  <c r="CD145" i="1"/>
  <c r="CC145" i="1"/>
  <c r="AK36" i="1"/>
  <c r="CJ116" i="1"/>
  <c r="CK116" i="1" s="1"/>
  <c r="CK86" i="1"/>
  <c r="CL86" i="1"/>
  <c r="CP86" i="1"/>
  <c r="FF72" i="11"/>
  <c r="W49" i="4"/>
  <c r="W46" i="4"/>
  <c r="W20" i="4"/>
  <c r="X46" i="4"/>
  <c r="FG76" i="11" s="1"/>
  <c r="X49" i="4"/>
  <c r="AD84" i="3"/>
  <c r="O43" i="67"/>
  <c r="FK83" i="11"/>
  <c r="FK73" i="11"/>
  <c r="AF46" i="8"/>
  <c r="D139" i="54" l="1"/>
  <c r="AL54" i="4"/>
  <c r="AF81" i="8"/>
  <c r="AF108" i="8"/>
  <c r="AD132" i="3"/>
  <c r="AF132" i="3" s="1"/>
  <c r="AD138" i="3"/>
  <c r="AF138" i="3" s="1"/>
  <c r="AD90" i="3"/>
  <c r="AB135" i="3"/>
  <c r="AB128" i="3"/>
  <c r="AD119" i="3"/>
  <c r="AK125" i="3"/>
  <c r="AM125" i="3" s="1"/>
  <c r="AB114" i="3"/>
  <c r="AD121" i="3" s="1"/>
  <c r="AK110" i="3"/>
  <c r="AM110" i="3" s="1"/>
  <c r="AD110" i="3"/>
  <c r="AM120" i="3"/>
  <c r="AD55" i="4"/>
  <c r="AD56" i="4" s="1"/>
  <c r="H143" i="8"/>
  <c r="AD143" i="8" s="1"/>
  <c r="CJ7" i="6"/>
  <c r="AE66" i="4"/>
  <c r="AE67" i="4" s="1"/>
  <c r="AE68" i="4" s="1"/>
  <c r="AE78" i="4"/>
  <c r="AF76" i="4" s="1"/>
  <c r="AE54" i="4"/>
  <c r="F132" i="54"/>
  <c r="I132" i="54"/>
  <c r="E133" i="54"/>
  <c r="T131" i="54"/>
  <c r="J131" i="54"/>
  <c r="FK74" i="11"/>
  <c r="AD42" i="4"/>
  <c r="AE40" i="4" s="1"/>
  <c r="AE52" i="4"/>
  <c r="AD53" i="4"/>
  <c r="AB86" i="3"/>
  <c r="AD86" i="3" s="1"/>
  <c r="AC41" i="4"/>
  <c r="AD85" i="3"/>
  <c r="AD30" i="3"/>
  <c r="W47" i="4"/>
  <c r="FF76" i="11"/>
  <c r="AM113" i="3"/>
  <c r="AM118" i="3"/>
  <c r="AM124" i="3"/>
  <c r="AM112" i="3"/>
  <c r="AD65" i="3"/>
  <c r="AM105" i="3"/>
  <c r="AD44" i="3"/>
  <c r="AD79" i="3"/>
  <c r="AD23" i="3"/>
  <c r="AD51" i="3"/>
  <c r="AJ161" i="1"/>
  <c r="AP161" i="1" s="1"/>
  <c r="AJ171" i="1"/>
  <c r="AO171" i="1" s="1"/>
  <c r="AK141" i="1"/>
  <c r="CL140" i="1"/>
  <c r="CK140" i="1"/>
  <c r="CJ145" i="1"/>
  <c r="CJ170" i="1"/>
  <c r="CJ160" i="1"/>
  <c r="CP140" i="1"/>
  <c r="I5" i="4"/>
  <c r="H5" i="4" s="1"/>
  <c r="G5" i="4" s="1"/>
  <c r="F5" i="4" s="1"/>
  <c r="E5" i="4" s="1"/>
  <c r="D5" i="4" s="1"/>
  <c r="C5" i="4" s="1"/>
  <c r="B5" i="4" s="1"/>
  <c r="AC81" i="1"/>
  <c r="AB111" i="1"/>
  <c r="CF183" i="1"/>
  <c r="CG183" i="1" s="1"/>
  <c r="CH163" i="1"/>
  <c r="CF166" i="1"/>
  <c r="CG163" i="1"/>
  <c r="D91" i="67"/>
  <c r="O89" i="67"/>
  <c r="P122" i="67"/>
  <c r="N119" i="67"/>
  <c r="O118" i="67"/>
  <c r="N85" i="67"/>
  <c r="T31" i="1"/>
  <c r="U41" i="1"/>
  <c r="V120" i="67"/>
  <c r="W85" i="67"/>
  <c r="O45" i="67"/>
  <c r="O44" i="67"/>
  <c r="FK82" i="11"/>
  <c r="O42" i="67"/>
  <c r="AK121" i="3"/>
  <c r="W116" i="67"/>
  <c r="X81" i="67"/>
  <c r="AM106" i="3"/>
  <c r="AJ162" i="1"/>
  <c r="AP162" i="1" s="1"/>
  <c r="AK142" i="1"/>
  <c r="AJ172" i="1"/>
  <c r="AO172" i="1" s="1"/>
  <c r="AH50" i="1"/>
  <c r="AD58" i="3"/>
  <c r="AS165" i="1"/>
  <c r="AB85" i="1"/>
  <c r="AH85" i="1" s="1"/>
  <c r="AC55" i="1"/>
  <c r="AH55" i="1" s="1"/>
  <c r="AP141" i="1"/>
  <c r="Y79" i="67"/>
  <c r="Y114" i="67" s="1"/>
  <c r="X114" i="67"/>
  <c r="AM138" i="3"/>
  <c r="AM145" i="3"/>
  <c r="Y11" i="1"/>
  <c r="Y113" i="67"/>
  <c r="T16" i="1"/>
  <c r="V16" i="1" s="1"/>
  <c r="T33" i="1"/>
  <c r="U43" i="1"/>
  <c r="Z43" i="1" s="1"/>
  <c r="AM103" i="3"/>
  <c r="AM126" i="3"/>
  <c r="AL55" i="1"/>
  <c r="AG123" i="1"/>
  <c r="AG113" i="1"/>
  <c r="AF143" i="1"/>
  <c r="AL143" i="1" s="1"/>
  <c r="AJ163" i="1"/>
  <c r="AP163" i="1" s="1"/>
  <c r="AK143" i="1"/>
  <c r="AJ173" i="1"/>
  <c r="AO173" i="1" s="1"/>
  <c r="AJ146" i="1"/>
  <c r="AP146" i="1" s="1"/>
  <c r="Y46" i="1"/>
  <c r="AD46" i="1" s="1"/>
  <c r="AD44" i="1"/>
  <c r="CC165" i="1"/>
  <c r="CD165" i="1"/>
  <c r="AD107" i="3"/>
  <c r="AK107" i="3"/>
  <c r="E258" i="54"/>
  <c r="F257" i="54"/>
  <c r="CJ172" i="1"/>
  <c r="CJ162" i="1"/>
  <c r="CK142" i="1"/>
  <c r="CL142" i="1"/>
  <c r="CP142" i="1"/>
  <c r="W21" i="4"/>
  <c r="FF74" i="11"/>
  <c r="X21" i="4"/>
  <c r="Y54" i="1"/>
  <c r="X84" i="1"/>
  <c r="AD84" i="1" s="1"/>
  <c r="AO162" i="1"/>
  <c r="AN182" i="1"/>
  <c r="CG144" i="1"/>
  <c r="CI144" i="1" s="1"/>
  <c r="CF174" i="1"/>
  <c r="CG174" i="1" s="1"/>
  <c r="CF164" i="1"/>
  <c r="CH144" i="1"/>
  <c r="D258" i="54"/>
  <c r="C259" i="54"/>
  <c r="AH81" i="1"/>
  <c r="Y112" i="67"/>
  <c r="Y52" i="1"/>
  <c r="AD52" i="1" s="1"/>
  <c r="X82" i="1"/>
  <c r="AD82" i="1" s="1"/>
  <c r="AP143" i="1"/>
  <c r="CS184" i="1"/>
  <c r="AF116" i="1"/>
  <c r="AG116" i="1" s="1"/>
  <c r="AG86" i="1"/>
  <c r="Q91" i="67"/>
  <c r="P92" i="67"/>
  <c r="AJ170" i="1"/>
  <c r="AO170" i="1" s="1"/>
  <c r="AJ160" i="1"/>
  <c r="AP160" i="1" s="1"/>
  <c r="AJ144" i="1"/>
  <c r="AJ145" i="1"/>
  <c r="AP145" i="1" s="1"/>
  <c r="AK140" i="1"/>
  <c r="L88" i="67"/>
  <c r="AG122" i="1"/>
  <c r="AF142" i="1"/>
  <c r="AG112" i="1"/>
  <c r="AC16" i="1"/>
  <c r="CH162" i="1"/>
  <c r="CG162" i="1"/>
  <c r="CF182" i="1"/>
  <c r="CG182" i="1" s="1"/>
  <c r="AM133" i="3"/>
  <c r="AM140" i="3"/>
  <c r="AB112" i="1"/>
  <c r="AC82" i="1"/>
  <c r="V58" i="67"/>
  <c r="H131" i="8"/>
  <c r="H132" i="8"/>
  <c r="H133" i="8"/>
  <c r="H123" i="8"/>
  <c r="H144" i="8"/>
  <c r="H129" i="8"/>
  <c r="H140" i="8"/>
  <c r="H137" i="8"/>
  <c r="H138" i="8"/>
  <c r="H139" i="8"/>
  <c r="H145" i="8"/>
  <c r="H136" i="8"/>
  <c r="FC68" i="11"/>
  <c r="FD7" i="11"/>
  <c r="J88" i="67"/>
  <c r="AO145" i="1"/>
  <c r="CJ174" i="1"/>
  <c r="CJ164" i="1"/>
  <c r="CK144" i="1"/>
  <c r="CL144" i="1"/>
  <c r="CP144" i="1"/>
  <c r="T32" i="1"/>
  <c r="U42" i="1"/>
  <c r="Z42" i="1" s="1"/>
  <c r="AF115" i="1"/>
  <c r="AG115" i="1" s="1"/>
  <c r="AG85" i="1"/>
  <c r="Y45" i="1"/>
  <c r="AD45" i="1" s="1"/>
  <c r="X47" i="4"/>
  <c r="Y47" i="4"/>
  <c r="CH146" i="1"/>
  <c r="CG146" i="1"/>
  <c r="AC83" i="1"/>
  <c r="AB113" i="1"/>
  <c r="AM127" i="3"/>
  <c r="AD142" i="3"/>
  <c r="AK142" i="3"/>
  <c r="T59" i="67"/>
  <c r="Y80" i="67"/>
  <c r="Y115" i="67" s="1"/>
  <c r="X115" i="67"/>
  <c r="P44" i="67"/>
  <c r="P45" i="67"/>
  <c r="K120" i="67"/>
  <c r="K86" i="67"/>
  <c r="L119" i="67"/>
  <c r="AS166" i="1"/>
  <c r="AT162" i="1"/>
  <c r="AN181" i="1"/>
  <c r="AS181" i="1" s="1"/>
  <c r="AO161" i="1"/>
  <c r="U56" i="67"/>
  <c r="U57" i="67" s="1"/>
  <c r="CG160" i="1"/>
  <c r="CF165" i="1"/>
  <c r="CH160" i="1"/>
  <c r="CF180" i="1"/>
  <c r="CG180" i="1" s="1"/>
  <c r="AG114" i="1"/>
  <c r="AG124" i="1"/>
  <c r="S123" i="67"/>
  <c r="T88" i="67"/>
  <c r="AC32" i="1"/>
  <c r="AD128" i="3"/>
  <c r="AK128" i="3"/>
  <c r="FF83" i="11"/>
  <c r="J43" i="67"/>
  <c r="FF73" i="11"/>
  <c r="FG73" i="11"/>
  <c r="AO164" i="1"/>
  <c r="AN184" i="1"/>
  <c r="AS184" i="1" s="1"/>
  <c r="M121" i="67"/>
  <c r="M87" i="67"/>
  <c r="AM134" i="3"/>
  <c r="AM141" i="3"/>
  <c r="AL56" i="1"/>
  <c r="F119" i="67"/>
  <c r="G118" i="67"/>
  <c r="F85" i="67"/>
  <c r="B99" i="54"/>
  <c r="I89" i="3"/>
  <c r="I103" i="3"/>
  <c r="I90" i="3"/>
  <c r="I99" i="3"/>
  <c r="I105" i="3"/>
  <c r="I85" i="3"/>
  <c r="I82" i="3"/>
  <c r="I104" i="3"/>
  <c r="I98" i="3"/>
  <c r="I111" i="3"/>
  <c r="I97" i="3"/>
  <c r="I92" i="3"/>
  <c r="I96" i="3"/>
  <c r="I91" i="3"/>
  <c r="I112" i="3"/>
  <c r="I84" i="3"/>
  <c r="I110" i="3"/>
  <c r="I83" i="3"/>
  <c r="I106" i="3"/>
  <c r="I113" i="3"/>
  <c r="AO163" i="1"/>
  <c r="AN166" i="1"/>
  <c r="AT166" i="1" s="1"/>
  <c r="AN183" i="1"/>
  <c r="AB114" i="1"/>
  <c r="AC84" i="1"/>
  <c r="AK126" i="1"/>
  <c r="AK125" i="1"/>
  <c r="G88" i="67"/>
  <c r="H121" i="67"/>
  <c r="AD72" i="3"/>
  <c r="CF181" i="1"/>
  <c r="CG181" i="1" s="1"/>
  <c r="CG161" i="1"/>
  <c r="CH161" i="1"/>
  <c r="Z16" i="1"/>
  <c r="AD37" i="3"/>
  <c r="T34" i="1"/>
  <c r="U44" i="1"/>
  <c r="Z44" i="1" s="1"/>
  <c r="AL86" i="1"/>
  <c r="X83" i="67"/>
  <c r="W118" i="67"/>
  <c r="CH145" i="1"/>
  <c r="CG145" i="1"/>
  <c r="AW184" i="1"/>
  <c r="BA184" i="1"/>
  <c r="N44" i="67"/>
  <c r="N45" i="67"/>
  <c r="AH84" i="1"/>
  <c r="Q45" i="67"/>
  <c r="Q44" i="67"/>
  <c r="R44" i="67"/>
  <c r="U87" i="67"/>
  <c r="T122" i="67"/>
  <c r="AM111" i="3"/>
  <c r="I122" i="67"/>
  <c r="I88" i="67"/>
  <c r="X83" i="1"/>
  <c r="AD83" i="1" s="1"/>
  <c r="Y53" i="1"/>
  <c r="AD53" i="1" s="1"/>
  <c r="X36" i="1"/>
  <c r="AC36" i="1" s="1"/>
  <c r="Y33" i="1"/>
  <c r="FL82" i="11"/>
  <c r="P42" i="67"/>
  <c r="AD114" i="3"/>
  <c r="Y51" i="1"/>
  <c r="AD51" i="1" s="1"/>
  <c r="X81" i="1"/>
  <c r="AD81" i="1" s="1"/>
  <c r="Y31" i="1"/>
  <c r="Y12" i="1"/>
  <c r="AO160" i="1"/>
  <c r="AN165" i="1"/>
  <c r="AT165" i="1" s="1"/>
  <c r="AN180" i="1"/>
  <c r="AS180" i="1" s="1"/>
  <c r="AM132" i="3"/>
  <c r="AM139" i="3"/>
  <c r="T30" i="1"/>
  <c r="Y30" i="1" s="1"/>
  <c r="T15" i="1"/>
  <c r="U40" i="1"/>
  <c r="Z40" i="1" s="1"/>
  <c r="AF141" i="1"/>
  <c r="AL141" i="1" s="1"/>
  <c r="AG121" i="1"/>
  <c r="AG111" i="1"/>
  <c r="AD135" i="3"/>
  <c r="AK135" i="3"/>
  <c r="AM135" i="3" s="1"/>
  <c r="CC166" i="1"/>
  <c r="CD166" i="1"/>
  <c r="AC15" i="1"/>
  <c r="AF52" i="4"/>
  <c r="FN70" i="11"/>
  <c r="AO146" i="1"/>
  <c r="AD54" i="1"/>
  <c r="Q125" i="67"/>
  <c r="R90" i="67"/>
  <c r="CD164" i="1"/>
  <c r="CC164" i="1"/>
  <c r="CB184" i="1"/>
  <c r="CC184" i="1" s="1"/>
  <c r="AC44" i="4"/>
  <c r="AC20" i="4"/>
  <c r="AM104" i="3"/>
  <c r="CK125" i="1"/>
  <c r="CK126" i="1"/>
  <c r="E88" i="67"/>
  <c r="AC34" i="1"/>
  <c r="AI5" i="4"/>
  <c r="AJ5" i="5"/>
  <c r="AM119" i="3"/>
  <c r="AC56" i="1"/>
  <c r="AB86" i="1"/>
  <c r="AH86" i="1" s="1"/>
  <c r="AC80" i="1"/>
  <c r="AB110" i="1"/>
  <c r="R124" i="67"/>
  <c r="S89" i="67"/>
  <c r="CK143" i="1"/>
  <c r="CJ163" i="1"/>
  <c r="CJ173" i="1"/>
  <c r="CJ146" i="1"/>
  <c r="CL143" i="1"/>
  <c r="CP143" i="1"/>
  <c r="CJ171" i="1"/>
  <c r="CL141" i="1"/>
  <c r="CJ161" i="1"/>
  <c r="CK141" i="1"/>
  <c r="CP141" i="1"/>
  <c r="U13" i="1"/>
  <c r="U10" i="1"/>
  <c r="U11" i="1"/>
  <c r="U12" i="1"/>
  <c r="L6" i="1"/>
  <c r="V119" i="67"/>
  <c r="W84" i="67"/>
  <c r="C117" i="67"/>
  <c r="D116" i="67"/>
  <c r="C83" i="67"/>
  <c r="Y50" i="1"/>
  <c r="X80" i="1"/>
  <c r="X35" i="1"/>
  <c r="AC35" i="1" s="1"/>
  <c r="Z15" i="1"/>
  <c r="AH51" i="1"/>
  <c r="H90" i="67"/>
  <c r="W117" i="67"/>
  <c r="X82" i="67"/>
  <c r="V86" i="67"/>
  <c r="U121" i="67"/>
  <c r="AF90" i="8"/>
  <c r="AT161" i="1"/>
  <c r="AG110" i="1"/>
  <c r="AG120" i="1"/>
  <c r="AF140" i="1"/>
  <c r="AL140" i="1" s="1"/>
  <c r="AD100" i="3"/>
  <c r="AK100" i="3"/>
  <c r="E136" i="54" l="1"/>
  <c r="AM117" i="3"/>
  <c r="AK114" i="3"/>
  <c r="AM114" i="3" s="1"/>
  <c r="FN71" i="11"/>
  <c r="AE55" i="4"/>
  <c r="AE56" i="4" s="1"/>
  <c r="AF64" i="4"/>
  <c r="AE65" i="4"/>
  <c r="AE79" i="4"/>
  <c r="AE53" i="4"/>
  <c r="AD93" i="3"/>
  <c r="AE77" i="4"/>
  <c r="AE42" i="4"/>
  <c r="AE43" i="4" s="1"/>
  <c r="AE20" i="4" s="1"/>
  <c r="AF54" i="4"/>
  <c r="AG52" i="4" s="1"/>
  <c r="J143" i="8"/>
  <c r="T132" i="54"/>
  <c r="J132" i="54"/>
  <c r="AK66" i="4"/>
  <c r="F133" i="54"/>
  <c r="I133" i="54"/>
  <c r="FM69" i="11"/>
  <c r="FM82" i="11" s="1"/>
  <c r="AD43" i="4"/>
  <c r="AD20" i="4" s="1"/>
  <c r="AD41" i="4"/>
  <c r="AF78" i="4"/>
  <c r="AG76" i="4" s="1"/>
  <c r="AM128" i="3"/>
  <c r="P143" i="8"/>
  <c r="V88" i="8"/>
  <c r="X88" i="8" s="1"/>
  <c r="J90" i="3"/>
  <c r="K91" i="3"/>
  <c r="CP82" i="11"/>
  <c r="AF162" i="1"/>
  <c r="AG142" i="1"/>
  <c r="AF172" i="1"/>
  <c r="P123" i="67"/>
  <c r="O90" i="67"/>
  <c r="W119" i="67"/>
  <c r="X84" i="67"/>
  <c r="CK174" i="1"/>
  <c r="CO174" i="1"/>
  <c r="V110" i="8"/>
  <c r="X110" i="8" s="1"/>
  <c r="J112" i="3"/>
  <c r="K113" i="3"/>
  <c r="DF82" i="11"/>
  <c r="J45" i="67"/>
  <c r="J44" i="67"/>
  <c r="K44" i="67"/>
  <c r="AD136" i="8"/>
  <c r="AF143" i="8" s="1"/>
  <c r="N136" i="8"/>
  <c r="J136" i="8"/>
  <c r="P136" i="8"/>
  <c r="Q44" i="1"/>
  <c r="V44" i="1" s="1"/>
  <c r="P34" i="1"/>
  <c r="U34" i="1" s="1"/>
  <c r="U122" i="67"/>
  <c r="V87" i="67"/>
  <c r="V96" i="8"/>
  <c r="X96" i="8" s="1"/>
  <c r="J98" i="3"/>
  <c r="K99" i="3"/>
  <c r="CV82" i="11"/>
  <c r="F120" i="67"/>
  <c r="F86" i="67"/>
  <c r="G119" i="67"/>
  <c r="Q41" i="1"/>
  <c r="P31" i="1"/>
  <c r="U31" i="1" s="1"/>
  <c r="CK173" i="1"/>
  <c r="CO173" i="1"/>
  <c r="AB116" i="1"/>
  <c r="AC116" i="1" s="1"/>
  <c r="AC86" i="1"/>
  <c r="E123" i="67"/>
  <c r="E89" i="67"/>
  <c r="X113" i="1"/>
  <c r="Y83" i="1"/>
  <c r="V95" i="8"/>
  <c r="X95" i="8" s="1"/>
  <c r="J97" i="3"/>
  <c r="K98" i="3"/>
  <c r="CU82" i="11"/>
  <c r="FD68" i="11"/>
  <c r="FE7" i="11"/>
  <c r="AK145" i="1"/>
  <c r="Q126" i="67"/>
  <c r="R91" i="67"/>
  <c r="CG164" i="1"/>
  <c r="CF184" i="1"/>
  <c r="CG184" i="1" s="1"/>
  <c r="CH164" i="1"/>
  <c r="CK172" i="1"/>
  <c r="CO172" i="1"/>
  <c r="U46" i="1"/>
  <c r="W120" i="67"/>
  <c r="X85" i="67"/>
  <c r="W58" i="67"/>
  <c r="CH166" i="1"/>
  <c r="CG166" i="1"/>
  <c r="CK163" i="1"/>
  <c r="CJ183" i="1"/>
  <c r="CJ166" i="1"/>
  <c r="CL163" i="1"/>
  <c r="CP163" i="1"/>
  <c r="U45" i="1"/>
  <c r="Z45" i="1" s="1"/>
  <c r="V82" i="8"/>
  <c r="X82" i="8" s="1"/>
  <c r="Z82" i="8" s="1"/>
  <c r="J84" i="3"/>
  <c r="K85" i="3"/>
  <c r="M85" i="3" s="1"/>
  <c r="CL82" i="11"/>
  <c r="CK164" i="1"/>
  <c r="CJ184" i="1"/>
  <c r="CL164" i="1"/>
  <c r="CP164" i="1"/>
  <c r="X118" i="67"/>
  <c r="Y83" i="67"/>
  <c r="Y118" i="67" s="1"/>
  <c r="CK170" i="1"/>
  <c r="CO170" i="1"/>
  <c r="AF170" i="1"/>
  <c r="AG140" i="1"/>
  <c r="AF145" i="1"/>
  <c r="AL145" i="1" s="1"/>
  <c r="AF160" i="1"/>
  <c r="AF144" i="1"/>
  <c r="AL144" i="1" s="1"/>
  <c r="Y80" i="1"/>
  <c r="X110" i="1"/>
  <c r="K121" i="67"/>
  <c r="K87" i="67"/>
  <c r="L120" i="67"/>
  <c r="AK160" i="1"/>
  <c r="AJ165" i="1"/>
  <c r="AK165" i="1" s="1"/>
  <c r="AJ180" i="1"/>
  <c r="AO180" i="1" s="1"/>
  <c r="AJ183" i="1"/>
  <c r="AO183" i="1" s="1"/>
  <c r="AK163" i="1"/>
  <c r="AJ166" i="1"/>
  <c r="AK166" i="1" s="1"/>
  <c r="D92" i="67"/>
  <c r="CK145" i="1"/>
  <c r="CL145" i="1"/>
  <c r="CP145" i="1"/>
  <c r="AG125" i="1"/>
  <c r="AG126" i="1"/>
  <c r="X117" i="67"/>
  <c r="Y82" i="67"/>
  <c r="Y117" i="67" s="1"/>
  <c r="H6" i="1"/>
  <c r="Q13" i="1"/>
  <c r="Q10" i="1"/>
  <c r="Q11" i="1"/>
  <c r="Q12" i="1"/>
  <c r="CK171" i="1"/>
  <c r="CO171" i="1"/>
  <c r="AJ5" i="4"/>
  <c r="AK5" i="5"/>
  <c r="AL5" i="5" s="1"/>
  <c r="AM5" i="5" s="1"/>
  <c r="AN5" i="5" s="1"/>
  <c r="AO5" i="5" s="1"/>
  <c r="AP5" i="5" s="1"/>
  <c r="AC21" i="4"/>
  <c r="FL74" i="11"/>
  <c r="U14" i="1"/>
  <c r="AC114" i="1"/>
  <c r="AC124" i="1"/>
  <c r="J114" i="3"/>
  <c r="V111" i="8"/>
  <c r="J113" i="3"/>
  <c r="DG82" i="11"/>
  <c r="V89" i="8"/>
  <c r="X89" i="8" s="1"/>
  <c r="J91" i="3"/>
  <c r="K92" i="3"/>
  <c r="CQ82" i="11"/>
  <c r="V83" i="8"/>
  <c r="J85" i="3"/>
  <c r="CM82" i="11"/>
  <c r="B105" i="54"/>
  <c r="AF66" i="4"/>
  <c r="M122" i="67"/>
  <c r="M88" i="67"/>
  <c r="AM142" i="3"/>
  <c r="U52" i="1"/>
  <c r="T82" i="1"/>
  <c r="Z82" i="1" s="1"/>
  <c r="P145" i="8"/>
  <c r="N145" i="8"/>
  <c r="J145" i="8"/>
  <c r="AD123" i="8"/>
  <c r="P123" i="8"/>
  <c r="J123" i="8"/>
  <c r="N123" i="8"/>
  <c r="J124" i="8"/>
  <c r="P124" i="8"/>
  <c r="N130" i="8"/>
  <c r="AC112" i="1"/>
  <c r="AC122" i="1"/>
  <c r="AB142" i="1"/>
  <c r="AH142" i="1" s="1"/>
  <c r="Y32" i="1"/>
  <c r="AB115" i="1"/>
  <c r="AC115" i="1" s="1"/>
  <c r="AC85" i="1"/>
  <c r="X116" i="67"/>
  <c r="Y81" i="67"/>
  <c r="Y116" i="67" s="1"/>
  <c r="X58" i="67"/>
  <c r="T81" i="1"/>
  <c r="Z81" i="1" s="1"/>
  <c r="U51" i="1"/>
  <c r="AB141" i="1"/>
  <c r="AC121" i="1"/>
  <c r="AC111" i="1"/>
  <c r="I123" i="67"/>
  <c r="I89" i="67"/>
  <c r="J123" i="67" s="1"/>
  <c r="CJ180" i="1"/>
  <c r="CL160" i="1"/>
  <c r="CJ165" i="1"/>
  <c r="CK160" i="1"/>
  <c r="CP160" i="1"/>
  <c r="AF53" i="4"/>
  <c r="U59" i="67"/>
  <c r="N129" i="8"/>
  <c r="AD129" i="8"/>
  <c r="AF129" i="8" s="1"/>
  <c r="P129" i="8"/>
  <c r="J129" i="8"/>
  <c r="J130" i="8"/>
  <c r="P130" i="8"/>
  <c r="AK144" i="1"/>
  <c r="AJ164" i="1"/>
  <c r="AJ174" i="1"/>
  <c r="AP144" i="1"/>
  <c r="E259" i="54"/>
  <c r="F258" i="54"/>
  <c r="K90" i="3"/>
  <c r="J89" i="3"/>
  <c r="V87" i="8"/>
  <c r="X87" i="8" s="1"/>
  <c r="K89" i="3"/>
  <c r="CO82" i="11"/>
  <c r="V15" i="1"/>
  <c r="V104" i="8"/>
  <c r="J106" i="3"/>
  <c r="DB82" i="11"/>
  <c r="L89" i="67"/>
  <c r="AS182" i="1"/>
  <c r="X112" i="1"/>
  <c r="Y82" i="1"/>
  <c r="D259" i="54"/>
  <c r="C262" i="54"/>
  <c r="AI60" i="4"/>
  <c r="AF163" i="1"/>
  <c r="AG143" i="1"/>
  <c r="AF173" i="1"/>
  <c r="AK173" i="1" s="1"/>
  <c r="AF146" i="1"/>
  <c r="AL146" i="1" s="1"/>
  <c r="N120" i="67"/>
  <c r="O119" i="67"/>
  <c r="N86" i="67"/>
  <c r="N143" i="8"/>
  <c r="H91" i="67"/>
  <c r="C118" i="67"/>
  <c r="D117" i="67"/>
  <c r="C84" i="67"/>
  <c r="Q42" i="1"/>
  <c r="V42" i="1" s="1"/>
  <c r="P32" i="1"/>
  <c r="Q43" i="1"/>
  <c r="V43" i="1" s="1"/>
  <c r="P16" i="1"/>
  <c r="U16" i="1" s="1"/>
  <c r="P33" i="1"/>
  <c r="AC110" i="1"/>
  <c r="AC120" i="1"/>
  <c r="AB140" i="1"/>
  <c r="X86" i="1"/>
  <c r="AD86" i="1" s="1"/>
  <c r="Y56" i="1"/>
  <c r="U54" i="1"/>
  <c r="Z54" i="1" s="1"/>
  <c r="T84" i="1"/>
  <c r="Z84" i="1" s="1"/>
  <c r="G89" i="67"/>
  <c r="H122" i="67"/>
  <c r="V81" i="8"/>
  <c r="X81" i="8" s="1"/>
  <c r="Z81" i="8" s="1"/>
  <c r="K84" i="3"/>
  <c r="M84" i="3" s="1"/>
  <c r="J83" i="3"/>
  <c r="CK82" i="11"/>
  <c r="J104" i="3"/>
  <c r="K105" i="3"/>
  <c r="V102" i="8"/>
  <c r="X102" i="8" s="1"/>
  <c r="CZ82" i="11"/>
  <c r="V103" i="8"/>
  <c r="X103" i="8" s="1"/>
  <c r="K106" i="3"/>
  <c r="J105" i="3"/>
  <c r="DA82" i="11"/>
  <c r="Y15" i="1"/>
  <c r="J89" i="67"/>
  <c r="AD138" i="8"/>
  <c r="N138" i="8"/>
  <c r="P138" i="8"/>
  <c r="J138" i="8"/>
  <c r="P132" i="8"/>
  <c r="J132" i="8"/>
  <c r="AD132" i="8"/>
  <c r="AF132" i="8" s="1"/>
  <c r="N132" i="8"/>
  <c r="AS183" i="1"/>
  <c r="Y84" i="1"/>
  <c r="X114" i="1"/>
  <c r="AM107" i="3"/>
  <c r="Y16" i="1"/>
  <c r="AH56" i="1"/>
  <c r="AM121" i="3"/>
  <c r="AD50" i="1"/>
  <c r="P30" i="1"/>
  <c r="U30" i="1" s="1"/>
  <c r="Q40" i="1"/>
  <c r="V40" i="1" s="1"/>
  <c r="P15" i="1"/>
  <c r="U15" i="1" s="1"/>
  <c r="U88" i="67"/>
  <c r="T123" i="67"/>
  <c r="V56" i="67"/>
  <c r="V57" i="67" s="1"/>
  <c r="AL142" i="1"/>
  <c r="AJ181" i="1"/>
  <c r="AK161" i="1"/>
  <c r="X85" i="1"/>
  <c r="AD85" i="1" s="1"/>
  <c r="Y55" i="1"/>
  <c r="AD55" i="1" s="1"/>
  <c r="CL161" i="1"/>
  <c r="CK161" i="1"/>
  <c r="CJ181" i="1"/>
  <c r="CP161" i="1"/>
  <c r="S90" i="67"/>
  <c r="R125" i="67"/>
  <c r="T80" i="1"/>
  <c r="U50" i="1"/>
  <c r="T35" i="1"/>
  <c r="Y35" i="1" s="1"/>
  <c r="V101" i="8"/>
  <c r="X101" i="8" s="1"/>
  <c r="K104" i="3"/>
  <c r="K103" i="3"/>
  <c r="J103" i="3"/>
  <c r="CY82" i="11"/>
  <c r="AJ182" i="1"/>
  <c r="AK162" i="1"/>
  <c r="W86" i="67"/>
  <c r="V121" i="67"/>
  <c r="T89" i="67"/>
  <c r="S124" i="67"/>
  <c r="V109" i="8"/>
  <c r="X109" i="8" s="1"/>
  <c r="J111" i="3"/>
  <c r="K112" i="3"/>
  <c r="DE82" i="11"/>
  <c r="P144" i="8"/>
  <c r="N144" i="8"/>
  <c r="J144" i="8"/>
  <c r="AD80" i="1"/>
  <c r="Y81" i="1"/>
  <c r="X111" i="1"/>
  <c r="V94" i="8"/>
  <c r="X94" i="8" s="1"/>
  <c r="K97" i="3"/>
  <c r="J96" i="3"/>
  <c r="K96" i="3"/>
  <c r="CT82" i="11"/>
  <c r="J139" i="8"/>
  <c r="P139" i="8"/>
  <c r="AD139" i="8"/>
  <c r="N139" i="8"/>
  <c r="C48" i="85" s="1"/>
  <c r="C50" i="85" s="1"/>
  <c r="Z41" i="1"/>
  <c r="CK146" i="1"/>
  <c r="CL146" i="1"/>
  <c r="CP146" i="1"/>
  <c r="AG141" i="1"/>
  <c r="AF171" i="1"/>
  <c r="AK171" i="1" s="1"/>
  <c r="AF161" i="1"/>
  <c r="AO165" i="1"/>
  <c r="AO166" i="1"/>
  <c r="V108" i="8"/>
  <c r="X108" i="8" s="1"/>
  <c r="K111" i="3"/>
  <c r="K110" i="3"/>
  <c r="J110" i="3"/>
  <c r="DD82" i="11"/>
  <c r="V90" i="8"/>
  <c r="J92" i="3"/>
  <c r="CR82" i="11"/>
  <c r="V80" i="8"/>
  <c r="X80" i="8" s="1"/>
  <c r="Z80" i="8" s="1"/>
  <c r="J82" i="3"/>
  <c r="K82" i="3"/>
  <c r="K83" i="3"/>
  <c r="M83" i="3" s="1"/>
  <c r="CJ82" i="11"/>
  <c r="J99" i="3"/>
  <c r="V97" i="8"/>
  <c r="CW82" i="11"/>
  <c r="CG165" i="1"/>
  <c r="CH165" i="1"/>
  <c r="AC113" i="1"/>
  <c r="AB143" i="1"/>
  <c r="AH143" i="1" s="1"/>
  <c r="AC123" i="1"/>
  <c r="J122" i="67"/>
  <c r="AD137" i="8"/>
  <c r="AF137" i="8" s="1"/>
  <c r="P137" i="8"/>
  <c r="N137" i="8"/>
  <c r="J137" i="8"/>
  <c r="AD131" i="8"/>
  <c r="AF131" i="8" s="1"/>
  <c r="J131" i="8"/>
  <c r="N131" i="8"/>
  <c r="P131" i="8"/>
  <c r="Q92" i="67"/>
  <c r="P93" i="67"/>
  <c r="Y34" i="1"/>
  <c r="CK162" i="1"/>
  <c r="CJ182" i="1"/>
  <c r="CL162" i="1"/>
  <c r="CP162" i="1"/>
  <c r="AK146" i="1"/>
  <c r="T36" i="1"/>
  <c r="Y36" i="1" s="1"/>
  <c r="T83" i="1"/>
  <c r="U53" i="1"/>
  <c r="Z53" i="1" s="1"/>
  <c r="AK172" i="1"/>
  <c r="I136" i="54" l="1"/>
  <c r="F136" i="54"/>
  <c r="E137" i="54"/>
  <c r="FN69" i="11"/>
  <c r="R42" i="67" s="1"/>
  <c r="AE41" i="4"/>
  <c r="AF40" i="4"/>
  <c r="AF79" i="4"/>
  <c r="FO70" i="11"/>
  <c r="AF77" i="4"/>
  <c r="AF55" i="4"/>
  <c r="AF56" i="4" s="1"/>
  <c r="Q42" i="67"/>
  <c r="AG66" i="4"/>
  <c r="CJ40" i="6"/>
  <c r="CK10" i="6"/>
  <c r="T133" i="54"/>
  <c r="J133" i="54"/>
  <c r="EH42" i="11"/>
  <c r="AD44" i="4"/>
  <c r="AE44" i="4"/>
  <c r="AG54" i="4"/>
  <c r="AG42" i="4" s="1"/>
  <c r="R15" i="1"/>
  <c r="AP165" i="1"/>
  <c r="AP166" i="1"/>
  <c r="Z94" i="8"/>
  <c r="Z108" i="8"/>
  <c r="AF136" i="8"/>
  <c r="R16" i="1"/>
  <c r="AF139" i="8"/>
  <c r="Z95" i="8"/>
  <c r="Z102" i="8"/>
  <c r="Z87" i="8"/>
  <c r="M92" i="3"/>
  <c r="Z109" i="8"/>
  <c r="Z89" i="8"/>
  <c r="AH64" i="4"/>
  <c r="FP71" i="11"/>
  <c r="Q93" i="67"/>
  <c r="P94" i="67"/>
  <c r="M106" i="3"/>
  <c r="V106" i="3"/>
  <c r="P82" i="1"/>
  <c r="V82" i="1" s="1"/>
  <c r="Q52" i="1"/>
  <c r="V52" i="1" s="1"/>
  <c r="S91" i="67"/>
  <c r="R126" i="67"/>
  <c r="Z96" i="8"/>
  <c r="Q127" i="67"/>
  <c r="R92" i="67"/>
  <c r="N121" i="67"/>
  <c r="N87" i="67"/>
  <c r="O120" i="67"/>
  <c r="AG77" i="4"/>
  <c r="AG79" i="4"/>
  <c r="CK165" i="1"/>
  <c r="CL165" i="1"/>
  <c r="CP165" i="1"/>
  <c r="Y110" i="1"/>
  <c r="Y120" i="1"/>
  <c r="X140" i="1"/>
  <c r="AD140" i="1" s="1"/>
  <c r="M113" i="3"/>
  <c r="V113" i="3"/>
  <c r="CK182" i="1"/>
  <c r="CO182" i="1"/>
  <c r="M82" i="3"/>
  <c r="K86" i="3"/>
  <c r="M86" i="3" s="1"/>
  <c r="M110" i="3"/>
  <c r="K114" i="3"/>
  <c r="V110" i="3"/>
  <c r="AG161" i="1"/>
  <c r="AM161" i="1" s="1"/>
  <c r="AF181" i="1"/>
  <c r="AK181" i="1" s="1"/>
  <c r="S125" i="67"/>
  <c r="T90" i="67"/>
  <c r="FM74" i="11"/>
  <c r="AD21" i="4"/>
  <c r="AG146" i="1"/>
  <c r="U56" i="1"/>
  <c r="Z56" i="1" s="1"/>
  <c r="T86" i="1"/>
  <c r="Z86" i="1" s="1"/>
  <c r="M97" i="3"/>
  <c r="V97" i="3"/>
  <c r="M112" i="3"/>
  <c r="V112" i="3"/>
  <c r="T85" i="1"/>
  <c r="Z85" i="1" s="1"/>
  <c r="U55" i="1"/>
  <c r="Z55" i="1" s="1"/>
  <c r="V59" i="67"/>
  <c r="Q50" i="1"/>
  <c r="V50" i="1" s="1"/>
  <c r="P35" i="1"/>
  <c r="P80" i="1"/>
  <c r="V80" i="1" s="1"/>
  <c r="U84" i="1"/>
  <c r="T114" i="1"/>
  <c r="Y122" i="1"/>
  <c r="Y112" i="1"/>
  <c r="X142" i="1"/>
  <c r="AD142" i="1" s="1"/>
  <c r="AO182" i="1"/>
  <c r="D6" i="1"/>
  <c r="EE62" i="11" s="1"/>
  <c r="M13" i="1"/>
  <c r="M14" i="1"/>
  <c r="M12" i="1"/>
  <c r="AL163" i="1"/>
  <c r="K122" i="67"/>
  <c r="K88" i="67"/>
  <c r="L121" i="67"/>
  <c r="AG145" i="1"/>
  <c r="CK183" i="1"/>
  <c r="CO183" i="1"/>
  <c r="Q51" i="1"/>
  <c r="P81" i="1"/>
  <c r="V81" i="1" s="1"/>
  <c r="Y84" i="67"/>
  <c r="Y119" i="67" s="1"/>
  <c r="X119" i="67"/>
  <c r="FN74" i="11"/>
  <c r="AE21" i="4"/>
  <c r="U80" i="1"/>
  <c r="T110" i="1"/>
  <c r="V88" i="67"/>
  <c r="U123" i="67"/>
  <c r="AC126" i="1"/>
  <c r="AC125" i="1"/>
  <c r="AI61" i="4"/>
  <c r="AI58" i="4"/>
  <c r="AI59" i="4" s="1"/>
  <c r="L34" i="1"/>
  <c r="M44" i="1"/>
  <c r="R44" i="1" s="1"/>
  <c r="Z80" i="1"/>
  <c r="J140" i="8"/>
  <c r="Y111" i="1"/>
  <c r="Y121" i="1"/>
  <c r="X141" i="1"/>
  <c r="T124" i="67"/>
  <c r="U89" i="67"/>
  <c r="X116" i="1"/>
  <c r="Y116" i="1" s="1"/>
  <c r="Y86" i="1"/>
  <c r="C119" i="67"/>
  <c r="D118" i="67"/>
  <c r="C85" i="67"/>
  <c r="D262" i="54"/>
  <c r="C263" i="54"/>
  <c r="K93" i="3"/>
  <c r="M89" i="3"/>
  <c r="AI72" i="4"/>
  <c r="F259" i="54"/>
  <c r="E262" i="54"/>
  <c r="J133" i="8"/>
  <c r="CK180" i="1"/>
  <c r="CO180" i="1"/>
  <c r="T111" i="1"/>
  <c r="U81" i="1"/>
  <c r="V112" i="8"/>
  <c r="X111" i="8"/>
  <c r="M41" i="1"/>
  <c r="L31" i="1"/>
  <c r="Q31" i="1" s="1"/>
  <c r="D93" i="67"/>
  <c r="F121" i="67"/>
  <c r="F87" i="67"/>
  <c r="G120" i="67"/>
  <c r="FN82" i="11"/>
  <c r="Z110" i="8"/>
  <c r="Z88" i="8"/>
  <c r="AG163" i="1"/>
  <c r="AM163" i="1" s="1"/>
  <c r="AF183" i="1"/>
  <c r="AK183" i="1" s="1"/>
  <c r="AF166" i="1"/>
  <c r="AB161" i="1"/>
  <c r="AB171" i="1"/>
  <c r="AG171" i="1" s="1"/>
  <c r="AC141" i="1"/>
  <c r="E124" i="67"/>
  <c r="E90" i="67"/>
  <c r="Z103" i="8"/>
  <c r="AB144" i="1"/>
  <c r="AB170" i="1"/>
  <c r="AB145" i="1"/>
  <c r="AH145" i="1" s="1"/>
  <c r="AC140" i="1"/>
  <c r="AB160" i="1"/>
  <c r="AH160" i="1" s="1"/>
  <c r="L90" i="67"/>
  <c r="U32" i="1"/>
  <c r="B111" i="54"/>
  <c r="I118" i="3"/>
  <c r="I127" i="3"/>
  <c r="I126" i="3"/>
  <c r="I124" i="3"/>
  <c r="I119" i="3"/>
  <c r="I120" i="3"/>
  <c r="I117" i="3"/>
  <c r="I125" i="3"/>
  <c r="M91" i="3"/>
  <c r="AB146" i="1"/>
  <c r="AH146" i="1" s="1"/>
  <c r="AC143" i="1"/>
  <c r="AB173" i="1"/>
  <c r="AG173" i="1" s="1"/>
  <c r="AB163" i="1"/>
  <c r="Y85" i="1"/>
  <c r="X115" i="1"/>
  <c r="Y115" i="1" s="1"/>
  <c r="J90" i="67"/>
  <c r="K107" i="3"/>
  <c r="M103" i="3"/>
  <c r="V103" i="3"/>
  <c r="G90" i="67"/>
  <c r="H123" i="67"/>
  <c r="Z51" i="1"/>
  <c r="I124" i="67"/>
  <c r="I90" i="67"/>
  <c r="J124" i="67" s="1"/>
  <c r="X59" i="67"/>
  <c r="X56" i="67"/>
  <c r="M123" i="67"/>
  <c r="M89" i="67"/>
  <c r="V84" i="8"/>
  <c r="X83" i="8"/>
  <c r="Z83" i="8" s="1"/>
  <c r="AL165" i="1"/>
  <c r="AG144" i="1"/>
  <c r="AF164" i="1"/>
  <c r="AF174" i="1"/>
  <c r="AK174" i="1" s="1"/>
  <c r="CK184" i="1"/>
  <c r="CO184" i="1"/>
  <c r="W56" i="67"/>
  <c r="W57" i="67" s="1"/>
  <c r="FE41" i="11"/>
  <c r="FE42" i="11"/>
  <c r="FE68" i="11"/>
  <c r="FF7" i="11"/>
  <c r="AF42" i="4"/>
  <c r="AF43" i="4" s="1"/>
  <c r="Q14" i="1"/>
  <c r="U83" i="1"/>
  <c r="T113" i="1"/>
  <c r="M111" i="3"/>
  <c r="V111" i="3"/>
  <c r="M96" i="3"/>
  <c r="K100" i="3"/>
  <c r="V96" i="3"/>
  <c r="W121" i="67"/>
  <c r="X86" i="67"/>
  <c r="M104" i="3"/>
  <c r="V104" i="3"/>
  <c r="Q45" i="1"/>
  <c r="AO181" i="1"/>
  <c r="Q46" i="1"/>
  <c r="V105" i="8"/>
  <c r="X104" i="8"/>
  <c r="AO174" i="1"/>
  <c r="AK170" i="1"/>
  <c r="L15" i="1"/>
  <c r="Q15" i="1" s="1"/>
  <c r="L30" i="1"/>
  <c r="Q30" i="1" s="1"/>
  <c r="M40" i="1"/>
  <c r="R40" i="1" s="1"/>
  <c r="V41" i="1"/>
  <c r="AL160" i="1"/>
  <c r="AH140" i="1"/>
  <c r="X120" i="67"/>
  <c r="Y85" i="67"/>
  <c r="Z83" i="1"/>
  <c r="Q54" i="1"/>
  <c r="V54" i="1" s="1"/>
  <c r="P84" i="1"/>
  <c r="V98" i="8"/>
  <c r="X97" i="8"/>
  <c r="T112" i="1"/>
  <c r="U82" i="1"/>
  <c r="V91" i="8"/>
  <c r="X90" i="8"/>
  <c r="AF138" i="8"/>
  <c r="Z46" i="1"/>
  <c r="AF123" i="8"/>
  <c r="AF130" i="8"/>
  <c r="M98" i="3"/>
  <c r="V98" i="3"/>
  <c r="W87" i="67"/>
  <c r="V122" i="67"/>
  <c r="O91" i="67"/>
  <c r="P124" i="67"/>
  <c r="Y124" i="1"/>
  <c r="Y114" i="1"/>
  <c r="L32" i="1"/>
  <c r="M42" i="1"/>
  <c r="R42" i="1" s="1"/>
  <c r="AL161" i="1"/>
  <c r="Z52" i="1"/>
  <c r="M105" i="3"/>
  <c r="V105" i="3"/>
  <c r="Q53" i="1"/>
  <c r="P83" i="1"/>
  <c r="P36" i="1"/>
  <c r="U33" i="1"/>
  <c r="AH141" i="1"/>
  <c r="AL162" i="1"/>
  <c r="Z101" i="8"/>
  <c r="CK181" i="1"/>
  <c r="CO181" i="1"/>
  <c r="H92" i="67"/>
  <c r="Z50" i="1"/>
  <c r="M90" i="3"/>
  <c r="AK164" i="1"/>
  <c r="AJ184" i="1"/>
  <c r="AP164" i="1"/>
  <c r="AD56" i="1"/>
  <c r="AC142" i="1"/>
  <c r="AB162" i="1"/>
  <c r="AH162" i="1" s="1"/>
  <c r="AB172" i="1"/>
  <c r="AG172" i="1" s="1"/>
  <c r="J126" i="8"/>
  <c r="FO71" i="11"/>
  <c r="AG64" i="4"/>
  <c r="AG67" i="4" s="1"/>
  <c r="AF65" i="4"/>
  <c r="AF67" i="4"/>
  <c r="AF68" i="4" s="1"/>
  <c r="L16" i="1"/>
  <c r="N16" i="1" s="1"/>
  <c r="M43" i="1"/>
  <c r="L33" i="1"/>
  <c r="Q33" i="1" s="1"/>
  <c r="AL166" i="1"/>
  <c r="AF165" i="1"/>
  <c r="AG160" i="1"/>
  <c r="AM160" i="1" s="1"/>
  <c r="AF180" i="1"/>
  <c r="CK166" i="1"/>
  <c r="CL166" i="1"/>
  <c r="CP166" i="1"/>
  <c r="Y113" i="1"/>
  <c r="Y123" i="1"/>
  <c r="X143" i="1"/>
  <c r="M99" i="3"/>
  <c r="V99" i="3"/>
  <c r="AG162" i="1"/>
  <c r="AM162" i="1" s="1"/>
  <c r="AF182" i="1"/>
  <c r="EF41" i="11"/>
  <c r="I160" i="3" l="1"/>
  <c r="J136" i="54"/>
  <c r="T136" i="54"/>
  <c r="F137" i="54"/>
  <c r="E138" i="54"/>
  <c r="I137" i="54"/>
  <c r="X113" i="3"/>
  <c r="CK40" i="6"/>
  <c r="CJ46" i="6"/>
  <c r="EH40" i="11"/>
  <c r="EH41" i="11"/>
  <c r="EI42" i="11"/>
  <c r="FP70" i="11"/>
  <c r="AH52" i="4"/>
  <c r="AG55" i="4"/>
  <c r="AG56" i="4" s="1"/>
  <c r="AG53" i="4"/>
  <c r="EE41" i="11"/>
  <c r="AG68" i="4"/>
  <c r="X112" i="3"/>
  <c r="FS41" i="11"/>
  <c r="M93" i="3"/>
  <c r="X110" i="3"/>
  <c r="Z97" i="8"/>
  <c r="X105" i="3"/>
  <c r="Z90" i="8"/>
  <c r="X104" i="3"/>
  <c r="X103" i="3"/>
  <c r="Z111" i="8"/>
  <c r="AF20" i="4"/>
  <c r="AF44" i="4"/>
  <c r="P113" i="1"/>
  <c r="Q83" i="1"/>
  <c r="B117" i="54"/>
  <c r="M54" i="1"/>
  <c r="R54" i="1" s="1"/>
  <c r="L84" i="1"/>
  <c r="I41" i="1"/>
  <c r="N41" i="1" s="1"/>
  <c r="H31" i="1"/>
  <c r="M31" i="1" s="1"/>
  <c r="AL164" i="1"/>
  <c r="W122" i="67"/>
  <c r="X87" i="67"/>
  <c r="I132" i="3"/>
  <c r="F122" i="67"/>
  <c r="F88" i="67"/>
  <c r="G121" i="67"/>
  <c r="L91" i="67"/>
  <c r="U120" i="1"/>
  <c r="U110" i="1"/>
  <c r="T140" i="1"/>
  <c r="Z140" i="1" s="1"/>
  <c r="X163" i="1"/>
  <c r="Y143" i="1"/>
  <c r="X173" i="1"/>
  <c r="AE37" i="11" s="1"/>
  <c r="X146" i="1"/>
  <c r="AD146" i="1" s="1"/>
  <c r="H93" i="67"/>
  <c r="AD143" i="1"/>
  <c r="P86" i="1"/>
  <c r="V86" i="1" s="1"/>
  <c r="Q56" i="1"/>
  <c r="O92" i="67"/>
  <c r="P125" i="67"/>
  <c r="U122" i="1"/>
  <c r="T142" i="1"/>
  <c r="Z142" i="1" s="1"/>
  <c r="U112" i="1"/>
  <c r="Y120" i="67"/>
  <c r="Y58" i="67"/>
  <c r="M50" i="1"/>
  <c r="R50" i="1" s="1"/>
  <c r="L80" i="1"/>
  <c r="L35" i="1"/>
  <c r="Z104" i="8"/>
  <c r="V83" i="1"/>
  <c r="X57" i="67"/>
  <c r="AC146" i="1"/>
  <c r="K120" i="3"/>
  <c r="J119" i="3"/>
  <c r="V117" i="8"/>
  <c r="X117" i="8" s="1"/>
  <c r="Z117" i="8" s="1"/>
  <c r="DK82" i="11"/>
  <c r="AH54" i="4"/>
  <c r="AC145" i="1"/>
  <c r="AC161" i="1"/>
  <c r="AB181" i="1"/>
  <c r="AH38" i="11" s="1"/>
  <c r="M51" i="1"/>
  <c r="R51" i="1" s="1"/>
  <c r="L81" i="1"/>
  <c r="R81" i="1" s="1"/>
  <c r="AI70" i="4"/>
  <c r="AI71" i="4" s="1"/>
  <c r="AI73" i="4"/>
  <c r="X171" i="1"/>
  <c r="X161" i="1"/>
  <c r="AD161" i="1" s="1"/>
  <c r="Y141" i="1"/>
  <c r="V46" i="1"/>
  <c r="Q81" i="1"/>
  <c r="P111" i="1"/>
  <c r="K123" i="67"/>
  <c r="K89" i="67"/>
  <c r="L122" i="67"/>
  <c r="I44" i="1"/>
  <c r="H34" i="1"/>
  <c r="M34" i="1" s="1"/>
  <c r="X162" i="1"/>
  <c r="AD162" i="1" s="1"/>
  <c r="X172" i="1"/>
  <c r="AC172" i="1" s="1"/>
  <c r="Y142" i="1"/>
  <c r="Q80" i="1"/>
  <c r="P110" i="1"/>
  <c r="AK182" i="1"/>
  <c r="S92" i="67"/>
  <c r="R127" i="67"/>
  <c r="AO184" i="1"/>
  <c r="Q94" i="67"/>
  <c r="P95" i="67"/>
  <c r="L82" i="1"/>
  <c r="M52" i="1"/>
  <c r="W59" i="67"/>
  <c r="M107" i="3"/>
  <c r="V107" i="3"/>
  <c r="AB164" i="1"/>
  <c r="AH164" i="1" s="1"/>
  <c r="AB174" i="1"/>
  <c r="AC144" i="1"/>
  <c r="I40" i="1"/>
  <c r="H30" i="1"/>
  <c r="M30" i="1" s="1"/>
  <c r="H15" i="1"/>
  <c r="J15" i="1" s="1"/>
  <c r="D263" i="54"/>
  <c r="C264" i="54"/>
  <c r="Q128" i="67"/>
  <c r="R93" i="67"/>
  <c r="M46" i="1"/>
  <c r="R46" i="1" s="1"/>
  <c r="AC162" i="1"/>
  <c r="AB182" i="1"/>
  <c r="AG182" i="1" s="1"/>
  <c r="Q34" i="1"/>
  <c r="Q16" i="1"/>
  <c r="Y86" i="67"/>
  <c r="Y121" i="67" s="1"/>
  <c r="X121" i="67"/>
  <c r="X111" i="3"/>
  <c r="AB183" i="1"/>
  <c r="AG183" i="1" s="1"/>
  <c r="AB166" i="1"/>
  <c r="AH166" i="1" s="1"/>
  <c r="AC163" i="1"/>
  <c r="V123" i="8"/>
  <c r="X123" i="8" s="1"/>
  <c r="J125" i="3"/>
  <c r="K126" i="3"/>
  <c r="DO82" i="11"/>
  <c r="AH66" i="4"/>
  <c r="AH163" i="1"/>
  <c r="AK180" i="1"/>
  <c r="H32" i="1"/>
  <c r="M32" i="1" s="1"/>
  <c r="I42" i="1"/>
  <c r="R41" i="1"/>
  <c r="Q32" i="1"/>
  <c r="M45" i="1"/>
  <c r="R45" i="1" s="1"/>
  <c r="AG166" i="1"/>
  <c r="AM166" i="1" s="1"/>
  <c r="V123" i="67"/>
  <c r="W88" i="67"/>
  <c r="M53" i="1"/>
  <c r="R53" i="1" s="1"/>
  <c r="L83" i="1"/>
  <c r="R83" i="1" s="1"/>
  <c r="L36" i="1"/>
  <c r="I125" i="67"/>
  <c r="I91" i="67"/>
  <c r="AG170" i="1"/>
  <c r="Q55" i="1"/>
  <c r="V55" i="1" s="1"/>
  <c r="P85" i="1"/>
  <c r="V85" i="1" s="1"/>
  <c r="S126" i="67"/>
  <c r="T91" i="67"/>
  <c r="AG40" i="4"/>
  <c r="AG43" i="4" s="1"/>
  <c r="FO69" i="11"/>
  <c r="K127" i="3"/>
  <c r="J126" i="3"/>
  <c r="V124" i="8"/>
  <c r="X124" i="8" s="1"/>
  <c r="DP82" i="11"/>
  <c r="M114" i="3"/>
  <c r="V114" i="3"/>
  <c r="R84" i="1"/>
  <c r="Q84" i="1"/>
  <c r="P114" i="1"/>
  <c r="FG7" i="11"/>
  <c r="FF42" i="11"/>
  <c r="FF41" i="11"/>
  <c r="FF68" i="11"/>
  <c r="I131" i="3"/>
  <c r="D94" i="67"/>
  <c r="C120" i="67"/>
  <c r="D119" i="67"/>
  <c r="C27" i="67"/>
  <c r="C86" i="67"/>
  <c r="U124" i="67"/>
  <c r="V89" i="67"/>
  <c r="AH40" i="4"/>
  <c r="FP69" i="11"/>
  <c r="I43" i="1"/>
  <c r="N43" i="1" s="1"/>
  <c r="H16" i="1"/>
  <c r="M16" i="1" s="1"/>
  <c r="H33" i="1"/>
  <c r="U124" i="1"/>
  <c r="U114" i="1"/>
  <c r="U36" i="1"/>
  <c r="T125" i="67"/>
  <c r="U90" i="67"/>
  <c r="X144" i="1"/>
  <c r="AD144" i="1" s="1"/>
  <c r="X170" i="1"/>
  <c r="AC170" i="1" s="1"/>
  <c r="X160" i="1"/>
  <c r="AD160" i="1" s="1"/>
  <c r="Y140" i="1"/>
  <c r="X145" i="1"/>
  <c r="AD145" i="1" s="1"/>
  <c r="AG65" i="4"/>
  <c r="AG165" i="1"/>
  <c r="AM165" i="1" s="1"/>
  <c r="M10" i="1"/>
  <c r="U123" i="1"/>
  <c r="U113" i="1"/>
  <c r="T143" i="1"/>
  <c r="Z143" i="1" s="1"/>
  <c r="AF184" i="1"/>
  <c r="AK184" i="1" s="1"/>
  <c r="AG164" i="1"/>
  <c r="AM164" i="1" s="1"/>
  <c r="M124" i="67"/>
  <c r="M90" i="67"/>
  <c r="G91" i="67"/>
  <c r="H124" i="67"/>
  <c r="K117" i="3"/>
  <c r="K118" i="3"/>
  <c r="V115" i="8"/>
  <c r="X115" i="8" s="1"/>
  <c r="Z115" i="8" s="1"/>
  <c r="J117" i="3"/>
  <c r="DI82" i="11"/>
  <c r="K119" i="3"/>
  <c r="J118" i="3"/>
  <c r="V116" i="8"/>
  <c r="X116" i="8" s="1"/>
  <c r="Z116" i="8" s="1"/>
  <c r="DJ82" i="11"/>
  <c r="AB165" i="1"/>
  <c r="AC160" i="1"/>
  <c r="AB180" i="1"/>
  <c r="AG180" i="1" s="1"/>
  <c r="E125" i="67"/>
  <c r="E91" i="67"/>
  <c r="AD141" i="1"/>
  <c r="F262" i="54"/>
  <c r="E263" i="54"/>
  <c r="V45" i="1"/>
  <c r="EC19" i="11"/>
  <c r="DO17" i="11"/>
  <c r="DJ17" i="11"/>
  <c r="DV17" i="11"/>
  <c r="AL132" i="8"/>
  <c r="F125" i="8"/>
  <c r="F108" i="8"/>
  <c r="T104" i="8" s="1"/>
  <c r="F103" i="8"/>
  <c r="F98" i="8"/>
  <c r="R98" i="8" s="1"/>
  <c r="DN69" i="11" s="1"/>
  <c r="F76" i="8"/>
  <c r="F66" i="8"/>
  <c r="F55" i="8"/>
  <c r="AL49" i="8"/>
  <c r="F42" i="8"/>
  <c r="R42" i="8" s="1"/>
  <c r="F31" i="8"/>
  <c r="DQ18" i="11"/>
  <c r="DN17" i="11"/>
  <c r="DZ17" i="11"/>
  <c r="DX17" i="11"/>
  <c r="F133" i="8"/>
  <c r="AM131" i="8"/>
  <c r="F124" i="8"/>
  <c r="F102" i="8"/>
  <c r="F97" i="8"/>
  <c r="F84" i="8"/>
  <c r="R84" i="8" s="1"/>
  <c r="DK69" i="11" s="1"/>
  <c r="F75" i="8"/>
  <c r="F63" i="8"/>
  <c r="R63" i="8" s="1"/>
  <c r="F54" i="8"/>
  <c r="AL48" i="8"/>
  <c r="F41" i="8"/>
  <c r="T64" i="5"/>
  <c r="FC40" i="11" s="1"/>
  <c r="U53" i="5"/>
  <c r="FD33" i="11" s="1"/>
  <c r="X45" i="5"/>
  <c r="X40" i="5"/>
  <c r="FG26" i="11" s="1"/>
  <c r="X37" i="5"/>
  <c r="T17" i="5"/>
  <c r="DK18" i="11"/>
  <c r="F137" i="8"/>
  <c r="AM129" i="8"/>
  <c r="F126" i="8"/>
  <c r="F116" i="8"/>
  <c r="F110" i="8"/>
  <c r="AM112" i="8"/>
  <c r="F95" i="8"/>
  <c r="F91" i="8"/>
  <c r="R91" i="8" s="1"/>
  <c r="DL69" i="11" s="1"/>
  <c r="AL91" i="8"/>
  <c r="F48" i="8"/>
  <c r="F40" i="8"/>
  <c r="F33" i="8"/>
  <c r="X53" i="5"/>
  <c r="FG33" i="11" s="1"/>
  <c r="X48" i="5"/>
  <c r="U45" i="5"/>
  <c r="U40" i="5"/>
  <c r="FD26" i="11" s="1"/>
  <c r="T37" i="5"/>
  <c r="DK62" i="11"/>
  <c r="AM69" i="8"/>
  <c r="F26" i="8"/>
  <c r="Y45" i="5"/>
  <c r="Y21" i="5"/>
  <c r="R58" i="3"/>
  <c r="R57" i="3"/>
  <c r="E89" i="3"/>
  <c r="E42" i="3"/>
  <c r="DP18" i="11"/>
  <c r="DJ18" i="11"/>
  <c r="DS17" i="11"/>
  <c r="F132" i="8"/>
  <c r="AL129" i="8"/>
  <c r="F123" i="8"/>
  <c r="F115" i="8"/>
  <c r="T111" i="8" s="1"/>
  <c r="F109" i="8"/>
  <c r="F94" i="8"/>
  <c r="F90" i="8"/>
  <c r="F70" i="8"/>
  <c r="R70" i="8" s="1"/>
  <c r="DI69" i="11" s="1"/>
  <c r="F47" i="8"/>
  <c r="F39" i="8"/>
  <c r="F32" i="8"/>
  <c r="W48" i="5"/>
  <c r="X21" i="5"/>
  <c r="T21" i="5"/>
  <c r="V11" i="5"/>
  <c r="DO18" i="11"/>
  <c r="DI18" i="11"/>
  <c r="DP17" i="11"/>
  <c r="F81" i="8"/>
  <c r="F67" i="8"/>
  <c r="F52" i="8"/>
  <c r="F45" i="8"/>
  <c r="U64" i="5"/>
  <c r="FD40" i="11" s="1"/>
  <c r="V48" i="5"/>
  <c r="W40" i="5"/>
  <c r="FF26" i="11" s="1"/>
  <c r="U37" i="5"/>
  <c r="W21" i="5"/>
  <c r="X17" i="5"/>
  <c r="T11" i="5"/>
  <c r="E135" i="3"/>
  <c r="G135" i="3" s="1"/>
  <c r="E118" i="3"/>
  <c r="E70" i="3"/>
  <c r="Z64" i="5"/>
  <c r="Z37" i="5"/>
  <c r="Y53" i="5"/>
  <c r="FH33" i="11" s="1"/>
  <c r="R56" i="3"/>
  <c r="E76" i="3"/>
  <c r="E78" i="3"/>
  <c r="E63" i="3"/>
  <c r="E49" i="3"/>
  <c r="E51" i="3"/>
  <c r="R92" i="3"/>
  <c r="R89" i="3"/>
  <c r="DU37" i="11"/>
  <c r="U26" i="4"/>
  <c r="U9" i="5" s="1"/>
  <c r="FD62" i="11" s="1"/>
  <c r="R44" i="3"/>
  <c r="E99" i="3"/>
  <c r="F131" i="8"/>
  <c r="AM132" i="8"/>
  <c r="F119" i="8"/>
  <c r="F80" i="8"/>
  <c r="F62" i="8"/>
  <c r="U48" i="5"/>
  <c r="W17" i="5"/>
  <c r="U7" i="5"/>
  <c r="E72" i="3"/>
  <c r="BZ10" i="11"/>
  <c r="Z11" i="5"/>
  <c r="Y17" i="5"/>
  <c r="E57" i="3"/>
  <c r="CF10" i="11"/>
  <c r="E61" i="3"/>
  <c r="E92" i="3"/>
  <c r="DL18" i="11"/>
  <c r="F138" i="8"/>
  <c r="AL131" i="8"/>
  <c r="F118" i="8"/>
  <c r="F89" i="8"/>
  <c r="F77" i="8"/>
  <c r="R77" i="8" s="1"/>
  <c r="DJ69" i="11" s="1"/>
  <c r="W53" i="5"/>
  <c r="FF33" i="11" s="1"/>
  <c r="T48" i="5"/>
  <c r="V40" i="5"/>
  <c r="FE26" i="11" s="1"/>
  <c r="V21" i="5"/>
  <c r="V17" i="5"/>
  <c r="X11" i="5"/>
  <c r="E119" i="3"/>
  <c r="CB10" i="11"/>
  <c r="Y11" i="5"/>
  <c r="R79" i="3"/>
  <c r="E82" i="3"/>
  <c r="R62" i="3"/>
  <c r="R47" i="3"/>
  <c r="E90" i="3"/>
  <c r="AL130" i="8"/>
  <c r="F87" i="8"/>
  <c r="F73" i="8"/>
  <c r="AL46" i="8"/>
  <c r="F46" i="8"/>
  <c r="V64" i="5"/>
  <c r="FE40" i="11" s="1"/>
  <c r="V45" i="5"/>
  <c r="AM138" i="8"/>
  <c r="Y26" i="4"/>
  <c r="E69" i="3"/>
  <c r="Z21" i="5"/>
  <c r="E65" i="3"/>
  <c r="E107" i="3"/>
  <c r="E36" i="3"/>
  <c r="E16" i="3"/>
  <c r="E15" i="3"/>
  <c r="DJ46" i="11"/>
  <c r="BX42" i="11"/>
  <c r="DN33" i="11"/>
  <c r="DK29" i="11"/>
  <c r="DZ26" i="11"/>
  <c r="DK26" i="11"/>
  <c r="DX19" i="11"/>
  <c r="BU19" i="11"/>
  <c r="CB14" i="11"/>
  <c r="DU10" i="11"/>
  <c r="DS46" i="11"/>
  <c r="DU41" i="11"/>
  <c r="CB42" i="11"/>
  <c r="EF33" i="11"/>
  <c r="DY29" i="11"/>
  <c r="ED26" i="11"/>
  <c r="DT26" i="11"/>
  <c r="BV26" i="11"/>
  <c r="DL19" i="11"/>
  <c r="CA14" i="11"/>
  <c r="DO11" i="11"/>
  <c r="BX46" i="11"/>
  <c r="DO40" i="11"/>
  <c r="BV41" i="11"/>
  <c r="DK33" i="11"/>
  <c r="BZ29" i="11"/>
  <c r="DI25" i="11"/>
  <c r="DP19" i="11"/>
  <c r="DI14" i="11"/>
  <c r="DS10" i="11"/>
  <c r="DI40" i="11"/>
  <c r="BA40" i="11"/>
  <c r="BV33" i="11"/>
  <c r="EF26" i="11"/>
  <c r="DV26" i="11"/>
  <c r="CC25" i="11"/>
  <c r="DQ14" i="11"/>
  <c r="DV11" i="11"/>
  <c r="AV62" i="11"/>
  <c r="AV11" i="11"/>
  <c r="CE26" i="11"/>
  <c r="AY41" i="11"/>
  <c r="BS42" i="11"/>
  <c r="CE42" i="11"/>
  <c r="CE14" i="11"/>
  <c r="BP26" i="11"/>
  <c r="CE11" i="11"/>
  <c r="CF25" i="11"/>
  <c r="EA10" i="11"/>
  <c r="CL29" i="11"/>
  <c r="CK11" i="11"/>
  <c r="CK40" i="11"/>
  <c r="CM40" i="11"/>
  <c r="CL46" i="11"/>
  <c r="CM29" i="11"/>
  <c r="CJ46" i="11"/>
  <c r="EA14" i="11"/>
  <c r="R65" i="3"/>
  <c r="C16" i="3"/>
  <c r="T7" i="5"/>
  <c r="BA62" i="11"/>
  <c r="BU10" i="11"/>
  <c r="E47" i="3"/>
  <c r="E54" i="3"/>
  <c r="BQ62" i="11"/>
  <c r="C61" i="3"/>
  <c r="C62" i="3"/>
  <c r="E142" i="3"/>
  <c r="G142" i="3" s="1"/>
  <c r="DL62" i="11"/>
  <c r="BX62" i="11"/>
  <c r="EA17" i="11"/>
  <c r="C12" i="3"/>
  <c r="C82" i="3"/>
  <c r="C33" i="3"/>
  <c r="AL105" i="8"/>
  <c r="AL45" i="8"/>
  <c r="T45" i="5"/>
  <c r="U11" i="5"/>
  <c r="Z45" i="5"/>
  <c r="Y48" i="5"/>
  <c r="E75" i="3"/>
  <c r="R51" i="3"/>
  <c r="C93" i="3"/>
  <c r="E40" i="3"/>
  <c r="E43" i="3"/>
  <c r="E97" i="3"/>
  <c r="E104" i="3"/>
  <c r="E114" i="3"/>
  <c r="R12" i="3"/>
  <c r="T12" i="3" s="1"/>
  <c r="AI12" i="3" s="1"/>
  <c r="CA46" i="11"/>
  <c r="DQ41" i="11"/>
  <c r="BX41" i="11"/>
  <c r="DI33" i="11"/>
  <c r="CB29" i="11"/>
  <c r="DK25" i="11"/>
  <c r="BA19" i="11"/>
  <c r="BW14" i="11"/>
  <c r="DP11" i="11"/>
  <c r="DU62" i="11"/>
  <c r="DN46" i="11"/>
  <c r="DU40" i="11"/>
  <c r="CB41" i="11"/>
  <c r="EA33" i="11"/>
  <c r="DT25" i="11"/>
  <c r="BV25" i="11"/>
  <c r="CC19" i="11"/>
  <c r="BV14" i="11"/>
  <c r="DO10" i="11"/>
  <c r="BV10" i="11"/>
  <c r="FP41" i="11"/>
  <c r="DJ42" i="11"/>
  <c r="BV40" i="11"/>
  <c r="CB33" i="11"/>
  <c r="BU29" i="11"/>
  <c r="DX25" i="11"/>
  <c r="BZ26" i="11"/>
  <c r="DK19" i="11"/>
  <c r="BZ14" i="11"/>
  <c r="DN11" i="11"/>
  <c r="DS62" i="11"/>
  <c r="DS41" i="11"/>
  <c r="BZ42" i="11"/>
  <c r="DV37" i="11"/>
  <c r="BB33" i="11"/>
  <c r="DV25" i="11"/>
  <c r="BX26" i="11"/>
  <c r="DJ19" i="11"/>
  <c r="DL14" i="11"/>
  <c r="CC11" i="11"/>
  <c r="CG11" i="11"/>
  <c r="CE17" i="11"/>
  <c r="AW33" i="11"/>
  <c r="AV40" i="11"/>
  <c r="CG41" i="11"/>
  <c r="CG14" i="11"/>
  <c r="AQ41" i="11"/>
  <c r="BQ46" i="11"/>
  <c r="BQ26" i="11"/>
  <c r="CH29" i="11"/>
  <c r="CF40" i="11"/>
  <c r="CM17" i="11"/>
  <c r="CJ41" i="11"/>
  <c r="CL11" i="11"/>
  <c r="CK41" i="11"/>
  <c r="CK42" i="11"/>
  <c r="CJ29" i="11"/>
  <c r="CL41" i="11"/>
  <c r="CJ14" i="11"/>
  <c r="AL42" i="8"/>
  <c r="AL112" i="8"/>
  <c r="AL77" i="8"/>
  <c r="DJ62" i="11"/>
  <c r="AW62" i="11"/>
  <c r="R83" i="3"/>
  <c r="CM62" i="11"/>
  <c r="R71" i="3"/>
  <c r="R85" i="3"/>
  <c r="CM10" i="11"/>
  <c r="C85" i="3"/>
  <c r="AM67" i="8"/>
  <c r="C75" i="3"/>
  <c r="C77" i="3"/>
  <c r="C91" i="3"/>
  <c r="AL126" i="8"/>
  <c r="AL138" i="8"/>
  <c r="F130" i="8"/>
  <c r="V53" i="5"/>
  <c r="FE33" i="11" s="1"/>
  <c r="DQ46" i="11"/>
  <c r="DK46" i="11"/>
  <c r="EF62" i="11"/>
  <c r="DK10" i="11"/>
  <c r="CC62" i="11"/>
  <c r="F28" i="8"/>
  <c r="R28" i="8" s="1"/>
  <c r="Y37" i="5"/>
  <c r="V26" i="4"/>
  <c r="V9" i="5" s="1"/>
  <c r="FE62" i="11" s="1"/>
  <c r="R69" i="3"/>
  <c r="W7" i="5"/>
  <c r="E58" i="3"/>
  <c r="R64" i="3"/>
  <c r="AM125" i="8"/>
  <c r="R93" i="3"/>
  <c r="R37" i="3"/>
  <c r="I12" i="1"/>
  <c r="BV46" i="11"/>
  <c r="DQ40" i="11"/>
  <c r="BX40" i="11"/>
  <c r="BZ33" i="11"/>
  <c r="BW29" i="11"/>
  <c r="DZ25" i="11"/>
  <c r="CB26" i="11"/>
  <c r="DS19" i="11"/>
  <c r="BC14" i="11"/>
  <c r="DP62" i="11"/>
  <c r="DI46" i="11"/>
  <c r="DP42" i="11"/>
  <c r="CB40" i="11"/>
  <c r="DV33" i="11"/>
  <c r="DT29" i="11"/>
  <c r="ED25" i="11"/>
  <c r="DO26" i="11"/>
  <c r="BB26" i="11"/>
  <c r="BX19" i="11"/>
  <c r="BB14" i="11"/>
  <c r="DJ11" i="11"/>
  <c r="BB11" i="11"/>
  <c r="DY41" i="11"/>
  <c r="DJ41" i="11"/>
  <c r="BB41" i="11"/>
  <c r="BW33" i="11"/>
  <c r="BA29" i="11"/>
  <c r="BZ25" i="11"/>
  <c r="CB19" i="11"/>
  <c r="BU14" i="11"/>
  <c r="DN10" i="11"/>
  <c r="EE46" i="11"/>
  <c r="DS40" i="11"/>
  <c r="BZ41" i="11"/>
  <c r="ED33" i="11"/>
  <c r="DV29" i="11"/>
  <c r="EA26" i="11"/>
  <c r="BX25" i="11"/>
  <c r="CC14" i="11"/>
  <c r="CF17" i="11"/>
  <c r="AW40" i="11"/>
  <c r="BP19" i="11"/>
  <c r="CG42" i="11"/>
  <c r="CF26" i="11"/>
  <c r="CE41" i="11"/>
  <c r="AQ26" i="11"/>
  <c r="BR29" i="11"/>
  <c r="BQ14" i="11"/>
  <c r="CF62" i="11"/>
  <c r="CE62" i="11"/>
  <c r="CF29" i="11"/>
  <c r="CJ17" i="11"/>
  <c r="CL18" i="11"/>
  <c r="CM18" i="11"/>
  <c r="CL40" i="11"/>
  <c r="CK17" i="11"/>
  <c r="CL33" i="11"/>
  <c r="CJ18" i="11"/>
  <c r="F139" i="8"/>
  <c r="C100" i="3"/>
  <c r="R16" i="3"/>
  <c r="T16" i="3" s="1"/>
  <c r="V16" i="3" s="1"/>
  <c r="X16" i="3" s="1"/>
  <c r="AL84" i="8"/>
  <c r="DS37" i="11"/>
  <c r="R35" i="3"/>
  <c r="AS10" i="11"/>
  <c r="C121" i="3"/>
  <c r="AM126" i="8"/>
  <c r="DN62" i="11"/>
  <c r="AL125" i="8"/>
  <c r="BS10" i="11"/>
  <c r="AY10" i="11"/>
  <c r="CC10" i="11"/>
  <c r="BD62" i="11"/>
  <c r="E71" i="3"/>
  <c r="R15" i="3"/>
  <c r="T15" i="3" s="1"/>
  <c r="EF25" i="11"/>
  <c r="DT38" i="11"/>
  <c r="C14" i="3"/>
  <c r="AM81" i="8"/>
  <c r="C34" i="3"/>
  <c r="DK17" i="11"/>
  <c r="F129" i="8"/>
  <c r="T125" i="8" s="1"/>
  <c r="F117" i="8"/>
  <c r="F56" i="8"/>
  <c r="R56" i="8" s="1"/>
  <c r="F34" i="8"/>
  <c r="V37" i="5"/>
  <c r="U17" i="5"/>
  <c r="DO62" i="11"/>
  <c r="S37" i="5"/>
  <c r="CK10" i="11"/>
  <c r="C51" i="3"/>
  <c r="E34" i="3"/>
  <c r="I14" i="1"/>
  <c r="DV40" i="11"/>
  <c r="EC33" i="11"/>
  <c r="BC29" i="11"/>
  <c r="DP26" i="11"/>
  <c r="DK14" i="11"/>
  <c r="BW11" i="11"/>
  <c r="BZ46" i="11"/>
  <c r="DK41" i="11"/>
  <c r="DL33" i="11"/>
  <c r="BB29" i="11"/>
  <c r="DJ25" i="11"/>
  <c r="BD19" i="11"/>
  <c r="DO41" i="11"/>
  <c r="DZ33" i="11"/>
  <c r="EC26" i="11"/>
  <c r="DN25" i="11"/>
  <c r="BC19" i="11"/>
  <c r="DS11" i="11"/>
  <c r="FO41" i="11"/>
  <c r="BZ40" i="11"/>
  <c r="DJ33" i="11"/>
  <c r="CC26" i="11"/>
  <c r="BB19" i="11"/>
  <c r="CE40" i="11"/>
  <c r="AY11" i="11"/>
  <c r="CH11" i="11"/>
  <c r="CE25" i="11"/>
  <c r="BS11" i="11"/>
  <c r="BQ11" i="11"/>
  <c r="BK11" i="11"/>
  <c r="CL25" i="11"/>
  <c r="CK14" i="11"/>
  <c r="CM14" i="11"/>
  <c r="CM50" i="11" s="1"/>
  <c r="CP29" i="11"/>
  <c r="CQ11" i="11"/>
  <c r="CO29" i="11"/>
  <c r="CP26" i="11"/>
  <c r="S7" i="5"/>
  <c r="C86" i="3"/>
  <c r="AM98" i="8"/>
  <c r="C65" i="3"/>
  <c r="E121" i="3"/>
  <c r="AM105" i="8"/>
  <c r="C114" i="3"/>
  <c r="AL35" i="8"/>
  <c r="R26" i="3"/>
  <c r="DL10" i="11"/>
  <c r="R61" i="3"/>
  <c r="CG62" i="11"/>
  <c r="R91" i="3"/>
  <c r="R70" i="3"/>
  <c r="AM119" i="8"/>
  <c r="AM137" i="8"/>
  <c r="R29" i="3"/>
  <c r="BN62" i="11"/>
  <c r="AM83" i="8"/>
  <c r="C48" i="3"/>
  <c r="C40" i="3"/>
  <c r="AM123" i="8"/>
  <c r="AM90" i="8"/>
  <c r="C92" i="3"/>
  <c r="G92" i="3" s="1"/>
  <c r="AL31" i="8"/>
  <c r="DL37" i="11"/>
  <c r="BM42" i="11"/>
  <c r="BM11" i="11"/>
  <c r="BM62" i="11"/>
  <c r="BN25" i="11"/>
  <c r="AQ29" i="11"/>
  <c r="AT25" i="11"/>
  <c r="AT41" i="11"/>
  <c r="AR26" i="11"/>
  <c r="AS40" i="11"/>
  <c r="AV10" i="11"/>
  <c r="AW11" i="11"/>
  <c r="AX19" i="11"/>
  <c r="AY33" i="11"/>
  <c r="BS25" i="11"/>
  <c r="BR19" i="11"/>
  <c r="BS26" i="11"/>
  <c r="BQ19" i="11"/>
  <c r="AN40" i="11"/>
  <c r="AN26" i="11"/>
  <c r="AO40" i="11"/>
  <c r="AO62" i="11"/>
  <c r="AM37" i="11"/>
  <c r="AH14" i="11"/>
  <c r="AH25" i="11"/>
  <c r="AI14" i="11"/>
  <c r="AI26" i="11"/>
  <c r="AJ14" i="11"/>
  <c r="C54" i="3"/>
  <c r="DK38" i="11"/>
  <c r="BR62" i="11"/>
  <c r="DI62" i="11"/>
  <c r="E83" i="3"/>
  <c r="EC17" i="11"/>
  <c r="AH37" i="11"/>
  <c r="DI17" i="11"/>
  <c r="F88" i="8"/>
  <c r="F53" i="8"/>
  <c r="F25" i="8"/>
  <c r="Z48" i="5"/>
  <c r="S45" i="5"/>
  <c r="S40" i="5"/>
  <c r="FB26" i="11" s="1"/>
  <c r="T26" i="4"/>
  <c r="T9" i="5" s="1"/>
  <c r="FC62" i="11" s="1"/>
  <c r="R54" i="3"/>
  <c r="E86" i="3"/>
  <c r="E100" i="3"/>
  <c r="E103" i="3"/>
  <c r="DQ62" i="11"/>
  <c r="DL41" i="11"/>
  <c r="DX33" i="11"/>
  <c r="EE26" i="11"/>
  <c r="DP25" i="11"/>
  <c r="DI19" i="11"/>
  <c r="DZ11" i="11"/>
  <c r="BC11" i="11"/>
  <c r="BU46" i="11"/>
  <c r="DK40" i="11"/>
  <c r="CC33" i="11"/>
  <c r="CA26" i="11"/>
  <c r="DY14" i="11"/>
  <c r="DT10" i="11"/>
  <c r="DT62" i="11"/>
  <c r="DJ40" i="11"/>
  <c r="DU33" i="11"/>
  <c r="DI26" i="11"/>
  <c r="DX14" i="11"/>
  <c r="DI11" i="11"/>
  <c r="DX41" i="11"/>
  <c r="BU42" i="11"/>
  <c r="CA33" i="11"/>
  <c r="EA25" i="11"/>
  <c r="BD26" i="11"/>
  <c r="DV14" i="11"/>
  <c r="DV10" i="11"/>
  <c r="CF19" i="11"/>
  <c r="CE46" i="11"/>
  <c r="CH42" i="11"/>
  <c r="BQ25" i="11"/>
  <c r="CG46" i="11"/>
  <c r="BL46" i="11"/>
  <c r="CL14" i="11"/>
  <c r="CK46" i="11"/>
  <c r="CL19" i="11"/>
  <c r="CJ11" i="11"/>
  <c r="R30" i="3"/>
  <c r="AL56" i="8"/>
  <c r="C44" i="3"/>
  <c r="R41" i="3"/>
  <c r="R40" i="3"/>
  <c r="E55" i="3"/>
  <c r="EF46" i="11"/>
  <c r="C71" i="3"/>
  <c r="C99" i="3"/>
  <c r="AM118" i="8"/>
  <c r="AM117" i="8"/>
  <c r="AM124" i="8"/>
  <c r="AM111" i="8"/>
  <c r="AL62" i="8"/>
  <c r="AL102" i="8"/>
  <c r="AL25" i="8"/>
  <c r="DN37" i="11"/>
  <c r="AL34" i="8"/>
  <c r="BN38" i="11"/>
  <c r="AR38" i="11"/>
  <c r="DX38" i="11"/>
  <c r="AT38" i="11"/>
  <c r="DP38" i="11"/>
  <c r="BL11" i="11"/>
  <c r="BK62" i="11"/>
  <c r="BM40" i="11"/>
  <c r="BM33" i="11"/>
  <c r="BN10" i="11"/>
  <c r="AQ11" i="11"/>
  <c r="AR11" i="11"/>
  <c r="AS33" i="11"/>
  <c r="AS29" i="11"/>
  <c r="AR62" i="11"/>
  <c r="AX26" i="11"/>
  <c r="AV19" i="11"/>
  <c r="BS14" i="11"/>
  <c r="BP14" i="11"/>
  <c r="BP11" i="11"/>
  <c r="BQ40" i="11"/>
  <c r="AL14" i="11"/>
  <c r="AM11" i="11"/>
  <c r="AO29" i="11"/>
  <c r="AL25" i="11"/>
  <c r="AL10" i="11"/>
  <c r="AG33" i="11"/>
  <c r="AI11" i="11"/>
  <c r="AJ29" i="11"/>
  <c r="AG26" i="11"/>
  <c r="AJ40" i="11"/>
  <c r="AG25" i="11"/>
  <c r="C96" i="3"/>
  <c r="R90" i="3"/>
  <c r="C68" i="3"/>
  <c r="R48" i="3"/>
  <c r="R63" i="3"/>
  <c r="E56" i="3"/>
  <c r="CL10" i="11"/>
  <c r="R82" i="3"/>
  <c r="AW37" i="11"/>
  <c r="AM94" i="8"/>
  <c r="C29" i="3"/>
  <c r="AL47" i="8"/>
  <c r="T53" i="5"/>
  <c r="FC33" i="11" s="1"/>
  <c r="S17" i="5"/>
  <c r="W11" i="5"/>
  <c r="F24" i="8"/>
  <c r="BW62" i="11"/>
  <c r="E50" i="3"/>
  <c r="E93" i="3"/>
  <c r="E105" i="3"/>
  <c r="E33" i="3"/>
  <c r="DQ38" i="11"/>
  <c r="ED46" i="11"/>
  <c r="DL40" i="11"/>
  <c r="DS33" i="11"/>
  <c r="CB25" i="11"/>
  <c r="BZ19" i="11"/>
  <c r="DZ62" i="11"/>
  <c r="DZ41" i="11"/>
  <c r="BW42" i="11"/>
  <c r="BX33" i="11"/>
  <c r="DY26" i="11"/>
  <c r="CA25" i="11"/>
  <c r="DT14" i="11"/>
  <c r="BV62" i="11"/>
  <c r="CA42" i="11"/>
  <c r="DP33" i="11"/>
  <c r="EC25" i="11"/>
  <c r="BU26" i="11"/>
  <c r="DS14" i="11"/>
  <c r="BZ11" i="11"/>
  <c r="DX40" i="11"/>
  <c r="BU41" i="11"/>
  <c r="DQ29" i="11"/>
  <c r="BD25" i="11"/>
  <c r="DQ11" i="11"/>
  <c r="CH46" i="11"/>
  <c r="CH41" i="11"/>
  <c r="AQ33" i="11"/>
  <c r="BP41" i="11"/>
  <c r="BP33" i="11"/>
  <c r="CH33" i="11"/>
  <c r="CG29" i="11"/>
  <c r="CJ40" i="11"/>
  <c r="CM26" i="11"/>
  <c r="CM33" i="11"/>
  <c r="CL26" i="11"/>
  <c r="C72" i="3"/>
  <c r="G72" i="3" s="1"/>
  <c r="AM63" i="8"/>
  <c r="R13" i="3"/>
  <c r="T13" i="3" s="1"/>
  <c r="E84" i="3"/>
  <c r="R42" i="3"/>
  <c r="E111" i="3"/>
  <c r="AW10" i="11"/>
  <c r="AM96" i="8"/>
  <c r="C56" i="3"/>
  <c r="DP10" i="11"/>
  <c r="CH62" i="11"/>
  <c r="CR10" i="11"/>
  <c r="AY62" i="11"/>
  <c r="EA19" i="11"/>
  <c r="AM66" i="8"/>
  <c r="C15" i="3"/>
  <c r="AL59" i="8"/>
  <c r="AL117" i="8"/>
  <c r="AL68" i="8"/>
  <c r="AL124" i="8"/>
  <c r="DN38" i="11"/>
  <c r="AY38" i="11"/>
  <c r="EA38" i="11"/>
  <c r="BN42" i="11"/>
  <c r="BK42" i="11"/>
  <c r="BK41" i="11"/>
  <c r="BN41" i="11"/>
  <c r="AQ14" i="11"/>
  <c r="AQ62" i="11"/>
  <c r="AT26" i="11"/>
  <c r="AX14" i="11"/>
  <c r="AW14" i="11"/>
  <c r="AW26" i="11"/>
  <c r="AW19" i="11"/>
  <c r="BQ41" i="11"/>
  <c r="BS40" i="11"/>
  <c r="BR10" i="11"/>
  <c r="AM143" i="8"/>
  <c r="AL26" i="11"/>
  <c r="AN11" i="11"/>
  <c r="AO33" i="11"/>
  <c r="AM33" i="11"/>
  <c r="AO25" i="11"/>
  <c r="CP10" i="11"/>
  <c r="BN37" i="11"/>
  <c r="C47" i="3"/>
  <c r="AM104" i="8"/>
  <c r="AM60" i="8"/>
  <c r="C41" i="3"/>
  <c r="BL62" i="11"/>
  <c r="AX10" i="11"/>
  <c r="C83" i="3"/>
  <c r="C35" i="3"/>
  <c r="AL66" i="8"/>
  <c r="AL55" i="8"/>
  <c r="C50" i="3"/>
  <c r="AL104" i="8"/>
  <c r="DQ17" i="11"/>
  <c r="AM122" i="8"/>
  <c r="F105" i="8"/>
  <c r="R105" i="8" s="1"/>
  <c r="DX69" i="11" s="1"/>
  <c r="DL17" i="11"/>
  <c r="F122" i="8"/>
  <c r="T118" i="8" s="1"/>
  <c r="F104" i="8"/>
  <c r="F69" i="8"/>
  <c r="F35" i="8"/>
  <c r="R35" i="8" s="1"/>
  <c r="X64" i="5"/>
  <c r="CA62" i="11"/>
  <c r="Y40" i="5"/>
  <c r="FH26" i="11" s="1"/>
  <c r="AM130" i="8"/>
  <c r="F59" i="8"/>
  <c r="W37" i="5"/>
  <c r="I11" i="1"/>
  <c r="DO46" i="11"/>
  <c r="BD41" i="11"/>
  <c r="DN19" i="11"/>
  <c r="DZ40" i="11"/>
  <c r="BC40" i="11"/>
  <c r="DY25" i="11"/>
  <c r="DQ19" i="11"/>
  <c r="DQ63" i="11" s="1"/>
  <c r="BV11" i="11"/>
  <c r="CA41" i="11"/>
  <c r="DN29" i="11"/>
  <c r="BA26" i="11"/>
  <c r="DN40" i="11"/>
  <c r="DL29" i="11"/>
  <c r="DL26" i="11"/>
  <c r="BD14" i="11"/>
  <c r="BD11" i="11"/>
  <c r="AX41" i="11"/>
  <c r="AQ19" i="11"/>
  <c r="BR46" i="11"/>
  <c r="CK25" i="11"/>
  <c r="CM25" i="11"/>
  <c r="CM41" i="11"/>
  <c r="CO10" i="11"/>
  <c r="CO19" i="11"/>
  <c r="CQ14" i="11"/>
  <c r="Y7" i="5"/>
  <c r="C79" i="3"/>
  <c r="X7" i="5"/>
  <c r="CG10" i="11"/>
  <c r="R33" i="3"/>
  <c r="DT17" i="11"/>
  <c r="F111" i="8"/>
  <c r="F82" i="8"/>
  <c r="V7" i="5"/>
  <c r="DT37" i="11"/>
  <c r="E112" i="3"/>
  <c r="EA40" i="11"/>
  <c r="BU33" i="11"/>
  <c r="DU26" i="11"/>
  <c r="CB11" i="11"/>
  <c r="DP41" i="11"/>
  <c r="BD33" i="11"/>
  <c r="DO25" i="11"/>
  <c r="DJ14" i="11"/>
  <c r="DY62" i="11"/>
  <c r="BV42" i="11"/>
  <c r="DU19" i="11"/>
  <c r="DU63" i="11" s="1"/>
  <c r="BA11" i="11"/>
  <c r="DI41" i="11"/>
  <c r="BX29" i="11"/>
  <c r="DY19" i="11"/>
  <c r="AV33" i="11"/>
  <c r="CF11" i="11"/>
  <c r="CF12" i="11" s="1"/>
  <c r="BR11" i="11"/>
  <c r="CF42" i="11"/>
  <c r="F140" i="8"/>
  <c r="CK29" i="11"/>
  <c r="CL42" i="11"/>
  <c r="CJ62" i="11"/>
  <c r="CR17" i="11"/>
  <c r="CR29" i="11"/>
  <c r="R72" i="3"/>
  <c r="R86" i="3"/>
  <c r="F61" i="8"/>
  <c r="S21" i="5"/>
  <c r="C58" i="3"/>
  <c r="F10" i="11"/>
  <c r="CC41" i="11"/>
  <c r="DP29" i="11"/>
  <c r="BC26" i="11"/>
  <c r="DZ10" i="11"/>
  <c r="DX46" i="11"/>
  <c r="BW40" i="11"/>
  <c r="BV29" i="11"/>
  <c r="DJ10" i="11"/>
  <c r="DT40" i="11"/>
  <c r="DX29" i="11"/>
  <c r="DN26" i="11"/>
  <c r="DX11" i="11"/>
  <c r="DN42" i="11"/>
  <c r="DT33" i="11"/>
  <c r="DQ26" i="11"/>
  <c r="BV19" i="11"/>
  <c r="BX11" i="11"/>
  <c r="DU17" i="11"/>
  <c r="DU51" i="11" s="1"/>
  <c r="E98" i="3"/>
  <c r="E106" i="3"/>
  <c r="E35" i="3"/>
  <c r="CC42" i="11"/>
  <c r="DU25" i="11"/>
  <c r="DU11" i="11"/>
  <c r="DK42" i="11"/>
  <c r="DT11" i="11"/>
  <c r="BB40" i="11"/>
  <c r="BU25" i="11"/>
  <c r="CB46" i="11"/>
  <c r="CC29" i="11"/>
  <c r="CA19" i="11"/>
  <c r="AX25" i="11"/>
  <c r="CG19" i="11"/>
  <c r="BQ29" i="11"/>
  <c r="CH14" i="11"/>
  <c r="BK40" i="11"/>
  <c r="CM42" i="11"/>
  <c r="CJ19" i="11"/>
  <c r="CO11" i="11"/>
  <c r="CR40" i="11"/>
  <c r="CU29" i="11"/>
  <c r="AL98" i="8"/>
  <c r="DV38" i="11"/>
  <c r="CB62" i="11"/>
  <c r="AX62" i="11"/>
  <c r="C98" i="3"/>
  <c r="C120" i="3"/>
  <c r="AL38" i="8"/>
  <c r="AL81" i="8"/>
  <c r="AL89" i="8"/>
  <c r="AL27" i="8"/>
  <c r="AM133" i="8"/>
  <c r="BX37" i="11"/>
  <c r="CM37" i="11"/>
  <c r="DO38" i="11"/>
  <c r="EA62" i="11"/>
  <c r="BM46" i="11"/>
  <c r="BK19" i="11"/>
  <c r="BN46" i="11"/>
  <c r="BN11" i="11"/>
  <c r="AT14" i="11"/>
  <c r="AR41" i="11"/>
  <c r="AT33" i="11"/>
  <c r="CU41" i="11"/>
  <c r="CW33" i="11"/>
  <c r="CU18" i="11"/>
  <c r="AY19" i="11"/>
  <c r="AY14" i="11"/>
  <c r="AY25" i="11"/>
  <c r="BR41" i="11"/>
  <c r="BQ33" i="11"/>
  <c r="EC11" i="11"/>
  <c r="AM26" i="11"/>
  <c r="AO14" i="11"/>
  <c r="AL40" i="11"/>
  <c r="AL11" i="11"/>
  <c r="AN19" i="11"/>
  <c r="AH11" i="11"/>
  <c r="AG62" i="11"/>
  <c r="AJ19" i="11"/>
  <c r="AE11" i="11"/>
  <c r="AD14" i="11"/>
  <c r="AD10" i="11"/>
  <c r="ED62" i="11"/>
  <c r="R43" i="3"/>
  <c r="AM116" i="8"/>
  <c r="AM82" i="8"/>
  <c r="AM97" i="8"/>
  <c r="AL52" i="8"/>
  <c r="AM88" i="8"/>
  <c r="C97" i="3"/>
  <c r="DY17" i="11"/>
  <c r="F96" i="8"/>
  <c r="W45" i="5"/>
  <c r="E113" i="3"/>
  <c r="E12" i="3"/>
  <c r="J26" i="4"/>
  <c r="CC40" i="11"/>
  <c r="BW26" i="11"/>
  <c r="DK11" i="11"/>
  <c r="BW41" i="11"/>
  <c r="DJ26" i="11"/>
  <c r="CA11" i="11"/>
  <c r="EE33" i="11"/>
  <c r="BA25" i="11"/>
  <c r="BW46" i="11"/>
  <c r="BD29" i="11"/>
  <c r="BX14" i="11"/>
  <c r="AX33" i="11"/>
  <c r="CH25" i="11"/>
  <c r="CF33" i="11"/>
  <c r="CJ33" i="11"/>
  <c r="CR11" i="11"/>
  <c r="CP42" i="11"/>
  <c r="AS62" i="11"/>
  <c r="E77" i="3"/>
  <c r="CJ10" i="11"/>
  <c r="BS62" i="11"/>
  <c r="AL83" i="8"/>
  <c r="C76" i="3"/>
  <c r="C43" i="3"/>
  <c r="C64" i="3"/>
  <c r="AL123" i="8"/>
  <c r="AV37" i="11"/>
  <c r="F143" i="8"/>
  <c r="T139" i="8" s="1"/>
  <c r="AR37" i="11"/>
  <c r="BK14" i="11"/>
  <c r="BL29" i="11"/>
  <c r="BN33" i="11"/>
  <c r="AS11" i="11"/>
  <c r="AS41" i="11"/>
  <c r="AQ10" i="11"/>
  <c r="CT29" i="11"/>
  <c r="CV62" i="11"/>
  <c r="CV19" i="11"/>
  <c r="AX40" i="11"/>
  <c r="BP29" i="11"/>
  <c r="BS19" i="11"/>
  <c r="AL33" i="11"/>
  <c r="AO19" i="11"/>
  <c r="AM19" i="11"/>
  <c r="AN10" i="11"/>
  <c r="AL62" i="11"/>
  <c r="AI29" i="11"/>
  <c r="AG29" i="11"/>
  <c r="AI62" i="11"/>
  <c r="AC25" i="11"/>
  <c r="AB25" i="11"/>
  <c r="AC40" i="11"/>
  <c r="AM62" i="11"/>
  <c r="AY37" i="11"/>
  <c r="C36" i="3"/>
  <c r="E48" i="3"/>
  <c r="E68" i="3"/>
  <c r="CE10" i="11"/>
  <c r="AL116" i="8"/>
  <c r="AL53" i="8"/>
  <c r="AT37" i="11"/>
  <c r="AL41" i="8"/>
  <c r="C26" i="3"/>
  <c r="AM73" i="8"/>
  <c r="T40" i="5"/>
  <c r="FC26" i="11" s="1"/>
  <c r="F27" i="8"/>
  <c r="E79" i="3"/>
  <c r="AM91" i="8"/>
  <c r="BD40" i="11"/>
  <c r="BW25" i="11"/>
  <c r="BC62" i="11"/>
  <c r="BC41" i="11"/>
  <c r="BB25" i="11"/>
  <c r="BC33" i="11"/>
  <c r="BW19" i="11"/>
  <c r="DN41" i="11"/>
  <c r="EA11" i="11"/>
  <c r="CF46" i="11"/>
  <c r="CG40" i="11"/>
  <c r="CK33" i="11"/>
  <c r="CJ25" i="11"/>
  <c r="CK26" i="11"/>
  <c r="CP40" i="11"/>
  <c r="CT19" i="11"/>
  <c r="C107" i="3"/>
  <c r="AM70" i="8"/>
  <c r="DU38" i="11"/>
  <c r="BK10" i="11"/>
  <c r="DQ37" i="11"/>
  <c r="E128" i="3"/>
  <c r="G128" i="3" s="1"/>
  <c r="AM136" i="8"/>
  <c r="CR62" i="11"/>
  <c r="AL118" i="8"/>
  <c r="AL67" i="8"/>
  <c r="AL32" i="8"/>
  <c r="AL111" i="8"/>
  <c r="EC10" i="11"/>
  <c r="CK37" i="11"/>
  <c r="CM38" i="11"/>
  <c r="BK25" i="11"/>
  <c r="BL25" i="11"/>
  <c r="BK26" i="11"/>
  <c r="BN19" i="11"/>
  <c r="AR40" i="11"/>
  <c r="AR10" i="11"/>
  <c r="CT18" i="11"/>
  <c r="CV17" i="11"/>
  <c r="CV26" i="11"/>
  <c r="AV25" i="11"/>
  <c r="AW41" i="11"/>
  <c r="BP40" i="11"/>
  <c r="BR33" i="11"/>
  <c r="AN25" i="11"/>
  <c r="AL29" i="11"/>
  <c r="AM40" i="11"/>
  <c r="AL37" i="11"/>
  <c r="AG40" i="11"/>
  <c r="AH40" i="11"/>
  <c r="AI40" i="11"/>
  <c r="AG14" i="11"/>
  <c r="AB14" i="11"/>
  <c r="AB11" i="11"/>
  <c r="AE26" i="11"/>
  <c r="AE10" i="11"/>
  <c r="DL42" i="11"/>
  <c r="AM38" i="11"/>
  <c r="BW10" i="11"/>
  <c r="AT10" i="11"/>
  <c r="BC10" i="11"/>
  <c r="BZ62" i="11"/>
  <c r="CK62" i="11"/>
  <c r="EC14" i="11"/>
  <c r="C118" i="3"/>
  <c r="C70" i="3"/>
  <c r="C78" i="3"/>
  <c r="AM61" i="8"/>
  <c r="AL137" i="8"/>
  <c r="F112" i="8"/>
  <c r="R112" i="8" s="1"/>
  <c r="DY69" i="11" s="1"/>
  <c r="E85" i="3"/>
  <c r="R100" i="3"/>
  <c r="DU29" i="11"/>
  <c r="EC46" i="11"/>
  <c r="CA29" i="11"/>
  <c r="DY40" i="11"/>
  <c r="DS25" i="11"/>
  <c r="BA41" i="11"/>
  <c r="BP46" i="11"/>
  <c r="CH26" i="11"/>
  <c r="CM11" i="11"/>
  <c r="CO17" i="11"/>
  <c r="CQ62" i="11"/>
  <c r="BQ10" i="11"/>
  <c r="BP62" i="11"/>
  <c r="C27" i="3"/>
  <c r="R55" i="3"/>
  <c r="C119" i="3"/>
  <c r="DZ38" i="11"/>
  <c r="BK29" i="11"/>
  <c r="BK33" i="11"/>
  <c r="AT11" i="11"/>
  <c r="AT29" i="11"/>
  <c r="CT40" i="11"/>
  <c r="BR14" i="11"/>
  <c r="BP10" i="11"/>
  <c r="AO11" i="11"/>
  <c r="AM10" i="11"/>
  <c r="BG33" i="11"/>
  <c r="BH29" i="11"/>
  <c r="AH62" i="11"/>
  <c r="AH26" i="11"/>
  <c r="AC33" i="11"/>
  <c r="AB40" i="11"/>
  <c r="AE29" i="11"/>
  <c r="AL54" i="8"/>
  <c r="C104" i="3"/>
  <c r="AM109" i="8"/>
  <c r="AM103" i="8"/>
  <c r="C105" i="3"/>
  <c r="AL60" i="8"/>
  <c r="AL103" i="8"/>
  <c r="BF37" i="11"/>
  <c r="AL95" i="8"/>
  <c r="AL73" i="8"/>
  <c r="BM38" i="11"/>
  <c r="BC38" i="11"/>
  <c r="CB38" i="11"/>
  <c r="BQ37" i="11"/>
  <c r="CV38" i="11"/>
  <c r="CJ37" i="11"/>
  <c r="BL37" i="11"/>
  <c r="CJ38" i="11"/>
  <c r="CU38" i="11"/>
  <c r="CG38" i="11"/>
  <c r="EC41" i="11"/>
  <c r="ED11" i="11"/>
  <c r="F83" i="8"/>
  <c r="F38" i="8"/>
  <c r="W64" i="5"/>
  <c r="FF40" i="11" s="1"/>
  <c r="E120" i="3"/>
  <c r="Z40" i="5"/>
  <c r="FI26" i="11" s="1"/>
  <c r="E64" i="3"/>
  <c r="E30" i="3"/>
  <c r="DV62" i="11"/>
  <c r="DV19" i="11"/>
  <c r="DO42" i="11"/>
  <c r="BA14" i="11"/>
  <c r="DO33" i="11"/>
  <c r="DL11" i="11"/>
  <c r="BQ42" i="11"/>
  <c r="CJ42" i="11"/>
  <c r="CL17" i="11"/>
  <c r="CQ25" i="11"/>
  <c r="CO42" i="11"/>
  <c r="DZ19" i="11"/>
  <c r="DS38" i="11"/>
  <c r="AL69" i="8"/>
  <c r="AL139" i="8"/>
  <c r="AL39" i="8"/>
  <c r="EA29" i="11"/>
  <c r="BL26" i="11"/>
  <c r="BM10" i="11"/>
  <c r="AT19" i="11"/>
  <c r="AT62" i="11"/>
  <c r="AV14" i="11"/>
  <c r="AV26" i="11"/>
  <c r="BS33" i="11"/>
  <c r="AN33" i="11"/>
  <c r="BF33" i="11"/>
  <c r="BH11" i="11"/>
  <c r="BH26" i="11"/>
  <c r="AG10" i="11"/>
  <c r="AG11" i="11"/>
  <c r="AJ11" i="11"/>
  <c r="AB19" i="11"/>
  <c r="AD19" i="11"/>
  <c r="CT62" i="11"/>
  <c r="DI10" i="11"/>
  <c r="C90" i="3"/>
  <c r="C110" i="3"/>
  <c r="AM108" i="8"/>
  <c r="AM75" i="8"/>
  <c r="C84" i="3"/>
  <c r="C103" i="3"/>
  <c r="G103" i="3" s="1"/>
  <c r="AL61" i="8"/>
  <c r="BU37" i="11"/>
  <c r="CB37" i="11"/>
  <c r="AL109" i="8"/>
  <c r="AS38" i="11"/>
  <c r="BK38" i="11"/>
  <c r="BI38" i="11"/>
  <c r="BH38" i="11"/>
  <c r="DI37" i="11"/>
  <c r="CG37" i="11"/>
  <c r="BW38" i="11"/>
  <c r="BL38" i="11"/>
  <c r="F60" i="8"/>
  <c r="U21" i="5"/>
  <c r="BA33" i="11"/>
  <c r="DU14" i="11"/>
  <c r="DO29" i="11"/>
  <c r="DY10" i="11"/>
  <c r="DX26" i="11"/>
  <c r="DI42" i="11"/>
  <c r="DT19" i="11"/>
  <c r="CG26" i="11"/>
  <c r="CE29" i="11"/>
  <c r="BL40" i="11"/>
  <c r="CK18" i="11"/>
  <c r="CP14" i="11"/>
  <c r="BB10" i="11"/>
  <c r="E44" i="3"/>
  <c r="AL110" i="8"/>
  <c r="AM89" i="8"/>
  <c r="C28" i="3"/>
  <c r="AV38" i="11"/>
  <c r="BD38" i="11"/>
  <c r="BN40" i="11"/>
  <c r="BK46" i="11"/>
  <c r="AS25" i="11"/>
  <c r="AS19" i="11"/>
  <c r="CT25" i="11"/>
  <c r="CW41" i="11"/>
  <c r="AX11" i="11"/>
  <c r="BP25" i="11"/>
  <c r="AN14" i="11"/>
  <c r="AN62" i="11"/>
  <c r="AG19" i="11"/>
  <c r="AE40" i="11"/>
  <c r="AD26" i="11"/>
  <c r="CQ37" i="11"/>
  <c r="CQ38" i="11"/>
  <c r="AM87" i="8"/>
  <c r="AL17" i="8"/>
  <c r="BF38" i="11"/>
  <c r="BI37" i="11"/>
  <c r="AL140" i="8"/>
  <c r="BK37" i="11"/>
  <c r="CP37" i="11"/>
  <c r="AQ37" i="11"/>
  <c r="BS38" i="11"/>
  <c r="CO38" i="11"/>
  <c r="CT38" i="11"/>
  <c r="DQ42" i="11"/>
  <c r="Y64" i="5"/>
  <c r="E62" i="3"/>
  <c r="BC25" i="11"/>
  <c r="DJ29" i="11"/>
  <c r="DS29" i="11"/>
  <c r="DY33" i="11"/>
  <c r="CG17" i="11"/>
  <c r="CO40" i="11"/>
  <c r="AM84" i="8"/>
  <c r="DQ10" i="11"/>
  <c r="DY37" i="11"/>
  <c r="CW62" i="11"/>
  <c r="AL24" i="8"/>
  <c r="DX37" i="11"/>
  <c r="BL42" i="11"/>
  <c r="AR33" i="11"/>
  <c r="CU46" i="11"/>
  <c r="AY29" i="11"/>
  <c r="AL19" i="11"/>
  <c r="BG19" i="11"/>
  <c r="BG62" i="11"/>
  <c r="AJ26" i="11"/>
  <c r="AB62" i="11"/>
  <c r="AB10" i="11"/>
  <c r="AL38" i="11"/>
  <c r="E110" i="3"/>
  <c r="C69" i="3"/>
  <c r="C106" i="3"/>
  <c r="AM74" i="8"/>
  <c r="AL90" i="8"/>
  <c r="BC37" i="11"/>
  <c r="AS37" i="11"/>
  <c r="BR38" i="11"/>
  <c r="AN38" i="11"/>
  <c r="EC29" i="11"/>
  <c r="CW37" i="11"/>
  <c r="CH38" i="11"/>
  <c r="EC37" i="11"/>
  <c r="F49" i="8"/>
  <c r="R49" i="8" s="1"/>
  <c r="E37" i="3"/>
  <c r="DZ14" i="11"/>
  <c r="DS26" i="11"/>
  <c r="DQ25" i="11"/>
  <c r="CE19" i="11"/>
  <c r="AM77" i="8"/>
  <c r="DP37" i="11"/>
  <c r="BM29" i="11"/>
  <c r="BL41" i="11"/>
  <c r="AT40" i="11"/>
  <c r="BS29" i="11"/>
  <c r="AN29" i="11"/>
  <c r="BF40" i="11"/>
  <c r="BF29" i="11"/>
  <c r="AI10" i="11"/>
  <c r="C89" i="3"/>
  <c r="R49" i="3"/>
  <c r="R84" i="3"/>
  <c r="AM115" i="8"/>
  <c r="AM101" i="8"/>
  <c r="CV37" i="11"/>
  <c r="BR37" i="11"/>
  <c r="BV37" i="11"/>
  <c r="CR37" i="11"/>
  <c r="CT37" i="11"/>
  <c r="CE37" i="11"/>
  <c r="CO37" i="11"/>
  <c r="CP38" i="11"/>
  <c r="CL38" i="11"/>
  <c r="EF11" i="11"/>
  <c r="DY46" i="11"/>
  <c r="R50" i="3"/>
  <c r="EA41" i="11"/>
  <c r="DP14" i="11"/>
  <c r="DO14" i="11"/>
  <c r="DN14" i="11"/>
  <c r="DL25" i="11"/>
  <c r="CH17" i="11"/>
  <c r="CF41" i="11"/>
  <c r="CO25" i="11"/>
  <c r="AL70" i="8"/>
  <c r="R14" i="3"/>
  <c r="T14" i="3" s="1"/>
  <c r="R76" i="3"/>
  <c r="AL122" i="8"/>
  <c r="AL136" i="8"/>
  <c r="DK37" i="11"/>
  <c r="BL19" i="11"/>
  <c r="BL33" i="11"/>
  <c r="AS26" i="11"/>
  <c r="AW29" i="11"/>
  <c r="BR26" i="11"/>
  <c r="EC40" i="11"/>
  <c r="BI29" i="11"/>
  <c r="AJ41" i="11"/>
  <c r="AC62" i="11"/>
  <c r="E96" i="3"/>
  <c r="R75" i="3"/>
  <c r="AM76" i="8"/>
  <c r="C117" i="3"/>
  <c r="AL80" i="8"/>
  <c r="AL115" i="8"/>
  <c r="CC38" i="11"/>
  <c r="DJ37" i="11"/>
  <c r="CL37" i="11"/>
  <c r="DI38" i="11"/>
  <c r="EC38" i="11"/>
  <c r="EE25" i="11"/>
  <c r="CC46" i="11"/>
  <c r="BS41" i="11"/>
  <c r="CG33" i="11"/>
  <c r="CM46" i="11"/>
  <c r="CV41" i="11"/>
  <c r="R68" i="3"/>
  <c r="AM62" i="8"/>
  <c r="BD37" i="11"/>
  <c r="AS14" i="11"/>
  <c r="CT41" i="11"/>
  <c r="AX29" i="11"/>
  <c r="AM14" i="11"/>
  <c r="AO41" i="11"/>
  <c r="AJ33" i="11"/>
  <c r="AE33" i="11"/>
  <c r="E13" i="3"/>
  <c r="R77" i="3"/>
  <c r="CH10" i="11"/>
  <c r="AL88" i="8"/>
  <c r="BW37" i="11"/>
  <c r="BV38" i="11"/>
  <c r="CF37" i="11"/>
  <c r="AL143" i="8"/>
  <c r="DU46" i="11"/>
  <c r="F101" i="8"/>
  <c r="E26" i="3"/>
  <c r="DT41" i="11"/>
  <c r="DO19" i="11"/>
  <c r="EC62" i="11"/>
  <c r="CM19" i="11"/>
  <c r="BB62" i="11"/>
  <c r="E28" i="3"/>
  <c r="BL10" i="11"/>
  <c r="AR29" i="11"/>
  <c r="AO26" i="11"/>
  <c r="BI19" i="11"/>
  <c r="AH29" i="11"/>
  <c r="AE25" i="11"/>
  <c r="EE11" i="11"/>
  <c r="AL18" i="8"/>
  <c r="C13" i="3"/>
  <c r="R78" i="3"/>
  <c r="AL87" i="8"/>
  <c r="AL26" i="8"/>
  <c r="AI37" i="11"/>
  <c r="CE38" i="11"/>
  <c r="ED40" i="11"/>
  <c r="FQ41" i="11"/>
  <c r="CA40" i="11"/>
  <c r="CF14" i="11"/>
  <c r="CJ26" i="11"/>
  <c r="CT14" i="11"/>
  <c r="AM139" i="8"/>
  <c r="C113" i="3"/>
  <c r="AL33" i="8"/>
  <c r="AL133" i="8"/>
  <c r="DO37" i="11"/>
  <c r="AR25" i="11"/>
  <c r="AV29" i="11"/>
  <c r="BR42" i="11"/>
  <c r="BF14" i="11"/>
  <c r="AB26" i="11"/>
  <c r="AM80" i="8"/>
  <c r="CA37" i="11"/>
  <c r="AL101" i="8"/>
  <c r="AL108" i="8"/>
  <c r="CA38" i="11"/>
  <c r="BG38" i="11"/>
  <c r="AG38" i="11"/>
  <c r="AO37" i="11"/>
  <c r="CU37" i="11"/>
  <c r="BZ38" i="11"/>
  <c r="CW38" i="11"/>
  <c r="F136" i="8"/>
  <c r="T132" i="8" s="1"/>
  <c r="F74" i="8"/>
  <c r="E91" i="3"/>
  <c r="DI29" i="11"/>
  <c r="BX10" i="11"/>
  <c r="CH19" i="11"/>
  <c r="CP41" i="11"/>
  <c r="CW14" i="11"/>
  <c r="AM68" i="8"/>
  <c r="DY38" i="11"/>
  <c r="EA37" i="11"/>
  <c r="BM14" i="11"/>
  <c r="AY40" i="11"/>
  <c r="BS46" i="11"/>
  <c r="BI62" i="11"/>
  <c r="AJ10" i="11"/>
  <c r="AC26" i="11"/>
  <c r="E41" i="3"/>
  <c r="C42" i="3"/>
  <c r="C49" i="3"/>
  <c r="AL82" i="8"/>
  <c r="BG37" i="11"/>
  <c r="BU38" i="11"/>
  <c r="CH37" i="11"/>
  <c r="AX37" i="11"/>
  <c r="DN18" i="11"/>
  <c r="F68" i="8"/>
  <c r="E14" i="3"/>
  <c r="DP40" i="11"/>
  <c r="DX10" i="11"/>
  <c r="BR25" i="11"/>
  <c r="CH40" i="11"/>
  <c r="C37" i="3"/>
  <c r="AL63" i="8"/>
  <c r="BA10" i="11"/>
  <c r="BD10" i="11"/>
  <c r="DL38" i="11"/>
  <c r="BM19" i="11"/>
  <c r="AR14" i="11"/>
  <c r="CT11" i="11"/>
  <c r="AY26" i="11"/>
  <c r="BP42" i="11"/>
  <c r="BH25" i="11"/>
  <c r="AJ25" i="11"/>
  <c r="AB33" i="11"/>
  <c r="AM95" i="8"/>
  <c r="C63" i="3"/>
  <c r="AL97" i="8"/>
  <c r="AL76" i="8"/>
  <c r="AJ37" i="11"/>
  <c r="BP37" i="11"/>
  <c r="AO38" i="11"/>
  <c r="AQ38" i="11"/>
  <c r="DT46" i="11"/>
  <c r="DY11" i="11"/>
  <c r="CK19" i="11"/>
  <c r="AM102" i="8"/>
  <c r="AM110" i="8"/>
  <c r="AV41" i="11"/>
  <c r="AM25" i="11"/>
  <c r="AL74" i="8"/>
  <c r="AN37" i="11"/>
  <c r="BP38" i="11"/>
  <c r="DZ29" i="11"/>
  <c r="AM29" i="11"/>
  <c r="AI19" i="11"/>
  <c r="BA37" i="11"/>
  <c r="CF38" i="11"/>
  <c r="BU11" i="11"/>
  <c r="AL28" i="8"/>
  <c r="CA10" i="11"/>
  <c r="BM37" i="11"/>
  <c r="AO10" i="11"/>
  <c r="AD11" i="11"/>
  <c r="C55" i="3"/>
  <c r="CR38" i="11"/>
  <c r="DX62" i="11"/>
  <c r="BU62" i="11"/>
  <c r="BM25" i="11"/>
  <c r="AR19" i="11"/>
  <c r="BR40" i="11"/>
  <c r="CT10" i="11"/>
  <c r="AL75" i="8"/>
  <c r="BS37" i="11"/>
  <c r="R36" i="3"/>
  <c r="C57" i="3"/>
  <c r="DP46" i="11"/>
  <c r="AG37" i="11"/>
  <c r="DJ38" i="11"/>
  <c r="CP19" i="11"/>
  <c r="AQ25" i="11"/>
  <c r="AH33" i="11"/>
  <c r="AL40" i="8"/>
  <c r="AW38" i="11"/>
  <c r="AM140" i="8"/>
  <c r="CQ41" i="11"/>
  <c r="DZ37" i="11"/>
  <c r="Y19" i="11"/>
  <c r="BQ38" i="11"/>
  <c r="BU40" i="11"/>
  <c r="AM59" i="8"/>
  <c r="BN26" i="11"/>
  <c r="AQ40" i="11"/>
  <c r="CW40" i="11"/>
  <c r="BG25" i="11"/>
  <c r="AL96" i="8"/>
  <c r="BA38" i="11"/>
  <c r="AX38" i="11"/>
  <c r="DV41" i="11"/>
  <c r="AL119" i="8"/>
  <c r="BB37" i="11"/>
  <c r="CU19" i="11"/>
  <c r="BG14" i="11"/>
  <c r="R28" i="3"/>
  <c r="BB38" i="11"/>
  <c r="AL94" i="8"/>
  <c r="BZ37" i="11"/>
  <c r="CE33" i="11"/>
  <c r="R34" i="3"/>
  <c r="BX38" i="11"/>
  <c r="W26" i="11"/>
  <c r="C111" i="3"/>
  <c r="CC37" i="11"/>
  <c r="DQ33" i="11"/>
  <c r="C112" i="3"/>
  <c r="CK38" i="11"/>
  <c r="BH37" i="11"/>
  <c r="AW25" i="11"/>
  <c r="E117" i="3"/>
  <c r="R17" i="5"/>
  <c r="R37" i="5"/>
  <c r="R7" i="5"/>
  <c r="Y29" i="11"/>
  <c r="X33" i="11"/>
  <c r="W11" i="11"/>
  <c r="Z10" i="11"/>
  <c r="Y14" i="11"/>
  <c r="W33" i="11"/>
  <c r="DV46" i="11"/>
  <c r="BI11" i="11"/>
  <c r="BG10" i="11"/>
  <c r="BH40" i="11"/>
  <c r="CV33" i="11"/>
  <c r="CW42" i="11"/>
  <c r="CT17" i="11"/>
  <c r="CW17" i="11"/>
  <c r="AE14" i="11"/>
  <c r="F21" i="8"/>
  <c r="R21" i="8" s="1"/>
  <c r="R40" i="5"/>
  <c r="FA26" i="11" s="1"/>
  <c r="Y33" i="11"/>
  <c r="W62" i="11"/>
  <c r="Z26" i="11"/>
  <c r="X29" i="11"/>
  <c r="Y26" i="11"/>
  <c r="AI33" i="11"/>
  <c r="BF19" i="11"/>
  <c r="BI26" i="11"/>
  <c r="BI42" i="11"/>
  <c r="BF62" i="11"/>
  <c r="BF25" i="11"/>
  <c r="CU33" i="11"/>
  <c r="CT26" i="11"/>
  <c r="CU40" i="11"/>
  <c r="CU25" i="11"/>
  <c r="CW25" i="11"/>
  <c r="AD29" i="11"/>
  <c r="AC29" i="11"/>
  <c r="F19" i="8"/>
  <c r="R48" i="5"/>
  <c r="X26" i="11"/>
  <c r="W10" i="11"/>
  <c r="X10" i="11"/>
  <c r="BH14" i="11"/>
  <c r="BF10" i="11"/>
  <c r="BG26" i="11"/>
  <c r="BF11" i="11"/>
  <c r="CW18" i="11"/>
  <c r="CU62" i="11"/>
  <c r="CV29" i="11"/>
  <c r="CU42" i="11"/>
  <c r="AC10" i="11"/>
  <c r="AD25" i="11"/>
  <c r="CV14" i="11"/>
  <c r="R11" i="5"/>
  <c r="Z25" i="11"/>
  <c r="W25" i="11"/>
  <c r="Z33" i="11"/>
  <c r="Z40" i="11"/>
  <c r="BG29" i="11"/>
  <c r="BG41" i="11"/>
  <c r="BG40" i="11"/>
  <c r="BI10" i="11"/>
  <c r="CW29" i="11"/>
  <c r="CV25" i="11"/>
  <c r="CT33" i="11"/>
  <c r="CV42" i="11"/>
  <c r="AC19" i="11"/>
  <c r="AD33" i="11"/>
  <c r="BN14" i="11"/>
  <c r="F18" i="8"/>
  <c r="AL21" i="8"/>
  <c r="R64" i="5"/>
  <c r="W14" i="11"/>
  <c r="W50" i="11" s="1"/>
  <c r="Z11" i="11"/>
  <c r="W40" i="11"/>
  <c r="BF42" i="11"/>
  <c r="CW19" i="11"/>
  <c r="CU11" i="11"/>
  <c r="CU17" i="11"/>
  <c r="AB29" i="11"/>
  <c r="CP33" i="11"/>
  <c r="E29" i="3"/>
  <c r="BM26" i="11"/>
  <c r="CR18" i="11"/>
  <c r="CO14" i="11"/>
  <c r="CP11" i="11"/>
  <c r="CP62" i="11"/>
  <c r="FR41" i="11"/>
  <c r="S64" i="5"/>
  <c r="FB40" i="11" s="1"/>
  <c r="Z17" i="5"/>
  <c r="Z19" i="11"/>
  <c r="BG11" i="11"/>
  <c r="AI25" i="11"/>
  <c r="Y10" i="11"/>
  <c r="X40" i="11"/>
  <c r="X25" i="11"/>
  <c r="BG42" i="11"/>
  <c r="CP18" i="11"/>
  <c r="AJ62" i="11"/>
  <c r="CP17" i="11"/>
  <c r="CO46" i="11"/>
  <c r="S48" i="5"/>
  <c r="FO42" i="11"/>
  <c r="R53" i="5"/>
  <c r="FA33" i="11" s="1"/>
  <c r="X19" i="11"/>
  <c r="Z29" i="11"/>
  <c r="BH19" i="11"/>
  <c r="BH62" i="11"/>
  <c r="CV40" i="11"/>
  <c r="CU10" i="11"/>
  <c r="AE19" i="11"/>
  <c r="AL20" i="8"/>
  <c r="CO33" i="11"/>
  <c r="E27" i="3"/>
  <c r="BL14" i="11"/>
  <c r="CR33" i="11"/>
  <c r="CQ18" i="11"/>
  <c r="CQ46" i="11"/>
  <c r="S11" i="5"/>
  <c r="Z7" i="5"/>
  <c r="W29" i="11"/>
  <c r="CO18" i="11"/>
  <c r="BI25" i="11"/>
  <c r="X62" i="11"/>
  <c r="CT42" i="11"/>
  <c r="AC11" i="11"/>
  <c r="X26" i="4"/>
  <c r="CQ29" i="11"/>
  <c r="X14" i="11"/>
  <c r="Y62" i="11"/>
  <c r="Z62" i="11"/>
  <c r="BI41" i="11"/>
  <c r="CW26" i="11"/>
  <c r="R27" i="3"/>
  <c r="CO62" i="11"/>
  <c r="Z53" i="5"/>
  <c r="FI33" i="11" s="1"/>
  <c r="R45" i="5"/>
  <c r="W19" i="11"/>
  <c r="X11" i="11"/>
  <c r="CQ33" i="11"/>
  <c r="BI40" i="11"/>
  <c r="BH42" i="11"/>
  <c r="CT46" i="11"/>
  <c r="CV18" i="11"/>
  <c r="AD62" i="11"/>
  <c r="AL19" i="8"/>
  <c r="CO26" i="11"/>
  <c r="C30" i="3"/>
  <c r="BM41" i="11"/>
  <c r="CO41" i="11"/>
  <c r="CP25" i="11"/>
  <c r="CR42" i="11"/>
  <c r="S53" i="5"/>
  <c r="FB33" i="11" s="1"/>
  <c r="Y11" i="11"/>
  <c r="CR19" i="11"/>
  <c r="BH33" i="11"/>
  <c r="W26" i="4"/>
  <c r="W9" i="5" s="1"/>
  <c r="FF62" i="11" s="1"/>
  <c r="CQ19" i="11"/>
  <c r="CQ17" i="11"/>
  <c r="Z14" i="11"/>
  <c r="Y25" i="11"/>
  <c r="DS42" i="11"/>
  <c r="BH41" i="11"/>
  <c r="BI14" i="11"/>
  <c r="CV46" i="11"/>
  <c r="CW11" i="11"/>
  <c r="AD40" i="11"/>
  <c r="F17" i="8"/>
  <c r="DL46" i="11"/>
  <c r="CQ40" i="11"/>
  <c r="BN29" i="11"/>
  <c r="CQ42" i="11"/>
  <c r="CQ10" i="11"/>
  <c r="CR25" i="11"/>
  <c r="CL62" i="11"/>
  <c r="CG25" i="11"/>
  <c r="DZ46" i="11"/>
  <c r="R21" i="5"/>
  <c r="BI33" i="11"/>
  <c r="CU26" i="11"/>
  <c r="CR41" i="11"/>
  <c r="Y40" i="11"/>
  <c r="BF26" i="11"/>
  <c r="CV10" i="11"/>
  <c r="CU14" i="11"/>
  <c r="FP42" i="11"/>
  <c r="AE62" i="11"/>
  <c r="F20" i="8"/>
  <c r="AH10" i="11"/>
  <c r="CP46" i="11"/>
  <c r="CQ26" i="11"/>
  <c r="BF41" i="11"/>
  <c r="CW46" i="11"/>
  <c r="S26" i="4"/>
  <c r="S9" i="5" s="1"/>
  <c r="FB62" i="11" s="1"/>
  <c r="AH19" i="11"/>
  <c r="CR14" i="11"/>
  <c r="CR26" i="11"/>
  <c r="BH10" i="11"/>
  <c r="CV11" i="11"/>
  <c r="CW10" i="11"/>
  <c r="AC14" i="11"/>
  <c r="CR46" i="11"/>
  <c r="AA25" i="5"/>
  <c r="AA53" i="5"/>
  <c r="FJ33" i="11" s="1"/>
  <c r="AL11" i="8"/>
  <c r="AL13" i="8"/>
  <c r="E20" i="3"/>
  <c r="R19" i="11"/>
  <c r="S14" i="11"/>
  <c r="S26" i="11"/>
  <c r="S40" i="11"/>
  <c r="R33" i="11"/>
  <c r="U29" i="11"/>
  <c r="Q53" i="5"/>
  <c r="EZ33" i="11" s="1"/>
  <c r="Q37" i="5"/>
  <c r="DA17" i="11"/>
  <c r="CY46" i="11"/>
  <c r="CZ17" i="11"/>
  <c r="CZ46" i="11"/>
  <c r="CY11" i="11"/>
  <c r="DB25" i="11"/>
  <c r="DA38" i="11"/>
  <c r="CY37" i="11"/>
  <c r="CY14" i="11"/>
  <c r="DT42" i="11"/>
  <c r="DB41" i="11"/>
  <c r="DB29" i="11"/>
  <c r="F13" i="8"/>
  <c r="R21" i="3"/>
  <c r="S10" i="11"/>
  <c r="T40" i="11"/>
  <c r="U40" i="11"/>
  <c r="CY41" i="11"/>
  <c r="DB37" i="11"/>
  <c r="T19" i="11"/>
  <c r="R62" i="11"/>
  <c r="CZ18" i="11"/>
  <c r="CY62" i="11"/>
  <c r="CZ40" i="11"/>
  <c r="AA17" i="5"/>
  <c r="U14" i="11"/>
  <c r="S11" i="11"/>
  <c r="Q17" i="5"/>
  <c r="CZ42" i="11"/>
  <c r="DA29" i="11"/>
  <c r="CY29" i="11"/>
  <c r="EE40" i="11"/>
  <c r="AA45" i="5"/>
  <c r="R14" i="11"/>
  <c r="Q48" i="5"/>
  <c r="DB11" i="11"/>
  <c r="CZ26" i="11"/>
  <c r="CZ41" i="11"/>
  <c r="AA64" i="5"/>
  <c r="AA48" i="5"/>
  <c r="E21" i="3"/>
  <c r="R19" i="3"/>
  <c r="E23" i="3"/>
  <c r="EA46" i="11"/>
  <c r="U25" i="11"/>
  <c r="R26" i="11"/>
  <c r="T14" i="11"/>
  <c r="U26" i="11"/>
  <c r="R11" i="11"/>
  <c r="T11" i="11"/>
  <c r="Q21" i="5"/>
  <c r="Q64" i="5"/>
  <c r="EZ40" i="11" s="1"/>
  <c r="DB19" i="11"/>
  <c r="CY25" i="11"/>
  <c r="DA33" i="11"/>
  <c r="CY42" i="11"/>
  <c r="DB14" i="11"/>
  <c r="DB17" i="11"/>
  <c r="DB40" i="11"/>
  <c r="CY33" i="11"/>
  <c r="DB10" i="11"/>
  <c r="U11" i="11"/>
  <c r="R10" i="11"/>
  <c r="Q11" i="5"/>
  <c r="CZ62" i="11"/>
  <c r="DB62" i="11"/>
  <c r="DB33" i="11"/>
  <c r="AA29" i="5"/>
  <c r="AL12" i="8"/>
  <c r="C19" i="3"/>
  <c r="T26" i="11"/>
  <c r="DA26" i="11"/>
  <c r="CZ14" i="11"/>
  <c r="F11" i="8"/>
  <c r="R40" i="11"/>
  <c r="Q40" i="5"/>
  <c r="EZ26" i="11" s="1"/>
  <c r="CZ33" i="11"/>
  <c r="DA37" i="11"/>
  <c r="F14" i="8"/>
  <c r="S25" i="11"/>
  <c r="U33" i="11"/>
  <c r="CZ38" i="11"/>
  <c r="CY18" i="11"/>
  <c r="T62" i="11"/>
  <c r="DA40" i="11"/>
  <c r="DA42" i="11"/>
  <c r="AA40" i="5"/>
  <c r="FJ26" i="11" s="1"/>
  <c r="AA21" i="5"/>
  <c r="F12" i="8"/>
  <c r="C20" i="3"/>
  <c r="R20" i="3"/>
  <c r="E19" i="3"/>
  <c r="C22" i="3"/>
  <c r="R29" i="11"/>
  <c r="Q7" i="5"/>
  <c r="DA46" i="11"/>
  <c r="DB18" i="11"/>
  <c r="Z26" i="4"/>
  <c r="AL14" i="8"/>
  <c r="U19" i="11"/>
  <c r="Q45" i="5"/>
  <c r="DA18" i="11"/>
  <c r="CZ29" i="11"/>
  <c r="DB42" i="11"/>
  <c r="T33" i="11"/>
  <c r="CY40" i="11"/>
  <c r="CZ11" i="11"/>
  <c r="C21" i="3"/>
  <c r="CZ19" i="11"/>
  <c r="F10" i="8"/>
  <c r="S29" i="11"/>
  <c r="CZ25" i="11"/>
  <c r="AA11" i="5"/>
  <c r="E22" i="3"/>
  <c r="C23" i="3"/>
  <c r="S33" i="11"/>
  <c r="R25" i="11"/>
  <c r="T25" i="11"/>
  <c r="S62" i="11"/>
  <c r="U62" i="11"/>
  <c r="T29" i="11"/>
  <c r="DA25" i="11"/>
  <c r="DA62" i="11"/>
  <c r="CZ10" i="11"/>
  <c r="DA11" i="11"/>
  <c r="DB26" i="11"/>
  <c r="CY19" i="11"/>
  <c r="CY38" i="11"/>
  <c r="CY10" i="11"/>
  <c r="DA19" i="11"/>
  <c r="CY17" i="11"/>
  <c r="DA14" i="11"/>
  <c r="R23" i="3"/>
  <c r="DA10" i="11"/>
  <c r="CZ37" i="11"/>
  <c r="AA7" i="5"/>
  <c r="R22" i="3"/>
  <c r="S19" i="11"/>
  <c r="DB46" i="11"/>
  <c r="DB38" i="11"/>
  <c r="AA37" i="5"/>
  <c r="T10" i="11"/>
  <c r="DA41" i="11"/>
  <c r="R26" i="4"/>
  <c r="R9" i="5" s="1"/>
  <c r="FA62" i="11" s="1"/>
  <c r="AL10" i="8"/>
  <c r="U10" i="11"/>
  <c r="CY26" i="11"/>
  <c r="AB64" i="5"/>
  <c r="AB11" i="5"/>
  <c r="DD40" i="11"/>
  <c r="DE18" i="11"/>
  <c r="DE41" i="11"/>
  <c r="DE62" i="11"/>
  <c r="DG37" i="11"/>
  <c r="DF42" i="11"/>
  <c r="DF62" i="11"/>
  <c r="DG14" i="11"/>
  <c r="DE19" i="11"/>
  <c r="M62" i="11"/>
  <c r="N19" i="11"/>
  <c r="M25" i="11"/>
  <c r="N40" i="11"/>
  <c r="N25" i="11"/>
  <c r="N33" i="11"/>
  <c r="P64" i="5"/>
  <c r="EY40" i="11" s="1"/>
  <c r="P11" i="5"/>
  <c r="DD62" i="11"/>
  <c r="DF33" i="11"/>
  <c r="DE29" i="11"/>
  <c r="P62" i="11"/>
  <c r="M11" i="11"/>
  <c r="AB37" i="5"/>
  <c r="AB45" i="5"/>
  <c r="AA26" i="4"/>
  <c r="DE25" i="11"/>
  <c r="DD10" i="11"/>
  <c r="DD14" i="11"/>
  <c r="DG25" i="11"/>
  <c r="DD26" i="11"/>
  <c r="DD29" i="11"/>
  <c r="DG11" i="11"/>
  <c r="DD42" i="11"/>
  <c r="DG29" i="11"/>
  <c r="O11" i="11"/>
  <c r="P29" i="11"/>
  <c r="M26" i="11"/>
  <c r="N62" i="11"/>
  <c r="N26" i="11"/>
  <c r="P21" i="5"/>
  <c r="AB40" i="5"/>
  <c r="FK26" i="11" s="1"/>
  <c r="DG33" i="11"/>
  <c r="DE37" i="11"/>
  <c r="DE42" i="11"/>
  <c r="M40" i="11"/>
  <c r="O26" i="11"/>
  <c r="P53" i="5"/>
  <c r="EY33" i="11" s="1"/>
  <c r="DD41" i="11"/>
  <c r="DE26" i="11"/>
  <c r="DF25" i="11"/>
  <c r="DG46" i="11"/>
  <c r="DE33" i="11"/>
  <c r="DF38" i="11"/>
  <c r="DE38" i="11"/>
  <c r="DF41" i="11"/>
  <c r="N29" i="11"/>
  <c r="O10" i="11"/>
  <c r="P26" i="11"/>
  <c r="P33" i="11"/>
  <c r="P14" i="11"/>
  <c r="P40" i="5"/>
  <c r="EY26" i="11" s="1"/>
  <c r="AB48" i="5"/>
  <c r="AB7" i="5"/>
  <c r="DF11" i="11"/>
  <c r="DG40" i="11"/>
  <c r="DF26" i="11"/>
  <c r="DD19" i="11"/>
  <c r="DF14" i="11"/>
  <c r="DG10" i="11"/>
  <c r="DF40" i="11"/>
  <c r="DF17" i="11"/>
  <c r="O14" i="11"/>
  <c r="M19" i="11"/>
  <c r="P19" i="11"/>
  <c r="M29" i="11"/>
  <c r="O19" i="11"/>
  <c r="M14" i="11"/>
  <c r="AB21" i="5"/>
  <c r="AB17" i="5"/>
  <c r="DF37" i="11"/>
  <c r="DD18" i="11"/>
  <c r="DE14" i="11"/>
  <c r="DE11" i="11"/>
  <c r="DG42" i="11"/>
  <c r="DF18" i="11"/>
  <c r="DG18" i="11"/>
  <c r="DE40" i="11"/>
  <c r="M10" i="11"/>
  <c r="P40" i="11"/>
  <c r="P11" i="11"/>
  <c r="O29" i="11"/>
  <c r="P48" i="5"/>
  <c r="P17" i="5"/>
  <c r="DU42" i="11"/>
  <c r="EF40" i="11"/>
  <c r="DD33" i="11"/>
  <c r="DG62" i="11"/>
  <c r="DD37" i="11"/>
  <c r="M33" i="11"/>
  <c r="P25" i="11"/>
  <c r="AB29" i="5"/>
  <c r="Q26" i="4"/>
  <c r="Q9" i="5" s="1"/>
  <c r="EZ62" i="11" s="1"/>
  <c r="DG38" i="11"/>
  <c r="DD38" i="11"/>
  <c r="O40" i="11"/>
  <c r="P45" i="5"/>
  <c r="DF10" i="11"/>
  <c r="O62" i="11"/>
  <c r="AB25" i="5"/>
  <c r="DD11" i="11"/>
  <c r="DD46" i="11"/>
  <c r="DG41" i="11"/>
  <c r="DF46" i="11"/>
  <c r="DG17" i="11"/>
  <c r="DF19" i="11"/>
  <c r="N14" i="11"/>
  <c r="P7" i="5"/>
  <c r="AB53" i="5"/>
  <c r="FK33" i="11" s="1"/>
  <c r="DE46" i="11"/>
  <c r="DD25" i="11"/>
  <c r="N10" i="11"/>
  <c r="DF29" i="11"/>
  <c r="DG19" i="11"/>
  <c r="O25" i="11"/>
  <c r="P10" i="11"/>
  <c r="DE10" i="11"/>
  <c r="DD17" i="11"/>
  <c r="O33" i="11"/>
  <c r="DG26" i="11"/>
  <c r="DE17" i="11"/>
  <c r="N11" i="11"/>
  <c r="P37" i="5"/>
  <c r="I10" i="11"/>
  <c r="K29" i="11"/>
  <c r="K25" i="11"/>
  <c r="I29" i="11"/>
  <c r="H11" i="11"/>
  <c r="H10" i="11"/>
  <c r="AC64" i="5"/>
  <c r="O11" i="5"/>
  <c r="I33" i="11"/>
  <c r="H62" i="11"/>
  <c r="AC40" i="5"/>
  <c r="FL26" i="11" s="1"/>
  <c r="O48" i="5"/>
  <c r="AC37" i="5"/>
  <c r="I14" i="11"/>
  <c r="K26" i="11"/>
  <c r="I11" i="11"/>
  <c r="AC11" i="5"/>
  <c r="K10" i="11"/>
  <c r="K14" i="11"/>
  <c r="H33" i="11"/>
  <c r="K40" i="11"/>
  <c r="J33" i="11"/>
  <c r="AC29" i="5"/>
  <c r="AC7" i="5"/>
  <c r="P26" i="4"/>
  <c r="P9" i="5" s="1"/>
  <c r="EY62" i="11" s="1"/>
  <c r="O53" i="5"/>
  <c r="EX33" i="11" s="1"/>
  <c r="H29" i="11"/>
  <c r="H25" i="11"/>
  <c r="K62" i="11"/>
  <c r="K11" i="11"/>
  <c r="AC17" i="5"/>
  <c r="O64" i="5"/>
  <c r="EX40" i="11" s="1"/>
  <c r="I26" i="11"/>
  <c r="J62" i="11"/>
  <c r="AB26" i="4"/>
  <c r="H26" i="11"/>
  <c r="J10" i="11"/>
  <c r="I25" i="11"/>
  <c r="J14" i="11"/>
  <c r="AC25" i="5"/>
  <c r="O40" i="5"/>
  <c r="EX26" i="11" s="1"/>
  <c r="O7" i="5"/>
  <c r="K19" i="11"/>
  <c r="I62" i="11"/>
  <c r="J19" i="11"/>
  <c r="I40" i="11"/>
  <c r="J26" i="11"/>
  <c r="O17" i="5"/>
  <c r="K33" i="11"/>
  <c r="J11" i="11"/>
  <c r="O37" i="5"/>
  <c r="J25" i="11"/>
  <c r="O45" i="5"/>
  <c r="H19" i="11"/>
  <c r="I19" i="11"/>
  <c r="J40" i="11"/>
  <c r="J29" i="11"/>
  <c r="AC53" i="5"/>
  <c r="FL33" i="11" s="1"/>
  <c r="AC21" i="5"/>
  <c r="O21" i="5"/>
  <c r="AC45" i="5"/>
  <c r="H40" i="11"/>
  <c r="H14" i="11"/>
  <c r="AC48" i="5"/>
  <c r="C19" i="11"/>
  <c r="D19" i="11"/>
  <c r="F40" i="11"/>
  <c r="C29" i="11"/>
  <c r="N37" i="5"/>
  <c r="N21" i="5"/>
  <c r="AD45" i="5"/>
  <c r="AD11" i="5"/>
  <c r="N17" i="5"/>
  <c r="AD64" i="5"/>
  <c r="AD37" i="5"/>
  <c r="N53" i="5"/>
  <c r="EW33" i="11" s="1"/>
  <c r="AD21" i="5"/>
  <c r="DV42" i="11"/>
  <c r="D40" i="11"/>
  <c r="F11" i="11"/>
  <c r="AD17" i="5"/>
  <c r="E19" i="11"/>
  <c r="C40" i="11"/>
  <c r="C33" i="11"/>
  <c r="F25" i="11"/>
  <c r="N40" i="5"/>
  <c r="EW26" i="11" s="1"/>
  <c r="D26" i="11"/>
  <c r="E11" i="11"/>
  <c r="D7" i="85" s="1"/>
  <c r="E33" i="11"/>
  <c r="D11" i="11"/>
  <c r="F29" i="11"/>
  <c r="N45" i="5"/>
  <c r="C11" i="11"/>
  <c r="D29" i="11"/>
  <c r="AD53" i="5"/>
  <c r="FM33" i="11" s="1"/>
  <c r="FQ42" i="11"/>
  <c r="E26" i="11"/>
  <c r="F26" i="11"/>
  <c r="D25" i="11"/>
  <c r="AC26" i="4"/>
  <c r="N7" i="5"/>
  <c r="AD40" i="5"/>
  <c r="FM26" i="11" s="1"/>
  <c r="O26" i="4"/>
  <c r="O9" i="5" s="1"/>
  <c r="EX62" i="11" s="1"/>
  <c r="F14" i="11"/>
  <c r="C26" i="11"/>
  <c r="C14" i="11"/>
  <c r="N48" i="5"/>
  <c r="N11" i="5"/>
  <c r="AD7" i="5"/>
  <c r="AD48" i="5"/>
  <c r="E14" i="11"/>
  <c r="E29" i="11"/>
  <c r="C25" i="11"/>
  <c r="E25" i="11"/>
  <c r="N64" i="5"/>
  <c r="EW40" i="11" s="1"/>
  <c r="AD29" i="5"/>
  <c r="AD25" i="5"/>
  <c r="D14" i="11"/>
  <c r="D33" i="11"/>
  <c r="E40" i="11"/>
  <c r="F19" i="11"/>
  <c r="F33" i="11"/>
  <c r="DX42" i="11"/>
  <c r="M45" i="5"/>
  <c r="AE45" i="5"/>
  <c r="AE64" i="5"/>
  <c r="EY41" i="11"/>
  <c r="M64" i="5"/>
  <c r="EV40" i="11" s="1"/>
  <c r="M53" i="5"/>
  <c r="EV33" i="11" s="1"/>
  <c r="AE25" i="5"/>
  <c r="M11" i="5"/>
  <c r="AE40" i="5"/>
  <c r="FN26" i="11" s="1"/>
  <c r="DY42" i="11"/>
  <c r="AE7" i="5"/>
  <c r="AE17" i="5"/>
  <c r="M17" i="5"/>
  <c r="M48" i="5"/>
  <c r="M40" i="5"/>
  <c r="EV26" i="11" s="1"/>
  <c r="AE37" i="5"/>
  <c r="AE21" i="5"/>
  <c r="M21" i="5"/>
  <c r="N26" i="4"/>
  <c r="N9" i="5" s="1"/>
  <c r="EW62" i="11" s="1"/>
  <c r="AD26" i="4"/>
  <c r="M7" i="5"/>
  <c r="AE48" i="5"/>
  <c r="AE11" i="5"/>
  <c r="M37" i="5"/>
  <c r="AE29" i="5"/>
  <c r="AE53" i="5"/>
  <c r="FN33" i="11" s="1"/>
  <c r="AF29" i="5"/>
  <c r="AF7" i="5"/>
  <c r="L17" i="5"/>
  <c r="L48" i="5"/>
  <c r="AF53" i="5"/>
  <c r="FO33" i="11" s="1"/>
  <c r="L7" i="5"/>
  <c r="L21" i="5"/>
  <c r="L37" i="5"/>
  <c r="AF21" i="5"/>
  <c r="L53" i="5"/>
  <c r="EU33" i="11" s="1"/>
  <c r="AF37" i="5"/>
  <c r="AF48" i="5"/>
  <c r="L11" i="5"/>
  <c r="AF11" i="5"/>
  <c r="AF17" i="5"/>
  <c r="EZ41" i="11"/>
  <c r="L45" i="5"/>
  <c r="AF40" i="5"/>
  <c r="FO26" i="11" s="1"/>
  <c r="AF45" i="5"/>
  <c r="AF64" i="5"/>
  <c r="M26" i="4"/>
  <c r="M9" i="5" s="1"/>
  <c r="EV62" i="11" s="1"/>
  <c r="L40" i="5"/>
  <c r="EU26" i="11" s="1"/>
  <c r="L64" i="5"/>
  <c r="EU40" i="11" s="1"/>
  <c r="DZ42" i="11"/>
  <c r="AF25" i="5"/>
  <c r="AE26" i="4"/>
  <c r="AG53" i="5"/>
  <c r="FP33" i="11" s="1"/>
  <c r="AG29" i="5"/>
  <c r="K37" i="5"/>
  <c r="L26" i="4"/>
  <c r="AF26" i="4"/>
  <c r="K48" i="5"/>
  <c r="AG17" i="5"/>
  <c r="K45" i="5"/>
  <c r="K64" i="5"/>
  <c r="ET40" i="11" s="1"/>
  <c r="AG25" i="5"/>
  <c r="AG7" i="5"/>
  <c r="K53" i="5"/>
  <c r="ET33" i="11" s="1"/>
  <c r="FA41" i="11"/>
  <c r="AG37" i="5"/>
  <c r="AG21" i="5"/>
  <c r="K17" i="5"/>
  <c r="AG11" i="5"/>
  <c r="AG45" i="5"/>
  <c r="K7" i="5"/>
  <c r="K40" i="5"/>
  <c r="ET26" i="11" s="1"/>
  <c r="AG40" i="5"/>
  <c r="FP26" i="11" s="1"/>
  <c r="K11" i="5"/>
  <c r="AG64" i="5"/>
  <c r="K21" i="5"/>
  <c r="J37" i="5"/>
  <c r="J40" i="5"/>
  <c r="ES26" i="11" s="1"/>
  <c r="AH64" i="5"/>
  <c r="AH45" i="5"/>
  <c r="K26" i="4"/>
  <c r="AH21" i="5"/>
  <c r="EC42" i="11"/>
  <c r="J64" i="5"/>
  <c r="ES40" i="11" s="1"/>
  <c r="J21" i="5"/>
  <c r="AH29" i="5"/>
  <c r="AH17" i="5"/>
  <c r="J17" i="5"/>
  <c r="AH37" i="5"/>
  <c r="AH40" i="5"/>
  <c r="FQ26" i="11" s="1"/>
  <c r="AH25" i="5"/>
  <c r="J53" i="5"/>
  <c r="ES33" i="11" s="1"/>
  <c r="J48" i="5"/>
  <c r="AH53" i="5"/>
  <c r="FQ33" i="11" s="1"/>
  <c r="AH11" i="5"/>
  <c r="FR42" i="11"/>
  <c r="J11" i="5"/>
  <c r="AG26" i="4"/>
  <c r="J45" i="5"/>
  <c r="AH7" i="5"/>
  <c r="FB41" i="11"/>
  <c r="EA42" i="11"/>
  <c r="J7" i="5"/>
  <c r="AI40" i="5"/>
  <c r="FR26" i="11" s="1"/>
  <c r="AI7" i="5"/>
  <c r="AH26" i="4"/>
  <c r="AI17" i="5"/>
  <c r="ED42" i="11"/>
  <c r="AI37" i="5"/>
  <c r="AI45" i="5"/>
  <c r="AI11" i="5"/>
  <c r="AI29" i="5"/>
  <c r="AI64" i="5"/>
  <c r="AI25" i="5"/>
  <c r="AI21" i="5"/>
  <c r="FC41" i="11"/>
  <c r="FD42" i="11"/>
  <c r="AJ29" i="5"/>
  <c r="AI26" i="4"/>
  <c r="EE42" i="11"/>
  <c r="ED41" i="11"/>
  <c r="AJ37" i="5"/>
  <c r="AJ11" i="5"/>
  <c r="FS33" i="11"/>
  <c r="AJ64" i="5"/>
  <c r="FD41" i="11"/>
  <c r="V84" i="1"/>
  <c r="U35" i="1"/>
  <c r="T116" i="1"/>
  <c r="U116" i="1" s="1"/>
  <c r="U86" i="1"/>
  <c r="Y125" i="1"/>
  <c r="Y126" i="1"/>
  <c r="N122" i="67"/>
  <c r="N88" i="67"/>
  <c r="O121" i="67"/>
  <c r="P112" i="1"/>
  <c r="Q82" i="1"/>
  <c r="V122" i="8"/>
  <c r="X122" i="8" s="1"/>
  <c r="K125" i="3"/>
  <c r="K124" i="3"/>
  <c r="J124" i="3"/>
  <c r="DN82" i="11"/>
  <c r="U121" i="1"/>
  <c r="U111" i="1"/>
  <c r="T141" i="1"/>
  <c r="Z141" i="1" s="1"/>
  <c r="N15" i="1"/>
  <c r="V53" i="1"/>
  <c r="I134" i="3"/>
  <c r="V51" i="1"/>
  <c r="R43" i="1"/>
  <c r="V125" i="8"/>
  <c r="X125" i="8" s="1"/>
  <c r="J128" i="3"/>
  <c r="J127" i="3"/>
  <c r="DQ82" i="11"/>
  <c r="M100" i="3"/>
  <c r="AH144" i="1"/>
  <c r="J125" i="67"/>
  <c r="J91" i="67"/>
  <c r="V118" i="8"/>
  <c r="X118" i="8" s="1"/>
  <c r="Z118" i="8" s="1"/>
  <c r="J120" i="3"/>
  <c r="J121" i="3"/>
  <c r="DL82" i="11"/>
  <c r="I133" i="3"/>
  <c r="M11" i="1"/>
  <c r="J16" i="1"/>
  <c r="U85" i="1"/>
  <c r="T115" i="1"/>
  <c r="U115" i="1" s="1"/>
  <c r="V56" i="1"/>
  <c r="AH161" i="1"/>
  <c r="X106" i="3"/>
  <c r="FS42" i="11"/>
  <c r="EF42" i="11"/>
  <c r="I161" i="3" l="1"/>
  <c r="K161" i="3" s="1"/>
  <c r="T137" i="54"/>
  <c r="J137" i="54"/>
  <c r="E139" i="54"/>
  <c r="I138" i="54"/>
  <c r="F138" i="54"/>
  <c r="V157" i="8"/>
  <c r="AR37" i="5"/>
  <c r="AR64" i="5"/>
  <c r="AR29" i="5"/>
  <c r="D27" i="85"/>
  <c r="D19" i="85"/>
  <c r="D18" i="85"/>
  <c r="H18" i="85" s="1"/>
  <c r="AI54" i="4"/>
  <c r="FR70" i="11" s="1"/>
  <c r="I141" i="3"/>
  <c r="EA82" i="11" s="1"/>
  <c r="I140" i="3"/>
  <c r="DZ82" i="11" s="1"/>
  <c r="DQ65" i="11"/>
  <c r="D42" i="85"/>
  <c r="EI41" i="11"/>
  <c r="EI40" i="11"/>
  <c r="BU50" i="11"/>
  <c r="BZ50" i="11"/>
  <c r="EJ42" i="11"/>
  <c r="I138" i="3"/>
  <c r="DX82" i="11" s="1"/>
  <c r="CY63" i="11"/>
  <c r="BF12" i="11"/>
  <c r="BF51" i="11" s="1"/>
  <c r="DD65" i="11"/>
  <c r="AQ65" i="11"/>
  <c r="BU12" i="11"/>
  <c r="BU23" i="11" s="1"/>
  <c r="AI66" i="4"/>
  <c r="AJ64" i="4" s="1"/>
  <c r="CT51" i="11"/>
  <c r="CO65" i="11"/>
  <c r="AG41" i="4"/>
  <c r="DZ63" i="11"/>
  <c r="CR65" i="11"/>
  <c r="AG12" i="11"/>
  <c r="AG51" i="11" s="1"/>
  <c r="D10" i="11"/>
  <c r="D12" i="11" s="1"/>
  <c r="D51" i="11" s="1"/>
  <c r="DL51" i="11"/>
  <c r="AX12" i="11"/>
  <c r="AX51" i="11" s="1"/>
  <c r="CU65" i="11"/>
  <c r="CG65" i="11"/>
  <c r="CO50" i="11"/>
  <c r="AL12" i="11"/>
  <c r="AL51" i="11" s="1"/>
  <c r="AW50" i="11"/>
  <c r="G82" i="3"/>
  <c r="AF82" i="3" s="1"/>
  <c r="AE50" i="11"/>
  <c r="CC65" i="11"/>
  <c r="AC173" i="1"/>
  <c r="CO51" i="11"/>
  <c r="CP51" i="11"/>
  <c r="BL50" i="11"/>
  <c r="CT63" i="11"/>
  <c r="AI38" i="11"/>
  <c r="AB37" i="11"/>
  <c r="AG65" i="11" s="1"/>
  <c r="AD37" i="11"/>
  <c r="AI65" i="11" s="1"/>
  <c r="M15" i="1"/>
  <c r="M50" i="11"/>
  <c r="R50" i="11"/>
  <c r="Z124" i="8"/>
  <c r="AJ38" i="11"/>
  <c r="DD63" i="11"/>
  <c r="G89" i="3"/>
  <c r="O89" i="3" s="1"/>
  <c r="DP50" i="11"/>
  <c r="CY65" i="11"/>
  <c r="BZ65" i="11"/>
  <c r="BA65" i="11"/>
  <c r="BI50" i="11"/>
  <c r="Z50" i="11"/>
  <c r="AD12" i="11"/>
  <c r="AD51" i="11" s="1"/>
  <c r="DA65" i="11"/>
  <c r="AT12" i="11"/>
  <c r="AT51" i="11" s="1"/>
  <c r="G78" i="3"/>
  <c r="O78" i="3" s="1"/>
  <c r="CR63" i="11"/>
  <c r="X12" i="11"/>
  <c r="X51" i="11" s="1"/>
  <c r="DE65" i="11"/>
  <c r="CZ63" i="11"/>
  <c r="CU63" i="11"/>
  <c r="S50" i="11"/>
  <c r="CU50" i="11"/>
  <c r="BG12" i="11"/>
  <c r="BG51" i="11" s="1"/>
  <c r="G104" i="3"/>
  <c r="AF104" i="3" s="1"/>
  <c r="CR51" i="11"/>
  <c r="K12" i="11"/>
  <c r="K51" i="11" s="1"/>
  <c r="BN50" i="11"/>
  <c r="G43" i="3"/>
  <c r="O43" i="3" s="1"/>
  <c r="G106" i="3"/>
  <c r="AF106" i="3" s="1"/>
  <c r="AD50" i="11"/>
  <c r="AS12" i="11"/>
  <c r="AS51" i="11" s="1"/>
  <c r="G63" i="3"/>
  <c r="O63" i="3" s="1"/>
  <c r="AS50" i="11"/>
  <c r="G70" i="3"/>
  <c r="O70" i="3" s="1"/>
  <c r="Y12" i="11"/>
  <c r="Y51" i="11" s="1"/>
  <c r="G58" i="3"/>
  <c r="O58" i="3" s="1"/>
  <c r="G65" i="3"/>
  <c r="AF65" i="3" s="1"/>
  <c r="G118" i="3"/>
  <c r="AF118" i="3" s="1"/>
  <c r="BV65" i="11"/>
  <c r="AN65" i="11"/>
  <c r="DO65" i="11"/>
  <c r="BB65" i="11"/>
  <c r="BH65" i="11"/>
  <c r="AX65" i="11"/>
  <c r="CP65" i="11"/>
  <c r="G20" i="3"/>
  <c r="AF20" i="3" s="1"/>
  <c r="G71" i="3"/>
  <c r="AF71" i="3" s="1"/>
  <c r="G40" i="3"/>
  <c r="O40" i="3" s="1"/>
  <c r="G98" i="3"/>
  <c r="O98" i="3" s="1"/>
  <c r="G47" i="3"/>
  <c r="AF47" i="3" s="1"/>
  <c r="G99" i="3"/>
  <c r="AF99" i="3" s="1"/>
  <c r="G54" i="3"/>
  <c r="AF54" i="3" s="1"/>
  <c r="G33" i="3"/>
  <c r="O33" i="3" s="1"/>
  <c r="G61" i="3"/>
  <c r="O61" i="3" s="1"/>
  <c r="G35" i="3"/>
  <c r="AF35" i="3" s="1"/>
  <c r="G85" i="3"/>
  <c r="AF85" i="3" s="1"/>
  <c r="G34" i="3"/>
  <c r="AF34" i="3" s="1"/>
  <c r="G26" i="3"/>
  <c r="AF26" i="3" s="1"/>
  <c r="G36" i="3"/>
  <c r="O36" i="3" s="1"/>
  <c r="G83" i="3"/>
  <c r="O83" i="3" s="1"/>
  <c r="CV50" i="11"/>
  <c r="W12" i="11"/>
  <c r="W51" i="11" s="1"/>
  <c r="DK65" i="11"/>
  <c r="AG50" i="11"/>
  <c r="AE12" i="11"/>
  <c r="AE51" i="11" s="1"/>
  <c r="BX12" i="11"/>
  <c r="BX23" i="11" s="1"/>
  <c r="BX27" i="11" s="1"/>
  <c r="DJ50" i="11"/>
  <c r="AL50" i="11"/>
  <c r="BL12" i="11"/>
  <c r="BL51" i="11" s="1"/>
  <c r="DI51" i="11"/>
  <c r="AJ50" i="11"/>
  <c r="AW12" i="11"/>
  <c r="AW51" i="11" s="1"/>
  <c r="CH12" i="11"/>
  <c r="CH23" i="11" s="1"/>
  <c r="DF50" i="11"/>
  <c r="DD50" i="11"/>
  <c r="R12" i="11"/>
  <c r="R51" i="11" s="1"/>
  <c r="CY50" i="11"/>
  <c r="AQ50" i="11"/>
  <c r="BM12" i="11"/>
  <c r="BM51" i="11" s="1"/>
  <c r="F16" i="11"/>
  <c r="F23" i="11" s="1"/>
  <c r="DF51" i="11"/>
  <c r="M12" i="11"/>
  <c r="M51" i="11" s="1"/>
  <c r="CY51" i="11"/>
  <c r="BF65" i="11"/>
  <c r="AB50" i="11"/>
  <c r="CJ63" i="11"/>
  <c r="BP50" i="11"/>
  <c r="AQ12" i="11"/>
  <c r="AQ51" i="11" s="1"/>
  <c r="CJ51" i="11"/>
  <c r="DS63" i="11"/>
  <c r="CJ50" i="11"/>
  <c r="CT65" i="11"/>
  <c r="BP65" i="11"/>
  <c r="DN65" i="11"/>
  <c r="DA50" i="11"/>
  <c r="J12" i="11"/>
  <c r="J51" i="11" s="1"/>
  <c r="DB65" i="11"/>
  <c r="CZ51" i="11"/>
  <c r="Z12" i="11"/>
  <c r="Z51" i="11" s="1"/>
  <c r="BG65" i="11"/>
  <c r="BD65" i="11"/>
  <c r="G28" i="3"/>
  <c r="AF28" i="3" s="1"/>
  <c r="G107" i="3"/>
  <c r="O107" i="3" s="1"/>
  <c r="AT65" i="11"/>
  <c r="AH12" i="11"/>
  <c r="AH51" i="11" s="1"/>
  <c r="CM65" i="11"/>
  <c r="G29" i="3"/>
  <c r="O29" i="3" s="1"/>
  <c r="G100" i="3"/>
  <c r="AF100" i="3" s="1"/>
  <c r="DJ63" i="11"/>
  <c r="DF65" i="11"/>
  <c r="DA63" i="11"/>
  <c r="AC50" i="11"/>
  <c r="I12" i="11"/>
  <c r="I51" i="11" s="1"/>
  <c r="P50" i="11"/>
  <c r="CZ50" i="11"/>
  <c r="DB50" i="11"/>
  <c r="DA51" i="11"/>
  <c r="CW51" i="11"/>
  <c r="G49" i="3"/>
  <c r="O49" i="3" s="1"/>
  <c r="BM50" i="11"/>
  <c r="DT63" i="11"/>
  <c r="BN12" i="11"/>
  <c r="BN51" i="11" s="1"/>
  <c r="BV12" i="11"/>
  <c r="BV51" i="11" s="1"/>
  <c r="G50" i="3"/>
  <c r="AF50" i="3" s="1"/>
  <c r="DK50" i="11"/>
  <c r="DP63" i="11"/>
  <c r="O50" i="11"/>
  <c r="U50" i="11"/>
  <c r="G113" i="3"/>
  <c r="O113" i="3" s="1"/>
  <c r="G84" i="3"/>
  <c r="AF84" i="3" s="1"/>
  <c r="Z123" i="8"/>
  <c r="N12" i="11"/>
  <c r="N51" i="11" s="1"/>
  <c r="DG63" i="11"/>
  <c r="DF63" i="11"/>
  <c r="O12" i="11"/>
  <c r="O51" i="11" s="1"/>
  <c r="CQ51" i="11"/>
  <c r="Y50" i="11"/>
  <c r="G105" i="3"/>
  <c r="O105" i="3" s="1"/>
  <c r="DK51" i="11"/>
  <c r="G16" i="3"/>
  <c r="Z125" i="8"/>
  <c r="G55" i="3"/>
  <c r="O55" i="3" s="1"/>
  <c r="I50" i="11"/>
  <c r="P12" i="11"/>
  <c r="P51" i="11" s="1"/>
  <c r="T50" i="11"/>
  <c r="AC12" i="11"/>
  <c r="AC51" i="11" s="1"/>
  <c r="BM65" i="11"/>
  <c r="CK63" i="11"/>
  <c r="DO63" i="11"/>
  <c r="AM50" i="11"/>
  <c r="G64" i="3"/>
  <c r="AF64" i="3" s="1"/>
  <c r="CF23" i="11"/>
  <c r="CF47" i="11" s="1"/>
  <c r="AM12" i="11"/>
  <c r="AM51" i="11" s="1"/>
  <c r="CK51" i="11"/>
  <c r="BQ50" i="11"/>
  <c r="DL50" i="11"/>
  <c r="O14" i="83"/>
  <c r="O62" i="83" s="1"/>
  <c r="O111" i="83" s="1"/>
  <c r="AJ30" i="5"/>
  <c r="FS18" i="11"/>
  <c r="AK60" i="9"/>
  <c r="FQ14" i="11"/>
  <c r="M10" i="83"/>
  <c r="AH18" i="5"/>
  <c r="O38" i="5"/>
  <c r="EX25" i="11"/>
  <c r="EX11" i="11"/>
  <c r="EX22" i="11" s="1"/>
  <c r="O12" i="5"/>
  <c r="O14" i="5"/>
  <c r="FJ19" i="11"/>
  <c r="AA22" i="5"/>
  <c r="AD61" i="9"/>
  <c r="CW63" i="11"/>
  <c r="FA11" i="11"/>
  <c r="FA22" i="11" s="1"/>
  <c r="R14" i="5"/>
  <c r="R12" i="5"/>
  <c r="T36" i="3"/>
  <c r="D34" i="8"/>
  <c r="AI63" i="11"/>
  <c r="T77" i="3"/>
  <c r="D75" i="8"/>
  <c r="FF11" i="11"/>
  <c r="FF22" i="11" s="1"/>
  <c r="W14" i="5"/>
  <c r="W12" i="5"/>
  <c r="DT21" i="11"/>
  <c r="DT52" i="11" s="1"/>
  <c r="DT16" i="11"/>
  <c r="DT23" i="11" s="1"/>
  <c r="DT47" i="11" s="1"/>
  <c r="DT61" i="11"/>
  <c r="D33" i="8"/>
  <c r="T35" i="3"/>
  <c r="T69" i="3"/>
  <c r="D67" i="8"/>
  <c r="R87" i="8"/>
  <c r="T83" i="8"/>
  <c r="AJ83" i="8"/>
  <c r="AH87" i="8"/>
  <c r="C15" i="83"/>
  <c r="AA61" i="9"/>
  <c r="AA66" i="9" s="1"/>
  <c r="AA70" i="9" s="1"/>
  <c r="FG19" i="11"/>
  <c r="X22" i="5"/>
  <c r="T101" i="8"/>
  <c r="R102" i="8"/>
  <c r="AJ101" i="8"/>
  <c r="AH102" i="8"/>
  <c r="E264" i="54"/>
  <c r="F263" i="54"/>
  <c r="M127" i="3"/>
  <c r="O127" i="3" s="1"/>
  <c r="V127" i="3"/>
  <c r="W123" i="67"/>
  <c r="X88" i="67"/>
  <c r="N12" i="5"/>
  <c r="EW11" i="11"/>
  <c r="EW22" i="11" s="1"/>
  <c r="N14" i="5"/>
  <c r="DE50" i="11"/>
  <c r="BD61" i="11"/>
  <c r="BD16" i="11"/>
  <c r="BD23" i="11" s="1"/>
  <c r="CH63" i="11"/>
  <c r="BI63" i="11"/>
  <c r="G69" i="3"/>
  <c r="BR16" i="11"/>
  <c r="BR61" i="11"/>
  <c r="T42" i="3"/>
  <c r="D40" i="8"/>
  <c r="DY50" i="11"/>
  <c r="DS65" i="11"/>
  <c r="DN61" i="11"/>
  <c r="DN16" i="11"/>
  <c r="DN23" i="11" s="1"/>
  <c r="DN47" i="11" s="1"/>
  <c r="DN21" i="11"/>
  <c r="DN52" i="11" s="1"/>
  <c r="CL12" i="11"/>
  <c r="CL23" i="11" s="1"/>
  <c r="CL47" i="11" s="1"/>
  <c r="CL22" i="11"/>
  <c r="EA16" i="11"/>
  <c r="EA61" i="11"/>
  <c r="EA21" i="11"/>
  <c r="DU65" i="11"/>
  <c r="R115" i="8"/>
  <c r="AJ111" i="8"/>
  <c r="AH115" i="8"/>
  <c r="X165" i="1"/>
  <c r="AD165" i="1" s="1"/>
  <c r="X180" i="1"/>
  <c r="AC180" i="1" s="1"/>
  <c r="Y160" i="1"/>
  <c r="FP82" i="11"/>
  <c r="T42" i="67"/>
  <c r="FO82" i="11"/>
  <c r="S42" i="67"/>
  <c r="L85" i="1"/>
  <c r="R85" i="1" s="1"/>
  <c r="M55" i="1"/>
  <c r="R55" i="1" s="1"/>
  <c r="J38" i="5"/>
  <c r="ES25" i="11"/>
  <c r="L18" i="5"/>
  <c r="O60" i="9"/>
  <c r="O65" i="9" s="1"/>
  <c r="O69" i="9" s="1"/>
  <c r="EU14" i="11"/>
  <c r="EV14" i="11"/>
  <c r="P60" i="9"/>
  <c r="P65" i="9" s="1"/>
  <c r="P69" i="9" s="1"/>
  <c r="M18" i="5"/>
  <c r="I27" i="83"/>
  <c r="FM40" i="11"/>
  <c r="P11" i="4"/>
  <c r="EY10" i="11"/>
  <c r="P8" i="5"/>
  <c r="S59" i="9"/>
  <c r="S64" i="9" s="1"/>
  <c r="S68" i="9" s="1"/>
  <c r="CW16" i="11"/>
  <c r="CW23" i="11" s="1"/>
  <c r="CW61" i="11"/>
  <c r="CW21" i="11"/>
  <c r="CW52" i="11" s="1"/>
  <c r="BF61" i="11"/>
  <c r="BF16" i="11"/>
  <c r="BF23" i="11" s="1"/>
  <c r="T28" i="3"/>
  <c r="D26" i="8"/>
  <c r="CA16" i="11"/>
  <c r="CA61" i="11"/>
  <c r="DN50" i="11"/>
  <c r="AB63" i="11"/>
  <c r="BN63" i="11"/>
  <c r="AI26" i="5"/>
  <c r="N13" i="83"/>
  <c r="N61" i="83" s="1"/>
  <c r="FR17" i="11"/>
  <c r="K13" i="83"/>
  <c r="FO17" i="11"/>
  <c r="AF26" i="5"/>
  <c r="EU29" i="11"/>
  <c r="AB11" i="4"/>
  <c r="AE59" i="9"/>
  <c r="AB8" i="5"/>
  <c r="FK10" i="11"/>
  <c r="AD59" i="9"/>
  <c r="AA8" i="5"/>
  <c r="FJ10" i="11"/>
  <c r="AA11" i="4"/>
  <c r="AA7" i="4" s="1"/>
  <c r="FJ76" i="11" s="1"/>
  <c r="U63" i="11"/>
  <c r="DB61" i="11"/>
  <c r="DB21" i="11"/>
  <c r="DB52" i="11" s="1"/>
  <c r="DB16" i="11"/>
  <c r="DB23" i="11" s="1"/>
  <c r="BH61" i="11"/>
  <c r="BH16" i="11"/>
  <c r="BH23" i="11" s="1"/>
  <c r="G42" i="3"/>
  <c r="BL61" i="11"/>
  <c r="BL16" i="11"/>
  <c r="BL23" i="11" s="1"/>
  <c r="BL47" i="11" s="1"/>
  <c r="AI14" i="3"/>
  <c r="AK14" i="3" s="1"/>
  <c r="V14" i="3"/>
  <c r="X14" i="3" s="1"/>
  <c r="AV50" i="11"/>
  <c r="AO12" i="11"/>
  <c r="AO51" i="11" s="1"/>
  <c r="AN61" i="11"/>
  <c r="AN16" i="11"/>
  <c r="AN23" i="11" s="1"/>
  <c r="FF29" i="11"/>
  <c r="V11" i="4"/>
  <c r="Y59" i="9"/>
  <c r="FE10" i="11"/>
  <c r="V8" i="5"/>
  <c r="AQ63" i="11"/>
  <c r="FG40" i="11"/>
  <c r="C27" i="83"/>
  <c r="DV50" i="11"/>
  <c r="BB50" i="11"/>
  <c r="FD11" i="11"/>
  <c r="FD22" i="11" s="1"/>
  <c r="U14" i="5"/>
  <c r="U12" i="5"/>
  <c r="DS21" i="11"/>
  <c r="DS52" i="11" s="1"/>
  <c r="DS16" i="11"/>
  <c r="DS23" i="11" s="1"/>
  <c r="DS47" i="11" s="1"/>
  <c r="DS61" i="11"/>
  <c r="D60" i="8"/>
  <c r="T62" i="3"/>
  <c r="BZ61" i="11"/>
  <c r="BZ16" i="11"/>
  <c r="T46" i="8"/>
  <c r="R47" i="8"/>
  <c r="AJ46" i="8"/>
  <c r="AH47" i="8"/>
  <c r="N14" i="83"/>
  <c r="N62" i="83" s="1"/>
  <c r="N111" i="83" s="1"/>
  <c r="AI30" i="5"/>
  <c r="FR18" i="11"/>
  <c r="J12" i="5"/>
  <c r="J14" i="5"/>
  <c r="ES11" i="11"/>
  <c r="ES22" i="11" s="1"/>
  <c r="AJ32" i="5"/>
  <c r="FS11" i="11"/>
  <c r="AJ12" i="5"/>
  <c r="AI32" i="5"/>
  <c r="AI12" i="5"/>
  <c r="FR11" i="11"/>
  <c r="AI14" i="5"/>
  <c r="J18" i="5"/>
  <c r="J19" i="5" s="1"/>
  <c r="M60" i="9"/>
  <c r="M65" i="9" s="1"/>
  <c r="M69" i="9" s="1"/>
  <c r="ES14" i="11"/>
  <c r="FQ29" i="11"/>
  <c r="AH48" i="5"/>
  <c r="M21" i="83"/>
  <c r="M69" i="83" s="1"/>
  <c r="FO11" i="11"/>
  <c r="AF32" i="5"/>
  <c r="AF12" i="5"/>
  <c r="AF14" i="5"/>
  <c r="EU10" i="11"/>
  <c r="L8" i="5"/>
  <c r="O59" i="9"/>
  <c r="O64" i="9" s="1"/>
  <c r="O68" i="9" s="1"/>
  <c r="L11" i="4"/>
  <c r="M38" i="5"/>
  <c r="EV25" i="11"/>
  <c r="AE38" i="5"/>
  <c r="J18" i="83"/>
  <c r="FN25" i="11"/>
  <c r="EV11" i="11"/>
  <c r="EV22" i="11" s="1"/>
  <c r="M14" i="5"/>
  <c r="M12" i="5"/>
  <c r="FM17" i="11"/>
  <c r="I13" i="83"/>
  <c r="AD26" i="5"/>
  <c r="F50" i="11"/>
  <c r="E10" i="11"/>
  <c r="E16" i="11" s="1"/>
  <c r="E23" i="11" s="1"/>
  <c r="FM19" i="11"/>
  <c r="AG61" i="9"/>
  <c r="AD22" i="5"/>
  <c r="EW25" i="11"/>
  <c r="N38" i="5"/>
  <c r="H50" i="11"/>
  <c r="H10" i="83"/>
  <c r="FL14" i="11"/>
  <c r="AF60" i="9"/>
  <c r="AC18" i="5"/>
  <c r="FL10" i="11"/>
  <c r="AC11" i="4"/>
  <c r="AF59" i="9"/>
  <c r="AC8" i="5"/>
  <c r="FL11" i="11"/>
  <c r="AC12" i="5"/>
  <c r="AC14" i="5"/>
  <c r="AC32" i="5"/>
  <c r="I16" i="11"/>
  <c r="I23" i="11" s="1"/>
  <c r="DD51" i="11"/>
  <c r="O63" i="11"/>
  <c r="FK40" i="11"/>
  <c r="G27" i="83"/>
  <c r="FJ25" i="11"/>
  <c r="F18" i="83"/>
  <c r="AA38" i="5"/>
  <c r="DB51" i="11"/>
  <c r="T12" i="11"/>
  <c r="T51" i="11" s="1"/>
  <c r="T19" i="3"/>
  <c r="AI19" i="3" s="1"/>
  <c r="D17" i="8"/>
  <c r="L17" i="8" s="1"/>
  <c r="S12" i="11"/>
  <c r="S51" i="11" s="1"/>
  <c r="F13" i="83"/>
  <c r="FJ17" i="11"/>
  <c r="AA26" i="5"/>
  <c r="AH63" i="11"/>
  <c r="T19" i="8"/>
  <c r="R20" i="8"/>
  <c r="AJ19" i="8"/>
  <c r="AH20" i="8"/>
  <c r="G30" i="3"/>
  <c r="CP22" i="11"/>
  <c r="CP12" i="11"/>
  <c r="CP23" i="11" s="1"/>
  <c r="CP47" i="11" s="1"/>
  <c r="CU22" i="11"/>
  <c r="CU12" i="11"/>
  <c r="T17" i="8"/>
  <c r="R18" i="8"/>
  <c r="AJ17" i="8"/>
  <c r="AH18" i="8"/>
  <c r="BI16" i="11"/>
  <c r="BI23" i="11" s="1"/>
  <c r="BI61" i="11"/>
  <c r="W61" i="11"/>
  <c r="W16" i="11"/>
  <c r="W23" i="11" s="1"/>
  <c r="BI12" i="11"/>
  <c r="BI51" i="11" s="1"/>
  <c r="U59" i="9"/>
  <c r="R11" i="4"/>
  <c r="R8" i="5"/>
  <c r="FA10" i="11"/>
  <c r="G57" i="3"/>
  <c r="CT16" i="11"/>
  <c r="CT23" i="11" s="1"/>
  <c r="CT47" i="11" s="1"/>
  <c r="CT21" i="11"/>
  <c r="CT52" i="11" s="1"/>
  <c r="CT61" i="11"/>
  <c r="BM63" i="11"/>
  <c r="DX61" i="11"/>
  <c r="DX21" i="11"/>
  <c r="DX16" i="11"/>
  <c r="AJ61" i="11"/>
  <c r="AJ16" i="11"/>
  <c r="AJ23" i="11" s="1"/>
  <c r="CW50" i="11"/>
  <c r="CT50" i="11"/>
  <c r="CM63" i="11"/>
  <c r="CH16" i="11"/>
  <c r="CH61" i="11"/>
  <c r="DJ65" i="11"/>
  <c r="BL63" i="11"/>
  <c r="T49" i="3"/>
  <c r="D47" i="8"/>
  <c r="CW65" i="11"/>
  <c r="BK65" i="11"/>
  <c r="FD19" i="11"/>
  <c r="X61" i="9"/>
  <c r="X66" i="9" s="1"/>
  <c r="X70" i="9" s="1"/>
  <c r="U22" i="5"/>
  <c r="BH12" i="11"/>
  <c r="BH51" i="11" s="1"/>
  <c r="BM61" i="11"/>
  <c r="BM16" i="11"/>
  <c r="BM23" i="11" s="1"/>
  <c r="R38" i="8"/>
  <c r="T34" i="8"/>
  <c r="AJ34" i="8"/>
  <c r="AH38" i="8"/>
  <c r="G27" i="3"/>
  <c r="AB12" i="11"/>
  <c r="AB51" i="11" s="1"/>
  <c r="CK65" i="11"/>
  <c r="AF128" i="3"/>
  <c r="T26" i="8"/>
  <c r="R27" i="8"/>
  <c r="AJ26" i="8"/>
  <c r="AH27" i="8"/>
  <c r="CE61" i="11"/>
  <c r="CE16" i="11"/>
  <c r="G97" i="3"/>
  <c r="AD61" i="11"/>
  <c r="AD16" i="11"/>
  <c r="AD23" i="11" s="1"/>
  <c r="AY63" i="11"/>
  <c r="CH50" i="11"/>
  <c r="T72" i="3"/>
  <c r="V72" i="3" s="1"/>
  <c r="D70" i="8"/>
  <c r="BR12" i="11"/>
  <c r="BR23" i="11" s="1"/>
  <c r="BR47" i="11" s="1"/>
  <c r="DT51" i="11"/>
  <c r="CO16" i="11"/>
  <c r="CO61" i="11"/>
  <c r="CO21" i="11"/>
  <c r="CO52" i="11" s="1"/>
  <c r="BD50" i="11"/>
  <c r="W38" i="5"/>
  <c r="FF25" i="11"/>
  <c r="T103" i="8"/>
  <c r="R104" i="8"/>
  <c r="AJ103" i="8"/>
  <c r="AH104" i="8"/>
  <c r="AX50" i="11"/>
  <c r="AW61" i="11"/>
  <c r="AW16" i="11"/>
  <c r="AW23" i="11" s="1"/>
  <c r="DS50" i="11"/>
  <c r="R24" i="8"/>
  <c r="T20" i="8"/>
  <c r="AJ20" i="8"/>
  <c r="AH24" i="8"/>
  <c r="D80" i="8"/>
  <c r="T82" i="3"/>
  <c r="DZ22" i="11"/>
  <c r="DZ12" i="11"/>
  <c r="T52" i="8"/>
  <c r="R53" i="8"/>
  <c r="AJ52" i="8"/>
  <c r="AH53" i="8"/>
  <c r="G114" i="3"/>
  <c r="BS12" i="11"/>
  <c r="BS23" i="11" s="1"/>
  <c r="BS47" i="11" s="1"/>
  <c r="BD63" i="11"/>
  <c r="S38" i="5"/>
  <c r="FB25" i="11"/>
  <c r="AS61" i="11"/>
  <c r="AS16" i="11"/>
  <c r="AS23" i="11" s="1"/>
  <c r="BC50" i="11"/>
  <c r="W11" i="4"/>
  <c r="FF10" i="11"/>
  <c r="Z59" i="9"/>
  <c r="W8" i="5"/>
  <c r="G75" i="3"/>
  <c r="CC12" i="11"/>
  <c r="CC23" i="11" s="1"/>
  <c r="CC47" i="11" s="1"/>
  <c r="BW50" i="11"/>
  <c r="G93" i="3"/>
  <c r="G62" i="3"/>
  <c r="CK12" i="11"/>
  <c r="CK23" i="11" s="1"/>
  <c r="CK22" i="11"/>
  <c r="DL63" i="11"/>
  <c r="E15" i="83"/>
  <c r="Z22" i="5"/>
  <c r="FI19" i="11"/>
  <c r="AC61" i="9"/>
  <c r="T69" i="8"/>
  <c r="R73" i="8"/>
  <c r="AJ69" i="8"/>
  <c r="AH73" i="8"/>
  <c r="Y12" i="5"/>
  <c r="Y14" i="5"/>
  <c r="FH11" i="11"/>
  <c r="W18" i="5"/>
  <c r="Z60" i="9"/>
  <c r="Z65" i="9" s="1"/>
  <c r="Z69" i="9" s="1"/>
  <c r="FF14" i="11"/>
  <c r="D42" i="8"/>
  <c r="T44" i="3"/>
  <c r="V44" i="3" s="1"/>
  <c r="AF135" i="3"/>
  <c r="T41" i="8"/>
  <c r="R45" i="8"/>
  <c r="AJ41" i="8"/>
  <c r="AH45" i="8"/>
  <c r="W61" i="9"/>
  <c r="W66" i="9" s="1"/>
  <c r="W70" i="9" s="1"/>
  <c r="FC19" i="11"/>
  <c r="T22" i="5"/>
  <c r="R94" i="8"/>
  <c r="T90" i="8"/>
  <c r="AJ90" i="8"/>
  <c r="AH94" i="8"/>
  <c r="R40" i="8"/>
  <c r="T39" i="8"/>
  <c r="AJ39" i="8"/>
  <c r="AH40" i="8"/>
  <c r="R126" i="8"/>
  <c r="EA69" i="11" s="1"/>
  <c r="AJ125" i="8"/>
  <c r="T96" i="8"/>
  <c r="R97" i="8"/>
  <c r="AJ96" i="8"/>
  <c r="AH97" i="8"/>
  <c r="R103" i="8"/>
  <c r="T102" i="8"/>
  <c r="AJ102" i="8"/>
  <c r="AH103" i="8"/>
  <c r="Y145" i="1"/>
  <c r="FG42" i="11"/>
  <c r="FH7" i="11"/>
  <c r="FG41" i="11"/>
  <c r="FG68" i="11"/>
  <c r="D264" i="54"/>
  <c r="C265" i="54"/>
  <c r="C268" i="54" s="1"/>
  <c r="N40" i="1"/>
  <c r="X122" i="67"/>
  <c r="Y87" i="67"/>
  <c r="Y122" i="67" s="1"/>
  <c r="L114" i="1"/>
  <c r="M84" i="1"/>
  <c r="B123" i="54"/>
  <c r="Q122" i="1"/>
  <c r="P142" i="1"/>
  <c r="Q112" i="1"/>
  <c r="FQ11" i="11"/>
  <c r="AH14" i="5"/>
  <c r="AH32" i="5"/>
  <c r="AH12" i="5"/>
  <c r="N59" i="9"/>
  <c r="N64" i="9" s="1"/>
  <c r="N68" i="9" s="1"/>
  <c r="K11" i="4"/>
  <c r="K8" i="5"/>
  <c r="ET10" i="11"/>
  <c r="I14" i="83"/>
  <c r="FM18" i="11"/>
  <c r="AD30" i="5"/>
  <c r="FL18" i="11"/>
  <c r="H14" i="83"/>
  <c r="AC30" i="5"/>
  <c r="EY25" i="11"/>
  <c r="P38" i="5"/>
  <c r="R38" i="5"/>
  <c r="FA25" i="11"/>
  <c r="AO61" i="11"/>
  <c r="AO16" i="11"/>
  <c r="AO23" i="11" s="1"/>
  <c r="R83" i="8"/>
  <c r="T82" i="8"/>
  <c r="AJ82" i="8"/>
  <c r="AH83" i="8"/>
  <c r="EC61" i="11"/>
  <c r="D41" i="85" s="1"/>
  <c r="EC21" i="11"/>
  <c r="EC16" i="11"/>
  <c r="BS63" i="11"/>
  <c r="AO50" i="11"/>
  <c r="EA63" i="11"/>
  <c r="CL61" i="11"/>
  <c r="CL16" i="11"/>
  <c r="CL21" i="11"/>
  <c r="CL52" i="11" s="1"/>
  <c r="CC16" i="11"/>
  <c r="CC61" i="11"/>
  <c r="BA63" i="11"/>
  <c r="DU21" i="11"/>
  <c r="DU52" i="11" s="1"/>
  <c r="DU16" i="11"/>
  <c r="DU23" i="11" s="1"/>
  <c r="DU61" i="11"/>
  <c r="CF61" i="11"/>
  <c r="CF16" i="11"/>
  <c r="T14" i="5"/>
  <c r="FC11" i="11"/>
  <c r="FC22" i="11" s="1"/>
  <c r="T12" i="5"/>
  <c r="T108" i="8"/>
  <c r="R109" i="8"/>
  <c r="AJ108" i="8"/>
  <c r="AH109" i="8"/>
  <c r="T47" i="8"/>
  <c r="R48" i="8"/>
  <c r="AJ47" i="8"/>
  <c r="AH48" i="8"/>
  <c r="R108" i="8"/>
  <c r="AJ104" i="8"/>
  <c r="AH108" i="8"/>
  <c r="M125" i="67"/>
  <c r="M91" i="67"/>
  <c r="Q124" i="1"/>
  <c r="Q114" i="1"/>
  <c r="Z146" i="3"/>
  <c r="ED83" i="11" s="1"/>
  <c r="Q86" i="1"/>
  <c r="P116" i="1"/>
  <c r="Q116" i="1" s="1"/>
  <c r="FS25" i="11"/>
  <c r="O18" i="83"/>
  <c r="AJ38" i="5"/>
  <c r="L13" i="83"/>
  <c r="L61" i="83" s="1"/>
  <c r="FP17" i="11"/>
  <c r="AG26" i="5"/>
  <c r="P63" i="11"/>
  <c r="BH63" i="11"/>
  <c r="FA14" i="11"/>
  <c r="R18" i="5"/>
  <c r="U60" i="9"/>
  <c r="U65" i="9" s="1"/>
  <c r="U69" i="9" s="1"/>
  <c r="CF50" i="11"/>
  <c r="AI61" i="11"/>
  <c r="AI16" i="11"/>
  <c r="AI23" i="11" s="1"/>
  <c r="BK16" i="11"/>
  <c r="BK23" i="11" s="1"/>
  <c r="BK47" i="11" s="1"/>
  <c r="BK61" i="11"/>
  <c r="V60" i="9"/>
  <c r="V65" i="9" s="1"/>
  <c r="V69" i="9" s="1"/>
  <c r="S18" i="5"/>
  <c r="FB14" i="11"/>
  <c r="CJ22" i="11"/>
  <c r="CJ12" i="11"/>
  <c r="CJ23" i="11" s="1"/>
  <c r="CJ47" i="11" s="1"/>
  <c r="AY16" i="11"/>
  <c r="AY23" i="11" s="1"/>
  <c r="AY61" i="11"/>
  <c r="CC50" i="11"/>
  <c r="AK12" i="3"/>
  <c r="EA50" i="11"/>
  <c r="R89" i="8"/>
  <c r="T88" i="8"/>
  <c r="AJ88" i="8"/>
  <c r="AH89" i="8"/>
  <c r="D54" i="8"/>
  <c r="T56" i="3"/>
  <c r="T136" i="8"/>
  <c r="R137" i="8"/>
  <c r="AJ136" i="8"/>
  <c r="AH137" i="8"/>
  <c r="R125" i="8"/>
  <c r="T124" i="8"/>
  <c r="AJ124" i="8"/>
  <c r="AH125" i="8"/>
  <c r="M120" i="3"/>
  <c r="V120" i="3"/>
  <c r="X120" i="3" s="1"/>
  <c r="T162" i="1"/>
  <c r="Z162" i="1" s="1"/>
  <c r="T172" i="1"/>
  <c r="Y172" i="1" s="1"/>
  <c r="U142" i="1"/>
  <c r="V142" i="1"/>
  <c r="X166" i="1"/>
  <c r="Y163" i="1"/>
  <c r="X183" i="1"/>
  <c r="AC183" i="1" s="1"/>
  <c r="N123" i="67"/>
  <c r="N89" i="67"/>
  <c r="O122" i="67"/>
  <c r="P59" i="9"/>
  <c r="P64" i="9" s="1"/>
  <c r="P68" i="9" s="1"/>
  <c r="M8" i="5"/>
  <c r="M11" i="4"/>
  <c r="EV10" i="11"/>
  <c r="H16" i="11"/>
  <c r="H23" i="11" s="1"/>
  <c r="DD12" i="11"/>
  <c r="DD22" i="11"/>
  <c r="S63" i="11"/>
  <c r="R63" i="11"/>
  <c r="Z63" i="11"/>
  <c r="G111" i="3"/>
  <c r="Y63" i="11"/>
  <c r="BA61" i="11"/>
  <c r="BA16" i="11"/>
  <c r="BA23" i="11" s="1"/>
  <c r="EF22" i="11"/>
  <c r="DQ16" i="11"/>
  <c r="DQ23" i="11" s="1"/>
  <c r="DQ47" i="11" s="1"/>
  <c r="DQ21" i="11"/>
  <c r="DQ52" i="11" s="1"/>
  <c r="DQ61" i="11"/>
  <c r="AJ63" i="11"/>
  <c r="DJ16" i="11"/>
  <c r="DJ23" i="11" s="1"/>
  <c r="DJ47" i="11" s="1"/>
  <c r="DJ61" i="11"/>
  <c r="DJ21" i="11"/>
  <c r="DJ52" i="11" s="1"/>
  <c r="D33" i="1"/>
  <c r="I33" i="1" s="1"/>
  <c r="D16" i="1"/>
  <c r="E46" i="1" s="1"/>
  <c r="E43" i="1"/>
  <c r="J43" i="1" s="1"/>
  <c r="DY63" i="11"/>
  <c r="CP21" i="11"/>
  <c r="CP52" i="11" s="1"/>
  <c r="CP16" i="11"/>
  <c r="CP61" i="11"/>
  <c r="CR61" i="11"/>
  <c r="CR16" i="11"/>
  <c r="CR21" i="11"/>
  <c r="CR52" i="11" s="1"/>
  <c r="T63" i="3"/>
  <c r="D61" i="8"/>
  <c r="CL63" i="11"/>
  <c r="CF51" i="11"/>
  <c r="CF63" i="11"/>
  <c r="DI22" i="11"/>
  <c r="DI12" i="11"/>
  <c r="AV16" i="11"/>
  <c r="AV23" i="11" s="1"/>
  <c r="AV61" i="11"/>
  <c r="G48" i="3"/>
  <c r="AY12" i="11"/>
  <c r="AY51" i="11" s="1"/>
  <c r="BC63" i="11"/>
  <c r="FE25" i="11"/>
  <c r="V38" i="5"/>
  <c r="G14" i="3"/>
  <c r="BS16" i="11"/>
  <c r="BS61" i="11"/>
  <c r="BB12" i="11"/>
  <c r="BB51" i="11" s="1"/>
  <c r="T37" i="3"/>
  <c r="V37" i="3" s="1"/>
  <c r="D35" i="8"/>
  <c r="D18" i="83"/>
  <c r="FH25" i="11"/>
  <c r="Y38" i="5"/>
  <c r="T129" i="8"/>
  <c r="R130" i="8"/>
  <c r="AJ129" i="8"/>
  <c r="AH130" i="8"/>
  <c r="CM16" i="11"/>
  <c r="CM61" i="11"/>
  <c r="CM21" i="11"/>
  <c r="CM52" i="11" s="1"/>
  <c r="G12" i="3"/>
  <c r="AV12" i="11"/>
  <c r="AV51" i="11" s="1"/>
  <c r="BU63" i="11"/>
  <c r="FG11" i="11"/>
  <c r="X12" i="5"/>
  <c r="X14" i="5"/>
  <c r="R118" i="8"/>
  <c r="T117" i="8"/>
  <c r="AJ117" i="8"/>
  <c r="AH118" i="8"/>
  <c r="D10" i="83"/>
  <c r="Y18" i="5"/>
  <c r="AB60" i="9"/>
  <c r="FH14" i="11"/>
  <c r="R80" i="8"/>
  <c r="T76" i="8"/>
  <c r="AJ76" i="8"/>
  <c r="AH80" i="8"/>
  <c r="T89" i="3"/>
  <c r="D87" i="8"/>
  <c r="FF19" i="11"/>
  <c r="Z61" i="9"/>
  <c r="Z66" i="9" s="1"/>
  <c r="Z70" i="9" s="1"/>
  <c r="W22" i="5"/>
  <c r="W23" i="5" s="1"/>
  <c r="T80" i="8"/>
  <c r="R81" i="8"/>
  <c r="AJ80" i="8"/>
  <c r="AH81" i="8"/>
  <c r="R32" i="8"/>
  <c r="T31" i="8"/>
  <c r="AJ31" i="8"/>
  <c r="AH32" i="8"/>
  <c r="T122" i="8"/>
  <c r="R123" i="8"/>
  <c r="AJ122" i="8"/>
  <c r="AH123" i="8"/>
  <c r="D55" i="8"/>
  <c r="T57" i="3"/>
  <c r="AC165" i="1"/>
  <c r="M118" i="3"/>
  <c r="V118" i="3"/>
  <c r="X118" i="3" s="1"/>
  <c r="AG20" i="4"/>
  <c r="AG44" i="4"/>
  <c r="I126" i="67"/>
  <c r="I92" i="67"/>
  <c r="Q95" i="67"/>
  <c r="P96" i="67"/>
  <c r="Q96" i="67" s="1"/>
  <c r="R96" i="67" s="1"/>
  <c r="S96" i="67" s="1"/>
  <c r="T96" i="67" s="1"/>
  <c r="U96" i="67" s="1"/>
  <c r="V96" i="67" s="1"/>
  <c r="W96" i="67" s="1"/>
  <c r="X96" i="67" s="1"/>
  <c r="Y96" i="67" s="1"/>
  <c r="T92" i="67"/>
  <c r="S127" i="67"/>
  <c r="P141" i="1"/>
  <c r="Q121" i="1"/>
  <c r="Q111" i="1"/>
  <c r="M80" i="1"/>
  <c r="L110" i="1"/>
  <c r="J92" i="67"/>
  <c r="AG174" i="1"/>
  <c r="M124" i="3"/>
  <c r="O124" i="3" s="1"/>
  <c r="K128" i="3"/>
  <c r="V124" i="3"/>
  <c r="AL61" i="9"/>
  <c r="FR19" i="11"/>
  <c r="AI22" i="5"/>
  <c r="FR14" i="11"/>
  <c r="N10" i="83"/>
  <c r="AL60" i="9"/>
  <c r="AI18" i="5"/>
  <c r="AK59" i="9"/>
  <c r="AH8" i="5"/>
  <c r="AH11" i="4"/>
  <c r="FQ10" i="11"/>
  <c r="N61" i="9"/>
  <c r="N66" i="9" s="1"/>
  <c r="N70" i="9" s="1"/>
  <c r="K22" i="5"/>
  <c r="ET19" i="11"/>
  <c r="ET14" i="11"/>
  <c r="K18" i="5"/>
  <c r="N60" i="9"/>
  <c r="N65" i="9" s="1"/>
  <c r="N69" i="9" s="1"/>
  <c r="ET29" i="11"/>
  <c r="AE9" i="5"/>
  <c r="FN62" i="11" s="1"/>
  <c r="J43" i="83"/>
  <c r="AF11" i="4"/>
  <c r="AI59" i="9"/>
  <c r="AF8" i="5"/>
  <c r="FO10" i="11"/>
  <c r="I43" i="83"/>
  <c r="AD9" i="5"/>
  <c r="FM62" i="11" s="1"/>
  <c r="FN14" i="11"/>
  <c r="AE18" i="5"/>
  <c r="J10" i="83"/>
  <c r="AH60" i="9"/>
  <c r="H43" i="83"/>
  <c r="AC9" i="5"/>
  <c r="FL62" i="11" s="1"/>
  <c r="EW29" i="11"/>
  <c r="I10" i="83"/>
  <c r="AD18" i="5"/>
  <c r="FM14" i="11"/>
  <c r="AG60" i="9"/>
  <c r="N18" i="5"/>
  <c r="EW14" i="11"/>
  <c r="Q60" i="9"/>
  <c r="Q65" i="9" s="1"/>
  <c r="Q69" i="9" s="1"/>
  <c r="I63" i="11"/>
  <c r="EX14" i="11"/>
  <c r="O18" i="5"/>
  <c r="R60" i="9"/>
  <c r="R65" i="9" s="1"/>
  <c r="R69" i="9" s="1"/>
  <c r="G43" i="83"/>
  <c r="AB9" i="5"/>
  <c r="FK62" i="11" s="1"/>
  <c r="H18" i="83"/>
  <c r="FL25" i="11"/>
  <c r="AC38" i="5"/>
  <c r="H12" i="11"/>
  <c r="H51" i="11" s="1"/>
  <c r="DE51" i="11"/>
  <c r="N50" i="11"/>
  <c r="G13" i="83"/>
  <c r="AB26" i="5"/>
  <c r="FK17" i="11"/>
  <c r="G14" i="83"/>
  <c r="FK18" i="11"/>
  <c r="AB30" i="5"/>
  <c r="M16" i="11"/>
  <c r="M23" i="11" s="1"/>
  <c r="M61" i="11"/>
  <c r="DF22" i="11"/>
  <c r="DF12" i="11"/>
  <c r="O16" i="11"/>
  <c r="O23" i="11" s="1"/>
  <c r="O61" i="11"/>
  <c r="N63" i="11"/>
  <c r="D20" i="8"/>
  <c r="L20" i="8" s="1"/>
  <c r="T22" i="3"/>
  <c r="G23" i="3"/>
  <c r="G21" i="3"/>
  <c r="EZ29" i="11"/>
  <c r="G22" i="3"/>
  <c r="G19" i="3"/>
  <c r="U12" i="11"/>
  <c r="U51" i="11" s="1"/>
  <c r="S16" i="11"/>
  <c r="S23" i="11" s="1"/>
  <c r="S61" i="11"/>
  <c r="EZ25" i="11"/>
  <c r="Q38" i="5"/>
  <c r="CV22" i="11"/>
  <c r="CV12" i="11"/>
  <c r="CV16" i="11"/>
  <c r="CV23" i="11" s="1"/>
  <c r="CV21" i="11"/>
  <c r="CV52" i="11" s="1"/>
  <c r="CV61" i="11"/>
  <c r="R17" i="8"/>
  <c r="AH17" i="8"/>
  <c r="FA29" i="11"/>
  <c r="X50" i="11"/>
  <c r="X63" i="11"/>
  <c r="Z18" i="5"/>
  <c r="FI14" i="11"/>
  <c r="AC60" i="9"/>
  <c r="E10" i="83"/>
  <c r="AC61" i="11"/>
  <c r="AC16" i="11"/>
  <c r="AC23" i="11" s="1"/>
  <c r="BH50" i="11"/>
  <c r="Z61" i="11"/>
  <c r="Z16" i="11"/>
  <c r="Z23" i="11" s="1"/>
  <c r="BG50" i="11"/>
  <c r="DZ65" i="11"/>
  <c r="CP63" i="11"/>
  <c r="DY12" i="11"/>
  <c r="DY22" i="11"/>
  <c r="AJ65" i="11"/>
  <c r="CA65" i="11"/>
  <c r="D76" i="8"/>
  <c r="T78" i="3"/>
  <c r="CF65" i="11"/>
  <c r="D66" i="8"/>
  <c r="T68" i="3"/>
  <c r="G117" i="3"/>
  <c r="T76" i="3"/>
  <c r="D74" i="8"/>
  <c r="DO50" i="11"/>
  <c r="CV65" i="11"/>
  <c r="CE63" i="11"/>
  <c r="EC65" i="11"/>
  <c r="AS65" i="11"/>
  <c r="FH40" i="11"/>
  <c r="D27" i="83"/>
  <c r="AN50" i="11"/>
  <c r="CP50" i="11"/>
  <c r="DY61" i="11"/>
  <c r="DY16" i="11"/>
  <c r="DY21" i="11"/>
  <c r="AJ12" i="11"/>
  <c r="AJ51" i="11" s="1"/>
  <c r="CJ65" i="11"/>
  <c r="AM16" i="11"/>
  <c r="AM23" i="11" s="1"/>
  <c r="AM61" i="11"/>
  <c r="AY65" i="11"/>
  <c r="CV63" i="11"/>
  <c r="BK50" i="11"/>
  <c r="CA12" i="11"/>
  <c r="CA23" i="11" s="1"/>
  <c r="G120" i="3"/>
  <c r="CO12" i="11"/>
  <c r="CO23" i="11" s="1"/>
  <c r="CO47" i="11" s="1"/>
  <c r="CO22" i="11"/>
  <c r="CA63" i="11"/>
  <c r="DT65" i="11"/>
  <c r="G79" i="3"/>
  <c r="DN63" i="11"/>
  <c r="AX61" i="11"/>
  <c r="AX16" i="11"/>
  <c r="AX23" i="11" s="1"/>
  <c r="AI13" i="3"/>
  <c r="AK13" i="3" s="1"/>
  <c r="V13" i="3"/>
  <c r="X13" i="3" s="1"/>
  <c r="D46" i="8"/>
  <c r="T48" i="3"/>
  <c r="AI12" i="11"/>
  <c r="AI51" i="11" s="1"/>
  <c r="BP12" i="11"/>
  <c r="BP23" i="11" s="1"/>
  <c r="BP47" i="11" s="1"/>
  <c r="AR12" i="11"/>
  <c r="AR51" i="11" s="1"/>
  <c r="DV16" i="11"/>
  <c r="DV23" i="11" s="1"/>
  <c r="DV47" i="11" s="1"/>
  <c r="DV21" i="11"/>
  <c r="DV52" i="11" s="1"/>
  <c r="DV61" i="11"/>
  <c r="DX50" i="11"/>
  <c r="EC51" i="11"/>
  <c r="AI50" i="11"/>
  <c r="BQ63" i="11"/>
  <c r="D59" i="8"/>
  <c r="T61" i="3"/>
  <c r="CK50" i="11"/>
  <c r="D34" i="1"/>
  <c r="I34" i="1" s="1"/>
  <c r="E44" i="1"/>
  <c r="J44" i="1" s="1"/>
  <c r="R34" i="8"/>
  <c r="T33" i="8"/>
  <c r="AJ33" i="8"/>
  <c r="AH34" i="8"/>
  <c r="CB63" i="11"/>
  <c r="DJ22" i="11"/>
  <c r="DJ12" i="11"/>
  <c r="T93" i="3"/>
  <c r="V93" i="3" s="1"/>
  <c r="D91" i="8"/>
  <c r="D83" i="8"/>
  <c r="T85" i="3"/>
  <c r="CM51" i="11"/>
  <c r="DK63" i="11"/>
  <c r="BV16" i="11"/>
  <c r="BV61" i="11"/>
  <c r="FI29" i="11"/>
  <c r="E21" i="83"/>
  <c r="EA51" i="11"/>
  <c r="CE12" i="11"/>
  <c r="CE23" i="11" s="1"/>
  <c r="CE47" i="11" s="1"/>
  <c r="DX63" i="11"/>
  <c r="FE29" i="11"/>
  <c r="T47" i="3"/>
  <c r="D45" i="8"/>
  <c r="Y60" i="9"/>
  <c r="Y65" i="9" s="1"/>
  <c r="Y69" i="9" s="1"/>
  <c r="V18" i="5"/>
  <c r="FE14" i="11"/>
  <c r="FI11" i="11"/>
  <c r="Z14" i="5"/>
  <c r="Z12" i="5"/>
  <c r="R119" i="8"/>
  <c r="DZ69" i="11" s="1"/>
  <c r="AJ118" i="8"/>
  <c r="D90" i="8"/>
  <c r="T92" i="3"/>
  <c r="E18" i="83"/>
  <c r="FI25" i="11"/>
  <c r="Z38" i="5"/>
  <c r="FD25" i="11"/>
  <c r="U38" i="5"/>
  <c r="DP51" i="11"/>
  <c r="T38" i="8"/>
  <c r="R39" i="8"/>
  <c r="AJ38" i="8"/>
  <c r="AH39" i="8"/>
  <c r="D56" i="8"/>
  <c r="T58" i="3"/>
  <c r="V58" i="3" s="1"/>
  <c r="FD29" i="11"/>
  <c r="T94" i="8"/>
  <c r="R95" i="8"/>
  <c r="AJ94" i="8"/>
  <c r="AH95" i="8"/>
  <c r="FC14" i="11"/>
  <c r="W60" i="9"/>
  <c r="W65" i="9" s="1"/>
  <c r="W69" i="9" s="1"/>
  <c r="T18" i="5"/>
  <c r="T53" i="8"/>
  <c r="R54" i="8"/>
  <c r="AJ53" i="8"/>
  <c r="AH54" i="8"/>
  <c r="R133" i="8"/>
  <c r="EC69" i="11" s="1"/>
  <c r="AJ132" i="8"/>
  <c r="R55" i="8"/>
  <c r="T54" i="8"/>
  <c r="AJ54" i="8"/>
  <c r="AH55" i="8"/>
  <c r="DV51" i="11"/>
  <c r="M117" i="3"/>
  <c r="K121" i="3"/>
  <c r="V117" i="3"/>
  <c r="X117" i="3" s="1"/>
  <c r="AH165" i="1"/>
  <c r="I13" i="1"/>
  <c r="V124" i="67"/>
  <c r="W89" i="67"/>
  <c r="V129" i="8"/>
  <c r="X129" i="8" s="1"/>
  <c r="Z129" i="8" s="1"/>
  <c r="J131" i="3"/>
  <c r="K131" i="3"/>
  <c r="DS82" i="11"/>
  <c r="X114" i="3"/>
  <c r="U91" i="67"/>
  <c r="T126" i="67"/>
  <c r="AC164" i="1"/>
  <c r="AB184" i="1"/>
  <c r="Q129" i="67"/>
  <c r="R94" i="67"/>
  <c r="AG181" i="1"/>
  <c r="X182" i="1"/>
  <c r="AC182" i="1" s="1"/>
  <c r="Y162" i="1"/>
  <c r="H94" i="67"/>
  <c r="T160" i="1"/>
  <c r="Z160" i="1" s="1"/>
  <c r="U140" i="1"/>
  <c r="T145" i="1"/>
  <c r="T144" i="1"/>
  <c r="T170" i="1"/>
  <c r="Y170" i="1" s="1"/>
  <c r="FR71" i="11"/>
  <c r="J11" i="4"/>
  <c r="J8" i="5"/>
  <c r="ES10" i="11"/>
  <c r="M59" i="9"/>
  <c r="M64" i="9" s="1"/>
  <c r="M68" i="9" s="1"/>
  <c r="FP10" i="11"/>
  <c r="AG8" i="5"/>
  <c r="AJ59" i="9"/>
  <c r="AG11" i="4"/>
  <c r="AG23" i="4" s="1"/>
  <c r="EU11" i="11"/>
  <c r="EU22" i="11" s="1"/>
  <c r="L12" i="5"/>
  <c r="L14" i="5"/>
  <c r="AE26" i="5"/>
  <c r="J13" i="83"/>
  <c r="FN17" i="11"/>
  <c r="AD11" i="4"/>
  <c r="AG59" i="9"/>
  <c r="FM10" i="11"/>
  <c r="AD8" i="5"/>
  <c r="DE61" i="11"/>
  <c r="DE16" i="11"/>
  <c r="DE23" i="11" s="1"/>
  <c r="DE47" i="11" s="1"/>
  <c r="DE21" i="11"/>
  <c r="DE52" i="11" s="1"/>
  <c r="DA12" i="11"/>
  <c r="DA22" i="11"/>
  <c r="BG63" i="11"/>
  <c r="AS63" i="11"/>
  <c r="AF103" i="3"/>
  <c r="O103" i="3"/>
  <c r="DV63" i="11"/>
  <c r="AR61" i="11"/>
  <c r="AR16" i="11"/>
  <c r="AR23" i="11" s="1"/>
  <c r="D31" i="8"/>
  <c r="T33" i="3"/>
  <c r="R59" i="8"/>
  <c r="T55" i="8"/>
  <c r="AJ55" i="8"/>
  <c r="AH59" i="8"/>
  <c r="D28" i="8"/>
  <c r="T30" i="3"/>
  <c r="V30" i="3" s="1"/>
  <c r="DI63" i="11"/>
  <c r="T70" i="3"/>
  <c r="D68" i="8"/>
  <c r="D30" i="1"/>
  <c r="I30" i="1" s="1"/>
  <c r="E40" i="1"/>
  <c r="J40" i="1" s="1"/>
  <c r="D15" i="1"/>
  <c r="E45" i="1" s="1"/>
  <c r="R52" i="8"/>
  <c r="T48" i="8"/>
  <c r="AJ48" i="8"/>
  <c r="AH52" i="8"/>
  <c r="T27" i="8"/>
  <c r="R31" i="8"/>
  <c r="AJ27" i="8"/>
  <c r="AH31" i="8"/>
  <c r="M126" i="3"/>
  <c r="O126" i="3" s="1"/>
  <c r="V126" i="3"/>
  <c r="K124" i="67"/>
  <c r="K90" i="67"/>
  <c r="L123" i="67"/>
  <c r="M14" i="83"/>
  <c r="M62" i="83" s="1"/>
  <c r="M111" i="83" s="1"/>
  <c r="FQ18" i="11"/>
  <c r="AH30" i="5"/>
  <c r="L14" i="83"/>
  <c r="L62" i="83" s="1"/>
  <c r="AG30" i="5"/>
  <c r="FP18" i="11"/>
  <c r="J16" i="11"/>
  <c r="J23" i="11" s="1"/>
  <c r="EZ10" i="11"/>
  <c r="T59" i="9"/>
  <c r="Q8" i="5"/>
  <c r="Q11" i="4"/>
  <c r="EZ11" i="11"/>
  <c r="EZ22" i="11" s="1"/>
  <c r="Q12" i="5"/>
  <c r="Q14" i="5"/>
  <c r="F21" i="83"/>
  <c r="FJ29" i="11"/>
  <c r="FA19" i="11"/>
  <c r="R22" i="5"/>
  <c r="U61" i="9"/>
  <c r="U66" i="9" s="1"/>
  <c r="U70" i="9" s="1"/>
  <c r="AR63" i="11"/>
  <c r="AL63" i="11"/>
  <c r="BI65" i="11"/>
  <c r="AD63" i="11"/>
  <c r="CL51" i="11"/>
  <c r="BQ61" i="11"/>
  <c r="BQ16" i="11"/>
  <c r="AT61" i="11"/>
  <c r="AT16" i="11"/>
  <c r="AT23" i="11" s="1"/>
  <c r="CR12" i="11"/>
  <c r="CR23" i="11" s="1"/>
  <c r="CR22" i="11"/>
  <c r="DQ22" i="11"/>
  <c r="DQ12" i="11"/>
  <c r="D89" i="8"/>
  <c r="T91" i="3"/>
  <c r="DS12" i="11"/>
  <c r="DS22" i="11"/>
  <c r="FD14" i="11"/>
  <c r="U18" i="5"/>
  <c r="X60" i="9"/>
  <c r="X65" i="9" s="1"/>
  <c r="X69" i="9" s="1"/>
  <c r="CG50" i="11"/>
  <c r="DN22" i="11"/>
  <c r="DN12" i="11"/>
  <c r="T61" i="8"/>
  <c r="R62" i="8"/>
  <c r="AJ61" i="8"/>
  <c r="AH62" i="8"/>
  <c r="T66" i="8"/>
  <c r="R67" i="8"/>
  <c r="AJ66" i="8"/>
  <c r="AH67" i="8"/>
  <c r="R41" i="8"/>
  <c r="T40" i="8"/>
  <c r="AJ40" i="8"/>
  <c r="AH41" i="8"/>
  <c r="M82" i="1"/>
  <c r="L112" i="1"/>
  <c r="ES19" i="11"/>
  <c r="J22" i="5"/>
  <c r="J23" i="5" s="1"/>
  <c r="M61" i="9"/>
  <c r="M66" i="9" s="1"/>
  <c r="M70" i="9" s="1"/>
  <c r="FO29" i="11"/>
  <c r="K21" i="83"/>
  <c r="H21" i="83"/>
  <c r="FL29" i="11"/>
  <c r="M63" i="11"/>
  <c r="DD16" i="11"/>
  <c r="DD23" i="11" s="1"/>
  <c r="DD47" i="11" s="1"/>
  <c r="DD21" i="11"/>
  <c r="DD52" i="11" s="1"/>
  <c r="DD61" i="11"/>
  <c r="BR65" i="11"/>
  <c r="BB61" i="11"/>
  <c r="BB16" i="11"/>
  <c r="BB23" i="11" s="1"/>
  <c r="BL65" i="11"/>
  <c r="BW61" i="11"/>
  <c r="BW16" i="11"/>
  <c r="G76" i="3"/>
  <c r="BV63" i="11"/>
  <c r="X11" i="4"/>
  <c r="FG10" i="11"/>
  <c r="AA59" i="9"/>
  <c r="X8" i="5"/>
  <c r="M125" i="3"/>
  <c r="O125" i="3" s="1"/>
  <c r="V125" i="3"/>
  <c r="ES29" i="11"/>
  <c r="FP40" i="11"/>
  <c r="L27" i="83"/>
  <c r="L75" i="83" s="1"/>
  <c r="FP14" i="11"/>
  <c r="AG18" i="5"/>
  <c r="L10" i="83"/>
  <c r="L58" i="83" s="1"/>
  <c r="AJ60" i="9"/>
  <c r="FO19" i="11"/>
  <c r="AF22" i="5"/>
  <c r="AI61" i="9"/>
  <c r="FN40" i="11"/>
  <c r="J27" i="83"/>
  <c r="F12" i="11"/>
  <c r="F51" i="11" s="1"/>
  <c r="EX19" i="11"/>
  <c r="R61" i="9"/>
  <c r="R66" i="9" s="1"/>
  <c r="R70" i="9" s="1"/>
  <c r="O22" i="5"/>
  <c r="FL17" i="11"/>
  <c r="H13" i="83"/>
  <c r="AC26" i="5"/>
  <c r="F43" i="83"/>
  <c r="AA9" i="5"/>
  <c r="FJ62" i="11" s="1"/>
  <c r="CY61" i="11"/>
  <c r="CY21" i="11"/>
  <c r="CY52" i="11" s="1"/>
  <c r="CY16" i="11"/>
  <c r="CY23" i="11" s="1"/>
  <c r="DB63" i="11"/>
  <c r="T21" i="3"/>
  <c r="D19" i="8"/>
  <c r="L19" i="8" s="1"/>
  <c r="AC59" i="9"/>
  <c r="Z8" i="5"/>
  <c r="Z11" i="4"/>
  <c r="FI10" i="11"/>
  <c r="X16" i="11"/>
  <c r="X23" i="11" s="1"/>
  <c r="X61" i="11"/>
  <c r="G37" i="3"/>
  <c r="EA65" i="11"/>
  <c r="G13" i="3"/>
  <c r="DL22" i="11"/>
  <c r="DL12" i="11"/>
  <c r="EA12" i="11"/>
  <c r="EA22" i="11"/>
  <c r="FB19" i="11"/>
  <c r="V61" i="9"/>
  <c r="V66" i="9" s="1"/>
  <c r="V70" i="9" s="1"/>
  <c r="S22" i="5"/>
  <c r="AB59" i="9"/>
  <c r="Y8" i="5"/>
  <c r="Y11" i="4"/>
  <c r="FH10" i="11"/>
  <c r="BZ63" i="11"/>
  <c r="G68" i="3"/>
  <c r="CL50" i="11"/>
  <c r="G86" i="3"/>
  <c r="D69" i="8"/>
  <c r="T71" i="3"/>
  <c r="V22" i="5"/>
  <c r="FE19" i="11"/>
  <c r="Y61" i="9"/>
  <c r="Y66" i="9" s="1"/>
  <c r="Y70" i="9" s="1"/>
  <c r="FI40" i="11"/>
  <c r="E27" i="83"/>
  <c r="AB61" i="9"/>
  <c r="D15" i="83"/>
  <c r="Y22" i="5"/>
  <c r="FH19" i="11"/>
  <c r="DX51" i="11"/>
  <c r="DJ51" i="11"/>
  <c r="Y144" i="1"/>
  <c r="X164" i="1"/>
  <c r="X174" i="1"/>
  <c r="AC174" i="1" s="1"/>
  <c r="H83" i="1"/>
  <c r="N83" i="1" s="1"/>
  <c r="H36" i="1"/>
  <c r="I53" i="1"/>
  <c r="N53" i="1" s="1"/>
  <c r="M56" i="1"/>
  <c r="R56" i="1" s="1"/>
  <c r="L86" i="1"/>
  <c r="R86" i="1" s="1"/>
  <c r="AD163" i="1"/>
  <c r="R128" i="67"/>
  <c r="S93" i="67"/>
  <c r="I45" i="1"/>
  <c r="N45" i="1" s="1"/>
  <c r="Y56" i="67"/>
  <c r="Y57" i="67" s="1"/>
  <c r="O93" i="67"/>
  <c r="P126" i="67"/>
  <c r="F123" i="67"/>
  <c r="F89" i="67"/>
  <c r="G122" i="67"/>
  <c r="P143" i="1"/>
  <c r="V143" i="1" s="1"/>
  <c r="Q113" i="1"/>
  <c r="Q123" i="1"/>
  <c r="AC171" i="1"/>
  <c r="Z122" i="8"/>
  <c r="FS40" i="11"/>
  <c r="O27" i="83"/>
  <c r="O75" i="83" s="1"/>
  <c r="O124" i="83" s="1"/>
  <c r="N27" i="83"/>
  <c r="N75" i="83" s="1"/>
  <c r="FR40" i="11"/>
  <c r="L43" i="83"/>
  <c r="L91" i="83" s="1"/>
  <c r="AG9" i="5"/>
  <c r="AH22" i="5"/>
  <c r="FQ19" i="11"/>
  <c r="AK61" i="9"/>
  <c r="K12" i="5"/>
  <c r="ET11" i="11"/>
  <c r="ET22" i="11" s="1"/>
  <c r="K14" i="5"/>
  <c r="FP25" i="11"/>
  <c r="AG38" i="5"/>
  <c r="L18" i="83"/>
  <c r="L66" i="83" s="1"/>
  <c r="EU25" i="11"/>
  <c r="L38" i="5"/>
  <c r="P61" i="9"/>
  <c r="P66" i="9" s="1"/>
  <c r="P70" i="9" s="1"/>
  <c r="EV19" i="11"/>
  <c r="M22" i="5"/>
  <c r="J21" i="83"/>
  <c r="FN29" i="11"/>
  <c r="FM29" i="11"/>
  <c r="I21" i="83"/>
  <c r="AF61" i="9"/>
  <c r="AC22" i="5"/>
  <c r="FL19" i="11"/>
  <c r="EX29" i="11"/>
  <c r="K50" i="11"/>
  <c r="DG51" i="11"/>
  <c r="DF61" i="11"/>
  <c r="DF21" i="11"/>
  <c r="DF52" i="11" s="1"/>
  <c r="DF16" i="11"/>
  <c r="DF23" i="11" s="1"/>
  <c r="DF47" i="11" s="1"/>
  <c r="AB22" i="5"/>
  <c r="FK19" i="11"/>
  <c r="AE61" i="9"/>
  <c r="DG12" i="11"/>
  <c r="DG22" i="11"/>
  <c r="FK29" i="11"/>
  <c r="G21" i="83"/>
  <c r="P12" i="5"/>
  <c r="EY11" i="11"/>
  <c r="EY22" i="11" s="1"/>
  <c r="P14" i="5"/>
  <c r="DE63" i="11"/>
  <c r="CZ65" i="11"/>
  <c r="FJ11" i="11"/>
  <c r="AA14" i="5"/>
  <c r="AA12" i="5"/>
  <c r="T20" i="3"/>
  <c r="D18" i="8"/>
  <c r="L18" i="8" s="1"/>
  <c r="FJ18" i="11"/>
  <c r="F14" i="83"/>
  <c r="AA30" i="5"/>
  <c r="DB12" i="11"/>
  <c r="DB22" i="11"/>
  <c r="CW12" i="11"/>
  <c r="CW22" i="11"/>
  <c r="CQ63" i="11"/>
  <c r="X9" i="5"/>
  <c r="FG62" i="11" s="1"/>
  <c r="C43" i="83"/>
  <c r="FB11" i="11"/>
  <c r="FB22" i="11" s="1"/>
  <c r="S14" i="5"/>
  <c r="S12" i="5"/>
  <c r="AE63" i="11"/>
  <c r="FA40" i="11"/>
  <c r="D32" i="8"/>
  <c r="T34" i="3"/>
  <c r="BS65" i="11"/>
  <c r="CT12" i="11"/>
  <c r="CT22" i="11"/>
  <c r="T73" i="8"/>
  <c r="R74" i="8"/>
  <c r="AJ73" i="8"/>
  <c r="AH74" i="8"/>
  <c r="AO65" i="11"/>
  <c r="BW65" i="11"/>
  <c r="T75" i="3"/>
  <c r="D73" i="8"/>
  <c r="BC65" i="11"/>
  <c r="DU50" i="11"/>
  <c r="CB65" i="11"/>
  <c r="G90" i="3"/>
  <c r="AG61" i="11"/>
  <c r="AG16" i="11"/>
  <c r="AG23" i="11" s="1"/>
  <c r="BQ65" i="11"/>
  <c r="BP61" i="11"/>
  <c r="BP16" i="11"/>
  <c r="G119" i="3"/>
  <c r="D98" i="8"/>
  <c r="T100" i="3"/>
  <c r="V100" i="3" s="1"/>
  <c r="EC50" i="11"/>
  <c r="AE61" i="11"/>
  <c r="AE16" i="11"/>
  <c r="AE23" i="11" s="1"/>
  <c r="AL65" i="11"/>
  <c r="AM63" i="11"/>
  <c r="R143" i="8"/>
  <c r="AH143" i="8"/>
  <c r="CJ21" i="11"/>
  <c r="CJ52" i="11" s="1"/>
  <c r="CJ61" i="11"/>
  <c r="CJ16" i="11"/>
  <c r="R96" i="8"/>
  <c r="T95" i="8"/>
  <c r="AJ95" i="8"/>
  <c r="AH96" i="8"/>
  <c r="D41" i="8"/>
  <c r="T43" i="3"/>
  <c r="AN63" i="11"/>
  <c r="AT50" i="11"/>
  <c r="BX65" i="11"/>
  <c r="T60" i="8"/>
  <c r="R61" i="8"/>
  <c r="AJ60" i="8"/>
  <c r="AH61" i="8"/>
  <c r="R140" i="8"/>
  <c r="ED69" i="11" s="1"/>
  <c r="AJ139" i="8"/>
  <c r="BA12" i="11"/>
  <c r="BA51" i="11" s="1"/>
  <c r="CB12" i="11"/>
  <c r="CB23" i="11" s="1"/>
  <c r="CB47" i="11" s="1"/>
  <c r="T81" i="8"/>
  <c r="R82" i="8"/>
  <c r="AJ81" i="8"/>
  <c r="AH82" i="8"/>
  <c r="CQ50" i="11"/>
  <c r="G41" i="3"/>
  <c r="G56" i="3"/>
  <c r="O72" i="3"/>
  <c r="AF72" i="3"/>
  <c r="DT50" i="11"/>
  <c r="D88" i="8"/>
  <c r="T90" i="3"/>
  <c r="AL61" i="11"/>
  <c r="AL16" i="11"/>
  <c r="AL23" i="11" s="1"/>
  <c r="BS50" i="11"/>
  <c r="BN16" i="11"/>
  <c r="BN23" i="11" s="1"/>
  <c r="BN61" i="11"/>
  <c r="D39" i="8"/>
  <c r="T41" i="3"/>
  <c r="AH50" i="11"/>
  <c r="BR63" i="11"/>
  <c r="T29" i="3"/>
  <c r="D27" i="8"/>
  <c r="T26" i="3"/>
  <c r="D24" i="8"/>
  <c r="FB10" i="11"/>
  <c r="S8" i="5"/>
  <c r="V59" i="9"/>
  <c r="S11" i="4"/>
  <c r="BK12" i="11"/>
  <c r="BK51" i="11" s="1"/>
  <c r="BW12" i="11"/>
  <c r="BW23" i="11" s="1"/>
  <c r="G51" i="3"/>
  <c r="T116" i="8"/>
  <c r="R117" i="8"/>
  <c r="AJ116" i="8"/>
  <c r="AH117" i="8"/>
  <c r="AI15" i="3"/>
  <c r="AK15" i="3" s="1"/>
  <c r="V15" i="3"/>
  <c r="X15" i="3" s="1"/>
  <c r="R139" i="8"/>
  <c r="T138" i="8"/>
  <c r="AJ138" i="8"/>
  <c r="AH139" i="8"/>
  <c r="BX63" i="11"/>
  <c r="T64" i="3"/>
  <c r="D62" i="8"/>
  <c r="DK21" i="11"/>
  <c r="DK52" i="11" s="1"/>
  <c r="DK61" i="11"/>
  <c r="DK16" i="11"/>
  <c r="DK23" i="11" s="1"/>
  <c r="DK47" i="11" s="1"/>
  <c r="G91" i="3"/>
  <c r="DV65" i="11"/>
  <c r="BV50" i="11"/>
  <c r="FC29" i="11"/>
  <c r="CE50" i="11"/>
  <c r="DQ50" i="11"/>
  <c r="DI50" i="11"/>
  <c r="DO12" i="11"/>
  <c r="DO22" i="11"/>
  <c r="R46" i="8"/>
  <c r="T45" i="8"/>
  <c r="AJ45" i="8"/>
  <c r="AH46" i="8"/>
  <c r="T130" i="8"/>
  <c r="R131" i="8"/>
  <c r="AJ130" i="8"/>
  <c r="AH131" i="8"/>
  <c r="DS51" i="11"/>
  <c r="D21" i="83"/>
  <c r="FH29" i="11"/>
  <c r="T109" i="8"/>
  <c r="R110" i="8"/>
  <c r="AJ109" i="8"/>
  <c r="AH110" i="8"/>
  <c r="T74" i="8"/>
  <c r="R75" i="8"/>
  <c r="AJ74" i="8"/>
  <c r="AH75" i="8"/>
  <c r="DZ51" i="11"/>
  <c r="T75" i="8"/>
  <c r="R76" i="8"/>
  <c r="AJ75" i="8"/>
  <c r="AH76" i="8"/>
  <c r="DO51" i="11"/>
  <c r="E126" i="67"/>
  <c r="E92" i="67"/>
  <c r="T173" i="1"/>
  <c r="Y173" i="1" s="1"/>
  <c r="T163" i="1"/>
  <c r="Z163" i="1" s="1"/>
  <c r="U143" i="1"/>
  <c r="T146" i="1"/>
  <c r="U125" i="67"/>
  <c r="V90" i="67"/>
  <c r="I46" i="1"/>
  <c r="C121" i="67"/>
  <c r="D120" i="67"/>
  <c r="C87" i="67"/>
  <c r="Q35" i="1"/>
  <c r="L113" i="1"/>
  <c r="M83" i="1"/>
  <c r="AC166" i="1"/>
  <c r="I10" i="1"/>
  <c r="R80" i="1"/>
  <c r="H84" i="1"/>
  <c r="I54" i="1"/>
  <c r="AH42" i="4"/>
  <c r="AH55" i="4"/>
  <c r="AH56" i="4" s="1"/>
  <c r="AH53" i="4"/>
  <c r="AI52" i="4"/>
  <c r="FQ70" i="11"/>
  <c r="Y146" i="1"/>
  <c r="U125" i="1"/>
  <c r="U126" i="1"/>
  <c r="H81" i="1"/>
  <c r="N81" i="1" s="1"/>
  <c r="I51" i="1"/>
  <c r="N51" i="1" s="1"/>
  <c r="I139" i="3"/>
  <c r="N21" i="83"/>
  <c r="N69" i="83" s="1"/>
  <c r="FR29" i="11"/>
  <c r="AI48" i="5"/>
  <c r="FQ40" i="11"/>
  <c r="M27" i="83"/>
  <c r="M75" i="83" s="1"/>
  <c r="ET25" i="11"/>
  <c r="K38" i="5"/>
  <c r="AE32" i="5"/>
  <c r="FN11" i="11"/>
  <c r="AE14" i="5"/>
  <c r="AE12" i="5"/>
  <c r="K63" i="11"/>
  <c r="DE12" i="11"/>
  <c r="DE22" i="11"/>
  <c r="T23" i="3"/>
  <c r="V23" i="3" s="1"/>
  <c r="X23" i="3" s="1"/>
  <c r="D21" i="8"/>
  <c r="L21" i="8" s="1"/>
  <c r="R60" i="8"/>
  <c r="T59" i="8"/>
  <c r="AJ59" i="8"/>
  <c r="AH60" i="8"/>
  <c r="BC61" i="11"/>
  <c r="BC16" i="11"/>
  <c r="BC23" i="11" s="1"/>
  <c r="BK63" i="11"/>
  <c r="DT22" i="11"/>
  <c r="DT12" i="11"/>
  <c r="R122" i="8"/>
  <c r="AH122" i="8"/>
  <c r="T87" i="8"/>
  <c r="R88" i="8"/>
  <c r="AJ87" i="8"/>
  <c r="AH88" i="8"/>
  <c r="AX63" i="11"/>
  <c r="CQ12" i="11"/>
  <c r="CQ23" i="11" s="1"/>
  <c r="CQ22" i="11"/>
  <c r="D32" i="1"/>
  <c r="I32" i="1" s="1"/>
  <c r="E42" i="1"/>
  <c r="J42" i="1" s="1"/>
  <c r="D49" i="8"/>
  <c r="T51" i="3"/>
  <c r="V51" i="3" s="1"/>
  <c r="T65" i="3"/>
  <c r="V65" i="3" s="1"/>
  <c r="D63" i="8"/>
  <c r="CB16" i="11"/>
  <c r="CB61" i="11"/>
  <c r="Y161" i="1"/>
  <c r="X181" i="1"/>
  <c r="N18" i="83"/>
  <c r="N66" i="83" s="1"/>
  <c r="AI38" i="5"/>
  <c r="FR25" i="11"/>
  <c r="FP29" i="11"/>
  <c r="L21" i="83"/>
  <c r="L69" i="83" s="1"/>
  <c r="AG48" i="5"/>
  <c r="K27" i="83"/>
  <c r="FO40" i="11"/>
  <c r="I18" i="83"/>
  <c r="AD38" i="5"/>
  <c r="FM25" i="11"/>
  <c r="FL40" i="11"/>
  <c r="H27" i="83"/>
  <c r="DL65" i="11"/>
  <c r="DG65" i="11"/>
  <c r="CZ16" i="11"/>
  <c r="CZ23" i="11" s="1"/>
  <c r="CZ61" i="11"/>
  <c r="CZ21" i="11"/>
  <c r="CZ52" i="11" s="1"/>
  <c r="F10" i="83"/>
  <c r="FJ14" i="11"/>
  <c r="AD60" i="9"/>
  <c r="AA18" i="5"/>
  <c r="DP65" i="11"/>
  <c r="DY65" i="11"/>
  <c r="AG63" i="11"/>
  <c r="CG63" i="11"/>
  <c r="CG16" i="11"/>
  <c r="CG61" i="11"/>
  <c r="BN65" i="11"/>
  <c r="T54" i="3"/>
  <c r="D52" i="8"/>
  <c r="CB50" i="11"/>
  <c r="Y9" i="5"/>
  <c r="FH62" i="11" s="1"/>
  <c r="D43" i="83"/>
  <c r="FG14" i="11"/>
  <c r="AA60" i="9"/>
  <c r="AA65" i="9" s="1"/>
  <c r="AA69" i="9" s="1"/>
  <c r="X18" i="5"/>
  <c r="C10" i="83"/>
  <c r="FC25" i="11"/>
  <c r="T38" i="5"/>
  <c r="R124" i="8"/>
  <c r="T123" i="8"/>
  <c r="AJ123" i="8"/>
  <c r="AH124" i="8"/>
  <c r="D95" i="67"/>
  <c r="I52" i="1"/>
  <c r="H82" i="1"/>
  <c r="N82" i="1" s="1"/>
  <c r="FP11" i="11"/>
  <c r="AG14" i="5"/>
  <c r="AG12" i="5"/>
  <c r="AG32" i="5"/>
  <c r="FO25" i="11"/>
  <c r="K18" i="83"/>
  <c r="AF38" i="5"/>
  <c r="EW10" i="11"/>
  <c r="N11" i="4"/>
  <c r="Q59" i="9"/>
  <c r="Q64" i="9" s="1"/>
  <c r="Q68" i="9" s="1"/>
  <c r="N8" i="5"/>
  <c r="O11" i="4"/>
  <c r="O8" i="5"/>
  <c r="R59" i="9"/>
  <c r="R64" i="9" s="1"/>
  <c r="R68" i="9" s="1"/>
  <c r="EX10" i="11"/>
  <c r="P61" i="11"/>
  <c r="P16" i="11"/>
  <c r="P23" i="11" s="1"/>
  <c r="U61" i="11"/>
  <c r="U16" i="11"/>
  <c r="U23" i="11" s="1"/>
  <c r="R16" i="11"/>
  <c r="R23" i="11" s="1"/>
  <c r="R61" i="11"/>
  <c r="FJ40" i="11"/>
  <c r="F27" i="83"/>
  <c r="W63" i="11"/>
  <c r="AC63" i="11"/>
  <c r="T18" i="8"/>
  <c r="R19" i="8"/>
  <c r="AJ18" i="8"/>
  <c r="AH19" i="8"/>
  <c r="T67" i="8"/>
  <c r="R68" i="8"/>
  <c r="AJ67" i="8"/>
  <c r="AH68" i="8"/>
  <c r="BX61" i="11"/>
  <c r="BX16" i="11"/>
  <c r="EC12" i="11"/>
  <c r="EC22" i="11"/>
  <c r="DU12" i="11"/>
  <c r="DU22" i="11"/>
  <c r="M43" i="83"/>
  <c r="M91" i="83" s="1"/>
  <c r="AH9" i="5"/>
  <c r="FQ17" i="11"/>
  <c r="AH26" i="5"/>
  <c r="M13" i="83"/>
  <c r="M61" i="83" s="1"/>
  <c r="AG22" i="5"/>
  <c r="FP19" i="11"/>
  <c r="AJ61" i="9"/>
  <c r="FO18" i="11"/>
  <c r="K14" i="83"/>
  <c r="AF30" i="5"/>
  <c r="AE8" i="5"/>
  <c r="AE11" i="4"/>
  <c r="FN10" i="11"/>
  <c r="AH59" i="9"/>
  <c r="C10" i="11"/>
  <c r="C16" i="11" s="1"/>
  <c r="C23" i="11" s="1"/>
  <c r="AD12" i="5"/>
  <c r="AD14" i="5"/>
  <c r="AD32" i="5"/>
  <c r="FM11" i="11"/>
  <c r="H63" i="11"/>
  <c r="S60" i="9"/>
  <c r="S65" i="9" s="1"/>
  <c r="S69" i="9" s="1"/>
  <c r="EY14" i="11"/>
  <c r="P18" i="5"/>
  <c r="FK14" i="11"/>
  <c r="G10" i="83"/>
  <c r="AE60" i="9"/>
  <c r="AB18" i="5"/>
  <c r="S61" i="9"/>
  <c r="S66" i="9" s="1"/>
  <c r="S70" i="9" s="1"/>
  <c r="P22" i="5"/>
  <c r="EY19" i="11"/>
  <c r="CZ12" i="11"/>
  <c r="CZ22" i="11"/>
  <c r="R101" i="8"/>
  <c r="AJ97" i="8"/>
  <c r="AH101" i="8"/>
  <c r="AB61" i="11"/>
  <c r="AB16" i="11"/>
  <c r="AB23" i="11" s="1"/>
  <c r="G110" i="3"/>
  <c r="ED22" i="11"/>
  <c r="CM12" i="11"/>
  <c r="CM23" i="11" s="1"/>
  <c r="CM47" i="11" s="1"/>
  <c r="CM22" i="11"/>
  <c r="AW65" i="11"/>
  <c r="AR65" i="11"/>
  <c r="DQ51" i="11"/>
  <c r="AW63" i="11"/>
  <c r="DP61" i="11"/>
  <c r="DP16" i="11"/>
  <c r="DP23" i="11" s="1"/>
  <c r="DP21" i="11"/>
  <c r="DP52" i="11" s="1"/>
  <c r="T40" i="3"/>
  <c r="D38" i="8"/>
  <c r="FB29" i="11"/>
  <c r="DL61" i="11"/>
  <c r="DL21" i="11"/>
  <c r="DL52" i="11" s="1"/>
  <c r="DL16" i="11"/>
  <c r="DL23" i="11" s="1"/>
  <c r="BB63" i="11"/>
  <c r="DO16" i="11"/>
  <c r="DO23" i="11" s="1"/>
  <c r="DO47" i="11" s="1"/>
  <c r="DO21" i="11"/>
  <c r="DO52" i="11" s="1"/>
  <c r="DO61" i="11"/>
  <c r="BU61" i="11"/>
  <c r="BU16" i="11"/>
  <c r="DV12" i="11"/>
  <c r="DV22" i="11"/>
  <c r="R138" i="8"/>
  <c r="T137" i="8"/>
  <c r="AJ137" i="8"/>
  <c r="AH138" i="8"/>
  <c r="R132" i="8"/>
  <c r="T131" i="8"/>
  <c r="AJ131" i="8"/>
  <c r="AH132" i="8"/>
  <c r="X38" i="5"/>
  <c r="C18" i="83"/>
  <c r="FG25" i="11"/>
  <c r="R66" i="8"/>
  <c r="T62" i="8"/>
  <c r="AJ62" i="8"/>
  <c r="AH66" i="8"/>
  <c r="V131" i="8"/>
  <c r="X131" i="8" s="1"/>
  <c r="Z131" i="8" s="1"/>
  <c r="J133" i="3"/>
  <c r="K133" i="3"/>
  <c r="DU82" i="11"/>
  <c r="V132" i="8"/>
  <c r="X132" i="8" s="1"/>
  <c r="Z132" i="8" s="1"/>
  <c r="J134" i="3"/>
  <c r="J135" i="3"/>
  <c r="K134" i="3"/>
  <c r="DV82" i="11"/>
  <c r="T161" i="1"/>
  <c r="Z161" i="1" s="1"/>
  <c r="T171" i="1"/>
  <c r="Y171" i="1" s="1"/>
  <c r="U141" i="1"/>
  <c r="R82" i="1"/>
  <c r="N43" i="83"/>
  <c r="AI9" i="5"/>
  <c r="FR62" i="11" s="1"/>
  <c r="AI11" i="4"/>
  <c r="AI23" i="4" s="1"/>
  <c r="AL59" i="9"/>
  <c r="AI8" i="5"/>
  <c r="FR10" i="11"/>
  <c r="AH38" i="5"/>
  <c r="M18" i="83"/>
  <c r="M66" i="83" s="1"/>
  <c r="FQ25" i="11"/>
  <c r="K43" i="83"/>
  <c r="AF9" i="5"/>
  <c r="FO62" i="11" s="1"/>
  <c r="AI60" i="9"/>
  <c r="K10" i="83"/>
  <c r="AF18" i="5"/>
  <c r="FO14" i="11"/>
  <c r="L22" i="5"/>
  <c r="EU19" i="11"/>
  <c r="O61" i="9"/>
  <c r="O66" i="9" s="1"/>
  <c r="O70" i="9" s="1"/>
  <c r="FN18" i="11"/>
  <c r="J14" i="83"/>
  <c r="AE30" i="5"/>
  <c r="AE22" i="5"/>
  <c r="FN19" i="11"/>
  <c r="AH61" i="9"/>
  <c r="EV29" i="11"/>
  <c r="Q61" i="9"/>
  <c r="Q66" i="9" s="1"/>
  <c r="Q70" i="9" s="1"/>
  <c r="EW19" i="11"/>
  <c r="N22" i="5"/>
  <c r="J63" i="11"/>
  <c r="J50" i="11"/>
  <c r="K16" i="11"/>
  <c r="K23" i="11" s="1"/>
  <c r="K61" i="11"/>
  <c r="N61" i="11"/>
  <c r="N16" i="11"/>
  <c r="N23" i="11" s="1"/>
  <c r="EY29" i="11"/>
  <c r="DG61" i="11"/>
  <c r="DG16" i="11"/>
  <c r="DG23" i="11" s="1"/>
  <c r="DG47" i="11" s="1"/>
  <c r="DG21" i="11"/>
  <c r="DG52" i="11" s="1"/>
  <c r="G18" i="83"/>
  <c r="FK25" i="11"/>
  <c r="AB38" i="5"/>
  <c r="DG50" i="11"/>
  <c r="AB12" i="5"/>
  <c r="AB14" i="5"/>
  <c r="FK11" i="11"/>
  <c r="AB32" i="5"/>
  <c r="T61" i="11"/>
  <c r="T16" i="11"/>
  <c r="T23" i="11" s="1"/>
  <c r="DA16" i="11"/>
  <c r="DA23" i="11" s="1"/>
  <c r="DA21" i="11"/>
  <c r="DA52" i="11" s="1"/>
  <c r="DA61" i="11"/>
  <c r="E43" i="83"/>
  <c r="Z9" i="5"/>
  <c r="FI62" i="11" s="1"/>
  <c r="T61" i="9"/>
  <c r="T66" i="9" s="1"/>
  <c r="T70" i="9" s="1"/>
  <c r="Q22" i="5"/>
  <c r="EZ19" i="11"/>
  <c r="T60" i="9"/>
  <c r="T65" i="9" s="1"/>
  <c r="T69" i="9" s="1"/>
  <c r="Q18" i="5"/>
  <c r="EZ14" i="11"/>
  <c r="T63" i="11"/>
  <c r="CY12" i="11"/>
  <c r="CY22" i="11"/>
  <c r="CR50" i="11"/>
  <c r="AH61" i="11"/>
  <c r="AH16" i="11"/>
  <c r="AH23" i="11" s="1"/>
  <c r="CQ61" i="11"/>
  <c r="CQ21" i="11"/>
  <c r="CQ52" i="11" s="1"/>
  <c r="CQ16" i="11"/>
  <c r="D25" i="8"/>
  <c r="T27" i="3"/>
  <c r="CU16" i="11"/>
  <c r="CU23" i="11" s="1"/>
  <c r="CU61" i="11"/>
  <c r="CU21" i="11"/>
  <c r="CU52" i="11" s="1"/>
  <c r="Y16" i="11"/>
  <c r="Y23" i="11" s="1"/>
  <c r="Y61" i="11"/>
  <c r="CU51" i="11"/>
  <c r="BF63" i="11"/>
  <c r="BG61" i="11"/>
  <c r="BG16" i="11"/>
  <c r="BG23" i="11" s="1"/>
  <c r="G112" i="3"/>
  <c r="AR50" i="11"/>
  <c r="CH65" i="11"/>
  <c r="R136" i="8"/>
  <c r="AH136" i="8"/>
  <c r="BF50" i="11"/>
  <c r="AC37" i="11"/>
  <c r="AH65" i="11" s="1"/>
  <c r="EE22" i="11"/>
  <c r="CQ65" i="11"/>
  <c r="CL65" i="11"/>
  <c r="D48" i="8"/>
  <c r="T50" i="3"/>
  <c r="CE65" i="11"/>
  <c r="T84" i="3"/>
  <c r="D82" i="8"/>
  <c r="DZ50" i="11"/>
  <c r="DX65" i="11"/>
  <c r="DI65" i="11"/>
  <c r="BU65" i="11"/>
  <c r="DI21" i="11"/>
  <c r="DI52" i="11" s="1"/>
  <c r="DI16" i="11"/>
  <c r="DI23" i="11" s="1"/>
  <c r="DI47" i="11" s="1"/>
  <c r="DI61" i="11"/>
  <c r="AT63" i="11"/>
  <c r="BA50" i="11"/>
  <c r="BR50" i="11"/>
  <c r="D53" i="8"/>
  <c r="T55" i="3"/>
  <c r="CV51" i="11"/>
  <c r="BW63" i="11"/>
  <c r="AO63" i="11"/>
  <c r="AQ61" i="11"/>
  <c r="AQ16" i="11"/>
  <c r="AQ23" i="11" s="1"/>
  <c r="AV65" i="11"/>
  <c r="BX50" i="11"/>
  <c r="DK22" i="11"/>
  <c r="DK12" i="11"/>
  <c r="DY51" i="11"/>
  <c r="AY50" i="11"/>
  <c r="DX12" i="11"/>
  <c r="DX22" i="11"/>
  <c r="DZ61" i="11"/>
  <c r="DZ16" i="11"/>
  <c r="DZ21" i="11"/>
  <c r="D84" i="8"/>
  <c r="T86" i="3"/>
  <c r="V86" i="3" s="1"/>
  <c r="R111" i="8"/>
  <c r="T110" i="8"/>
  <c r="AJ110" i="8"/>
  <c r="AH111" i="8"/>
  <c r="CO63" i="11"/>
  <c r="BD12" i="11"/>
  <c r="BD51" i="11" s="1"/>
  <c r="E41" i="1"/>
  <c r="J41" i="1" s="1"/>
  <c r="D31" i="1"/>
  <c r="T68" i="8"/>
  <c r="R69" i="8"/>
  <c r="AJ68" i="8"/>
  <c r="AH69" i="8"/>
  <c r="AN12" i="11"/>
  <c r="AN51" i="11" s="1"/>
  <c r="G15" i="3"/>
  <c r="BZ12" i="11"/>
  <c r="BZ23" i="11" s="1"/>
  <c r="BZ47" i="11" s="1"/>
  <c r="G96" i="3"/>
  <c r="AV63" i="11"/>
  <c r="G44" i="3"/>
  <c r="BC12" i="11"/>
  <c r="BC51" i="11" s="1"/>
  <c r="T24" i="8"/>
  <c r="R25" i="8"/>
  <c r="AJ24" i="8"/>
  <c r="AH25" i="8"/>
  <c r="AM65" i="11"/>
  <c r="AF92" i="3"/>
  <c r="O92" i="3"/>
  <c r="BQ12" i="11"/>
  <c r="BQ23" i="11" s="1"/>
  <c r="BQ47" i="11" s="1"/>
  <c r="CK16" i="11"/>
  <c r="CK61" i="11"/>
  <c r="CK21" i="11"/>
  <c r="CK52" i="11" s="1"/>
  <c r="R129" i="8"/>
  <c r="AH129" i="8"/>
  <c r="G121" i="3"/>
  <c r="BP63" i="11"/>
  <c r="G77" i="3"/>
  <c r="D81" i="8"/>
  <c r="T83" i="3"/>
  <c r="CG12" i="11"/>
  <c r="CG23" i="11" s="1"/>
  <c r="CG47" i="11" s="1"/>
  <c r="CC63" i="11"/>
  <c r="DP22" i="11"/>
  <c r="DP12" i="11"/>
  <c r="AF142" i="3"/>
  <c r="FC10" i="11"/>
  <c r="W59" i="9"/>
  <c r="T8" i="5"/>
  <c r="T11" i="4"/>
  <c r="CA50" i="11"/>
  <c r="T79" i="3"/>
  <c r="V79" i="3" s="1"/>
  <c r="D77" i="8"/>
  <c r="U11" i="4"/>
  <c r="X59" i="9"/>
  <c r="U8" i="5"/>
  <c r="FD10" i="11"/>
  <c r="FE11" i="11"/>
  <c r="FE22" i="11" s="1"/>
  <c r="V12" i="5"/>
  <c r="V14" i="5"/>
  <c r="T89" i="8"/>
  <c r="R90" i="8"/>
  <c r="AJ89" i="8"/>
  <c r="AH90" i="8"/>
  <c r="T25" i="8"/>
  <c r="R26" i="8"/>
  <c r="AJ25" i="8"/>
  <c r="AH26" i="8"/>
  <c r="R33" i="8"/>
  <c r="T32" i="8"/>
  <c r="AJ32" i="8"/>
  <c r="AH33" i="8"/>
  <c r="T115" i="8"/>
  <c r="R116" i="8"/>
  <c r="AJ115" i="8"/>
  <c r="AH116" i="8"/>
  <c r="C21" i="83"/>
  <c r="FG29" i="11"/>
  <c r="DN51" i="11"/>
  <c r="EC63" i="11"/>
  <c r="D43" i="85" s="1"/>
  <c r="M119" i="3"/>
  <c r="V119" i="3"/>
  <c r="X119" i="3" s="1"/>
  <c r="G92" i="67"/>
  <c r="H125" i="67"/>
  <c r="R52" i="1"/>
  <c r="C19" i="67"/>
  <c r="D23" i="67"/>
  <c r="C24" i="67"/>
  <c r="C10" i="67" s="1"/>
  <c r="C13" i="67" s="1"/>
  <c r="Q85" i="1"/>
  <c r="P115" i="1"/>
  <c r="Q115" i="1" s="1"/>
  <c r="M33" i="1"/>
  <c r="AH67" i="4"/>
  <c r="AH68" i="4" s="1"/>
  <c r="FQ71" i="11"/>
  <c r="AI64" i="4"/>
  <c r="AH65" i="4"/>
  <c r="H80" i="1"/>
  <c r="N80" i="1" s="1"/>
  <c r="I50" i="1"/>
  <c r="N50" i="1" s="1"/>
  <c r="H35" i="1"/>
  <c r="M35" i="1" s="1"/>
  <c r="P140" i="1"/>
  <c r="Q110" i="1"/>
  <c r="Q120" i="1"/>
  <c r="N44" i="1"/>
  <c r="L111" i="1"/>
  <c r="M81" i="1"/>
  <c r="N42" i="1"/>
  <c r="Q36" i="1"/>
  <c r="L92" i="67"/>
  <c r="J132" i="3"/>
  <c r="K132" i="3"/>
  <c r="V130" i="8"/>
  <c r="X130" i="8" s="1"/>
  <c r="Z130" i="8" s="1"/>
  <c r="DT82" i="11"/>
  <c r="K138" i="3"/>
  <c r="FO74" i="11"/>
  <c r="AF21" i="4"/>
  <c r="AL66" i="4" l="1"/>
  <c r="I139" i="54"/>
  <c r="F139" i="54"/>
  <c r="V158" i="8"/>
  <c r="J161" i="3"/>
  <c r="I162" i="3"/>
  <c r="K162" i="3" s="1"/>
  <c r="T138" i="54"/>
  <c r="J138" i="54"/>
  <c r="V139" i="8"/>
  <c r="X139" i="8" s="1"/>
  <c r="Z139" i="8" s="1"/>
  <c r="J142" i="3"/>
  <c r="V136" i="8"/>
  <c r="X136" i="8" s="1"/>
  <c r="Z136" i="8" s="1"/>
  <c r="J138" i="3"/>
  <c r="AI55" i="4"/>
  <c r="K141" i="3"/>
  <c r="M141" i="3" s="1"/>
  <c r="O141" i="3" s="1"/>
  <c r="AJ52" i="4"/>
  <c r="J141" i="3"/>
  <c r="V138" i="8"/>
  <c r="X138" i="8" s="1"/>
  <c r="Z138" i="8" s="1"/>
  <c r="AI42" i="4"/>
  <c r="J140" i="3"/>
  <c r="DY82" i="11"/>
  <c r="AI56" i="4"/>
  <c r="L68" i="8"/>
  <c r="D16" i="11"/>
  <c r="D23" i="11" s="1"/>
  <c r="I64" i="11" s="1"/>
  <c r="O66" i="83"/>
  <c r="O115" i="83"/>
  <c r="N91" i="83"/>
  <c r="N200" i="83" s="1"/>
  <c r="N199" i="83" s="1"/>
  <c r="N140" i="83"/>
  <c r="N202" i="83" s="1"/>
  <c r="N107" i="83"/>
  <c r="N58" i="83"/>
  <c r="L63" i="83"/>
  <c r="M107" i="83"/>
  <c r="M58" i="83"/>
  <c r="M63" i="83"/>
  <c r="M92" i="83"/>
  <c r="M110" i="83"/>
  <c r="M112" i="83" s="1"/>
  <c r="N63" i="83"/>
  <c r="N92" i="83"/>
  <c r="N110" i="83"/>
  <c r="D45" i="85"/>
  <c r="O82" i="3"/>
  <c r="D268" i="54"/>
  <c r="C269" i="54"/>
  <c r="EK42" i="11"/>
  <c r="FT42" i="11"/>
  <c r="EJ40" i="11"/>
  <c r="C27" i="85" s="1"/>
  <c r="H27" i="85" s="1"/>
  <c r="EJ41" i="11"/>
  <c r="I148" i="3"/>
  <c r="B129" i="54"/>
  <c r="I145" i="3"/>
  <c r="EC82" i="11" s="1"/>
  <c r="BU47" i="11"/>
  <c r="BU58" i="11" s="1"/>
  <c r="BU27" i="11"/>
  <c r="BU56" i="11" s="1"/>
  <c r="BP51" i="11"/>
  <c r="D50" i="11"/>
  <c r="L24" i="8"/>
  <c r="BU51" i="11"/>
  <c r="I61" i="11"/>
  <c r="I147" i="3"/>
  <c r="EE82" i="11" s="1"/>
  <c r="AI65" i="4"/>
  <c r="X125" i="3"/>
  <c r="AI67" i="4"/>
  <c r="AI68" i="4" s="1"/>
  <c r="X124" i="3"/>
  <c r="X127" i="3"/>
  <c r="DS53" i="11"/>
  <c r="BU52" i="11"/>
  <c r="AF61" i="3"/>
  <c r="CH51" i="11"/>
  <c r="AF78" i="3"/>
  <c r="AF89" i="3"/>
  <c r="CO53" i="11"/>
  <c r="CT53" i="11"/>
  <c r="I16" i="1"/>
  <c r="AF33" i="3"/>
  <c r="AE31" i="5"/>
  <c r="BU64" i="11"/>
  <c r="J46" i="1"/>
  <c r="AF40" i="3"/>
  <c r="AF98" i="3"/>
  <c r="O26" i="3"/>
  <c r="O47" i="3"/>
  <c r="FE63" i="11"/>
  <c r="BW51" i="11"/>
  <c r="FJ50" i="11"/>
  <c r="O35" i="3"/>
  <c r="BX52" i="11"/>
  <c r="J61" i="11"/>
  <c r="AF43" i="3"/>
  <c r="C39" i="106"/>
  <c r="H34" i="106" s="1"/>
  <c r="AH31" i="5"/>
  <c r="AC31" i="5"/>
  <c r="CC51" i="11"/>
  <c r="EY63" i="11"/>
  <c r="CM53" i="11"/>
  <c r="DV53" i="11"/>
  <c r="AF70" i="3"/>
  <c r="O28" i="3"/>
  <c r="BX47" i="11"/>
  <c r="BX66" i="11" s="1"/>
  <c r="AF113" i="3"/>
  <c r="BX51" i="11"/>
  <c r="O99" i="3"/>
  <c r="DB53" i="11"/>
  <c r="O106" i="3"/>
  <c r="CR53" i="11"/>
  <c r="DO53" i="11"/>
  <c r="CF27" i="11"/>
  <c r="CF56" i="11" s="1"/>
  <c r="AF58" i="3"/>
  <c r="N19" i="5"/>
  <c r="BV23" i="11"/>
  <c r="BV47" i="11" s="1"/>
  <c r="BV58" i="11" s="1"/>
  <c r="FN63" i="11"/>
  <c r="O104" i="3"/>
  <c r="O20" i="3"/>
  <c r="FH63" i="11"/>
  <c r="AF19" i="5"/>
  <c r="CF52" i="11"/>
  <c r="O118" i="3"/>
  <c r="CF64" i="11"/>
  <c r="FK51" i="11"/>
  <c r="E12" i="11"/>
  <c r="E51" i="11" s="1"/>
  <c r="E50" i="11"/>
  <c r="BR51" i="11"/>
  <c r="AF63" i="3"/>
  <c r="V23" i="5"/>
  <c r="FJ51" i="11"/>
  <c r="AB23" i="5"/>
  <c r="O50" i="3"/>
  <c r="O71" i="3"/>
  <c r="AF36" i="3"/>
  <c r="U19" i="5"/>
  <c r="AI19" i="5"/>
  <c r="O100" i="3"/>
  <c r="FQ51" i="11"/>
  <c r="K19" i="5"/>
  <c r="AE23" i="5"/>
  <c r="X51" i="3"/>
  <c r="O65" i="3"/>
  <c r="L49" i="8"/>
  <c r="Q23" i="5"/>
  <c r="R23" i="5"/>
  <c r="ET50" i="11"/>
  <c r="AF107" i="3"/>
  <c r="L39" i="8"/>
  <c r="AF55" i="3"/>
  <c r="X100" i="3"/>
  <c r="Q19" i="5"/>
  <c r="AB19" i="5"/>
  <c r="AF83" i="3"/>
  <c r="AC27" i="5"/>
  <c r="W19" i="5"/>
  <c r="O34" i="3"/>
  <c r="O85" i="3"/>
  <c r="L81" i="8"/>
  <c r="L38" i="8"/>
  <c r="L40" i="8"/>
  <c r="O54" i="3"/>
  <c r="AF49" i="3"/>
  <c r="O64" i="3"/>
  <c r="X86" i="3"/>
  <c r="X65" i="3"/>
  <c r="L83" i="8"/>
  <c r="L66" i="8"/>
  <c r="L34" i="8"/>
  <c r="L52" i="8"/>
  <c r="X37" i="3"/>
  <c r="F27" i="11"/>
  <c r="F56" i="11" s="1"/>
  <c r="F52" i="11"/>
  <c r="FD50" i="11"/>
  <c r="DD53" i="11"/>
  <c r="FB50" i="11"/>
  <c r="CL53" i="11"/>
  <c r="EW50" i="11"/>
  <c r="FG63" i="11"/>
  <c r="BQ51" i="11"/>
  <c r="CZ53" i="11"/>
  <c r="DE53" i="11"/>
  <c r="BZ51" i="11"/>
  <c r="ET63" i="11"/>
  <c r="CJ53" i="11"/>
  <c r="FQ50" i="11"/>
  <c r="L55" i="8"/>
  <c r="L19" i="5"/>
  <c r="L77" i="8"/>
  <c r="L41" i="8"/>
  <c r="FK63" i="11"/>
  <c r="FL63" i="11"/>
  <c r="T19" i="5"/>
  <c r="L46" i="8"/>
  <c r="AB27" i="5"/>
  <c r="L54" i="8"/>
  <c r="BX64" i="11"/>
  <c r="O84" i="3"/>
  <c r="FF50" i="11"/>
  <c r="CK53" i="11"/>
  <c r="AF27" i="5"/>
  <c r="L26" i="8"/>
  <c r="FP51" i="11"/>
  <c r="AF105" i="3"/>
  <c r="X79" i="3"/>
  <c r="DP53" i="11"/>
  <c r="P19" i="5"/>
  <c r="AH27" i="5"/>
  <c r="FG50" i="11"/>
  <c r="DT53" i="11"/>
  <c r="DG53" i="11"/>
  <c r="FB63" i="11"/>
  <c r="DL53" i="11"/>
  <c r="K23" i="5"/>
  <c r="R19" i="5"/>
  <c r="FM51" i="11"/>
  <c r="L67" i="8"/>
  <c r="AC23" i="5"/>
  <c r="EV63" i="11"/>
  <c r="EY50" i="11"/>
  <c r="L62" i="8"/>
  <c r="O23" i="5"/>
  <c r="FO63" i="11"/>
  <c r="V19" i="5"/>
  <c r="FA50" i="11"/>
  <c r="T23" i="5"/>
  <c r="AF29" i="3"/>
  <c r="N23" i="5"/>
  <c r="Z19" i="5"/>
  <c r="AA19" i="5"/>
  <c r="L63" i="8"/>
  <c r="CV53" i="11"/>
  <c r="FD63" i="11"/>
  <c r="L75" i="8"/>
  <c r="CM58" i="11"/>
  <c r="DV58" i="11"/>
  <c r="DV66" i="11"/>
  <c r="BS58" i="11"/>
  <c r="CG58" i="11"/>
  <c r="CG66" i="11"/>
  <c r="DN58" i="11"/>
  <c r="DN66" i="11"/>
  <c r="CE66" i="11"/>
  <c r="CE58" i="11"/>
  <c r="DO58" i="11"/>
  <c r="DO66" i="11"/>
  <c r="P170" i="1"/>
  <c r="U170" i="1" s="1"/>
  <c r="P145" i="1"/>
  <c r="V145" i="1" s="1"/>
  <c r="P144" i="1"/>
  <c r="P160" i="1"/>
  <c r="Q140" i="1"/>
  <c r="AH64" i="11"/>
  <c r="AH27" i="11"/>
  <c r="AH52" i="11"/>
  <c r="J62" i="83"/>
  <c r="J111" i="83" s="1"/>
  <c r="J160" i="83"/>
  <c r="J44" i="83"/>
  <c r="DL64" i="11"/>
  <c r="DL27" i="11"/>
  <c r="DL54" i="11"/>
  <c r="S28" i="4"/>
  <c r="S23" i="4"/>
  <c r="S12" i="4"/>
  <c r="S17" i="4"/>
  <c r="Z50" i="10"/>
  <c r="AA64" i="9"/>
  <c r="AA68" i="9" s="1"/>
  <c r="O23" i="3"/>
  <c r="AF23" i="3"/>
  <c r="EC23" i="11"/>
  <c r="EC54" i="11" s="1"/>
  <c r="R23" i="4"/>
  <c r="R28" i="4"/>
  <c r="R12" i="4"/>
  <c r="R17" i="4"/>
  <c r="CO58" i="11"/>
  <c r="CO66" i="11"/>
  <c r="I27" i="11"/>
  <c r="I52" i="11"/>
  <c r="BZ58" i="11"/>
  <c r="CW64" i="11"/>
  <c r="CW54" i="11"/>
  <c r="CW27" i="11"/>
  <c r="DK53" i="11"/>
  <c r="FQ62" i="11"/>
  <c r="D199" i="83"/>
  <c r="D140" i="83"/>
  <c r="D91" i="83"/>
  <c r="CZ54" i="11"/>
  <c r="CZ64" i="11"/>
  <c r="CZ27" i="11"/>
  <c r="L118" i="83"/>
  <c r="D118" i="83"/>
  <c r="D167" i="83"/>
  <c r="D69" i="83"/>
  <c r="S34" i="5"/>
  <c r="S15" i="5"/>
  <c r="J140" i="83"/>
  <c r="J91" i="83"/>
  <c r="J199" i="83"/>
  <c r="CJ66" i="11"/>
  <c r="CJ58" i="11"/>
  <c r="Y166" i="1"/>
  <c r="BX55" i="11"/>
  <c r="BX31" i="11"/>
  <c r="DU64" i="11"/>
  <c r="DU27" i="11"/>
  <c r="DU54" i="11"/>
  <c r="U64" i="9"/>
  <c r="U68" i="9" s="1"/>
  <c r="T50" i="10"/>
  <c r="G173" i="83"/>
  <c r="G75" i="83"/>
  <c r="G124" i="83" s="1"/>
  <c r="BD52" i="11"/>
  <c r="BD64" i="11"/>
  <c r="BD27" i="11"/>
  <c r="O34" i="5"/>
  <c r="O15" i="5"/>
  <c r="FN21" i="11"/>
  <c r="FN52" i="11" s="1"/>
  <c r="FN16" i="11"/>
  <c r="FN23" i="11" s="1"/>
  <c r="FN12" i="11"/>
  <c r="FN61" i="11"/>
  <c r="J6" i="83"/>
  <c r="J34" i="83" s="1"/>
  <c r="I82" i="1"/>
  <c r="H112" i="1"/>
  <c r="DT66" i="11"/>
  <c r="DT58" i="11"/>
  <c r="Y23" i="5"/>
  <c r="H15" i="83"/>
  <c r="H61" i="83"/>
  <c r="H159" i="83"/>
  <c r="X23" i="4"/>
  <c r="FG75" i="11" s="1"/>
  <c r="X17" i="4"/>
  <c r="X28" i="4"/>
  <c r="X12" i="4"/>
  <c r="V83" i="3"/>
  <c r="AI83" i="3"/>
  <c r="AK83" i="3" s="1"/>
  <c r="AF96" i="3"/>
  <c r="O96" i="3"/>
  <c r="DZ23" i="11"/>
  <c r="V55" i="3"/>
  <c r="AI55" i="3"/>
  <c r="AK55" i="3" s="1"/>
  <c r="AB15" i="5"/>
  <c r="AB34" i="5"/>
  <c r="AE17" i="4"/>
  <c r="AE7" i="4"/>
  <c r="AE23" i="4"/>
  <c r="AE12" i="4"/>
  <c r="AE28" i="4"/>
  <c r="AE13" i="4"/>
  <c r="FN77" i="11" s="1"/>
  <c r="AE6" i="4"/>
  <c r="DE58" i="11"/>
  <c r="AF41" i="3"/>
  <c r="O41" i="3"/>
  <c r="DQ58" i="11"/>
  <c r="DY23" i="11"/>
  <c r="FO61" i="11"/>
  <c r="FO12" i="11"/>
  <c r="FO21" i="11"/>
  <c r="FO52" i="11" s="1"/>
  <c r="K6" i="83"/>
  <c r="K34" i="83" s="1"/>
  <c r="FO16" i="11"/>
  <c r="FO23" i="11" s="1"/>
  <c r="L140" i="1"/>
  <c r="M120" i="1"/>
  <c r="M110" i="1"/>
  <c r="AB65" i="9"/>
  <c r="AB69" i="9" s="1"/>
  <c r="AB66" i="9"/>
  <c r="AB70" i="9" s="1"/>
  <c r="E53" i="1"/>
  <c r="J53" i="1" s="1"/>
  <c r="D83" i="1"/>
  <c r="J83" i="1" s="1"/>
  <c r="D36" i="1"/>
  <c r="I36" i="1" s="1"/>
  <c r="P172" i="1"/>
  <c r="U172" i="1" s="1"/>
  <c r="P162" i="1"/>
  <c r="Q142" i="1"/>
  <c r="D265" i="54"/>
  <c r="AJ60" i="4"/>
  <c r="BM27" i="11"/>
  <c r="BM52" i="11"/>
  <c r="BM64" i="11"/>
  <c r="DX53" i="11"/>
  <c r="L48" i="8"/>
  <c r="DA27" i="11"/>
  <c r="DA54" i="11"/>
  <c r="DA64" i="11"/>
  <c r="N201" i="83"/>
  <c r="AF110" i="3"/>
  <c r="O110" i="3"/>
  <c r="P23" i="5"/>
  <c r="L7" i="83"/>
  <c r="L55" i="83" s="1"/>
  <c r="FP22" i="11"/>
  <c r="CQ53" i="11"/>
  <c r="M175" i="83"/>
  <c r="K140" i="3"/>
  <c r="K139" i="3"/>
  <c r="V137" i="8"/>
  <c r="X137" i="8" s="1"/>
  <c r="Z137" i="8" s="1"/>
  <c r="J139" i="3"/>
  <c r="DK54" i="11"/>
  <c r="DK27" i="11"/>
  <c r="DK64" i="11"/>
  <c r="V29" i="3"/>
  <c r="AI29" i="3"/>
  <c r="AK29" i="3" s="1"/>
  <c r="DF54" i="11"/>
  <c r="DF64" i="11"/>
  <c r="DF27" i="11"/>
  <c r="M23" i="5"/>
  <c r="J45" i="1"/>
  <c r="H86" i="1"/>
  <c r="N86" i="1" s="1"/>
  <c r="I56" i="1"/>
  <c r="N56" i="1" s="1"/>
  <c r="Y23" i="4"/>
  <c r="FH75" i="11" s="1"/>
  <c r="Y17" i="4"/>
  <c r="Y28" i="4"/>
  <c r="Y12" i="4"/>
  <c r="X27" i="11"/>
  <c r="X52" i="11"/>
  <c r="X64" i="11"/>
  <c r="F91" i="83"/>
  <c r="F199" i="83"/>
  <c r="F140" i="83"/>
  <c r="AG19" i="5"/>
  <c r="AF76" i="3"/>
  <c r="O76" i="3"/>
  <c r="DD64" i="11"/>
  <c r="DD27" i="11"/>
  <c r="DD54" i="11"/>
  <c r="DQ53" i="11"/>
  <c r="S50" i="10"/>
  <c r="T64" i="9"/>
  <c r="T68" i="9" s="1"/>
  <c r="X126" i="3"/>
  <c r="DA53" i="11"/>
  <c r="FM61" i="11"/>
  <c r="I6" i="83"/>
  <c r="I34" i="83" s="1"/>
  <c r="FM12" i="11"/>
  <c r="FM16" i="11"/>
  <c r="FM23" i="11" s="1"/>
  <c r="FM21" i="11"/>
  <c r="FM52" i="11" s="1"/>
  <c r="L34" i="5"/>
  <c r="L15" i="5"/>
  <c r="V140" i="1"/>
  <c r="FC50" i="11"/>
  <c r="L56" i="8"/>
  <c r="AI47" i="3"/>
  <c r="V47" i="3"/>
  <c r="V48" i="3"/>
  <c r="AI48" i="3"/>
  <c r="AK48" i="3" s="1"/>
  <c r="AX27" i="11"/>
  <c r="AX64" i="11"/>
  <c r="AX52" i="11"/>
  <c r="AI76" i="3"/>
  <c r="AK76" i="3" s="1"/>
  <c r="V76" i="3"/>
  <c r="L76" i="8"/>
  <c r="O21" i="3"/>
  <c r="AF21" i="3"/>
  <c r="G62" i="83"/>
  <c r="G111" i="83" s="1"/>
  <c r="G44" i="83"/>
  <c r="G160" i="83"/>
  <c r="I156" i="83"/>
  <c r="I107" i="83"/>
  <c r="I58" i="83"/>
  <c r="AE19" i="5"/>
  <c r="AF7" i="4"/>
  <c r="FO76" i="11" s="1"/>
  <c r="AF17" i="4"/>
  <c r="AF12" i="4"/>
  <c r="AF28" i="4"/>
  <c r="AF23" i="4"/>
  <c r="FO75" i="11" s="1"/>
  <c r="AF13" i="4"/>
  <c r="FO77" i="11" s="1"/>
  <c r="AF6" i="4"/>
  <c r="FR63" i="11"/>
  <c r="L35" i="8"/>
  <c r="DJ64" i="11"/>
  <c r="DJ54" i="11"/>
  <c r="DJ27" i="11"/>
  <c r="BA52" i="11"/>
  <c r="BA64" i="11"/>
  <c r="BA27" i="11"/>
  <c r="M12" i="4"/>
  <c r="M36" i="4" s="1"/>
  <c r="M28" i="4"/>
  <c r="M23" i="4"/>
  <c r="M17" i="4"/>
  <c r="F16" i="1"/>
  <c r="CJ64" i="11"/>
  <c r="CJ27" i="11"/>
  <c r="CJ54" i="11"/>
  <c r="BK52" i="11"/>
  <c r="BK27" i="11"/>
  <c r="BK64" i="11"/>
  <c r="L15" i="83"/>
  <c r="AD31" i="5"/>
  <c r="DS66" i="11"/>
  <c r="DS58" i="11"/>
  <c r="CC52" i="11"/>
  <c r="CC64" i="11"/>
  <c r="CC27" i="11"/>
  <c r="L80" i="8"/>
  <c r="X72" i="3"/>
  <c r="U23" i="5"/>
  <c r="AI49" i="3"/>
  <c r="AK49" i="3" s="1"/>
  <c r="V49" i="3"/>
  <c r="BI27" i="11"/>
  <c r="BI52" i="11"/>
  <c r="BI64" i="11"/>
  <c r="CP53" i="11"/>
  <c r="H58" i="83"/>
  <c r="H107" i="83"/>
  <c r="H156" i="83"/>
  <c r="CL58" i="11"/>
  <c r="CL66" i="11"/>
  <c r="C173" i="83"/>
  <c r="C75" i="83"/>
  <c r="C124" i="83" s="1"/>
  <c r="DB64" i="11"/>
  <c r="DB27" i="11"/>
  <c r="DB54" i="11"/>
  <c r="K61" i="83"/>
  <c r="L92" i="83" s="1"/>
  <c r="K159" i="83"/>
  <c r="K15" i="83"/>
  <c r="CL27" i="11"/>
  <c r="CL54" i="11"/>
  <c r="CL64" i="11"/>
  <c r="DB47" i="11"/>
  <c r="X123" i="67"/>
  <c r="Y88" i="67"/>
  <c r="L33" i="8"/>
  <c r="R15" i="5"/>
  <c r="R34" i="5"/>
  <c r="AH19" i="5"/>
  <c r="W64" i="9"/>
  <c r="W68" i="9" s="1"/>
  <c r="V50" i="10"/>
  <c r="D81" i="1"/>
  <c r="J81" i="1" s="1"/>
  <c r="E51" i="1"/>
  <c r="J51" i="1" s="1"/>
  <c r="T52" i="11"/>
  <c r="T27" i="11"/>
  <c r="T64" i="11"/>
  <c r="DP64" i="11"/>
  <c r="DP54" i="11"/>
  <c r="DP27" i="11"/>
  <c r="O12" i="4"/>
  <c r="O36" i="4" s="1"/>
  <c r="O28" i="4"/>
  <c r="O23" i="4"/>
  <c r="O17" i="4"/>
  <c r="CQ64" i="11"/>
  <c r="CQ27" i="11"/>
  <c r="CQ54" i="11"/>
  <c r="U146" i="1"/>
  <c r="L98" i="8"/>
  <c r="L105" i="8"/>
  <c r="V70" i="3"/>
  <c r="AI70" i="3"/>
  <c r="AK70" i="3" s="1"/>
  <c r="CC58" i="11"/>
  <c r="W37" i="11"/>
  <c r="S52" i="11"/>
  <c r="S27" i="11"/>
  <c r="S64" i="11"/>
  <c r="P161" i="1"/>
  <c r="V161" i="1" s="1"/>
  <c r="Q141" i="1"/>
  <c r="P171" i="1"/>
  <c r="AI56" i="3"/>
  <c r="AK56" i="3" s="1"/>
  <c r="V56" i="3"/>
  <c r="BS27" i="11"/>
  <c r="BS52" i="11"/>
  <c r="BS64" i="11"/>
  <c r="AI34" i="5"/>
  <c r="AI15" i="5"/>
  <c r="O42" i="3"/>
  <c r="AF42" i="3"/>
  <c r="FR51" i="11"/>
  <c r="G93" i="67"/>
  <c r="H126" i="67"/>
  <c r="CQ47" i="11"/>
  <c r="K66" i="83"/>
  <c r="K115" i="83"/>
  <c r="K164" i="83"/>
  <c r="I81" i="1"/>
  <c r="H111" i="1"/>
  <c r="BN27" i="11"/>
  <c r="BN52" i="11"/>
  <c r="BN64" i="11"/>
  <c r="EA53" i="11"/>
  <c r="FI51" i="11"/>
  <c r="FI16" i="11"/>
  <c r="FI23" i="11" s="1"/>
  <c r="E6" i="83"/>
  <c r="FI12" i="11"/>
  <c r="FI21" i="11"/>
  <c r="FI52" i="11" s="1"/>
  <c r="FI61" i="11"/>
  <c r="L175" i="83"/>
  <c r="L142" i="1"/>
  <c r="M112" i="1"/>
  <c r="M122" i="1"/>
  <c r="CR27" i="11"/>
  <c r="CR54" i="11"/>
  <c r="CR64" i="11"/>
  <c r="F69" i="83"/>
  <c r="F167" i="83"/>
  <c r="F118" i="83"/>
  <c r="U144" i="1"/>
  <c r="T164" i="1"/>
  <c r="T174" i="1"/>
  <c r="DJ53" i="11"/>
  <c r="CA27" i="11"/>
  <c r="CA52" i="11"/>
  <c r="AH34" i="5"/>
  <c r="AH15" i="5"/>
  <c r="EU51" i="11"/>
  <c r="EU21" i="11"/>
  <c r="EU52" i="11" s="1"/>
  <c r="EU61" i="11"/>
  <c r="EU12" i="11"/>
  <c r="EU16" i="11"/>
  <c r="EU23" i="11" s="1"/>
  <c r="X23" i="5"/>
  <c r="V77" i="3"/>
  <c r="AI77" i="3"/>
  <c r="AK77" i="3" s="1"/>
  <c r="DP47" i="11"/>
  <c r="G66" i="83"/>
  <c r="G164" i="83"/>
  <c r="G115" i="83"/>
  <c r="AB64" i="9"/>
  <c r="AB68" i="9" s="1"/>
  <c r="AA50" i="10"/>
  <c r="Q15" i="5"/>
  <c r="Q34" i="5"/>
  <c r="M160" i="83"/>
  <c r="M44" i="83"/>
  <c r="AI33" i="3"/>
  <c r="V33" i="3"/>
  <c r="AG17" i="4"/>
  <c r="AG12" i="4"/>
  <c r="AG28" i="4"/>
  <c r="AG7" i="4"/>
  <c r="FP76" i="11" s="1"/>
  <c r="AG13" i="4"/>
  <c r="FP77" i="11" s="1"/>
  <c r="AG6" i="4"/>
  <c r="J28" i="4"/>
  <c r="J12" i="4"/>
  <c r="J36" i="4" s="1"/>
  <c r="J23" i="4"/>
  <c r="J17" i="4"/>
  <c r="AD38" i="11"/>
  <c r="E164" i="83"/>
  <c r="E115" i="83"/>
  <c r="E66" i="83"/>
  <c r="E7" i="83"/>
  <c r="FI22" i="11"/>
  <c r="E167" i="83"/>
  <c r="E69" i="83"/>
  <c r="E118" i="83"/>
  <c r="DV27" i="11"/>
  <c r="DV54" i="11"/>
  <c r="DV64" i="11"/>
  <c r="BR58" i="11"/>
  <c r="DF53" i="11"/>
  <c r="G15" i="83"/>
  <c r="G159" i="83"/>
  <c r="G61" i="83"/>
  <c r="I91" i="83"/>
  <c r="I199" i="83"/>
  <c r="I140" i="83"/>
  <c r="M128" i="3"/>
  <c r="O128" i="3" s="1"/>
  <c r="V128" i="3"/>
  <c r="I127" i="67"/>
  <c r="I93" i="67"/>
  <c r="DL47" i="11"/>
  <c r="DQ66" i="11" s="1"/>
  <c r="H27" i="11"/>
  <c r="H64" i="11"/>
  <c r="H52" i="11"/>
  <c r="AY52" i="11"/>
  <c r="AY27" i="11"/>
  <c r="AY64" i="11"/>
  <c r="O164" i="83"/>
  <c r="AB146" i="3"/>
  <c r="AB144" i="8"/>
  <c r="AD144" i="8" s="1"/>
  <c r="FQ22" i="11"/>
  <c r="M7" i="83"/>
  <c r="M55" i="83" s="1"/>
  <c r="AJ54" i="4"/>
  <c r="AJ66" i="4"/>
  <c r="CK54" i="11"/>
  <c r="CK64" i="11"/>
  <c r="CK27" i="11"/>
  <c r="DK58" i="11"/>
  <c r="DK66" i="11"/>
  <c r="AS27" i="11"/>
  <c r="AS64" i="11"/>
  <c r="AS52" i="11"/>
  <c r="O114" i="3"/>
  <c r="AF114" i="3"/>
  <c r="DZ53" i="11"/>
  <c r="O30" i="3"/>
  <c r="AF30" i="3"/>
  <c r="FL61" i="11"/>
  <c r="H6" i="83"/>
  <c r="FL16" i="11"/>
  <c r="FL23" i="11" s="1"/>
  <c r="FL12" i="11"/>
  <c r="FL21" i="11"/>
  <c r="FL52" i="11" s="1"/>
  <c r="AD27" i="5"/>
  <c r="AF15" i="5"/>
  <c r="AF34" i="5"/>
  <c r="J15" i="5"/>
  <c r="J34" i="5"/>
  <c r="V62" i="3"/>
  <c r="AI62" i="3"/>
  <c r="AK62" i="3" s="1"/>
  <c r="N15" i="83"/>
  <c r="BF64" i="11"/>
  <c r="BF52" i="11"/>
  <c r="BF27" i="11"/>
  <c r="I173" i="83"/>
  <c r="I75" i="83"/>
  <c r="I124" i="83" s="1"/>
  <c r="EA52" i="11"/>
  <c r="V42" i="3"/>
  <c r="AI42" i="3"/>
  <c r="AK42" i="3" s="1"/>
  <c r="M121" i="1"/>
  <c r="L141" i="1"/>
  <c r="R141" i="1" s="1"/>
  <c r="M111" i="1"/>
  <c r="AI53" i="4"/>
  <c r="V34" i="5"/>
  <c r="V15" i="5"/>
  <c r="DZ52" i="11"/>
  <c r="BP58" i="11"/>
  <c r="BP66" i="11"/>
  <c r="L82" i="8"/>
  <c r="L25" i="8"/>
  <c r="FK22" i="11"/>
  <c r="G7" i="83"/>
  <c r="N27" i="11"/>
  <c r="N64" i="11"/>
  <c r="N52" i="11"/>
  <c r="K140" i="83"/>
  <c r="K91" i="83"/>
  <c r="K199" i="83"/>
  <c r="V141" i="1"/>
  <c r="M133" i="3"/>
  <c r="O133" i="3" s="1"/>
  <c r="V133" i="3"/>
  <c r="X133" i="3" s="1"/>
  <c r="C66" i="83"/>
  <c r="C115" i="83"/>
  <c r="C164" i="83"/>
  <c r="AE65" i="9"/>
  <c r="AE69" i="9" s="1"/>
  <c r="AE66" i="9"/>
  <c r="AE70" i="9" s="1"/>
  <c r="FP63" i="11"/>
  <c r="DU53" i="11"/>
  <c r="F173" i="83"/>
  <c r="F75" i="83"/>
  <c r="F124" i="83" s="1"/>
  <c r="P27" i="11"/>
  <c r="P52" i="11"/>
  <c r="P64" i="11"/>
  <c r="I164" i="83"/>
  <c r="I115" i="83"/>
  <c r="I66" i="83"/>
  <c r="D82" i="1"/>
  <c r="J82" i="1" s="1"/>
  <c r="E52" i="1"/>
  <c r="J52" i="1" s="1"/>
  <c r="BC52" i="11"/>
  <c r="BC27" i="11"/>
  <c r="BC64" i="11"/>
  <c r="J7" i="83"/>
  <c r="FN22" i="11"/>
  <c r="FQ69" i="11"/>
  <c r="AH41" i="4"/>
  <c r="AI40" i="4"/>
  <c r="AI43" i="4" s="1"/>
  <c r="AI17" i="4" s="1"/>
  <c r="Z37" i="11"/>
  <c r="V64" i="3"/>
  <c r="AI64" i="3"/>
  <c r="AK64" i="3" s="1"/>
  <c r="FB21" i="11"/>
  <c r="FB52" i="11" s="1"/>
  <c r="FB51" i="11"/>
  <c r="FB61" i="11"/>
  <c r="FB16" i="11"/>
  <c r="FB23" i="11" s="1"/>
  <c r="FB12" i="11"/>
  <c r="AL52" i="11"/>
  <c r="AL27" i="11"/>
  <c r="AL64" i="11"/>
  <c r="CB64" i="11"/>
  <c r="CB52" i="11"/>
  <c r="CB27" i="11"/>
  <c r="V43" i="3"/>
  <c r="AI43" i="3"/>
  <c r="AK43" i="3" s="1"/>
  <c r="AE64" i="11"/>
  <c r="AE52" i="11"/>
  <c r="AE27" i="11"/>
  <c r="C91" i="83"/>
  <c r="C199" i="83"/>
  <c r="C140" i="83"/>
  <c r="V20" i="3"/>
  <c r="X20" i="3" s="1"/>
  <c r="AI20" i="3"/>
  <c r="AK20" i="3" s="1"/>
  <c r="AM20" i="3" s="1"/>
  <c r="N175" i="83"/>
  <c r="Y59" i="67"/>
  <c r="M36" i="1"/>
  <c r="D161" i="83"/>
  <c r="D45" i="83"/>
  <c r="D63" i="83"/>
  <c r="D112" i="83"/>
  <c r="S23" i="5"/>
  <c r="CY54" i="11"/>
  <c r="CY27" i="11"/>
  <c r="CY64" i="11"/>
  <c r="FL51" i="11"/>
  <c r="AF23" i="5"/>
  <c r="N46" i="1"/>
  <c r="V91" i="3"/>
  <c r="AI91" i="3"/>
  <c r="AK91" i="3" s="1"/>
  <c r="AT27" i="11"/>
  <c r="AT64" i="11"/>
  <c r="AT52" i="11"/>
  <c r="E50" i="1"/>
  <c r="J50" i="1" s="1"/>
  <c r="D80" i="1"/>
  <c r="J80" i="1" s="1"/>
  <c r="D35" i="1"/>
  <c r="I35" i="1" s="1"/>
  <c r="L28" i="8"/>
  <c r="L31" i="8"/>
  <c r="DE54" i="11"/>
  <c r="DE64" i="11"/>
  <c r="DE27" i="11"/>
  <c r="FN51" i="11"/>
  <c r="AJ64" i="9"/>
  <c r="AJ68" i="9" s="1"/>
  <c r="AI50" i="10"/>
  <c r="M131" i="3"/>
  <c r="O131" i="3" s="1"/>
  <c r="K135" i="3"/>
  <c r="V131" i="3"/>
  <c r="X131" i="3" s="1"/>
  <c r="AG184" i="1"/>
  <c r="V92" i="3"/>
  <c r="AI92" i="3"/>
  <c r="AK92" i="3" s="1"/>
  <c r="FE50" i="11"/>
  <c r="AI85" i="3"/>
  <c r="AK85" i="3" s="1"/>
  <c r="V85" i="3"/>
  <c r="CB51" i="11"/>
  <c r="E54" i="1"/>
  <c r="J54" i="1" s="1"/>
  <c r="D84" i="1"/>
  <c r="J84" i="1" s="1"/>
  <c r="CK47" i="11"/>
  <c r="CP66" i="11" s="1"/>
  <c r="AF79" i="3"/>
  <c r="O79" i="3"/>
  <c r="CA51" i="11"/>
  <c r="DY52" i="11"/>
  <c r="CE51" i="11"/>
  <c r="E58" i="83"/>
  <c r="E156" i="83"/>
  <c r="E107" i="83"/>
  <c r="O19" i="3"/>
  <c r="AF19" i="3"/>
  <c r="G91" i="83"/>
  <c r="G140" i="83"/>
  <c r="G199" i="83"/>
  <c r="H140" i="83"/>
  <c r="H91" i="83"/>
  <c r="H199" i="83"/>
  <c r="AL66" i="9"/>
  <c r="AL70" i="9" s="1"/>
  <c r="AL65" i="9"/>
  <c r="AL69" i="9" s="1"/>
  <c r="U92" i="67"/>
  <c r="T127" i="67"/>
  <c r="V57" i="3"/>
  <c r="AI57" i="3"/>
  <c r="AK57" i="3" s="1"/>
  <c r="FF63" i="11"/>
  <c r="FH50" i="11"/>
  <c r="X15" i="5"/>
  <c r="X34" i="5"/>
  <c r="DI53" i="11"/>
  <c r="L61" i="8"/>
  <c r="DQ27" i="11"/>
  <c r="DQ54" i="11"/>
  <c r="DQ64" i="11"/>
  <c r="H61" i="11"/>
  <c r="AI16" i="3"/>
  <c r="AK16" i="3" s="1"/>
  <c r="S19" i="5"/>
  <c r="BM47" i="11"/>
  <c r="BR66" i="11" s="1"/>
  <c r="AI52" i="11"/>
  <c r="AI27" i="11"/>
  <c r="AI64" i="11"/>
  <c r="AG27" i="5"/>
  <c r="ET12" i="11"/>
  <c r="ET51" i="11"/>
  <c r="ET21" i="11"/>
  <c r="ET52" i="11" s="1"/>
  <c r="ET61" i="11"/>
  <c r="ET16" i="11"/>
  <c r="ET23" i="11" s="1"/>
  <c r="FH68" i="11"/>
  <c r="FI7" i="11"/>
  <c r="FH41" i="11"/>
  <c r="FH42" i="11"/>
  <c r="D7" i="83"/>
  <c r="FH22" i="11"/>
  <c r="FI63" i="11"/>
  <c r="O62" i="3"/>
  <c r="AF62" i="3"/>
  <c r="DX23" i="11"/>
  <c r="DX54" i="11" s="1"/>
  <c r="CT27" i="11"/>
  <c r="CT64" i="11"/>
  <c r="CT54" i="11"/>
  <c r="AD23" i="5"/>
  <c r="I61" i="83"/>
  <c r="I159" i="83"/>
  <c r="I15" i="83"/>
  <c r="L60" i="8"/>
  <c r="AN52" i="11"/>
  <c r="AN64" i="11"/>
  <c r="AN27" i="11"/>
  <c r="AE64" i="9"/>
  <c r="AE68" i="9" s="1"/>
  <c r="AD50" i="10"/>
  <c r="AI27" i="5"/>
  <c r="M19" i="5"/>
  <c r="AB38" i="11"/>
  <c r="N15" i="5"/>
  <c r="N34" i="5"/>
  <c r="DT64" i="11"/>
  <c r="DT27" i="11"/>
  <c r="DT54" i="11"/>
  <c r="CR47" i="11"/>
  <c r="AK65" i="9"/>
  <c r="AK69" i="9" s="1"/>
  <c r="AK66" i="9"/>
  <c r="AK70" i="9" s="1"/>
  <c r="CU27" i="11"/>
  <c r="CU54" i="11"/>
  <c r="CU64" i="11"/>
  <c r="C27" i="11"/>
  <c r="AF90" i="3"/>
  <c r="O90" i="3"/>
  <c r="CP58" i="11"/>
  <c r="C50" i="11"/>
  <c r="FP62" i="11"/>
  <c r="O86" i="3"/>
  <c r="AF86" i="3"/>
  <c r="J173" i="83"/>
  <c r="J75" i="83"/>
  <c r="J124" i="83" s="1"/>
  <c r="AG64" i="9"/>
  <c r="AG68" i="9" s="1"/>
  <c r="AF50" i="10"/>
  <c r="O117" i="3"/>
  <c r="AF117" i="3"/>
  <c r="O64" i="11"/>
  <c r="O27" i="11"/>
  <c r="O52" i="11"/>
  <c r="AV27" i="11"/>
  <c r="AV52" i="11"/>
  <c r="AV64" i="11"/>
  <c r="BK66" i="11"/>
  <c r="BK58" i="11"/>
  <c r="K145" i="3"/>
  <c r="V143" i="8"/>
  <c r="X143" i="8" s="1"/>
  <c r="J145" i="3"/>
  <c r="BQ66" i="11"/>
  <c r="BQ58" i="11"/>
  <c r="AK19" i="3"/>
  <c r="AM19" i="3" s="1"/>
  <c r="AF64" i="9"/>
  <c r="AF68" i="9" s="1"/>
  <c r="AE50" i="10"/>
  <c r="H85" i="1"/>
  <c r="I55" i="1"/>
  <c r="U28" i="4"/>
  <c r="U17" i="4"/>
  <c r="U23" i="4"/>
  <c r="U12" i="4"/>
  <c r="FR61" i="11"/>
  <c r="N6" i="83"/>
  <c r="FR16" i="11"/>
  <c r="FR12" i="11"/>
  <c r="FR21" i="11"/>
  <c r="AB27" i="11"/>
  <c r="AB52" i="11"/>
  <c r="AB64" i="11"/>
  <c r="C122" i="67"/>
  <c r="D121" i="67"/>
  <c r="C88" i="67"/>
  <c r="V64" i="9"/>
  <c r="V68" i="9" s="1"/>
  <c r="U50" i="10"/>
  <c r="K34" i="5"/>
  <c r="K15" i="5"/>
  <c r="O94" i="67"/>
  <c r="P127" i="67"/>
  <c r="FG16" i="11"/>
  <c r="FG23" i="11" s="1"/>
  <c r="FG61" i="11"/>
  <c r="FG21" i="11"/>
  <c r="FG52" i="11" s="1"/>
  <c r="C6" i="83"/>
  <c r="FG51" i="11"/>
  <c r="FG12" i="11"/>
  <c r="J27" i="11"/>
  <c r="J64" i="11"/>
  <c r="J52" i="11"/>
  <c r="Z15" i="5"/>
  <c r="Z34" i="5"/>
  <c r="D75" i="83"/>
  <c r="D124" i="83" s="1"/>
  <c r="D173" i="83"/>
  <c r="AC27" i="11"/>
  <c r="AC64" i="11"/>
  <c r="AC52" i="11"/>
  <c r="V145" i="8"/>
  <c r="X145" i="8" s="1"/>
  <c r="BN47" i="11"/>
  <c r="AJ64" i="11"/>
  <c r="AJ27" i="11"/>
  <c r="AJ52" i="11"/>
  <c r="AC7" i="4"/>
  <c r="FL76" i="11" s="1"/>
  <c r="AC28" i="4"/>
  <c r="AC23" i="4"/>
  <c r="FL75" i="11" s="1"/>
  <c r="AC12" i="4"/>
  <c r="AC17" i="4"/>
  <c r="AC13" i="4"/>
  <c r="FL77" i="11" s="1"/>
  <c r="AC6" i="4"/>
  <c r="M118" i="83"/>
  <c r="V28" i="3"/>
  <c r="AI28" i="3"/>
  <c r="AK28" i="3" s="1"/>
  <c r="M132" i="3"/>
  <c r="O132" i="3" s="1"/>
  <c r="V132" i="3"/>
  <c r="X132" i="3" s="1"/>
  <c r="FR69" i="11"/>
  <c r="AJ40" i="4"/>
  <c r="EZ50" i="11"/>
  <c r="DF58" i="11"/>
  <c r="CM64" i="11"/>
  <c r="CM27" i="11"/>
  <c r="CM54" i="11"/>
  <c r="M140" i="83"/>
  <c r="M202" i="83" s="1"/>
  <c r="M201" i="83"/>
  <c r="V54" i="3"/>
  <c r="AI54" i="3"/>
  <c r="AE15" i="5"/>
  <c r="AE34" i="5"/>
  <c r="I31" i="1"/>
  <c r="AD166" i="1"/>
  <c r="O56" i="3"/>
  <c r="AF56" i="3"/>
  <c r="P15" i="5"/>
  <c r="P34" i="5"/>
  <c r="Z144" i="1"/>
  <c r="O68" i="3"/>
  <c r="AF68" i="3"/>
  <c r="Z23" i="4"/>
  <c r="FI75" i="11" s="1"/>
  <c r="Z28" i="4"/>
  <c r="Z17" i="4"/>
  <c r="Z12" i="4"/>
  <c r="DN53" i="11"/>
  <c r="X30" i="3"/>
  <c r="AD17" i="4"/>
  <c r="AD12" i="4"/>
  <c r="AD23" i="4"/>
  <c r="FM75" i="11" s="1"/>
  <c r="AD7" i="4"/>
  <c r="FM76" i="11" s="1"/>
  <c r="AD28" i="4"/>
  <c r="AD13" i="4"/>
  <c r="FM77" i="11" s="1"/>
  <c r="AD6" i="4"/>
  <c r="U145" i="1"/>
  <c r="CV64" i="11"/>
  <c r="CV54" i="11"/>
  <c r="CV27" i="11"/>
  <c r="I80" i="1"/>
  <c r="H110" i="1"/>
  <c r="AQ64" i="11"/>
  <c r="AQ27" i="11"/>
  <c r="AQ52" i="11"/>
  <c r="CV47" i="11"/>
  <c r="E91" i="83"/>
  <c r="E199" i="83"/>
  <c r="E140" i="83"/>
  <c r="AK50" i="10"/>
  <c r="AL64" i="9"/>
  <c r="AL68" i="9" s="1"/>
  <c r="G58" i="83"/>
  <c r="G156" i="83"/>
  <c r="G107" i="83"/>
  <c r="AG23" i="5"/>
  <c r="AD66" i="9"/>
  <c r="AD70" i="9" s="1"/>
  <c r="AD65" i="9"/>
  <c r="AD69" i="9" s="1"/>
  <c r="P173" i="1"/>
  <c r="P146" i="1"/>
  <c r="P163" i="1"/>
  <c r="V163" i="1" s="1"/>
  <c r="Q143" i="1"/>
  <c r="Y164" i="1"/>
  <c r="X184" i="1"/>
  <c r="AI71" i="3"/>
  <c r="AK71" i="3" s="1"/>
  <c r="V71" i="3"/>
  <c r="H167" i="83"/>
  <c r="H118" i="83"/>
  <c r="H69" i="83"/>
  <c r="J15" i="83"/>
  <c r="J159" i="83"/>
  <c r="J61" i="83"/>
  <c r="CU47" i="11"/>
  <c r="O22" i="3"/>
  <c r="AF22" i="3"/>
  <c r="N124" i="67"/>
  <c r="N90" i="67"/>
  <c r="O123" i="67"/>
  <c r="Y34" i="5"/>
  <c r="Y15" i="5"/>
  <c r="Y50" i="10"/>
  <c r="Z64" i="9"/>
  <c r="Z68" i="9" s="1"/>
  <c r="AD64" i="11"/>
  <c r="AD27" i="11"/>
  <c r="AD52" i="11"/>
  <c r="DX52" i="11"/>
  <c r="AF57" i="3"/>
  <c r="O57" i="3"/>
  <c r="W27" i="11"/>
  <c r="W64" i="11"/>
  <c r="W52" i="11"/>
  <c r="F15" i="83"/>
  <c r="F61" i="83"/>
  <c r="F159" i="83"/>
  <c r="AC15" i="5"/>
  <c r="AC34" i="5"/>
  <c r="AC19" i="5"/>
  <c r="FE51" i="11"/>
  <c r="FE12" i="11"/>
  <c r="FE21" i="11"/>
  <c r="FE52" i="11" s="1"/>
  <c r="FE61" i="11"/>
  <c r="FE16" i="11"/>
  <c r="FE23" i="11" s="1"/>
  <c r="AA12" i="4"/>
  <c r="AA23" i="4"/>
  <c r="FJ75" i="11" s="1"/>
  <c r="AA28" i="4"/>
  <c r="AA14" i="4"/>
  <c r="AA17" i="4"/>
  <c r="AA6" i="4"/>
  <c r="AA13" i="4"/>
  <c r="FJ77" i="11" s="1"/>
  <c r="Y165" i="1"/>
  <c r="O69" i="3"/>
  <c r="AF69" i="3"/>
  <c r="F264" i="54"/>
  <c r="E265" i="54"/>
  <c r="C112" i="83"/>
  <c r="C63" i="83"/>
  <c r="C161" i="83"/>
  <c r="D16" i="67"/>
  <c r="D140" i="67"/>
  <c r="C31" i="67"/>
  <c r="C140" i="67"/>
  <c r="C173" i="67" s="1"/>
  <c r="C18" i="67" s="1"/>
  <c r="C7" i="67" s="1"/>
  <c r="C8" i="67" s="1"/>
  <c r="C11" i="67" s="1"/>
  <c r="C29" i="67"/>
  <c r="C23" i="67" s="1"/>
  <c r="AF121" i="3"/>
  <c r="L53" i="8"/>
  <c r="Y27" i="11"/>
  <c r="Y52" i="11"/>
  <c r="Y64" i="11"/>
  <c r="CY53" i="11"/>
  <c r="EZ63" i="11"/>
  <c r="DG64" i="11"/>
  <c r="DG54" i="11"/>
  <c r="DG27" i="11"/>
  <c r="L23" i="5"/>
  <c r="M115" i="83"/>
  <c r="M164" i="83"/>
  <c r="AI7" i="4"/>
  <c r="FR76" i="11" s="1"/>
  <c r="AI12" i="4"/>
  <c r="AI28" i="4"/>
  <c r="AI13" i="4"/>
  <c r="FR77" i="11" s="1"/>
  <c r="AI6" i="4"/>
  <c r="FK50" i="11"/>
  <c r="EC53" i="11"/>
  <c r="EX61" i="11"/>
  <c r="EX16" i="11"/>
  <c r="EX23" i="11" s="1"/>
  <c r="EX12" i="11"/>
  <c r="EX21" i="11"/>
  <c r="EX52" i="11" s="1"/>
  <c r="EX51" i="11"/>
  <c r="N17" i="4"/>
  <c r="N12" i="4"/>
  <c r="N36" i="4" s="1"/>
  <c r="N28" i="4"/>
  <c r="N23" i="4"/>
  <c r="D96" i="67"/>
  <c r="C107" i="83"/>
  <c r="C156" i="83"/>
  <c r="C58" i="83"/>
  <c r="DD58" i="11"/>
  <c r="N118" i="83"/>
  <c r="Z146" i="1"/>
  <c r="H114" i="1"/>
  <c r="I84" i="1"/>
  <c r="E127" i="67"/>
  <c r="E93" i="67"/>
  <c r="BW27" i="11"/>
  <c r="BW52" i="11"/>
  <c r="BW64" i="11"/>
  <c r="AI26" i="3"/>
  <c r="V26" i="3"/>
  <c r="X26" i="3" s="1"/>
  <c r="BL58" i="11"/>
  <c r="BL66" i="11"/>
  <c r="V90" i="3"/>
  <c r="AI90" i="3"/>
  <c r="AK90" i="3" s="1"/>
  <c r="L73" i="8"/>
  <c r="V34" i="3"/>
  <c r="AI34" i="3"/>
  <c r="AK34" i="3" s="1"/>
  <c r="AA34" i="5"/>
  <c r="AA15" i="5"/>
  <c r="I118" i="83"/>
  <c r="I69" i="83"/>
  <c r="I167" i="83"/>
  <c r="L115" i="83"/>
  <c r="L164" i="83"/>
  <c r="FQ63" i="11"/>
  <c r="O175" i="83"/>
  <c r="X107" i="3"/>
  <c r="E75" i="83"/>
  <c r="E124" i="83" s="1"/>
  <c r="E173" i="83"/>
  <c r="L69" i="8"/>
  <c r="AB50" i="10"/>
  <c r="AC64" i="9"/>
  <c r="AC68" i="9" s="1"/>
  <c r="AJ66" i="9"/>
  <c r="AJ70" i="9" s="1"/>
  <c r="AJ65" i="9"/>
  <c r="AJ69" i="9" s="1"/>
  <c r="FA63" i="11"/>
  <c r="Q17" i="4"/>
  <c r="Q28" i="4"/>
  <c r="Q23" i="4"/>
  <c r="Q12" i="4"/>
  <c r="AG31" i="5"/>
  <c r="AR27" i="11"/>
  <c r="AR64" i="11"/>
  <c r="AR52" i="11"/>
  <c r="AE27" i="5"/>
  <c r="H95" i="67"/>
  <c r="M121" i="3"/>
  <c r="O121" i="3" s="1"/>
  <c r="V121" i="3"/>
  <c r="X121" i="3" s="1"/>
  <c r="L91" i="8"/>
  <c r="AI61" i="3"/>
  <c r="V61" i="3"/>
  <c r="BP52" i="11"/>
  <c r="BP27" i="11"/>
  <c r="BP64" i="11"/>
  <c r="CO54" i="11"/>
  <c r="CO64" i="11"/>
  <c r="CO27" i="11"/>
  <c r="AM52" i="11"/>
  <c r="AM64" i="11"/>
  <c r="AM27" i="11"/>
  <c r="Z64" i="11"/>
  <c r="Z52" i="11"/>
  <c r="Z27" i="11"/>
  <c r="FI50" i="11"/>
  <c r="AB31" i="5"/>
  <c r="O19" i="5"/>
  <c r="FM50" i="11"/>
  <c r="AH66" i="9"/>
  <c r="AH70" i="9" s="1"/>
  <c r="AH65" i="9"/>
  <c r="AH69" i="9" s="1"/>
  <c r="FR50" i="11"/>
  <c r="J127" i="67"/>
  <c r="J93" i="67"/>
  <c r="AG21" i="4"/>
  <c r="FP74" i="11"/>
  <c r="L87" i="8"/>
  <c r="L94" i="8"/>
  <c r="Y19" i="5"/>
  <c r="C7" i="83"/>
  <c r="FG22" i="11"/>
  <c r="AF111" i="3"/>
  <c r="O111" i="3"/>
  <c r="T182" i="1"/>
  <c r="U162" i="1"/>
  <c r="DU47" i="11"/>
  <c r="CW47" i="11"/>
  <c r="CW58" i="11" s="1"/>
  <c r="P18" i="83"/>
  <c r="FT25" i="11"/>
  <c r="AK38" i="5"/>
  <c r="T15" i="5"/>
  <c r="T34" i="5"/>
  <c r="BW47" i="11"/>
  <c r="CB66" i="11" s="1"/>
  <c r="H44" i="83"/>
  <c r="H160" i="83"/>
  <c r="H62" i="83"/>
  <c r="H111" i="83" s="1"/>
  <c r="K12" i="4"/>
  <c r="K36" i="4" s="1"/>
  <c r="K28" i="4"/>
  <c r="K23" i="4"/>
  <c r="K17" i="4"/>
  <c r="N84" i="1"/>
  <c r="Z147" i="3"/>
  <c r="EE83" i="11" s="1"/>
  <c r="FC63" i="11"/>
  <c r="X44" i="3"/>
  <c r="E112" i="83"/>
  <c r="E63" i="83"/>
  <c r="E45" i="83"/>
  <c r="E161" i="83"/>
  <c r="FF21" i="11"/>
  <c r="FF52" i="11" s="1"/>
  <c r="FF61" i="11"/>
  <c r="FF12" i="11"/>
  <c r="FF51" i="11"/>
  <c r="FF16" i="11"/>
  <c r="FF23" i="11" s="1"/>
  <c r="BR64" i="11"/>
  <c r="BR27" i="11"/>
  <c r="BR52" i="11"/>
  <c r="AF27" i="3"/>
  <c r="O27" i="3"/>
  <c r="F15" i="1"/>
  <c r="CU53" i="11"/>
  <c r="CZ47" i="11"/>
  <c r="DE66" i="11" s="1"/>
  <c r="AF65" i="9"/>
  <c r="AF69" i="9" s="1"/>
  <c r="AF66" i="9"/>
  <c r="AF70" i="9" s="1"/>
  <c r="FM63" i="11"/>
  <c r="FO22" i="11"/>
  <c r="K7" i="83"/>
  <c r="ES50" i="11"/>
  <c r="AI31" i="5"/>
  <c r="DS64" i="11"/>
  <c r="DS27" i="11"/>
  <c r="DS54" i="11"/>
  <c r="Y64" i="9"/>
  <c r="Y68" i="9" s="1"/>
  <c r="X50" i="10"/>
  <c r="BH27" i="11"/>
  <c r="BH64" i="11"/>
  <c r="BH52" i="11"/>
  <c r="AB7" i="4"/>
  <c r="FK76" i="11" s="1"/>
  <c r="AB12" i="4"/>
  <c r="AB23" i="4"/>
  <c r="FK75" i="11" s="1"/>
  <c r="AB28" i="4"/>
  <c r="AB17" i="4"/>
  <c r="AB13" i="4"/>
  <c r="FK77" i="11" s="1"/>
  <c r="AB6" i="4"/>
  <c r="FO51" i="11"/>
  <c r="EY61" i="11"/>
  <c r="EY16" i="11"/>
  <c r="EY23" i="11" s="1"/>
  <c r="EY21" i="11"/>
  <c r="EY52" i="11" s="1"/>
  <c r="EY12" i="11"/>
  <c r="EY51" i="11"/>
  <c r="EV50" i="11"/>
  <c r="M85" i="1"/>
  <c r="L115" i="1"/>
  <c r="M115" i="1" s="1"/>
  <c r="EA23" i="11"/>
  <c r="CY47" i="11"/>
  <c r="AI69" i="3"/>
  <c r="AK69" i="3" s="1"/>
  <c r="V69" i="3"/>
  <c r="V36" i="3"/>
  <c r="AI36" i="3"/>
  <c r="AK36" i="3" s="1"/>
  <c r="AA23" i="5"/>
  <c r="AJ31" i="5"/>
  <c r="X64" i="9"/>
  <c r="X68" i="9" s="1"/>
  <c r="W50" i="10"/>
  <c r="AF44" i="3"/>
  <c r="O44" i="3"/>
  <c r="K27" i="11"/>
  <c r="K52" i="11"/>
  <c r="K64" i="11"/>
  <c r="K156" i="83"/>
  <c r="K107" i="83"/>
  <c r="K58" i="83"/>
  <c r="K44" i="83"/>
  <c r="K62" i="83"/>
  <c r="K111" i="83" s="1"/>
  <c r="K160" i="83"/>
  <c r="CH64" i="11"/>
  <c r="CH52" i="11"/>
  <c r="CH27" i="11"/>
  <c r="AC38" i="11"/>
  <c r="F62" i="83"/>
  <c r="F111" i="83" s="1"/>
  <c r="F160" i="83"/>
  <c r="T93" i="67"/>
  <c r="S128" i="67"/>
  <c r="AI21" i="3"/>
  <c r="AK21" i="3" s="1"/>
  <c r="AM21" i="3" s="1"/>
  <c r="V21" i="3"/>
  <c r="X21" i="3" s="1"/>
  <c r="FP50" i="11"/>
  <c r="K167" i="83"/>
  <c r="K69" i="83"/>
  <c r="K118" i="83"/>
  <c r="EZ51" i="11"/>
  <c r="EZ12" i="11"/>
  <c r="EZ16" i="11"/>
  <c r="EZ23" i="11" s="1"/>
  <c r="EZ21" i="11"/>
  <c r="EZ52" i="11" s="1"/>
  <c r="EZ61" i="11"/>
  <c r="ES16" i="11"/>
  <c r="ES23" i="11" s="1"/>
  <c r="ES21" i="11"/>
  <c r="ES52" i="11" s="1"/>
  <c r="ES12" i="11"/>
  <c r="ES51" i="11"/>
  <c r="U126" i="67"/>
  <c r="V91" i="67"/>
  <c r="FN50" i="11"/>
  <c r="AD64" i="9"/>
  <c r="AD68" i="9" s="1"/>
  <c r="AC50" i="10"/>
  <c r="FC12" i="11"/>
  <c r="FC21" i="11"/>
  <c r="FC52" i="11" s="1"/>
  <c r="FC51" i="11"/>
  <c r="FC61" i="11"/>
  <c r="FC16" i="11"/>
  <c r="FC23" i="11" s="1"/>
  <c r="AI66" i="9"/>
  <c r="AI70" i="9" s="1"/>
  <c r="AI65" i="9"/>
  <c r="AI69" i="9" s="1"/>
  <c r="AH64" i="9"/>
  <c r="AH68" i="9" s="1"/>
  <c r="AG50" i="10"/>
  <c r="U64" i="11"/>
  <c r="U27" i="11"/>
  <c r="U52" i="11"/>
  <c r="AF119" i="3"/>
  <c r="O119" i="3"/>
  <c r="L140" i="83"/>
  <c r="L202" i="83" s="1"/>
  <c r="L201" i="83"/>
  <c r="H113" i="1"/>
  <c r="I83" i="1"/>
  <c r="V68" i="3"/>
  <c r="AI68" i="3"/>
  <c r="V22" i="3"/>
  <c r="X22" i="3" s="1"/>
  <c r="AI22" i="3"/>
  <c r="AK22" i="3" s="1"/>
  <c r="AM22" i="3" s="1"/>
  <c r="H115" i="83"/>
  <c r="H164" i="83"/>
  <c r="H66" i="83"/>
  <c r="AK64" i="9"/>
  <c r="AK68" i="9" s="1"/>
  <c r="AJ50" i="10"/>
  <c r="AC181" i="1"/>
  <c r="EC52" i="11"/>
  <c r="I62" i="83"/>
  <c r="I111" i="83" s="1"/>
  <c r="I160" i="83"/>
  <c r="I44" i="83"/>
  <c r="O75" i="3"/>
  <c r="AF75" i="3"/>
  <c r="J66" i="83"/>
  <c r="J164" i="83"/>
  <c r="J115" i="83"/>
  <c r="FR22" i="11"/>
  <c r="N7" i="83"/>
  <c r="N55" i="83" s="1"/>
  <c r="U34" i="5"/>
  <c r="U15" i="5"/>
  <c r="FK12" i="11"/>
  <c r="FK61" i="11"/>
  <c r="FK21" i="11"/>
  <c r="FK52" i="11" s="1"/>
  <c r="FK16" i="11"/>
  <c r="FK23" i="11" s="1"/>
  <c r="G6" i="83"/>
  <c r="DN64" i="11"/>
  <c r="DN27" i="11"/>
  <c r="DN54" i="11"/>
  <c r="C69" i="83"/>
  <c r="C118" i="83"/>
  <c r="C167" i="83"/>
  <c r="CG52" i="11"/>
  <c r="CG64" i="11"/>
  <c r="CG27" i="11"/>
  <c r="L84" i="8"/>
  <c r="AI27" i="3"/>
  <c r="AK27" i="3" s="1"/>
  <c r="V27" i="3"/>
  <c r="X37" i="11"/>
  <c r="AC65" i="11" s="1"/>
  <c r="T183" i="1"/>
  <c r="Y183" i="1" s="1"/>
  <c r="T166" i="1"/>
  <c r="Z166" i="1" s="1"/>
  <c r="U163" i="1"/>
  <c r="L93" i="67"/>
  <c r="CA47" i="11"/>
  <c r="BQ27" i="11"/>
  <c r="BQ64" i="11"/>
  <c r="BQ52" i="11"/>
  <c r="AI84" i="3"/>
  <c r="AK84" i="3" s="1"/>
  <c r="V84" i="3"/>
  <c r="O112" i="3"/>
  <c r="AF112" i="3"/>
  <c r="EU63" i="11"/>
  <c r="T181" i="1"/>
  <c r="Y181" i="1" s="1"/>
  <c r="U161" i="1"/>
  <c r="DO27" i="11"/>
  <c r="DO64" i="11"/>
  <c r="DO54" i="11"/>
  <c r="FM22" i="11"/>
  <c r="I7" i="83"/>
  <c r="DG58" i="11"/>
  <c r="DI58" i="11"/>
  <c r="DI66" i="11"/>
  <c r="AF51" i="3"/>
  <c r="O51" i="3"/>
  <c r="L116" i="1"/>
  <c r="M116" i="1" s="1"/>
  <c r="M86" i="1"/>
  <c r="AF37" i="3"/>
  <c r="O37" i="3"/>
  <c r="L89" i="8"/>
  <c r="L96" i="8"/>
  <c r="K125" i="67"/>
  <c r="K91" i="67"/>
  <c r="L124" i="67"/>
  <c r="T180" i="1"/>
  <c r="Y180" i="1" s="1"/>
  <c r="T165" i="1"/>
  <c r="U160" i="1"/>
  <c r="R129" i="67"/>
  <c r="S94" i="67"/>
  <c r="L90" i="8"/>
  <c r="L97" i="8"/>
  <c r="AC66" i="9"/>
  <c r="AC70" i="9" s="1"/>
  <c r="AC65" i="9"/>
  <c r="AC69" i="9" s="1"/>
  <c r="M52" i="11"/>
  <c r="M64" i="11"/>
  <c r="M27" i="11"/>
  <c r="AG65" i="9"/>
  <c r="AG69" i="9" s="1"/>
  <c r="AG66" i="9"/>
  <c r="AG70" i="9" s="1"/>
  <c r="FQ16" i="11"/>
  <c r="FQ23" i="11" s="1"/>
  <c r="FQ61" i="11"/>
  <c r="FQ12" i="11"/>
  <c r="M6" i="83"/>
  <c r="FQ21" i="11"/>
  <c r="FQ52" i="11" s="1"/>
  <c r="AI63" i="3"/>
  <c r="AK63" i="3" s="1"/>
  <c r="V63" i="3"/>
  <c r="Y37" i="11"/>
  <c r="CH47" i="11"/>
  <c r="AO64" i="11"/>
  <c r="AO52" i="11"/>
  <c r="AO27" i="11"/>
  <c r="M124" i="1"/>
  <c r="M114" i="1"/>
  <c r="Z23" i="5"/>
  <c r="AF93" i="3"/>
  <c r="O93" i="3"/>
  <c r="M138" i="3"/>
  <c r="O138" i="3" s="1"/>
  <c r="V138" i="3"/>
  <c r="Q125" i="1"/>
  <c r="Q126" i="1"/>
  <c r="FD51" i="11"/>
  <c r="FD16" i="11"/>
  <c r="FD23" i="11" s="1"/>
  <c r="FD21" i="11"/>
  <c r="FD52" i="11" s="1"/>
  <c r="FD12" i="11"/>
  <c r="FD61" i="11"/>
  <c r="T17" i="4"/>
  <c r="T28" i="4"/>
  <c r="T12" i="4"/>
  <c r="T23" i="4"/>
  <c r="O77" i="3"/>
  <c r="AF77" i="3"/>
  <c r="BZ52" i="11"/>
  <c r="BZ64" i="11"/>
  <c r="BZ27" i="11"/>
  <c r="DI54" i="11"/>
  <c r="DI27" i="11"/>
  <c r="DI64" i="11"/>
  <c r="AI50" i="3"/>
  <c r="AK50" i="3" s="1"/>
  <c r="V50" i="3"/>
  <c r="BG64" i="11"/>
  <c r="BG27" i="11"/>
  <c r="BG52" i="11"/>
  <c r="EW63" i="11"/>
  <c r="FO50" i="11"/>
  <c r="M134" i="3"/>
  <c r="O134" i="3" s="1"/>
  <c r="V134" i="3"/>
  <c r="X134" i="3" s="1"/>
  <c r="V40" i="3"/>
  <c r="AI40" i="3"/>
  <c r="AD34" i="5"/>
  <c r="AD15" i="5"/>
  <c r="AF31" i="5"/>
  <c r="M15" i="83"/>
  <c r="R27" i="11"/>
  <c r="R52" i="11"/>
  <c r="R64" i="11"/>
  <c r="EW51" i="11"/>
  <c r="EW12" i="11"/>
  <c r="EW16" i="11"/>
  <c r="EW23" i="11" s="1"/>
  <c r="EW21" i="11"/>
  <c r="EW52" i="11" s="1"/>
  <c r="EW61" i="11"/>
  <c r="AG34" i="5"/>
  <c r="AG15" i="5"/>
  <c r="X19" i="5"/>
  <c r="CG51" i="11"/>
  <c r="F107" i="83"/>
  <c r="F58" i="83"/>
  <c r="F156" i="83"/>
  <c r="H75" i="83"/>
  <c r="H124" i="83" s="1"/>
  <c r="H173" i="83"/>
  <c r="K173" i="83"/>
  <c r="K75" i="83"/>
  <c r="K124" i="83" s="1"/>
  <c r="N115" i="83"/>
  <c r="N164" i="83"/>
  <c r="M113" i="1"/>
  <c r="L143" i="1"/>
  <c r="M123" i="1"/>
  <c r="V125" i="67"/>
  <c r="W90" i="67"/>
  <c r="AF91" i="3"/>
  <c r="O91" i="3"/>
  <c r="L27" i="8"/>
  <c r="AI41" i="3"/>
  <c r="AK41" i="3" s="1"/>
  <c r="V41" i="3"/>
  <c r="L88" i="8"/>
  <c r="L95" i="8"/>
  <c r="CB58" i="11"/>
  <c r="AG52" i="11"/>
  <c r="AG64" i="11"/>
  <c r="AG27" i="11"/>
  <c r="AI75" i="3"/>
  <c r="V75" i="3"/>
  <c r="L32" i="8"/>
  <c r="CW53" i="11"/>
  <c r="F7" i="83"/>
  <c r="FJ22" i="11"/>
  <c r="G167" i="83"/>
  <c r="G69" i="83"/>
  <c r="G118" i="83"/>
  <c r="J118" i="83"/>
  <c r="J167" i="83"/>
  <c r="J69" i="83"/>
  <c r="AH23" i="5"/>
  <c r="AL37" i="10"/>
  <c r="F124" i="67"/>
  <c r="F90" i="67"/>
  <c r="G123" i="67"/>
  <c r="I15" i="1"/>
  <c r="D6" i="83"/>
  <c r="FH21" i="11"/>
  <c r="FH52" i="11" s="1"/>
  <c r="FH51" i="11"/>
  <c r="FH12" i="11"/>
  <c r="FH61" i="11"/>
  <c r="FH16" i="11"/>
  <c r="FH23" i="11" s="1"/>
  <c r="CT66" i="11"/>
  <c r="CT58" i="11"/>
  <c r="EX63" i="11"/>
  <c r="L107" i="83"/>
  <c r="BB52" i="11"/>
  <c r="BB27" i="11"/>
  <c r="BB64" i="11"/>
  <c r="C12" i="11"/>
  <c r="C51" i="11" s="1"/>
  <c r="N54" i="1"/>
  <c r="L111" i="83"/>
  <c r="L160" i="83"/>
  <c r="L44" i="83"/>
  <c r="N52" i="1"/>
  <c r="DA47" i="11"/>
  <c r="DF66" i="11" s="1"/>
  <c r="L6" i="83"/>
  <c r="L54" i="83" s="1"/>
  <c r="FP16" i="11"/>
  <c r="FP23" i="11" s="1"/>
  <c r="FP12" i="11"/>
  <c r="FP21" i="11"/>
  <c r="FP52" i="11" s="1"/>
  <c r="FP61" i="11"/>
  <c r="AD164" i="1"/>
  <c r="W124" i="67"/>
  <c r="X89" i="67"/>
  <c r="X58" i="3"/>
  <c r="L45" i="8"/>
  <c r="CE64" i="11"/>
  <c r="CE27" i="11"/>
  <c r="CE52" i="11"/>
  <c r="X93" i="3"/>
  <c r="L59" i="8"/>
  <c r="BX56" i="11"/>
  <c r="O120" i="3"/>
  <c r="AF120" i="3"/>
  <c r="CF58" i="11"/>
  <c r="L74" i="8"/>
  <c r="AI78" i="3"/>
  <c r="AK78" i="3" s="1"/>
  <c r="V78" i="3"/>
  <c r="DY53" i="11"/>
  <c r="EX50" i="11"/>
  <c r="AD19" i="5"/>
  <c r="J156" i="83"/>
  <c r="J107" i="83"/>
  <c r="J58" i="83"/>
  <c r="AI64" i="9"/>
  <c r="AI68" i="9" s="1"/>
  <c r="AH50" i="10"/>
  <c r="AH7" i="4"/>
  <c r="FQ76" i="11" s="1"/>
  <c r="AH23" i="4"/>
  <c r="AH28" i="4"/>
  <c r="AH12" i="4"/>
  <c r="AH6" i="4"/>
  <c r="AH13" i="4"/>
  <c r="FQ77" i="11" s="1"/>
  <c r="AI23" i="5"/>
  <c r="J126" i="67"/>
  <c r="Q130" i="67"/>
  <c r="Q132" i="67" s="1"/>
  <c r="R95" i="67"/>
  <c r="AH43" i="4"/>
  <c r="V89" i="3"/>
  <c r="AI89" i="3"/>
  <c r="D58" i="83"/>
  <c r="D107" i="83"/>
  <c r="D156" i="83"/>
  <c r="D115" i="83"/>
  <c r="D164" i="83"/>
  <c r="D66" i="83"/>
  <c r="AF48" i="3"/>
  <c r="O48" i="3"/>
  <c r="EV16" i="11"/>
  <c r="EV23" i="11" s="1"/>
  <c r="EV61" i="11"/>
  <c r="EV51" i="11"/>
  <c r="EV12" i="11"/>
  <c r="EV21" i="11"/>
  <c r="EV52" i="11" s="1"/>
  <c r="AE38" i="11"/>
  <c r="DJ58" i="11"/>
  <c r="DJ66" i="11"/>
  <c r="M126" i="67"/>
  <c r="M92" i="67"/>
  <c r="BS51" i="11"/>
  <c r="I146" i="3"/>
  <c r="ED82" i="11" s="1"/>
  <c r="Z145" i="1"/>
  <c r="L42" i="8"/>
  <c r="W12" i="4"/>
  <c r="W28" i="4"/>
  <c r="W17" i="4"/>
  <c r="W23" i="4"/>
  <c r="FF75" i="11" s="1"/>
  <c r="AI82" i="3"/>
  <c r="V82" i="3"/>
  <c r="AW52" i="11"/>
  <c r="AW27" i="11"/>
  <c r="AW64" i="11"/>
  <c r="L70" i="8"/>
  <c r="O97" i="3"/>
  <c r="AF97" i="3"/>
  <c r="L47" i="8"/>
  <c r="FA51" i="11"/>
  <c r="FA12" i="11"/>
  <c r="FA21" i="11"/>
  <c r="FA52" i="11" s="1"/>
  <c r="FA61" i="11"/>
  <c r="FA16" i="11"/>
  <c r="FA23" i="11" s="1"/>
  <c r="CP54" i="11"/>
  <c r="CP64" i="11"/>
  <c r="CP27" i="11"/>
  <c r="F164" i="83"/>
  <c r="F66" i="83"/>
  <c r="F115" i="83"/>
  <c r="FL22" i="11"/>
  <c r="H7" i="83"/>
  <c r="FL50" i="11"/>
  <c r="E27" i="11"/>
  <c r="M15" i="5"/>
  <c r="M34" i="5"/>
  <c r="L12" i="4"/>
  <c r="L36" i="4" s="1"/>
  <c r="L17" i="4"/>
  <c r="L23" i="4"/>
  <c r="L28" i="4"/>
  <c r="O7" i="83"/>
  <c r="FS22" i="11"/>
  <c r="N160" i="83"/>
  <c r="N44" i="83"/>
  <c r="V17" i="4"/>
  <c r="V12" i="4"/>
  <c r="V23" i="4"/>
  <c r="FE75" i="11" s="1"/>
  <c r="V28" i="4"/>
  <c r="BL52" i="11"/>
  <c r="BL64" i="11"/>
  <c r="BL27" i="11"/>
  <c r="FJ16" i="11"/>
  <c r="FJ23" i="11" s="1"/>
  <c r="FJ21" i="11"/>
  <c r="FJ52" i="11" s="1"/>
  <c r="FJ12" i="11"/>
  <c r="FJ61" i="11"/>
  <c r="F6" i="83"/>
  <c r="F34" i="83" s="1"/>
  <c r="P17" i="4"/>
  <c r="P23" i="4"/>
  <c r="P12" i="4"/>
  <c r="P36" i="4" s="1"/>
  <c r="P28" i="4"/>
  <c r="EU50" i="11"/>
  <c r="V35" i="3"/>
  <c r="AI35" i="3"/>
  <c r="AK35" i="3" s="1"/>
  <c r="W34" i="5"/>
  <c r="W15" i="5"/>
  <c r="FJ63" i="11"/>
  <c r="O44" i="83"/>
  <c r="O160" i="83"/>
  <c r="P66" i="83" l="1"/>
  <c r="P115" i="83"/>
  <c r="EM42" i="11"/>
  <c r="I163" i="3"/>
  <c r="K163" i="3" s="1"/>
  <c r="T139" i="54"/>
  <c r="J139" i="54"/>
  <c r="V159" i="8"/>
  <c r="J162" i="3"/>
  <c r="EK41" i="11"/>
  <c r="EK40" i="11"/>
  <c r="FN76" i="11"/>
  <c r="FN75" i="11"/>
  <c r="V141" i="3"/>
  <c r="I27" i="85"/>
  <c r="J27" i="85"/>
  <c r="D27" i="11"/>
  <c r="D31" i="11" s="1"/>
  <c r="D52" i="11"/>
  <c r="I155" i="3"/>
  <c r="I152" i="3"/>
  <c r="I153" i="3"/>
  <c r="I154" i="3"/>
  <c r="N89" i="83"/>
  <c r="O55" i="83"/>
  <c r="O89" i="83" s="1"/>
  <c r="O104" i="83"/>
  <c r="M89" i="83"/>
  <c r="L56" i="83"/>
  <c r="L83" i="83" s="1"/>
  <c r="L60" i="83"/>
  <c r="N34" i="83"/>
  <c r="N189" i="83" s="1"/>
  <c r="N54" i="83"/>
  <c r="L82" i="83"/>
  <c r="L188" i="83" s="1"/>
  <c r="L187" i="83" s="1"/>
  <c r="N93" i="83"/>
  <c r="M93" i="83"/>
  <c r="M34" i="83"/>
  <c r="M189" i="83" s="1"/>
  <c r="M54" i="83"/>
  <c r="N112" i="83"/>
  <c r="N141" i="83"/>
  <c r="K148" i="3"/>
  <c r="M148" i="3" s="1"/>
  <c r="O148" i="3" s="1"/>
  <c r="J148" i="3"/>
  <c r="J149" i="3"/>
  <c r="D269" i="54"/>
  <c r="V146" i="8"/>
  <c r="AJ48" i="4"/>
  <c r="FT41" i="11"/>
  <c r="X40" i="3"/>
  <c r="EF82" i="11"/>
  <c r="BZ66" i="11"/>
  <c r="BU55" i="11"/>
  <c r="BU66" i="11"/>
  <c r="Z143" i="8"/>
  <c r="Z145" i="8"/>
  <c r="AF144" i="8"/>
  <c r="BU31" i="11"/>
  <c r="BU35" i="11" s="1"/>
  <c r="AI41" i="4"/>
  <c r="CF55" i="11"/>
  <c r="X82" i="3"/>
  <c r="X75" i="3"/>
  <c r="X138" i="3"/>
  <c r="CC66" i="11"/>
  <c r="CF31" i="11"/>
  <c r="CF57" i="11" s="1"/>
  <c r="X141" i="3"/>
  <c r="X68" i="3"/>
  <c r="X71" i="3"/>
  <c r="F31" i="11"/>
  <c r="F35" i="11" s="1"/>
  <c r="CA64" i="11"/>
  <c r="BX58" i="11"/>
  <c r="F55" i="11"/>
  <c r="E52" i="11"/>
  <c r="X69" i="3"/>
  <c r="BV52" i="11"/>
  <c r="BV27" i="11"/>
  <c r="BV55" i="11" s="1"/>
  <c r="AG18" i="4"/>
  <c r="FO53" i="11"/>
  <c r="BV64" i="11"/>
  <c r="BV66" i="11"/>
  <c r="AM56" i="3"/>
  <c r="X63" i="3"/>
  <c r="AM43" i="3"/>
  <c r="AM36" i="3"/>
  <c r="AM85" i="3"/>
  <c r="AM63" i="3"/>
  <c r="FM53" i="11"/>
  <c r="X41" i="3"/>
  <c r="Z18" i="4"/>
  <c r="V18" i="4"/>
  <c r="X28" i="3"/>
  <c r="X43" i="3"/>
  <c r="AM55" i="3"/>
  <c r="X85" i="3"/>
  <c r="X42" i="3"/>
  <c r="X56" i="3"/>
  <c r="X47" i="3"/>
  <c r="X57" i="3"/>
  <c r="X62" i="3"/>
  <c r="AM42" i="3"/>
  <c r="AM35" i="3"/>
  <c r="AC18" i="4"/>
  <c r="Y18" i="4"/>
  <c r="AE18" i="4"/>
  <c r="S18" i="4"/>
  <c r="X78" i="3"/>
  <c r="X84" i="3"/>
  <c r="X27" i="3"/>
  <c r="AB18" i="4"/>
  <c r="X76" i="3"/>
  <c r="AM78" i="3"/>
  <c r="AM50" i="3"/>
  <c r="AM27" i="3"/>
  <c r="AM69" i="3"/>
  <c r="AM64" i="3"/>
  <c r="AM77" i="3"/>
  <c r="X29" i="3"/>
  <c r="V35" i="4"/>
  <c r="V36" i="4"/>
  <c r="H153" i="83"/>
  <c r="H55" i="83"/>
  <c r="H104" i="83"/>
  <c r="H41" i="83"/>
  <c r="AG32" i="4"/>
  <c r="AG33" i="4" s="1"/>
  <c r="AG42" i="5"/>
  <c r="AG35" i="5"/>
  <c r="DI55" i="11"/>
  <c r="DI31" i="11"/>
  <c r="DI56" i="11"/>
  <c r="T36" i="4"/>
  <c r="T35" i="4"/>
  <c r="K126" i="67"/>
  <c r="K92" i="67"/>
  <c r="L125" i="67"/>
  <c r="U55" i="11"/>
  <c r="U31" i="11"/>
  <c r="U56" i="11"/>
  <c r="V126" i="67"/>
  <c r="W91" i="67"/>
  <c r="CY66" i="11"/>
  <c r="CY58" i="11"/>
  <c r="BH31" i="11"/>
  <c r="BH55" i="11"/>
  <c r="BH56" i="11"/>
  <c r="K55" i="83"/>
  <c r="L89" i="83" s="1"/>
  <c r="K153" i="83"/>
  <c r="K41" i="83"/>
  <c r="K104" i="83"/>
  <c r="Q18" i="83"/>
  <c r="FU25" i="11"/>
  <c r="AM37" i="5"/>
  <c r="AN37" i="5" s="1"/>
  <c r="S18" i="83" s="1"/>
  <c r="AL38" i="5"/>
  <c r="BW31" i="11"/>
  <c r="BW55" i="11"/>
  <c r="BW56" i="11"/>
  <c r="FE47" i="11"/>
  <c r="FE54" i="11"/>
  <c r="FE64" i="11"/>
  <c r="FE27" i="11"/>
  <c r="FR23" i="11"/>
  <c r="I203" i="83"/>
  <c r="I161" i="83"/>
  <c r="DX27" i="11"/>
  <c r="DX64" i="11"/>
  <c r="DX47" i="11"/>
  <c r="FQ82" i="11"/>
  <c r="U42" i="67"/>
  <c r="V42" i="67" s="1"/>
  <c r="W42" i="67" s="1"/>
  <c r="X42" i="67" s="1"/>
  <c r="Y42" i="67" s="1"/>
  <c r="Z42" i="67" s="1"/>
  <c r="AA42" i="67" s="1"/>
  <c r="AB42" i="67" s="1"/>
  <c r="H152" i="83"/>
  <c r="H187" i="83" s="1"/>
  <c r="H8" i="83"/>
  <c r="H35" i="83" s="1"/>
  <c r="H40" i="83"/>
  <c r="H97" i="83" s="1"/>
  <c r="H103" i="83"/>
  <c r="H12" i="83"/>
  <c r="H54" i="83"/>
  <c r="AI37" i="3"/>
  <c r="AK37" i="3" s="1"/>
  <c r="AK33" i="3"/>
  <c r="X70" i="3"/>
  <c r="CJ31" i="11"/>
  <c r="CJ55" i="11"/>
  <c r="CJ56" i="11"/>
  <c r="Y35" i="4"/>
  <c r="Y36" i="4"/>
  <c r="M140" i="3"/>
  <c r="O140" i="3" s="1"/>
  <c r="V140" i="3"/>
  <c r="X140" i="3" s="1"/>
  <c r="Q162" i="1"/>
  <c r="P182" i="1"/>
  <c r="U182" i="1" s="1"/>
  <c r="AH35" i="4"/>
  <c r="AH36" i="4"/>
  <c r="L103" i="83"/>
  <c r="L12" i="83"/>
  <c r="L8" i="83"/>
  <c r="L35" i="83" s="1"/>
  <c r="L40" i="83"/>
  <c r="L97" i="83" s="1"/>
  <c r="L98" i="83" s="1"/>
  <c r="M143" i="1"/>
  <c r="L173" i="1"/>
  <c r="Q173" i="1" s="1"/>
  <c r="L163" i="1"/>
  <c r="R163" i="1" s="1"/>
  <c r="L146" i="1"/>
  <c r="R146" i="1" s="1"/>
  <c r="BG31" i="11"/>
  <c r="BG55" i="11"/>
  <c r="BG56" i="11"/>
  <c r="H143" i="1"/>
  <c r="N143" i="1" s="1"/>
  <c r="I123" i="1"/>
  <c r="I113" i="1"/>
  <c r="CH55" i="11"/>
  <c r="CH31" i="11"/>
  <c r="CH56" i="11"/>
  <c r="Y38" i="11"/>
  <c r="Z31" i="11"/>
  <c r="Z55" i="11"/>
  <c r="Z56" i="11"/>
  <c r="X90" i="3"/>
  <c r="X97" i="3"/>
  <c r="V24" i="4"/>
  <c r="W18" i="4"/>
  <c r="CE55" i="11"/>
  <c r="CE31" i="11"/>
  <c r="CE56" i="11"/>
  <c r="D8" i="83"/>
  <c r="D54" i="83"/>
  <c r="D12" i="83"/>
  <c r="D40" i="83"/>
  <c r="D97" i="83" s="1"/>
  <c r="D103" i="83"/>
  <c r="D152" i="83"/>
  <c r="AG55" i="11"/>
  <c r="AG31" i="11"/>
  <c r="AG56" i="11"/>
  <c r="FC75" i="11"/>
  <c r="T24" i="4"/>
  <c r="I153" i="83"/>
  <c r="I41" i="83"/>
  <c r="I55" i="83"/>
  <c r="I104" i="83"/>
  <c r="CA58" i="11"/>
  <c r="CA66" i="11"/>
  <c r="FK47" i="11"/>
  <c r="FK64" i="11"/>
  <c r="FK54" i="11"/>
  <c r="FK27" i="11"/>
  <c r="FC54" i="11"/>
  <c r="FC47" i="11"/>
  <c r="FC64" i="11"/>
  <c r="FC27" i="11"/>
  <c r="E142" i="83"/>
  <c r="V162" i="1"/>
  <c r="CO31" i="11"/>
  <c r="CO55" i="11"/>
  <c r="CO56" i="11"/>
  <c r="AI8" i="4"/>
  <c r="AI14" i="4"/>
  <c r="E140" i="67"/>
  <c r="AA36" i="4"/>
  <c r="AA35" i="4"/>
  <c r="AD55" i="11"/>
  <c r="AD31" i="11"/>
  <c r="AD56" i="11"/>
  <c r="P32" i="4"/>
  <c r="P33" i="4" s="1"/>
  <c r="P35" i="5"/>
  <c r="P42" i="5"/>
  <c r="AJ31" i="11"/>
  <c r="AJ55" i="11"/>
  <c r="AJ56" i="11"/>
  <c r="I45" i="83"/>
  <c r="CT31" i="11"/>
  <c r="CT55" i="11"/>
  <c r="CT56" i="11"/>
  <c r="X35" i="5"/>
  <c r="X32" i="4"/>
  <c r="X33" i="4" s="1"/>
  <c r="X42" i="5"/>
  <c r="M135" i="3"/>
  <c r="O135" i="3" s="1"/>
  <c r="V135" i="3"/>
  <c r="X135" i="3" s="1"/>
  <c r="AM91" i="3"/>
  <c r="AM98" i="3"/>
  <c r="J32" i="4"/>
  <c r="J33" i="4" s="1"/>
  <c r="J42" i="5"/>
  <c r="J35" i="5"/>
  <c r="FL27" i="11"/>
  <c r="FL47" i="11"/>
  <c r="FL54" i="11"/>
  <c r="FL64" i="11"/>
  <c r="AD146" i="3"/>
  <c r="X128" i="3"/>
  <c r="G45" i="83"/>
  <c r="X33" i="3"/>
  <c r="X77" i="3"/>
  <c r="CA31" i="11"/>
  <c r="CA55" i="11"/>
  <c r="CA56" i="11"/>
  <c r="BS31" i="11"/>
  <c r="BS55" i="11"/>
  <c r="BS56" i="11"/>
  <c r="S55" i="11"/>
  <c r="S31" i="11"/>
  <c r="S56" i="11"/>
  <c r="AM70" i="3"/>
  <c r="CQ31" i="11"/>
  <c r="CQ55" i="11"/>
  <c r="CQ56" i="11"/>
  <c r="K63" i="83"/>
  <c r="L93" i="83" s="1"/>
  <c r="K92" i="83"/>
  <c r="K110" i="83"/>
  <c r="AM49" i="3"/>
  <c r="BA55" i="11"/>
  <c r="BA31" i="11"/>
  <c r="BA56" i="11"/>
  <c r="X48" i="3"/>
  <c r="L35" i="5"/>
  <c r="L32" i="4"/>
  <c r="L33" i="4" s="1"/>
  <c r="L42" i="5"/>
  <c r="X55" i="11"/>
  <c r="X31" i="11"/>
  <c r="X56" i="11"/>
  <c r="AM29" i="3"/>
  <c r="M139" i="3"/>
  <c r="O139" i="3" s="1"/>
  <c r="V139" i="3"/>
  <c r="X139" i="3" s="1"/>
  <c r="AE8" i="4"/>
  <c r="AE14" i="4"/>
  <c r="DZ27" i="11"/>
  <c r="DZ64" i="11"/>
  <c r="DZ54" i="11"/>
  <c r="DZ47" i="11"/>
  <c r="X24" i="4"/>
  <c r="R36" i="4"/>
  <c r="R35" i="4"/>
  <c r="DL31" i="11"/>
  <c r="DL55" i="11"/>
  <c r="DL56" i="11"/>
  <c r="W36" i="4"/>
  <c r="W35" i="4"/>
  <c r="X89" i="3"/>
  <c r="X96" i="3"/>
  <c r="AR31" i="11"/>
  <c r="AR55" i="11"/>
  <c r="AR56" i="11"/>
  <c r="O176" i="83"/>
  <c r="O174" i="83"/>
  <c r="O173" i="83" s="1"/>
  <c r="E128" i="67"/>
  <c r="E94" i="67"/>
  <c r="CV55" i="11"/>
  <c r="CV31" i="11"/>
  <c r="CV56" i="11"/>
  <c r="BN58" i="11"/>
  <c r="BN66" i="11"/>
  <c r="H115" i="1"/>
  <c r="I115" i="1" s="1"/>
  <c r="I85" i="1"/>
  <c r="CU31" i="11"/>
  <c r="CU55" i="11"/>
  <c r="CU56" i="11"/>
  <c r="AN31" i="11"/>
  <c r="AN55" i="11"/>
  <c r="AN56" i="11"/>
  <c r="AL55" i="11"/>
  <c r="AL31" i="11"/>
  <c r="AL56" i="11"/>
  <c r="DB31" i="11"/>
  <c r="DB55" i="11"/>
  <c r="DB56" i="11"/>
  <c r="L34" i="83"/>
  <c r="L189" i="83" s="1"/>
  <c r="FM27" i="11"/>
  <c r="FM54" i="11"/>
  <c r="FM47" i="11"/>
  <c r="FM64" i="11"/>
  <c r="L145" i="1"/>
  <c r="R145" i="1" s="1"/>
  <c r="L144" i="1"/>
  <c r="R144" i="1" s="1"/>
  <c r="L170" i="1"/>
  <c r="Q170" i="1" s="1"/>
  <c r="L160" i="1"/>
  <c r="R160" i="1" s="1"/>
  <c r="M140" i="1"/>
  <c r="FN64" i="11"/>
  <c r="FN47" i="11"/>
  <c r="FN54" i="11"/>
  <c r="FN27" i="11"/>
  <c r="FA75" i="11"/>
  <c r="R24" i="4"/>
  <c r="AW55" i="11"/>
  <c r="AW31" i="11"/>
  <c r="AW56" i="11"/>
  <c r="M127" i="67"/>
  <c r="M93" i="67"/>
  <c r="AH20" i="4"/>
  <c r="AH44" i="4"/>
  <c r="AH17" i="4"/>
  <c r="AH18" i="4" s="1"/>
  <c r="FH27" i="11"/>
  <c r="FH54" i="11"/>
  <c r="FH47" i="11"/>
  <c r="FH64" i="11"/>
  <c r="F104" i="83"/>
  <c r="F55" i="83"/>
  <c r="F41" i="83"/>
  <c r="F153" i="83"/>
  <c r="AM41" i="3"/>
  <c r="M45" i="83"/>
  <c r="BZ31" i="11"/>
  <c r="BZ55" i="11"/>
  <c r="BZ56" i="11"/>
  <c r="T18" i="4"/>
  <c r="AO31" i="11"/>
  <c r="AO55" i="11"/>
  <c r="AO56" i="11"/>
  <c r="M31" i="11"/>
  <c r="M55" i="11"/>
  <c r="M56" i="11"/>
  <c r="EY27" i="11"/>
  <c r="EY64" i="11"/>
  <c r="EY54" i="11"/>
  <c r="EY47" i="11"/>
  <c r="AB35" i="4"/>
  <c r="AB36" i="4"/>
  <c r="AB145" i="8"/>
  <c r="AD145" i="8" s="1"/>
  <c r="EX54" i="11"/>
  <c r="EX27" i="11"/>
  <c r="EX64" i="11"/>
  <c r="EX47" i="11"/>
  <c r="Y55" i="11"/>
  <c r="Y31" i="11"/>
  <c r="Y56" i="11"/>
  <c r="AA18" i="4"/>
  <c r="CU58" i="11"/>
  <c r="CU66" i="11"/>
  <c r="P183" i="1"/>
  <c r="P166" i="1"/>
  <c r="V166" i="1" s="1"/>
  <c r="Q163" i="1"/>
  <c r="CV58" i="11"/>
  <c r="CV66" i="11"/>
  <c r="AD24" i="4"/>
  <c r="M200" i="83"/>
  <c r="M199" i="83" s="1"/>
  <c r="AC35" i="4"/>
  <c r="AC36" i="4"/>
  <c r="J55" i="11"/>
  <c r="J31" i="11"/>
  <c r="J56" i="11"/>
  <c r="AB55" i="11"/>
  <c r="AB31" i="11"/>
  <c r="AB56" i="11"/>
  <c r="AV55" i="11"/>
  <c r="AV31" i="11"/>
  <c r="AV56" i="11"/>
  <c r="E80" i="1"/>
  <c r="D110" i="1"/>
  <c r="D142" i="83"/>
  <c r="N174" i="83"/>
  <c r="N173" i="83" s="1"/>
  <c r="N124" i="83"/>
  <c r="N176" i="83" s="1"/>
  <c r="G41" i="83"/>
  <c r="G55" i="83"/>
  <c r="G104" i="83"/>
  <c r="G153" i="83"/>
  <c r="N45" i="83"/>
  <c r="AF32" i="4"/>
  <c r="AF33" i="4" s="1"/>
  <c r="AF35" i="5"/>
  <c r="AF42" i="5"/>
  <c r="AS55" i="11"/>
  <c r="AS31" i="11"/>
  <c r="AS56" i="11"/>
  <c r="M104" i="83"/>
  <c r="M153" i="83"/>
  <c r="M41" i="83"/>
  <c r="AG14" i="4"/>
  <c r="AG8" i="4"/>
  <c r="EU64" i="11"/>
  <c r="EU47" i="11"/>
  <c r="EU27" i="11"/>
  <c r="EU54" i="11"/>
  <c r="U164" i="1"/>
  <c r="T184" i="1"/>
  <c r="Y184" i="1" s="1"/>
  <c r="CQ58" i="11"/>
  <c r="CQ66" i="11"/>
  <c r="S37" i="11"/>
  <c r="X65" i="11" s="1"/>
  <c r="O24" i="4"/>
  <c r="EX75" i="11"/>
  <c r="L110" i="83"/>
  <c r="DJ31" i="11"/>
  <c r="DJ55" i="11"/>
  <c r="DJ56" i="11"/>
  <c r="AF24" i="4"/>
  <c r="AM76" i="3"/>
  <c r="DK31" i="11"/>
  <c r="DK55" i="11"/>
  <c r="DK56" i="11"/>
  <c r="M174" i="83"/>
  <c r="M173" i="83" s="1"/>
  <c r="M124" i="83"/>
  <c r="M176" i="83" s="1"/>
  <c r="BM55" i="11"/>
  <c r="BM31" i="11"/>
  <c r="BM56" i="11"/>
  <c r="D86" i="1"/>
  <c r="J86" i="1" s="1"/>
  <c r="E56" i="1"/>
  <c r="J56" i="1" s="1"/>
  <c r="FO64" i="11"/>
  <c r="FO27" i="11"/>
  <c r="FO47" i="11"/>
  <c r="FO54" i="11"/>
  <c r="AM83" i="3"/>
  <c r="H63" i="83"/>
  <c r="H110" i="83"/>
  <c r="H92" i="83"/>
  <c r="EC64" i="11"/>
  <c r="EC27" i="11"/>
  <c r="EC47" i="11"/>
  <c r="S36" i="4"/>
  <c r="S35" i="4"/>
  <c r="P174" i="1"/>
  <c r="U174" i="1" s="1"/>
  <c r="P164" i="1"/>
  <c r="Q144" i="1"/>
  <c r="W32" i="4"/>
  <c r="W33" i="4" s="1"/>
  <c r="W35" i="5"/>
  <c r="W42" i="5"/>
  <c r="BL31" i="11"/>
  <c r="BL55" i="11"/>
  <c r="BL56" i="11"/>
  <c r="M35" i="5"/>
  <c r="M42" i="5"/>
  <c r="M32" i="4"/>
  <c r="M33" i="4" s="1"/>
  <c r="R130" i="67"/>
  <c r="R132" i="67" s="1"/>
  <c r="S95" i="67"/>
  <c r="X124" i="67"/>
  <c r="Y89" i="67"/>
  <c r="DA66" i="11"/>
  <c r="DA58" i="11"/>
  <c r="BB31" i="11"/>
  <c r="BB55" i="11"/>
  <c r="BB56" i="11"/>
  <c r="F125" i="67"/>
  <c r="F91" i="67"/>
  <c r="G124" i="67"/>
  <c r="EW27" i="11"/>
  <c r="EW54" i="11"/>
  <c r="EW47" i="11"/>
  <c r="EW64" i="11"/>
  <c r="M103" i="83"/>
  <c r="M40" i="83"/>
  <c r="M97" i="83" s="1"/>
  <c r="M98" i="83" s="1"/>
  <c r="M12" i="83"/>
  <c r="M8" i="83"/>
  <c r="DO55" i="11"/>
  <c r="DO31" i="11"/>
  <c r="DO56" i="11"/>
  <c r="AM84" i="3"/>
  <c r="L94" i="67"/>
  <c r="U166" i="1"/>
  <c r="CG31" i="11"/>
  <c r="CG55" i="11"/>
  <c r="CG56" i="11"/>
  <c r="L200" i="83"/>
  <c r="L199" i="83" s="1"/>
  <c r="AB8" i="4"/>
  <c r="AB14" i="4"/>
  <c r="AB15" i="4" s="1"/>
  <c r="E204" i="83"/>
  <c r="BW58" i="11"/>
  <c r="BW66" i="11"/>
  <c r="J94" i="67"/>
  <c r="BP55" i="11"/>
  <c r="BP31" i="11"/>
  <c r="BP56" i="11"/>
  <c r="Q35" i="4"/>
  <c r="Q36" i="4"/>
  <c r="N24" i="4"/>
  <c r="EW75" i="11"/>
  <c r="FR75" i="11"/>
  <c r="AI24" i="4"/>
  <c r="DG31" i="11"/>
  <c r="DG55" i="11"/>
  <c r="DG56" i="11"/>
  <c r="Q146" i="1"/>
  <c r="AD36" i="4"/>
  <c r="AD35" i="4"/>
  <c r="Z24" i="4"/>
  <c r="AM28" i="3"/>
  <c r="AC24" i="4"/>
  <c r="C123" i="67"/>
  <c r="D122" i="67"/>
  <c r="C89" i="67"/>
  <c r="ET54" i="11"/>
  <c r="ET64" i="11"/>
  <c r="ET47" i="11"/>
  <c r="ET27" i="11"/>
  <c r="AM57" i="3"/>
  <c r="AM92" i="3"/>
  <c r="AM99" i="3"/>
  <c r="D93" i="83"/>
  <c r="X64" i="3"/>
  <c r="D112" i="1"/>
  <c r="E82" i="1"/>
  <c r="V42" i="5"/>
  <c r="V35" i="5"/>
  <c r="V32" i="4"/>
  <c r="V33" i="4" s="1"/>
  <c r="FQ53" i="11"/>
  <c r="H31" i="11"/>
  <c r="H55" i="11"/>
  <c r="H56" i="11"/>
  <c r="Y182" i="1"/>
  <c r="Q35" i="5"/>
  <c r="Q42" i="5"/>
  <c r="Q32" i="4"/>
  <c r="Q33" i="4" s="1"/>
  <c r="V144" i="1"/>
  <c r="CR55" i="11"/>
  <c r="CR31" i="11"/>
  <c r="CR56" i="11"/>
  <c r="BN55" i="11"/>
  <c r="BN31" i="11"/>
  <c r="BN56" i="11"/>
  <c r="AI32" i="4"/>
  <c r="AI33" i="4" s="1"/>
  <c r="AI35" i="5"/>
  <c r="AI42" i="5"/>
  <c r="AB65" i="11"/>
  <c r="R42" i="5"/>
  <c r="R35" i="5"/>
  <c r="R32" i="4"/>
  <c r="R33" i="4" s="1"/>
  <c r="CL55" i="11"/>
  <c r="CL31" i="11"/>
  <c r="CL56" i="11"/>
  <c r="CC55" i="11"/>
  <c r="CC31" i="11"/>
  <c r="CC56" i="11"/>
  <c r="L45" i="83"/>
  <c r="I152" i="83"/>
  <c r="I40" i="83"/>
  <c r="I97" i="83" s="1"/>
  <c r="I8" i="83"/>
  <c r="I12" i="83"/>
  <c r="I54" i="83"/>
  <c r="I82" i="83" s="1"/>
  <c r="I103" i="83"/>
  <c r="Y24" i="4"/>
  <c r="AJ58" i="4"/>
  <c r="AJ59" i="4" s="1"/>
  <c r="AJ61" i="4"/>
  <c r="E83" i="1"/>
  <c r="D113" i="1"/>
  <c r="K12" i="83"/>
  <c r="K152" i="83"/>
  <c r="K40" i="83"/>
  <c r="K97" i="83" s="1"/>
  <c r="K54" i="83"/>
  <c r="K82" i="83" s="1"/>
  <c r="K8" i="83"/>
  <c r="K103" i="83"/>
  <c r="X83" i="3"/>
  <c r="H45" i="83"/>
  <c r="H142" i="1"/>
  <c r="N142" i="1" s="1"/>
  <c r="I122" i="1"/>
  <c r="I112" i="1"/>
  <c r="I31" i="11"/>
  <c r="I55" i="11"/>
  <c r="I56" i="11"/>
  <c r="S24" i="4"/>
  <c r="FB75" i="11"/>
  <c r="Q145" i="1"/>
  <c r="EU75" i="11"/>
  <c r="L24" i="4"/>
  <c r="FA64" i="11"/>
  <c r="FA47" i="11"/>
  <c r="FA27" i="11"/>
  <c r="FA54" i="11"/>
  <c r="AK89" i="3"/>
  <c r="AI93" i="3"/>
  <c r="AK93" i="3" s="1"/>
  <c r="FP47" i="11"/>
  <c r="FP54" i="11"/>
  <c r="FP27" i="11"/>
  <c r="FP64" i="11"/>
  <c r="R55" i="11"/>
  <c r="R31" i="11"/>
  <c r="R56" i="11"/>
  <c r="AM90" i="3"/>
  <c r="AM97" i="3"/>
  <c r="AC42" i="5"/>
  <c r="AC32" i="4"/>
  <c r="AC33" i="4" s="1"/>
  <c r="AC35" i="5"/>
  <c r="Z36" i="4"/>
  <c r="Z35" i="4"/>
  <c r="AK54" i="3"/>
  <c r="AI58" i="3"/>
  <c r="AK58" i="3" s="1"/>
  <c r="FR82" i="11"/>
  <c r="K42" i="5"/>
  <c r="K35" i="5"/>
  <c r="K32" i="4"/>
  <c r="K33" i="4" s="1"/>
  <c r="N42" i="5"/>
  <c r="N35" i="5"/>
  <c r="N32" i="4"/>
  <c r="N33" i="4" s="1"/>
  <c r="X91" i="3"/>
  <c r="X98" i="3"/>
  <c r="AE31" i="11"/>
  <c r="AE55" i="11"/>
  <c r="AE56" i="11"/>
  <c r="BC31" i="11"/>
  <c r="BC55" i="11"/>
  <c r="BC56" i="11"/>
  <c r="AJ67" i="4"/>
  <c r="AJ68" i="4" s="1"/>
  <c r="AK64" i="4"/>
  <c r="AK65" i="4" s="1"/>
  <c r="FS71" i="11"/>
  <c r="AJ65" i="4"/>
  <c r="AH42" i="5"/>
  <c r="AH35" i="5"/>
  <c r="AH32" i="4"/>
  <c r="L124" i="83"/>
  <c r="L176" i="83" s="1"/>
  <c r="L174" i="83"/>
  <c r="L173" i="83" s="1"/>
  <c r="DB58" i="11"/>
  <c r="DB66" i="11"/>
  <c r="M125" i="1"/>
  <c r="M126" i="1"/>
  <c r="DY64" i="11"/>
  <c r="DY27" i="11"/>
  <c r="DY54" i="11"/>
  <c r="DY47" i="11"/>
  <c r="H34" i="83"/>
  <c r="BX57" i="11"/>
  <c r="BX35" i="11"/>
  <c r="P165" i="1"/>
  <c r="V165" i="1" s="1"/>
  <c r="P180" i="1"/>
  <c r="U180" i="1" s="1"/>
  <c r="Q160" i="1"/>
  <c r="AK40" i="3"/>
  <c r="AI44" i="3"/>
  <c r="AK44" i="3" s="1"/>
  <c r="S129" i="67"/>
  <c r="T94" i="67"/>
  <c r="T128" i="67"/>
  <c r="U93" i="67"/>
  <c r="EA27" i="11"/>
  <c r="EA64" i="11"/>
  <c r="EA54" i="11"/>
  <c r="EA47" i="11"/>
  <c r="AB24" i="4"/>
  <c r="W31" i="11"/>
  <c r="W55" i="11"/>
  <c r="W56" i="11"/>
  <c r="AD14" i="4"/>
  <c r="AD8" i="4"/>
  <c r="X54" i="3"/>
  <c r="AC31" i="11"/>
  <c r="AC55" i="11"/>
  <c r="AC56" i="11"/>
  <c r="FG54" i="11"/>
  <c r="FG64" i="11"/>
  <c r="FG27" i="11"/>
  <c r="FG47" i="11"/>
  <c r="N103" i="83"/>
  <c r="N8" i="83"/>
  <c r="N35" i="83" s="1"/>
  <c r="N40" i="83"/>
  <c r="N97" i="83" s="1"/>
  <c r="N98" i="83" s="1"/>
  <c r="N209" i="83" s="1"/>
  <c r="N208" i="83" s="1"/>
  <c r="N196" i="83" s="1"/>
  <c r="N12" i="83"/>
  <c r="I63" i="83"/>
  <c r="I110" i="83"/>
  <c r="I92" i="83"/>
  <c r="FI68" i="11"/>
  <c r="FI41" i="11"/>
  <c r="FI42" i="11"/>
  <c r="FJ7" i="11"/>
  <c r="D85" i="1"/>
  <c r="E55" i="1"/>
  <c r="J55" i="1" s="1"/>
  <c r="N55" i="11"/>
  <c r="N31" i="11"/>
  <c r="N56" i="11"/>
  <c r="AJ55" i="4"/>
  <c r="AJ56" i="4" s="1"/>
  <c r="AJ53" i="4"/>
  <c r="AJ42" i="4"/>
  <c r="AJ43" i="4" s="1"/>
  <c r="AJ44" i="4" s="1"/>
  <c r="AK52" i="4"/>
  <c r="AK53" i="4" s="1"/>
  <c r="FS70" i="11"/>
  <c r="T55" i="11"/>
  <c r="T31" i="11"/>
  <c r="T56" i="11"/>
  <c r="AK47" i="3"/>
  <c r="AI51" i="3"/>
  <c r="AK51" i="3" s="1"/>
  <c r="T37" i="11"/>
  <c r="Y65" i="11" s="1"/>
  <c r="AB42" i="5"/>
  <c r="AB32" i="4"/>
  <c r="AB33" i="4" s="1"/>
  <c r="AB35" i="5"/>
  <c r="H161" i="83"/>
  <c r="H203" i="83"/>
  <c r="R140" i="1"/>
  <c r="FJ54" i="11"/>
  <c r="FJ27" i="11"/>
  <c r="FJ64" i="11"/>
  <c r="FJ47" i="11"/>
  <c r="EY75" i="11"/>
  <c r="P24" i="4"/>
  <c r="K146" i="3"/>
  <c r="V144" i="8"/>
  <c r="X144" i="8" s="1"/>
  <c r="K147" i="3"/>
  <c r="J146" i="3"/>
  <c r="Q50" i="67"/>
  <c r="Q17" i="67"/>
  <c r="CF66" i="11"/>
  <c r="K142" i="3"/>
  <c r="U165" i="1"/>
  <c r="Z38" i="11"/>
  <c r="DN55" i="11"/>
  <c r="DN31" i="11"/>
  <c r="DN56" i="11"/>
  <c r="U32" i="4"/>
  <c r="U33" i="4" s="1"/>
  <c r="U42" i="5"/>
  <c r="U35" i="5"/>
  <c r="AK68" i="3"/>
  <c r="AI72" i="3"/>
  <c r="AK72" i="3" s="1"/>
  <c r="K55" i="11"/>
  <c r="K31" i="11"/>
  <c r="K56" i="11"/>
  <c r="BR55" i="11"/>
  <c r="BR31" i="11"/>
  <c r="BR56" i="11"/>
  <c r="P164" i="83"/>
  <c r="AM55" i="11"/>
  <c r="AM31" i="11"/>
  <c r="AM56" i="11"/>
  <c r="H96" i="67"/>
  <c r="Q24" i="4"/>
  <c r="EZ75" i="11"/>
  <c r="AA42" i="5"/>
  <c r="AA35" i="5"/>
  <c r="AA32" i="4"/>
  <c r="AA33" i="4" s="1"/>
  <c r="I124" i="1"/>
  <c r="I114" i="1"/>
  <c r="F161" i="83"/>
  <c r="Y35" i="5"/>
  <c r="Y32" i="4"/>
  <c r="Y33" i="4" s="1"/>
  <c r="Y42" i="5"/>
  <c r="J92" i="83"/>
  <c r="J110" i="83"/>
  <c r="J63" i="83"/>
  <c r="U37" i="11"/>
  <c r="Z65" i="11" s="1"/>
  <c r="AD18" i="4"/>
  <c r="J147" i="3"/>
  <c r="Z35" i="5"/>
  <c r="Z32" i="4"/>
  <c r="Z33" i="4" s="1"/>
  <c r="Z42" i="5"/>
  <c r="U35" i="4"/>
  <c r="U36" i="4"/>
  <c r="CW66" i="11"/>
  <c r="CR58" i="11"/>
  <c r="CR66" i="11"/>
  <c r="AI31" i="11"/>
  <c r="AI55" i="11"/>
  <c r="AI56" i="11"/>
  <c r="DQ31" i="11"/>
  <c r="DQ55" i="11"/>
  <c r="DQ56" i="11"/>
  <c r="X92" i="3"/>
  <c r="X99" i="3"/>
  <c r="FN53" i="11"/>
  <c r="P31" i="11"/>
  <c r="P55" i="11"/>
  <c r="P56" i="11"/>
  <c r="AY55" i="11"/>
  <c r="AY31" i="11"/>
  <c r="AY56" i="11"/>
  <c r="G110" i="83"/>
  <c r="G63" i="83"/>
  <c r="G92" i="83"/>
  <c r="FP75" i="11"/>
  <c r="AG24" i="4"/>
  <c r="G94" i="67"/>
  <c r="H127" i="67"/>
  <c r="AC184" i="1"/>
  <c r="FP53" i="11"/>
  <c r="DA31" i="11"/>
  <c r="DA55" i="11"/>
  <c r="DA56" i="11"/>
  <c r="Z148" i="3"/>
  <c r="EF83" i="11" s="1"/>
  <c r="X36" i="4"/>
  <c r="X35" i="4"/>
  <c r="R37" i="11"/>
  <c r="X35" i="3"/>
  <c r="O41" i="83"/>
  <c r="O153" i="83"/>
  <c r="E31" i="11"/>
  <c r="E55" i="11"/>
  <c r="E56" i="11"/>
  <c r="CP55" i="11"/>
  <c r="CP31" i="11"/>
  <c r="CP56" i="11"/>
  <c r="AK82" i="3"/>
  <c r="AI86" i="3"/>
  <c r="AK86" i="3" s="1"/>
  <c r="EV47" i="11"/>
  <c r="EV27" i="11"/>
  <c r="EV64" i="11"/>
  <c r="EV54" i="11"/>
  <c r="AH24" i="4"/>
  <c r="FQ75" i="11"/>
  <c r="X50" i="3"/>
  <c r="CH58" i="11"/>
  <c r="CH66" i="11"/>
  <c r="V160" i="1"/>
  <c r="DG66" i="11"/>
  <c r="X38" i="11"/>
  <c r="N104" i="83"/>
  <c r="N41" i="83"/>
  <c r="N153" i="83"/>
  <c r="ES47" i="11"/>
  <c r="ES58" i="11" s="1"/>
  <c r="ES54" i="11"/>
  <c r="ES27" i="11"/>
  <c r="EZ64" i="11"/>
  <c r="EZ27" i="11"/>
  <c r="EZ54" i="11"/>
  <c r="EZ47" i="11"/>
  <c r="X36" i="3"/>
  <c r="K24" i="4"/>
  <c r="ET75" i="11"/>
  <c r="C104" i="83"/>
  <c r="C55" i="83"/>
  <c r="C153" i="83"/>
  <c r="X61" i="3"/>
  <c r="AM34" i="3"/>
  <c r="AK26" i="3"/>
  <c r="AM26" i="3" s="1"/>
  <c r="AI30" i="3"/>
  <c r="AK30" i="3" s="1"/>
  <c r="DD66" i="11"/>
  <c r="AJ72" i="4"/>
  <c r="F265" i="54"/>
  <c r="N55" i="1"/>
  <c r="F63" i="83"/>
  <c r="F110" i="83"/>
  <c r="J203" i="83"/>
  <c r="J161" i="83"/>
  <c r="AM71" i="3"/>
  <c r="R143" i="1"/>
  <c r="AE35" i="5"/>
  <c r="AE32" i="4"/>
  <c r="AE42" i="5"/>
  <c r="AC8" i="4"/>
  <c r="AC14" i="4"/>
  <c r="O95" i="67"/>
  <c r="P128" i="67"/>
  <c r="FR52" i="11"/>
  <c r="FD75" i="11"/>
  <c r="U24" i="4"/>
  <c r="AI23" i="3"/>
  <c r="AK23" i="3" s="1"/>
  <c r="AM23" i="3" s="1"/>
  <c r="M145" i="3"/>
  <c r="O145" i="3" s="1"/>
  <c r="V145" i="3"/>
  <c r="C52" i="11"/>
  <c r="D114" i="1"/>
  <c r="E84" i="1"/>
  <c r="D204" i="83"/>
  <c r="CB31" i="11"/>
  <c r="CB55" i="11"/>
  <c r="CB56" i="11"/>
  <c r="U173" i="1"/>
  <c r="AM62" i="3"/>
  <c r="CK55" i="11"/>
  <c r="CK31" i="11"/>
  <c r="CK56" i="11"/>
  <c r="AB147" i="3"/>
  <c r="I128" i="67"/>
  <c r="I94" i="67"/>
  <c r="J128" i="67" s="1"/>
  <c r="G161" i="83"/>
  <c r="G203" i="83"/>
  <c r="DV31" i="11"/>
  <c r="DV55" i="11"/>
  <c r="DV56" i="11"/>
  <c r="ES75" i="11"/>
  <c r="J24" i="4"/>
  <c r="AG35" i="4"/>
  <c r="AG36" i="4"/>
  <c r="DP66" i="11"/>
  <c r="DP58" i="11"/>
  <c r="FI64" i="11"/>
  <c r="FI47" i="11"/>
  <c r="FI27" i="11"/>
  <c r="FI54" i="11"/>
  <c r="Q161" i="1"/>
  <c r="P181" i="1"/>
  <c r="V146" i="1"/>
  <c r="DP31" i="11"/>
  <c r="DP55" i="11"/>
  <c r="DP56" i="11"/>
  <c r="D111" i="1"/>
  <c r="E81" i="1"/>
  <c r="K161" i="83"/>
  <c r="K203" i="83"/>
  <c r="BI31" i="11"/>
  <c r="BI55" i="11"/>
  <c r="BI56" i="11"/>
  <c r="BK55" i="11"/>
  <c r="BK31" i="11"/>
  <c r="BK56" i="11"/>
  <c r="AF18" i="4"/>
  <c r="AX55" i="11"/>
  <c r="AX31" i="11"/>
  <c r="AX56" i="11"/>
  <c r="AE35" i="4"/>
  <c r="AE36" i="4"/>
  <c r="X55" i="3"/>
  <c r="O32" i="4"/>
  <c r="O33" i="4" s="1"/>
  <c r="O35" i="5"/>
  <c r="O42" i="5"/>
  <c r="S42" i="5"/>
  <c r="S32" i="4"/>
  <c r="S33" i="4" s="1"/>
  <c r="S35" i="5"/>
  <c r="CZ55" i="11"/>
  <c r="CZ31" i="11"/>
  <c r="CZ56" i="11"/>
  <c r="CW31" i="11"/>
  <c r="CW55" i="11"/>
  <c r="CW56" i="11"/>
  <c r="AH55" i="11"/>
  <c r="AH31" i="11"/>
  <c r="AH56" i="11"/>
  <c r="CM66" i="11"/>
  <c r="N85" i="1"/>
  <c r="DS31" i="11"/>
  <c r="DS55" i="11"/>
  <c r="DS56" i="11"/>
  <c r="Z165" i="1"/>
  <c r="AQ31" i="11"/>
  <c r="AQ55" i="11"/>
  <c r="AQ56" i="11"/>
  <c r="O55" i="11"/>
  <c r="O31" i="11"/>
  <c r="O56" i="11"/>
  <c r="CK66" i="11"/>
  <c r="CK58" i="11"/>
  <c r="DE31" i="11"/>
  <c r="DE55" i="11"/>
  <c r="DE56" i="11"/>
  <c r="AE65" i="11"/>
  <c r="DL58" i="11"/>
  <c r="DL66" i="11"/>
  <c r="E12" i="83"/>
  <c r="E54" i="83"/>
  <c r="E40" i="83"/>
  <c r="E97" i="83" s="1"/>
  <c r="E103" i="83"/>
  <c r="E8" i="83"/>
  <c r="E152" i="83"/>
  <c r="H141" i="1"/>
  <c r="I111" i="1"/>
  <c r="I121" i="1"/>
  <c r="K45" i="83"/>
  <c r="EV75" i="11"/>
  <c r="M24" i="4"/>
  <c r="AF36" i="4"/>
  <c r="AF35" i="4"/>
  <c r="DD31" i="11"/>
  <c r="DD55" i="11"/>
  <c r="DD56" i="11"/>
  <c r="DF55" i="11"/>
  <c r="DF31" i="11"/>
  <c r="DF56" i="11"/>
  <c r="F8" i="83"/>
  <c r="F54" i="83"/>
  <c r="F82" i="83" s="1"/>
  <c r="F40" i="83"/>
  <c r="F97" i="83" s="1"/>
  <c r="F152" i="83"/>
  <c r="F103" i="83"/>
  <c r="F12" i="83"/>
  <c r="W24" i="4"/>
  <c r="AH8" i="4"/>
  <c r="AH14" i="4"/>
  <c r="AI79" i="3"/>
  <c r="AK79" i="3" s="1"/>
  <c r="AK75" i="3"/>
  <c r="W125" i="67"/>
  <c r="X90" i="67"/>
  <c r="AD42" i="5"/>
  <c r="AD32" i="4"/>
  <c r="AD33" i="4" s="1"/>
  <c r="AD35" i="5"/>
  <c r="FD27" i="11"/>
  <c r="FD47" i="11"/>
  <c r="FD64" i="11"/>
  <c r="FD54" i="11"/>
  <c r="AD65" i="11"/>
  <c r="FQ47" i="11"/>
  <c r="FQ27" i="11"/>
  <c r="FQ64" i="11"/>
  <c r="FQ54" i="11"/>
  <c r="W38" i="11"/>
  <c r="BQ31" i="11"/>
  <c r="BQ55" i="11"/>
  <c r="BQ56" i="11"/>
  <c r="U171" i="1"/>
  <c r="G40" i="83"/>
  <c r="G97" i="83" s="1"/>
  <c r="G152" i="83"/>
  <c r="G54" i="83"/>
  <c r="G82" i="83" s="1"/>
  <c r="G103" i="83"/>
  <c r="G8" i="83"/>
  <c r="G12" i="83"/>
  <c r="FR53" i="11"/>
  <c r="CZ58" i="11"/>
  <c r="CZ66" i="11"/>
  <c r="FF54" i="11"/>
  <c r="FF27" i="11"/>
  <c r="FF47" i="11"/>
  <c r="FF64" i="11"/>
  <c r="E93" i="83"/>
  <c r="T42" i="5"/>
  <c r="T35" i="5"/>
  <c r="T32" i="4"/>
  <c r="T33" i="4" s="1"/>
  <c r="DU58" i="11"/>
  <c r="DU66" i="11"/>
  <c r="AI65" i="3"/>
  <c r="AK65" i="3" s="1"/>
  <c r="AK61" i="3"/>
  <c r="Q18" i="4"/>
  <c r="X34" i="3"/>
  <c r="AI36" i="4"/>
  <c r="AI35" i="4"/>
  <c r="AA24" i="4"/>
  <c r="F45" i="83"/>
  <c r="N125" i="67"/>
  <c r="N91" i="67"/>
  <c r="O124" i="67"/>
  <c r="J45" i="83"/>
  <c r="Z164" i="1"/>
  <c r="I120" i="1"/>
  <c r="H140" i="1"/>
  <c r="I110" i="1"/>
  <c r="CM55" i="11"/>
  <c r="CM31" i="11"/>
  <c r="CM56" i="11"/>
  <c r="C8" i="83"/>
  <c r="C35" i="83" s="1"/>
  <c r="C152" i="83"/>
  <c r="C54" i="83"/>
  <c r="C12" i="83"/>
  <c r="C103" i="83"/>
  <c r="U18" i="4"/>
  <c r="C31" i="11"/>
  <c r="C55" i="11"/>
  <c r="C56" i="11"/>
  <c r="DT55" i="11"/>
  <c r="DT31" i="11"/>
  <c r="DT56" i="11"/>
  <c r="D153" i="83"/>
  <c r="D104" i="83"/>
  <c r="D41" i="83"/>
  <c r="D55" i="83"/>
  <c r="BM66" i="11"/>
  <c r="BM58" i="11"/>
  <c r="V92" i="67"/>
  <c r="U127" i="67"/>
  <c r="AT31" i="11"/>
  <c r="AT55" i="11"/>
  <c r="AT56" i="11"/>
  <c r="CY31" i="11"/>
  <c r="CY55" i="11"/>
  <c r="CY56" i="11"/>
  <c r="Y174" i="1"/>
  <c r="FB54" i="11"/>
  <c r="FB27" i="11"/>
  <c r="FB47" i="11"/>
  <c r="FB64" i="11"/>
  <c r="AI44" i="4"/>
  <c r="AI20" i="4"/>
  <c r="J153" i="83"/>
  <c r="J41" i="83"/>
  <c r="J104" i="83"/>
  <c r="J55" i="83"/>
  <c r="L161" i="1"/>
  <c r="L171" i="1"/>
  <c r="M141" i="1"/>
  <c r="BF55" i="11"/>
  <c r="BF31" i="11"/>
  <c r="BF56" i="11"/>
  <c r="G34" i="83"/>
  <c r="E104" i="83"/>
  <c r="E153" i="83"/>
  <c r="E55" i="83"/>
  <c r="E41" i="83"/>
  <c r="L172" i="1"/>
  <c r="Q172" i="1" s="1"/>
  <c r="L162" i="1"/>
  <c r="M142" i="1"/>
  <c r="Y123" i="67"/>
  <c r="X49" i="3"/>
  <c r="AF14" i="4"/>
  <c r="AF8" i="4"/>
  <c r="AM48" i="3"/>
  <c r="I86" i="1"/>
  <c r="H116" i="1"/>
  <c r="I116" i="1" s="1"/>
  <c r="L104" i="83"/>
  <c r="L41" i="83"/>
  <c r="L153" i="83"/>
  <c r="R142" i="1"/>
  <c r="AE24" i="4"/>
  <c r="X18" i="4"/>
  <c r="J103" i="83"/>
  <c r="J152" i="83"/>
  <c r="J187" i="83" s="1"/>
  <c r="J12" i="83"/>
  <c r="J40" i="83"/>
  <c r="J97" i="83" s="1"/>
  <c r="J54" i="83"/>
  <c r="J82" i="83" s="1"/>
  <c r="J8" i="83"/>
  <c r="BD55" i="11"/>
  <c r="BD31" i="11"/>
  <c r="BD56" i="11"/>
  <c r="DU55" i="11"/>
  <c r="DU31" i="11"/>
  <c r="DU56" i="11"/>
  <c r="R18" i="4"/>
  <c r="BS66" i="11"/>
  <c r="EN42" i="11" l="1"/>
  <c r="V160" i="8"/>
  <c r="J164" i="3"/>
  <c r="J163" i="3"/>
  <c r="EN62" i="11"/>
  <c r="K154" i="3"/>
  <c r="M154" i="3" s="1"/>
  <c r="EM41" i="11"/>
  <c r="EM40" i="11"/>
  <c r="AK64" i="5"/>
  <c r="S115" i="83"/>
  <c r="S66" i="83"/>
  <c r="S164" i="83"/>
  <c r="AE33" i="4"/>
  <c r="J160" i="3"/>
  <c r="K160" i="3"/>
  <c r="K155" i="3"/>
  <c r="M163" i="3" s="1"/>
  <c r="G163" i="3" s="1"/>
  <c r="K152" i="3"/>
  <c r="M152" i="3" s="1"/>
  <c r="J156" i="3"/>
  <c r="EP62" i="11"/>
  <c r="EO62" i="11"/>
  <c r="D56" i="11"/>
  <c r="D55" i="11"/>
  <c r="J155" i="3"/>
  <c r="J153" i="3"/>
  <c r="V151" i="8"/>
  <c r="EI82" i="11"/>
  <c r="V152" i="8"/>
  <c r="EJ82" i="11"/>
  <c r="J152" i="3"/>
  <c r="V150" i="8"/>
  <c r="EH82" i="11"/>
  <c r="K153" i="3"/>
  <c r="M161" i="3" s="1"/>
  <c r="G161" i="3" s="1"/>
  <c r="J154" i="3"/>
  <c r="EK82" i="11"/>
  <c r="V153" i="8"/>
  <c r="O138" i="83"/>
  <c r="M88" i="83"/>
  <c r="M56" i="83"/>
  <c r="M60" i="83"/>
  <c r="M82" i="83"/>
  <c r="M188" i="83" s="1"/>
  <c r="M187" i="83" s="1"/>
  <c r="N56" i="83"/>
  <c r="N60" i="83"/>
  <c r="N88" i="83"/>
  <c r="N82" i="83"/>
  <c r="N188" i="83" s="1"/>
  <c r="N187" i="83" s="1"/>
  <c r="L88" i="83"/>
  <c r="N142" i="83"/>
  <c r="L81" i="83"/>
  <c r="L64" i="83"/>
  <c r="D44" i="85"/>
  <c r="D270" i="54"/>
  <c r="F268" i="54"/>
  <c r="Z152" i="3"/>
  <c r="AB150" i="8" s="1"/>
  <c r="E269" i="54"/>
  <c r="AN38" i="5"/>
  <c r="FW25" i="11"/>
  <c r="AO37" i="5"/>
  <c r="AP37" i="5" s="1"/>
  <c r="I89" i="83"/>
  <c r="BU57" i="11"/>
  <c r="Z144" i="8"/>
  <c r="AF145" i="8"/>
  <c r="X145" i="3"/>
  <c r="AD147" i="3"/>
  <c r="AF147" i="3" s="1"/>
  <c r="M147" i="3"/>
  <c r="O147" i="3" s="1"/>
  <c r="M146" i="3"/>
  <c r="AM75" i="3"/>
  <c r="CF35" i="11"/>
  <c r="F57" i="11"/>
  <c r="J89" i="83"/>
  <c r="G197" i="83"/>
  <c r="J138" i="83"/>
  <c r="BV31" i="11"/>
  <c r="BV57" i="11" s="1"/>
  <c r="BV56" i="11"/>
  <c r="F42" i="83"/>
  <c r="AM51" i="3"/>
  <c r="AF15" i="4"/>
  <c r="AE15" i="4"/>
  <c r="AI15" i="4"/>
  <c r="L138" i="83"/>
  <c r="N138" i="83"/>
  <c r="O197" i="83"/>
  <c r="E138" i="83"/>
  <c r="I197" i="83"/>
  <c r="J42" i="83"/>
  <c r="H138" i="83"/>
  <c r="D197" i="83"/>
  <c r="AM72" i="3"/>
  <c r="AM54" i="3"/>
  <c r="M42" i="83"/>
  <c r="M138" i="83"/>
  <c r="F89" i="83"/>
  <c r="F138" i="83"/>
  <c r="E89" i="83"/>
  <c r="G42" i="83"/>
  <c r="K197" i="83"/>
  <c r="D138" i="83"/>
  <c r="V40" i="67"/>
  <c r="V41" i="67" s="1"/>
  <c r="AM58" i="3"/>
  <c r="I42" i="83"/>
  <c r="AI18" i="4"/>
  <c r="L42" i="83"/>
  <c r="AM30" i="3"/>
  <c r="I35" i="83"/>
  <c r="G204" i="83"/>
  <c r="P57" i="11"/>
  <c r="P35" i="11"/>
  <c r="I93" i="83"/>
  <c r="FA55" i="11"/>
  <c r="FA31" i="11"/>
  <c r="FA56" i="11"/>
  <c r="CL57" i="11"/>
  <c r="CL35" i="11"/>
  <c r="H57" i="11"/>
  <c r="H35" i="11"/>
  <c r="DG57" i="11"/>
  <c r="DG35" i="11"/>
  <c r="DO57" i="11"/>
  <c r="DO35" i="11"/>
  <c r="M50" i="5"/>
  <c r="M43" i="5"/>
  <c r="M46" i="5"/>
  <c r="D116" i="1"/>
  <c r="E116" i="1" s="1"/>
  <c r="E86" i="1"/>
  <c r="BS57" i="11"/>
  <c r="BS35" i="11"/>
  <c r="W126" i="67"/>
  <c r="X91" i="67"/>
  <c r="E42" i="83"/>
  <c r="E35" i="83"/>
  <c r="AE50" i="5"/>
  <c r="AE43" i="5"/>
  <c r="AE46" i="5"/>
  <c r="EZ31" i="11"/>
  <c r="EZ55" i="11"/>
  <c r="EZ56" i="11"/>
  <c r="E57" i="11"/>
  <c r="E35" i="11"/>
  <c r="M142" i="3"/>
  <c r="O142" i="3" s="1"/>
  <c r="V142" i="3"/>
  <c r="X142" i="3" s="1"/>
  <c r="K98" i="83"/>
  <c r="K146" i="83"/>
  <c r="K147" i="83" s="1"/>
  <c r="K208" i="83"/>
  <c r="DK57" i="11"/>
  <c r="DK35" i="11"/>
  <c r="F140" i="67"/>
  <c r="J146" i="83"/>
  <c r="J147" i="83" s="1"/>
  <c r="J98" i="83"/>
  <c r="J208" i="83"/>
  <c r="DF57" i="11"/>
  <c r="DF35" i="11"/>
  <c r="AM86" i="3"/>
  <c r="AM57" i="11"/>
  <c r="AM35" i="11"/>
  <c r="L197" i="83"/>
  <c r="N37" i="11"/>
  <c r="CY57" i="11"/>
  <c r="CY35" i="11"/>
  <c r="D89" i="83"/>
  <c r="H170" i="1"/>
  <c r="M170" i="1" s="1"/>
  <c r="I140" i="1"/>
  <c r="H144" i="1"/>
  <c r="N144" i="1" s="1"/>
  <c r="H160" i="1"/>
  <c r="N160" i="1" s="1"/>
  <c r="H145" i="1"/>
  <c r="F35" i="83"/>
  <c r="FQ58" i="11"/>
  <c r="FQ66" i="11"/>
  <c r="F158" i="83"/>
  <c r="F154" i="83"/>
  <c r="F191" i="83" s="1"/>
  <c r="F196" i="83"/>
  <c r="CZ57" i="11"/>
  <c r="CZ35" i="11"/>
  <c r="S38" i="11"/>
  <c r="DV57" i="11"/>
  <c r="DV35" i="11"/>
  <c r="M161" i="1"/>
  <c r="L181" i="1"/>
  <c r="Q181" i="1" s="1"/>
  <c r="FB66" i="11"/>
  <c r="FB58" i="11"/>
  <c r="C57" i="11"/>
  <c r="C35" i="11"/>
  <c r="AM65" i="3"/>
  <c r="G33" i="83"/>
  <c r="G16" i="83"/>
  <c r="BQ57" i="11"/>
  <c r="BQ35" i="11"/>
  <c r="AD50" i="5"/>
  <c r="AD43" i="5"/>
  <c r="AD46" i="5"/>
  <c r="F56" i="83"/>
  <c r="F83" i="83" s="1"/>
  <c r="F88" i="83"/>
  <c r="F60" i="83"/>
  <c r="I141" i="1"/>
  <c r="H171" i="1"/>
  <c r="H161" i="1"/>
  <c r="AQ57" i="11"/>
  <c r="AQ35" i="11"/>
  <c r="AH57" i="11"/>
  <c r="AH35" i="11"/>
  <c r="BK57" i="11"/>
  <c r="BK35" i="11"/>
  <c r="AC15" i="4"/>
  <c r="AJ70" i="4"/>
  <c r="AJ71" i="4" s="1"/>
  <c r="AJ73" i="4"/>
  <c r="EZ58" i="11"/>
  <c r="EZ66" i="11"/>
  <c r="G93" i="83"/>
  <c r="Z43" i="5"/>
  <c r="Z50" i="5"/>
  <c r="Z46" i="5"/>
  <c r="J112" i="83"/>
  <c r="J141" i="83"/>
  <c r="J131" i="83"/>
  <c r="FJ58" i="11"/>
  <c r="FJ66" i="11"/>
  <c r="AM40" i="3"/>
  <c r="R57" i="11"/>
  <c r="R35" i="11"/>
  <c r="K42" i="83"/>
  <c r="I208" i="83"/>
  <c r="I146" i="83"/>
  <c r="I147" i="83" s="1"/>
  <c r="I98" i="83"/>
  <c r="AI43" i="5"/>
  <c r="AI50" i="5"/>
  <c r="AI46" i="5"/>
  <c r="EW66" i="11"/>
  <c r="EW58" i="11"/>
  <c r="EC55" i="11"/>
  <c r="EC31" i="11"/>
  <c r="EC56" i="11"/>
  <c r="DJ57" i="11"/>
  <c r="DJ35" i="11"/>
  <c r="M197" i="83"/>
  <c r="AV57" i="11"/>
  <c r="AV35" i="11"/>
  <c r="EY31" i="11"/>
  <c r="EY55" i="11"/>
  <c r="EY56" i="11"/>
  <c r="M37" i="11"/>
  <c r="R65" i="11" s="1"/>
  <c r="DL57" i="11"/>
  <c r="DL35" i="11"/>
  <c r="FL55" i="11"/>
  <c r="FL31" i="11"/>
  <c r="FL56" i="11"/>
  <c r="X43" i="5"/>
  <c r="X50" i="5"/>
  <c r="X46" i="5"/>
  <c r="CO57" i="11"/>
  <c r="CO35" i="11"/>
  <c r="FK31" i="11"/>
  <c r="FK55" i="11"/>
  <c r="FK56" i="11"/>
  <c r="CE57" i="11"/>
  <c r="CE35" i="11"/>
  <c r="AM37" i="3"/>
  <c r="K138" i="83"/>
  <c r="O57" i="11"/>
  <c r="O35" i="11"/>
  <c r="EV55" i="11"/>
  <c r="EV31" i="11"/>
  <c r="EV56" i="11"/>
  <c r="U50" i="5"/>
  <c r="U43" i="5"/>
  <c r="U46" i="5"/>
  <c r="FT70" i="11"/>
  <c r="AL52" i="4"/>
  <c r="AL53" i="4" s="1"/>
  <c r="AK55" i="4"/>
  <c r="AH33" i="4"/>
  <c r="AC50" i="5"/>
  <c r="AC43" i="5"/>
  <c r="AC46" i="5"/>
  <c r="BB57" i="11"/>
  <c r="BB35" i="11"/>
  <c r="FN31" i="11"/>
  <c r="FN55" i="11"/>
  <c r="FN56" i="11"/>
  <c r="AM30" i="5"/>
  <c r="D196" i="83"/>
  <c r="D158" i="83"/>
  <c r="D154" i="83"/>
  <c r="DX66" i="11"/>
  <c r="DX58" i="11"/>
  <c r="J35" i="83"/>
  <c r="Y90" i="67"/>
  <c r="X125" i="67"/>
  <c r="AB146" i="8"/>
  <c r="M128" i="67"/>
  <c r="M94" i="67"/>
  <c r="DZ31" i="11"/>
  <c r="DZ55" i="11"/>
  <c r="DZ56" i="11"/>
  <c r="CQ57" i="11"/>
  <c r="CQ35" i="11"/>
  <c r="H16" i="83"/>
  <c r="H33" i="83"/>
  <c r="AG50" i="5"/>
  <c r="AG43" i="5"/>
  <c r="AG46" i="5"/>
  <c r="M162" i="1"/>
  <c r="L182" i="1"/>
  <c r="Q182" i="1" s="1"/>
  <c r="FP31" i="11"/>
  <c r="FP55" i="11"/>
  <c r="FP56" i="11"/>
  <c r="K158" i="83"/>
  <c r="K154" i="83"/>
  <c r="K191" i="83" s="1"/>
  <c r="K196" i="83"/>
  <c r="EU66" i="11"/>
  <c r="EU58" i="11"/>
  <c r="AB57" i="11"/>
  <c r="AB35" i="11"/>
  <c r="U38" i="11"/>
  <c r="BZ57" i="11"/>
  <c r="BZ35" i="11"/>
  <c r="FN58" i="11"/>
  <c r="FN66" i="11"/>
  <c r="FK58" i="11"/>
  <c r="FK66" i="11"/>
  <c r="D208" i="83"/>
  <c r="D98" i="83"/>
  <c r="D146" i="83"/>
  <c r="D147" i="83" s="1"/>
  <c r="BG57" i="11"/>
  <c r="BG35" i="11"/>
  <c r="R162" i="1"/>
  <c r="J16" i="83"/>
  <c r="J33" i="83"/>
  <c r="J197" i="83"/>
  <c r="DT57" i="11"/>
  <c r="DT35" i="11"/>
  <c r="G154" i="83"/>
  <c r="G158" i="83"/>
  <c r="G196" i="83"/>
  <c r="FD55" i="11"/>
  <c r="FD31" i="11"/>
  <c r="FD56" i="11"/>
  <c r="F33" i="83"/>
  <c r="F16" i="83"/>
  <c r="CW57" i="11"/>
  <c r="CW35" i="11"/>
  <c r="AX57" i="11"/>
  <c r="AX35" i="11"/>
  <c r="DP57" i="11"/>
  <c r="DP35" i="11"/>
  <c r="F112" i="83"/>
  <c r="F131" i="83"/>
  <c r="ES55" i="11"/>
  <c r="ES31" i="11"/>
  <c r="ES56" i="11"/>
  <c r="AY57" i="11"/>
  <c r="AY35" i="11"/>
  <c r="K57" i="11"/>
  <c r="K35" i="11"/>
  <c r="AM47" i="3"/>
  <c r="N42" i="83"/>
  <c r="AC57" i="11"/>
  <c r="AC35" i="11"/>
  <c r="K16" i="83"/>
  <c r="K33" i="83"/>
  <c r="I105" i="83"/>
  <c r="I109" i="83"/>
  <c r="I137" i="83"/>
  <c r="BN57" i="11"/>
  <c r="BN35" i="11"/>
  <c r="M33" i="83"/>
  <c r="M184" i="83" s="1"/>
  <c r="M16" i="83"/>
  <c r="Y124" i="67"/>
  <c r="G138" i="83"/>
  <c r="E120" i="1"/>
  <c r="E110" i="1"/>
  <c r="D140" i="1"/>
  <c r="M57" i="11"/>
  <c r="M35" i="11"/>
  <c r="M35" i="83"/>
  <c r="FH58" i="11"/>
  <c r="FH66" i="11"/>
  <c r="FM66" i="11"/>
  <c r="FM58" i="11"/>
  <c r="CV57" i="11"/>
  <c r="CV35" i="11"/>
  <c r="AR57" i="11"/>
  <c r="AR35" i="11"/>
  <c r="L50" i="5"/>
  <c r="L43" i="5"/>
  <c r="L46" i="5"/>
  <c r="FC55" i="11"/>
  <c r="FC31" i="11"/>
  <c r="FC56" i="11"/>
  <c r="D16" i="83"/>
  <c r="D33" i="83"/>
  <c r="M146" i="1"/>
  <c r="L16" i="83"/>
  <c r="L33" i="83"/>
  <c r="L184" i="83" s="1"/>
  <c r="T38" i="11"/>
  <c r="CJ57" i="11"/>
  <c r="CJ35" i="11"/>
  <c r="H208" i="83"/>
  <c r="H98" i="83"/>
  <c r="H146" i="83"/>
  <c r="H147" i="83" s="1"/>
  <c r="DX55" i="11"/>
  <c r="DX31" i="11"/>
  <c r="DX56" i="11"/>
  <c r="R18" i="83"/>
  <c r="FV25" i="11"/>
  <c r="AM38" i="5"/>
  <c r="U57" i="11"/>
  <c r="U35" i="11"/>
  <c r="DI57" i="11"/>
  <c r="DI35" i="11"/>
  <c r="H89" i="83"/>
  <c r="FB55" i="11"/>
  <c r="FB31" i="11"/>
  <c r="FB56" i="11"/>
  <c r="E154" i="83"/>
  <c r="E196" i="83"/>
  <c r="E158" i="83"/>
  <c r="AJ46" i="4"/>
  <c r="AJ47" i="4" s="1"/>
  <c r="AJ49" i="4"/>
  <c r="AJ20" i="4"/>
  <c r="FS72" i="11"/>
  <c r="K56" i="83"/>
  <c r="K83" i="83" s="1"/>
  <c r="K88" i="83"/>
  <c r="K60" i="83"/>
  <c r="T148" i="3"/>
  <c r="D146" i="8"/>
  <c r="H131" i="83"/>
  <c r="H141" i="83"/>
  <c r="H112" i="83"/>
  <c r="AH21" i="4"/>
  <c r="FQ74" i="11"/>
  <c r="M144" i="1"/>
  <c r="L164" i="1"/>
  <c r="L174" i="1"/>
  <c r="H60" i="83"/>
  <c r="H56" i="83"/>
  <c r="H83" i="83" s="1"/>
  <c r="H88" i="83"/>
  <c r="J60" i="83"/>
  <c r="J56" i="83"/>
  <c r="J88" i="83"/>
  <c r="CM57" i="11"/>
  <c r="CM35" i="11"/>
  <c r="G137" i="83"/>
  <c r="G109" i="83"/>
  <c r="G105" i="83"/>
  <c r="S50" i="5"/>
  <c r="S43" i="5"/>
  <c r="S46" i="5"/>
  <c r="FI55" i="11"/>
  <c r="FI31" i="11"/>
  <c r="FI56" i="11"/>
  <c r="G131" i="83"/>
  <c r="G141" i="83"/>
  <c r="G112" i="83"/>
  <c r="FJ31" i="11"/>
  <c r="FJ55" i="11"/>
  <c r="FJ56" i="11"/>
  <c r="FS69" i="11"/>
  <c r="AK40" i="4"/>
  <c r="AJ41" i="4"/>
  <c r="N16" i="83"/>
  <c r="N33" i="83"/>
  <c r="N184" i="83" s="1"/>
  <c r="W57" i="11"/>
  <c r="W35" i="11"/>
  <c r="EA55" i="11"/>
  <c r="EA31" i="11"/>
  <c r="EA56" i="11"/>
  <c r="FA58" i="11"/>
  <c r="FA66" i="11"/>
  <c r="EW31" i="11"/>
  <c r="EW55" i="11"/>
  <c r="EW56" i="11"/>
  <c r="H93" i="83"/>
  <c r="M145" i="1"/>
  <c r="AN57" i="11"/>
  <c r="AN35" i="11"/>
  <c r="J50" i="5"/>
  <c r="J43" i="5"/>
  <c r="J46" i="5"/>
  <c r="D137" i="83"/>
  <c r="D105" i="83"/>
  <c r="D109" i="83"/>
  <c r="L146" i="83"/>
  <c r="L147" i="83" s="1"/>
  <c r="L211" i="83" s="1"/>
  <c r="L210" i="83"/>
  <c r="BW57" i="11"/>
  <c r="BW35" i="11"/>
  <c r="C33" i="83"/>
  <c r="C16" i="83"/>
  <c r="E114" i="1"/>
  <c r="E124" i="1"/>
  <c r="U128" i="67"/>
  <c r="V93" i="67"/>
  <c r="Q165" i="1"/>
  <c r="AH50" i="5"/>
  <c r="AH43" i="5"/>
  <c r="AH46" i="5"/>
  <c r="BC57" i="11"/>
  <c r="BC35" i="11"/>
  <c r="N43" i="5"/>
  <c r="N50" i="5"/>
  <c r="N46" i="5"/>
  <c r="I142" i="1"/>
  <c r="H162" i="1"/>
  <c r="N162" i="1" s="1"/>
  <c r="H172" i="1"/>
  <c r="M172" i="1" s="1"/>
  <c r="Q50" i="5"/>
  <c r="Q43" i="5"/>
  <c r="Q46" i="5"/>
  <c r="J95" i="67"/>
  <c r="P184" i="1"/>
  <c r="U184" i="1" s="1"/>
  <c r="Q164" i="1"/>
  <c r="BM57" i="11"/>
  <c r="BM35" i="11"/>
  <c r="Q171" i="1"/>
  <c r="AS57" i="11"/>
  <c r="AS35" i="11"/>
  <c r="Y57" i="11"/>
  <c r="Y35" i="11"/>
  <c r="CH57" i="11"/>
  <c r="CH35" i="11"/>
  <c r="H109" i="83"/>
  <c r="H137" i="83"/>
  <c r="H105" i="83"/>
  <c r="FE31" i="11"/>
  <c r="FE55" i="11"/>
  <c r="FE56" i="11"/>
  <c r="K89" i="83"/>
  <c r="DU57" i="11"/>
  <c r="DU35" i="11"/>
  <c r="O37" i="11"/>
  <c r="T65" i="11" s="1"/>
  <c r="C56" i="83"/>
  <c r="C83" i="83" s="1"/>
  <c r="C60" i="83"/>
  <c r="N126" i="67"/>
  <c r="N92" i="67"/>
  <c r="O125" i="67"/>
  <c r="E98" i="83"/>
  <c r="E208" i="83"/>
  <c r="E146" i="83"/>
  <c r="E147" i="83" s="1"/>
  <c r="DS57" i="11"/>
  <c r="DS35" i="11"/>
  <c r="BI57" i="11"/>
  <c r="BI35" i="11"/>
  <c r="U181" i="1"/>
  <c r="AM82" i="3"/>
  <c r="DN57" i="11"/>
  <c r="DN35" i="11"/>
  <c r="J154" i="83"/>
  <c r="J191" i="83" s="1"/>
  <c r="J196" i="83"/>
  <c r="J158" i="83"/>
  <c r="AI21" i="4"/>
  <c r="FR74" i="11"/>
  <c r="C154" i="83"/>
  <c r="C191" i="83" s="1"/>
  <c r="C158" i="83"/>
  <c r="T50" i="5"/>
  <c r="T43" i="5"/>
  <c r="T46" i="5"/>
  <c r="G146" i="83"/>
  <c r="G147" i="83" s="1"/>
  <c r="G98" i="83"/>
  <c r="G208" i="83"/>
  <c r="FQ55" i="11"/>
  <c r="FQ31" i="11"/>
  <c r="FQ56" i="11"/>
  <c r="AM79" i="3"/>
  <c r="F137" i="83"/>
  <c r="F105" i="83"/>
  <c r="F109" i="83"/>
  <c r="K35" i="83"/>
  <c r="E88" i="83"/>
  <c r="E60" i="83"/>
  <c r="E56" i="83"/>
  <c r="DE57" i="11"/>
  <c r="DE35" i="11"/>
  <c r="F93" i="83"/>
  <c r="DA57" i="11"/>
  <c r="DA35" i="11"/>
  <c r="AA43" i="5"/>
  <c r="AA50" i="5"/>
  <c r="AA46" i="5"/>
  <c r="Q154" i="67"/>
  <c r="Q26" i="67"/>
  <c r="N109" i="83"/>
  <c r="N137" i="83"/>
  <c r="N105" i="83"/>
  <c r="N131" i="83"/>
  <c r="N190" i="83" s="1"/>
  <c r="T129" i="67"/>
  <c r="U94" i="67"/>
  <c r="DY58" i="11"/>
  <c r="DY66" i="11"/>
  <c r="FP58" i="11"/>
  <c r="FP66" i="11"/>
  <c r="D143" i="1"/>
  <c r="J143" i="1" s="1"/>
  <c r="E123" i="1"/>
  <c r="E113" i="1"/>
  <c r="I56" i="83"/>
  <c r="I60" i="83"/>
  <c r="I88" i="83"/>
  <c r="CC57" i="11"/>
  <c r="CC35" i="11"/>
  <c r="R50" i="5"/>
  <c r="R43" i="5"/>
  <c r="R46" i="5"/>
  <c r="V50" i="5"/>
  <c r="V43" i="5"/>
  <c r="V46" i="5"/>
  <c r="C124" i="67"/>
  <c r="D123" i="67"/>
  <c r="C90" i="67"/>
  <c r="L95" i="67"/>
  <c r="M146" i="83"/>
  <c r="M147" i="83" s="1"/>
  <c r="M211" i="83" s="1"/>
  <c r="M210" i="83"/>
  <c r="F126" i="67"/>
  <c r="F92" i="67"/>
  <c r="G125" i="67"/>
  <c r="BL57" i="11"/>
  <c r="BL35" i="11"/>
  <c r="FO58" i="11"/>
  <c r="FO66" i="11"/>
  <c r="L141" i="83"/>
  <c r="L112" i="83"/>
  <c r="L131" i="83"/>
  <c r="L190" i="83" s="1"/>
  <c r="M141" i="83"/>
  <c r="AF43" i="5"/>
  <c r="AF50" i="5"/>
  <c r="AF46" i="5"/>
  <c r="G89" i="83"/>
  <c r="EX66" i="11"/>
  <c r="EX58" i="11"/>
  <c r="EY66" i="11"/>
  <c r="EY58" i="11"/>
  <c r="AW57" i="11"/>
  <c r="AW35" i="11"/>
  <c r="N140" i="1"/>
  <c r="CU57" i="11"/>
  <c r="CU35" i="11"/>
  <c r="K141" i="83"/>
  <c r="K112" i="83"/>
  <c r="K131" i="83"/>
  <c r="S57" i="11"/>
  <c r="S35" i="11"/>
  <c r="CA57" i="11"/>
  <c r="CA35" i="11"/>
  <c r="CT57" i="11"/>
  <c r="CT35" i="11"/>
  <c r="AD57" i="11"/>
  <c r="AD35" i="11"/>
  <c r="D60" i="83"/>
  <c r="D56" i="83"/>
  <c r="D88" i="83"/>
  <c r="M163" i="1"/>
  <c r="L166" i="1"/>
  <c r="R166" i="1" s="1"/>
  <c r="L183" i="1"/>
  <c r="Q183" i="1" s="1"/>
  <c r="H42" i="83"/>
  <c r="H197" i="83"/>
  <c r="AT57" i="11"/>
  <c r="AT35" i="11"/>
  <c r="FF66" i="11"/>
  <c r="FF58" i="11"/>
  <c r="D141" i="1"/>
  <c r="J141" i="1" s="1"/>
  <c r="E121" i="1"/>
  <c r="E111" i="1"/>
  <c r="J204" i="83"/>
  <c r="BR57" i="11"/>
  <c r="BR35" i="11"/>
  <c r="D115" i="1"/>
  <c r="E115" i="1" s="1"/>
  <c r="E85" i="1"/>
  <c r="I154" i="83"/>
  <c r="I191" i="83" s="1"/>
  <c r="I196" i="83"/>
  <c r="I158" i="83"/>
  <c r="BP57" i="11"/>
  <c r="BP35" i="11"/>
  <c r="BA57" i="11"/>
  <c r="BA35" i="11"/>
  <c r="G35" i="83"/>
  <c r="FR54" i="11"/>
  <c r="FR64" i="11"/>
  <c r="FR27" i="11"/>
  <c r="FR47" i="11"/>
  <c r="C105" i="83"/>
  <c r="C132" i="83" s="1"/>
  <c r="C109" i="83"/>
  <c r="FF31" i="11"/>
  <c r="FF55" i="11"/>
  <c r="FF56" i="11"/>
  <c r="I129" i="67"/>
  <c r="I95" i="67"/>
  <c r="EV66" i="11"/>
  <c r="EV58" i="11"/>
  <c r="G95" i="67"/>
  <c r="H128" i="67"/>
  <c r="AI57" i="11"/>
  <c r="AI35" i="11"/>
  <c r="H204" i="83"/>
  <c r="FJ68" i="11"/>
  <c r="FJ42" i="11"/>
  <c r="FK7" i="11"/>
  <c r="FJ41" i="11"/>
  <c r="R38" i="11"/>
  <c r="CG57" i="11"/>
  <c r="CG35" i="11"/>
  <c r="EU31" i="11"/>
  <c r="EU55" i="11"/>
  <c r="EU56" i="11"/>
  <c r="Q166" i="1"/>
  <c r="DB57" i="11"/>
  <c r="DB35" i="11"/>
  <c r="X57" i="11"/>
  <c r="X35" i="11"/>
  <c r="BF57" i="11"/>
  <c r="BF35" i="11"/>
  <c r="V127" i="67"/>
  <c r="W92" i="67"/>
  <c r="G56" i="83"/>
  <c r="G88" i="83"/>
  <c r="G60" i="83"/>
  <c r="FD66" i="11"/>
  <c r="FD58" i="11"/>
  <c r="E105" i="83"/>
  <c r="E137" i="83"/>
  <c r="E109" i="83"/>
  <c r="O50" i="5"/>
  <c r="O43" i="5"/>
  <c r="O46" i="5"/>
  <c r="FI58" i="11"/>
  <c r="FI66" i="11"/>
  <c r="Y43" i="5"/>
  <c r="Y50" i="5"/>
  <c r="Y46" i="5"/>
  <c r="N146" i="83"/>
  <c r="N147" i="83" s="1"/>
  <c r="N211" i="83" s="1"/>
  <c r="N210" i="83"/>
  <c r="J105" i="83"/>
  <c r="J109" i="83"/>
  <c r="J137" i="83"/>
  <c r="E33" i="83"/>
  <c r="E16" i="83"/>
  <c r="K187" i="83"/>
  <c r="CK57" i="11"/>
  <c r="CK35" i="11"/>
  <c r="O96" i="67"/>
  <c r="P130" i="67" s="1"/>
  <c r="P132" i="67" s="1"/>
  <c r="P129" i="67"/>
  <c r="CP57" i="11"/>
  <c r="CP35" i="11"/>
  <c r="F204" i="83"/>
  <c r="Q47" i="67"/>
  <c r="T57" i="11"/>
  <c r="T35" i="11"/>
  <c r="N57" i="11"/>
  <c r="N35" i="11"/>
  <c r="FG58" i="11"/>
  <c r="FG66" i="11"/>
  <c r="EA66" i="11"/>
  <c r="EA58" i="11"/>
  <c r="AE57" i="11"/>
  <c r="AE35" i="11"/>
  <c r="AM93" i="3"/>
  <c r="AM100" i="3"/>
  <c r="I57" i="11"/>
  <c r="I35" i="11"/>
  <c r="I16" i="83"/>
  <c r="I33" i="83"/>
  <c r="ET55" i="11"/>
  <c r="ET31" i="11"/>
  <c r="ET56" i="11"/>
  <c r="M109" i="83"/>
  <c r="M137" i="83"/>
  <c r="M105" i="83"/>
  <c r="M131" i="83"/>
  <c r="M190" i="83" s="1"/>
  <c r="S130" i="67"/>
  <c r="S132" i="67" s="1"/>
  <c r="T95" i="67"/>
  <c r="W50" i="5"/>
  <c r="W43" i="5"/>
  <c r="W46" i="5"/>
  <c r="FO31" i="11"/>
  <c r="FO55" i="11"/>
  <c r="FO56" i="11"/>
  <c r="AG15" i="4"/>
  <c r="J57" i="11"/>
  <c r="J35" i="11"/>
  <c r="AB148" i="3"/>
  <c r="FH31" i="11"/>
  <c r="FH55" i="11"/>
  <c r="FH56" i="11"/>
  <c r="FM55" i="11"/>
  <c r="FM31" i="11"/>
  <c r="FM56" i="11"/>
  <c r="AL57" i="11"/>
  <c r="AL35" i="11"/>
  <c r="E129" i="67"/>
  <c r="E95" i="67"/>
  <c r="DZ66" i="11"/>
  <c r="DZ58" i="11"/>
  <c r="AJ57" i="11"/>
  <c r="AJ35" i="11"/>
  <c r="FC58" i="11"/>
  <c r="FC66" i="11"/>
  <c r="I138" i="83"/>
  <c r="AG57" i="11"/>
  <c r="AG35" i="11"/>
  <c r="D42" i="83"/>
  <c r="D35" i="83"/>
  <c r="L105" i="83"/>
  <c r="L109" i="83"/>
  <c r="L137" i="83"/>
  <c r="H154" i="83"/>
  <c r="H191" i="83" s="1"/>
  <c r="H158" i="83"/>
  <c r="H196" i="83"/>
  <c r="I187" i="83"/>
  <c r="FE66" i="11"/>
  <c r="FE58" i="11"/>
  <c r="BH57" i="11"/>
  <c r="BH35" i="11"/>
  <c r="BD57" i="11"/>
  <c r="BD35" i="11"/>
  <c r="E197" i="83"/>
  <c r="N141" i="1"/>
  <c r="I125" i="1"/>
  <c r="I126" i="1"/>
  <c r="AM61" i="3"/>
  <c r="AH15" i="4"/>
  <c r="F208" i="83"/>
  <c r="F98" i="83"/>
  <c r="F146" i="83"/>
  <c r="F147" i="83" s="1"/>
  <c r="DD57" i="11"/>
  <c r="DD35" i="11"/>
  <c r="K204" i="83"/>
  <c r="R161" i="1"/>
  <c r="G187" i="83"/>
  <c r="CB57" i="11"/>
  <c r="CB35" i="11"/>
  <c r="K149" i="3"/>
  <c r="M149" i="3" s="1"/>
  <c r="N197" i="83"/>
  <c r="DQ57" i="11"/>
  <c r="DQ35" i="11"/>
  <c r="J93" i="83"/>
  <c r="F187" i="83"/>
  <c r="AM68" i="3"/>
  <c r="U183" i="1"/>
  <c r="D57" i="11"/>
  <c r="D35" i="11"/>
  <c r="AB50" i="5"/>
  <c r="AB43" i="5"/>
  <c r="AB46" i="5"/>
  <c r="I141" i="83"/>
  <c r="I112" i="83"/>
  <c r="I131" i="83"/>
  <c r="FG55" i="11"/>
  <c r="FG31" i="11"/>
  <c r="FG56" i="11"/>
  <c r="AD15" i="4"/>
  <c r="AM44" i="3"/>
  <c r="DY55" i="11"/>
  <c r="DY31" i="11"/>
  <c r="DY56" i="11"/>
  <c r="K50" i="5"/>
  <c r="K43" i="5"/>
  <c r="K46" i="5"/>
  <c r="AM89" i="3"/>
  <c r="AM96" i="3"/>
  <c r="K109" i="83"/>
  <c r="K105" i="83"/>
  <c r="K137" i="83"/>
  <c r="W65" i="11"/>
  <c r="CR57" i="11"/>
  <c r="CR35" i="11"/>
  <c r="E122" i="1"/>
  <c r="E112" i="1"/>
  <c r="D142" i="1"/>
  <c r="ET66" i="11"/>
  <c r="ET58" i="11"/>
  <c r="R50" i="67"/>
  <c r="R17" i="67"/>
  <c r="EC58" i="11"/>
  <c r="EC66" i="11"/>
  <c r="H82" i="83"/>
  <c r="V164" i="1"/>
  <c r="EX55" i="11"/>
  <c r="EX31" i="11"/>
  <c r="EX56" i="11"/>
  <c r="AO57" i="11"/>
  <c r="AO35" i="11"/>
  <c r="F197" i="83"/>
  <c r="L165" i="1"/>
  <c r="R165" i="1" s="1"/>
  <c r="L180" i="1"/>
  <c r="M160" i="1"/>
  <c r="J85" i="1"/>
  <c r="FT18" i="11"/>
  <c r="P14" i="83"/>
  <c r="P62" i="83" s="1"/>
  <c r="P111" i="83" s="1"/>
  <c r="K93" i="83"/>
  <c r="FL58" i="11"/>
  <c r="FL66" i="11"/>
  <c r="P43" i="5"/>
  <c r="P50" i="5"/>
  <c r="P46" i="5"/>
  <c r="Z57" i="11"/>
  <c r="Z35" i="11"/>
  <c r="H173" i="1"/>
  <c r="H163" i="1"/>
  <c r="N163" i="1" s="1"/>
  <c r="H146" i="1"/>
  <c r="N146" i="1" s="1"/>
  <c r="I143" i="1"/>
  <c r="P37" i="11"/>
  <c r="AM33" i="3"/>
  <c r="I204" i="83"/>
  <c r="Q66" i="83"/>
  <c r="Q115" i="83"/>
  <c r="Q164" i="83"/>
  <c r="K127" i="67"/>
  <c r="K93" i="67"/>
  <c r="L126" i="67"/>
  <c r="M155" i="3" l="1"/>
  <c r="G155" i="3" s="1"/>
  <c r="EP42" i="11"/>
  <c r="EO42" i="11"/>
  <c r="AK60" i="4"/>
  <c r="C274" i="54"/>
  <c r="EN41" i="11"/>
  <c r="P27" i="83"/>
  <c r="P75" i="83" s="1"/>
  <c r="P124" i="83" s="1"/>
  <c r="FT40" i="11"/>
  <c r="EN40" i="11"/>
  <c r="T18" i="83"/>
  <c r="C163" i="3"/>
  <c r="R163" i="3" s="1"/>
  <c r="D160" i="8" s="1"/>
  <c r="M160" i="3"/>
  <c r="G160" i="3" s="1"/>
  <c r="K164" i="3"/>
  <c r="M162" i="3"/>
  <c r="G162" i="3" s="1"/>
  <c r="EM62" i="11"/>
  <c r="K156" i="3"/>
  <c r="M156" i="3" s="1"/>
  <c r="M153" i="3"/>
  <c r="O153" i="3" s="1"/>
  <c r="D153" i="8"/>
  <c r="DH13" i="1"/>
  <c r="N64" i="83"/>
  <c r="N81" i="83"/>
  <c r="N183" i="83" s="1"/>
  <c r="N182" i="83" s="1"/>
  <c r="M81" i="83"/>
  <c r="M183" i="83" s="1"/>
  <c r="M182" i="83" s="1"/>
  <c r="M64" i="83"/>
  <c r="L78" i="83"/>
  <c r="L84" i="83"/>
  <c r="L67" i="83"/>
  <c r="N90" i="83"/>
  <c r="N83" i="83"/>
  <c r="M90" i="83"/>
  <c r="M83" i="83"/>
  <c r="L90" i="83"/>
  <c r="D271" i="54"/>
  <c r="EH83" i="11"/>
  <c r="AB152" i="3"/>
  <c r="Z153" i="3"/>
  <c r="AB151" i="8" s="1"/>
  <c r="F269" i="54"/>
  <c r="AO38" i="5"/>
  <c r="FX25" i="11"/>
  <c r="AN30" i="5"/>
  <c r="L146" i="8"/>
  <c r="T155" i="3"/>
  <c r="T152" i="3"/>
  <c r="DH10" i="1"/>
  <c r="BV35" i="11"/>
  <c r="I90" i="83"/>
  <c r="G90" i="83"/>
  <c r="G198" i="83"/>
  <c r="J139" i="83"/>
  <c r="J90" i="83"/>
  <c r="I139" i="83"/>
  <c r="G83" i="83"/>
  <c r="I83" i="83"/>
  <c r="H198" i="83"/>
  <c r="D172" i="1"/>
  <c r="E37" i="11" s="1"/>
  <c r="E142" i="1"/>
  <c r="D162" i="1"/>
  <c r="J162" i="1" s="1"/>
  <c r="FM57" i="11"/>
  <c r="FM35" i="11"/>
  <c r="T130" i="67"/>
  <c r="T132" i="67" s="1"/>
  <c r="U95" i="67"/>
  <c r="J130" i="83"/>
  <c r="J113" i="83"/>
  <c r="FR55" i="11"/>
  <c r="FR31" i="11"/>
  <c r="FR56" i="11"/>
  <c r="R154" i="67"/>
  <c r="FS82" i="11"/>
  <c r="W40" i="67"/>
  <c r="W41" i="67" s="1"/>
  <c r="W43" i="67"/>
  <c r="W44" i="67" s="1"/>
  <c r="FS73" i="11"/>
  <c r="FS83" i="11"/>
  <c r="D160" i="1"/>
  <c r="E140" i="1"/>
  <c r="D170" i="1"/>
  <c r="C37" i="11" s="1"/>
  <c r="D144" i="1"/>
  <c r="J144" i="1" s="1"/>
  <c r="D145" i="1"/>
  <c r="E145" i="1" s="1"/>
  <c r="FD57" i="11"/>
  <c r="FD35" i="11"/>
  <c r="T146" i="3"/>
  <c r="D144" i="8"/>
  <c r="R149" i="3"/>
  <c r="AQ149" i="3" s="1"/>
  <c r="EC57" i="11"/>
  <c r="EC35" i="11"/>
  <c r="S50" i="67"/>
  <c r="S17" i="67"/>
  <c r="I182" i="83"/>
  <c r="I162" i="83"/>
  <c r="H130" i="83"/>
  <c r="H113" i="83"/>
  <c r="L30" i="83"/>
  <c r="L46" i="83"/>
  <c r="L19" i="83"/>
  <c r="L36" i="83"/>
  <c r="ES57" i="11"/>
  <c r="ES35" i="11"/>
  <c r="DZ57" i="11"/>
  <c r="DZ35" i="11"/>
  <c r="FK57" i="11"/>
  <c r="FK35" i="11"/>
  <c r="EY57" i="11"/>
  <c r="EY35" i="11"/>
  <c r="I161" i="1"/>
  <c r="H181" i="1"/>
  <c r="M181" i="1" s="1"/>
  <c r="M38" i="11"/>
  <c r="R155" i="67"/>
  <c r="R26" i="67"/>
  <c r="I142" i="83"/>
  <c r="I132" i="83"/>
  <c r="Q180" i="1"/>
  <c r="C125" i="67"/>
  <c r="C91" i="67"/>
  <c r="D124" i="67"/>
  <c r="D173" i="1"/>
  <c r="F37" i="11" s="1"/>
  <c r="D163" i="1"/>
  <c r="J163" i="1" s="1"/>
  <c r="E143" i="1"/>
  <c r="D146" i="1"/>
  <c r="E146" i="1" s="1"/>
  <c r="C64" i="83"/>
  <c r="C81" i="83"/>
  <c r="V128" i="67"/>
  <c r="W93" i="67"/>
  <c r="FB57" i="11"/>
  <c r="FB35" i="11"/>
  <c r="M129" i="67"/>
  <c r="M95" i="67"/>
  <c r="AD55" i="5"/>
  <c r="AD51" i="5"/>
  <c r="AG62" i="9"/>
  <c r="AD58" i="5"/>
  <c r="X126" i="67"/>
  <c r="Y91" i="67"/>
  <c r="E130" i="67"/>
  <c r="E132" i="67" s="1"/>
  <c r="E96" i="67"/>
  <c r="I198" i="83"/>
  <c r="FQ57" i="11"/>
  <c r="FQ35" i="11"/>
  <c r="EW57" i="11"/>
  <c r="EW35" i="11"/>
  <c r="FJ57" i="11"/>
  <c r="FJ35" i="11"/>
  <c r="V148" i="3"/>
  <c r="X148" i="3" s="1"/>
  <c r="AI148" i="3"/>
  <c r="AK148" i="3" s="1"/>
  <c r="AM148" i="3" s="1"/>
  <c r="L55" i="5"/>
  <c r="L51" i="5"/>
  <c r="L58" i="5"/>
  <c r="O62" i="9"/>
  <c r="J46" i="83"/>
  <c r="J30" i="83"/>
  <c r="J36" i="83"/>
  <c r="J19" i="83"/>
  <c r="K198" i="83"/>
  <c r="H46" i="83"/>
  <c r="H19" i="83"/>
  <c r="H30" i="83"/>
  <c r="H36" i="83"/>
  <c r="AF62" i="9"/>
  <c r="AC51" i="5"/>
  <c r="AC58" i="5"/>
  <c r="AC55" i="5"/>
  <c r="I145" i="1"/>
  <c r="T147" i="3"/>
  <c r="D145" i="8"/>
  <c r="CT11" i="6"/>
  <c r="E150" i="3"/>
  <c r="K128" i="67"/>
  <c r="K94" i="67"/>
  <c r="L127" i="67"/>
  <c r="U65" i="11"/>
  <c r="FH57" i="11"/>
  <c r="FH35" i="11"/>
  <c r="FO57" i="11"/>
  <c r="FO35" i="11"/>
  <c r="G81" i="83"/>
  <c r="G64" i="83"/>
  <c r="FK41" i="11"/>
  <c r="FK42" i="11"/>
  <c r="FK68" i="11"/>
  <c r="FL7" i="11"/>
  <c r="G96" i="67"/>
  <c r="H130" i="67" s="1"/>
  <c r="H129" i="67"/>
  <c r="FF57" i="11"/>
  <c r="FF35" i="11"/>
  <c r="N139" i="83"/>
  <c r="N132" i="83"/>
  <c r="E90" i="83"/>
  <c r="E83" i="83"/>
  <c r="H182" i="1"/>
  <c r="M182" i="1" s="1"/>
  <c r="I162" i="1"/>
  <c r="G142" i="83"/>
  <c r="G132" i="83"/>
  <c r="S55" i="5"/>
  <c r="S51" i="5"/>
  <c r="S58" i="5"/>
  <c r="V62" i="9"/>
  <c r="J64" i="83"/>
  <c r="J81" i="83"/>
  <c r="DE13" i="1"/>
  <c r="CH13" i="6" s="1"/>
  <c r="CH19" i="6" s="1"/>
  <c r="CH25" i="6" s="1"/>
  <c r="CH31" i="6" s="1"/>
  <c r="CH37" i="6" s="1"/>
  <c r="CH43" i="6" s="1"/>
  <c r="DD33" i="1"/>
  <c r="EF10" i="11"/>
  <c r="R115" i="83"/>
  <c r="R164" i="83"/>
  <c r="R66" i="83"/>
  <c r="I113" i="83"/>
  <c r="I130" i="83"/>
  <c r="F142" i="83"/>
  <c r="F132" i="83"/>
  <c r="K182" i="83"/>
  <c r="K162" i="83"/>
  <c r="O38" i="11"/>
  <c r="X62" i="9"/>
  <c r="U55" i="5"/>
  <c r="U51" i="5"/>
  <c r="U58" i="5"/>
  <c r="N38" i="11"/>
  <c r="H165" i="1"/>
  <c r="I160" i="1"/>
  <c r="H180" i="1"/>
  <c r="M180" i="1" s="1"/>
  <c r="S65" i="11"/>
  <c r="EZ57" i="11"/>
  <c r="EZ35" i="11"/>
  <c r="P62" i="9"/>
  <c r="M58" i="5"/>
  <c r="M51" i="5"/>
  <c r="M55" i="5"/>
  <c r="P17" i="67"/>
  <c r="P50" i="67"/>
  <c r="E139" i="83"/>
  <c r="E132" i="83"/>
  <c r="I130" i="67"/>
  <c r="I132" i="67" s="1"/>
  <c r="I96" i="67"/>
  <c r="N55" i="5"/>
  <c r="Q62" i="9"/>
  <c r="N51" i="5"/>
  <c r="N58" i="5"/>
  <c r="E198" i="83"/>
  <c r="E191" i="83"/>
  <c r="FL57" i="11"/>
  <c r="FL35" i="11"/>
  <c r="EX57" i="11"/>
  <c r="EX35" i="11"/>
  <c r="P38" i="11"/>
  <c r="J182" i="83"/>
  <c r="J162" i="83"/>
  <c r="L184" i="1"/>
  <c r="Q184" i="1" s="1"/>
  <c r="M164" i="1"/>
  <c r="F127" i="67"/>
  <c r="F93" i="67"/>
  <c r="G126" i="67"/>
  <c r="R55" i="5"/>
  <c r="U62" i="9"/>
  <c r="R51" i="5"/>
  <c r="R58" i="5"/>
  <c r="AD62" i="9"/>
  <c r="AA51" i="5"/>
  <c r="AA55" i="5"/>
  <c r="AA58" i="5"/>
  <c r="W62" i="9"/>
  <c r="T55" i="5"/>
  <c r="T58" i="5"/>
  <c r="T51" i="5"/>
  <c r="L209" i="83"/>
  <c r="L208" i="83" s="1"/>
  <c r="L196" i="83" s="1"/>
  <c r="L152" i="83" s="1"/>
  <c r="E125" i="1"/>
  <c r="E126" i="1"/>
  <c r="I37" i="11"/>
  <c r="N65" i="11" s="1"/>
  <c r="J198" i="83"/>
  <c r="J83" i="83"/>
  <c r="AD148" i="3"/>
  <c r="AF148" i="3" s="1"/>
  <c r="AB149" i="3"/>
  <c r="AD149" i="3" s="1"/>
  <c r="M130" i="83"/>
  <c r="M185" i="83" s="1"/>
  <c r="M113" i="83"/>
  <c r="O55" i="5"/>
  <c r="O51" i="5"/>
  <c r="R62" i="9"/>
  <c r="O58" i="5"/>
  <c r="C130" i="83"/>
  <c r="C113" i="83"/>
  <c r="M209" i="83"/>
  <c r="M208" i="83" s="1"/>
  <c r="M196" i="83" s="1"/>
  <c r="E64" i="83"/>
  <c r="E81" i="83"/>
  <c r="D130" i="83"/>
  <c r="D113" i="83"/>
  <c r="G162" i="83"/>
  <c r="G182" i="83"/>
  <c r="X55" i="5"/>
  <c r="AA62" i="9"/>
  <c r="X58" i="5"/>
  <c r="X51" i="5"/>
  <c r="J142" i="83"/>
  <c r="J132" i="83"/>
  <c r="F81" i="83"/>
  <c r="F64" i="83"/>
  <c r="G36" i="83"/>
  <c r="G46" i="83"/>
  <c r="G19" i="83"/>
  <c r="G30" i="83"/>
  <c r="H164" i="1"/>
  <c r="N164" i="1" s="1"/>
  <c r="H174" i="1"/>
  <c r="M174" i="1" s="1"/>
  <c r="I144" i="1"/>
  <c r="M171" i="1"/>
  <c r="P51" i="5"/>
  <c r="P55" i="5"/>
  <c r="S62" i="9"/>
  <c r="P58" i="5"/>
  <c r="AB55" i="5"/>
  <c r="AB51" i="5"/>
  <c r="AE62" i="9"/>
  <c r="AB58" i="5"/>
  <c r="L139" i="83"/>
  <c r="E130" i="83"/>
  <c r="E113" i="83"/>
  <c r="EU57" i="11"/>
  <c r="EU35" i="11"/>
  <c r="D161" i="1"/>
  <c r="J161" i="1" s="1"/>
  <c r="E141" i="1"/>
  <c r="D171" i="1"/>
  <c r="D37" i="11" s="1"/>
  <c r="D90" i="83"/>
  <c r="D83" i="83"/>
  <c r="AI62" i="9"/>
  <c r="AF58" i="5"/>
  <c r="AF51" i="5"/>
  <c r="AF55" i="5"/>
  <c r="I64" i="83"/>
  <c r="I81" i="83"/>
  <c r="N130" i="83"/>
  <c r="N113" i="83"/>
  <c r="FE57" i="11"/>
  <c r="FE35" i="11"/>
  <c r="J130" i="67"/>
  <c r="J96" i="67"/>
  <c r="J142" i="1"/>
  <c r="C36" i="83"/>
  <c r="C19" i="83"/>
  <c r="C30" i="83"/>
  <c r="D139" i="83"/>
  <c r="D132" i="83"/>
  <c r="N145" i="1"/>
  <c r="G130" i="83"/>
  <c r="G113" i="83"/>
  <c r="H90" i="83"/>
  <c r="E162" i="83"/>
  <c r="E182" i="83"/>
  <c r="D198" i="83"/>
  <c r="D191" i="83"/>
  <c r="FN57" i="11"/>
  <c r="FN35" i="11"/>
  <c r="AK56" i="4"/>
  <c r="EV57" i="11"/>
  <c r="EV35" i="11"/>
  <c r="AI55" i="5"/>
  <c r="AL62" i="9"/>
  <c r="AI51" i="5"/>
  <c r="AI58" i="5"/>
  <c r="N161" i="1"/>
  <c r="F198" i="83"/>
  <c r="FA57" i="11"/>
  <c r="FA35" i="11"/>
  <c r="G191" i="83"/>
  <c r="H183" i="1"/>
  <c r="I163" i="1"/>
  <c r="H166" i="1"/>
  <c r="N166" i="1" s="1"/>
  <c r="K113" i="83"/>
  <c r="K130" i="83"/>
  <c r="V94" i="67"/>
  <c r="U129" i="67"/>
  <c r="F113" i="83"/>
  <c r="F130" i="83"/>
  <c r="N127" i="67"/>
  <c r="N93" i="67"/>
  <c r="O126" i="67"/>
  <c r="FI57" i="11"/>
  <c r="FI35" i="11"/>
  <c r="FU70" i="11"/>
  <c r="AL55" i="4"/>
  <c r="AL56" i="4" s="1"/>
  <c r="AM52" i="4"/>
  <c r="AM54" i="4" s="1"/>
  <c r="AN52" i="4" s="1"/>
  <c r="AN54" i="4" s="1"/>
  <c r="FW70" i="11" s="1"/>
  <c r="J140" i="1"/>
  <c r="K37" i="11"/>
  <c r="K132" i="83"/>
  <c r="K142" i="83"/>
  <c r="F139" i="83"/>
  <c r="FS74" i="11"/>
  <c r="AJ21" i="4"/>
  <c r="AG55" i="5"/>
  <c r="AG51" i="5"/>
  <c r="AJ62" i="9"/>
  <c r="AG58" i="5"/>
  <c r="H182" i="83"/>
  <c r="H162" i="83"/>
  <c r="I46" i="83"/>
  <c r="I36" i="83"/>
  <c r="I19" i="83"/>
  <c r="I30" i="83"/>
  <c r="M166" i="1"/>
  <c r="M142" i="83"/>
  <c r="L132" i="83"/>
  <c r="L142" i="83"/>
  <c r="Q55" i="5"/>
  <c r="Q51" i="5"/>
  <c r="T62" i="9"/>
  <c r="Q58" i="5"/>
  <c r="J55" i="5"/>
  <c r="J51" i="5"/>
  <c r="M62" i="9"/>
  <c r="J58" i="5"/>
  <c r="M165" i="1"/>
  <c r="R47" i="67"/>
  <c r="R48" i="67" s="1"/>
  <c r="R51" i="67"/>
  <c r="M132" i="83"/>
  <c r="M139" i="83"/>
  <c r="C162" i="83"/>
  <c r="C182" i="83"/>
  <c r="J37" i="11"/>
  <c r="O65" i="11" s="1"/>
  <c r="M173" i="1"/>
  <c r="P160" i="83"/>
  <c r="P44" i="83"/>
  <c r="DY57" i="11"/>
  <c r="DY35" i="11"/>
  <c r="L130" i="83"/>
  <c r="L185" i="83" s="1"/>
  <c r="L113" i="83"/>
  <c r="E19" i="83"/>
  <c r="E46" i="83"/>
  <c r="E30" i="83"/>
  <c r="E36" i="83"/>
  <c r="Y51" i="5"/>
  <c r="Y55" i="5"/>
  <c r="AB62" i="9"/>
  <c r="Y58" i="5"/>
  <c r="R164" i="1"/>
  <c r="N46" i="83"/>
  <c r="N19" i="83"/>
  <c r="N30" i="83"/>
  <c r="N36" i="83"/>
  <c r="G139" i="83"/>
  <c r="K64" i="83"/>
  <c r="L94" i="83" s="1"/>
  <c r="K81" i="83"/>
  <c r="D46" i="83"/>
  <c r="D19" i="83"/>
  <c r="D36" i="83"/>
  <c r="D30" i="83"/>
  <c r="Q174" i="1"/>
  <c r="F46" i="83"/>
  <c r="F36" i="83"/>
  <c r="F19" i="83"/>
  <c r="F30" i="83"/>
  <c r="I146" i="1"/>
  <c r="K139" i="83"/>
  <c r="K55" i="5"/>
  <c r="N62" i="9"/>
  <c r="K58" i="5"/>
  <c r="K51" i="5"/>
  <c r="FG57" i="11"/>
  <c r="FG35" i="11"/>
  <c r="W51" i="5"/>
  <c r="W58" i="5"/>
  <c r="W55" i="5"/>
  <c r="Z62" i="9"/>
  <c r="ET57" i="11"/>
  <c r="ET35" i="11"/>
  <c r="W127" i="67"/>
  <c r="X92" i="67"/>
  <c r="FR58" i="11"/>
  <c r="FR66" i="11"/>
  <c r="L183" i="83"/>
  <c r="L182" i="83" s="1"/>
  <c r="D81" i="83"/>
  <c r="D64" i="83"/>
  <c r="L96" i="67"/>
  <c r="V51" i="5"/>
  <c r="Y62" i="9"/>
  <c r="V55" i="5"/>
  <c r="V58" i="5"/>
  <c r="H139" i="83"/>
  <c r="J129" i="67"/>
  <c r="AH55" i="5"/>
  <c r="AK62" i="9"/>
  <c r="AH58" i="5"/>
  <c r="AH51" i="5"/>
  <c r="EA57" i="11"/>
  <c r="EA35" i="11"/>
  <c r="H81" i="83"/>
  <c r="H64" i="83"/>
  <c r="H142" i="83"/>
  <c r="H132" i="83"/>
  <c r="K90" i="83"/>
  <c r="DX57" i="11"/>
  <c r="DX35" i="11"/>
  <c r="FC57" i="11"/>
  <c r="FC35" i="11"/>
  <c r="M46" i="83"/>
  <c r="M19" i="83"/>
  <c r="M36" i="83"/>
  <c r="M30" i="83"/>
  <c r="K46" i="83"/>
  <c r="K30" i="83"/>
  <c r="K36" i="83"/>
  <c r="K19" i="83"/>
  <c r="FP57" i="11"/>
  <c r="FP35" i="11"/>
  <c r="Y125" i="67"/>
  <c r="D182" i="83"/>
  <c r="D162" i="83"/>
  <c r="Z51" i="5"/>
  <c r="Z55" i="5"/>
  <c r="AC62" i="9"/>
  <c r="Z58" i="5"/>
  <c r="F90" i="83"/>
  <c r="F162" i="83"/>
  <c r="F182" i="83"/>
  <c r="H37" i="11"/>
  <c r="G140" i="67"/>
  <c r="AE51" i="5"/>
  <c r="AH62" i="9"/>
  <c r="AE55" i="5"/>
  <c r="AE58" i="5"/>
  <c r="P175" i="83"/>
  <c r="AM37" i="10"/>
  <c r="DI63" i="1" l="1"/>
  <c r="DI43" i="1"/>
  <c r="EP40" i="11"/>
  <c r="D274" i="54"/>
  <c r="C275" i="54"/>
  <c r="EP41" i="11"/>
  <c r="EO41" i="11"/>
  <c r="EO40" i="11"/>
  <c r="T115" i="83"/>
  <c r="T164" i="83"/>
  <c r="T66" i="83"/>
  <c r="AT37" i="5"/>
  <c r="AP38" i="5"/>
  <c r="U18" i="83"/>
  <c r="FY25" i="11"/>
  <c r="DH12" i="1"/>
  <c r="M164" i="3"/>
  <c r="C162" i="3"/>
  <c r="R162" i="3" s="1"/>
  <c r="D159" i="8" s="1"/>
  <c r="J145" i="1"/>
  <c r="L153" i="8"/>
  <c r="L160" i="8"/>
  <c r="L72" i="83"/>
  <c r="L74" i="83" s="1"/>
  <c r="L85" i="83"/>
  <c r="M94" i="83"/>
  <c r="M78" i="83"/>
  <c r="M96" i="83" s="1"/>
  <c r="M84" i="83"/>
  <c r="M67" i="83"/>
  <c r="N67" i="83"/>
  <c r="N94" i="83"/>
  <c r="N78" i="83"/>
  <c r="N84" i="83"/>
  <c r="E157" i="3"/>
  <c r="D152" i="8"/>
  <c r="DI60" i="1"/>
  <c r="DI40" i="1"/>
  <c r="DJ40" i="1" s="1"/>
  <c r="EH10" i="11"/>
  <c r="AD152" i="3"/>
  <c r="F270" i="54"/>
  <c r="Z154" i="3"/>
  <c r="AB152" i="8" s="1"/>
  <c r="AB153" i="3"/>
  <c r="AD153" i="3" s="1"/>
  <c r="AF153" i="3" s="1"/>
  <c r="EI83" i="11"/>
  <c r="EK10" i="11"/>
  <c r="EK12" i="11" s="1"/>
  <c r="AO30" i="5"/>
  <c r="AP30" i="5" s="1"/>
  <c r="AO52" i="4"/>
  <c r="AO54" i="4" s="1"/>
  <c r="AN55" i="4"/>
  <c r="L144" i="8"/>
  <c r="L145" i="8"/>
  <c r="DI10" i="1"/>
  <c r="EH17" i="11"/>
  <c r="EK17" i="11"/>
  <c r="DI13" i="1"/>
  <c r="DH33" i="1"/>
  <c r="AM153" i="8" s="1"/>
  <c r="V152" i="3"/>
  <c r="AI152" i="3"/>
  <c r="AK152" i="3" s="1"/>
  <c r="AM152" i="3" s="1"/>
  <c r="T154" i="3"/>
  <c r="V155" i="3"/>
  <c r="AI155" i="3"/>
  <c r="I173" i="1"/>
  <c r="I170" i="1"/>
  <c r="DD16" i="1"/>
  <c r="DE16" i="1" s="1"/>
  <c r="I172" i="1"/>
  <c r="H65" i="11"/>
  <c r="D48" i="83"/>
  <c r="K65" i="11"/>
  <c r="M65" i="11"/>
  <c r="F48" i="83"/>
  <c r="I48" i="83"/>
  <c r="K48" i="83"/>
  <c r="G48" i="83"/>
  <c r="P65" i="11"/>
  <c r="T154" i="67"/>
  <c r="FE37" i="11"/>
  <c r="V59" i="5"/>
  <c r="D133" i="83"/>
  <c r="D116" i="83"/>
  <c r="D143" i="83"/>
  <c r="D127" i="83"/>
  <c r="EF61" i="11"/>
  <c r="EF12" i="11"/>
  <c r="N8" i="10"/>
  <c r="L56" i="5"/>
  <c r="L61" i="5"/>
  <c r="S51" i="67"/>
  <c r="S47" i="67"/>
  <c r="S48" i="67" s="1"/>
  <c r="D180" i="1"/>
  <c r="C38" i="11" s="1"/>
  <c r="E160" i="1"/>
  <c r="D165" i="1"/>
  <c r="E165" i="1" s="1"/>
  <c r="FR57" i="11"/>
  <c r="FR35" i="11"/>
  <c r="X8" i="10"/>
  <c r="X13" i="10" s="1"/>
  <c r="V56" i="5"/>
  <c r="V61" i="5"/>
  <c r="ES37" i="11"/>
  <c r="J59" i="5"/>
  <c r="G24" i="83"/>
  <c r="G26" i="83" s="1"/>
  <c r="G37" i="83"/>
  <c r="FA37" i="11"/>
  <c r="R59" i="5"/>
  <c r="N59" i="5"/>
  <c r="EW37" i="11"/>
  <c r="S59" i="5"/>
  <c r="FB37" i="11"/>
  <c r="FH37" i="11"/>
  <c r="Y59" i="5"/>
  <c r="C165" i="83"/>
  <c r="C192" i="83"/>
  <c r="C179" i="83"/>
  <c r="K38" i="11"/>
  <c r="I67" i="83"/>
  <c r="I78" i="83"/>
  <c r="I94" i="83"/>
  <c r="I84" i="83"/>
  <c r="P153" i="67"/>
  <c r="P26" i="67"/>
  <c r="DE33" i="1"/>
  <c r="AM146" i="8"/>
  <c r="AD56" i="5"/>
  <c r="AD61" i="5"/>
  <c r="AF8" i="10"/>
  <c r="H133" i="83"/>
  <c r="H143" i="83"/>
  <c r="H116" i="83"/>
  <c r="H127" i="83"/>
  <c r="S154" i="67"/>
  <c r="J143" i="83"/>
  <c r="J133" i="83"/>
  <c r="J116" i="83"/>
  <c r="J127" i="83"/>
  <c r="AI61" i="5"/>
  <c r="AI56" i="5"/>
  <c r="AK8" i="10"/>
  <c r="AF56" i="5"/>
  <c r="AF61" i="5"/>
  <c r="AH8" i="10"/>
  <c r="E161" i="1"/>
  <c r="D181" i="1"/>
  <c r="D38" i="11" s="1"/>
  <c r="FG37" i="11"/>
  <c r="X59" i="5"/>
  <c r="E67" i="83"/>
  <c r="E94" i="83"/>
  <c r="E78" i="83"/>
  <c r="E84" i="83"/>
  <c r="O61" i="5"/>
  <c r="O56" i="5"/>
  <c r="Q8" i="10"/>
  <c r="V8" i="10"/>
  <c r="V13" i="10" s="1"/>
  <c r="T56" i="5"/>
  <c r="T61" i="5"/>
  <c r="J165" i="83"/>
  <c r="J192" i="83"/>
  <c r="J205" i="83"/>
  <c r="J179" i="83"/>
  <c r="M56" i="5"/>
  <c r="O8" i="10"/>
  <c r="M61" i="5"/>
  <c r="H38" i="11"/>
  <c r="U56" i="5"/>
  <c r="W8" i="10"/>
  <c r="W13" i="10" s="1"/>
  <c r="U61" i="5"/>
  <c r="S61" i="5"/>
  <c r="U8" i="10"/>
  <c r="U13" i="10" s="1"/>
  <c r="S56" i="5"/>
  <c r="H132" i="67"/>
  <c r="J48" i="83"/>
  <c r="M130" i="67"/>
  <c r="M132" i="67" s="1"/>
  <c r="M96" i="67"/>
  <c r="M24" i="83"/>
  <c r="M26" i="83" s="1"/>
  <c r="M37" i="83"/>
  <c r="Y56" i="5"/>
  <c r="AA8" i="10"/>
  <c r="Y61" i="5"/>
  <c r="L8" i="10"/>
  <c r="J56" i="5"/>
  <c r="J61" i="5"/>
  <c r="AB56" i="5"/>
  <c r="AB61" i="5"/>
  <c r="AD8" i="10"/>
  <c r="F84" i="83"/>
  <c r="F94" i="83"/>
  <c r="F78" i="83"/>
  <c r="F67" i="83"/>
  <c r="R56" i="5"/>
  <c r="T8" i="10"/>
  <c r="T13" i="10" s="1"/>
  <c r="R61" i="5"/>
  <c r="N56" i="5"/>
  <c r="P8" i="10"/>
  <c r="N61" i="5"/>
  <c r="EW38" i="11" s="1"/>
  <c r="I143" i="83"/>
  <c r="I127" i="83"/>
  <c r="I116" i="83"/>
  <c r="I133" i="83"/>
  <c r="F146" i="8"/>
  <c r="EF14" i="11"/>
  <c r="K129" i="67"/>
  <c r="K95" i="67"/>
  <c r="L128" i="67"/>
  <c r="AC61" i="5"/>
  <c r="AE8" i="10"/>
  <c r="AC56" i="5"/>
  <c r="H48" i="83"/>
  <c r="E50" i="67"/>
  <c r="E17" i="67"/>
  <c r="I192" i="83"/>
  <c r="I179" i="83"/>
  <c r="I165" i="83"/>
  <c r="I205" i="83"/>
  <c r="U130" i="67"/>
  <c r="U132" i="67" s="1"/>
  <c r="V95" i="67"/>
  <c r="D24" i="83"/>
  <c r="D26" i="83" s="1"/>
  <c r="D37" i="83"/>
  <c r="S8" i="10"/>
  <c r="S13" i="10" s="1"/>
  <c r="Q61" i="5"/>
  <c r="Q56" i="5"/>
  <c r="F116" i="83"/>
  <c r="F133" i="83"/>
  <c r="F143" i="83"/>
  <c r="F127" i="83"/>
  <c r="AI59" i="5"/>
  <c r="FR37" i="11"/>
  <c r="N185" i="83"/>
  <c r="EX37" i="11"/>
  <c r="O59" i="5"/>
  <c r="M116" i="83"/>
  <c r="M133" i="83"/>
  <c r="M143" i="83"/>
  <c r="M127" i="83"/>
  <c r="C126" i="67"/>
  <c r="C92" i="67"/>
  <c r="D125" i="67"/>
  <c r="E24" i="83"/>
  <c r="E26" i="83" s="1"/>
  <c r="E37" i="83"/>
  <c r="AB59" i="5"/>
  <c r="FK37" i="11"/>
  <c r="P47" i="67"/>
  <c r="Q51" i="67"/>
  <c r="DF63" i="1"/>
  <c r="DD53" i="1"/>
  <c r="DE53" i="1" s="1"/>
  <c r="EF17" i="11"/>
  <c r="G94" i="83"/>
  <c r="G78" i="83"/>
  <c r="G67" i="83"/>
  <c r="G84" i="83"/>
  <c r="V147" i="3"/>
  <c r="AI147" i="3"/>
  <c r="AK147" i="3" s="1"/>
  <c r="J24" i="83"/>
  <c r="J26" i="83" s="1"/>
  <c r="J37" i="83"/>
  <c r="V146" i="3"/>
  <c r="AI146" i="3"/>
  <c r="M48" i="83"/>
  <c r="F24" i="83"/>
  <c r="F26" i="83" s="1"/>
  <c r="F37" i="83"/>
  <c r="C67" i="83"/>
  <c r="C84" i="83"/>
  <c r="C78" i="83"/>
  <c r="I38" i="11"/>
  <c r="AB8" i="10"/>
  <c r="Z56" i="5"/>
  <c r="Z61" i="5"/>
  <c r="ET37" i="11"/>
  <c r="K59" i="5"/>
  <c r="K94" i="83"/>
  <c r="K84" i="83"/>
  <c r="K78" i="83"/>
  <c r="L96" i="83" s="1"/>
  <c r="K67" i="83"/>
  <c r="I24" i="83"/>
  <c r="I26" i="83" s="1"/>
  <c r="I37" i="83"/>
  <c r="W56" i="5"/>
  <c r="W61" i="5"/>
  <c r="Y8" i="10"/>
  <c r="Y13" i="10" s="1"/>
  <c r="N128" i="67"/>
  <c r="N94" i="67"/>
  <c r="O127" i="67"/>
  <c r="C24" i="83"/>
  <c r="C26" i="83" s="1"/>
  <c r="C37" i="83"/>
  <c r="FO37" i="11"/>
  <c r="AF59" i="5"/>
  <c r="X56" i="5"/>
  <c r="Z8" i="10"/>
  <c r="Z13" i="10" s="1"/>
  <c r="X61" i="5"/>
  <c r="AA59" i="5"/>
  <c r="FJ37" i="11"/>
  <c r="EV37" i="11"/>
  <c r="M59" i="5"/>
  <c r="I165" i="1"/>
  <c r="FL42" i="11"/>
  <c r="FM7" i="11"/>
  <c r="FL41" i="11"/>
  <c r="FL68" i="11"/>
  <c r="FL37" i="11"/>
  <c r="AC59" i="5"/>
  <c r="T17" i="67"/>
  <c r="T50" i="67"/>
  <c r="W59" i="5"/>
  <c r="FF37" i="11"/>
  <c r="N48" i="83"/>
  <c r="L116" i="83"/>
  <c r="L143" i="83"/>
  <c r="L127" i="83"/>
  <c r="L133" i="83"/>
  <c r="H192" i="83"/>
  <c r="H179" i="83"/>
  <c r="H165" i="83"/>
  <c r="H205" i="83"/>
  <c r="AG56" i="5"/>
  <c r="AI8" i="10"/>
  <c r="AG61" i="5"/>
  <c r="AM55" i="4"/>
  <c r="AM56" i="4" s="1"/>
  <c r="FV70" i="11"/>
  <c r="K143" i="83"/>
  <c r="K116" i="83"/>
  <c r="K127" i="83"/>
  <c r="K133" i="83"/>
  <c r="AK58" i="4"/>
  <c r="AK59" i="4" s="1"/>
  <c r="AK61" i="4"/>
  <c r="E116" i="83"/>
  <c r="E133" i="83"/>
  <c r="E143" i="83"/>
  <c r="E127" i="83"/>
  <c r="C133" i="83"/>
  <c r="C116" i="83"/>
  <c r="C127" i="83"/>
  <c r="I65" i="11"/>
  <c r="AC8" i="10"/>
  <c r="AA56" i="5"/>
  <c r="AA61" i="5"/>
  <c r="F128" i="67"/>
  <c r="F94" i="67"/>
  <c r="G127" i="67"/>
  <c r="M183" i="1"/>
  <c r="I17" i="67"/>
  <c r="I50" i="67"/>
  <c r="J160" i="1"/>
  <c r="L59" i="5"/>
  <c r="EU37" i="11"/>
  <c r="S155" i="67"/>
  <c r="T155" i="67"/>
  <c r="DD31" i="1"/>
  <c r="DD15" i="1"/>
  <c r="DE15" i="1" s="1"/>
  <c r="DF15" i="1"/>
  <c r="DE11" i="1"/>
  <c r="CH11" i="6" s="1"/>
  <c r="CH17" i="6" s="1"/>
  <c r="CH23" i="6" s="1"/>
  <c r="CH29" i="6" s="1"/>
  <c r="CH35" i="6" s="1"/>
  <c r="CH41" i="6" s="1"/>
  <c r="ED10" i="11"/>
  <c r="U154" i="67"/>
  <c r="L154" i="83"/>
  <c r="L198" i="83" s="1"/>
  <c r="M152" i="83"/>
  <c r="L158" i="83"/>
  <c r="L156" i="83" s="1"/>
  <c r="L159" i="83"/>
  <c r="J38" i="11"/>
  <c r="FI37" i="11"/>
  <c r="Z59" i="5"/>
  <c r="J132" i="67"/>
  <c r="P61" i="5"/>
  <c r="R8" i="10"/>
  <c r="P56" i="5"/>
  <c r="U59" i="5"/>
  <c r="FD37" i="11"/>
  <c r="L48" i="83"/>
  <c r="H140" i="67"/>
  <c r="V129" i="67"/>
  <c r="W94" i="67"/>
  <c r="FC37" i="11"/>
  <c r="T59" i="5"/>
  <c r="FP37" i="11"/>
  <c r="AG59" i="5"/>
  <c r="FQ37" i="11"/>
  <c r="AH59" i="5"/>
  <c r="Y92" i="67"/>
  <c r="Y127" i="67" s="1"/>
  <c r="X127" i="67"/>
  <c r="K61" i="5"/>
  <c r="K56" i="5"/>
  <c r="M8" i="10"/>
  <c r="Q59" i="5"/>
  <c r="EZ37" i="11"/>
  <c r="E205" i="83"/>
  <c r="E192" i="83"/>
  <c r="E179" i="83"/>
  <c r="E165" i="83"/>
  <c r="H24" i="83"/>
  <c r="H26" i="83" s="1"/>
  <c r="H37" i="83"/>
  <c r="Y126" i="67"/>
  <c r="D183" i="1"/>
  <c r="F38" i="11" s="1"/>
  <c r="D166" i="1"/>
  <c r="E166" i="1" s="1"/>
  <c r="E163" i="1"/>
  <c r="E144" i="1"/>
  <c r="D174" i="1"/>
  <c r="I174" i="1" s="1"/>
  <c r="D164" i="1"/>
  <c r="E162" i="1"/>
  <c r="D182" i="1"/>
  <c r="E38" i="11" s="1"/>
  <c r="FN37" i="11"/>
  <c r="AE59" i="5"/>
  <c r="K24" i="83"/>
  <c r="K26" i="83" s="1"/>
  <c r="K37" i="83"/>
  <c r="H78" i="83"/>
  <c r="H94" i="83"/>
  <c r="H84" i="83"/>
  <c r="H67" i="83"/>
  <c r="D78" i="83"/>
  <c r="D67" i="83"/>
  <c r="D94" i="83"/>
  <c r="D84" i="83"/>
  <c r="AE56" i="5"/>
  <c r="AG8" i="10"/>
  <c r="AE61" i="5"/>
  <c r="F165" i="83"/>
  <c r="F205" i="83"/>
  <c r="F192" i="83"/>
  <c r="F179" i="83"/>
  <c r="D165" i="83"/>
  <c r="D192" i="83"/>
  <c r="D205" i="83"/>
  <c r="D179" i="83"/>
  <c r="AJ8" i="10"/>
  <c r="AH61" i="5"/>
  <c r="AH56" i="5"/>
  <c r="J146" i="1"/>
  <c r="N24" i="83"/>
  <c r="N26" i="83" s="1"/>
  <c r="N37" i="83"/>
  <c r="E48" i="83"/>
  <c r="N165" i="1"/>
  <c r="I166" i="1"/>
  <c r="G133" i="83"/>
  <c r="G127" i="83"/>
  <c r="G143" i="83"/>
  <c r="G116" i="83"/>
  <c r="N116" i="83"/>
  <c r="N133" i="83"/>
  <c r="N143" i="83"/>
  <c r="N127" i="83"/>
  <c r="EY37" i="11"/>
  <c r="P59" i="5"/>
  <c r="I164" i="1"/>
  <c r="J164" i="1"/>
  <c r="H184" i="1"/>
  <c r="M184" i="1" s="1"/>
  <c r="G192" i="83"/>
  <c r="G179" i="83"/>
  <c r="G165" i="83"/>
  <c r="G205" i="83"/>
  <c r="I171" i="1"/>
  <c r="K192" i="83"/>
  <c r="K179" i="83"/>
  <c r="K205" i="83"/>
  <c r="K165" i="83"/>
  <c r="J67" i="83"/>
  <c r="J78" i="83"/>
  <c r="J94" i="83"/>
  <c r="J84" i="83"/>
  <c r="DE12" i="1"/>
  <c r="DD46" i="1"/>
  <c r="DD32" i="1"/>
  <c r="DD66" i="1"/>
  <c r="EE10" i="11"/>
  <c r="AD59" i="5"/>
  <c r="FM37" i="11"/>
  <c r="W128" i="67"/>
  <c r="X93" i="67"/>
  <c r="L24" i="83"/>
  <c r="L26" i="83" s="1"/>
  <c r="L37" i="83"/>
  <c r="S156" i="67"/>
  <c r="S26" i="67"/>
  <c r="D147" i="8"/>
  <c r="C149" i="3"/>
  <c r="DD14" i="1"/>
  <c r="T149" i="3"/>
  <c r="V149" i="3" s="1"/>
  <c r="X149" i="3" s="1"/>
  <c r="J65" i="11"/>
  <c r="P174" i="83"/>
  <c r="P173" i="83" s="1"/>
  <c r="DN43" i="1" l="1"/>
  <c r="DJ43" i="1"/>
  <c r="DI42" i="1"/>
  <c r="DI62" i="1"/>
  <c r="CL13" i="6"/>
  <c r="CL19" i="6" s="1"/>
  <c r="CL25" i="6" s="1"/>
  <c r="CL31" i="6" s="1"/>
  <c r="CL37" i="6" s="1"/>
  <c r="CL43" i="6" s="1"/>
  <c r="C276" i="54"/>
  <c r="D275" i="54"/>
  <c r="AK72" i="4"/>
  <c r="E274" i="54"/>
  <c r="AL64" i="5"/>
  <c r="FU40" i="11" s="1"/>
  <c r="U164" i="83"/>
  <c r="U115" i="83"/>
  <c r="U66" i="83"/>
  <c r="EJ10" i="11"/>
  <c r="C4" i="85" s="1"/>
  <c r="DL12" i="1"/>
  <c r="T162" i="3"/>
  <c r="X155" i="3"/>
  <c r="X152" i="3"/>
  <c r="DF16" i="1"/>
  <c r="CL10" i="6"/>
  <c r="CL16" i="6" s="1"/>
  <c r="CL22" i="6" s="1"/>
  <c r="CL28" i="6" s="1"/>
  <c r="CL34" i="6" s="1"/>
  <c r="CL40" i="6" s="1"/>
  <c r="FX70" i="11"/>
  <c r="AP52" i="4"/>
  <c r="AP54" i="4" s="1"/>
  <c r="FY70" i="11" s="1"/>
  <c r="L152" i="8"/>
  <c r="L159" i="8"/>
  <c r="N96" i="83"/>
  <c r="AD150" i="8"/>
  <c r="N150" i="8"/>
  <c r="X150" i="8"/>
  <c r="N72" i="83"/>
  <c r="N74" i="83" s="1"/>
  <c r="N85" i="83"/>
  <c r="M72" i="83"/>
  <c r="M74" i="83" s="1"/>
  <c r="M95" i="83" s="1"/>
  <c r="M85" i="83"/>
  <c r="CK11" i="6"/>
  <c r="CJ41" i="6"/>
  <c r="EK14" i="11"/>
  <c r="EK50" i="11" s="1"/>
  <c r="F153" i="8"/>
  <c r="EH51" i="11"/>
  <c r="EH61" i="11"/>
  <c r="C41" i="85" s="1"/>
  <c r="EH14" i="11"/>
  <c r="EH16" i="11" s="1"/>
  <c r="F150" i="8"/>
  <c r="EF16" i="11"/>
  <c r="F271" i="54"/>
  <c r="AK48" i="4"/>
  <c r="AB154" i="3"/>
  <c r="AD154" i="3" s="1"/>
  <c r="EJ83" i="11"/>
  <c r="EK51" i="11"/>
  <c r="EK61" i="11"/>
  <c r="AN56" i="4"/>
  <c r="AO55" i="4"/>
  <c r="AO56" i="4" s="1"/>
  <c r="L147" i="8"/>
  <c r="V154" i="3"/>
  <c r="AI154" i="3"/>
  <c r="DI33" i="1"/>
  <c r="DI12" i="1"/>
  <c r="F152" i="8"/>
  <c r="DH16" i="1"/>
  <c r="DI16" i="1" s="1"/>
  <c r="DH53" i="1"/>
  <c r="EK19" i="11" s="1"/>
  <c r="DJ63" i="1"/>
  <c r="DJ60" i="1"/>
  <c r="EH19" i="11"/>
  <c r="CH12" i="6"/>
  <c r="CH18" i="6" s="1"/>
  <c r="CH24" i="6" s="1"/>
  <c r="CH30" i="6" s="1"/>
  <c r="CH36" i="6" s="1"/>
  <c r="CH42" i="6" s="1"/>
  <c r="X146" i="3"/>
  <c r="AM147" i="3"/>
  <c r="X147" i="3"/>
  <c r="DD83" i="1"/>
  <c r="DE46" i="1"/>
  <c r="DF46" i="1" s="1"/>
  <c r="DP46" i="1" s="1"/>
  <c r="I181" i="1"/>
  <c r="FP65" i="11"/>
  <c r="EY65" i="11"/>
  <c r="G207" i="83"/>
  <c r="H96" i="83"/>
  <c r="K47" i="83"/>
  <c r="F96" i="83"/>
  <c r="D207" i="83"/>
  <c r="N145" i="83"/>
  <c r="FC65" i="11"/>
  <c r="I145" i="83"/>
  <c r="J207" i="83"/>
  <c r="FH65" i="11"/>
  <c r="FI65" i="11"/>
  <c r="FF65" i="11"/>
  <c r="E207" i="83"/>
  <c r="H207" i="83"/>
  <c r="F145" i="83"/>
  <c r="FB65" i="11"/>
  <c r="J145" i="83"/>
  <c r="K145" i="83"/>
  <c r="D47" i="83"/>
  <c r="K207" i="83"/>
  <c r="EU65" i="11"/>
  <c r="F47" i="83"/>
  <c r="J47" i="83"/>
  <c r="EW65" i="11"/>
  <c r="I47" i="83"/>
  <c r="K96" i="83"/>
  <c r="FM65" i="11"/>
  <c r="I96" i="83"/>
  <c r="DD64" i="1"/>
  <c r="DD65" i="1"/>
  <c r="DF61" i="1"/>
  <c r="DD51" i="1"/>
  <c r="DD81" i="1" s="1"/>
  <c r="ED17" i="11"/>
  <c r="ED51" i="11" s="1"/>
  <c r="EF51" i="11"/>
  <c r="E142" i="67"/>
  <c r="E26" i="67"/>
  <c r="FD38" i="11"/>
  <c r="U62" i="5"/>
  <c r="N129" i="67"/>
  <c r="N95" i="67"/>
  <c r="O128" i="67"/>
  <c r="DE66" i="1"/>
  <c r="DF66" i="1"/>
  <c r="M121" i="83"/>
  <c r="M123" i="83" s="1"/>
  <c r="M134" i="83"/>
  <c r="G145" i="83"/>
  <c r="F170" i="83"/>
  <c r="F172" i="83" s="1"/>
  <c r="F193" i="83"/>
  <c r="FN65" i="11"/>
  <c r="C121" i="83"/>
  <c r="C123" i="83" s="1"/>
  <c r="C134" i="83"/>
  <c r="FP38" i="11"/>
  <c r="AG62" i="5"/>
  <c r="T157" i="67"/>
  <c r="T26" i="67"/>
  <c r="U50" i="67"/>
  <c r="U17" i="67"/>
  <c r="I72" i="83"/>
  <c r="I74" i="83" s="1"/>
  <c r="I85" i="83"/>
  <c r="FE38" i="11"/>
  <c r="V62" i="5"/>
  <c r="U156" i="67"/>
  <c r="T156" i="67"/>
  <c r="DD56" i="1"/>
  <c r="EE17" i="11"/>
  <c r="N193" i="83"/>
  <c r="FN38" i="11"/>
  <c r="AE62" i="5"/>
  <c r="H72" i="83"/>
  <c r="H74" i="83" s="1"/>
  <c r="H85" i="83"/>
  <c r="EZ65" i="11"/>
  <c r="I140" i="67"/>
  <c r="I182" i="1"/>
  <c r="AA62" i="5"/>
  <c r="FJ38" i="11"/>
  <c r="AI13" i="10"/>
  <c r="EA72" i="11"/>
  <c r="L145" i="83"/>
  <c r="C72" i="83"/>
  <c r="C74" i="83" s="1"/>
  <c r="C85" i="83"/>
  <c r="AK146" i="3"/>
  <c r="AI149" i="3"/>
  <c r="AK149" i="3" s="1"/>
  <c r="AM149" i="3" s="1"/>
  <c r="EX65" i="11"/>
  <c r="F121" i="83"/>
  <c r="F123" i="83" s="1"/>
  <c r="F134" i="83"/>
  <c r="V154" i="67"/>
  <c r="T145" i="8"/>
  <c r="AJ145" i="8"/>
  <c r="DL72" i="11"/>
  <c r="AD13" i="10"/>
  <c r="J170" i="83"/>
  <c r="J172" i="83" s="1"/>
  <c r="J193" i="83"/>
  <c r="E96" i="83"/>
  <c r="AH13" i="10"/>
  <c r="DZ72" i="11"/>
  <c r="J121" i="83"/>
  <c r="J123" i="83" s="1"/>
  <c r="J134" i="83"/>
  <c r="EF21" i="11"/>
  <c r="D121" i="83"/>
  <c r="D123" i="83" s="1"/>
  <c r="D134" i="83"/>
  <c r="L193" i="83"/>
  <c r="DD82" i="1"/>
  <c r="DE32" i="1"/>
  <c r="AM145" i="8"/>
  <c r="J96" i="83"/>
  <c r="G170" i="83"/>
  <c r="G172" i="83" s="1"/>
  <c r="G193" i="83"/>
  <c r="N47" i="83"/>
  <c r="EY38" i="11"/>
  <c r="P62" i="5"/>
  <c r="L203" i="83"/>
  <c r="L161" i="83"/>
  <c r="L162" i="83" s="1"/>
  <c r="I51" i="67"/>
  <c r="I47" i="67"/>
  <c r="FL65" i="11"/>
  <c r="EV65" i="11"/>
  <c r="K72" i="83"/>
  <c r="K74" i="83" s="1"/>
  <c r="L95" i="83" s="1"/>
  <c r="K85" i="83"/>
  <c r="C127" i="67"/>
  <c r="C93" i="67"/>
  <c r="D126" i="67"/>
  <c r="R62" i="5"/>
  <c r="FA38" i="11"/>
  <c r="AB62" i="5"/>
  <c r="FK38" i="11"/>
  <c r="FH38" i="11"/>
  <c r="Y62" i="5"/>
  <c r="H50" i="67"/>
  <c r="H17" i="67"/>
  <c r="I180" i="1"/>
  <c r="FC38" i="11"/>
  <c r="T62" i="5"/>
  <c r="FO38" i="11"/>
  <c r="AF62" i="5"/>
  <c r="DX72" i="11"/>
  <c r="AF13" i="10"/>
  <c r="DD36" i="1"/>
  <c r="I183" i="1"/>
  <c r="X28" i="10"/>
  <c r="X51" i="10" s="1"/>
  <c r="X40" i="10"/>
  <c r="X44" i="10" s="1"/>
  <c r="E121" i="83"/>
  <c r="E123" i="83" s="1"/>
  <c r="E134" i="83"/>
  <c r="D72" i="83"/>
  <c r="D74" i="83" s="1"/>
  <c r="D85" i="83"/>
  <c r="W129" i="67"/>
  <c r="X94" i="67"/>
  <c r="DD44" i="1"/>
  <c r="DD45" i="1"/>
  <c r="DE45" i="1" s="1"/>
  <c r="DF45" i="1" s="1"/>
  <c r="DP45" i="1" s="1"/>
  <c r="ED14" i="11"/>
  <c r="F144" i="8"/>
  <c r="E47" i="67"/>
  <c r="C170" i="83"/>
  <c r="C172" i="83" s="1"/>
  <c r="C193" i="83"/>
  <c r="ET65" i="11"/>
  <c r="EF53" i="11"/>
  <c r="EE61" i="11"/>
  <c r="EE12" i="11"/>
  <c r="D4" i="85" s="1"/>
  <c r="EC72" i="11"/>
  <c r="AJ13" i="10"/>
  <c r="J165" i="1"/>
  <c r="EF50" i="11"/>
  <c r="L47" i="83"/>
  <c r="EE14" i="11"/>
  <c r="F145" i="8"/>
  <c r="J72" i="83"/>
  <c r="J74" i="83" s="1"/>
  <c r="J85" i="83"/>
  <c r="J166" i="1"/>
  <c r="AG13" i="10"/>
  <c r="DY72" i="11"/>
  <c r="FQ65" i="11"/>
  <c r="J50" i="67"/>
  <c r="J17" i="67"/>
  <c r="U155" i="67"/>
  <c r="I26" i="67"/>
  <c r="I146" i="67"/>
  <c r="AC13" i="10"/>
  <c r="DK72" i="11"/>
  <c r="E145" i="83"/>
  <c r="L121" i="83"/>
  <c r="L123" i="83" s="1"/>
  <c r="L134" i="83"/>
  <c r="FJ65" i="11"/>
  <c r="FO65" i="11"/>
  <c r="Y40" i="10"/>
  <c r="Y44" i="10" s="1"/>
  <c r="Y28" i="10"/>
  <c r="Y51" i="10" s="1"/>
  <c r="DJ72" i="11"/>
  <c r="AB13" i="10"/>
  <c r="G72" i="83"/>
  <c r="G74" i="83" s="1"/>
  <c r="G85" i="83"/>
  <c r="Q48" i="67"/>
  <c r="E47" i="83"/>
  <c r="EZ38" i="11"/>
  <c r="Q62" i="5"/>
  <c r="I170" i="83"/>
  <c r="I172" i="83" s="1"/>
  <c r="I193" i="83"/>
  <c r="DN72" i="11"/>
  <c r="AE13" i="10"/>
  <c r="T28" i="10"/>
  <c r="T51" i="10" s="1"/>
  <c r="T40" i="10"/>
  <c r="T44" i="10" s="1"/>
  <c r="N62" i="5"/>
  <c r="EV38" i="11"/>
  <c r="M62" i="5"/>
  <c r="E72" i="83"/>
  <c r="E74" i="83" s="1"/>
  <c r="E85" i="83"/>
  <c r="AD62" i="5"/>
  <c r="FM38" i="11"/>
  <c r="FA65" i="11"/>
  <c r="X128" i="67"/>
  <c r="Y93" i="67"/>
  <c r="K170" i="83"/>
  <c r="K172" i="83" s="1"/>
  <c r="K193" i="83"/>
  <c r="D170" i="83"/>
  <c r="D172" i="83" s="1"/>
  <c r="D193" i="83"/>
  <c r="D184" i="1"/>
  <c r="I184" i="1" s="1"/>
  <c r="E164" i="1"/>
  <c r="FD65" i="11"/>
  <c r="DE31" i="1"/>
  <c r="DD35" i="1"/>
  <c r="AM144" i="8"/>
  <c r="FF38" i="11"/>
  <c r="W62" i="5"/>
  <c r="G96" i="83"/>
  <c r="M145" i="83"/>
  <c r="FR65" i="11"/>
  <c r="S40" i="10"/>
  <c r="S28" i="10"/>
  <c r="S51" i="10" s="1"/>
  <c r="I207" i="83"/>
  <c r="FL38" i="11"/>
  <c r="AC62" i="5"/>
  <c r="I121" i="83"/>
  <c r="I123" i="83" s="1"/>
  <c r="I134" i="83"/>
  <c r="DI72" i="11"/>
  <c r="AA13" i="10"/>
  <c r="M193" i="83"/>
  <c r="U28" i="10"/>
  <c r="U51" i="10" s="1"/>
  <c r="U40" i="10"/>
  <c r="U44" i="10" s="1"/>
  <c r="V28" i="10"/>
  <c r="V51" i="10" s="1"/>
  <c r="V40" i="10"/>
  <c r="V44" i="10" s="1"/>
  <c r="ED72" i="11"/>
  <c r="AK13" i="10"/>
  <c r="Q153" i="67"/>
  <c r="R153" i="67" s="1"/>
  <c r="EU38" i="11"/>
  <c r="L62" i="5"/>
  <c r="FE65" i="11"/>
  <c r="G121" i="83"/>
  <c r="G123" i="83" s="1"/>
  <c r="G134" i="83"/>
  <c r="F129" i="67"/>
  <c r="F95" i="67"/>
  <c r="G128" i="67"/>
  <c r="Z28" i="10"/>
  <c r="Z51" i="10" s="1"/>
  <c r="Z40" i="10"/>
  <c r="Z44" i="10" s="1"/>
  <c r="K130" i="67"/>
  <c r="K132" i="67" s="1"/>
  <c r="K96" i="67"/>
  <c r="L130" i="67" s="1"/>
  <c r="L129" i="67"/>
  <c r="H121" i="83"/>
  <c r="H123" i="83" s="1"/>
  <c r="H134" i="83"/>
  <c r="K121" i="83"/>
  <c r="K123" i="83" s="1"/>
  <c r="K134" i="83"/>
  <c r="T47" i="67"/>
  <c r="T48" i="67" s="1"/>
  <c r="T51" i="67"/>
  <c r="V130" i="67"/>
  <c r="V132" i="67" s="1"/>
  <c r="W95" i="67"/>
  <c r="W40" i="10"/>
  <c r="W44" i="10" s="1"/>
  <c r="W28" i="10"/>
  <c r="W51" i="10" s="1"/>
  <c r="EX38" i="11"/>
  <c r="O62" i="5"/>
  <c r="FR38" i="11"/>
  <c r="AI62" i="5"/>
  <c r="D145" i="83"/>
  <c r="D96" i="83"/>
  <c r="ED61" i="11"/>
  <c r="ED12" i="11"/>
  <c r="FI38" i="11"/>
  <c r="Z62" i="5"/>
  <c r="DF53" i="1"/>
  <c r="EF19" i="11"/>
  <c r="M50" i="67"/>
  <c r="M17" i="67"/>
  <c r="DD34" i="1"/>
  <c r="DE14" i="1"/>
  <c r="AJ7" i="5"/>
  <c r="N121" i="83"/>
  <c r="N123" i="83" s="1"/>
  <c r="N134" i="83"/>
  <c r="FQ38" i="11"/>
  <c r="AH62" i="5"/>
  <c r="F207" i="83"/>
  <c r="E170" i="83"/>
  <c r="E172" i="83" s="1"/>
  <c r="E193" i="83"/>
  <c r="ET38" i="11"/>
  <c r="K62" i="5"/>
  <c r="M154" i="83"/>
  <c r="M198" i="83" s="1"/>
  <c r="N152" i="83"/>
  <c r="M158" i="83"/>
  <c r="M156" i="83" s="1"/>
  <c r="M159" i="83"/>
  <c r="AJ26" i="4"/>
  <c r="G149" i="3"/>
  <c r="H170" i="83"/>
  <c r="H172" i="83" s="1"/>
  <c r="H193" i="83"/>
  <c r="FM42" i="11"/>
  <c r="FN7" i="11"/>
  <c r="FM68" i="11"/>
  <c r="FM41" i="11"/>
  <c r="X62" i="5"/>
  <c r="FG38" i="11"/>
  <c r="FK65" i="11"/>
  <c r="F72" i="83"/>
  <c r="F74" i="83" s="1"/>
  <c r="F85" i="83"/>
  <c r="ES38" i="11"/>
  <c r="J62" i="5"/>
  <c r="M47" i="83"/>
  <c r="FB38" i="11"/>
  <c r="S62" i="5"/>
  <c r="FG65" i="11"/>
  <c r="H145" i="83"/>
  <c r="H47" i="83"/>
  <c r="G47" i="83"/>
  <c r="P176" i="83"/>
  <c r="DJ42" i="1" l="1"/>
  <c r="DN42" i="1"/>
  <c r="C277" i="54"/>
  <c r="D276" i="54"/>
  <c r="I274" i="54"/>
  <c r="Z160" i="3" s="1"/>
  <c r="F274" i="54"/>
  <c r="E275" i="54"/>
  <c r="EJ61" i="11"/>
  <c r="EJ12" i="11"/>
  <c r="AR7" i="5"/>
  <c r="AI162" i="3"/>
  <c r="V162" i="3"/>
  <c r="X162" i="3" s="1"/>
  <c r="X154" i="3"/>
  <c r="EE16" i="11"/>
  <c r="D6" i="85"/>
  <c r="D8" i="85" s="1"/>
  <c r="D30" i="85" s="1"/>
  <c r="AL146" i="8"/>
  <c r="AP55" i="4"/>
  <c r="AP56" i="4" s="1"/>
  <c r="Z150" i="8"/>
  <c r="AF150" i="8"/>
  <c r="CL12" i="6"/>
  <c r="CL18" i="6" s="1"/>
  <c r="CL24" i="6" s="1"/>
  <c r="CL30" i="6" s="1"/>
  <c r="CL36" i="6" s="1"/>
  <c r="CL42" i="6" s="1"/>
  <c r="F41" i="85"/>
  <c r="D33" i="85"/>
  <c r="N95" i="83"/>
  <c r="CK41" i="6"/>
  <c r="CJ47" i="6"/>
  <c r="EK21" i="11"/>
  <c r="EK52" i="11" s="1"/>
  <c r="EK16" i="11"/>
  <c r="EK23" i="11" s="1"/>
  <c r="EK47" i="11" s="1"/>
  <c r="EK58" i="11" s="1"/>
  <c r="CK12" i="6"/>
  <c r="CJ42" i="6"/>
  <c r="EH21" i="11"/>
  <c r="EH52" i="11" s="1"/>
  <c r="EH50" i="11"/>
  <c r="EH63" i="11"/>
  <c r="C43" i="85" s="1"/>
  <c r="AK154" i="3"/>
  <c r="AM154" i="3" s="1"/>
  <c r="Z155" i="3"/>
  <c r="AB153" i="8" s="1"/>
  <c r="DH46" i="1"/>
  <c r="DI46" i="1" s="1"/>
  <c r="DJ46" i="1" s="1"/>
  <c r="EJ14" i="11"/>
  <c r="C6" i="85" s="1"/>
  <c r="DH66" i="1"/>
  <c r="DJ66" i="1" s="1"/>
  <c r="EJ17" i="11"/>
  <c r="EJ51" i="11" s="1"/>
  <c r="EF23" i="11"/>
  <c r="EK63" i="11"/>
  <c r="DJ53" i="1"/>
  <c r="DI53" i="1"/>
  <c r="DJ50" i="1"/>
  <c r="DJ16" i="1"/>
  <c r="DJ62" i="1"/>
  <c r="DH83" i="1"/>
  <c r="AM146" i="3"/>
  <c r="G206" i="83"/>
  <c r="DF83" i="1"/>
  <c r="DD113" i="1"/>
  <c r="DE83" i="1"/>
  <c r="AF149" i="3"/>
  <c r="O149" i="3"/>
  <c r="ED21" i="11"/>
  <c r="ED52" i="11" s="1"/>
  <c r="ED16" i="11"/>
  <c r="G144" i="83"/>
  <c r="K144" i="83"/>
  <c r="F95" i="83"/>
  <c r="I206" i="83"/>
  <c r="G95" i="83"/>
  <c r="L144" i="83"/>
  <c r="EE21" i="11"/>
  <c r="EE52" i="11" s="1"/>
  <c r="I95" i="83"/>
  <c r="H144" i="83"/>
  <c r="F144" i="83"/>
  <c r="H206" i="83"/>
  <c r="M144" i="83"/>
  <c r="E144" i="83"/>
  <c r="X154" i="67"/>
  <c r="S153" i="67"/>
  <c r="J147" i="67"/>
  <c r="J26" i="67"/>
  <c r="D206" i="83"/>
  <c r="AG40" i="10"/>
  <c r="AG44" i="10" s="1"/>
  <c r="AG28" i="10"/>
  <c r="AG51" i="10" s="1"/>
  <c r="J206" i="83"/>
  <c r="DF82" i="1"/>
  <c r="DD112" i="1"/>
  <c r="DE122" i="1" s="1"/>
  <c r="DE82" i="1"/>
  <c r="AL145" i="8"/>
  <c r="U158" i="67"/>
  <c r="U26" i="67"/>
  <c r="DF64" i="1"/>
  <c r="DE64" i="1"/>
  <c r="AJ25" i="5"/>
  <c r="AJ11" i="4"/>
  <c r="AM59" i="9"/>
  <c r="AJ8" i="5"/>
  <c r="FS10" i="11"/>
  <c r="AJ14" i="5"/>
  <c r="T153" i="67"/>
  <c r="F142" i="67"/>
  <c r="L132" i="67"/>
  <c r="L205" i="83"/>
  <c r="L192" i="83"/>
  <c r="L165" i="83"/>
  <c r="L179" i="83"/>
  <c r="L207" i="83" s="1"/>
  <c r="ED53" i="11"/>
  <c r="V50" i="67"/>
  <c r="V17" i="67"/>
  <c r="Y128" i="67"/>
  <c r="M47" i="67"/>
  <c r="EE53" i="11"/>
  <c r="EF52" i="11"/>
  <c r="H95" i="83"/>
  <c r="DE51" i="1"/>
  <c r="DF51" i="1"/>
  <c r="DD54" i="1"/>
  <c r="DD84" i="1" s="1"/>
  <c r="DD55" i="1"/>
  <c r="DD85" i="1" s="1"/>
  <c r="ED19" i="11"/>
  <c r="Y154" i="67"/>
  <c r="DE44" i="1"/>
  <c r="DF44" i="1" s="1"/>
  <c r="DP44" i="1" s="1"/>
  <c r="AJ17" i="5"/>
  <c r="F147" i="8"/>
  <c r="C128" i="67"/>
  <c r="C94" i="67"/>
  <c r="D127" i="67"/>
  <c r="N144" i="83"/>
  <c r="J51" i="67"/>
  <c r="J47" i="67"/>
  <c r="J48" i="67" s="1"/>
  <c r="I48" i="67"/>
  <c r="J140" i="67"/>
  <c r="AJ9" i="5"/>
  <c r="O43" i="83"/>
  <c r="DE56" i="1"/>
  <c r="DF56" i="1"/>
  <c r="E206" i="83"/>
  <c r="DD111" i="1"/>
  <c r="DE121" i="1" s="1"/>
  <c r="DF81" i="1"/>
  <c r="DE81" i="1"/>
  <c r="AL144" i="8"/>
  <c r="AB40" i="10"/>
  <c r="AB44" i="10" s="1"/>
  <c r="AB28" i="10"/>
  <c r="AB51" i="10" s="1"/>
  <c r="U47" i="67"/>
  <c r="U48" i="67" s="1"/>
  <c r="U51" i="67"/>
  <c r="AC28" i="10"/>
  <c r="AC51" i="10" s="1"/>
  <c r="AC40" i="10"/>
  <c r="AC44" i="10" s="1"/>
  <c r="J95" i="83"/>
  <c r="W154" i="67"/>
  <c r="D95" i="83"/>
  <c r="DE36" i="1"/>
  <c r="DD86" i="1"/>
  <c r="H26" i="67"/>
  <c r="H145" i="67"/>
  <c r="L191" i="83"/>
  <c r="L204" i="83"/>
  <c r="J144" i="83"/>
  <c r="AI28" i="10"/>
  <c r="AI51" i="10" s="1"/>
  <c r="AI40" i="10"/>
  <c r="AI44" i="10" s="1"/>
  <c r="EE51" i="11"/>
  <c r="V156" i="67"/>
  <c r="N130" i="67"/>
  <c r="N132" i="67" s="1"/>
  <c r="N96" i="67"/>
  <c r="O130" i="67" s="1"/>
  <c r="O132" i="67" s="1"/>
  <c r="O129" i="67"/>
  <c r="DE34" i="1"/>
  <c r="AM147" i="8"/>
  <c r="W130" i="67"/>
  <c r="W132" i="67" s="1"/>
  <c r="X95" i="67"/>
  <c r="K17" i="67"/>
  <c r="K50" i="67"/>
  <c r="AK40" i="10"/>
  <c r="AK44" i="10" s="1"/>
  <c r="AK28" i="10"/>
  <c r="AK51" i="10" s="1"/>
  <c r="K206" i="83"/>
  <c r="E95" i="83"/>
  <c r="J146" i="67"/>
  <c r="K146" i="67"/>
  <c r="T144" i="8"/>
  <c r="R145" i="8"/>
  <c r="AJ144" i="8"/>
  <c r="AH145" i="8"/>
  <c r="AJ40" i="10"/>
  <c r="AJ44" i="10" s="1"/>
  <c r="AJ28" i="10"/>
  <c r="AJ51" i="10" s="1"/>
  <c r="R144" i="8"/>
  <c r="T143" i="8"/>
  <c r="AJ143" i="8"/>
  <c r="AH144" i="8"/>
  <c r="AF28" i="10"/>
  <c r="AF51" i="10" s="1"/>
  <c r="AF40" i="10"/>
  <c r="AF44" i="10" s="1"/>
  <c r="H47" i="67"/>
  <c r="AD28" i="10"/>
  <c r="AD51" i="10" s="1"/>
  <c r="AD40" i="10"/>
  <c r="AD44" i="10" s="1"/>
  <c r="DE52" i="1"/>
  <c r="DF52" i="1"/>
  <c r="EE19" i="11"/>
  <c r="D10" i="85" s="1"/>
  <c r="V157" i="67"/>
  <c r="X157" i="67" s="1"/>
  <c r="U157" i="67"/>
  <c r="W157" i="67"/>
  <c r="F206" i="83"/>
  <c r="EF63" i="11"/>
  <c r="AA28" i="10"/>
  <c r="AA51" i="10" s="1"/>
  <c r="AA40" i="10"/>
  <c r="AA44" i="10" s="1"/>
  <c r="F130" i="67"/>
  <c r="F132" i="67" s="1"/>
  <c r="F96" i="67"/>
  <c r="G130" i="67" s="1"/>
  <c r="G129" i="67"/>
  <c r="DE35" i="1"/>
  <c r="X129" i="67"/>
  <c r="Y94" i="67"/>
  <c r="DE65" i="1"/>
  <c r="DF65" i="1"/>
  <c r="FN41" i="11"/>
  <c r="FN68" i="11"/>
  <c r="FN42" i="11"/>
  <c r="S44" i="10"/>
  <c r="S41" i="10"/>
  <c r="M203" i="83"/>
  <c r="M161" i="83"/>
  <c r="N154" i="83"/>
  <c r="N198" i="83" s="1"/>
  <c r="N158" i="83"/>
  <c r="N156" i="83" s="1"/>
  <c r="N159" i="83"/>
  <c r="M150" i="67"/>
  <c r="M26" i="67"/>
  <c r="I144" i="83"/>
  <c r="AE28" i="10"/>
  <c r="AE51" i="10" s="1"/>
  <c r="AE40" i="10"/>
  <c r="AE44" i="10" s="1"/>
  <c r="EE50" i="11"/>
  <c r="ED50" i="11"/>
  <c r="K95" i="83"/>
  <c r="D144" i="83"/>
  <c r="AH40" i="10"/>
  <c r="AH44" i="10" s="1"/>
  <c r="AH28" i="10"/>
  <c r="AH51" i="10" s="1"/>
  <c r="V155" i="67"/>
  <c r="AL60" i="4" l="1"/>
  <c r="D277" i="54"/>
  <c r="F275" i="54"/>
  <c r="I275" i="54"/>
  <c r="E276" i="54"/>
  <c r="AB157" i="8"/>
  <c r="AB160" i="3"/>
  <c r="AR11" i="4"/>
  <c r="AR25" i="5"/>
  <c r="AR17" i="5"/>
  <c r="DM12" i="1"/>
  <c r="DL62" i="1"/>
  <c r="EO10" i="11"/>
  <c r="DL32" i="1"/>
  <c r="DL42" i="1"/>
  <c r="D9" i="85"/>
  <c r="D31" i="85" s="1"/>
  <c r="AL153" i="8"/>
  <c r="R10" i="85"/>
  <c r="Q10" i="85"/>
  <c r="F43" i="85"/>
  <c r="D12" i="85"/>
  <c r="D34" i="85" s="1"/>
  <c r="D32" i="85"/>
  <c r="O201" i="83"/>
  <c r="O91" i="83"/>
  <c r="O200" i="83" s="1"/>
  <c r="O199" i="83" s="1"/>
  <c r="O140" i="83"/>
  <c r="O202" i="83" s="1"/>
  <c r="CK42" i="6"/>
  <c r="CJ48" i="6"/>
  <c r="EF54" i="11"/>
  <c r="DD143" i="1"/>
  <c r="DE143" i="1" s="1"/>
  <c r="DE123" i="1"/>
  <c r="AB155" i="3"/>
  <c r="EK83" i="11"/>
  <c r="EF27" i="11"/>
  <c r="EK54" i="11"/>
  <c r="EK27" i="11"/>
  <c r="EK55" i="11" s="1"/>
  <c r="EF47" i="11"/>
  <c r="EF66" i="11" s="1"/>
  <c r="EF64" i="11"/>
  <c r="DI66" i="1"/>
  <c r="EK64" i="11"/>
  <c r="DJ52" i="1"/>
  <c r="EJ19" i="11"/>
  <c r="EJ50" i="11"/>
  <c r="EJ16" i="11"/>
  <c r="EJ21" i="11"/>
  <c r="EJ52" i="11" s="1"/>
  <c r="FS62" i="11"/>
  <c r="EE23" i="11"/>
  <c r="EE27" i="11" s="1"/>
  <c r="DI83" i="1"/>
  <c r="DH113" i="1"/>
  <c r="DI123" i="1" s="1"/>
  <c r="DJ83" i="1"/>
  <c r="DH56" i="1"/>
  <c r="DJ56" i="1" s="1"/>
  <c r="AJ23" i="4"/>
  <c r="DE113" i="1"/>
  <c r="ED23" i="11"/>
  <c r="ED63" i="11"/>
  <c r="Y157" i="67"/>
  <c r="X156" i="67"/>
  <c r="Y156" i="67" s="1"/>
  <c r="N50" i="67"/>
  <c r="N17" i="67"/>
  <c r="X130" i="67"/>
  <c r="X132" i="67" s="1"/>
  <c r="Y95" i="67"/>
  <c r="Y130" i="67" s="1"/>
  <c r="I145" i="67"/>
  <c r="T9" i="9"/>
  <c r="T39" i="10"/>
  <c r="T41" i="10" s="1"/>
  <c r="DD115" i="1"/>
  <c r="DE115" i="1" s="1"/>
  <c r="DE85" i="1"/>
  <c r="DF85" i="1"/>
  <c r="DF86" i="1"/>
  <c r="DE86" i="1"/>
  <c r="DD116" i="1"/>
  <c r="DE116" i="1" s="1"/>
  <c r="L167" i="83"/>
  <c r="L170" i="83" s="1"/>
  <c r="L172" i="83" s="1"/>
  <c r="L206" i="83" s="1"/>
  <c r="FS12" i="11"/>
  <c r="O6" i="83"/>
  <c r="FS61" i="11"/>
  <c r="V158" i="67"/>
  <c r="DE84" i="1"/>
  <c r="DF84" i="1"/>
  <c r="DD114" i="1"/>
  <c r="DE114" i="1" s="1"/>
  <c r="AL147" i="8"/>
  <c r="C129" i="67"/>
  <c r="C95" i="67"/>
  <c r="D128" i="67"/>
  <c r="M147" i="67"/>
  <c r="K147" i="67"/>
  <c r="L147" i="67"/>
  <c r="AJ15" i="5"/>
  <c r="DF123" i="1"/>
  <c r="EF29" i="11"/>
  <c r="G142" i="67"/>
  <c r="L146" i="67"/>
  <c r="M146" i="67" s="1"/>
  <c r="W156" i="67"/>
  <c r="DD141" i="1"/>
  <c r="DE111" i="1"/>
  <c r="DE55" i="1"/>
  <c r="DF55" i="1"/>
  <c r="AL50" i="10"/>
  <c r="AM64" i="9"/>
  <c r="M204" i="83"/>
  <c r="M191" i="83"/>
  <c r="G132" i="67"/>
  <c r="EE63" i="11"/>
  <c r="M162" i="83"/>
  <c r="K140" i="67"/>
  <c r="DF54" i="1"/>
  <c r="DE54" i="1"/>
  <c r="AJ21" i="5"/>
  <c r="V159" i="67"/>
  <c r="V26" i="67"/>
  <c r="U153" i="67"/>
  <c r="AJ12" i="4"/>
  <c r="AJ28" i="4"/>
  <c r="AJ17" i="4"/>
  <c r="AJ18" i="4" s="1"/>
  <c r="AJ7" i="4"/>
  <c r="AJ13" i="4"/>
  <c r="FS77" i="11" s="1"/>
  <c r="DD126" i="1"/>
  <c r="DE112" i="1"/>
  <c r="W155" i="67"/>
  <c r="X155" i="67" s="1"/>
  <c r="Y155" i="67" s="1"/>
  <c r="N203" i="83"/>
  <c r="N161" i="83"/>
  <c r="N162" i="83" s="1"/>
  <c r="K148" i="67"/>
  <c r="K26" i="67"/>
  <c r="W17" i="67"/>
  <c r="W50" i="67"/>
  <c r="N150" i="67"/>
  <c r="O150" i="67"/>
  <c r="Y129" i="67"/>
  <c r="F50" i="67"/>
  <c r="F17" i="67"/>
  <c r="K51" i="67"/>
  <c r="K47" i="67"/>
  <c r="K48" i="67" s="1"/>
  <c r="O17" i="67"/>
  <c r="O50" i="67"/>
  <c r="AJ18" i="5"/>
  <c r="O10" i="83"/>
  <c r="FS14" i="11"/>
  <c r="AM60" i="9"/>
  <c r="V51" i="67"/>
  <c r="V47" i="67"/>
  <c r="V48" i="67" s="1"/>
  <c r="L50" i="67"/>
  <c r="L17" i="67"/>
  <c r="O13" i="83"/>
  <c r="O61" i="83" s="1"/>
  <c r="FS17" i="11"/>
  <c r="AJ26" i="5"/>
  <c r="AL61" i="4" l="1"/>
  <c r="AL58" i="4"/>
  <c r="AL59" i="4" s="1"/>
  <c r="AM60" i="4"/>
  <c r="F276" i="54"/>
  <c r="I276" i="54"/>
  <c r="Z162" i="3" s="1"/>
  <c r="E277" i="54"/>
  <c r="AD160" i="3"/>
  <c r="Z161" i="3"/>
  <c r="J275" i="54"/>
  <c r="AR21" i="5"/>
  <c r="AR23" i="4"/>
  <c r="AR7" i="4"/>
  <c r="AM159" i="8"/>
  <c r="EO61" i="11"/>
  <c r="EO12" i="11"/>
  <c r="EO53" i="11" s="1"/>
  <c r="DN62" i="1"/>
  <c r="EO17" i="11"/>
  <c r="EO51" i="11" s="1"/>
  <c r="DL52" i="1"/>
  <c r="EO14" i="11"/>
  <c r="EO50" i="11" s="1"/>
  <c r="F159" i="8"/>
  <c r="EJ63" i="11"/>
  <c r="C10" i="85"/>
  <c r="DF143" i="1"/>
  <c r="D16" i="85"/>
  <c r="DD173" i="1"/>
  <c r="EF37" i="11" s="1"/>
  <c r="O54" i="83"/>
  <c r="O82" i="83" s="1"/>
  <c r="O103" i="83"/>
  <c r="O107" i="83"/>
  <c r="O58" i="83"/>
  <c r="O63" i="83"/>
  <c r="O110" i="83"/>
  <c r="O92" i="83"/>
  <c r="FS53" i="11"/>
  <c r="DD163" i="1"/>
  <c r="DE163" i="1" s="1"/>
  <c r="AD155" i="3"/>
  <c r="AF155" i="3" s="1"/>
  <c r="AK155" i="3"/>
  <c r="AM155" i="3" s="1"/>
  <c r="AB156" i="3"/>
  <c r="EE54" i="11"/>
  <c r="EF31" i="11"/>
  <c r="EF35" i="11" s="1"/>
  <c r="EF55" i="11"/>
  <c r="EF58" i="11"/>
  <c r="EK66" i="11"/>
  <c r="EE64" i="11"/>
  <c r="EE47" i="11"/>
  <c r="EE66" i="11" s="1"/>
  <c r="EJ23" i="11"/>
  <c r="EJ64" i="11" s="1"/>
  <c r="AJ34" i="5"/>
  <c r="AJ35" i="5" s="1"/>
  <c r="FS76" i="11"/>
  <c r="DI113" i="1"/>
  <c r="EK29" i="11"/>
  <c r="ED47" i="11"/>
  <c r="ED64" i="11"/>
  <c r="ED54" i="11"/>
  <c r="ED27" i="11"/>
  <c r="O146" i="67"/>
  <c r="N146" i="67"/>
  <c r="N165" i="83"/>
  <c r="N205" i="83"/>
  <c r="N192" i="83"/>
  <c r="N179" i="83"/>
  <c r="DF126" i="1"/>
  <c r="DE126" i="1"/>
  <c r="O12" i="83"/>
  <c r="O8" i="83"/>
  <c r="O40" i="83"/>
  <c r="O97" i="83" s="1"/>
  <c r="AJ24" i="4"/>
  <c r="FS75" i="11"/>
  <c r="AJ19" i="5"/>
  <c r="L140" i="67"/>
  <c r="FS16" i="11"/>
  <c r="DD161" i="1"/>
  <c r="DD171" i="1"/>
  <c r="DE141" i="1"/>
  <c r="DF141" i="1"/>
  <c r="DD145" i="1"/>
  <c r="W26" i="67"/>
  <c r="W159" i="67"/>
  <c r="DD125" i="1"/>
  <c r="DD124" i="1"/>
  <c r="ED29" i="11"/>
  <c r="FS51" i="11"/>
  <c r="AM66" i="9"/>
  <c r="AM65" i="9"/>
  <c r="FS21" i="11"/>
  <c r="H142" i="67"/>
  <c r="X50" i="67"/>
  <c r="X17" i="67"/>
  <c r="F143" i="67"/>
  <c r="F26" i="67"/>
  <c r="AJ35" i="4"/>
  <c r="AJ36" i="4"/>
  <c r="F47" i="67"/>
  <c r="F48" i="67" s="1"/>
  <c r="F51" i="67"/>
  <c r="L148" i="67"/>
  <c r="CG19" i="6"/>
  <c r="L149" i="67"/>
  <c r="L26" i="67"/>
  <c r="W51" i="67"/>
  <c r="W47" i="67"/>
  <c r="W48" i="67" s="1"/>
  <c r="EF56" i="11"/>
  <c r="L47" i="67"/>
  <c r="L51" i="67"/>
  <c r="M51" i="67"/>
  <c r="N191" i="83"/>
  <c r="N204" i="83"/>
  <c r="U9" i="9"/>
  <c r="U39" i="10"/>
  <c r="U41" i="10" s="1"/>
  <c r="W153" i="67"/>
  <c r="X153" i="67" s="1"/>
  <c r="Y153" i="67" s="1"/>
  <c r="EE55" i="11"/>
  <c r="Q150" i="67"/>
  <c r="M192" i="83"/>
  <c r="M165" i="83"/>
  <c r="M205" i="83"/>
  <c r="M179" i="83"/>
  <c r="M207" i="83" s="1"/>
  <c r="V153" i="67"/>
  <c r="W158" i="67"/>
  <c r="X158" i="67" s="1"/>
  <c r="T14" i="9"/>
  <c r="T51" i="9"/>
  <c r="T56" i="9" s="1"/>
  <c r="J145" i="67"/>
  <c r="K145" i="67" s="1"/>
  <c r="N26" i="67"/>
  <c r="N151" i="67"/>
  <c r="FS50" i="11"/>
  <c r="CG25" i="6"/>
  <c r="O15" i="83"/>
  <c r="O34" i="83"/>
  <c r="O189" i="83" s="1"/>
  <c r="EE29" i="11"/>
  <c r="D22" i="85" s="1"/>
  <c r="C130" i="67"/>
  <c r="C132" i="67" s="1"/>
  <c r="C50" i="67" s="1"/>
  <c r="C47" i="67" s="1"/>
  <c r="C96" i="67"/>
  <c r="D130" i="67" s="1"/>
  <c r="D129" i="67"/>
  <c r="DD142" i="1"/>
  <c r="DD172" i="1" s="1"/>
  <c r="G50" i="67"/>
  <c r="G17" i="67"/>
  <c r="O51" i="67"/>
  <c r="O47" i="67"/>
  <c r="P51" i="67"/>
  <c r="AM61" i="9"/>
  <c r="FS19" i="11"/>
  <c r="AJ22" i="5"/>
  <c r="AJ23" i="5" s="1"/>
  <c r="O152" i="67"/>
  <c r="O26" i="67"/>
  <c r="AJ8" i="4"/>
  <c r="AJ14" i="4"/>
  <c r="AJ15" i="4" s="1"/>
  <c r="AJ27" i="5"/>
  <c r="P150" i="67"/>
  <c r="N147" i="67"/>
  <c r="Y132" i="67"/>
  <c r="N47" i="67"/>
  <c r="N48" i="67" s="1"/>
  <c r="N51" i="67"/>
  <c r="AN60" i="4" l="1"/>
  <c r="AM58" i="4"/>
  <c r="AM59" i="4" s="1"/>
  <c r="AM61" i="4"/>
  <c r="F277" i="54"/>
  <c r="AL72" i="4"/>
  <c r="I277" i="54"/>
  <c r="AB158" i="8"/>
  <c r="AB162" i="3"/>
  <c r="AB161" i="3"/>
  <c r="AB159" i="8"/>
  <c r="DE173" i="1"/>
  <c r="EO19" i="11"/>
  <c r="EO63" i="11" s="1"/>
  <c r="DN52" i="1"/>
  <c r="DM52" i="1"/>
  <c r="EO21" i="11"/>
  <c r="EO52" i="11" s="1"/>
  <c r="EO16" i="11"/>
  <c r="DL82" i="1"/>
  <c r="DF173" i="1"/>
  <c r="D35" i="85"/>
  <c r="F44" i="85"/>
  <c r="D20" i="85"/>
  <c r="D37" i="85" s="1"/>
  <c r="O109" i="83"/>
  <c r="O130" i="83" s="1"/>
  <c r="O185" i="83" s="1"/>
  <c r="O131" i="83"/>
  <c r="O190" i="83" s="1"/>
  <c r="O112" i="83"/>
  <c r="O141" i="83"/>
  <c r="O98" i="83"/>
  <c r="O209" i="83" s="1"/>
  <c r="O208" i="83" s="1"/>
  <c r="O196" i="83" s="1"/>
  <c r="O152" i="83" s="1"/>
  <c r="O146" i="83"/>
  <c r="O147" i="83" s="1"/>
  <c r="O93" i="83"/>
  <c r="O105" i="83"/>
  <c r="O139" i="83" s="1"/>
  <c r="O137" i="83"/>
  <c r="O56" i="83"/>
  <c r="O90" i="83" s="1"/>
  <c r="O60" i="83"/>
  <c r="O88" i="83"/>
  <c r="DF163" i="1"/>
  <c r="O42" i="83"/>
  <c r="DD183" i="1"/>
  <c r="EF38" i="11" s="1"/>
  <c r="EE58" i="11"/>
  <c r="AD156" i="3"/>
  <c r="EF57" i="11"/>
  <c r="AJ42" i="5"/>
  <c r="EK56" i="11"/>
  <c r="EK31" i="11"/>
  <c r="EJ54" i="11"/>
  <c r="EJ47" i="11"/>
  <c r="EJ27" i="11"/>
  <c r="AJ32" i="4"/>
  <c r="ED66" i="11"/>
  <c r="DJ123" i="1"/>
  <c r="DH143" i="1"/>
  <c r="ED58" i="11"/>
  <c r="ED55" i="11"/>
  <c r="ED31" i="11"/>
  <c r="ED35" i="11" s="1"/>
  <c r="L145" i="67"/>
  <c r="N167" i="83"/>
  <c r="N170" i="83" s="1"/>
  <c r="N172" i="83" s="1"/>
  <c r="T20" i="9"/>
  <c r="T43" i="9" s="1"/>
  <c r="T53" i="9"/>
  <c r="M140" i="67"/>
  <c r="U14" i="9"/>
  <c r="U51" i="9"/>
  <c r="U56" i="9" s="1"/>
  <c r="Y158" i="67"/>
  <c r="O147" i="67"/>
  <c r="R150" i="67"/>
  <c r="P152" i="67"/>
  <c r="DD162" i="1"/>
  <c r="DF142" i="1"/>
  <c r="DE142" i="1"/>
  <c r="DD146" i="1"/>
  <c r="N148" i="67"/>
  <c r="S150" i="67"/>
  <c r="D132" i="67"/>
  <c r="O35" i="83"/>
  <c r="O45" i="83"/>
  <c r="DF124" i="1"/>
  <c r="DE124" i="1"/>
  <c r="AJ45" i="5"/>
  <c r="P146" i="67"/>
  <c r="Y50" i="67"/>
  <c r="Y17" i="67"/>
  <c r="O48" i="67"/>
  <c r="P48" i="67"/>
  <c r="I143" i="67"/>
  <c r="G143" i="67"/>
  <c r="H143" i="67"/>
  <c r="L48" i="67"/>
  <c r="M48" i="67"/>
  <c r="FS52" i="11"/>
  <c r="V9" i="9"/>
  <c r="V39" i="10"/>
  <c r="V41" i="10" s="1"/>
  <c r="DE161" i="1"/>
  <c r="DD181" i="1"/>
  <c r="DF161" i="1"/>
  <c r="DD165" i="1"/>
  <c r="P151" i="67"/>
  <c r="Q151" i="67"/>
  <c r="R151" i="67"/>
  <c r="O151" i="67"/>
  <c r="G144" i="67"/>
  <c r="G26" i="67"/>
  <c r="EE56" i="11"/>
  <c r="X26" i="67"/>
  <c r="X159" i="67"/>
  <c r="FS23" i="11"/>
  <c r="O210" i="83"/>
  <c r="FS63" i="11"/>
  <c r="G51" i="67"/>
  <c r="G47" i="67"/>
  <c r="H51" i="67"/>
  <c r="EE31" i="11"/>
  <c r="P147" i="67"/>
  <c r="M148" i="67"/>
  <c r="X51" i="67"/>
  <c r="ED56" i="11"/>
  <c r="DD144" i="1"/>
  <c r="N207" i="83"/>
  <c r="M167" i="83"/>
  <c r="M170" i="83" s="1"/>
  <c r="M172" i="83" s="1"/>
  <c r="M206" i="83" s="1"/>
  <c r="J142" i="67"/>
  <c r="I142" i="67"/>
  <c r="L142" i="67" s="1"/>
  <c r="K142" i="67"/>
  <c r="DF125" i="1"/>
  <c r="DE125" i="1"/>
  <c r="EF65" i="11"/>
  <c r="CG31" i="6"/>
  <c r="AM27" i="9"/>
  <c r="AM34" i="9" s="1"/>
  <c r="AM72" i="9"/>
  <c r="EE70" i="11" s="1"/>
  <c r="DF171" i="1"/>
  <c r="DE171" i="1"/>
  <c r="ED37" i="11"/>
  <c r="M149" i="67"/>
  <c r="N149" i="67"/>
  <c r="DE145" i="1"/>
  <c r="DF145" i="1"/>
  <c r="O16" i="83"/>
  <c r="O33" i="83"/>
  <c r="O184" i="83" s="1"/>
  <c r="AN61" i="4" l="1"/>
  <c r="AO60" i="4"/>
  <c r="AN58" i="4"/>
  <c r="AN59" i="4" s="1"/>
  <c r="AL48" i="4"/>
  <c r="Z163" i="3"/>
  <c r="AD161" i="3"/>
  <c r="AD162" i="3"/>
  <c r="AF162" i="3" s="1"/>
  <c r="AK162" i="3"/>
  <c r="AM162" i="3" s="1"/>
  <c r="AR45" i="5"/>
  <c r="AJ33" i="4"/>
  <c r="AR32" i="4"/>
  <c r="AR42" i="5"/>
  <c r="AL159" i="8"/>
  <c r="DM82" i="1"/>
  <c r="DL112" i="1"/>
  <c r="EO23" i="11"/>
  <c r="D24" i="85"/>
  <c r="D36" i="85"/>
  <c r="O113" i="83"/>
  <c r="O127" i="83" s="1"/>
  <c r="O145" i="83" s="1"/>
  <c r="O83" i="83"/>
  <c r="O154" i="83"/>
  <c r="O198" i="83" s="1"/>
  <c r="O132" i="83"/>
  <c r="O142" i="83"/>
  <c r="O81" i="83"/>
  <c r="O64" i="83"/>
  <c r="DE183" i="1"/>
  <c r="O211" i="83"/>
  <c r="AJ43" i="5"/>
  <c r="EK35" i="11"/>
  <c r="EK57" i="11"/>
  <c r="EJ55" i="11"/>
  <c r="EJ58" i="11"/>
  <c r="EJ66" i="11"/>
  <c r="DH163" i="1"/>
  <c r="DJ143" i="1"/>
  <c r="DH173" i="1"/>
  <c r="EK37" i="11" s="1"/>
  <c r="EK65" i="11" s="1"/>
  <c r="DI143" i="1"/>
  <c r="ED57" i="11"/>
  <c r="AL24" i="10"/>
  <c r="N206" i="83"/>
  <c r="N142" i="67"/>
  <c r="O142" i="67" s="1"/>
  <c r="P142" i="67" s="1"/>
  <c r="Q142" i="67" s="1"/>
  <c r="R142" i="67" s="1"/>
  <c r="S142" i="67" s="1"/>
  <c r="T142" i="67" s="1"/>
  <c r="U142" i="67" s="1"/>
  <c r="V142" i="67" s="1"/>
  <c r="W142" i="67" s="1"/>
  <c r="X142" i="67" s="1"/>
  <c r="W39" i="10"/>
  <c r="W41" i="10" s="1"/>
  <c r="W9" i="9"/>
  <c r="EE57" i="11"/>
  <c r="EE35" i="11"/>
  <c r="J143" i="67"/>
  <c r="DE165" i="1"/>
  <c r="DF165" i="1"/>
  <c r="CF43" i="6"/>
  <c r="CF49" i="6" s="1"/>
  <c r="CG13" i="6"/>
  <c r="H146" i="8"/>
  <c r="T146" i="8" s="1"/>
  <c r="H147" i="8"/>
  <c r="Q152" i="67"/>
  <c r="R152" i="67" s="1"/>
  <c r="DE181" i="1"/>
  <c r="ED38" i="11"/>
  <c r="Q147" i="67"/>
  <c r="M142" i="67"/>
  <c r="S151" i="67"/>
  <c r="K143" i="67"/>
  <c r="S152" i="67"/>
  <c r="T150" i="67"/>
  <c r="U150" i="67" s="1"/>
  <c r="U53" i="9"/>
  <c r="U20" i="9"/>
  <c r="U43" i="9" s="1"/>
  <c r="M145" i="67"/>
  <c r="N145" i="67" s="1"/>
  <c r="DD164" i="1"/>
  <c r="DF144" i="1"/>
  <c r="DE144" i="1"/>
  <c r="DD174" i="1"/>
  <c r="H144" i="67"/>
  <c r="I144" i="67" s="1"/>
  <c r="V14" i="9"/>
  <c r="V51" i="9"/>
  <c r="V56" i="9" s="1"/>
  <c r="O149" i="67"/>
  <c r="G48" i="67"/>
  <c r="H48" i="67"/>
  <c r="D17" i="67"/>
  <c r="D50" i="67"/>
  <c r="O36" i="83"/>
  <c r="O19" i="83"/>
  <c r="O46" i="83"/>
  <c r="O30" i="83"/>
  <c r="ED65" i="11"/>
  <c r="FS64" i="11"/>
  <c r="FS54" i="11"/>
  <c r="FS27" i="11"/>
  <c r="FS47" i="11"/>
  <c r="O148" i="67"/>
  <c r="DE172" i="1"/>
  <c r="DF172" i="1"/>
  <c r="EE37" i="11"/>
  <c r="DE162" i="1"/>
  <c r="DF162" i="1"/>
  <c r="DD182" i="1"/>
  <c r="DD166" i="1"/>
  <c r="N140" i="67"/>
  <c r="Y159" i="67"/>
  <c r="Y26" i="67"/>
  <c r="Y51" i="67"/>
  <c r="DE146" i="1"/>
  <c r="DF146" i="1"/>
  <c r="AJ46" i="5"/>
  <c r="FS29" i="11"/>
  <c r="O21" i="83"/>
  <c r="AJ48" i="5"/>
  <c r="AJ50" i="5" s="1"/>
  <c r="Q146" i="67"/>
  <c r="AP60" i="4" l="1"/>
  <c r="AO61" i="4"/>
  <c r="AO58" i="4"/>
  <c r="AO59" i="4" s="1"/>
  <c r="AB160" i="8"/>
  <c r="AB163" i="3"/>
  <c r="AR50" i="5"/>
  <c r="EO27" i="11"/>
  <c r="EO54" i="11"/>
  <c r="EO47" i="11"/>
  <c r="EO64" i="11"/>
  <c r="DL122" i="1"/>
  <c r="DL142" i="1" s="1"/>
  <c r="DM112" i="1"/>
  <c r="D38" i="85"/>
  <c r="D26" i="85"/>
  <c r="F45" i="85" s="1"/>
  <c r="O116" i="83"/>
  <c r="O133" i="83"/>
  <c r="O143" i="83"/>
  <c r="O78" i="83"/>
  <c r="O96" i="83" s="1"/>
  <c r="O84" i="83"/>
  <c r="O67" i="83"/>
  <c r="O94" i="83"/>
  <c r="O69" i="83"/>
  <c r="O118" i="83"/>
  <c r="P150" i="8"/>
  <c r="J150" i="8"/>
  <c r="O48" i="83"/>
  <c r="DI173" i="1"/>
  <c r="DJ173" i="1"/>
  <c r="DJ163" i="1"/>
  <c r="DI163" i="1"/>
  <c r="DH183" i="1"/>
  <c r="AL26" i="10"/>
  <c r="O37" i="83"/>
  <c r="Y150" i="67"/>
  <c r="J144" i="67"/>
  <c r="EE65" i="11"/>
  <c r="FS66" i="11"/>
  <c r="FS58" i="11"/>
  <c r="O145" i="67"/>
  <c r="P145" i="67" s="1"/>
  <c r="D47" i="67"/>
  <c r="D51" i="67"/>
  <c r="E51" i="67"/>
  <c r="U151" i="67"/>
  <c r="R147" i="67"/>
  <c r="S147" i="67" s="1"/>
  <c r="T147" i="67" s="1"/>
  <c r="U147" i="67" s="1"/>
  <c r="V147" i="67" s="1"/>
  <c r="W147" i="67" s="1"/>
  <c r="X147" i="67" s="1"/>
  <c r="Y147" i="67" s="1"/>
  <c r="D26" i="67"/>
  <c r="D24" i="67" s="1"/>
  <c r="D141" i="67"/>
  <c r="V150" i="67"/>
  <c r="W150" i="67" s="1"/>
  <c r="X150" i="67" s="1"/>
  <c r="Q145" i="67"/>
  <c r="R145" i="67" s="1"/>
  <c r="S145" i="67" s="1"/>
  <c r="T145" i="67" s="1"/>
  <c r="U145" i="67" s="1"/>
  <c r="V145" i="67" s="1"/>
  <c r="W145" i="67" s="1"/>
  <c r="X145" i="67" s="1"/>
  <c r="Y145" i="67" s="1"/>
  <c r="Y142" i="67"/>
  <c r="S146" i="67"/>
  <c r="T146" i="67" s="1"/>
  <c r="U146" i="67" s="1"/>
  <c r="V146" i="67" s="1"/>
  <c r="W146" i="67" s="1"/>
  <c r="X146" i="67" s="1"/>
  <c r="Y146" i="67" s="1"/>
  <c r="R146" i="67"/>
  <c r="P146" i="8"/>
  <c r="AJ146" i="8"/>
  <c r="J146" i="8"/>
  <c r="X146" i="8"/>
  <c r="N146" i="8"/>
  <c r="AD146" i="8"/>
  <c r="AD153" i="8" s="1"/>
  <c r="O140" i="67"/>
  <c r="P149" i="67"/>
  <c r="P148" i="67"/>
  <c r="DE182" i="1"/>
  <c r="EE38" i="11"/>
  <c r="FS56" i="11"/>
  <c r="DF174" i="1"/>
  <c r="DE174" i="1"/>
  <c r="T152" i="67"/>
  <c r="W14" i="9"/>
  <c r="W51" i="9"/>
  <c r="W56" i="9" s="1"/>
  <c r="X39" i="10"/>
  <c r="X41" i="10" s="1"/>
  <c r="X9" i="9"/>
  <c r="V151" i="67"/>
  <c r="DE164" i="1"/>
  <c r="DF164" i="1"/>
  <c r="DD184" i="1"/>
  <c r="DE184" i="1" s="1"/>
  <c r="AJ55" i="5"/>
  <c r="AM62" i="9"/>
  <c r="AJ51" i="5"/>
  <c r="AJ58" i="5"/>
  <c r="DF166" i="1"/>
  <c r="DE166" i="1"/>
  <c r="FS55" i="11"/>
  <c r="FS31" i="11"/>
  <c r="CG43" i="6"/>
  <c r="T151" i="67"/>
  <c r="O24" i="83"/>
  <c r="V20" i="9"/>
  <c r="V43" i="9" s="1"/>
  <c r="V53" i="9"/>
  <c r="L143" i="67"/>
  <c r="U152" i="67"/>
  <c r="AP58" i="4" l="1"/>
  <c r="AP59" i="4" s="1"/>
  <c r="AP61" i="4"/>
  <c r="AD163" i="3"/>
  <c r="AF163" i="3" s="1"/>
  <c r="AB164" i="3"/>
  <c r="AD164" i="3" s="1"/>
  <c r="AR55" i="5"/>
  <c r="AR58" i="5"/>
  <c r="DM142" i="1"/>
  <c r="EO66" i="11"/>
  <c r="EO58" i="11"/>
  <c r="EO29" i="11"/>
  <c r="EO56" i="11" s="1"/>
  <c r="EO55" i="11"/>
  <c r="AD160" i="8"/>
  <c r="H160" i="8" s="1"/>
  <c r="CN13" i="6" s="1"/>
  <c r="O134" i="83"/>
  <c r="O121" i="83"/>
  <c r="O123" i="83" s="1"/>
  <c r="O144" i="83" s="1"/>
  <c r="O72" i="83"/>
  <c r="O74" i="83" s="1"/>
  <c r="O95" i="83" s="1"/>
  <c r="O85" i="83"/>
  <c r="AH150" i="8"/>
  <c r="R150" i="8"/>
  <c r="O26" i="83"/>
  <c r="O193" i="83"/>
  <c r="DI183" i="1"/>
  <c r="EK38" i="11"/>
  <c r="AF146" i="8"/>
  <c r="Z146" i="8"/>
  <c r="X151" i="67"/>
  <c r="Y151" i="67" s="1"/>
  <c r="FS37" i="11"/>
  <c r="AJ59" i="5"/>
  <c r="X51" i="9"/>
  <c r="X56" i="9" s="1"/>
  <c r="X14" i="9"/>
  <c r="Q148" i="67"/>
  <c r="Q149" i="67"/>
  <c r="D10" i="67"/>
  <c r="D13" i="67" s="1"/>
  <c r="D27" i="67"/>
  <c r="E23" i="67" s="1"/>
  <c r="D37" i="67"/>
  <c r="V152" i="67"/>
  <c r="R148" i="67"/>
  <c r="S148" i="67" s="1"/>
  <c r="T148" i="67" s="1"/>
  <c r="U148" i="67" s="1"/>
  <c r="V148" i="67" s="1"/>
  <c r="W152" i="67"/>
  <c r="X152" i="67"/>
  <c r="Y152" i="67" s="1"/>
  <c r="W151" i="67"/>
  <c r="M143" i="67"/>
  <c r="N143" i="67" s="1"/>
  <c r="FS57" i="11"/>
  <c r="FS35" i="11"/>
  <c r="F141" i="67"/>
  <c r="F173" i="67" s="1"/>
  <c r="F18" i="67" s="1"/>
  <c r="F7" i="67" s="1"/>
  <c r="F8" i="67" s="1"/>
  <c r="E141" i="67"/>
  <c r="E173" i="67" s="1"/>
  <c r="E18" i="67" s="1"/>
  <c r="E7" i="67" s="1"/>
  <c r="E8" i="67" s="1"/>
  <c r="D173" i="67"/>
  <c r="D18" i="67" s="1"/>
  <c r="AJ56" i="5"/>
  <c r="AL8" i="10"/>
  <c r="AJ61" i="5"/>
  <c r="AH146" i="8"/>
  <c r="J147" i="8"/>
  <c r="R147" i="8" s="1"/>
  <c r="EE69" i="11" s="1"/>
  <c r="R146" i="8"/>
  <c r="P140" i="67"/>
  <c r="Y39" i="10"/>
  <c r="Y41" i="10" s="1"/>
  <c r="Y9" i="9"/>
  <c r="K144" i="67"/>
  <c r="D48" i="67"/>
  <c r="E48" i="67"/>
  <c r="W53" i="9"/>
  <c r="W20" i="9"/>
  <c r="W43" i="9" s="1"/>
  <c r="AR61" i="5" l="1"/>
  <c r="DL172" i="1"/>
  <c r="EO37" i="11" s="1"/>
  <c r="DL162" i="1"/>
  <c r="EO31" i="11"/>
  <c r="EO35" i="11" s="1"/>
  <c r="N153" i="8"/>
  <c r="X153" i="8"/>
  <c r="Z153" i="8" s="1"/>
  <c r="CN43" i="6"/>
  <c r="H161" i="8"/>
  <c r="CO13" i="6"/>
  <c r="N160" i="8"/>
  <c r="X160" i="8"/>
  <c r="CJ43" i="6"/>
  <c r="CK13" i="6"/>
  <c r="H154" i="8"/>
  <c r="O47" i="83"/>
  <c r="AJ62" i="5"/>
  <c r="FS38" i="11"/>
  <c r="W148" i="67"/>
  <c r="X148" i="67" s="1"/>
  <c r="Y148" i="67" s="1"/>
  <c r="AL13" i="10"/>
  <c r="L144" i="67"/>
  <c r="O143" i="67"/>
  <c r="X53" i="9"/>
  <c r="X20" i="9"/>
  <c r="X43" i="9" s="1"/>
  <c r="Y51" i="9"/>
  <c r="Y56" i="9" s="1"/>
  <c r="Y14" i="9"/>
  <c r="Z39" i="10"/>
  <c r="Z41" i="10" s="1"/>
  <c r="Z9" i="9"/>
  <c r="R149" i="67"/>
  <c r="S149" i="67" s="1"/>
  <c r="T149" i="67" s="1"/>
  <c r="U149" i="67" s="1"/>
  <c r="V149" i="67" s="1"/>
  <c r="W149" i="67" s="1"/>
  <c r="X149" i="67" s="1"/>
  <c r="FS65" i="11"/>
  <c r="G141" i="67"/>
  <c r="D7" i="67"/>
  <c r="D8" i="67" s="1"/>
  <c r="D11" i="67" s="1"/>
  <c r="D19" i="67"/>
  <c r="E24" i="67"/>
  <c r="E10" i="67" s="1"/>
  <c r="E13" i="67" s="1"/>
  <c r="E27" i="67"/>
  <c r="F23" i="67" s="1"/>
  <c r="Q140" i="67"/>
  <c r="Z160" i="8" l="1"/>
  <c r="EO57" i="11"/>
  <c r="DL182" i="1"/>
  <c r="EO38" i="11" s="1"/>
  <c r="DM162" i="1"/>
  <c r="CJ49" i="6"/>
  <c r="CN49" i="6"/>
  <c r="CO43" i="6"/>
  <c r="CK43" i="6"/>
  <c r="AA9" i="9"/>
  <c r="AA39" i="10"/>
  <c r="AA41" i="10" s="1"/>
  <c r="R140" i="67"/>
  <c r="AM39" i="9"/>
  <c r="EE72" i="11" s="1"/>
  <c r="E16" i="67"/>
  <c r="E19" i="67" s="1"/>
  <c r="D29" i="67"/>
  <c r="D31" i="67"/>
  <c r="D32" i="67" s="1"/>
  <c r="AL28" i="10"/>
  <c r="AL51" i="10" s="1"/>
  <c r="AL40" i="10"/>
  <c r="O144" i="67"/>
  <c r="M144" i="67"/>
  <c r="N144" i="67"/>
  <c r="Y149" i="67"/>
  <c r="E37" i="67"/>
  <c r="G173" i="67"/>
  <c r="G18" i="67" s="1"/>
  <c r="G7" i="67" s="1"/>
  <c r="G8" i="67" s="1"/>
  <c r="H141" i="67"/>
  <c r="Y20" i="9"/>
  <c r="Y43" i="9" s="1"/>
  <c r="Y53" i="9"/>
  <c r="P143" i="67"/>
  <c r="Q143" i="67" s="1"/>
  <c r="R143" i="67" s="1"/>
  <c r="S143" i="67" s="1"/>
  <c r="T143" i="67" s="1"/>
  <c r="U143" i="67" s="1"/>
  <c r="V143" i="67" s="1"/>
  <c r="W143" i="67" s="1"/>
  <c r="X143" i="67" s="1"/>
  <c r="Y143" i="67" s="1"/>
  <c r="E11" i="67"/>
  <c r="Z51" i="9"/>
  <c r="Z56" i="9" s="1"/>
  <c r="Z14" i="9"/>
  <c r="I141" i="67"/>
  <c r="I173" i="67" s="1"/>
  <c r="I18" i="67" s="1"/>
  <c r="I7" i="67" s="1"/>
  <c r="I8" i="67" s="1"/>
  <c r="AL44" i="10" l="1"/>
  <c r="F16" i="67"/>
  <c r="F19" i="67" s="1"/>
  <c r="E29" i="67"/>
  <c r="E31" i="67"/>
  <c r="E32" i="67" s="1"/>
  <c r="AA14" i="9"/>
  <c r="AA51" i="9"/>
  <c r="AA56" i="9" s="1"/>
  <c r="F24" i="67"/>
  <c r="H173" i="67"/>
  <c r="H18" i="67" s="1"/>
  <c r="H7" i="67" s="1"/>
  <c r="H8" i="67" s="1"/>
  <c r="Z53" i="9"/>
  <c r="Z20" i="9"/>
  <c r="Z43" i="9" s="1"/>
  <c r="P144" i="67"/>
  <c r="Q144" i="67" s="1"/>
  <c r="R144" i="67" s="1"/>
  <c r="S144" i="67" s="1"/>
  <c r="T144" i="67" s="1"/>
  <c r="U144" i="67" s="1"/>
  <c r="V144" i="67" s="1"/>
  <c r="W144" i="67" s="1"/>
  <c r="X144" i="67" s="1"/>
  <c r="Y144" i="67" s="1"/>
  <c r="AJ47" i="7"/>
  <c r="AJ53" i="7" s="1"/>
  <c r="EE71" i="11" s="1"/>
  <c r="AM52" i="9"/>
  <c r="AM55" i="9" s="1"/>
  <c r="AM54" i="9"/>
  <c r="AM41" i="9"/>
  <c r="J141" i="67"/>
  <c r="J173" i="67" s="1"/>
  <c r="J18" i="67" s="1"/>
  <c r="J7" i="67" s="1"/>
  <c r="J8" i="67" s="1"/>
  <c r="S140" i="67"/>
  <c r="AB9" i="9"/>
  <c r="AB39" i="10"/>
  <c r="AB41" i="10" s="1"/>
  <c r="AC9" i="9" l="1"/>
  <c r="AC39" i="10"/>
  <c r="AC41" i="10" s="1"/>
  <c r="G16" i="67"/>
  <c r="G19" i="67" s="1"/>
  <c r="F31" i="67"/>
  <c r="F32" i="67" s="1"/>
  <c r="F29" i="67"/>
  <c r="AB51" i="9"/>
  <c r="AB56" i="9" s="1"/>
  <c r="AB14" i="9"/>
  <c r="T140" i="67"/>
  <c r="F10" i="67"/>
  <c r="F27" i="67"/>
  <c r="G23" i="67" s="1"/>
  <c r="K141" i="67"/>
  <c r="AA20" i="9"/>
  <c r="AA43" i="9" s="1"/>
  <c r="AA53" i="9"/>
  <c r="M141" i="67" l="1"/>
  <c r="M173" i="67" s="1"/>
  <c r="M18" i="67" s="1"/>
  <c r="M7" i="67" s="1"/>
  <c r="M8" i="67" s="1"/>
  <c r="AB53" i="9"/>
  <c r="AB20" i="9"/>
  <c r="AB43" i="9" s="1"/>
  <c r="AD39" i="10"/>
  <c r="AD41" i="10" s="1"/>
  <c r="AD9" i="9"/>
  <c r="F37" i="67"/>
  <c r="F13" i="67"/>
  <c r="F11" i="67"/>
  <c r="K173" i="67"/>
  <c r="K18" i="67" s="1"/>
  <c r="K7" i="67" s="1"/>
  <c r="K8" i="67" s="1"/>
  <c r="L141" i="67"/>
  <c r="AC14" i="9"/>
  <c r="AC51" i="9"/>
  <c r="AC56" i="9" s="1"/>
  <c r="U140" i="67"/>
  <c r="H16" i="67"/>
  <c r="H19" i="67" s="1"/>
  <c r="AE9" i="9" l="1"/>
  <c r="AE39" i="10"/>
  <c r="AE41" i="10" s="1"/>
  <c r="L173" i="67"/>
  <c r="L18" i="67" s="1"/>
  <c r="L7" i="67" s="1"/>
  <c r="L8" i="67" s="1"/>
  <c r="I16" i="67"/>
  <c r="I19" i="67" s="1"/>
  <c r="AC53" i="9"/>
  <c r="AC20" i="9"/>
  <c r="AC43" i="9" s="1"/>
  <c r="AD51" i="9"/>
  <c r="AD56" i="9" s="1"/>
  <c r="AD14" i="9"/>
  <c r="G24" i="67"/>
  <c r="V140" i="67"/>
  <c r="N141" i="67"/>
  <c r="AF9" i="9" l="1"/>
  <c r="AF39" i="10"/>
  <c r="AF41" i="10" s="1"/>
  <c r="N173" i="67"/>
  <c r="N18" i="67" s="1"/>
  <c r="N7" i="67" s="1"/>
  <c r="N8" i="67" s="1"/>
  <c r="O141" i="67"/>
  <c r="AE14" i="9"/>
  <c r="AE51" i="9"/>
  <c r="AE56" i="9" s="1"/>
  <c r="W140" i="67"/>
  <c r="J16" i="67"/>
  <c r="J19" i="67" s="1"/>
  <c r="AD20" i="9"/>
  <c r="AD43" i="9" s="1"/>
  <c r="AD53" i="9"/>
  <c r="G10" i="67"/>
  <c r="G27" i="67"/>
  <c r="AE20" i="9" l="1"/>
  <c r="AE43" i="9" s="1"/>
  <c r="AE53" i="9"/>
  <c r="G13" i="67"/>
  <c r="G11" i="67"/>
  <c r="K16" i="67"/>
  <c r="K19" i="67" s="1"/>
  <c r="X140" i="67"/>
  <c r="O173" i="67"/>
  <c r="O18" i="67" s="1"/>
  <c r="O7" i="67" s="1"/>
  <c r="O8" i="67" s="1"/>
  <c r="P141" i="67"/>
  <c r="H23" i="67"/>
  <c r="G29" i="67"/>
  <c r="G31" i="67"/>
  <c r="G32" i="67" s="1"/>
  <c r="AG39" i="10"/>
  <c r="AG41" i="10" s="1"/>
  <c r="AG9" i="9"/>
  <c r="AF51" i="9"/>
  <c r="AF56" i="9" s="1"/>
  <c r="AF14" i="9"/>
  <c r="G37" i="67"/>
  <c r="AG14" i="9" l="1"/>
  <c r="AG51" i="9"/>
  <c r="AG56" i="9" s="1"/>
  <c r="AF53" i="9"/>
  <c r="AF20" i="9"/>
  <c r="AF43" i="9" s="1"/>
  <c r="Y140" i="67"/>
  <c r="P173" i="67"/>
  <c r="P18" i="67" s="1"/>
  <c r="P7" i="67" s="1"/>
  <c r="P8" i="67" s="1"/>
  <c r="Q141" i="67"/>
  <c r="L16" i="67"/>
  <c r="L19" i="67" s="1"/>
  <c r="AH9" i="9"/>
  <c r="AH39" i="10"/>
  <c r="AH41" i="10" s="1"/>
  <c r="H24" i="67"/>
  <c r="H10" i="67" s="1"/>
  <c r="H27" i="67"/>
  <c r="Q173" i="67" l="1"/>
  <c r="Q18" i="67" s="1"/>
  <c r="Q7" i="67" s="1"/>
  <c r="Q8" i="67" s="1"/>
  <c r="R141" i="67"/>
  <c r="AI9" i="9"/>
  <c r="AI39" i="10"/>
  <c r="AI41" i="10" s="1"/>
  <c r="I23" i="67"/>
  <c r="H31" i="67"/>
  <c r="H32" i="67" s="1"/>
  <c r="H29" i="67"/>
  <c r="H13" i="67"/>
  <c r="H11" i="67"/>
  <c r="H37" i="67"/>
  <c r="AH14" i="9"/>
  <c r="AH51" i="9"/>
  <c r="AH56" i="9" s="1"/>
  <c r="M16" i="67"/>
  <c r="M19" i="67" s="1"/>
  <c r="AG53" i="9"/>
  <c r="AG20" i="9"/>
  <c r="AG43" i="9" s="1"/>
  <c r="AI14" i="9" l="1"/>
  <c r="AB11" i="7"/>
  <c r="AB35" i="7" s="1"/>
  <c r="AB59" i="7" s="1"/>
  <c r="AI51" i="9"/>
  <c r="AI56" i="9" s="1"/>
  <c r="AH53" i="9"/>
  <c r="AH20" i="9"/>
  <c r="AH43" i="9" s="1"/>
  <c r="R173" i="67"/>
  <c r="R18" i="67" s="1"/>
  <c r="R7" i="67" s="1"/>
  <c r="R8" i="67" s="1"/>
  <c r="S141" i="67"/>
  <c r="AJ9" i="9"/>
  <c r="AJ39" i="10"/>
  <c r="AJ41" i="10" s="1"/>
  <c r="AK9" i="9" s="1"/>
  <c r="N16" i="67"/>
  <c r="N19" i="67" s="1"/>
  <c r="I24" i="67"/>
  <c r="I10" i="67" s="1"/>
  <c r="AJ14" i="9" l="1"/>
  <c r="AJ51" i="9"/>
  <c r="AJ56" i="9" s="1"/>
  <c r="S173" i="67"/>
  <c r="S18" i="67" s="1"/>
  <c r="S7" i="67" s="1"/>
  <c r="S8" i="67" s="1"/>
  <c r="T141" i="67"/>
  <c r="I37" i="67"/>
  <c r="I13" i="67"/>
  <c r="I11" i="67"/>
  <c r="I27" i="67"/>
  <c r="AK39" i="10"/>
  <c r="AK41" i="10" s="1"/>
  <c r="AL9" i="9" s="1"/>
  <c r="O16" i="67"/>
  <c r="O19" i="67" s="1"/>
  <c r="AI53" i="9"/>
  <c r="AI20" i="9"/>
  <c r="AI43" i="9" s="1"/>
  <c r="P16" i="67" l="1"/>
  <c r="P19" i="67" s="1"/>
  <c r="U141" i="67"/>
  <c r="T173" i="67"/>
  <c r="T18" i="67" s="1"/>
  <c r="T7" i="67" s="1"/>
  <c r="T8" i="67" s="1"/>
  <c r="AK14" i="9"/>
  <c r="AK51" i="9"/>
  <c r="AK56" i="9" s="1"/>
  <c r="AJ53" i="9"/>
  <c r="AJ20" i="9"/>
  <c r="AL39" i="10"/>
  <c r="AL41" i="10" s="1"/>
  <c r="AM9" i="9" s="1"/>
  <c r="J23" i="67"/>
  <c r="I29" i="67"/>
  <c r="I31" i="67"/>
  <c r="I32" i="67" s="1"/>
  <c r="AL51" i="9" l="1"/>
  <c r="AL56" i="9" s="1"/>
  <c r="AH35" i="7"/>
  <c r="AH59" i="7" s="1"/>
  <c r="AL14" i="9"/>
  <c r="AK20" i="9"/>
  <c r="AK53" i="9"/>
  <c r="Q16" i="67"/>
  <c r="Q19" i="67" s="1"/>
  <c r="J24" i="67"/>
  <c r="J10" i="67" s="1"/>
  <c r="AM39" i="10"/>
  <c r="AJ43" i="9"/>
  <c r="V141" i="67"/>
  <c r="U173" i="67"/>
  <c r="U18" i="67" s="1"/>
  <c r="U7" i="67" s="1"/>
  <c r="U8" i="67" s="1"/>
  <c r="J13" i="67" l="1"/>
  <c r="J11" i="67"/>
  <c r="J27" i="67"/>
  <c r="J37" i="67" s="1"/>
  <c r="W141" i="67"/>
  <c r="V173" i="67"/>
  <c r="V18" i="67" s="1"/>
  <c r="V7" i="67" s="1"/>
  <c r="AM14" i="9"/>
  <c r="AM51" i="9"/>
  <c r="AM56" i="9" s="1"/>
  <c r="AJ35" i="7"/>
  <c r="AJ59" i="7" s="1"/>
  <c r="AK43" i="9"/>
  <c r="AL53" i="9"/>
  <c r="AL20" i="9"/>
  <c r="R16" i="67"/>
  <c r="R19" i="67" s="1"/>
  <c r="AL43" i="9" l="1"/>
  <c r="X141" i="67"/>
  <c r="W173" i="67"/>
  <c r="W18" i="67" s="1"/>
  <c r="W7" i="67" s="1"/>
  <c r="AM53" i="9"/>
  <c r="AM20" i="9"/>
  <c r="S16" i="67"/>
  <c r="S19" i="67" s="1"/>
  <c r="K23" i="67"/>
  <c r="J29" i="67"/>
  <c r="J31" i="67"/>
  <c r="J32" i="67" s="1"/>
  <c r="V8" i="67"/>
  <c r="W8" i="67" l="1"/>
  <c r="T16" i="67"/>
  <c r="T19" i="67" s="1"/>
  <c r="Y141" i="67"/>
  <c r="Y173" i="67" s="1"/>
  <c r="Y18" i="67" s="1"/>
  <c r="Y7" i="67" s="1"/>
  <c r="X173" i="67"/>
  <c r="X18" i="67" s="1"/>
  <c r="X7" i="67" s="1"/>
  <c r="K24" i="67"/>
  <c r="K10" i="67" s="1"/>
  <c r="K27" i="67"/>
  <c r="AM43" i="9"/>
  <c r="K37" i="67"/>
  <c r="U16" i="67" l="1"/>
  <c r="U19" i="67" s="1"/>
  <c r="L23" i="67"/>
  <c r="K31" i="67"/>
  <c r="K32" i="67" s="1"/>
  <c r="K29" i="67"/>
  <c r="K13" i="67"/>
  <c r="K11" i="67"/>
  <c r="X8" i="67"/>
  <c r="Y8" i="67"/>
  <c r="V16" i="67" l="1"/>
  <c r="V19" i="67" s="1"/>
  <c r="L24" i="67"/>
  <c r="L10" i="67" l="1"/>
  <c r="L37" i="67"/>
  <c r="L27" i="67"/>
  <c r="W16" i="67"/>
  <c r="W19" i="67" s="1"/>
  <c r="L13" i="67" l="1"/>
  <c r="L11" i="67"/>
  <c r="X16" i="67"/>
  <c r="X19" i="67" s="1"/>
  <c r="M23" i="67"/>
  <c r="L31" i="67"/>
  <c r="L32" i="67" s="1"/>
  <c r="L29" i="67"/>
  <c r="M24" i="67" l="1"/>
  <c r="M10" i="67" s="1"/>
  <c r="Y16" i="67"/>
  <c r="Y19" i="67" s="1"/>
  <c r="M27" i="67" l="1"/>
  <c r="M13" i="67"/>
  <c r="M11" i="67"/>
  <c r="N23" i="67" l="1"/>
  <c r="M31" i="67"/>
  <c r="M32" i="67" s="1"/>
  <c r="M29" i="67"/>
  <c r="M37" i="67"/>
  <c r="N24" i="67" l="1"/>
  <c r="N10" i="67" s="1"/>
  <c r="N27" i="67" l="1"/>
  <c r="N13" i="67"/>
  <c r="N11" i="67"/>
  <c r="O23" i="67" l="1"/>
  <c r="N31" i="67"/>
  <c r="N32" i="67" s="1"/>
  <c r="N29" i="67"/>
  <c r="N37" i="67"/>
  <c r="O27" i="67" l="1"/>
  <c r="O24" i="67"/>
  <c r="O10" i="67" s="1"/>
  <c r="O37" i="67"/>
  <c r="P23" i="67" l="1"/>
  <c r="O29" i="67"/>
  <c r="O31" i="67"/>
  <c r="O32" i="67" s="1"/>
  <c r="O13" i="67"/>
  <c r="O11" i="67"/>
  <c r="P24" i="67" l="1"/>
  <c r="P10" i="67" s="1"/>
  <c r="P13" i="67" l="1"/>
  <c r="P11" i="67"/>
  <c r="P27" i="67"/>
  <c r="P37" i="67"/>
  <c r="Q23" i="67" l="1"/>
  <c r="P29" i="67"/>
  <c r="P31" i="67"/>
  <c r="P32" i="67" s="1"/>
  <c r="Q24" i="67" l="1"/>
  <c r="Q27" i="67"/>
  <c r="R23" i="67" l="1"/>
  <c r="Q31" i="67"/>
  <c r="Q32" i="67" s="1"/>
  <c r="Q29" i="67"/>
  <c r="Q10" i="67"/>
  <c r="Q37" i="67"/>
  <c r="Q13" i="67" l="1"/>
  <c r="Q11" i="67"/>
  <c r="R24" i="67"/>
  <c r="R10" i="67" s="1"/>
  <c r="R27" i="67"/>
  <c r="S23" i="67" l="1"/>
  <c r="R31" i="67"/>
  <c r="R32" i="67" s="1"/>
  <c r="R29" i="67"/>
  <c r="R13" i="67"/>
  <c r="R11" i="67"/>
  <c r="R37" i="67"/>
  <c r="S24" i="67" l="1"/>
  <c r="S10" i="67" s="1"/>
  <c r="S13" i="67" l="1"/>
  <c r="S11" i="67"/>
  <c r="S27" i="67"/>
  <c r="T23" i="67" l="1"/>
  <c r="S29" i="67"/>
  <c r="S31" i="67"/>
  <c r="S32" i="67" s="1"/>
  <c r="S37" i="67"/>
  <c r="T24" i="67" l="1"/>
  <c r="T10" i="67" s="1"/>
  <c r="T27" i="67" l="1"/>
  <c r="T13" i="67"/>
  <c r="T11" i="67"/>
  <c r="T37" i="67"/>
  <c r="U23" i="67" l="1"/>
  <c r="T31" i="67"/>
  <c r="T32" i="67" s="1"/>
  <c r="T29" i="67"/>
  <c r="U24" i="67" l="1"/>
  <c r="U10" i="67" s="1"/>
  <c r="U27" i="67"/>
  <c r="V23" i="67" l="1"/>
  <c r="U29" i="67"/>
  <c r="U31" i="67"/>
  <c r="U32" i="67" s="1"/>
  <c r="U13" i="67"/>
  <c r="U11" i="67"/>
  <c r="U37" i="67"/>
  <c r="V24" i="67" l="1"/>
  <c r="V10" i="67" s="1"/>
  <c r="V13" i="67" l="1"/>
  <c r="V11" i="67"/>
  <c r="V27" i="67"/>
  <c r="V37" i="67" s="1"/>
  <c r="W23" i="67" l="1"/>
  <c r="V29" i="67"/>
  <c r="V31" i="67"/>
  <c r="V32" i="67" s="1"/>
  <c r="W24" i="67" l="1"/>
  <c r="W10" i="67" s="1"/>
  <c r="W27" i="67"/>
  <c r="W37" i="67"/>
  <c r="X23" i="67" l="1"/>
  <c r="W29" i="67"/>
  <c r="W31" i="67"/>
  <c r="W32" i="67" s="1"/>
  <c r="W13" i="67"/>
  <c r="W11" i="67"/>
  <c r="X24" i="67" l="1"/>
  <c r="X10" i="67" s="1"/>
  <c r="X27" i="67" l="1"/>
  <c r="X13" i="67"/>
  <c r="X11" i="67"/>
  <c r="X37" i="67"/>
  <c r="Y23" i="67" l="1"/>
  <c r="X31" i="67"/>
  <c r="X32" i="67" s="1"/>
  <c r="X29" i="67"/>
  <c r="Y24" i="67" l="1"/>
  <c r="Y27" i="67" s="1"/>
  <c r="Y29" i="67" l="1"/>
  <c r="Y31" i="67"/>
  <c r="Y32" i="67" s="1"/>
  <c r="Y10" i="67"/>
  <c r="Y37" i="67"/>
  <c r="Y13" i="67" l="1"/>
  <c r="Y11" i="67"/>
  <c r="AK42" i="4" l="1"/>
  <c r="AK41" i="4" s="1"/>
  <c r="FT71" i="11"/>
  <c r="AL64" i="4"/>
  <c r="AK67" i="4"/>
  <c r="AL42" i="4" l="1"/>
  <c r="AL65" i="4"/>
  <c r="AK68" i="4"/>
  <c r="AL67" i="4"/>
  <c r="AL68" i="4" s="1"/>
  <c r="FU71" i="11"/>
  <c r="AM64" i="4"/>
  <c r="AM66" i="4" s="1"/>
  <c r="FT69" i="11"/>
  <c r="AK43" i="4"/>
  <c r="AK44" i="4" s="1"/>
  <c r="AL40" i="4"/>
  <c r="AL41" i="4" l="1"/>
  <c r="AM42" i="4"/>
  <c r="AN40" i="4" s="1"/>
  <c r="AN64" i="4"/>
  <c r="AN66" i="4" s="1"/>
  <c r="FW71" i="11" s="1"/>
  <c r="FU69" i="11"/>
  <c r="AM40" i="4"/>
  <c r="AM67" i="4"/>
  <c r="AM68" i="4" s="1"/>
  <c r="FV71" i="11"/>
  <c r="AK70" i="4"/>
  <c r="AK71" i="4" s="1"/>
  <c r="AK73" i="4"/>
  <c r="X40" i="67"/>
  <c r="FT82" i="11"/>
  <c r="AL43" i="4"/>
  <c r="AL44" i="4" s="1"/>
  <c r="FV69" i="11" l="1"/>
  <c r="FV82" i="11" s="1"/>
  <c r="AM41" i="4"/>
  <c r="AO64" i="4"/>
  <c r="AO66" i="4" s="1"/>
  <c r="AN67" i="4"/>
  <c r="AN68" i="4" s="1"/>
  <c r="AN42" i="4"/>
  <c r="FW69" i="11" s="1"/>
  <c r="AL73" i="4"/>
  <c r="AL70" i="4"/>
  <c r="AL71" i="4" s="1"/>
  <c r="AM72" i="4"/>
  <c r="AM43" i="4"/>
  <c r="AM44" i="4" s="1"/>
  <c r="X41" i="67"/>
  <c r="X47" i="67"/>
  <c r="X48" i="67" s="1"/>
  <c r="FT72" i="11"/>
  <c r="AK49" i="4"/>
  <c r="AK20" i="4"/>
  <c r="AK46" i="4"/>
  <c r="FU82" i="11"/>
  <c r="Y40" i="67"/>
  <c r="FW82" i="11" l="1"/>
  <c r="AA40" i="67"/>
  <c r="FX71" i="11"/>
  <c r="AP64" i="4"/>
  <c r="AP66" i="4" s="1"/>
  <c r="FY71" i="11" s="1"/>
  <c r="Z40" i="67"/>
  <c r="Z47" i="67" s="1"/>
  <c r="AN72" i="4"/>
  <c r="AN73" i="4" s="1"/>
  <c r="AN43" i="4"/>
  <c r="AN44" i="4" s="1"/>
  <c r="AK47" i="4"/>
  <c r="AN41" i="4"/>
  <c r="AO40" i="4"/>
  <c r="AO67" i="4"/>
  <c r="AO68" i="4" s="1"/>
  <c r="AO42" i="4"/>
  <c r="AP40" i="4" s="1"/>
  <c r="Y41" i="67"/>
  <c r="Y47" i="67"/>
  <c r="AL46" i="4"/>
  <c r="AL47" i="4" s="1"/>
  <c r="FU72" i="11"/>
  <c r="AL49" i="4"/>
  <c r="AL20" i="4"/>
  <c r="AM73" i="4"/>
  <c r="AM70" i="4"/>
  <c r="AM48" i="4"/>
  <c r="FT83" i="11"/>
  <c r="FT73" i="11"/>
  <c r="X43" i="67"/>
  <c r="X44" i="67" s="1"/>
  <c r="FT74" i="11"/>
  <c r="AK21" i="4"/>
  <c r="AA41" i="67" l="1"/>
  <c r="AA47" i="67"/>
  <c r="AA48" i="67" s="1"/>
  <c r="AP67" i="4"/>
  <c r="AP68" i="4" s="1"/>
  <c r="AP42" i="4"/>
  <c r="FY69" i="11" s="1"/>
  <c r="FY82" i="11" s="1"/>
  <c r="Z41" i="67"/>
  <c r="AN70" i="4"/>
  <c r="AN71" i="4" s="1"/>
  <c r="AN48" i="4"/>
  <c r="FW72" i="11" s="1"/>
  <c r="AO41" i="4"/>
  <c r="FX69" i="11"/>
  <c r="AO43" i="4"/>
  <c r="AO44" i="4" s="1"/>
  <c r="AO72" i="4"/>
  <c r="Y48" i="67"/>
  <c r="Z48" i="67"/>
  <c r="FU74" i="11"/>
  <c r="AL21" i="4"/>
  <c r="AM71" i="4"/>
  <c r="AT70" i="4"/>
  <c r="FU73" i="11"/>
  <c r="FU83" i="11"/>
  <c r="Y43" i="67"/>
  <c r="AM49" i="4"/>
  <c r="FV72" i="11"/>
  <c r="Z43" i="67" s="1"/>
  <c r="AM20" i="4"/>
  <c r="AM46" i="4"/>
  <c r="AM47" i="4" s="1"/>
  <c r="AP72" i="4" l="1"/>
  <c r="AP48" i="4" s="1"/>
  <c r="FY72" i="11" s="1"/>
  <c r="FW83" i="11"/>
  <c r="AA43" i="67"/>
  <c r="AA44" i="67" s="1"/>
  <c r="FX82" i="11"/>
  <c r="AB40" i="67"/>
  <c r="AP43" i="4"/>
  <c r="AP44" i="4" s="1"/>
  <c r="AP41" i="4"/>
  <c r="AN46" i="4"/>
  <c r="AN47" i="4" s="1"/>
  <c r="AN20" i="4"/>
  <c r="FW74" i="11" s="1"/>
  <c r="AN49" i="4"/>
  <c r="FW73" i="11"/>
  <c r="AO73" i="4"/>
  <c r="AO70" i="4"/>
  <c r="AO71" i="4" s="1"/>
  <c r="AO48" i="4"/>
  <c r="FX72" i="11" s="1"/>
  <c r="AB43" i="67" s="1"/>
  <c r="Y44" i="67"/>
  <c r="Z44" i="67"/>
  <c r="AM21" i="4"/>
  <c r="FV74" i="11"/>
  <c r="FV83" i="11"/>
  <c r="FV73" i="11"/>
  <c r="AB44" i="67" l="1"/>
  <c r="AP73" i="4"/>
  <c r="AP70" i="4"/>
  <c r="AP71" i="4" s="1"/>
  <c r="AB41" i="67"/>
  <c r="AB47" i="67"/>
  <c r="AB48" i="67" s="1"/>
  <c r="FY83" i="11"/>
  <c r="FY73" i="11"/>
  <c r="AP20" i="4"/>
  <c r="FY74" i="11" s="1"/>
  <c r="AP46" i="4"/>
  <c r="AP49" i="4"/>
  <c r="AN21" i="4"/>
  <c r="FX83" i="11"/>
  <c r="FX73" i="11"/>
  <c r="AO49" i="4"/>
  <c r="AO20" i="4"/>
  <c r="AO46" i="4"/>
  <c r="AO47" i="4" s="1"/>
  <c r="AP47" i="4" l="1"/>
  <c r="AP21" i="4"/>
  <c r="AO21" i="4"/>
  <c r="FX74" i="11"/>
  <c r="AF146" i="3" l="1"/>
  <c r="O146" i="3"/>
  <c r="DH26" i="1" l="1"/>
  <c r="DM26" i="1" s="1"/>
  <c r="DH32" i="1"/>
  <c r="DM32" i="1" s="1"/>
  <c r="DI32" i="1" l="1"/>
  <c r="AM152" i="8"/>
  <c r="DH24" i="1"/>
  <c r="DI70" i="1"/>
  <c r="EH11" i="11"/>
  <c r="DH36" i="1"/>
  <c r="DH82" i="1"/>
  <c r="DI52" i="1"/>
  <c r="DI26" i="1"/>
  <c r="DI76" i="1"/>
  <c r="DH30" i="1"/>
  <c r="DH25" i="1"/>
  <c r="DI74" i="1" l="1"/>
  <c r="DM24" i="1"/>
  <c r="AM150" i="8"/>
  <c r="DN82" i="1"/>
  <c r="DI24" i="1"/>
  <c r="DI82" i="1"/>
  <c r="AL152" i="8"/>
  <c r="DP74" i="1"/>
  <c r="AK11" i="5"/>
  <c r="AK30" i="5" s="1"/>
  <c r="EH12" i="11"/>
  <c r="EH23" i="11"/>
  <c r="EK22" i="11"/>
  <c r="EK53" i="11" s="1"/>
  <c r="EJ22" i="11"/>
  <c r="EJ53" i="11" s="1"/>
  <c r="EH22" i="11"/>
  <c r="EI22" i="11"/>
  <c r="DH112" i="1"/>
  <c r="DI122" i="1" s="1"/>
  <c r="DJ82" i="1"/>
  <c r="DH86" i="1"/>
  <c r="DI36" i="1"/>
  <c r="DI56" i="1"/>
  <c r="DI25" i="1"/>
  <c r="DI75" i="1"/>
  <c r="DI30" i="1"/>
  <c r="DI50" i="1"/>
  <c r="DH80" i="1"/>
  <c r="AL150" i="8" l="1"/>
  <c r="EH27" i="11"/>
  <c r="EH55" i="11" s="1"/>
  <c r="EH64" i="11"/>
  <c r="C44" i="85" s="1"/>
  <c r="EH54" i="11"/>
  <c r="EH47" i="11"/>
  <c r="EH53" i="11"/>
  <c r="AK32" i="5"/>
  <c r="AK12" i="5"/>
  <c r="FT11" i="11"/>
  <c r="DI112" i="1"/>
  <c r="DI86" i="1"/>
  <c r="DH116" i="1"/>
  <c r="DI116" i="1" s="1"/>
  <c r="DJ86" i="1"/>
  <c r="DI80" i="1"/>
  <c r="DJ80" i="1"/>
  <c r="DH110" i="1"/>
  <c r="EJ29" i="11" l="1"/>
  <c r="EJ56" i="11" s="1"/>
  <c r="DN122" i="1"/>
  <c r="EH29" i="11"/>
  <c r="DI120" i="1"/>
  <c r="EH66" i="11"/>
  <c r="EH58" i="11"/>
  <c r="AM11" i="5"/>
  <c r="AL12" i="5"/>
  <c r="FU11" i="11"/>
  <c r="AK31" i="5"/>
  <c r="AL31" i="5"/>
  <c r="P7" i="83"/>
  <c r="FT22" i="11"/>
  <c r="DH126" i="1"/>
  <c r="DJ122" i="1"/>
  <c r="DH142" i="1"/>
  <c r="DJ120" i="1"/>
  <c r="DI110" i="1"/>
  <c r="DH140" i="1"/>
  <c r="P104" i="83" l="1"/>
  <c r="P55" i="83"/>
  <c r="DJ126" i="1"/>
  <c r="C22" i="85"/>
  <c r="EJ31" i="11"/>
  <c r="EJ35" i="11" s="1"/>
  <c r="DJ142" i="1"/>
  <c r="DN142" i="1"/>
  <c r="EH31" i="11"/>
  <c r="EH35" i="11" s="1"/>
  <c r="EH56" i="11"/>
  <c r="Q7" i="83"/>
  <c r="P153" i="83"/>
  <c r="P41" i="83"/>
  <c r="AL32" i="5"/>
  <c r="FU18" i="11"/>
  <c r="Q14" i="83"/>
  <c r="FV11" i="11"/>
  <c r="AM12" i="5"/>
  <c r="AM29" i="5"/>
  <c r="AN11" i="5"/>
  <c r="AO11" i="5" s="1"/>
  <c r="AP11" i="5" s="1"/>
  <c r="DH162" i="1"/>
  <c r="DH172" i="1"/>
  <c r="DH146" i="1"/>
  <c r="DI142" i="1"/>
  <c r="DI140" i="1"/>
  <c r="DJ140" i="1"/>
  <c r="DH160" i="1"/>
  <c r="DH170" i="1"/>
  <c r="EJ57" i="11" l="1"/>
  <c r="DI162" i="1"/>
  <c r="DN162" i="1"/>
  <c r="DM172" i="1"/>
  <c r="DN172" i="1"/>
  <c r="EH57" i="11"/>
  <c r="AN12" i="5"/>
  <c r="AN29" i="5"/>
  <c r="AN32" i="5" s="1"/>
  <c r="FY11" i="11"/>
  <c r="FW11" i="11"/>
  <c r="R14" i="83"/>
  <c r="FV18" i="11"/>
  <c r="Q44" i="83"/>
  <c r="Q62" i="83"/>
  <c r="Q160" i="83"/>
  <c r="P89" i="83"/>
  <c r="FU22" i="11"/>
  <c r="P197" i="83"/>
  <c r="P138" i="83"/>
  <c r="R7" i="83"/>
  <c r="Q41" i="83"/>
  <c r="Q55" i="83"/>
  <c r="Q153" i="83"/>
  <c r="Q104" i="83"/>
  <c r="AM32" i="5"/>
  <c r="DH182" i="1"/>
  <c r="DH166" i="1"/>
  <c r="DJ162" i="1"/>
  <c r="EJ37" i="11"/>
  <c r="DI172" i="1"/>
  <c r="DJ172" i="1"/>
  <c r="DI146" i="1"/>
  <c r="DJ146" i="1"/>
  <c r="EH37" i="11"/>
  <c r="DI170" i="1"/>
  <c r="DJ170" i="1"/>
  <c r="DI160" i="1"/>
  <c r="DJ160" i="1"/>
  <c r="DH180" i="1"/>
  <c r="U7" i="83" l="1"/>
  <c r="DJ166" i="1"/>
  <c r="EH65" i="11"/>
  <c r="C45" i="85" s="1"/>
  <c r="DI182" i="1"/>
  <c r="DM182" i="1"/>
  <c r="EJ65" i="11"/>
  <c r="EO65" i="11"/>
  <c r="AP29" i="5"/>
  <c r="AP12" i="5"/>
  <c r="Q89" i="83"/>
  <c r="R41" i="83"/>
  <c r="R55" i="83"/>
  <c r="R153" i="83"/>
  <c r="R104" i="83"/>
  <c r="Q111" i="83"/>
  <c r="R62" i="83"/>
  <c r="R160" i="83"/>
  <c r="R44" i="83"/>
  <c r="S14" i="83"/>
  <c r="FW18" i="11"/>
  <c r="FW22" i="11" s="1"/>
  <c r="Q197" i="83"/>
  <c r="FX11" i="11"/>
  <c r="AO29" i="5"/>
  <c r="AO12" i="5"/>
  <c r="FV22" i="11"/>
  <c r="Q138" i="83"/>
  <c r="S7" i="83"/>
  <c r="EJ38" i="11"/>
  <c r="DI166" i="1"/>
  <c r="DI180" i="1"/>
  <c r="EH38" i="11"/>
  <c r="U153" i="83" l="1"/>
  <c r="U55" i="83"/>
  <c r="U104" i="83"/>
  <c r="U14" i="83"/>
  <c r="FY18" i="11"/>
  <c r="FY22" i="11" s="1"/>
  <c r="AT29" i="5"/>
  <c r="AP32" i="5"/>
  <c r="S44" i="83"/>
  <c r="S160" i="83"/>
  <c r="S62" i="83"/>
  <c r="R197" i="83"/>
  <c r="R89" i="83"/>
  <c r="AO32" i="5"/>
  <c r="T14" i="83"/>
  <c r="FX18" i="11"/>
  <c r="FX22" i="11" s="1"/>
  <c r="R138" i="83"/>
  <c r="S41" i="83"/>
  <c r="S104" i="83"/>
  <c r="S55" i="83"/>
  <c r="S153" i="83"/>
  <c r="T7" i="83"/>
  <c r="U41" i="83" s="1"/>
  <c r="R111" i="83"/>
  <c r="U160" i="83" l="1"/>
  <c r="U44" i="83"/>
  <c r="U62" i="83"/>
  <c r="U111" i="83" s="1"/>
  <c r="S89" i="83"/>
  <c r="S111" i="83"/>
  <c r="S197" i="83"/>
  <c r="T160" i="83"/>
  <c r="T44" i="83"/>
  <c r="T62" i="83"/>
  <c r="T41" i="83"/>
  <c r="T153" i="83"/>
  <c r="U197" i="83" s="1"/>
  <c r="T55" i="83"/>
  <c r="U89" i="83" s="1"/>
  <c r="T104" i="83"/>
  <c r="U138" i="83" s="1"/>
  <c r="S138" i="83"/>
  <c r="T111" i="83" l="1"/>
  <c r="T89" i="83"/>
  <c r="T138" i="83"/>
  <c r="T197" i="83"/>
  <c r="FU42" i="11" l="1"/>
  <c r="FU41" i="11" s="1"/>
  <c r="FV42" i="11" l="1"/>
  <c r="FW42" i="11" s="1"/>
  <c r="FX42" i="11" s="1"/>
  <c r="FY42" i="11" s="1"/>
  <c r="FV41" i="11" l="1"/>
  <c r="FV40" i="11" s="1"/>
  <c r="AM64" i="5" l="1"/>
  <c r="FW41" i="11"/>
  <c r="FW40" i="11" s="1"/>
  <c r="AN34" i="10"/>
  <c r="Q27" i="83"/>
  <c r="AN64" i="5" l="1"/>
  <c r="Q75" i="83"/>
  <c r="Q175" i="83"/>
  <c r="AN37" i="10"/>
  <c r="FX41" i="11"/>
  <c r="FX40" i="11" s="1"/>
  <c r="AO64" i="5" l="1"/>
  <c r="FY41" i="11"/>
  <c r="FY40" i="11" s="1"/>
  <c r="AP64" i="5" s="1"/>
  <c r="Q124" i="83"/>
  <c r="Q174" i="83"/>
  <c r="Q173" i="83" s="1"/>
  <c r="Q176" i="83" l="1"/>
  <c r="O183" i="83" l="1"/>
  <c r="O182" i="83" s="1"/>
  <c r="O158" i="83" s="1"/>
  <c r="O188" i="83"/>
  <c r="O187" i="83" s="1"/>
  <c r="O159" i="83" s="1"/>
  <c r="O203" i="83" l="1"/>
  <c r="O161" i="83"/>
  <c r="O156" i="83"/>
  <c r="O204" i="83" l="1"/>
  <c r="O191" i="83"/>
  <c r="O162" i="83"/>
  <c r="O205" i="83" l="1"/>
  <c r="O179" i="83"/>
  <c r="O165" i="83"/>
  <c r="O192" i="83"/>
  <c r="O207" i="83" l="1"/>
  <c r="O167" i="83"/>
  <c r="O170" i="83" s="1"/>
  <c r="O172" i="83" s="1"/>
  <c r="O206" i="83" l="1"/>
  <c r="O152" i="3" l="1"/>
  <c r="AF152" i="3"/>
  <c r="D151" i="8" l="1"/>
  <c r="R156" i="3"/>
  <c r="T163" i="3" l="1"/>
  <c r="DL13" i="1"/>
  <c r="DL33" i="1" s="1"/>
  <c r="E165" i="3"/>
  <c r="L151" i="8"/>
  <c r="C156" i="3"/>
  <c r="D154" i="8"/>
  <c r="DH14" i="1"/>
  <c r="DJ15" i="1"/>
  <c r="DH31" i="1"/>
  <c r="C5" i="85"/>
  <c r="DH15" i="1"/>
  <c r="DI15" i="1" s="1"/>
  <c r="CL11" i="6"/>
  <c r="EI10" i="11"/>
  <c r="AK26" i="4" l="1"/>
  <c r="DI14" i="1"/>
  <c r="V163" i="3"/>
  <c r="X163" i="3" s="1"/>
  <c r="AI163" i="3"/>
  <c r="AK163" i="3" s="1"/>
  <c r="AM163" i="3" s="1"/>
  <c r="EP10" i="11"/>
  <c r="DL43" i="1"/>
  <c r="DL63" i="1"/>
  <c r="DL16" i="1"/>
  <c r="DM16" i="1" s="1"/>
  <c r="DM13" i="1"/>
  <c r="L154" i="8"/>
  <c r="G156" i="3"/>
  <c r="EI61" i="11"/>
  <c r="EI12" i="11"/>
  <c r="EI53" i="11" s="1"/>
  <c r="DH45" i="1"/>
  <c r="DI45" i="1" s="1"/>
  <c r="DJ45" i="1" s="1"/>
  <c r="EI14" i="11"/>
  <c r="DH44" i="1"/>
  <c r="F151" i="8"/>
  <c r="DI31" i="1"/>
  <c r="AM151" i="8"/>
  <c r="DH35" i="1"/>
  <c r="DH34" i="1"/>
  <c r="AK7" i="5"/>
  <c r="CL17" i="6"/>
  <c r="CL23" i="6" s="1"/>
  <c r="CL29" i="6" s="1"/>
  <c r="CL35" i="6" s="1"/>
  <c r="CL41" i="6" s="1"/>
  <c r="DH64" i="1"/>
  <c r="AK25" i="5" s="1"/>
  <c r="DH65" i="1"/>
  <c r="DJ61" i="1"/>
  <c r="EI17" i="11"/>
  <c r="EI51" i="11" s="1"/>
  <c r="DN16" i="1" l="1"/>
  <c r="EP14" i="11"/>
  <c r="EP50" i="11" s="1"/>
  <c r="F160" i="8"/>
  <c r="DL46" i="1"/>
  <c r="DM46" i="1" s="1"/>
  <c r="DN46" i="1" s="1"/>
  <c r="EP17" i="11"/>
  <c r="EP51" i="11" s="1"/>
  <c r="DN63" i="1"/>
  <c r="DL53" i="1"/>
  <c r="DL83" i="1" s="1"/>
  <c r="DL66" i="1"/>
  <c r="AM160" i="8"/>
  <c r="DM33" i="1"/>
  <c r="DL36" i="1"/>
  <c r="DM36" i="1" s="1"/>
  <c r="EP12" i="11"/>
  <c r="EP53" i="11" s="1"/>
  <c r="EP61" i="11"/>
  <c r="O156" i="3"/>
  <c r="AF156" i="3"/>
  <c r="EI50" i="11"/>
  <c r="C9" i="85"/>
  <c r="DJ65" i="1"/>
  <c r="DI65" i="1"/>
  <c r="EI16" i="11"/>
  <c r="DI51" i="1"/>
  <c r="DQ51" i="1" s="1"/>
  <c r="DJ51" i="1"/>
  <c r="DH55" i="1"/>
  <c r="EI19" i="11"/>
  <c r="DH54" i="1"/>
  <c r="DH81" i="1"/>
  <c r="T150" i="8"/>
  <c r="AJ150" i="8"/>
  <c r="EI21" i="11"/>
  <c r="EI52" i="11" s="1"/>
  <c r="AM154" i="8"/>
  <c r="DI34" i="1"/>
  <c r="DI64" i="1"/>
  <c r="DJ64" i="1"/>
  <c r="AK14" i="5"/>
  <c r="AK11" i="4"/>
  <c r="FT10" i="11"/>
  <c r="AN59" i="9"/>
  <c r="AK8" i="5"/>
  <c r="C14" i="106"/>
  <c r="DI35" i="1"/>
  <c r="F154" i="8"/>
  <c r="T153" i="8" s="1"/>
  <c r="DI44" i="1"/>
  <c r="DJ44" i="1" s="1"/>
  <c r="AK17" i="5"/>
  <c r="I4" i="85"/>
  <c r="H4" i="85"/>
  <c r="J4" i="85"/>
  <c r="C33" i="85"/>
  <c r="DH84" i="1" l="1"/>
  <c r="AK21" i="5"/>
  <c r="AL160" i="8"/>
  <c r="DL113" i="1"/>
  <c r="DN83" i="1"/>
  <c r="DM83" i="1"/>
  <c r="EP21" i="11"/>
  <c r="EP52" i="11" s="1"/>
  <c r="DM66" i="1"/>
  <c r="DN66" i="1"/>
  <c r="EP16" i="11"/>
  <c r="DM53" i="1"/>
  <c r="DN53" i="1"/>
  <c r="EP19" i="11"/>
  <c r="EP63" i="11" s="1"/>
  <c r="DL56" i="1"/>
  <c r="EI63" i="11"/>
  <c r="DJ55" i="1"/>
  <c r="DI55" i="1"/>
  <c r="H6" i="85"/>
  <c r="J6" i="85"/>
  <c r="I6" i="85"/>
  <c r="C8" i="85"/>
  <c r="C30" i="85" s="1"/>
  <c r="AJ153" i="8"/>
  <c r="AM50" i="10"/>
  <c r="AN64" i="9"/>
  <c r="AK15" i="5"/>
  <c r="DI81" i="1"/>
  <c r="DJ81" i="1"/>
  <c r="AL151" i="8"/>
  <c r="DH111" i="1"/>
  <c r="DI121" i="1" s="1"/>
  <c r="FT12" i="11"/>
  <c r="P6" i="83"/>
  <c r="FT61" i="11"/>
  <c r="EI23" i="11"/>
  <c r="I33" i="85"/>
  <c r="H33" i="85"/>
  <c r="I9" i="85"/>
  <c r="J9" i="85"/>
  <c r="H9" i="85"/>
  <c r="C31" i="85"/>
  <c r="AK23" i="4"/>
  <c r="AK12" i="4"/>
  <c r="AK17" i="4"/>
  <c r="AK18" i="4" s="1"/>
  <c r="FT14" i="11"/>
  <c r="AK18" i="5"/>
  <c r="AN60" i="9"/>
  <c r="P10" i="83"/>
  <c r="DH85" i="1"/>
  <c r="P13" i="83"/>
  <c r="P61" i="83" s="1"/>
  <c r="AK26" i="5"/>
  <c r="FT17" i="11"/>
  <c r="DJ54" i="1"/>
  <c r="DI54" i="1"/>
  <c r="P58" i="83" l="1"/>
  <c r="P107" i="83"/>
  <c r="P103" i="83"/>
  <c r="P54" i="83"/>
  <c r="P63" i="83"/>
  <c r="P110" i="83"/>
  <c r="P82" i="83"/>
  <c r="DI84" i="1"/>
  <c r="AL154" i="8"/>
  <c r="DJ84" i="1"/>
  <c r="DH114" i="1"/>
  <c r="DI114" i="1" s="1"/>
  <c r="DL86" i="1"/>
  <c r="DN56" i="1"/>
  <c r="DM56" i="1"/>
  <c r="EP23" i="11"/>
  <c r="DL123" i="1"/>
  <c r="DL143" i="1" s="1"/>
  <c r="DM113" i="1"/>
  <c r="AN66" i="9"/>
  <c r="FT53" i="11"/>
  <c r="P8" i="83"/>
  <c r="P42" i="83" s="1"/>
  <c r="P12" i="83"/>
  <c r="P40" i="83"/>
  <c r="AK19" i="5"/>
  <c r="EI54" i="11"/>
  <c r="EI64" i="11"/>
  <c r="EI47" i="11"/>
  <c r="EI27" i="11"/>
  <c r="FT75" i="11"/>
  <c r="AK24" i="4"/>
  <c r="FT51" i="11"/>
  <c r="FT19" i="11"/>
  <c r="AN61" i="9"/>
  <c r="AK22" i="5"/>
  <c r="AK23" i="5" s="1"/>
  <c r="AK27" i="5"/>
  <c r="DI85" i="1"/>
  <c r="DJ85" i="1"/>
  <c r="DH115" i="1"/>
  <c r="DI115" i="1" s="1"/>
  <c r="FT50" i="11"/>
  <c r="I31" i="85"/>
  <c r="H31" i="85"/>
  <c r="J31" i="85"/>
  <c r="FT21" i="11"/>
  <c r="P10" i="85"/>
  <c r="C12" i="85"/>
  <c r="H10" i="85"/>
  <c r="C32" i="85"/>
  <c r="P34" i="83"/>
  <c r="P15" i="83"/>
  <c r="FT16" i="11"/>
  <c r="DI111" i="1"/>
  <c r="AK34" i="5"/>
  <c r="P60" i="83" l="1"/>
  <c r="P81" i="83" s="1"/>
  <c r="P56" i="83"/>
  <c r="P105" i="83"/>
  <c r="P109" i="83"/>
  <c r="P130" i="83" s="1"/>
  <c r="P83" i="83"/>
  <c r="P131" i="83"/>
  <c r="P112" i="83"/>
  <c r="DL116" i="1"/>
  <c r="DM116" i="1" s="1"/>
  <c r="DM86" i="1"/>
  <c r="DN86" i="1"/>
  <c r="EP54" i="11"/>
  <c r="EP64" i="11"/>
  <c r="EP27" i="11"/>
  <c r="EP47" i="11"/>
  <c r="EP29" i="11"/>
  <c r="DN123" i="1"/>
  <c r="DL126" i="1"/>
  <c r="DN126" i="1" s="1"/>
  <c r="AK35" i="5"/>
  <c r="AK32" i="4"/>
  <c r="AK33" i="4" s="1"/>
  <c r="AK42" i="5"/>
  <c r="H12" i="85"/>
  <c r="C34" i="85"/>
  <c r="I12" i="85"/>
  <c r="J12" i="85"/>
  <c r="C16" i="85"/>
  <c r="P16" i="83"/>
  <c r="P33" i="83"/>
  <c r="AN27" i="9"/>
  <c r="AN34" i="9" s="1"/>
  <c r="AM24" i="10"/>
  <c r="AN72" i="9"/>
  <c r="EF70" i="11" s="1"/>
  <c r="DJ121" i="1"/>
  <c r="DI126" i="1"/>
  <c r="EI29" i="11"/>
  <c r="EI31" i="11" s="1"/>
  <c r="DH125" i="1"/>
  <c r="DJ125" i="1" s="1"/>
  <c r="DH124" i="1"/>
  <c r="AK45" i="5" s="1"/>
  <c r="P189" i="83"/>
  <c r="DH141" i="1"/>
  <c r="DH171" i="1" s="1"/>
  <c r="H32" i="85"/>
  <c r="J32" i="85"/>
  <c r="I32" i="85"/>
  <c r="FT52" i="11"/>
  <c r="EI55" i="11"/>
  <c r="P45" i="83"/>
  <c r="P35" i="83"/>
  <c r="FT63" i="11"/>
  <c r="EI58" i="11"/>
  <c r="EI66" i="11"/>
  <c r="AN65" i="9"/>
  <c r="FT23" i="11"/>
  <c r="P64" i="83" l="1"/>
  <c r="P78" i="83" s="1"/>
  <c r="P132" i="83"/>
  <c r="P113" i="83"/>
  <c r="P183" i="83"/>
  <c r="P182" i="83" s="1"/>
  <c r="EP56" i="11"/>
  <c r="DL163" i="1"/>
  <c r="DM143" i="1"/>
  <c r="DL173" i="1"/>
  <c r="DN143" i="1"/>
  <c r="DL146" i="1"/>
  <c r="EP66" i="11"/>
  <c r="EP58" i="11"/>
  <c r="EP55" i="11"/>
  <c r="EP31" i="11"/>
  <c r="P36" i="83"/>
  <c r="P30" i="83"/>
  <c r="P48" i="83" s="1"/>
  <c r="P46" i="83"/>
  <c r="P19" i="83"/>
  <c r="C7" i="106"/>
  <c r="P188" i="83"/>
  <c r="P187" i="83" s="1"/>
  <c r="P190" i="83"/>
  <c r="DI124" i="1"/>
  <c r="DJ124" i="1"/>
  <c r="I34" i="85"/>
  <c r="H34" i="85"/>
  <c r="J34" i="85"/>
  <c r="EI35" i="11"/>
  <c r="EI57" i="11"/>
  <c r="DJ141" i="1"/>
  <c r="DH144" i="1"/>
  <c r="DI141" i="1"/>
  <c r="DH161" i="1"/>
  <c r="DH145" i="1"/>
  <c r="DI125" i="1"/>
  <c r="J16" i="85"/>
  <c r="I16" i="85"/>
  <c r="H16" i="85"/>
  <c r="C35" i="85"/>
  <c r="C20" i="85"/>
  <c r="L16" i="85"/>
  <c r="L18" i="85" s="1"/>
  <c r="AM26" i="10"/>
  <c r="FT54" i="11"/>
  <c r="FT27" i="11"/>
  <c r="FT47" i="11"/>
  <c r="FT64" i="11"/>
  <c r="EI56" i="11"/>
  <c r="P184" i="83"/>
  <c r="AK43" i="5"/>
  <c r="P67" i="83" l="1"/>
  <c r="P84" i="83"/>
  <c r="P116" i="83"/>
  <c r="P133" i="83"/>
  <c r="P127" i="83"/>
  <c r="DM146" i="1"/>
  <c r="DN146" i="1"/>
  <c r="DM163" i="1"/>
  <c r="DL183" i="1"/>
  <c r="DN163" i="1"/>
  <c r="DL166" i="1"/>
  <c r="DM173" i="1"/>
  <c r="DN173" i="1"/>
  <c r="EP37" i="11"/>
  <c r="EP65" i="11" s="1"/>
  <c r="EP57" i="11"/>
  <c r="EP35" i="11"/>
  <c r="L22" i="85"/>
  <c r="H20" i="85"/>
  <c r="I20" i="85"/>
  <c r="J20" i="85"/>
  <c r="C36" i="85"/>
  <c r="C24" i="85"/>
  <c r="J35" i="85"/>
  <c r="I35" i="85"/>
  <c r="H35" i="85"/>
  <c r="DI171" i="1"/>
  <c r="DQ173" i="1"/>
  <c r="DJ171" i="1"/>
  <c r="EI37" i="11"/>
  <c r="EI65" i="11" s="1"/>
  <c r="DJ144" i="1"/>
  <c r="DI144" i="1"/>
  <c r="DH164" i="1"/>
  <c r="DH174" i="1"/>
  <c r="FT55" i="11"/>
  <c r="DJ145" i="1"/>
  <c r="DI145" i="1"/>
  <c r="FT58" i="11"/>
  <c r="FT66" i="11"/>
  <c r="P185" i="83"/>
  <c r="J22" i="85"/>
  <c r="H22" i="85"/>
  <c r="I22" i="85"/>
  <c r="C37" i="85"/>
  <c r="DJ161" i="1"/>
  <c r="DI161" i="1"/>
  <c r="DH165" i="1"/>
  <c r="DH181" i="1"/>
  <c r="AK48" i="5"/>
  <c r="AK50" i="5" s="1"/>
  <c r="FT29" i="11"/>
  <c r="P21" i="83"/>
  <c r="AK46" i="5"/>
  <c r="P37" i="83" l="1"/>
  <c r="P118" i="83"/>
  <c r="P69" i="83"/>
  <c r="P121" i="83"/>
  <c r="P123" i="83" s="1"/>
  <c r="P134" i="83"/>
  <c r="EP38" i="11"/>
  <c r="DM183" i="1"/>
  <c r="DM166" i="1"/>
  <c r="DN166" i="1"/>
  <c r="C9" i="106"/>
  <c r="C10" i="106" s="1"/>
  <c r="P193" i="83"/>
  <c r="DI181" i="1"/>
  <c r="EI38" i="11"/>
  <c r="I36" i="85"/>
  <c r="H36" i="85"/>
  <c r="J36" i="85"/>
  <c r="FT56" i="11"/>
  <c r="DI165" i="1"/>
  <c r="DJ165" i="1"/>
  <c r="H37" i="85"/>
  <c r="I37" i="85"/>
  <c r="J37" i="85"/>
  <c r="FT31" i="11"/>
  <c r="DJ174" i="1"/>
  <c r="DI174" i="1"/>
  <c r="AK51" i="5"/>
  <c r="AN62" i="9"/>
  <c r="AK58" i="5"/>
  <c r="AK55" i="5"/>
  <c r="AM8" i="10" s="1"/>
  <c r="P24" i="83"/>
  <c r="P26" i="83" s="1"/>
  <c r="P47" i="83" s="1"/>
  <c r="DI164" i="1"/>
  <c r="DJ164" i="1"/>
  <c r="DH184" i="1"/>
  <c r="DI184" i="1" s="1"/>
  <c r="I24" i="85"/>
  <c r="H24" i="85"/>
  <c r="J24" i="85"/>
  <c r="L27" i="85"/>
  <c r="L28" i="85" s="1"/>
  <c r="C26" i="85"/>
  <c r="C38" i="85"/>
  <c r="P85" i="83" l="1"/>
  <c r="P72" i="83"/>
  <c r="P74" i="83" s="1"/>
  <c r="H26" i="85"/>
  <c r="I26" i="85"/>
  <c r="J26" i="85"/>
  <c r="O26" i="85"/>
  <c r="AK56" i="5"/>
  <c r="AK61" i="5"/>
  <c r="AK59" i="5"/>
  <c r="FT37" i="11"/>
  <c r="FT57" i="11"/>
  <c r="FT35" i="11"/>
  <c r="I38" i="85"/>
  <c r="J38" i="85"/>
  <c r="H38" i="85"/>
  <c r="L4" i="85"/>
  <c r="C11" i="106"/>
  <c r="L9" i="85" l="1"/>
  <c r="L10" i="85" s="1"/>
  <c r="L11" i="85" s="1"/>
  <c r="FU96" i="11"/>
  <c r="FT65" i="11"/>
  <c r="FT38" i="11"/>
  <c r="AK62" i="5"/>
  <c r="AM13" i="10"/>
  <c r="L12" i="85" l="1"/>
  <c r="AM40" i="10"/>
  <c r="AM28" i="10"/>
  <c r="AM51" i="10" s="1"/>
  <c r="AN39" i="9"/>
  <c r="AL41" i="7" l="1"/>
  <c r="AL47" i="7" s="1"/>
  <c r="AL53" i="7" s="1"/>
  <c r="EF71" i="11" s="1"/>
  <c r="EF72" i="11"/>
  <c r="AN54" i="9"/>
  <c r="AN41" i="9"/>
  <c r="AN52" i="9"/>
  <c r="AN55" i="9" s="1"/>
  <c r="AM44" i="10"/>
  <c r="AM41" i="10"/>
  <c r="AN9" i="9" s="1"/>
  <c r="AN39" i="10" l="1"/>
  <c r="AL11" i="7"/>
  <c r="AL35" i="7" s="1"/>
  <c r="AL59" i="7" s="1"/>
  <c r="AN51" i="9" l="1"/>
  <c r="AN56" i="9" s="1"/>
  <c r="AN14" i="9"/>
  <c r="AN53" i="9" l="1"/>
  <c r="AN20" i="9"/>
  <c r="AN43" i="9" l="1"/>
  <c r="T153" i="3" l="1"/>
  <c r="AO156" i="3"/>
  <c r="AQ156" i="3" s="1"/>
  <c r="T156" i="3" l="1"/>
  <c r="V156" i="3" s="1"/>
  <c r="X156" i="3" s="1"/>
  <c r="AK9" i="4"/>
  <c r="AL10" i="4" s="1"/>
  <c r="AP164" i="3"/>
  <c r="V153" i="3"/>
  <c r="AI153" i="3"/>
  <c r="AP156" i="3"/>
  <c r="X153" i="3" l="1"/>
  <c r="AK7" i="4"/>
  <c r="AK10" i="4"/>
  <c r="AK13" i="4"/>
  <c r="FT77" i="11" s="1"/>
  <c r="AI156" i="3"/>
  <c r="AK156" i="3" s="1"/>
  <c r="AM156" i="3" s="1"/>
  <c r="AK153" i="3"/>
  <c r="AM153" i="3" s="1"/>
  <c r="AK8" i="4" l="1"/>
  <c r="AK14" i="4"/>
  <c r="AK15" i="4" s="1"/>
  <c r="FT76" i="11"/>
  <c r="AM9" i="4"/>
  <c r="AN9" i="4" l="1"/>
  <c r="AO9" i="4" l="1"/>
  <c r="AP9" i="4" s="1"/>
  <c r="G65" i="100" l="1"/>
  <c r="G66" i="100"/>
  <c r="DN41" i="1" l="1"/>
  <c r="DN40" i="1"/>
  <c r="C160" i="3" l="1"/>
  <c r="R160" i="3" s="1"/>
  <c r="T160" i="3" s="1"/>
  <c r="AF160" i="3"/>
  <c r="C161" i="3"/>
  <c r="R161" i="3" s="1"/>
  <c r="AF161" i="3"/>
  <c r="AI160" i="3" l="1"/>
  <c r="V160" i="3"/>
  <c r="X160" i="3" s="1"/>
  <c r="DL11" i="1"/>
  <c r="D158" i="8"/>
  <c r="L158" i="8" s="1"/>
  <c r="T161" i="3"/>
  <c r="D157" i="8"/>
  <c r="L157" i="8" s="1"/>
  <c r="DL10" i="1"/>
  <c r="R164" i="3"/>
  <c r="DL14" i="1" s="1"/>
  <c r="DN14" i="1" l="1"/>
  <c r="AL26" i="4" s="1"/>
  <c r="AI161" i="3"/>
  <c r="AK161" i="3" s="1"/>
  <c r="AM161" i="3" s="1"/>
  <c r="V161" i="3"/>
  <c r="X161" i="3" s="1"/>
  <c r="AK160" i="3"/>
  <c r="AM160" i="3" s="1"/>
  <c r="DL30" i="1"/>
  <c r="DL40" i="1"/>
  <c r="DL15" i="1"/>
  <c r="DM15" i="1" s="1"/>
  <c r="DL60" i="1"/>
  <c r="EM10" i="11"/>
  <c r="DM10" i="1"/>
  <c r="DN15" i="1"/>
  <c r="DL61" i="1"/>
  <c r="DL51" i="1" s="1"/>
  <c r="DM11" i="1"/>
  <c r="DL41" i="1"/>
  <c r="EN10" i="11"/>
  <c r="DL31" i="1"/>
  <c r="C164" i="3"/>
  <c r="D161" i="8"/>
  <c r="L161" i="8" s="1"/>
  <c r="T164" i="3"/>
  <c r="V164" i="3" s="1"/>
  <c r="X164" i="3" s="1"/>
  <c r="AL7" i="5"/>
  <c r="AL11" i="4" s="1"/>
  <c r="AK9" i="5" l="1"/>
  <c r="P43" i="83"/>
  <c r="AK28" i="4"/>
  <c r="AK36" i="4"/>
  <c r="AK35" i="4"/>
  <c r="EN19" i="11"/>
  <c r="EN63" i="11" s="1"/>
  <c r="DN51" i="1"/>
  <c r="AM11" i="4"/>
  <c r="AL17" i="4"/>
  <c r="AL18" i="4" s="1"/>
  <c r="AL23" i="4"/>
  <c r="AL12" i="4"/>
  <c r="AL13" i="4"/>
  <c r="FU77" i="11" s="1"/>
  <c r="AL7" i="4"/>
  <c r="FU10" i="11"/>
  <c r="AL14" i="5"/>
  <c r="AO59" i="9"/>
  <c r="AL8" i="5"/>
  <c r="DM30" i="1"/>
  <c r="DL35" i="1"/>
  <c r="AM157" i="8"/>
  <c r="DL34" i="1"/>
  <c r="DM14" i="1"/>
  <c r="DL50" i="1"/>
  <c r="DL65" i="1"/>
  <c r="DL64" i="1"/>
  <c r="AL25" i="5" s="1"/>
  <c r="AL26" i="5" s="1"/>
  <c r="EM17" i="11"/>
  <c r="EM51" i="11" s="1"/>
  <c r="DN60" i="1"/>
  <c r="EN12" i="11"/>
  <c r="EN53" i="11" s="1"/>
  <c r="EN61" i="11"/>
  <c r="EM12" i="11"/>
  <c r="EM53" i="11" s="1"/>
  <c r="EM61" i="11"/>
  <c r="DM31" i="1"/>
  <c r="DM51" i="1"/>
  <c r="AM158" i="8"/>
  <c r="DL81" i="1"/>
  <c r="EN17" i="11"/>
  <c r="EN51" i="11" s="1"/>
  <c r="DN61" i="1"/>
  <c r="AI164" i="3"/>
  <c r="AK164" i="3" s="1"/>
  <c r="AM164" i="3" s="1"/>
  <c r="F158" i="8"/>
  <c r="EN14" i="11"/>
  <c r="EN50" i="11" s="1"/>
  <c r="DL45" i="1"/>
  <c r="DM45" i="1" s="1"/>
  <c r="DN45" i="1" s="1"/>
  <c r="DL44" i="1"/>
  <c r="AL17" i="5" s="1"/>
  <c r="AL18" i="5" s="1"/>
  <c r="EM14" i="11"/>
  <c r="EM50" i="11" s="1"/>
  <c r="F157" i="8"/>
  <c r="P140" i="83" l="1"/>
  <c r="P202" i="83" s="1"/>
  <c r="P91" i="83"/>
  <c r="P200" i="83" s="1"/>
  <c r="P199" i="83" s="1"/>
  <c r="AL27" i="5"/>
  <c r="AM27" i="5"/>
  <c r="P201" i="83"/>
  <c r="P97" i="83"/>
  <c r="P98" i="83" s="1"/>
  <c r="FT62" i="11"/>
  <c r="AK10" i="5"/>
  <c r="AM19" i="5"/>
  <c r="AL19" i="5"/>
  <c r="AL8" i="4"/>
  <c r="AL14" i="4"/>
  <c r="AL15" i="4" s="1"/>
  <c r="FU76" i="11"/>
  <c r="AM7" i="5"/>
  <c r="D4" i="106" s="1"/>
  <c r="D14" i="106" s="1"/>
  <c r="AM23" i="4"/>
  <c r="AM17" i="4"/>
  <c r="AM18" i="4" s="1"/>
  <c r="AM12" i="4"/>
  <c r="AN11" i="4"/>
  <c r="AM13" i="4"/>
  <c r="FV77" i="11" s="1"/>
  <c r="AM7" i="4"/>
  <c r="AL24" i="4"/>
  <c r="FU75" i="11"/>
  <c r="FU17" i="11"/>
  <c r="Q13" i="83"/>
  <c r="AL15" i="5"/>
  <c r="Q10" i="83"/>
  <c r="FU14" i="11"/>
  <c r="AO60" i="9"/>
  <c r="AO10" i="9"/>
  <c r="AN50" i="10"/>
  <c r="AO12" i="9"/>
  <c r="Q6" i="83"/>
  <c r="FU12" i="11"/>
  <c r="FU61" i="11"/>
  <c r="DM65" i="1"/>
  <c r="DN65" i="1"/>
  <c r="DM81" i="1"/>
  <c r="AL158" i="8"/>
  <c r="DN81" i="1"/>
  <c r="DL111" i="1"/>
  <c r="DL54" i="1"/>
  <c r="AL21" i="5" s="1"/>
  <c r="AL34" i="5" s="1"/>
  <c r="EM19" i="11"/>
  <c r="EM63" i="11" s="1"/>
  <c r="DM50" i="1"/>
  <c r="DL55" i="1"/>
  <c r="DL85" i="1" s="1"/>
  <c r="DN50" i="1"/>
  <c r="DM35" i="1"/>
  <c r="DM44" i="1"/>
  <c r="DN44" i="1" s="1"/>
  <c r="F161" i="8"/>
  <c r="EM21" i="11"/>
  <c r="EM52" i="11" s="1"/>
  <c r="EN21" i="11"/>
  <c r="EN52" i="11" s="1"/>
  <c r="EM16" i="11"/>
  <c r="EN16" i="11"/>
  <c r="EN23" i="11" s="1"/>
  <c r="DN64" i="1"/>
  <c r="DM64" i="1"/>
  <c r="DM34" i="1"/>
  <c r="AM161" i="8"/>
  <c r="DL80" i="1"/>
  <c r="P210" i="83" l="1"/>
  <c r="P146" i="83"/>
  <c r="P147" i="83" s="1"/>
  <c r="P211" i="83" s="1"/>
  <c r="P209" i="83"/>
  <c r="P208" i="83" s="1"/>
  <c r="P196" i="83" s="1"/>
  <c r="P152" i="83" s="1"/>
  <c r="P88" i="83"/>
  <c r="FU21" i="11"/>
  <c r="FU52" i="11" s="1"/>
  <c r="AM35" i="4"/>
  <c r="AM36" i="4"/>
  <c r="AN12" i="4"/>
  <c r="AO11" i="4"/>
  <c r="AN7" i="5"/>
  <c r="E4" i="106" s="1"/>
  <c r="E14" i="106" s="1"/>
  <c r="AN17" i="4"/>
  <c r="AN18" i="4" s="1"/>
  <c r="AN23" i="4"/>
  <c r="AN13" i="4"/>
  <c r="FW77" i="11" s="1"/>
  <c r="AN7" i="4"/>
  <c r="FV10" i="11"/>
  <c r="AP59" i="9"/>
  <c r="AM14" i="5"/>
  <c r="AM17" i="5"/>
  <c r="AM25" i="5"/>
  <c r="AM28" i="5" s="1"/>
  <c r="AM8" i="5"/>
  <c r="D5" i="106" s="1"/>
  <c r="AM8" i="4"/>
  <c r="FV76" i="11"/>
  <c r="AM14" i="4"/>
  <c r="AM15" i="4" s="1"/>
  <c r="FV75" i="11"/>
  <c r="AM24" i="4"/>
  <c r="FU53" i="11"/>
  <c r="AN23" i="10"/>
  <c r="AP12" i="9"/>
  <c r="FU16" i="11"/>
  <c r="FU50" i="11"/>
  <c r="AL32" i="4"/>
  <c r="AL33" i="4" s="1"/>
  <c r="AL42" i="5"/>
  <c r="AL35" i="5"/>
  <c r="FU51" i="11"/>
  <c r="Q8" i="83"/>
  <c r="Q40" i="83"/>
  <c r="Q12" i="83"/>
  <c r="FU19" i="11"/>
  <c r="AO61" i="9"/>
  <c r="AL22" i="5"/>
  <c r="AO64" i="9"/>
  <c r="AP64" i="9" s="1"/>
  <c r="AQ64" i="9" s="1"/>
  <c r="AR64" i="9" s="1"/>
  <c r="AS64" i="9" s="1"/>
  <c r="AN18" i="10"/>
  <c r="Q34" i="83"/>
  <c r="Q15" i="83"/>
  <c r="AO23" i="9"/>
  <c r="AO11" i="9"/>
  <c r="EM23" i="11"/>
  <c r="EM47" i="11" s="1"/>
  <c r="EN54" i="11"/>
  <c r="EN64" i="11"/>
  <c r="EN27" i="11"/>
  <c r="EN47" i="11"/>
  <c r="DN85" i="1"/>
  <c r="DM85" i="1"/>
  <c r="DL115" i="1"/>
  <c r="DM115" i="1" s="1"/>
  <c r="DL110" i="1"/>
  <c r="DM80" i="1"/>
  <c r="AL157" i="8"/>
  <c r="DN80" i="1"/>
  <c r="DM54" i="1"/>
  <c r="DN54" i="1"/>
  <c r="DL84" i="1"/>
  <c r="DM55" i="1"/>
  <c r="DN55" i="1"/>
  <c r="DM111" i="1"/>
  <c r="DL121" i="1"/>
  <c r="DL141" i="1" s="1"/>
  <c r="AJ160" i="8"/>
  <c r="P137" i="83" l="1"/>
  <c r="P139" i="83"/>
  <c r="P92" i="83"/>
  <c r="P90" i="83"/>
  <c r="P154" i="83"/>
  <c r="P198" i="83" s="1"/>
  <c r="P159" i="83"/>
  <c r="P158" i="83"/>
  <c r="P156" i="83" s="1"/>
  <c r="AN35" i="4"/>
  <c r="AN36" i="4"/>
  <c r="R10" i="83"/>
  <c r="AP60" i="9"/>
  <c r="FV14" i="11"/>
  <c r="R6" i="83"/>
  <c r="FV12" i="11"/>
  <c r="FV16" i="11"/>
  <c r="FV61" i="11"/>
  <c r="AM10" i="5"/>
  <c r="AP11" i="4"/>
  <c r="AO17" i="4"/>
  <c r="AO18" i="4" s="1"/>
  <c r="AO12" i="4"/>
  <c r="AO7" i="5"/>
  <c r="F4" i="106" s="1"/>
  <c r="F14" i="106" s="1"/>
  <c r="AO23" i="4"/>
  <c r="AO7" i="4"/>
  <c r="AO13" i="4"/>
  <c r="FX77" i="11" s="1"/>
  <c r="FV17" i="11"/>
  <c r="AM21" i="5"/>
  <c r="R13" i="83"/>
  <c r="AO50" i="10"/>
  <c r="AP10" i="9"/>
  <c r="AO18" i="10" s="1"/>
  <c r="AN24" i="4"/>
  <c r="FW75" i="11"/>
  <c r="AM15" i="5"/>
  <c r="FW76" i="11"/>
  <c r="AN14" i="4"/>
  <c r="AN15" i="4" s="1"/>
  <c r="AN8" i="4"/>
  <c r="FW10" i="11"/>
  <c r="AN14" i="5"/>
  <c r="AN15" i="5" s="1"/>
  <c r="AN17" i="5"/>
  <c r="AN25" i="5"/>
  <c r="AN8" i="5"/>
  <c r="E5" i="106" s="1"/>
  <c r="AQ59" i="9"/>
  <c r="AN22" i="10"/>
  <c r="AO27" i="9"/>
  <c r="AO34" i="9" s="1"/>
  <c r="AO72" i="9"/>
  <c r="FU23" i="11"/>
  <c r="AN19" i="10"/>
  <c r="AO66" i="9"/>
  <c r="Q35" i="83"/>
  <c r="Q82" i="83" s="1"/>
  <c r="Q45" i="83"/>
  <c r="AL23" i="5"/>
  <c r="Q16" i="83"/>
  <c r="Q33" i="83"/>
  <c r="AO23" i="10"/>
  <c r="AO65" i="9"/>
  <c r="Q131" i="83"/>
  <c r="Q189" i="83"/>
  <c r="FU63" i="11"/>
  <c r="Q42" i="83"/>
  <c r="AL43" i="5"/>
  <c r="EM64" i="11"/>
  <c r="EM27" i="11"/>
  <c r="EM55" i="11" s="1"/>
  <c r="EM54" i="11"/>
  <c r="DN141" i="1"/>
  <c r="DL161" i="1"/>
  <c r="DL171" i="1"/>
  <c r="DM141" i="1"/>
  <c r="DL120" i="1"/>
  <c r="DL140" i="1" s="1"/>
  <c r="DM110" i="1"/>
  <c r="EN58" i="11"/>
  <c r="EN66" i="11"/>
  <c r="EN55" i="11"/>
  <c r="EN29" i="11"/>
  <c r="EN56" i="11" s="1"/>
  <c r="DN121" i="1"/>
  <c r="DN84" i="1"/>
  <c r="DL114" i="1"/>
  <c r="AL161" i="8"/>
  <c r="DM84" i="1"/>
  <c r="EM66" i="11"/>
  <c r="EM58" i="11"/>
  <c r="DR142" i="1" l="1"/>
  <c r="DL144" i="1"/>
  <c r="DM114" i="1"/>
  <c r="AM34" i="5"/>
  <c r="AM22" i="5"/>
  <c r="AM23" i="5" s="1"/>
  <c r="Q130" i="83"/>
  <c r="Q81" i="83"/>
  <c r="Q183" i="83" s="1"/>
  <c r="Q182" i="83" s="1"/>
  <c r="P203" i="83"/>
  <c r="P161" i="83"/>
  <c r="P141" i="83"/>
  <c r="FV51" i="11"/>
  <c r="R12" i="83"/>
  <c r="R8" i="83"/>
  <c r="R42" i="83" s="1"/>
  <c r="R98" i="83" s="1"/>
  <c r="R209" i="83" s="1"/>
  <c r="R208" i="83" s="1"/>
  <c r="R196" i="83" s="1"/>
  <c r="R40" i="83"/>
  <c r="FW12" i="11"/>
  <c r="FW53" i="11" s="1"/>
  <c r="FW61" i="11"/>
  <c r="S6" i="83"/>
  <c r="AP61" i="9"/>
  <c r="FV19" i="11"/>
  <c r="FV23" i="11" s="1"/>
  <c r="FV64" i="11" s="1"/>
  <c r="FX75" i="11"/>
  <c r="AO24" i="4"/>
  <c r="AP7" i="5"/>
  <c r="AT11" i="4"/>
  <c r="AP23" i="4"/>
  <c r="AP12" i="4"/>
  <c r="AP17" i="4"/>
  <c r="AP18" i="4" s="1"/>
  <c r="AP13" i="4"/>
  <c r="FY77" i="11" s="1"/>
  <c r="AP7" i="4"/>
  <c r="AP23" i="9"/>
  <c r="AP11" i="9"/>
  <c r="AO19" i="10" s="1"/>
  <c r="FW17" i="11"/>
  <c r="FW51" i="11" s="1"/>
  <c r="S13" i="83"/>
  <c r="AN21" i="5"/>
  <c r="AN22" i="5" s="1"/>
  <c r="AO25" i="5"/>
  <c r="FX10" i="11"/>
  <c r="AO14" i="5"/>
  <c r="AO8" i="5"/>
  <c r="F5" i="106" s="1"/>
  <c r="AR59" i="9"/>
  <c r="AO17" i="5"/>
  <c r="FV53" i="11"/>
  <c r="AP50" i="10"/>
  <c r="AQ10" i="9"/>
  <c r="AP18" i="10" s="1"/>
  <c r="AQ60" i="9"/>
  <c r="S10" i="83"/>
  <c r="FW14" i="11"/>
  <c r="FW50" i="11" s="1"/>
  <c r="AO36" i="4"/>
  <c r="AO35" i="4"/>
  <c r="FV21" i="11"/>
  <c r="AQ12" i="9"/>
  <c r="AP23" i="10" s="1"/>
  <c r="AN10" i="5"/>
  <c r="R15" i="83"/>
  <c r="R34" i="83"/>
  <c r="AO8" i="4"/>
  <c r="AO14" i="4"/>
  <c r="AO15" i="4" s="1"/>
  <c r="FX76" i="11"/>
  <c r="FV50" i="11"/>
  <c r="Q190" i="83"/>
  <c r="Q184" i="83"/>
  <c r="Q30" i="83"/>
  <c r="Q46" i="83"/>
  <c r="Q19" i="83"/>
  <c r="Q36" i="83"/>
  <c r="FU54" i="11"/>
  <c r="FU47" i="11"/>
  <c r="FU27" i="11"/>
  <c r="FU64" i="11"/>
  <c r="AN24" i="10"/>
  <c r="C17" i="106" s="1"/>
  <c r="C18" i="106" s="1"/>
  <c r="C21" i="106" s="1"/>
  <c r="C25" i="106" s="1"/>
  <c r="Q188" i="83"/>
  <c r="Q187" i="83" s="1"/>
  <c r="DL124" i="1"/>
  <c r="AL45" i="5" s="1"/>
  <c r="DN120" i="1"/>
  <c r="DL125" i="1"/>
  <c r="DN125" i="1" s="1"/>
  <c r="EM29" i="11"/>
  <c r="DM126" i="1"/>
  <c r="DN171" i="1"/>
  <c r="DM171" i="1"/>
  <c r="EN37" i="11"/>
  <c r="EN65" i="11" s="1"/>
  <c r="EN31" i="11"/>
  <c r="DN161" i="1"/>
  <c r="DM161" i="1"/>
  <c r="DL181" i="1"/>
  <c r="AS59" i="9" l="1"/>
  <c r="AS10" i="9" s="1"/>
  <c r="G4" i="106"/>
  <c r="G14" i="106" s="1"/>
  <c r="H14" i="106" s="1"/>
  <c r="I14" i="106" s="1"/>
  <c r="J14" i="106" s="1"/>
  <c r="AM42" i="5"/>
  <c r="D6" i="106"/>
  <c r="D7" i="106" s="1"/>
  <c r="DO142" i="1"/>
  <c r="AL46" i="5"/>
  <c r="D9" i="106" s="1"/>
  <c r="D10" i="106" s="1"/>
  <c r="D11" i="106" s="1"/>
  <c r="AL48" i="5"/>
  <c r="AM32" i="4"/>
  <c r="AM33" i="4" s="1"/>
  <c r="AM35" i="5"/>
  <c r="AR50" i="10"/>
  <c r="P142" i="83"/>
  <c r="P162" i="83"/>
  <c r="P204" i="83"/>
  <c r="P191" i="83"/>
  <c r="P93" i="83"/>
  <c r="AR12" i="9"/>
  <c r="Q21" i="83"/>
  <c r="Q24" i="83" s="1"/>
  <c r="Q26" i="83" s="1"/>
  <c r="AL50" i="5"/>
  <c r="AL58" i="5" s="1"/>
  <c r="FU29" i="11"/>
  <c r="FU56" i="11" s="1"/>
  <c r="T6" i="83"/>
  <c r="FX61" i="11"/>
  <c r="FX12" i="11"/>
  <c r="FX53" i="11" s="1"/>
  <c r="AT7" i="5"/>
  <c r="AP14" i="5"/>
  <c r="AP17" i="5"/>
  <c r="AS60" i="9" s="1"/>
  <c r="FY10" i="11"/>
  <c r="AP8" i="5"/>
  <c r="AP25" i="5"/>
  <c r="S8" i="83"/>
  <c r="S42" i="83" s="1"/>
  <c r="S98" i="83" s="1"/>
  <c r="S12" i="83"/>
  <c r="S40" i="83"/>
  <c r="R88" i="83"/>
  <c r="FV47" i="11"/>
  <c r="FV66" i="11" s="1"/>
  <c r="FV27" i="11"/>
  <c r="FV54" i="11"/>
  <c r="K14" i="106"/>
  <c r="AP35" i="4"/>
  <c r="AP36" i="4"/>
  <c r="R189" i="83"/>
  <c r="R131" i="83"/>
  <c r="R190" i="83" s="1"/>
  <c r="AQ23" i="9"/>
  <c r="AQ11" i="9"/>
  <c r="AP19" i="10" s="1"/>
  <c r="AO10" i="5"/>
  <c r="H15" i="106"/>
  <c r="I15" i="106" s="1"/>
  <c r="AP65" i="9"/>
  <c r="FY76" i="11"/>
  <c r="AT7" i="4"/>
  <c r="AP8" i="4"/>
  <c r="AP14" i="4"/>
  <c r="AP15" i="4" s="1"/>
  <c r="FY75" i="11"/>
  <c r="AP24" i="4"/>
  <c r="AT23" i="4"/>
  <c r="FW16" i="11"/>
  <c r="AM43" i="5"/>
  <c r="FX14" i="11"/>
  <c r="FX50" i="11" s="1"/>
  <c r="T10" i="83"/>
  <c r="AR60" i="9"/>
  <c r="S15" i="83"/>
  <c r="S34" i="83"/>
  <c r="AR10" i="9"/>
  <c r="AQ50" i="10"/>
  <c r="AO21" i="5"/>
  <c r="T13" i="83"/>
  <c r="FX17" i="11"/>
  <c r="FX51" i="11" s="1"/>
  <c r="AP27" i="9"/>
  <c r="AP34" i="9" s="1"/>
  <c r="AP72" i="9"/>
  <c r="AO22" i="10"/>
  <c r="AO24" i="10" s="1"/>
  <c r="R33" i="83"/>
  <c r="R81" i="83" s="1"/>
  <c r="R16" i="83"/>
  <c r="R35" i="83"/>
  <c r="R45" i="83"/>
  <c r="FV52" i="11"/>
  <c r="H4" i="106"/>
  <c r="AO15" i="5"/>
  <c r="AN34" i="5"/>
  <c r="E6" i="106" s="1"/>
  <c r="AN23" i="5"/>
  <c r="FW19" i="11"/>
  <c r="FW63" i="11" s="1"/>
  <c r="AQ61" i="9"/>
  <c r="AP66" i="9"/>
  <c r="FV63" i="11"/>
  <c r="FW21" i="11"/>
  <c r="FW52" i="11" s="1"/>
  <c r="R97" i="83"/>
  <c r="R147" i="83"/>
  <c r="E7" i="106"/>
  <c r="AN26" i="10"/>
  <c r="Q48" i="83"/>
  <c r="FU55" i="11"/>
  <c r="FU58" i="11"/>
  <c r="FU66" i="11"/>
  <c r="Q185" i="83"/>
  <c r="DM125" i="1"/>
  <c r="EM56" i="11"/>
  <c r="EM31" i="11"/>
  <c r="DM124" i="1"/>
  <c r="DN124" i="1"/>
  <c r="DM140" i="1"/>
  <c r="DL145" i="1"/>
  <c r="DN140" i="1"/>
  <c r="DL160" i="1"/>
  <c r="DL170" i="1"/>
  <c r="EN38" i="11"/>
  <c r="DM181" i="1"/>
  <c r="EN35" i="11"/>
  <c r="EN57" i="11"/>
  <c r="AO26" i="10" l="1"/>
  <c r="D17" i="106"/>
  <c r="D18" i="106" s="1"/>
  <c r="D21" i="106" s="1"/>
  <c r="D25" i="106" s="1"/>
  <c r="AP10" i="5"/>
  <c r="G5" i="106"/>
  <c r="AM46" i="5"/>
  <c r="AM45" i="5" s="1"/>
  <c r="R21" i="83" s="1"/>
  <c r="AO34" i="5"/>
  <c r="AO22" i="5"/>
  <c r="AO23" i="5" s="1"/>
  <c r="AS11" i="9"/>
  <c r="AS65" i="9" s="1"/>
  <c r="AS23" i="9"/>
  <c r="AS66" i="9" s="1"/>
  <c r="AQ23" i="10"/>
  <c r="AS12" i="9"/>
  <c r="AR23" i="10" s="1"/>
  <c r="R82" i="83"/>
  <c r="R188" i="83" s="1"/>
  <c r="R187" i="83" s="1"/>
  <c r="P205" i="83"/>
  <c r="P179" i="83"/>
  <c r="P207" i="83" s="1"/>
  <c r="P165" i="83"/>
  <c r="P167" i="83" s="1"/>
  <c r="P170" i="83" s="1"/>
  <c r="P172" i="83" s="1"/>
  <c r="P206" i="83" s="1"/>
  <c r="P192" i="83"/>
  <c r="P143" i="83"/>
  <c r="P145" i="83"/>
  <c r="P94" i="83"/>
  <c r="P96" i="83"/>
  <c r="Q37" i="83"/>
  <c r="Q193" i="83" s="1"/>
  <c r="AO62" i="9"/>
  <c r="AL51" i="5"/>
  <c r="FX16" i="11"/>
  <c r="AL55" i="5"/>
  <c r="FU31" i="11"/>
  <c r="AQ65" i="9"/>
  <c r="AN46" i="5"/>
  <c r="E9" i="106"/>
  <c r="E10" i="106" s="1"/>
  <c r="E11" i="106" s="1"/>
  <c r="Q47" i="83"/>
  <c r="FW23" i="11"/>
  <c r="FW64" i="11" s="1"/>
  <c r="R211" i="83"/>
  <c r="R137" i="83"/>
  <c r="I4" i="106"/>
  <c r="H13" i="106"/>
  <c r="R183" i="83"/>
  <c r="R182" i="83" s="1"/>
  <c r="R184" i="83"/>
  <c r="R130" i="83"/>
  <c r="R185" i="83" s="1"/>
  <c r="S35" i="83"/>
  <c r="S82" i="83" s="1"/>
  <c r="S188" i="83" s="1"/>
  <c r="S187" i="83" s="1"/>
  <c r="S45" i="83"/>
  <c r="FV55" i="11"/>
  <c r="S97" i="83"/>
  <c r="S147" i="83"/>
  <c r="T15" i="83"/>
  <c r="T34" i="83"/>
  <c r="R19" i="83"/>
  <c r="R30" i="83"/>
  <c r="R48" i="83" s="1"/>
  <c r="R36" i="83"/>
  <c r="R46" i="83"/>
  <c r="AR61" i="9"/>
  <c r="FX19" i="11"/>
  <c r="FX63" i="11" s="1"/>
  <c r="S131" i="83"/>
  <c r="S190" i="83" s="1"/>
  <c r="S189" i="83"/>
  <c r="AQ66" i="9"/>
  <c r="AQ72" i="9"/>
  <c r="AQ27" i="9"/>
  <c r="AQ34" i="9" s="1"/>
  <c r="AP22" i="10"/>
  <c r="AP24" i="10" s="1"/>
  <c r="AT25" i="5"/>
  <c r="U13" i="83"/>
  <c r="AP21" i="5"/>
  <c r="FY17" i="11"/>
  <c r="FY51" i="11" s="1"/>
  <c r="AP15" i="5"/>
  <c r="R146" i="83"/>
  <c r="R210" i="83"/>
  <c r="AN42" i="5"/>
  <c r="AN32" i="4"/>
  <c r="AN33" i="4" s="1"/>
  <c r="AN35" i="5"/>
  <c r="AQ18" i="10"/>
  <c r="AR18" i="10"/>
  <c r="AR11" i="9"/>
  <c r="AR23" i="9"/>
  <c r="AR66" i="9" s="1"/>
  <c r="AM48" i="5"/>
  <c r="AM50" i="5" s="1"/>
  <c r="FV58" i="11"/>
  <c r="S16" i="83"/>
  <c r="S33" i="83"/>
  <c r="U6" i="83"/>
  <c r="U40" i="83" s="1"/>
  <c r="FY12" i="11"/>
  <c r="FY53" i="11" s="1"/>
  <c r="T40" i="83"/>
  <c r="T12" i="83"/>
  <c r="T8" i="83"/>
  <c r="T42" i="83" s="1"/>
  <c r="T98" i="83" s="1"/>
  <c r="S209" i="83"/>
  <c r="S208" i="83" s="1"/>
  <c r="S196" i="83" s="1"/>
  <c r="S88" i="83"/>
  <c r="AT17" i="5"/>
  <c r="U10" i="83"/>
  <c r="FY14" i="11"/>
  <c r="FY50" i="11" s="1"/>
  <c r="FX21" i="11"/>
  <c r="FX52" i="11" s="1"/>
  <c r="FY61" i="11"/>
  <c r="AL59" i="5"/>
  <c r="FU37" i="11"/>
  <c r="AZ28" i="5"/>
  <c r="DM160" i="1"/>
  <c r="DL165" i="1"/>
  <c r="DL180" i="1"/>
  <c r="DN160" i="1"/>
  <c r="DN144" i="1"/>
  <c r="DL164" i="1"/>
  <c r="DL174" i="1"/>
  <c r="DM144" i="1"/>
  <c r="DM170" i="1"/>
  <c r="DN170" i="1"/>
  <c r="EM37" i="11"/>
  <c r="EM65" i="11" s="1"/>
  <c r="DM145" i="1"/>
  <c r="DN145" i="1"/>
  <c r="EM35" i="11"/>
  <c r="EM57" i="11"/>
  <c r="FV29" i="11" l="1"/>
  <c r="AP26" i="10"/>
  <c r="E17" i="106"/>
  <c r="AO35" i="5"/>
  <c r="F6" i="106"/>
  <c r="AO32" i="4"/>
  <c r="AO33" i="4" s="1"/>
  <c r="AO42" i="5"/>
  <c r="AO43" i="5" s="1"/>
  <c r="AS61" i="9"/>
  <c r="AP22" i="5"/>
  <c r="AP23" i="5" s="1"/>
  <c r="AS72" i="9"/>
  <c r="AS27" i="9"/>
  <c r="AS34" i="9" s="1"/>
  <c r="AP34" i="5"/>
  <c r="Q85" i="83"/>
  <c r="Q134" i="83" s="1"/>
  <c r="AN8" i="10"/>
  <c r="AN13" i="10" s="1"/>
  <c r="W134" i="83"/>
  <c r="W137" i="83" s="1"/>
  <c r="V123" i="83"/>
  <c r="P144" i="83"/>
  <c r="V75" i="83"/>
  <c r="P95" i="83"/>
  <c r="AL61" i="5"/>
  <c r="AL62" i="5" s="1"/>
  <c r="FU57" i="11"/>
  <c r="FU35" i="11"/>
  <c r="AL56" i="5"/>
  <c r="FW47" i="11"/>
  <c r="FW58" i="11" s="1"/>
  <c r="E18" i="106"/>
  <c r="E21" i="106" s="1"/>
  <c r="E25" i="106" s="1"/>
  <c r="FW54" i="11"/>
  <c r="FW27" i="11"/>
  <c r="FW55" i="11" s="1"/>
  <c r="F9" i="106"/>
  <c r="F10" i="106" s="1"/>
  <c r="F11" i="106" s="1"/>
  <c r="AO46" i="5"/>
  <c r="R24" i="83"/>
  <c r="FX23" i="11"/>
  <c r="FX54" i="11" s="1"/>
  <c r="T16" i="83"/>
  <c r="T33" i="83"/>
  <c r="FY21" i="11"/>
  <c r="FY52" i="11" s="1"/>
  <c r="S30" i="83"/>
  <c r="S48" i="83" s="1"/>
  <c r="S36" i="83"/>
  <c r="S19" i="83"/>
  <c r="S46" i="83"/>
  <c r="R37" i="83"/>
  <c r="AN43" i="5"/>
  <c r="AN45" i="5"/>
  <c r="T35" i="83"/>
  <c r="T82" i="83" s="1"/>
  <c r="T188" i="83" s="1"/>
  <c r="T187" i="83" s="1"/>
  <c r="T45" i="83"/>
  <c r="AR22" i="10"/>
  <c r="AR72" i="9"/>
  <c r="AQ22" i="10"/>
  <c r="AR27" i="9"/>
  <c r="AR34" i="9" s="1"/>
  <c r="U147" i="83"/>
  <c r="U97" i="83"/>
  <c r="U12" i="83"/>
  <c r="U8" i="83"/>
  <c r="U42" i="83" s="1"/>
  <c r="U98" i="83" s="1"/>
  <c r="FV31" i="11"/>
  <c r="FV56" i="11"/>
  <c r="AQ19" i="10"/>
  <c r="AR19" i="10"/>
  <c r="F7" i="106"/>
  <c r="AT21" i="5"/>
  <c r="FY19" i="11"/>
  <c r="FY63" i="11" s="1"/>
  <c r="S137" i="83"/>
  <c r="S211" i="83"/>
  <c r="T97" i="83"/>
  <c r="T147" i="83"/>
  <c r="AM51" i="5"/>
  <c r="AM55" i="5"/>
  <c r="AP62" i="9"/>
  <c r="J4" i="106"/>
  <c r="I13" i="106"/>
  <c r="T88" i="83"/>
  <c r="T209" i="83"/>
  <c r="T208" i="83" s="1"/>
  <c r="T196" i="83" s="1"/>
  <c r="FY16" i="11"/>
  <c r="S184" i="83"/>
  <c r="S130" i="83"/>
  <c r="S185" i="83" s="1"/>
  <c r="S81" i="83"/>
  <c r="S183" i="83" s="1"/>
  <c r="S182" i="83" s="1"/>
  <c r="AR65" i="9"/>
  <c r="U15" i="83"/>
  <c r="U34" i="83"/>
  <c r="T189" i="83"/>
  <c r="T131" i="83"/>
  <c r="T190" i="83" s="1"/>
  <c r="S210" i="83"/>
  <c r="S146" i="83"/>
  <c r="FU65" i="11"/>
  <c r="DN174" i="1"/>
  <c r="DM174" i="1"/>
  <c r="EM38" i="11"/>
  <c r="DM180" i="1"/>
  <c r="DL184" i="1"/>
  <c r="DM184" i="1" s="1"/>
  <c r="DN164" i="1"/>
  <c r="DM164" i="1"/>
  <c r="DM165" i="1"/>
  <c r="DN165" i="1"/>
  <c r="AP42" i="5" l="1"/>
  <c r="G6" i="106"/>
  <c r="G7" i="106" s="1"/>
  <c r="H7" i="106" s="1"/>
  <c r="I7" i="106" s="1"/>
  <c r="J7" i="106" s="1"/>
  <c r="AO45" i="5"/>
  <c r="AP32" i="4"/>
  <c r="AP33" i="4" s="1"/>
  <c r="AP35" i="5"/>
  <c r="AO38" i="9"/>
  <c r="FU38" i="11"/>
  <c r="AQ24" i="10"/>
  <c r="FW66" i="11"/>
  <c r="FX27" i="11"/>
  <c r="FX55" i="11" s="1"/>
  <c r="FX64" i="11"/>
  <c r="FX47" i="11"/>
  <c r="FX58" i="11" s="1"/>
  <c r="AR24" i="10"/>
  <c r="U35" i="83"/>
  <c r="U82" i="83" s="1"/>
  <c r="U188" i="83" s="1"/>
  <c r="U187" i="83" s="1"/>
  <c r="AP46" i="5"/>
  <c r="S21" i="83"/>
  <c r="S37" i="83" s="1"/>
  <c r="FW29" i="11"/>
  <c r="AN48" i="5"/>
  <c r="AN50" i="5" s="1"/>
  <c r="FY23" i="11"/>
  <c r="U189" i="83"/>
  <c r="U131" i="83"/>
  <c r="U190" i="83" s="1"/>
  <c r="T137" i="83"/>
  <c r="T211" i="83"/>
  <c r="U146" i="83"/>
  <c r="U210" i="83"/>
  <c r="U45" i="83"/>
  <c r="H6" i="106"/>
  <c r="T210" i="83"/>
  <c r="T146" i="83"/>
  <c r="FV57" i="11"/>
  <c r="FV35" i="11"/>
  <c r="K4" i="106"/>
  <c r="K13" i="106" s="1"/>
  <c r="J13" i="106"/>
  <c r="J15" i="106" s="1"/>
  <c r="K15" i="106" s="1"/>
  <c r="AT42" i="5"/>
  <c r="AP43" i="5"/>
  <c r="U88" i="83"/>
  <c r="U209" i="83"/>
  <c r="U208" i="83" s="1"/>
  <c r="U196" i="83" s="1"/>
  <c r="T36" i="83"/>
  <c r="T30" i="83"/>
  <c r="T48" i="83" s="1"/>
  <c r="T46" i="83"/>
  <c r="T19" i="83"/>
  <c r="FX29" i="11"/>
  <c r="T21" i="83"/>
  <c r="AO48" i="5"/>
  <c r="AO50" i="5" s="1"/>
  <c r="AM56" i="5"/>
  <c r="AO8" i="10"/>
  <c r="AO13" i="10" s="1"/>
  <c r="U137" i="83"/>
  <c r="U211" i="83"/>
  <c r="T81" i="83"/>
  <c r="T183" i="83" s="1"/>
  <c r="T182" i="83" s="1"/>
  <c r="T130" i="83"/>
  <c r="T185" i="83" s="1"/>
  <c r="T184" i="83"/>
  <c r="U33" i="83"/>
  <c r="U16" i="83"/>
  <c r="R193" i="83"/>
  <c r="R85" i="83"/>
  <c r="R134" i="83" s="1"/>
  <c r="AN28" i="10"/>
  <c r="AN51" i="10" s="1"/>
  <c r="AN40" i="10"/>
  <c r="AP45" i="5" l="1"/>
  <c r="AQ26" i="10"/>
  <c r="F17" i="106"/>
  <c r="F18" i="106" s="1"/>
  <c r="F21" i="106" s="1"/>
  <c r="F25" i="106" s="1"/>
  <c r="AR26" i="10"/>
  <c r="G17" i="106"/>
  <c r="AT32" i="4"/>
  <c r="AO39" i="9"/>
  <c r="AO52" i="9" s="1"/>
  <c r="AO55" i="9" s="1"/>
  <c r="FX56" i="11"/>
  <c r="FX66" i="11"/>
  <c r="H8" i="106"/>
  <c r="I8" i="106" s="1"/>
  <c r="J8" i="106" s="1"/>
  <c r="K8" i="106" s="1"/>
  <c r="G9" i="106"/>
  <c r="G10" i="106" s="1"/>
  <c r="G11" i="106" s="1"/>
  <c r="T37" i="83"/>
  <c r="T193" i="83" s="1"/>
  <c r="FX31" i="11"/>
  <c r="FX57" i="11" s="1"/>
  <c r="U19" i="83"/>
  <c r="U36" i="83"/>
  <c r="U30" i="83"/>
  <c r="U48" i="83" s="1"/>
  <c r="AO55" i="5"/>
  <c r="AO51" i="5"/>
  <c r="AR62" i="9"/>
  <c r="S24" i="83"/>
  <c r="FW56" i="11"/>
  <c r="FW31" i="11"/>
  <c r="U184" i="83"/>
  <c r="U130" i="83"/>
  <c r="U185" i="83" s="1"/>
  <c r="U81" i="83"/>
  <c r="U183" i="83" s="1"/>
  <c r="U182" i="83" s="1"/>
  <c r="S85" i="83"/>
  <c r="S134" i="83" s="1"/>
  <c r="S193" i="83"/>
  <c r="AT45" i="5"/>
  <c r="FY29" i="11"/>
  <c r="U21" i="83"/>
  <c r="AP48" i="5"/>
  <c r="AP50" i="5" s="1"/>
  <c r="AS62" i="9" s="1"/>
  <c r="FY47" i="11"/>
  <c r="FY27" i="11"/>
  <c r="FY54" i="11"/>
  <c r="FY64" i="11"/>
  <c r="AO28" i="10"/>
  <c r="T24" i="83"/>
  <c r="U46" i="83"/>
  <c r="I6" i="106"/>
  <c r="AQ62" i="9"/>
  <c r="AN51" i="5"/>
  <c r="AN55" i="5"/>
  <c r="AN44" i="10"/>
  <c r="AN41" i="10"/>
  <c r="AO9" i="9" s="1"/>
  <c r="C32" i="106" s="1"/>
  <c r="G18" i="106" l="1"/>
  <c r="H17" i="106"/>
  <c r="C46" i="106"/>
  <c r="C33" i="106"/>
  <c r="C40" i="106" s="1"/>
  <c r="AO54" i="9"/>
  <c r="AO41" i="9"/>
  <c r="I9" i="106"/>
  <c r="I10" i="106" s="1"/>
  <c r="I11" i="106" s="1"/>
  <c r="H9" i="106"/>
  <c r="H10" i="106" s="1"/>
  <c r="H11" i="106" s="1"/>
  <c r="G21" i="106"/>
  <c r="G25" i="106" s="1"/>
  <c r="FX35" i="11"/>
  <c r="T85" i="83"/>
  <c r="T134" i="83" s="1"/>
  <c r="U24" i="83"/>
  <c r="AN56" i="5"/>
  <c r="AP8" i="10"/>
  <c r="FY55" i="11"/>
  <c r="FY31" i="11"/>
  <c r="FY56" i="11"/>
  <c r="FW35" i="11"/>
  <c r="FW57" i="11"/>
  <c r="K7" i="106"/>
  <c r="K6" i="106" s="1"/>
  <c r="K9" i="106" s="1"/>
  <c r="K10" i="106" s="1"/>
  <c r="K11" i="106" s="1"/>
  <c r="J6" i="106"/>
  <c r="J9" i="106" s="1"/>
  <c r="J10" i="106" s="1"/>
  <c r="J11" i="106" s="1"/>
  <c r="FY58" i="11"/>
  <c r="FY66" i="11"/>
  <c r="AT50" i="5"/>
  <c r="AP51" i="5"/>
  <c r="AP55" i="5"/>
  <c r="AO56" i="5"/>
  <c r="AQ8" i="10"/>
  <c r="AQ13" i="10" s="1"/>
  <c r="U37" i="83"/>
  <c r="AO39" i="10"/>
  <c r="H18" i="106" l="1"/>
  <c r="H21" i="106" s="1"/>
  <c r="H25" i="106" s="1"/>
  <c r="I17" i="106"/>
  <c r="U193" i="83"/>
  <c r="U85" i="83"/>
  <c r="U134" i="83" s="1"/>
  <c r="AQ28" i="10"/>
  <c r="AT55" i="5"/>
  <c r="AP56" i="5"/>
  <c r="AR8" i="10"/>
  <c r="AR13" i="10" s="1"/>
  <c r="AP13" i="10"/>
  <c r="FY35" i="11"/>
  <c r="FY57" i="11"/>
  <c r="AO14" i="9"/>
  <c r="AO51" i="9"/>
  <c r="AO56" i="9" s="1"/>
  <c r="I18" i="106" l="1"/>
  <c r="I21" i="106" s="1"/>
  <c r="I25" i="106" s="1"/>
  <c r="J17" i="106"/>
  <c r="AP28" i="10"/>
  <c r="AR28" i="10"/>
  <c r="AO53" i="9"/>
  <c r="AO20" i="9"/>
  <c r="K17" i="106" l="1"/>
  <c r="K18" i="106" s="1"/>
  <c r="K21" i="106" s="1"/>
  <c r="J18" i="106"/>
  <c r="J21" i="106" s="1"/>
  <c r="AO43" i="9"/>
  <c r="J25" i="106" l="1"/>
  <c r="C42" i="106" s="1"/>
  <c r="J26" i="106"/>
  <c r="K26" i="106"/>
  <c r="K27" i="106" s="1"/>
  <c r="K25" i="106"/>
  <c r="C43" i="106" l="1"/>
  <c r="C44" i="106" s="1"/>
  <c r="C49" i="106" s="1"/>
  <c r="C50" i="106" s="1"/>
  <c r="C52" i="106" s="1"/>
  <c r="J27" i="106"/>
  <c r="E164" i="3" l="1"/>
  <c r="G164" i="3" s="1"/>
  <c r="Q43" i="83"/>
  <c r="AL28" i="4"/>
  <c r="AL36" i="4" l="1"/>
  <c r="AL35" i="4"/>
  <c r="Q97" i="83"/>
  <c r="Q147" i="83"/>
  <c r="Q98" i="83"/>
  <c r="Q201" i="83"/>
  <c r="Q49" i="83"/>
  <c r="O164" i="3"/>
  <c r="AF164" i="3"/>
  <c r="AL9" i="5"/>
  <c r="FU62" i="11" l="1"/>
  <c r="AL10" i="5"/>
  <c r="Q146" i="83"/>
  <c r="Q210" i="83"/>
  <c r="Q209" i="83"/>
  <c r="Q208" i="83" s="1"/>
  <c r="Q196" i="83" s="1"/>
  <c r="Q152" i="83" s="1"/>
  <c r="Q88" i="83"/>
  <c r="Q54" i="83" s="1"/>
  <c r="Q137" i="83"/>
  <c r="Q103" i="83" s="1"/>
  <c r="Q211" i="83"/>
  <c r="Q158" i="83" l="1"/>
  <c r="Q156" i="83" s="1"/>
  <c r="Q159" i="83"/>
  <c r="R152" i="83"/>
  <c r="Q154" i="83"/>
  <c r="Q198" i="83" s="1"/>
  <c r="R103" i="83"/>
  <c r="Q105" i="83"/>
  <c r="Q139" i="83" s="1"/>
  <c r="Q109" i="83"/>
  <c r="Q107" i="83" s="1"/>
  <c r="Q110" i="83"/>
  <c r="Q61" i="83"/>
  <c r="R54" i="83"/>
  <c r="Q56" i="83"/>
  <c r="Q90" i="83" s="1"/>
  <c r="Q60" i="83"/>
  <c r="Q58" i="83" s="1"/>
  <c r="Q112" i="83" l="1"/>
  <c r="Q141" i="83"/>
  <c r="R110" i="83"/>
  <c r="S103" i="83"/>
  <c r="R105" i="83"/>
  <c r="R139" i="83" s="1"/>
  <c r="R109" i="83"/>
  <c r="S152" i="83"/>
  <c r="R154" i="83"/>
  <c r="R198" i="83" s="1"/>
  <c r="R158" i="83"/>
  <c r="R156" i="83" s="1"/>
  <c r="R159" i="83"/>
  <c r="R60" i="83"/>
  <c r="R58" i="83" s="1"/>
  <c r="R61" i="83"/>
  <c r="S54" i="83"/>
  <c r="R56" i="83"/>
  <c r="Q161" i="83"/>
  <c r="Q162" i="83" s="1"/>
  <c r="Q203" i="83"/>
  <c r="Q92" i="83"/>
  <c r="Q63" i="83"/>
  <c r="Q64" i="83" s="1"/>
  <c r="Q165" i="83" l="1"/>
  <c r="Q179" i="83"/>
  <c r="Q207" i="83" s="1"/>
  <c r="Q205" i="83"/>
  <c r="Q192" i="83"/>
  <c r="Q84" i="83"/>
  <c r="Q94" i="83"/>
  <c r="Q67" i="83"/>
  <c r="Q78" i="83"/>
  <c r="Q96" i="83" s="1"/>
  <c r="R161" i="83"/>
  <c r="R162" i="83" s="1"/>
  <c r="R203" i="83"/>
  <c r="S159" i="83"/>
  <c r="T152" i="83"/>
  <c r="S154" i="83"/>
  <c r="S198" i="83" s="1"/>
  <c r="S158" i="83"/>
  <c r="Q142" i="83"/>
  <c r="Q132" i="83"/>
  <c r="S60" i="83"/>
  <c r="S61" i="83"/>
  <c r="T54" i="83"/>
  <c r="S56" i="83"/>
  <c r="Q113" i="83"/>
  <c r="S109" i="83"/>
  <c r="S107" i="83" s="1"/>
  <c r="S110" i="83"/>
  <c r="T103" i="83"/>
  <c r="S105" i="83"/>
  <c r="S139" i="83" s="1"/>
  <c r="Q83" i="83"/>
  <c r="Q93" i="83"/>
  <c r="Q204" i="83"/>
  <c r="Q191" i="83"/>
  <c r="R92" i="83"/>
  <c r="R63" i="83"/>
  <c r="R64" i="83" s="1"/>
  <c r="R141" i="83"/>
  <c r="R112" i="83"/>
  <c r="R113" i="83" s="1"/>
  <c r="R107" i="83"/>
  <c r="U54" i="83" l="1"/>
  <c r="T56" i="83"/>
  <c r="T60" i="83"/>
  <c r="T61" i="83"/>
  <c r="R204" i="83"/>
  <c r="R191" i="83"/>
  <c r="Q167" i="83"/>
  <c r="Q170" i="83" s="1"/>
  <c r="Q172" i="83" s="1"/>
  <c r="Q206" i="83" s="1"/>
  <c r="R133" i="83"/>
  <c r="R143" i="83"/>
  <c r="R116" i="83"/>
  <c r="R127" i="83"/>
  <c r="Q133" i="83"/>
  <c r="Q143" i="83"/>
  <c r="Q116" i="83"/>
  <c r="Q127" i="83"/>
  <c r="Q145" i="83" s="1"/>
  <c r="S92" i="83"/>
  <c r="S63" i="83"/>
  <c r="S64" i="83" s="1"/>
  <c r="T158" i="83"/>
  <c r="T156" i="83" s="1"/>
  <c r="T159" i="83"/>
  <c r="U152" i="83"/>
  <c r="T154" i="83"/>
  <c r="T198" i="83" s="1"/>
  <c r="R67" i="83"/>
  <c r="R78" i="83"/>
  <c r="R96" i="83" s="1"/>
  <c r="R84" i="83"/>
  <c r="R94" i="83"/>
  <c r="R83" i="83"/>
  <c r="R93" i="83"/>
  <c r="T109" i="83"/>
  <c r="T110" i="83"/>
  <c r="U103" i="83"/>
  <c r="T105" i="83"/>
  <c r="T139" i="83" s="1"/>
  <c r="R192" i="83"/>
  <c r="R165" i="83"/>
  <c r="R179" i="83"/>
  <c r="R207" i="83" s="1"/>
  <c r="R205" i="83"/>
  <c r="S161" i="83"/>
  <c r="S203" i="83"/>
  <c r="Q69" i="83"/>
  <c r="Q72" i="83" s="1"/>
  <c r="Q74" i="83" s="1"/>
  <c r="R132" i="83"/>
  <c r="R142" i="83"/>
  <c r="S141" i="83"/>
  <c r="S112" i="83"/>
  <c r="S113" i="83" s="1"/>
  <c r="S58" i="83"/>
  <c r="S156" i="83"/>
  <c r="S116" i="83" l="1"/>
  <c r="S127" i="83"/>
  <c r="S145" i="83" s="1"/>
  <c r="S133" i="83"/>
  <c r="S143" i="83"/>
  <c r="Q95" i="83"/>
  <c r="S94" i="83"/>
  <c r="S67" i="83"/>
  <c r="S78" i="83"/>
  <c r="S96" i="83" s="1"/>
  <c r="S84" i="83"/>
  <c r="Q118" i="83"/>
  <c r="Q121" i="83" s="1"/>
  <c r="Q123" i="83" s="1"/>
  <c r="R118" i="83"/>
  <c r="R121" i="83" s="1"/>
  <c r="T107" i="83"/>
  <c r="S83" i="83"/>
  <c r="S93" i="83"/>
  <c r="T58" i="83"/>
  <c r="S191" i="83"/>
  <c r="S204" i="83"/>
  <c r="U105" i="83"/>
  <c r="U139" i="83" s="1"/>
  <c r="U109" i="83"/>
  <c r="U107" i="83" s="1"/>
  <c r="U110" i="83"/>
  <c r="U158" i="83"/>
  <c r="U159" i="83"/>
  <c r="U154" i="83"/>
  <c r="U198" i="83" s="1"/>
  <c r="S132" i="83"/>
  <c r="S142" i="83"/>
  <c r="S162" i="83"/>
  <c r="R167" i="83"/>
  <c r="R170" i="83" s="1"/>
  <c r="T141" i="83"/>
  <c r="T112" i="83"/>
  <c r="T113" i="83" s="1"/>
  <c r="R69" i="83"/>
  <c r="R72" i="83" s="1"/>
  <c r="T161" i="83"/>
  <c r="T203" i="83"/>
  <c r="R145" i="83"/>
  <c r="T63" i="83"/>
  <c r="T64" i="83" s="1"/>
  <c r="T92" i="83"/>
  <c r="U61" i="83"/>
  <c r="U56" i="83"/>
  <c r="U60" i="83"/>
  <c r="T191" i="83" l="1"/>
  <c r="T204" i="83"/>
  <c r="T84" i="83"/>
  <c r="T94" i="83"/>
  <c r="T67" i="83"/>
  <c r="T78" i="83"/>
  <c r="T96" i="83" s="1"/>
  <c r="Q144" i="83"/>
  <c r="S118" i="83"/>
  <c r="S121" i="83" s="1"/>
  <c r="U58" i="83"/>
  <c r="T93" i="83"/>
  <c r="T83" i="83"/>
  <c r="U156" i="83"/>
  <c r="T162" i="83"/>
  <c r="S69" i="83"/>
  <c r="S72" i="83" s="1"/>
  <c r="U112" i="83"/>
  <c r="U113" i="83" s="1"/>
  <c r="U141" i="83"/>
  <c r="T143" i="83"/>
  <c r="T116" i="83"/>
  <c r="T127" i="83"/>
  <c r="T145" i="83" s="1"/>
  <c r="T133" i="83"/>
  <c r="U92" i="83"/>
  <c r="U63" i="83"/>
  <c r="U64" i="83" s="1"/>
  <c r="T132" i="83"/>
  <c r="T142" i="83"/>
  <c r="S192" i="83"/>
  <c r="S179" i="83"/>
  <c r="S207" i="83" s="1"/>
  <c r="S205" i="83"/>
  <c r="S165" i="83"/>
  <c r="U203" i="83"/>
  <c r="U161" i="83"/>
  <c r="U162" i="83" s="1"/>
  <c r="U165" i="83" l="1"/>
  <c r="U179" i="83"/>
  <c r="U205" i="83"/>
  <c r="U192" i="83"/>
  <c r="U84" i="83"/>
  <c r="U94" i="83"/>
  <c r="U78" i="83"/>
  <c r="U96" i="83" s="1"/>
  <c r="U67" i="83"/>
  <c r="S167" i="83"/>
  <c r="S170" i="83" s="1"/>
  <c r="T165" i="83"/>
  <c r="T179" i="83"/>
  <c r="T207" i="83" s="1"/>
  <c r="T205" i="83"/>
  <c r="T192" i="83"/>
  <c r="U133" i="83"/>
  <c r="U143" i="83"/>
  <c r="U116" i="83"/>
  <c r="U127" i="83"/>
  <c r="U145" i="83" s="1"/>
  <c r="U142" i="83"/>
  <c r="U132" i="83"/>
  <c r="U204" i="83"/>
  <c r="U191" i="83"/>
  <c r="U83" i="83"/>
  <c r="U93" i="83"/>
  <c r="T118" i="83"/>
  <c r="T121" i="83" s="1"/>
  <c r="T69" i="83"/>
  <c r="T72" i="83" s="1"/>
  <c r="U118" i="83" l="1"/>
  <c r="U121" i="83" s="1"/>
  <c r="U167" i="83"/>
  <c r="U170" i="83" s="1"/>
  <c r="U69" i="83"/>
  <c r="U72" i="83" s="1"/>
  <c r="T167" i="83"/>
  <c r="T170" i="83" s="1"/>
  <c r="U207" i="83"/>
  <c r="G154" i="3" l="1"/>
  <c r="AF154" i="3" s="1"/>
  <c r="O154" i="3" l="1"/>
  <c r="P152" i="8" l="1"/>
  <c r="N152" i="8"/>
  <c r="AJ152" i="8"/>
  <c r="T152" i="8"/>
  <c r="P153" i="8"/>
  <c r="J153" i="8"/>
  <c r="R153" i="8" s="1"/>
  <c r="AJ151" i="8"/>
  <c r="N151" i="8"/>
  <c r="P151" i="8"/>
  <c r="J152" i="8"/>
  <c r="R152" i="8" s="1"/>
  <c r="X151" i="8"/>
  <c r="Z151" i="8" s="1"/>
  <c r="X152" i="8"/>
  <c r="Z152" i="8" s="1"/>
  <c r="T151" i="8"/>
  <c r="AD152" i="8"/>
  <c r="AF152" i="8" s="1"/>
  <c r="AD151" i="8"/>
  <c r="AF151" i="8" s="1"/>
  <c r="J151" i="8"/>
  <c r="R151" i="8" s="1"/>
  <c r="AD159" i="8" l="1"/>
  <c r="H159" i="8" s="1"/>
  <c r="T159" i="8" s="1"/>
  <c r="AH153" i="8"/>
  <c r="AH152" i="8"/>
  <c r="AD158" i="8"/>
  <c r="H158" i="8" s="1"/>
  <c r="T158" i="8" s="1"/>
  <c r="J154" i="8"/>
  <c r="R154" i="8" s="1"/>
  <c r="EF69" i="11" s="1"/>
  <c r="AH151" i="8"/>
  <c r="P160" i="8" l="1"/>
  <c r="AJ159" i="8"/>
  <c r="CN12" i="6"/>
  <c r="CN42" i="6" s="1"/>
  <c r="N159" i="8"/>
  <c r="X159" i="8"/>
  <c r="Z159" i="8" s="1"/>
  <c r="J160" i="8"/>
  <c r="AH160" i="8" s="1"/>
  <c r="J159" i="8"/>
  <c r="AH159" i="8" s="1"/>
  <c r="P159" i="8"/>
  <c r="X158" i="8"/>
  <c r="Z158" i="8" s="1"/>
  <c r="CN11" i="6"/>
  <c r="CO11" i="6" s="1"/>
  <c r="AJ158" i="8"/>
  <c r="N158" i="8"/>
  <c r="CO12" i="6" l="1"/>
  <c r="R160" i="8"/>
  <c r="R159" i="8"/>
  <c r="CN41" i="6"/>
  <c r="CO41" i="6" s="1"/>
  <c r="CO42" i="6"/>
  <c r="CN48" i="6"/>
  <c r="AD157" i="8"/>
  <c r="H157" i="8" s="1"/>
  <c r="CN47" i="6" l="1"/>
  <c r="AJ157" i="8"/>
  <c r="CN10" i="6"/>
  <c r="J158" i="8"/>
  <c r="X157" i="8"/>
  <c r="Z157" i="8" s="1"/>
  <c r="P158" i="8"/>
  <c r="T157" i="8"/>
  <c r="T160" i="8" s="1"/>
  <c r="P157" i="8"/>
  <c r="J157" i="8"/>
  <c r="N157" i="8"/>
  <c r="AH157" i="8" l="1"/>
  <c r="R157" i="8"/>
  <c r="J161" i="8"/>
  <c r="R161" i="8" s="1"/>
  <c r="R158" i="8"/>
  <c r="AH158" i="8"/>
  <c r="CO10" i="6"/>
  <c r="CN40" i="6"/>
  <c r="CO40" i="6" l="1"/>
  <c r="CN46" i="6"/>
  <c r="AM61" i="5" l="1"/>
  <c r="AM62" i="5" s="1"/>
  <c r="AM58" i="5"/>
  <c r="FV37" i="11" s="1"/>
  <c r="AO51" i="10"/>
  <c r="R27" i="83"/>
  <c r="R175" i="83" s="1"/>
  <c r="AO34" i="10"/>
  <c r="AP38" i="9" s="1"/>
  <c r="R26" i="83" l="1"/>
  <c r="FV65" i="11"/>
  <c r="AP39" i="9"/>
  <c r="R75" i="83"/>
  <c r="AM59" i="5"/>
  <c r="AO37" i="10"/>
  <c r="FV38" i="11"/>
  <c r="R47" i="83" l="1"/>
  <c r="AB39" i="83"/>
  <c r="AO40" i="10"/>
  <c r="AO41" i="10" s="1"/>
  <c r="AP9" i="9" s="1"/>
  <c r="R124" i="83"/>
  <c r="R174" i="83"/>
  <c r="R173" i="83" s="1"/>
  <c r="R172" i="83" s="1"/>
  <c r="R206" i="83" s="1"/>
  <c r="R74" i="83"/>
  <c r="AP52" i="9"/>
  <c r="AP55" i="9" s="1"/>
  <c r="AP54" i="9"/>
  <c r="AP41" i="9"/>
  <c r="R95" i="83" l="1"/>
  <c r="AB40" i="83"/>
  <c r="AP39" i="10"/>
  <c r="R123" i="83"/>
  <c r="R176" i="83"/>
  <c r="AO44" i="10"/>
  <c r="R144" i="83" l="1"/>
  <c r="AB38" i="83"/>
  <c r="AP14" i="9"/>
  <c r="AP51" i="9"/>
  <c r="AP56" i="9" s="1"/>
  <c r="AP53" i="9" l="1"/>
  <c r="AP20" i="9"/>
  <c r="AP43" i="9" s="1"/>
  <c r="AP51" i="10"/>
  <c r="AN61" i="5"/>
  <c r="AN62" i="5" s="1"/>
  <c r="AN58" i="5"/>
  <c r="AP34" i="10"/>
  <c r="AQ38" i="9" s="1"/>
  <c r="S27" i="83"/>
  <c r="S26" i="83" s="1"/>
  <c r="S47" i="83" s="1"/>
  <c r="FW37" i="11" l="1"/>
  <c r="FW65" i="11" s="1"/>
  <c r="S75" i="83"/>
  <c r="S74" i="83" s="1"/>
  <c r="S95" i="83" s="1"/>
  <c r="AP37" i="10"/>
  <c r="AP40" i="10" s="1"/>
  <c r="AP41" i="10" s="1"/>
  <c r="AQ9" i="9" s="1"/>
  <c r="FW38" i="11"/>
  <c r="AQ39" i="9"/>
  <c r="S175" i="83"/>
  <c r="AN59" i="5"/>
  <c r="S174" i="83" l="1"/>
  <c r="S173" i="83" s="1"/>
  <c r="S172" i="83" s="1"/>
  <c r="S206" i="83" s="1"/>
  <c r="S124" i="83"/>
  <c r="S123" i="83" s="1"/>
  <c r="S144" i="83" s="1"/>
  <c r="AQ41" i="9"/>
  <c r="AQ54" i="9"/>
  <c r="AQ52" i="9"/>
  <c r="AQ55" i="9" s="1"/>
  <c r="S176" i="83"/>
  <c r="AQ39" i="10"/>
  <c r="AP44" i="10"/>
  <c r="AQ51" i="9" l="1"/>
  <c r="AQ56" i="9" s="1"/>
  <c r="AQ14" i="9"/>
  <c r="AQ20" i="9" l="1"/>
  <c r="AQ43" i="9" s="1"/>
  <c r="AQ53" i="9"/>
  <c r="AR51" i="10"/>
  <c r="AT64" i="5"/>
  <c r="AP61" i="5"/>
  <c r="FY38" i="11" s="1"/>
  <c r="AQ51" i="10"/>
  <c r="AP58" i="5"/>
  <c r="AO58" i="5"/>
  <c r="AO61" i="5"/>
  <c r="U27" i="83"/>
  <c r="U175" i="83" s="1"/>
  <c r="AR34" i="10"/>
  <c r="AR37" i="10" s="1"/>
  <c r="AQ34" i="10"/>
  <c r="AR38" i="9" s="1"/>
  <c r="AS38" i="9" s="1"/>
  <c r="AS39" i="9" s="1"/>
  <c r="T27" i="83"/>
  <c r="T75" i="83" s="1"/>
  <c r="AS41" i="9" l="1"/>
  <c r="AS54" i="9"/>
  <c r="AS52" i="9"/>
  <c r="AS55" i="9" s="1"/>
  <c r="FY37" i="11"/>
  <c r="FX37" i="11"/>
  <c r="FX65" i="11" s="1"/>
  <c r="AP62" i="5"/>
  <c r="AT61" i="5"/>
  <c r="AO59" i="5"/>
  <c r="AO62" i="5"/>
  <c r="U26" i="83"/>
  <c r="U75" i="83"/>
  <c r="FX38" i="11"/>
  <c r="AR39" i="9"/>
  <c r="T124" i="83"/>
  <c r="T74" i="83"/>
  <c r="T95" i="83" s="1"/>
  <c r="T174" i="83"/>
  <c r="T173" i="83" s="1"/>
  <c r="T172" i="83" s="1"/>
  <c r="T206" i="83" s="1"/>
  <c r="AR40" i="10"/>
  <c r="AT58" i="5"/>
  <c r="T175" i="83"/>
  <c r="T26" i="83"/>
  <c r="T47" i="83" s="1"/>
  <c r="AP59" i="5"/>
  <c r="AQ37" i="10"/>
  <c r="FY65" i="11" l="1"/>
  <c r="U124" i="83"/>
  <c r="U174" i="83"/>
  <c r="U173" i="83" s="1"/>
  <c r="U172" i="83" s="1"/>
  <c r="U206" i="83" s="1"/>
  <c r="U74" i="83"/>
  <c r="U95" i="83" s="1"/>
  <c r="AR44" i="10"/>
  <c r="U47" i="83"/>
  <c r="T123" i="83"/>
  <c r="T144" i="83" s="1"/>
  <c r="T176" i="83"/>
  <c r="AR52" i="9"/>
  <c r="AR55" i="9" s="1"/>
  <c r="AR54" i="9"/>
  <c r="AR41" i="9"/>
  <c r="AQ40" i="10"/>
  <c r="AQ41" i="10" s="1"/>
  <c r="AR9" i="9" l="1"/>
  <c r="AR14" i="9" s="1"/>
  <c r="AR39" i="10"/>
  <c r="AR41" i="10" s="1"/>
  <c r="AS9" i="9" s="1"/>
  <c r="U123" i="83"/>
  <c r="U144" i="83" s="1"/>
  <c r="U176" i="83"/>
  <c r="AQ44" i="10"/>
  <c r="AR51" i="9" l="1"/>
  <c r="AR56" i="9" s="1"/>
  <c r="AS14" i="9"/>
  <c r="AS51" i="9"/>
  <c r="AS56" i="9" s="1"/>
  <c r="AR53" i="9"/>
  <c r="AR20" i="9"/>
  <c r="AR43" i="9" s="1"/>
  <c r="AS53" i="9" l="1"/>
  <c r="AS20" i="9"/>
  <c r="AS43" i="9" s="1"/>
</calcChain>
</file>

<file path=xl/comments1.xml><?xml version="1.0" encoding="utf-8"?>
<comments xmlns="http://schemas.openxmlformats.org/spreadsheetml/2006/main">
  <authors>
    <author>balskyh</author>
  </authors>
  <commentList>
    <comment ref="M15" authorId="0">
      <text>
        <r>
          <rPr>
            <sz val="8"/>
            <color indexed="81"/>
            <rFont val="Tahoma"/>
            <family val="2"/>
          </rPr>
          <t>Guidance</t>
        </r>
      </text>
    </comment>
  </commentList>
</comments>
</file>

<file path=xl/comments2.xml><?xml version="1.0" encoding="utf-8"?>
<comments xmlns="http://schemas.openxmlformats.org/spreadsheetml/2006/main">
  <authors>
    <author>balskyh</author>
    <author>Baglione, Gregory  (Research)</author>
  </authors>
  <commentList>
    <comment ref="FB17" authorId="0">
      <text>
        <r>
          <rPr>
            <b/>
            <sz val="8"/>
            <color indexed="81"/>
            <rFont val="Tahoma"/>
            <family val="2"/>
          </rPr>
          <t>Linked</t>
        </r>
      </text>
    </comment>
    <comment ref="FC17" authorId="0">
      <text>
        <r>
          <rPr>
            <b/>
            <sz val="8"/>
            <color indexed="81"/>
            <rFont val="Tahoma"/>
            <family val="2"/>
          </rPr>
          <t>Linked</t>
        </r>
      </text>
    </comment>
    <comment ref="FB19" authorId="0">
      <text>
        <r>
          <rPr>
            <b/>
            <sz val="8"/>
            <color indexed="81"/>
            <rFont val="Tahoma"/>
            <family val="2"/>
          </rPr>
          <t>Linked</t>
        </r>
      </text>
    </comment>
    <comment ref="FC19" authorId="0">
      <text>
        <r>
          <rPr>
            <b/>
            <sz val="8"/>
            <color indexed="81"/>
            <rFont val="Tahoma"/>
            <family val="2"/>
          </rPr>
          <t>Linked</t>
        </r>
      </text>
    </comment>
    <comment ref="FA26" authorId="0">
      <text>
        <r>
          <rPr>
            <b/>
            <sz val="8"/>
            <color indexed="81"/>
            <rFont val="Tahoma"/>
            <family val="2"/>
          </rPr>
          <t xml:space="preserve">Plug </t>
        </r>
      </text>
    </comment>
    <comment ref="FB26" authorId="0">
      <text>
        <r>
          <rPr>
            <b/>
            <sz val="8"/>
            <color indexed="81"/>
            <rFont val="Tahoma"/>
            <family val="2"/>
          </rPr>
          <t xml:space="preserve">Plug </t>
        </r>
      </text>
    </comment>
    <comment ref="EZ29" authorId="0">
      <text>
        <r>
          <rPr>
            <b/>
            <sz val="8"/>
            <color indexed="81"/>
            <rFont val="Tahoma"/>
            <family val="2"/>
          </rPr>
          <t>Linked</t>
        </r>
      </text>
    </comment>
    <comment ref="FA31" authorId="0">
      <text>
        <r>
          <rPr>
            <b/>
            <sz val="8"/>
            <color indexed="81"/>
            <rFont val="Tahoma"/>
            <family val="2"/>
          </rPr>
          <t>Linked</t>
        </r>
      </text>
    </comment>
    <comment ref="FB31" authorId="0">
      <text>
        <r>
          <rPr>
            <b/>
            <sz val="8"/>
            <color indexed="81"/>
            <rFont val="Tahoma"/>
            <family val="2"/>
          </rPr>
          <t>Linked</t>
        </r>
      </text>
    </comment>
    <comment ref="FS37" authorId="1">
      <text>
        <r>
          <rPr>
            <b/>
            <sz val="9"/>
            <color indexed="81"/>
            <rFont val="Tahoma"/>
            <family val="2"/>
          </rPr>
          <t>Baglione, Gregory  (Research):</t>
        </r>
        <r>
          <rPr>
            <sz val="9"/>
            <color indexed="81"/>
            <rFont val="Tahoma"/>
            <family val="2"/>
          </rPr>
          <t xml:space="preserve">
11/10/16
EPS $2.85-2.95
Retail EBIT -5-10 bps decline
Comp approximately flat
8/11/16
EPS $2.60 to $2.75
Retail EBIT -10 to -15%
Comp -1 to +1</t>
        </r>
      </text>
    </comment>
  </commentList>
</comments>
</file>

<file path=xl/comments3.xml><?xml version="1.0" encoding="utf-8"?>
<comments xmlns="http://schemas.openxmlformats.org/spreadsheetml/2006/main">
  <authors>
    <author>balskyh</author>
    <author>duol</author>
    <author>Baglione, Gregory  (Research)</author>
    <author>Mains, Spencer (Research)</author>
    <author>Roberts, Cynthia (Research)</author>
    <author>De Courreges, Edouard (Research)</author>
    <author>casselau</author>
    <author>Michelle Clark</author>
    <author>Duol</author>
    <author>DL</author>
    <author>Baglione, Gregory (Research)</author>
  </authors>
  <commentList>
    <comment ref="CP10" authorId="0">
      <text>
        <r>
          <rPr>
            <b/>
            <sz val="8"/>
            <color indexed="81"/>
            <rFont val="Tahoma"/>
            <family val="2"/>
          </rPr>
          <t xml:space="preserve">6/4/2012 10Q
</t>
        </r>
        <r>
          <rPr>
            <sz val="8"/>
            <color indexed="81"/>
            <rFont val="Tahoma"/>
            <family val="2"/>
          </rPr>
          <t>1) Full line sales $1,716M
2) Direct sales $232M
3) Rack $557M
4) Other $61M
5) Corporate Other -$41M
6) bothavg. selling prices and # of items sold increased in 1Q</t>
        </r>
        <r>
          <rPr>
            <b/>
            <sz val="8"/>
            <color indexed="81"/>
            <rFont val="Tahoma"/>
            <family val="2"/>
          </rPr>
          <t xml:space="preserve">
5/10/2012 Comment
</t>
        </r>
        <r>
          <rPr>
            <sz val="8"/>
            <color indexed="81"/>
            <rFont val="Tahoma"/>
            <family val="2"/>
          </rPr>
          <t>1) Full-line + Direct sales +$191M, +10.8% (comp +9.3%); top categories included handbags, women’s shoes and men’s Shoes
2) FL sales +5.6% y/y 
3) South and Midwest regions were the top-performing geographic areas 
4) Direct +44.2% vs. strong DD comp increase LY</t>
        </r>
        <r>
          <rPr>
            <b/>
            <sz val="8"/>
            <color indexed="81"/>
            <rFont val="Tahoma"/>
            <family val="2"/>
          </rPr>
          <t xml:space="preserve">
</t>
        </r>
        <r>
          <rPr>
            <sz val="8"/>
            <color indexed="81"/>
            <rFont val="Tahoma"/>
            <family val="2"/>
          </rPr>
          <t>5) Rack +$91M, or +19.6% (comp +6.8%)
6) Total Sales/SF +10.1%</t>
        </r>
        <r>
          <rPr>
            <b/>
            <sz val="8"/>
            <color indexed="81"/>
            <rFont val="Tahoma"/>
            <family val="2"/>
          </rPr>
          <t xml:space="preserve">
Per 1/17/2012 Commentary: </t>
        </r>
        <r>
          <rPr>
            <sz val="8"/>
            <color indexed="81"/>
            <rFont val="Tahoma"/>
            <family val="2"/>
          </rPr>
          <t xml:space="preserve">
- Comp will not include HL in 2012
- HL likely to be broken out similarly to Jeffery in other revenues
- 53rd week not included in comp</t>
        </r>
      </text>
    </comment>
    <comment ref="CT10" authorId="0">
      <text>
        <r>
          <rPr>
            <b/>
            <sz val="8"/>
            <color indexed="81"/>
            <rFont val="Tahoma"/>
            <family val="2"/>
          </rPr>
          <t xml:space="preserve">6/4/2012 10Q
</t>
        </r>
        <r>
          <rPr>
            <sz val="8"/>
            <color indexed="81"/>
            <rFont val="Tahoma"/>
            <family val="2"/>
          </rPr>
          <t>1) Full line sales $1,716M
2) Direct sales $232M
3) Rack $557M
4) Other $61M
5) Corporate Other -$41M
6) bothavg. selling prices and # of items sold increased in 1Q</t>
        </r>
        <r>
          <rPr>
            <b/>
            <sz val="8"/>
            <color indexed="81"/>
            <rFont val="Tahoma"/>
            <family val="2"/>
          </rPr>
          <t xml:space="preserve">
5/10/2012 Comment
</t>
        </r>
        <r>
          <rPr>
            <sz val="8"/>
            <color indexed="81"/>
            <rFont val="Tahoma"/>
            <family val="2"/>
          </rPr>
          <t>1) Full-line + Direct sales +$191M, +10.8% (comp +9.3%); top categories included handbags, women’s shoes and men’s Shoes
2) FL sales +5.6% y/y 
3) South and Midwest regions were the top-performing geographic areas 
4) Direct +44.2% vs. strong DD comp increase LY</t>
        </r>
        <r>
          <rPr>
            <b/>
            <sz val="8"/>
            <color indexed="81"/>
            <rFont val="Tahoma"/>
            <family val="2"/>
          </rPr>
          <t xml:space="preserve">
</t>
        </r>
        <r>
          <rPr>
            <sz val="8"/>
            <color indexed="81"/>
            <rFont val="Tahoma"/>
            <family val="2"/>
          </rPr>
          <t>5) Rack +$91M, or +19.6% (comp +6.8%)
6) Total Sales/SF +10.1%</t>
        </r>
        <r>
          <rPr>
            <b/>
            <sz val="8"/>
            <color indexed="81"/>
            <rFont val="Tahoma"/>
            <family val="2"/>
          </rPr>
          <t xml:space="preserve">
Per 1/17/2012 Commentary: </t>
        </r>
        <r>
          <rPr>
            <sz val="8"/>
            <color indexed="81"/>
            <rFont val="Tahoma"/>
            <family val="2"/>
          </rPr>
          <t xml:space="preserve">
- Comp will not include HL in 2012
- HL likely to be broken out similarly to Jeffery in other revenues
- 53rd week not included in comp</t>
        </r>
      </text>
    </comment>
    <comment ref="CX10" authorId="1">
      <text>
        <r>
          <rPr>
            <sz val="8"/>
            <color indexed="81"/>
            <rFont val="Tahoma"/>
            <family val="2"/>
          </rPr>
          <t>2/20/14: 0-2%</t>
        </r>
        <r>
          <rPr>
            <sz val="8"/>
            <color indexed="81"/>
            <rFont val="Tahoma"/>
            <family val="2"/>
          </rPr>
          <t xml:space="preserve">
</t>
        </r>
      </text>
    </comment>
    <comment ref="DF10" authorId="2">
      <text>
        <r>
          <rPr>
            <b/>
            <sz val="9"/>
            <color indexed="81"/>
            <rFont val="Tahoma"/>
            <family val="2"/>
          </rPr>
          <t>Baglione, Gregory  (Research):</t>
        </r>
        <r>
          <rPr>
            <sz val="9"/>
            <color indexed="81"/>
            <rFont val="Tahoma"/>
            <family val="2"/>
          </rPr>
          <t xml:space="preserve">
Our full price businesses, which include our full-line stores,Nordstrom.com, Trunk Club and Canada, had comp decrease of 4.3%. This softness was broad-based across stores and online, as well as across merchandise categories, although we had notably tougher trends in jewelry and handbags, as well as some of our larger volume brands.</t>
        </r>
      </text>
    </comment>
    <comment ref="CP11" authorId="0">
      <text>
        <r>
          <rPr>
            <b/>
            <sz val="8"/>
            <color indexed="81"/>
            <rFont val="Tahoma"/>
            <family val="2"/>
          </rPr>
          <t xml:space="preserve">5/10/2012 &amp; 5/3/2012 Commentary
</t>
        </r>
        <r>
          <rPr>
            <sz val="8"/>
            <color indexed="81"/>
            <rFont val="Tahoma"/>
            <family val="2"/>
          </rPr>
          <t xml:space="preserve">- Anniversary sale starts wk later (7/20 TY vs. 7/15 LY; both 17 days)
- Q2 comp +LSD; Q3 comp +HSD </t>
        </r>
      </text>
    </comment>
    <comment ref="CT11" authorId="0">
      <text>
        <r>
          <rPr>
            <b/>
            <sz val="8"/>
            <color indexed="81"/>
            <rFont val="Tahoma"/>
            <family val="2"/>
          </rPr>
          <t xml:space="preserve">5/18/2013 guidance: </t>
        </r>
        <r>
          <rPr>
            <sz val="8"/>
            <color indexed="81"/>
            <rFont val="Tahoma"/>
            <family val="2"/>
          </rPr>
          <t>2Q &gt; FY 3-5% increase</t>
        </r>
        <r>
          <rPr>
            <b/>
            <sz val="8"/>
            <color indexed="81"/>
            <rFont val="Tahoma"/>
            <family val="2"/>
          </rPr>
          <t xml:space="preserve">
2/21/2013 guidance</t>
        </r>
        <r>
          <rPr>
            <b/>
            <sz val="8"/>
            <color indexed="81"/>
            <rFont val="Tahoma"/>
            <family val="2"/>
          </rPr>
          <t>:</t>
        </r>
        <r>
          <rPr>
            <sz val="8"/>
            <color indexed="81"/>
            <rFont val="Tahoma"/>
            <family val="2"/>
          </rPr>
          <t xml:space="preserve"> 2Q &gt; 3.5-5.5%</t>
        </r>
      </text>
    </comment>
    <comment ref="CZ11" authorId="3">
      <text>
        <r>
          <rPr>
            <b/>
            <sz val="9"/>
            <color indexed="81"/>
            <rFont val="Tahoma"/>
            <family val="2"/>
          </rPr>
          <t>Mains, Spencer (Research):</t>
        </r>
        <r>
          <rPr>
            <sz val="9"/>
            <color indexed="81"/>
            <rFont val="Tahoma"/>
            <family val="2"/>
          </rPr>
          <t xml:space="preserve">
Strategic investments (Canada, Trunk Club, Rack.com) added over $100M to top line</t>
        </r>
      </text>
    </comment>
    <comment ref="DA11" authorId="3">
      <text>
        <r>
          <rPr>
            <b/>
            <sz val="9"/>
            <color indexed="81"/>
            <rFont val="Tahoma"/>
            <family val="2"/>
          </rPr>
          <t>Mains, Spencer (Research):</t>
        </r>
        <r>
          <rPr>
            <sz val="9"/>
            <color indexed="81"/>
            <rFont val="Tahoma"/>
            <family val="2"/>
          </rPr>
          <t xml:space="preserve">
8/13/15: Strategic growth investments (Canada, Trunk Club, Rack.com) drove over 1/3 of total sales growth</t>
        </r>
      </text>
    </comment>
    <comment ref="DF11" authorId="2">
      <text>
        <r>
          <rPr>
            <b/>
            <sz val="9"/>
            <color indexed="81"/>
            <rFont val="Tahoma"/>
            <family val="2"/>
          </rPr>
          <t>Baglione, Gregory  (Research):</t>
        </r>
        <r>
          <rPr>
            <sz val="9"/>
            <color indexed="81"/>
            <rFont val="Tahoma"/>
            <family val="2"/>
          </rPr>
          <t xml:space="preserve">
8/11/16
Customers responded favorably to newness, with shoes and beauty leading our results. As a reminder, historically, every several years we have a shift in our anniversary event, which moves one week of the event into the third quarter. As a result, our comp decrease of 1.2% was unfavorably impacted by roughly 250 basis points.
5/12/16 No change here on 1Q call
2/18/16
200-300 bps shift comp shift due to anniv. Sale move into 3Q.
</t>
        </r>
      </text>
    </comment>
    <comment ref="DN11" authorId="4">
      <text>
        <r>
          <rPr>
            <b/>
            <sz val="9"/>
            <color indexed="81"/>
            <rFont val="Tahoma"/>
            <family val="2"/>
          </rPr>
          <t>Roberts, Cynthia (Research):</t>
        </r>
        <r>
          <rPr>
            <sz val="9"/>
            <color indexed="81"/>
            <rFont val="Tahoma"/>
            <family val="2"/>
          </rPr>
          <t xml:space="preserve">
3/1/18: reflects the shift or the Anniversary sale due to shift in the reporting calendar</t>
        </r>
      </text>
    </comment>
    <comment ref="CP12" authorId="0">
      <text>
        <r>
          <rPr>
            <b/>
            <sz val="8"/>
            <color indexed="81"/>
            <rFont val="Tahoma"/>
            <family val="2"/>
          </rPr>
          <t xml:space="preserve">8/9/2012 Guidance
</t>
        </r>
        <r>
          <rPr>
            <sz val="8"/>
            <color indexed="81"/>
            <rFont val="Tahoma"/>
            <family val="2"/>
          </rPr>
          <t>+HSD</t>
        </r>
        <r>
          <rPr>
            <b/>
            <sz val="8"/>
            <color indexed="81"/>
            <rFont val="Tahoma"/>
            <family val="2"/>
          </rPr>
          <t xml:space="preserve">
5/10/2012 &amp; 5/3/2012 Commentary
</t>
        </r>
        <r>
          <rPr>
            <sz val="8"/>
            <color indexed="81"/>
            <rFont val="Tahoma"/>
            <family val="2"/>
          </rPr>
          <t>- Anniversary sale starts wk later (7/20 TY vs. 7/15 LY; both 17 days)
- Q2 +LSD; Q3 +HSD</t>
        </r>
      </text>
    </comment>
    <comment ref="CT12" authorId="0">
      <text>
        <r>
          <rPr>
            <b/>
            <sz val="8"/>
            <color indexed="81"/>
            <rFont val="Tahoma"/>
            <family val="2"/>
          </rPr>
          <t xml:space="preserve">8/15/2013 guidance: </t>
        </r>
        <r>
          <rPr>
            <sz val="8"/>
            <color indexed="81"/>
            <rFont val="Tahoma"/>
            <family val="2"/>
          </rPr>
          <t>3Q below 2-3%</t>
        </r>
        <r>
          <rPr>
            <b/>
            <sz val="8"/>
            <color indexed="81"/>
            <rFont val="Tahoma"/>
            <family val="2"/>
          </rPr>
          <t xml:space="preserve">
5/16/2013 guidance: </t>
        </r>
        <r>
          <rPr>
            <sz val="8"/>
            <color indexed="81"/>
            <rFont val="Tahoma"/>
            <family val="2"/>
          </rPr>
          <t>2H13 &lt; 3-5% guidance</t>
        </r>
        <r>
          <rPr>
            <b/>
            <sz val="8"/>
            <color indexed="81"/>
            <rFont val="Tahoma"/>
            <family val="2"/>
          </rPr>
          <t xml:space="preserve">
2/21/2013 guidance</t>
        </r>
        <r>
          <rPr>
            <b/>
            <sz val="8"/>
            <color indexed="81"/>
            <rFont val="Tahoma"/>
            <family val="2"/>
          </rPr>
          <t>:</t>
        </r>
        <r>
          <rPr>
            <sz val="8"/>
            <color indexed="81"/>
            <rFont val="Tahoma"/>
            <family val="2"/>
          </rPr>
          <t xml:space="preserve"> 2H &lt; 3.5-5.5%</t>
        </r>
      </text>
    </comment>
    <comment ref="DB12" authorId="2">
      <text>
        <r>
          <rPr>
            <b/>
            <sz val="9"/>
            <color indexed="81"/>
            <rFont val="Tahoma"/>
            <family val="2"/>
          </rPr>
          <t>Baglione, Gregory  (Research):</t>
        </r>
        <r>
          <rPr>
            <sz val="9"/>
            <color indexed="81"/>
            <rFont val="Tahoma"/>
            <family val="2"/>
          </rPr>
          <t xml:space="preserve">
11/12/15 Comps experienced broad based weakness</t>
        </r>
      </text>
    </comment>
    <comment ref="DD12" authorId="4">
      <text>
        <r>
          <rPr>
            <b/>
            <sz val="9"/>
            <color indexed="81"/>
            <rFont val="Tahoma"/>
            <family val="2"/>
          </rPr>
          <t>Roberts, Cynthia (Research):</t>
        </r>
        <r>
          <rPr>
            <sz val="9"/>
            <color indexed="81"/>
            <rFont val="Tahoma"/>
            <family val="2"/>
          </rPr>
          <t xml:space="preserve">
11/10/16
Full-line and Nordstrom: top performing categories - Women's and Men's apparel. Younger customer-focused departments in Women's apparel continued to outperform. reflecting strength in denim and collaborations with new and emerging limited distribution brands. 
The West was the top-performing geographic region.
Nordstrom Rack: East was top performing region</t>
        </r>
      </text>
    </comment>
    <comment ref="DF12" authorId="2">
      <text>
        <r>
          <rPr>
            <b/>
            <sz val="9"/>
            <color indexed="81"/>
            <rFont val="Tahoma"/>
            <family val="2"/>
          </rPr>
          <t>Baglione, Gregory  (Research):</t>
        </r>
        <r>
          <rPr>
            <sz val="9"/>
            <color indexed="81"/>
            <rFont val="Tahoma"/>
            <family val="2"/>
          </rPr>
          <t xml:space="preserve">
11/10/16: 
Benefit from anniversary shift (one week to 3Q, &gt;+250 bps)
2Q+3Q comps combined +0.4% (removes anniversary shift impact) vs LY
"Third quarter results included a non-cash goodwill impairment of $197 million related to Trunk Club, which the Company acquired in 2014" (acquired for ~$375M in stock)
8/11/16
Anniv. Shift ~250 bps headwind
2/18/16
200-300 bps shift comp shift due to anniv. Sale move into 3Q
</t>
        </r>
      </text>
    </comment>
    <comment ref="DN12" authorId="4">
      <text>
        <r>
          <rPr>
            <b/>
            <sz val="9"/>
            <color indexed="81"/>
            <rFont val="Tahoma"/>
            <family val="2"/>
          </rPr>
          <t>Roberts, Cynthia (Research):</t>
        </r>
        <r>
          <rPr>
            <sz val="9"/>
            <color indexed="81"/>
            <rFont val="Tahoma"/>
            <family val="2"/>
          </rPr>
          <t xml:space="preserve">
3/1/18: reflects the shift or the Anniversary sale due to shift in the reporting calendar</t>
        </r>
      </text>
    </comment>
    <comment ref="CO13" authorId="0">
      <text>
        <r>
          <rPr>
            <b/>
            <sz val="8"/>
            <color indexed="81"/>
            <rFont val="Tahoma"/>
            <family val="2"/>
          </rPr>
          <t xml:space="preserve">Note: 
</t>
        </r>
        <r>
          <rPr>
            <sz val="8"/>
            <color indexed="81"/>
            <rFont val="Tahoma"/>
            <family val="2"/>
          </rPr>
          <t>- January 2013 has an extra week vs January 2012 (not included in the comp)</t>
        </r>
        <r>
          <rPr>
            <sz val="8"/>
            <color indexed="81"/>
            <rFont val="Tahoma"/>
            <family val="2"/>
          </rPr>
          <t xml:space="preserve">
</t>
        </r>
      </text>
    </comment>
    <comment ref="CP13" authorId="0">
      <text>
        <r>
          <rPr>
            <b/>
            <sz val="8"/>
            <color indexed="81"/>
            <rFont val="Tahoma"/>
            <family val="2"/>
          </rPr>
          <t xml:space="preserve">8/9/2012 Guidance
</t>
        </r>
        <r>
          <rPr>
            <sz val="8"/>
            <color indexed="81"/>
            <rFont val="Tahoma"/>
            <family val="2"/>
          </rPr>
          <t>+MSD</t>
        </r>
        <r>
          <rPr>
            <b/>
            <sz val="8"/>
            <color indexed="81"/>
            <rFont val="Tahoma"/>
            <family val="2"/>
          </rPr>
          <t xml:space="preserve">
Per 1/17/2012 Commentary: </t>
        </r>
        <r>
          <rPr>
            <sz val="8"/>
            <color indexed="81"/>
            <rFont val="Tahoma"/>
            <family val="2"/>
          </rPr>
          <t xml:space="preserve">
- Comp will not include HL in 2012
- HL likely to be broken out similarly to Jeffery in other revenues
- 53rd week not included in comp</t>
        </r>
      </text>
    </comment>
    <comment ref="CT13" authorId="0">
      <text>
        <r>
          <rPr>
            <b/>
            <sz val="8"/>
            <color indexed="81"/>
            <rFont val="Tahoma"/>
            <family val="2"/>
          </rPr>
          <t xml:space="preserve">8/15/2013 guidance: </t>
        </r>
        <r>
          <rPr>
            <sz val="8"/>
            <color indexed="81"/>
            <rFont val="Tahoma"/>
            <family val="2"/>
          </rPr>
          <t>2-3%(4Q in line with full yr)</t>
        </r>
        <r>
          <rPr>
            <b/>
            <sz val="8"/>
            <color indexed="81"/>
            <rFont val="Tahoma"/>
            <family val="2"/>
          </rPr>
          <t xml:space="preserve">
5/16/2013 guidance:</t>
        </r>
        <r>
          <rPr>
            <sz val="8"/>
            <color indexed="81"/>
            <rFont val="Tahoma"/>
            <family val="2"/>
          </rPr>
          <t xml:space="preserve"> 2H13 &lt; 3-5% guidance</t>
        </r>
        <r>
          <rPr>
            <b/>
            <sz val="8"/>
            <color indexed="81"/>
            <rFont val="Tahoma"/>
            <family val="2"/>
          </rPr>
          <t xml:space="preserve">
2/21/2013 guidance</t>
        </r>
        <r>
          <rPr>
            <b/>
            <sz val="8"/>
            <color indexed="81"/>
            <rFont val="Tahoma"/>
            <family val="2"/>
          </rPr>
          <t>:</t>
        </r>
        <r>
          <rPr>
            <sz val="8"/>
            <color indexed="81"/>
            <rFont val="Tahoma"/>
            <family val="2"/>
          </rPr>
          <t xml:space="preserve"> 2H &lt; 3.5-5.5%</t>
        </r>
      </text>
    </comment>
    <comment ref="DB13" authorId="2">
      <text>
        <r>
          <rPr>
            <b/>
            <sz val="9"/>
            <color indexed="81"/>
            <rFont val="Tahoma"/>
            <family val="2"/>
          </rPr>
          <t>Baglione, Gregory  (Research):</t>
        </r>
        <r>
          <rPr>
            <sz val="9"/>
            <color indexed="81"/>
            <rFont val="Tahoma"/>
            <family val="2"/>
          </rPr>
          <t xml:space="preserve">
11/12/15
Updated FY  guidance 2.5-3.0% comp increase vs. prior 3.5-4.5%. Updated guidance implies ~0.5%-1.5% 4Q comp </t>
        </r>
      </text>
    </comment>
    <comment ref="DF13" authorId="4">
      <text>
        <r>
          <rPr>
            <b/>
            <sz val="9"/>
            <color indexed="81"/>
            <rFont val="Tahoma"/>
            <family val="2"/>
          </rPr>
          <t>Roberts, Cynthia (Research):</t>
        </r>
        <r>
          <rPr>
            <sz val="9"/>
            <color indexed="81"/>
            <rFont val="Tahoma"/>
            <family val="2"/>
          </rPr>
          <t xml:space="preserve">
1/17/17
Previous flat.
Updated to -1% given weak results reported by Department store peers.</t>
        </r>
      </text>
    </comment>
    <comment ref="DH13" authorId="5">
      <text>
        <r>
          <rPr>
            <b/>
            <sz val="9"/>
            <color indexed="81"/>
            <rFont val="Tahoma"/>
            <family val="2"/>
          </rPr>
          <t>De Courreges, Edouard (Research):</t>
        </r>
        <r>
          <rPr>
            <sz val="9"/>
            <color indexed="81"/>
            <rFont val="Tahoma"/>
            <family val="2"/>
          </rPr>
          <t xml:space="preserve">
$220M benefit from the 53rd week</t>
        </r>
      </text>
    </comment>
    <comment ref="CP14" authorId="0">
      <text>
        <r>
          <rPr>
            <b/>
            <sz val="8"/>
            <color indexed="81"/>
            <rFont val="Tahoma"/>
            <family val="2"/>
          </rPr>
          <t xml:space="preserve">11/8/2012 Guidance </t>
        </r>
        <r>
          <rPr>
            <sz val="8"/>
            <color indexed="81"/>
            <rFont val="Tahoma"/>
            <family val="2"/>
          </rPr>
          <t>+6.5-7%</t>
        </r>
        <r>
          <rPr>
            <b/>
            <sz val="8"/>
            <color indexed="81"/>
            <rFont val="Tahoma"/>
            <family val="2"/>
          </rPr>
          <t xml:space="preserve">
8/9/2012 Guidance </t>
        </r>
        <r>
          <rPr>
            <sz val="8"/>
            <color indexed="81"/>
            <rFont val="Tahoma"/>
            <family val="2"/>
          </rPr>
          <t>+6-7%</t>
        </r>
        <r>
          <rPr>
            <b/>
            <sz val="8"/>
            <color indexed="81"/>
            <rFont val="Tahoma"/>
            <family val="2"/>
          </rPr>
          <t xml:space="preserve">
5/10/2012 Guidance 
</t>
        </r>
        <r>
          <rPr>
            <sz val="8"/>
            <color indexed="81"/>
            <rFont val="Tahoma"/>
            <family val="2"/>
          </rPr>
          <t>+4-6%</t>
        </r>
        <r>
          <rPr>
            <b/>
            <sz val="8"/>
            <color indexed="81"/>
            <rFont val="Tahoma"/>
            <family val="2"/>
          </rPr>
          <t xml:space="preserve">
Guidance 2/16/12
</t>
        </r>
        <r>
          <rPr>
            <sz val="8"/>
            <color indexed="81"/>
            <rFont val="Tahoma"/>
            <family val="2"/>
          </rPr>
          <t>1) 4-6% includes 3-4% at both Full Line and Rack, the rest coming from Direct
**This assumes +3-4% store comp and the balance coming from Direct.</t>
        </r>
        <r>
          <rPr>
            <b/>
            <sz val="8"/>
            <color indexed="81"/>
            <rFont val="Tahoma"/>
            <family val="2"/>
          </rPr>
          <t xml:space="preserve">
Per 1/17/2012 Commentary: </t>
        </r>
        <r>
          <rPr>
            <sz val="8"/>
            <color indexed="81"/>
            <rFont val="Tahoma"/>
            <family val="2"/>
          </rPr>
          <t xml:space="preserve">
- Comp will not include HL in 2012
- HL likely to be broken out similarly to Jeffery in other revenues
- 53rd week not included in comp</t>
        </r>
      </text>
    </comment>
    <comment ref="CS14" authorId="0">
      <text>
        <r>
          <rPr>
            <b/>
            <sz val="8"/>
            <color indexed="81"/>
            <rFont val="Tahoma"/>
            <family val="2"/>
          </rPr>
          <t>11/14/13: guidance 3.5%
5/16/2013 guidance:</t>
        </r>
        <r>
          <rPr>
            <sz val="8"/>
            <color indexed="81"/>
            <rFont val="Tahoma"/>
            <family val="2"/>
          </rPr>
          <t xml:space="preserve"> 4-6%</t>
        </r>
        <r>
          <rPr>
            <b/>
            <sz val="8"/>
            <color indexed="81"/>
            <rFont val="Tahoma"/>
            <family val="2"/>
          </rPr>
          <t xml:space="preserve">
2/21/2013: </t>
        </r>
        <r>
          <rPr>
            <sz val="8"/>
            <color indexed="81"/>
            <rFont val="Tahoma"/>
            <family val="2"/>
          </rPr>
          <t>guidance 4.5-6.5%</t>
        </r>
      </text>
    </comment>
    <comment ref="CT14" authorId="0">
      <text>
        <r>
          <rPr>
            <b/>
            <sz val="8"/>
            <color indexed="81"/>
            <rFont val="Tahoma"/>
            <family val="2"/>
          </rPr>
          <t xml:space="preserve">11/8/2012 Guidance </t>
        </r>
        <r>
          <rPr>
            <sz val="8"/>
            <color indexed="81"/>
            <rFont val="Tahoma"/>
            <family val="2"/>
          </rPr>
          <t>+6.5-7%</t>
        </r>
        <r>
          <rPr>
            <b/>
            <sz val="8"/>
            <color indexed="81"/>
            <rFont val="Tahoma"/>
            <family val="2"/>
          </rPr>
          <t xml:space="preserve">
8/9/2012 Guidance </t>
        </r>
        <r>
          <rPr>
            <sz val="8"/>
            <color indexed="81"/>
            <rFont val="Tahoma"/>
            <family val="2"/>
          </rPr>
          <t>+6-7%</t>
        </r>
        <r>
          <rPr>
            <b/>
            <sz val="8"/>
            <color indexed="81"/>
            <rFont val="Tahoma"/>
            <family val="2"/>
          </rPr>
          <t xml:space="preserve">
5/10/2012 Guidance 
</t>
        </r>
        <r>
          <rPr>
            <sz val="8"/>
            <color indexed="81"/>
            <rFont val="Tahoma"/>
            <family val="2"/>
          </rPr>
          <t>+4-6%</t>
        </r>
        <r>
          <rPr>
            <b/>
            <sz val="8"/>
            <color indexed="81"/>
            <rFont val="Tahoma"/>
            <family val="2"/>
          </rPr>
          <t xml:space="preserve">
Guidance 2/16/12
</t>
        </r>
        <r>
          <rPr>
            <sz val="8"/>
            <color indexed="81"/>
            <rFont val="Tahoma"/>
            <family val="2"/>
          </rPr>
          <t>1) 4-6% includes 3-4% at both Full Line and Rack, the rest coming from Direct
**This assumes +3-4% store comp and the balance coming from Direct.</t>
        </r>
        <r>
          <rPr>
            <b/>
            <sz val="8"/>
            <color indexed="81"/>
            <rFont val="Tahoma"/>
            <family val="2"/>
          </rPr>
          <t xml:space="preserve">
Per 1/17/2012 Commentary: </t>
        </r>
        <r>
          <rPr>
            <sz val="8"/>
            <color indexed="81"/>
            <rFont val="Tahoma"/>
            <family val="2"/>
          </rPr>
          <t xml:space="preserve">
- Comp will not include HL in 2012
- HL likely to be broken out similarly to Jeffery in other revenues
- 53rd week not included in comp</t>
        </r>
      </text>
    </comment>
    <comment ref="CW14" authorId="1">
      <text>
        <r>
          <rPr>
            <b/>
            <sz val="8"/>
            <color indexed="81"/>
            <rFont val="Tahoma"/>
            <family val="2"/>
          </rPr>
          <t>11/12/14:</t>
        </r>
        <r>
          <rPr>
            <sz val="8"/>
            <color indexed="81"/>
            <rFont val="Tahoma"/>
            <family val="2"/>
          </rPr>
          <t xml:space="preserve"> 7.5%
8/14/14: 6.5-7.5%
5/15/14: 5.5-7.5%
2/20/14: 5.5-7.5%
</t>
        </r>
      </text>
    </comment>
    <comment ref="CX14" authorId="1">
      <text>
        <r>
          <rPr>
            <b/>
            <sz val="8"/>
            <color indexed="81"/>
            <rFont val="Tahoma"/>
            <family val="2"/>
          </rPr>
          <t>11/12/14 guidance:</t>
        </r>
        <r>
          <rPr>
            <sz val="8"/>
            <color indexed="81"/>
            <rFont val="Tahoma"/>
            <family val="2"/>
          </rPr>
          <t xml:space="preserve"> 3.5%
8/14/14 guidance: 3-4%
5/15/14 guidance: 2-4%
2/20/14 guidance: 2-4%
</t>
        </r>
      </text>
    </comment>
    <comment ref="CZ14" authorId="2">
      <text>
        <r>
          <rPr>
            <b/>
            <sz val="9"/>
            <color indexed="81"/>
            <rFont val="Tahoma"/>
            <family val="2"/>
          </rPr>
          <t>Baglione, Gregory  (Research):</t>
        </r>
        <r>
          <rPr>
            <sz val="9"/>
            <color indexed="81"/>
            <rFont val="Tahoma"/>
            <family val="2"/>
          </rPr>
          <t xml:space="preserve">
11/12/15
FY sales outlook
+7.5-8.0% vs. prior +8.5%-+9.5%</t>
        </r>
      </text>
    </comment>
    <comment ref="DA14" authorId="6">
      <text>
        <r>
          <rPr>
            <b/>
            <sz val="9"/>
            <color indexed="81"/>
            <rFont val="Tahoma"/>
            <family val="2"/>
          </rPr>
          <t>casselau:</t>
        </r>
        <r>
          <rPr>
            <sz val="9"/>
            <color indexed="81"/>
            <rFont val="Tahoma"/>
            <family val="2"/>
          </rPr>
          <t xml:space="preserve">
11/12/15
FY sales outlook
+7.5-8.0% vs. prior +8.5%-+9.5%
8/13/15: guidance 8.5-9.5%
Moving towards 20% fewer clearance days TY, planning another 25% reduction next year
2/19/15: guidance +7-9%
</t>
        </r>
      </text>
    </comment>
    <comment ref="DB14" authorId="6">
      <text>
        <r>
          <rPr>
            <b/>
            <sz val="9"/>
            <color indexed="81"/>
            <rFont val="Tahoma"/>
            <family val="2"/>
          </rPr>
          <t>casselau:</t>
        </r>
        <r>
          <rPr>
            <sz val="9"/>
            <color indexed="81"/>
            <rFont val="Tahoma"/>
            <family val="2"/>
          </rPr>
          <t xml:space="preserve">
8/13/15: +2-4%
8/13/15: Comp guidance on track for 3.5-4.5%
2/19/14: guidance +2-4% comp
</t>
        </r>
      </text>
    </comment>
    <comment ref="DE14" authorId="2">
      <text>
        <r>
          <rPr>
            <b/>
            <sz val="9"/>
            <color indexed="81"/>
            <rFont val="Tahoma"/>
            <family val="2"/>
          </rPr>
          <t>Baglione, Gregory  (Research):</t>
        </r>
        <r>
          <rPr>
            <sz val="9"/>
            <color indexed="81"/>
            <rFont val="Tahoma"/>
            <family val="2"/>
          </rPr>
          <t xml:space="preserve">
11/10/16 
guidance: net sales approx +3.5 % increase
(vs. previous +2.5-4.5% increase)
8/11/16
No change to sales guidance
5/12/16
Updated sales guidance  2.5 to 4.5 increase
2/18/16
FY comps 3.5%-5.5%
</t>
        </r>
      </text>
    </comment>
    <comment ref="DF14" authorId="2">
      <text>
        <r>
          <rPr>
            <b/>
            <sz val="9"/>
            <color indexed="81"/>
            <rFont val="Tahoma"/>
            <family val="2"/>
          </rPr>
          <t>Baglione, Gregory  (/Research):</t>
        </r>
        <r>
          <rPr>
            <sz val="9"/>
            <color indexed="81"/>
            <rFont val="Tahoma"/>
            <family val="2"/>
          </rPr>
          <t xml:space="preserve">
11/10/16 
updated guidance - approximately flat
(vs. previous -1% decrease to +1% increase)
8/11/16
No change to guidance
5/12/16
 1 decrease to 1 increase
 2/18/16 FY comps 0-2%
</t>
        </r>
      </text>
    </comment>
    <comment ref="DI14" authorId="4">
      <text>
        <r>
          <rPr>
            <b/>
            <sz val="9"/>
            <color indexed="81"/>
            <rFont val="Tahoma"/>
            <family val="2"/>
          </rPr>
          <t>Roberts, Cynthia (Research):</t>
        </r>
        <r>
          <rPr>
            <sz val="9"/>
            <color indexed="81"/>
            <rFont val="Tahoma"/>
            <family val="2"/>
          </rPr>
          <t xml:space="preserve">
1/9/18: +4.2% total sales
2/23/17: Guidance +3-4%; 53rd week expected to add $200M in net sales </t>
        </r>
      </text>
    </comment>
    <comment ref="DJ14" authorId="4">
      <text>
        <r>
          <rPr>
            <b/>
            <sz val="9"/>
            <color indexed="81"/>
            <rFont val="Tahoma"/>
            <family val="2"/>
          </rPr>
          <t>Roberts, Cynthia (Research):</t>
        </r>
        <r>
          <rPr>
            <sz val="9"/>
            <color indexed="81"/>
            <rFont val="Tahoma"/>
            <family val="2"/>
          </rPr>
          <t xml:space="preserve">
1/9/18: ~+0.5% comp
5/11/17: Maintained Guidance
2/23/17: Guidance: approx. flat</t>
        </r>
      </text>
    </comment>
    <comment ref="DL14" authorId="4">
      <text>
        <r>
          <rPr>
            <b/>
            <sz val="9"/>
            <color indexed="81"/>
            <rFont val="Tahoma"/>
            <family val="2"/>
          </rPr>
          <t>Roberts, Cynthia (Research):</t>
        </r>
        <r>
          <rPr>
            <sz val="9"/>
            <color indexed="81"/>
            <rFont val="Tahoma"/>
            <family val="2"/>
          </rPr>
          <t xml:space="preserve">
3/1/18: $15.2-$15.4B</t>
        </r>
      </text>
    </comment>
    <comment ref="DN14" authorId="4">
      <text>
        <r>
          <rPr>
            <b/>
            <sz val="9"/>
            <color indexed="81"/>
            <rFont val="Tahoma"/>
            <family val="2"/>
          </rPr>
          <t>Roberts, Cynthia (Research):</t>
        </r>
        <r>
          <rPr>
            <sz val="9"/>
            <color indexed="81"/>
            <rFont val="Tahoma"/>
            <family val="2"/>
          </rPr>
          <t xml:space="preserve">
3/1/18: Guidance +0.5-+1.5%</t>
        </r>
      </text>
    </comment>
    <comment ref="CT16" authorId="0">
      <text>
        <r>
          <rPr>
            <b/>
            <sz val="8"/>
            <color indexed="81"/>
            <rFont val="Tahoma"/>
            <family val="2"/>
          </rPr>
          <t>2/21/2013 guidance</t>
        </r>
        <r>
          <rPr>
            <b/>
            <sz val="8"/>
            <color indexed="81"/>
            <rFont val="Tahoma"/>
            <family val="2"/>
          </rPr>
          <t>:</t>
        </r>
        <r>
          <rPr>
            <sz val="8"/>
            <color indexed="81"/>
            <rFont val="Tahoma"/>
            <family val="2"/>
          </rPr>
          <t xml:space="preserve"> 2H &lt; 3.5-5.5%</t>
        </r>
      </text>
    </comment>
    <comment ref="CN21" authorId="0">
      <text>
        <r>
          <rPr>
            <b/>
            <sz val="8"/>
            <color indexed="81"/>
            <rFont val="Tahoma"/>
            <family val="2"/>
          </rPr>
          <t xml:space="preserve">1Q13 10Q: </t>
        </r>
        <r>
          <rPr>
            <sz val="8"/>
            <color indexed="81"/>
            <rFont val="Tahoma"/>
            <family val="2"/>
          </rPr>
          <t>restated</t>
        </r>
      </text>
    </comment>
    <comment ref="CN22" authorId="0">
      <text>
        <r>
          <rPr>
            <b/>
            <sz val="8"/>
            <color indexed="81"/>
            <rFont val="Tahoma"/>
            <family val="2"/>
          </rPr>
          <t xml:space="preserve">1Q13 10Q: </t>
        </r>
        <r>
          <rPr>
            <sz val="8"/>
            <color indexed="81"/>
            <rFont val="Tahoma"/>
            <family val="2"/>
          </rPr>
          <t>restated</t>
        </r>
      </text>
    </comment>
    <comment ref="CZ22" authorId="2">
      <text>
        <r>
          <rPr>
            <b/>
            <sz val="9"/>
            <color indexed="81"/>
            <rFont val="Tahoma"/>
            <family val="2"/>
          </rPr>
          <t>Baglione, Gregory  (Research):</t>
        </r>
        <r>
          <rPr>
            <sz val="9"/>
            <color indexed="81"/>
            <rFont val="Tahoma"/>
            <family val="2"/>
          </rPr>
          <t xml:space="preserve">
11/12/15
$8M revenue loss from CC
11/1/15
We expect the company to maintain ~80-85% of CC revenue this q.
</t>
        </r>
      </text>
    </comment>
    <comment ref="CN23" authorId="7">
      <text>
        <r>
          <rPr>
            <b/>
            <sz val="8"/>
            <color indexed="81"/>
            <rFont val="Tahoma"/>
            <family val="2"/>
          </rPr>
          <t xml:space="preserve">1Q13 10Q: </t>
        </r>
        <r>
          <rPr>
            <sz val="8"/>
            <color indexed="81"/>
            <rFont val="Tahoma"/>
            <family val="2"/>
          </rPr>
          <t>restated</t>
        </r>
        <r>
          <rPr>
            <b/>
            <sz val="8"/>
            <color indexed="81"/>
            <rFont val="Tahoma"/>
            <family val="2"/>
          </rPr>
          <t xml:space="preserve">
Per 1/17/12 Commentary:
</t>
        </r>
        <r>
          <rPr>
            <sz val="8"/>
            <color indexed="81"/>
            <rFont val="Tahoma"/>
            <family val="2"/>
          </rPr>
          <t xml:space="preserve">Credit impacted by extra week in terms of Sales, COGS and SG&amp;A
</t>
        </r>
      </text>
    </comment>
    <comment ref="CZ23" authorId="2">
      <text>
        <r>
          <rPr>
            <b/>
            <sz val="9"/>
            <color indexed="81"/>
            <rFont val="Tahoma"/>
            <family val="2"/>
          </rPr>
          <t>Baglione, Gregory  (Research):</t>
        </r>
        <r>
          <rPr>
            <sz val="9"/>
            <color indexed="81"/>
            <rFont val="Tahoma"/>
            <family val="2"/>
          </rPr>
          <t xml:space="preserve">
11/12/15
~$41M EBIT impact to 4Q from CC transaction
11/1/15
Company will maintain ~75% of CC revenue y/y
</t>
        </r>
      </text>
    </comment>
    <comment ref="DH23" authorId="5">
      <text>
        <r>
          <rPr>
            <b/>
            <sz val="9"/>
            <color indexed="81"/>
            <rFont val="Tahoma"/>
            <family val="2"/>
          </rPr>
          <t>De Courreges, Edouard (Research):</t>
        </r>
        <r>
          <rPr>
            <sz val="9"/>
            <color indexed="81"/>
            <rFont val="Tahoma"/>
            <family val="2"/>
          </rPr>
          <t xml:space="preserve">
10-k: ~$10M associated with 53rd week</t>
        </r>
      </text>
    </comment>
    <comment ref="CN24" authorId="0">
      <text>
        <r>
          <rPr>
            <b/>
            <sz val="8"/>
            <color indexed="81"/>
            <rFont val="Tahoma"/>
            <family val="2"/>
          </rPr>
          <t>11/8/2012 &amp; 8/9/2012 Guidance +</t>
        </r>
        <r>
          <rPr>
            <sz val="8"/>
            <color indexed="81"/>
            <rFont val="Tahoma"/>
            <family val="2"/>
          </rPr>
          <t>$5-10M increase y/y</t>
        </r>
        <r>
          <rPr>
            <b/>
            <sz val="8"/>
            <color indexed="81"/>
            <rFont val="Tahoma"/>
            <family val="2"/>
          </rPr>
          <t xml:space="preserve">
5/10/2012 Guidance 
</t>
        </r>
        <r>
          <rPr>
            <sz val="8"/>
            <color indexed="81"/>
            <rFont val="Tahoma"/>
            <family val="2"/>
          </rPr>
          <t xml:space="preserve">+$0-$10M y/y
</t>
        </r>
        <r>
          <rPr>
            <b/>
            <sz val="8"/>
            <color indexed="81"/>
            <rFont val="Tahoma"/>
            <family val="2"/>
          </rPr>
          <t xml:space="preserve">
Guidance: 2/16/2012 &amp; 2011 10K
</t>
        </r>
        <r>
          <rPr>
            <sz val="8"/>
            <color indexed="81"/>
            <rFont val="Tahoma"/>
            <family val="2"/>
          </rPr>
          <t>+$0-$10M y/y
Expect credit card revenues to be flat to slightly higher w/ increased volumes offset by higher pmt rates
Growing new accounts but also, customers are paying balances in full</t>
        </r>
      </text>
    </comment>
    <comment ref="CR24" authorId="0">
      <text>
        <r>
          <rPr>
            <b/>
            <sz val="8"/>
            <color indexed="81"/>
            <rFont val="Tahoma"/>
            <family val="2"/>
          </rPr>
          <t xml:space="preserve">11/13/2013 guidance: </t>
        </r>
        <r>
          <rPr>
            <sz val="8"/>
            <color indexed="81"/>
            <rFont val="Tahoma"/>
            <family val="2"/>
          </rPr>
          <t>+$0-5M increase y/y</t>
        </r>
        <r>
          <rPr>
            <b/>
            <sz val="8"/>
            <color indexed="81"/>
            <rFont val="Tahoma"/>
            <family val="2"/>
          </rPr>
          <t xml:space="preserve">
8/15/2013 guidance: </t>
        </r>
        <r>
          <rPr>
            <sz val="8"/>
            <color indexed="81"/>
            <rFont val="Tahoma"/>
            <family val="2"/>
          </rPr>
          <t>+$0-5M increase y/y</t>
        </r>
        <r>
          <rPr>
            <b/>
            <sz val="8"/>
            <color indexed="81"/>
            <rFont val="Tahoma"/>
            <family val="2"/>
          </rPr>
          <t xml:space="preserve">
5/18/2013 guidance:</t>
        </r>
        <r>
          <rPr>
            <sz val="8"/>
            <color indexed="81"/>
            <rFont val="Tahoma"/>
            <family val="2"/>
          </rPr>
          <t xml:space="preserve"> +$0-5M increase y/y</t>
        </r>
        <r>
          <rPr>
            <b/>
            <sz val="8"/>
            <color indexed="81"/>
            <rFont val="Tahoma"/>
            <family val="2"/>
          </rPr>
          <t xml:space="preserve">
2/21/2013 guidance: </t>
        </r>
        <r>
          <rPr>
            <sz val="8"/>
            <color indexed="81"/>
            <rFont val="Tahoma"/>
            <family val="2"/>
          </rPr>
          <t>+$0-5M increase y/y</t>
        </r>
      </text>
    </comment>
    <comment ref="CV24" authorId="1">
      <text>
        <r>
          <rPr>
            <b/>
            <sz val="8"/>
            <color indexed="81"/>
            <rFont val="Tahoma"/>
            <family val="2"/>
          </rPr>
          <t>2/20/14</t>
        </r>
        <r>
          <rPr>
            <sz val="8"/>
            <color indexed="81"/>
            <rFont val="Tahoma"/>
            <family val="2"/>
          </rPr>
          <t>: +$0-5M</t>
        </r>
        <r>
          <rPr>
            <sz val="8"/>
            <color indexed="81"/>
            <rFont val="Tahoma"/>
            <family val="2"/>
          </rPr>
          <t xml:space="preserve">
</t>
        </r>
        <r>
          <rPr>
            <b/>
            <sz val="8"/>
            <color indexed="81"/>
            <rFont val="Tahoma"/>
            <family val="2"/>
          </rPr>
          <t>5/15/14:</t>
        </r>
        <r>
          <rPr>
            <sz val="8"/>
            <color indexed="81"/>
            <rFont val="Tahoma"/>
            <family val="2"/>
          </rPr>
          <t xml:space="preserve"> +$0-5M
</t>
        </r>
        <r>
          <rPr>
            <b/>
            <sz val="8"/>
            <color indexed="81"/>
            <rFont val="Tahoma"/>
            <family val="2"/>
          </rPr>
          <t>8/14/14:</t>
        </r>
        <r>
          <rPr>
            <sz val="8"/>
            <color indexed="81"/>
            <rFont val="Tahoma"/>
            <family val="2"/>
          </rPr>
          <t xml:space="preserve"> +$10M
</t>
        </r>
        <r>
          <rPr>
            <b/>
            <sz val="8"/>
            <color indexed="81"/>
            <rFont val="Tahoma"/>
            <family val="2"/>
          </rPr>
          <t>11/12/14:</t>
        </r>
        <r>
          <rPr>
            <sz val="8"/>
            <color indexed="81"/>
            <rFont val="Tahoma"/>
            <family val="2"/>
          </rPr>
          <t xml:space="preserve"> +$15M</t>
        </r>
      </text>
    </comment>
    <comment ref="DA24" authorId="6">
      <text>
        <r>
          <rPr>
            <b/>
            <sz val="9"/>
            <color indexed="81"/>
            <rFont val="Tahoma"/>
            <family val="2"/>
          </rPr>
          <t>casselau:</t>
        </r>
        <r>
          <rPr>
            <sz val="9"/>
            <color indexed="81"/>
            <rFont val="Tahoma"/>
            <family val="2"/>
          </rPr>
          <t xml:space="preserve">
2/19/15: expect +5%</t>
        </r>
      </text>
    </comment>
    <comment ref="DM24" authorId="4">
      <text>
        <r>
          <rPr>
            <b/>
            <sz val="9"/>
            <color indexed="81"/>
            <rFont val="Tahoma"/>
            <family val="2"/>
          </rPr>
          <t>Roberts, Cynthia (Research):</t>
        </r>
        <r>
          <rPr>
            <sz val="9"/>
            <color indexed="81"/>
            <rFont val="Tahoma"/>
            <family val="2"/>
          </rPr>
          <t xml:space="preserve">
3/1/18: Guidance 10%  credit revenue growth</t>
        </r>
      </text>
    </comment>
    <comment ref="CN34" authorId="0">
      <text>
        <r>
          <rPr>
            <b/>
            <sz val="8"/>
            <color indexed="81"/>
            <rFont val="Tahoma"/>
            <family val="2"/>
          </rPr>
          <t xml:space="preserve">2/16/12 Guidance
</t>
        </r>
        <r>
          <rPr>
            <sz val="8"/>
            <color indexed="81"/>
            <rFont val="Tahoma"/>
            <family val="2"/>
          </rPr>
          <t xml:space="preserve">1) 53rd wk impact of $160M-$170M to total revenues
</t>
        </r>
      </text>
    </comment>
    <comment ref="CS34" authorId="8">
      <text>
        <r>
          <rPr>
            <b/>
            <sz val="8"/>
            <color indexed="81"/>
            <rFont val="Tahoma"/>
            <family val="2"/>
          </rPr>
          <t xml:space="preserve">8/15/13: </t>
        </r>
        <r>
          <rPr>
            <sz val="8"/>
            <color indexed="81"/>
            <rFont val="Tahoma"/>
            <family val="2"/>
          </rPr>
          <t>lowered guidance to 3-4% (from 4-6%)</t>
        </r>
        <r>
          <rPr>
            <sz val="8"/>
            <color indexed="81"/>
            <rFont val="Tahoma"/>
            <family val="2"/>
          </rPr>
          <t xml:space="preserve">
</t>
        </r>
      </text>
    </comment>
    <comment ref="CZ34" authorId="2">
      <text>
        <r>
          <rPr>
            <b/>
            <sz val="9"/>
            <color indexed="81"/>
            <rFont val="Tahoma"/>
            <family val="2"/>
          </rPr>
          <t>Baglione, Gregory  (Research):</t>
        </r>
        <r>
          <rPr>
            <sz val="9"/>
            <color indexed="81"/>
            <rFont val="Tahoma"/>
            <family val="2"/>
          </rPr>
          <t xml:space="preserve">
8/13/15: Total sales growth expected 8.5%-9.5%, comps 3.5%-4.5%</t>
        </r>
      </text>
    </comment>
    <comment ref="CL40" authorId="7">
      <text>
        <r>
          <rPr>
            <b/>
            <sz val="8"/>
            <color indexed="81"/>
            <rFont val="Tahoma"/>
            <family val="2"/>
          </rPr>
          <t>Increase helped by higher AURs.</t>
        </r>
        <r>
          <rPr>
            <sz val="8"/>
            <color indexed="81"/>
            <rFont val="Tahoma"/>
            <family val="2"/>
          </rPr>
          <t xml:space="preserve">
</t>
        </r>
      </text>
    </comment>
    <comment ref="CO40" authorId="0">
      <text>
        <r>
          <rPr>
            <b/>
            <sz val="8"/>
            <color indexed="81"/>
            <rFont val="Tahoma"/>
            <family val="2"/>
          </rPr>
          <t xml:space="preserve">5/10/2012 Comment
</t>
        </r>
        <r>
          <rPr>
            <sz val="8"/>
            <color indexed="81"/>
            <rFont val="Tahoma"/>
            <family val="2"/>
          </rPr>
          <t>- y/y decline mostly attributable to enhancements made to the Fashion Rewards program and reduction in shipping revenue as a result of launching free shipping and free returns for online purchases in 4Q11</t>
        </r>
        <r>
          <rPr>
            <b/>
            <sz val="8"/>
            <color indexed="81"/>
            <rFont val="Tahoma"/>
            <family val="2"/>
          </rPr>
          <t xml:space="preserve">
</t>
        </r>
      </text>
    </comment>
    <comment ref="CP40" authorId="0">
      <text>
        <r>
          <rPr>
            <b/>
            <sz val="8"/>
            <color indexed="81"/>
            <rFont val="Tahoma"/>
            <family val="2"/>
          </rPr>
          <t xml:space="preserve">5/10/2012 Comment
</t>
        </r>
        <r>
          <rPr>
            <sz val="8"/>
            <color indexed="81"/>
            <rFont val="Tahoma"/>
            <family val="2"/>
          </rPr>
          <t>- y/y decline mostly attributable to enhancements made to the Fashion Rewards program and reduction in shipping revenue as a result of launching free shipping and free returns for online purchases in 4Q11</t>
        </r>
        <r>
          <rPr>
            <b/>
            <sz val="8"/>
            <color indexed="81"/>
            <rFont val="Tahoma"/>
            <family val="2"/>
          </rPr>
          <t xml:space="preserve">
</t>
        </r>
      </text>
    </comment>
    <comment ref="CS40" authorId="0">
      <text>
        <r>
          <rPr>
            <b/>
            <sz val="8"/>
            <color indexed="81"/>
            <rFont val="Tahoma"/>
            <family val="2"/>
          </rPr>
          <t xml:space="preserve">8/9/2012 Guidance
</t>
        </r>
        <r>
          <rPr>
            <sz val="8"/>
            <color indexed="81"/>
            <rFont val="Tahoma"/>
            <family val="2"/>
          </rPr>
          <t>Greater # of Rack openings hurt GM, but benefits SG&amp;A -&gt; Op Mgn Favorable</t>
        </r>
      </text>
    </comment>
    <comment ref="DE40" authorId="2">
      <text>
        <r>
          <rPr>
            <b/>
            <sz val="9"/>
            <color indexed="81"/>
            <rFont val="Tahoma"/>
            <family val="2"/>
          </rPr>
          <t>Baglione, Gregory  (Research):</t>
        </r>
        <r>
          <rPr>
            <sz val="9"/>
            <color indexed="81"/>
            <rFont val="Tahoma"/>
            <family val="2"/>
          </rPr>
          <t xml:space="preserve">
2/18/16
Updating to 34.6%, down 110 bps y/y
Gross profit, as a percentage of net sales, of 34.2 percent decreased 164 basis points compared with the same period in fiscal 2015, primarily due to higher markdowns to better align inventory to current trends. 
11/12/15 Assumes GM pressure persists into 1Q
Previous: 36.5
Updated: 35.4
</t>
        </r>
      </text>
    </comment>
    <comment ref="DI40" authorId="4">
      <text>
        <r>
          <rPr>
            <b/>
            <sz val="9"/>
            <color indexed="81"/>
            <rFont val="Tahoma"/>
            <family val="2"/>
          </rPr>
          <t>Roberts, Cynthia (Research):</t>
        </r>
        <r>
          <rPr>
            <sz val="9"/>
            <color indexed="81"/>
            <rFont val="Tahoma"/>
            <family val="2"/>
          </rPr>
          <t xml:space="preserve">
5/11/17: driven by improvement in full price business offset by increased markdowns in off-price (seasonal undperforming merchandise)</t>
        </r>
      </text>
    </comment>
    <comment ref="CL41" authorId="7">
      <text>
        <r>
          <rPr>
            <b/>
            <sz val="8"/>
            <color indexed="81"/>
            <rFont val="Tahoma"/>
            <family val="2"/>
          </rPr>
          <t xml:space="preserve">Comment 8/11/11:
</t>
        </r>
        <r>
          <rPr>
            <sz val="8"/>
            <color indexed="81"/>
            <rFont val="Tahoma"/>
            <family val="2"/>
          </rPr>
          <t>Majority of improvement due to strong regular price selling</t>
        </r>
        <r>
          <rPr>
            <b/>
            <sz val="8"/>
            <color indexed="81"/>
            <rFont val="Tahoma"/>
            <family val="2"/>
          </rPr>
          <t xml:space="preserve">
</t>
        </r>
        <r>
          <rPr>
            <sz val="8"/>
            <color indexed="81"/>
            <rFont val="Tahoma"/>
            <family val="2"/>
          </rPr>
          <t>True during Anniv sale, but also true during 1/2 Yrly</t>
        </r>
        <r>
          <rPr>
            <b/>
            <sz val="8"/>
            <color indexed="81"/>
            <rFont val="Tahoma"/>
            <family val="2"/>
          </rPr>
          <t xml:space="preserve">
Comment 6/2/11:</t>
        </r>
        <r>
          <rPr>
            <sz val="8"/>
            <color indexed="81"/>
            <rFont val="Tahoma"/>
            <family val="2"/>
          </rPr>
          <t xml:space="preserve">
Full price selling strong in 1/2 Yearly event; comps up 4% during 1st 4 days in May; not just driving traffic, so good for GM
MS assumes no impact to GMs from HauteLook
</t>
        </r>
      </text>
    </comment>
    <comment ref="CO41" authorId="7">
      <text>
        <r>
          <rPr>
            <b/>
            <sz val="8"/>
            <color indexed="81"/>
            <rFont val="Tahoma"/>
            <family val="2"/>
          </rPr>
          <t xml:space="preserve">5/10/2012 Guidance
</t>
        </r>
        <r>
          <rPr>
            <sz val="8"/>
            <color indexed="81"/>
            <rFont val="Tahoma"/>
            <family val="2"/>
          </rPr>
          <t>-70 bps to -90 bps (reflects shift in half yearly event; ex the shift, GM decline in 2Q would be roughly inline with decline in 1Q)</t>
        </r>
        <r>
          <rPr>
            <b/>
            <sz val="8"/>
            <color indexed="81"/>
            <rFont val="Tahoma"/>
            <family val="2"/>
          </rPr>
          <t xml:space="preserve">
Note: 5/3/2012
</t>
        </r>
        <r>
          <rPr>
            <sz val="8"/>
            <color indexed="81"/>
            <rFont val="Tahoma"/>
            <family val="2"/>
          </rPr>
          <t xml:space="preserve">1 week shift in half yearly event could benefit 2Q gross margin and hurt 3Q </t>
        </r>
        <r>
          <rPr>
            <sz val="8"/>
            <color indexed="81"/>
            <rFont val="Tahoma"/>
            <family val="2"/>
          </rPr>
          <t xml:space="preserve">
</t>
        </r>
      </text>
    </comment>
    <comment ref="CP41" authorId="7">
      <text>
        <r>
          <rPr>
            <b/>
            <sz val="8"/>
            <color indexed="81"/>
            <rFont val="Tahoma"/>
            <family val="2"/>
          </rPr>
          <t xml:space="preserve">5/10/2012 Guidance
</t>
        </r>
        <r>
          <rPr>
            <sz val="8"/>
            <color indexed="81"/>
            <rFont val="Tahoma"/>
            <family val="2"/>
          </rPr>
          <t>-70 bps to -90 bps (reflects shift in half yearly event; ex the shift, GM decline in 2Q would be roughly inline with decline in 1Q)</t>
        </r>
        <r>
          <rPr>
            <b/>
            <sz val="8"/>
            <color indexed="81"/>
            <rFont val="Tahoma"/>
            <family val="2"/>
          </rPr>
          <t xml:space="preserve">
Note: 5/3/2012
</t>
        </r>
        <r>
          <rPr>
            <sz val="8"/>
            <color indexed="81"/>
            <rFont val="Tahoma"/>
            <family val="2"/>
          </rPr>
          <t xml:space="preserve">1 week shift in half yearly event could benefit 2Q gross margin and hurt 3Q </t>
        </r>
        <r>
          <rPr>
            <sz val="8"/>
            <color indexed="81"/>
            <rFont val="Tahoma"/>
            <family val="2"/>
          </rPr>
          <t xml:space="preserve">
</t>
        </r>
      </text>
    </comment>
    <comment ref="CS41" authorId="0">
      <text>
        <r>
          <rPr>
            <b/>
            <sz val="8"/>
            <color indexed="81"/>
            <rFont val="Tahoma"/>
            <family val="2"/>
          </rPr>
          <t xml:space="preserve">Note: </t>
        </r>
        <r>
          <rPr>
            <sz val="8"/>
            <color indexed="81"/>
            <rFont val="Tahoma"/>
            <family val="2"/>
          </rPr>
          <t>lapping 1 wk shift of Anniv sale in 3Q</t>
        </r>
        <r>
          <rPr>
            <b/>
            <sz val="8"/>
            <color indexed="81"/>
            <rFont val="Tahoma"/>
            <family val="2"/>
          </rPr>
          <t xml:space="preserve">
8/9/2012 Guidance
</t>
        </r>
        <r>
          <rPr>
            <sz val="8"/>
            <color indexed="81"/>
            <rFont val="Tahoma"/>
            <family val="2"/>
          </rPr>
          <t>Greater # of Rack openings hurt GM, but benefits SG&amp;A -&gt; Op Mgn Favorable</t>
        </r>
      </text>
    </comment>
    <comment ref="DA41" authorId="3">
      <text>
        <r>
          <rPr>
            <b/>
            <sz val="9"/>
            <color indexed="81"/>
            <rFont val="Tahoma"/>
            <family val="2"/>
          </rPr>
          <t>Mains, Spencer (Research):</t>
        </r>
        <r>
          <rPr>
            <sz val="9"/>
            <color indexed="81"/>
            <rFont val="Tahoma"/>
            <family val="2"/>
          </rPr>
          <t xml:space="preserve">
8/13/15: merchandise margins relatively flat yoy.</t>
        </r>
      </text>
    </comment>
    <comment ref="DE41" authorId="2">
      <text>
        <r>
          <rPr>
            <b/>
            <sz val="9"/>
            <color indexed="81"/>
            <rFont val="Tahoma"/>
            <family val="2"/>
          </rPr>
          <t>Baglione, Gregory  (Research):</t>
        </r>
        <r>
          <rPr>
            <sz val="9"/>
            <color indexed="81"/>
            <rFont val="Tahoma"/>
            <family val="2"/>
          </rPr>
          <t xml:space="preserve">
8/16/16
Gross profit, as a percentage of net sales, of 34.3 percent decreased 101 basis points compared with the same period in fiscal 2015, due to increased markdowns to align inventory to current trends and higher occupancy expenses related to new store growth. Through the Company's actions to realign inventory and combined with the strength of its Anniversary Sale, inventory growth of 1.4 percent was in-line with a net sales decrease of 0.2 percent.
5/12/16
Lowering to 34% given "But,
based on the fact that we are in what is a typical down cycle, where demand is soft, we're going to keep the pressure on ensuring that our inventories
are turning, they're turning healthy, we maintain liquidity, and we continue to bring new goods in. So that will pressure margins."
MSe: Thus we expect more GM pressure than anticipated in our revised 2Q GM forecast. Lower GM by 40 bps.
2/18/16
Updating to 34.5%, -80 bps y/y
</t>
        </r>
      </text>
    </comment>
    <comment ref="DI41" authorId="5">
      <text>
        <r>
          <rPr>
            <b/>
            <sz val="9"/>
            <color indexed="81"/>
            <rFont val="Tahoma"/>
            <family val="2"/>
          </rPr>
          <t>De Courreges, Edouard (Research):</t>
        </r>
        <r>
          <rPr>
            <sz val="9"/>
            <color indexed="81"/>
            <rFont val="Tahoma"/>
            <family val="2"/>
          </rPr>
          <t xml:space="preserve">
8/10/17: merchandise performance was more than offset by higher occupancy expenses related to new Rack and Canada stores, in addition to the unplanned 10-point loyalty accommodation that Blake mentioned. We believe t</t>
        </r>
        <r>
          <rPr>
            <b/>
            <sz val="9"/>
            <color indexed="81"/>
            <rFont val="Tahoma"/>
            <family val="2"/>
          </rPr>
          <t>his offer contributed to our top line performance, but impacted gross profit by $7 million or 20 basis points</t>
        </r>
        <r>
          <rPr>
            <sz val="9"/>
            <color indexed="81"/>
            <rFont val="Tahoma"/>
            <family val="2"/>
          </rPr>
          <t xml:space="preserve">.From an EBIT perspective, we </t>
        </r>
        <r>
          <rPr>
            <b/>
            <sz val="9"/>
            <color indexed="81"/>
            <rFont val="Tahoma"/>
            <family val="2"/>
          </rPr>
          <t>estimate the overall impact was roughly breakeven for the quarter with potential future upside</t>
        </r>
        <r>
          <rPr>
            <sz val="9"/>
            <color indexed="81"/>
            <rFont val="Tahoma"/>
            <family val="2"/>
          </rPr>
          <t xml:space="preserve"> if customers redeem
their points.</t>
        </r>
      </text>
    </comment>
    <comment ref="DM41" authorId="5">
      <text>
        <r>
          <rPr>
            <b/>
            <sz val="9"/>
            <color indexed="81"/>
            <rFont val="Tahoma"/>
            <family val="2"/>
          </rPr>
          <t>De Courreges, Edouard (Research):</t>
        </r>
        <r>
          <rPr>
            <sz val="9"/>
            <color indexed="81"/>
            <rFont val="Tahoma"/>
            <family val="2"/>
          </rPr>
          <t xml:space="preserve">
Anniversary sale shift</t>
        </r>
      </text>
    </comment>
    <comment ref="CL42" authorId="7">
      <text>
        <r>
          <rPr>
            <b/>
            <sz val="8"/>
            <color indexed="81"/>
            <rFont val="Tahoma"/>
            <family val="2"/>
          </rPr>
          <t xml:space="preserve">11/10/11 comment:
</t>
        </r>
        <r>
          <rPr>
            <sz val="8"/>
            <color indexed="81"/>
            <rFont val="Tahoma"/>
            <family val="2"/>
          </rPr>
          <t xml:space="preserve">1) improvement drive by ability to leverage buying &amp; occupancy expenses
2) Merch margin Flat (no material impact from cost inflation)
3) 15bp impact from free shipping (though strategy overall accretive to earnings) - launched Sept 1
4) continue to expand Rack which yields slightly higher EBIT mgns but lower merch margins vs. co. avg
</t>
        </r>
        <r>
          <rPr>
            <b/>
            <sz val="8"/>
            <color indexed="81"/>
            <rFont val="Tahoma"/>
            <family val="2"/>
          </rPr>
          <t xml:space="preserve">
Increase helped by higher AURs.</t>
        </r>
      </text>
    </comment>
    <comment ref="CO42" authorId="7">
      <text>
        <r>
          <rPr>
            <b/>
            <sz val="8"/>
            <color indexed="81"/>
            <rFont val="Tahoma"/>
            <family val="2"/>
          </rPr>
          <t xml:space="preserve">8/9/2012 Guidance
</t>
        </r>
        <r>
          <rPr>
            <sz val="8"/>
            <color indexed="81"/>
            <rFont val="Tahoma"/>
            <family val="2"/>
          </rPr>
          <t>down 20 to 40 bps</t>
        </r>
        <r>
          <rPr>
            <b/>
            <sz val="8"/>
            <color indexed="81"/>
            <rFont val="Tahoma"/>
            <family val="2"/>
          </rPr>
          <t xml:space="preserve">
5/10/2012 Guidance
</t>
        </r>
        <r>
          <rPr>
            <sz val="8"/>
            <color indexed="81"/>
            <rFont val="Tahoma"/>
            <family val="2"/>
          </rPr>
          <t>1) 2H12 -10 bps to +10bps
2) Lap free shipping in ~Sept
The shift in the half yearly is benefiting 3Q GM by ~35 bps</t>
        </r>
        <r>
          <rPr>
            <b/>
            <sz val="8"/>
            <color indexed="81"/>
            <rFont val="Tahoma"/>
            <family val="2"/>
          </rPr>
          <t xml:space="preserve">
</t>
        </r>
      </text>
    </comment>
    <comment ref="CP42" authorId="7">
      <text>
        <r>
          <rPr>
            <b/>
            <sz val="8"/>
            <color indexed="81"/>
            <rFont val="Tahoma"/>
            <family val="2"/>
          </rPr>
          <t xml:space="preserve">11/8/2012 Guidance
</t>
        </r>
        <r>
          <rPr>
            <sz val="8"/>
            <color indexed="81"/>
            <rFont val="Tahoma"/>
            <family val="2"/>
          </rPr>
          <t>decrease primarily due to increased benefits related to enhanced Fashion Rewards</t>
        </r>
        <r>
          <rPr>
            <b/>
            <sz val="8"/>
            <color indexed="81"/>
            <rFont val="Tahoma"/>
            <family val="2"/>
          </rPr>
          <t xml:space="preserve">
8/9/2012 Guidance
</t>
        </r>
        <r>
          <rPr>
            <sz val="8"/>
            <color indexed="81"/>
            <rFont val="Tahoma"/>
            <family val="2"/>
          </rPr>
          <t>down 20 to 40 bps</t>
        </r>
        <r>
          <rPr>
            <b/>
            <sz val="8"/>
            <color indexed="81"/>
            <rFont val="Tahoma"/>
            <family val="2"/>
          </rPr>
          <t xml:space="preserve">
5/10/2012 Guidance
</t>
        </r>
        <r>
          <rPr>
            <sz val="8"/>
            <color indexed="81"/>
            <rFont val="Tahoma"/>
            <family val="2"/>
          </rPr>
          <t>1) 2H12 -10 bps to +10bps
2) Lap free shipping in ~Sept
The shift in the half yearly is benefiting 3Q GM by ~35 bps</t>
        </r>
        <r>
          <rPr>
            <b/>
            <sz val="8"/>
            <color indexed="81"/>
            <rFont val="Tahoma"/>
            <family val="2"/>
          </rPr>
          <t xml:space="preserve">
</t>
        </r>
      </text>
    </comment>
    <comment ref="CS42" authorId="0">
      <text>
        <r>
          <rPr>
            <b/>
            <sz val="8"/>
            <color indexed="81"/>
            <rFont val="Tahoma"/>
            <family val="2"/>
          </rPr>
          <t xml:space="preserve">8/9/2012 Guidance
</t>
        </r>
        <r>
          <rPr>
            <sz val="8"/>
            <color indexed="81"/>
            <rFont val="Tahoma"/>
            <family val="2"/>
          </rPr>
          <t>Greater # of Rack openings hurt GM, but benefits SG&amp;A -&gt; Op Mgn Favorable</t>
        </r>
      </text>
    </comment>
    <comment ref="DE42" authorId="2">
      <text>
        <r>
          <rPr>
            <b/>
            <sz val="9"/>
            <color indexed="81"/>
            <rFont val="Tahoma"/>
            <family val="2"/>
          </rPr>
          <t>Baglione, Gregory  (Research):</t>
        </r>
        <r>
          <rPr>
            <sz val="9"/>
            <color indexed="81"/>
            <rFont val="Tahoma"/>
            <family val="2"/>
          </rPr>
          <t xml:space="preserve">
11/10/16:
GM improvement: roughly 1/3 direct from merch margin performance, balance was leverage we're getting on sales in occupancy cost
5/12/16
Lowering to 34.3%, slight GM improvement on two-year stack.
2/16/16
Updating to 34.5% GM, assumes 60 bps recovery
1/4/16
Lowering GM forecast to reflect more modest recovery
Previous 34.6%
Updated 34.3%
11/12/15
Laps tough 3Q with increased markdowns.
Previous 35.2%
Updated: 34.6%
</t>
        </r>
      </text>
    </comment>
    <comment ref="CL43" authorId="7">
      <text>
        <r>
          <rPr>
            <b/>
            <sz val="8"/>
            <color indexed="81"/>
            <rFont val="Tahoma"/>
            <family val="2"/>
          </rPr>
          <t xml:space="preserve">2/16/12 comment
</t>
        </r>
        <r>
          <rPr>
            <sz val="8"/>
            <color indexed="81"/>
            <rFont val="Tahoma"/>
            <family val="2"/>
          </rPr>
          <t>1) Gross mgn leverage buying &amp; occupancy</t>
        </r>
        <r>
          <rPr>
            <b/>
            <sz val="8"/>
            <color indexed="81"/>
            <rFont val="Tahoma"/>
            <family val="2"/>
          </rPr>
          <t xml:space="preserve">
11/10/11 comment: 
</t>
        </r>
        <r>
          <rPr>
            <sz val="8"/>
            <color indexed="81"/>
            <rFont val="Tahoma"/>
            <family val="2"/>
          </rPr>
          <t>- FY guidance of +45-55bps implies -11bps to +21bps (depends on rev assumptions) in 4Q</t>
        </r>
        <r>
          <rPr>
            <b/>
            <sz val="8"/>
            <color indexed="81"/>
            <rFont val="Tahoma"/>
            <family val="2"/>
          </rPr>
          <t xml:space="preserve">
Increase helped by higher AURs.</t>
        </r>
        <r>
          <rPr>
            <sz val="8"/>
            <color indexed="81"/>
            <rFont val="Tahoma"/>
            <family val="2"/>
          </rPr>
          <t xml:space="preserve">
</t>
        </r>
      </text>
    </comment>
    <comment ref="CO43" authorId="7">
      <text>
        <r>
          <rPr>
            <b/>
            <sz val="8"/>
            <color indexed="81"/>
            <rFont val="Tahoma"/>
            <family val="2"/>
          </rPr>
          <t xml:space="preserve">11/20/2012: </t>
        </r>
        <r>
          <rPr>
            <sz val="8"/>
            <color indexed="81"/>
            <rFont val="Tahoma"/>
            <family val="2"/>
          </rPr>
          <t xml:space="preserve">See FY guidance (implies -5 to -35 bps 4Q)
</t>
        </r>
        <r>
          <rPr>
            <b/>
            <sz val="8"/>
            <color indexed="81"/>
            <rFont val="Tahoma"/>
            <family val="2"/>
          </rPr>
          <t xml:space="preserve">
8/9/2012 Guidance
</t>
        </r>
        <r>
          <rPr>
            <sz val="8"/>
            <color indexed="81"/>
            <rFont val="Tahoma"/>
            <family val="2"/>
          </rPr>
          <t>down 5-25 bps</t>
        </r>
        <r>
          <rPr>
            <b/>
            <sz val="8"/>
            <color indexed="81"/>
            <rFont val="Tahoma"/>
            <family val="2"/>
          </rPr>
          <t xml:space="preserve"> 
5/10/2012 Guidance
</t>
        </r>
        <r>
          <rPr>
            <sz val="8"/>
            <color indexed="81"/>
            <rFont val="Tahoma"/>
            <family val="2"/>
          </rPr>
          <t>2H12 -10 bps to +10bps</t>
        </r>
        <r>
          <rPr>
            <b/>
            <sz val="8"/>
            <color indexed="81"/>
            <rFont val="Tahoma"/>
            <family val="2"/>
          </rPr>
          <t xml:space="preserve">
</t>
        </r>
      </text>
    </comment>
    <comment ref="CP43" authorId="7">
      <text>
        <r>
          <rPr>
            <b/>
            <sz val="8"/>
            <color indexed="81"/>
            <rFont val="Tahoma"/>
            <family val="2"/>
          </rPr>
          <t xml:space="preserve">11/20/2012: </t>
        </r>
        <r>
          <rPr>
            <sz val="8"/>
            <color indexed="81"/>
            <rFont val="Tahoma"/>
            <family val="2"/>
          </rPr>
          <t xml:space="preserve">See FY guidance (implies -5 to -35 bps 4Q)
</t>
        </r>
        <r>
          <rPr>
            <b/>
            <sz val="8"/>
            <color indexed="81"/>
            <rFont val="Tahoma"/>
            <family val="2"/>
          </rPr>
          <t xml:space="preserve">
8/9/2012 Guidance
</t>
        </r>
        <r>
          <rPr>
            <sz val="8"/>
            <color indexed="81"/>
            <rFont val="Tahoma"/>
            <family val="2"/>
          </rPr>
          <t>down 5-25 bps</t>
        </r>
        <r>
          <rPr>
            <b/>
            <sz val="8"/>
            <color indexed="81"/>
            <rFont val="Tahoma"/>
            <family val="2"/>
          </rPr>
          <t xml:space="preserve"> 
5/10/2012 Guidance
</t>
        </r>
        <r>
          <rPr>
            <sz val="8"/>
            <color indexed="81"/>
            <rFont val="Tahoma"/>
            <family val="2"/>
          </rPr>
          <t>2H12 -10 bps to +10bps</t>
        </r>
        <r>
          <rPr>
            <b/>
            <sz val="8"/>
            <color indexed="81"/>
            <rFont val="Tahoma"/>
            <family val="2"/>
          </rPr>
          <t xml:space="preserve">
</t>
        </r>
      </text>
    </comment>
    <comment ref="CS43" authorId="0">
      <text>
        <r>
          <rPr>
            <b/>
            <sz val="8"/>
            <color indexed="81"/>
            <rFont val="Tahoma"/>
            <family val="2"/>
          </rPr>
          <t xml:space="preserve">8/9/2012 Guidance
</t>
        </r>
        <r>
          <rPr>
            <sz val="8"/>
            <color indexed="81"/>
            <rFont val="Tahoma"/>
            <family val="2"/>
          </rPr>
          <t>Greater # of Rack openings hurt GM, but benefits SG&amp;A -&gt; Op Mgn Favorable</t>
        </r>
      </text>
    </comment>
    <comment ref="CW43" authorId="6">
      <text>
        <r>
          <rPr>
            <b/>
            <sz val="9"/>
            <color indexed="81"/>
            <rFont val="Tahoma"/>
            <family val="2"/>
          </rPr>
          <t>casselau:</t>
        </r>
        <r>
          <rPr>
            <sz val="9"/>
            <color indexed="81"/>
            <rFont val="Tahoma"/>
            <family val="2"/>
          </rPr>
          <t xml:space="preserve">
2/19/15: decline primarily driven by increased markdowns at Nordstrom Rack</t>
        </r>
      </text>
    </comment>
    <comment ref="DA43" authorId="2">
      <text>
        <r>
          <rPr>
            <b/>
            <sz val="9"/>
            <color indexed="81"/>
            <rFont val="Tahoma"/>
            <family val="2"/>
          </rPr>
          <t>Baglione, Gregory  (Research):</t>
        </r>
        <r>
          <rPr>
            <sz val="9"/>
            <color indexed="81"/>
            <rFont val="Tahoma"/>
            <family val="2"/>
          </rPr>
          <t xml:space="preserve">
2/18/16
Gross profit, as a percentage of net sales, of 34.8 percent decreased 184 basis points compared with the same period in fiscal 2014 primarily due to increased markdowns from lower than planned sales and in response to an elevated promotional environment during the holiday season.
1/4/16
Lowering GM to 35.5% from 36.1% due to heightened markdown pressure
11/15/15
GM to decline 50-60 bps for FY vs. prior -5 to +5 bps range  
</t>
        </r>
      </text>
    </comment>
    <comment ref="DE43" authorId="2">
      <text>
        <r>
          <rPr>
            <b/>
            <sz val="9"/>
            <color indexed="81"/>
            <rFont val="Tahoma"/>
            <family val="2"/>
          </rPr>
          <t>Baglione, Gregory  (Research):</t>
        </r>
        <r>
          <rPr>
            <sz val="9"/>
            <color indexed="81"/>
            <rFont val="Tahoma"/>
            <family val="2"/>
          </rPr>
          <t xml:space="preserve">
1/17/17
Previous: 34.8
Current: 34.6
updated given weak results reported by Department store peers.
11/10/16
previous: 35.5
current: 34.8
2/16/16
Updating to 35.5%, assumes 70 bps recovery</t>
        </r>
      </text>
    </comment>
    <comment ref="DI43" authorId="5">
      <text>
        <r>
          <rPr>
            <b/>
            <sz val="9"/>
            <color indexed="81"/>
            <rFont val="Tahoma"/>
            <family val="2"/>
          </rPr>
          <t>De Courreges, Edouard (Research):</t>
        </r>
        <r>
          <rPr>
            <sz val="9"/>
            <color indexed="81"/>
            <rFont val="Tahoma"/>
            <family val="2"/>
          </rPr>
          <t xml:space="preserve">
1/9/18: merch margin expected flat</t>
        </r>
      </text>
    </comment>
    <comment ref="CL44" authorId="7">
      <text>
        <r>
          <rPr>
            <b/>
            <sz val="8"/>
            <color indexed="81"/>
            <rFont val="Tahoma"/>
            <family val="2"/>
          </rPr>
          <t xml:space="preserve">2011 10K
</t>
        </r>
        <r>
          <rPr>
            <sz val="8"/>
            <color indexed="81"/>
            <rFont val="Tahoma"/>
            <family val="2"/>
          </rPr>
          <t>* Retail gross profit +$501M in 2011 vs. 2010 due to higher sales &amp; merch mgns partially offset by increase in occupancy costs for stores opened during 2011 &amp; 2010
* 54bps improvement y/y due to leveraging buying &amp; occupancy costs on higher net sales</t>
        </r>
        <r>
          <rPr>
            <b/>
            <sz val="8"/>
            <color indexed="81"/>
            <rFont val="Tahoma"/>
            <family val="2"/>
          </rPr>
          <t xml:space="preserve">
11/10/11 Guidance:
</t>
        </r>
        <r>
          <rPr>
            <sz val="8"/>
            <color indexed="81"/>
            <rFont val="Tahoma"/>
            <family val="2"/>
          </rPr>
          <t xml:space="preserve">1) +45-55bps
2) continue to expand Rack which yields slightly higher EBIT mgns but lower merch margins vs. co. avg
3) any NT improvement to come from leveraging buying and occupancy costs
</t>
        </r>
        <r>
          <rPr>
            <b/>
            <sz val="8"/>
            <color indexed="81"/>
            <rFont val="Tahoma"/>
            <family val="2"/>
          </rPr>
          <t xml:space="preserve">Guidance: 8/11/2011
</t>
        </r>
        <r>
          <rPr>
            <sz val="8"/>
            <color indexed="81"/>
            <rFont val="Tahoma"/>
            <family val="2"/>
          </rPr>
          <t>+30-50 bps</t>
        </r>
        <r>
          <rPr>
            <b/>
            <sz val="8"/>
            <color indexed="81"/>
            <rFont val="Tahoma"/>
            <family val="2"/>
          </rPr>
          <t xml:space="preserve">
Guidance: 5/12/2011
</t>
        </r>
        <r>
          <rPr>
            <sz val="8"/>
            <color indexed="81"/>
            <rFont val="Tahoma"/>
            <family val="2"/>
          </rPr>
          <t xml:space="preserve"> -10 to +10 bps</t>
        </r>
        <r>
          <rPr>
            <b/>
            <sz val="8"/>
            <color indexed="81"/>
            <rFont val="Tahoma"/>
            <family val="2"/>
          </rPr>
          <t xml:space="preserve">
Guidance: 2/17/2011</t>
        </r>
        <r>
          <rPr>
            <sz val="8"/>
            <color indexed="81"/>
            <rFont val="Tahoma"/>
            <family val="2"/>
          </rPr>
          <t xml:space="preserve">
 -10 to +10 bps
Forecasted to still be below peak of 37.5%.
</t>
        </r>
      </text>
    </comment>
    <comment ref="CO44" authorId="0">
      <text>
        <r>
          <rPr>
            <b/>
            <sz val="8"/>
            <color indexed="81"/>
            <rFont val="Tahoma"/>
            <family val="2"/>
          </rPr>
          <t xml:space="preserve">11/8/2012 Guidance </t>
        </r>
        <r>
          <rPr>
            <sz val="8"/>
            <color indexed="81"/>
            <rFont val="Tahoma"/>
            <family val="2"/>
          </rPr>
          <t>-40/-50 bps</t>
        </r>
        <r>
          <rPr>
            <b/>
            <sz val="8"/>
            <color indexed="81"/>
            <rFont val="Tahoma"/>
            <family val="2"/>
          </rPr>
          <t xml:space="preserve">
8/9/2012 Guidance
</t>
        </r>
        <r>
          <rPr>
            <sz val="8"/>
            <color indexed="81"/>
            <rFont val="Tahoma"/>
            <family val="2"/>
          </rPr>
          <t>Down 35-50 bps</t>
        </r>
        <r>
          <rPr>
            <b/>
            <sz val="8"/>
            <color indexed="81"/>
            <rFont val="Tahoma"/>
            <family val="2"/>
          </rPr>
          <t xml:space="preserve">
5/10/2012 Guidance </t>
        </r>
        <r>
          <rPr>
            <sz val="8"/>
            <color indexed="81"/>
            <rFont val="Tahoma"/>
            <family val="2"/>
          </rPr>
          <t xml:space="preserve">
5 to 35 basis point decrease </t>
        </r>
        <r>
          <rPr>
            <b/>
            <sz val="8"/>
            <color indexed="81"/>
            <rFont val="Tahoma"/>
            <family val="2"/>
          </rPr>
          <t xml:space="preserve">
2/16/12 Guidance
</t>
        </r>
        <r>
          <rPr>
            <sz val="8"/>
            <color indexed="81"/>
            <rFont val="Tahoma"/>
            <family val="2"/>
          </rPr>
          <t>1) -5 to -35 bps
2) unfavorable gross mgns from: mgns @ peak; increasing mix of Rack stores, reduction of shipping rev, intro of enhanced fashion rewards</t>
        </r>
      </text>
    </comment>
    <comment ref="CP44" authorId="0">
      <text>
        <r>
          <rPr>
            <b/>
            <sz val="8"/>
            <color indexed="81"/>
            <rFont val="Tahoma"/>
            <family val="2"/>
          </rPr>
          <t xml:space="preserve">11/8/2012 Guidance </t>
        </r>
        <r>
          <rPr>
            <sz val="8"/>
            <color indexed="81"/>
            <rFont val="Tahoma"/>
            <family val="2"/>
          </rPr>
          <t>-40/-50 bps</t>
        </r>
        <r>
          <rPr>
            <b/>
            <sz val="8"/>
            <color indexed="81"/>
            <rFont val="Tahoma"/>
            <family val="2"/>
          </rPr>
          <t xml:space="preserve">
8/9/2012 Guidance
</t>
        </r>
        <r>
          <rPr>
            <sz val="8"/>
            <color indexed="81"/>
            <rFont val="Tahoma"/>
            <family val="2"/>
          </rPr>
          <t>Down 35-50 bps</t>
        </r>
        <r>
          <rPr>
            <b/>
            <sz val="8"/>
            <color indexed="81"/>
            <rFont val="Tahoma"/>
            <family val="2"/>
          </rPr>
          <t xml:space="preserve">
5/10/2012 Guidance </t>
        </r>
        <r>
          <rPr>
            <sz val="8"/>
            <color indexed="81"/>
            <rFont val="Tahoma"/>
            <family val="2"/>
          </rPr>
          <t xml:space="preserve">
5 to 35 basis point decrease </t>
        </r>
        <r>
          <rPr>
            <b/>
            <sz val="8"/>
            <color indexed="81"/>
            <rFont val="Tahoma"/>
            <family val="2"/>
          </rPr>
          <t xml:space="preserve">
2/16/12 Guidance
</t>
        </r>
        <r>
          <rPr>
            <sz val="8"/>
            <color indexed="81"/>
            <rFont val="Tahoma"/>
            <family val="2"/>
          </rPr>
          <t>1) -5 to -35 bps
2) unfavorable gross mgns from: mgns @ peak; increasing mix of Rack stores, reduction of shipping rev, intro of enhanced fashion rewards</t>
        </r>
      </text>
    </comment>
    <comment ref="CS44" authorId="0">
      <text>
        <r>
          <rPr>
            <b/>
            <sz val="8"/>
            <color indexed="81"/>
            <rFont val="Tahoma"/>
            <family val="2"/>
          </rPr>
          <t>5/16/2013 guidance:</t>
        </r>
        <r>
          <rPr>
            <sz val="8"/>
            <color indexed="81"/>
            <rFont val="Tahoma"/>
            <family val="2"/>
          </rPr>
          <t xml:space="preserve"> -10 to -30 bps decrease</t>
        </r>
        <r>
          <rPr>
            <b/>
            <sz val="8"/>
            <color indexed="81"/>
            <rFont val="Tahoma"/>
            <family val="2"/>
          </rPr>
          <t xml:space="preserve">
2/21/2013 Guidance: </t>
        </r>
        <r>
          <rPr>
            <sz val="8"/>
            <color indexed="81"/>
            <rFont val="Tahoma"/>
            <family val="2"/>
          </rPr>
          <t>-10 to -30 bps due to Fashion Rewards program and accelerated Rack growth</t>
        </r>
        <r>
          <rPr>
            <b/>
            <sz val="8"/>
            <color indexed="81"/>
            <rFont val="Tahoma"/>
            <family val="2"/>
          </rPr>
          <t xml:space="preserve">
8/9/2012 Guidance </t>
        </r>
        <r>
          <rPr>
            <sz val="8"/>
            <color indexed="81"/>
            <rFont val="Tahoma"/>
            <family val="2"/>
          </rPr>
          <t>Greater # of Rack openings hurt GM, but benefits SG&amp;A -&gt; Op Mgn Favorable</t>
        </r>
      </text>
    </comment>
    <comment ref="CT44" authorId="0">
      <text>
        <r>
          <rPr>
            <b/>
            <sz val="8"/>
            <color indexed="81"/>
            <rFont val="Tahoma"/>
            <family val="2"/>
          </rPr>
          <t>11/14/2013 guidance: -35 to -40 bps decrease
8/15/2013 guidance</t>
        </r>
        <r>
          <rPr>
            <sz val="8"/>
            <color indexed="81"/>
            <rFont val="Tahoma"/>
            <family val="2"/>
          </rPr>
          <t>: further lowered to -30 to -40 bps decrease</t>
        </r>
        <r>
          <rPr>
            <b/>
            <sz val="8"/>
            <color indexed="81"/>
            <rFont val="Tahoma"/>
            <family val="2"/>
          </rPr>
          <t xml:space="preserve">
5/16/2013 guidance: </t>
        </r>
        <r>
          <rPr>
            <sz val="8"/>
            <color indexed="81"/>
            <rFont val="Tahoma"/>
            <family val="2"/>
          </rPr>
          <t>-10 to -30 bps decrease</t>
        </r>
        <r>
          <rPr>
            <b/>
            <sz val="8"/>
            <color indexed="81"/>
            <rFont val="Tahoma"/>
            <family val="2"/>
          </rPr>
          <t xml:space="preserve">
2/21/2013 Guidance: </t>
        </r>
        <r>
          <rPr>
            <sz val="8"/>
            <color indexed="81"/>
            <rFont val="Tahoma"/>
            <family val="2"/>
          </rPr>
          <t>-10 to -30 bps due to Fashion Rewards program and accelerated Rack growth</t>
        </r>
        <r>
          <rPr>
            <b/>
            <sz val="8"/>
            <color indexed="81"/>
            <rFont val="Tahoma"/>
            <family val="2"/>
          </rPr>
          <t xml:space="preserve">
8/9/2012 Guidance </t>
        </r>
        <r>
          <rPr>
            <sz val="8"/>
            <color indexed="81"/>
            <rFont val="Tahoma"/>
            <family val="2"/>
          </rPr>
          <t>Greater # of Rack openings hurt GM, but benefits SG&amp;A -&gt; Op Mgn Favorable</t>
        </r>
      </text>
    </comment>
    <comment ref="CW44" authorId="1">
      <text>
        <r>
          <rPr>
            <b/>
            <sz val="8"/>
            <color indexed="81"/>
            <rFont val="Tahoma"/>
            <family val="2"/>
          </rPr>
          <t xml:space="preserve">2/19/15: </t>
        </r>
        <r>
          <rPr>
            <sz val="8"/>
            <color indexed="81"/>
            <rFont val="Tahoma"/>
            <family val="2"/>
          </rPr>
          <t>driven by increased markdowns and Nordstrom Rack's accelerated store expansion</t>
        </r>
        <r>
          <rPr>
            <b/>
            <sz val="8"/>
            <color indexed="81"/>
            <rFont val="Tahoma"/>
            <family val="2"/>
          </rPr>
          <t xml:space="preserve">
2/20/14: </t>
        </r>
        <r>
          <rPr>
            <sz val="8"/>
            <color indexed="81"/>
            <rFont val="Tahoma"/>
            <family val="2"/>
          </rPr>
          <t xml:space="preserve">-10-30 bps
</t>
        </r>
        <r>
          <rPr>
            <b/>
            <sz val="8"/>
            <color indexed="81"/>
            <rFont val="Tahoma"/>
            <family val="2"/>
          </rPr>
          <t>5/15/14:</t>
        </r>
        <r>
          <rPr>
            <sz val="8"/>
            <color indexed="81"/>
            <rFont val="Tahoma"/>
            <family val="2"/>
          </rPr>
          <t xml:space="preserve"> -30-50 bps
</t>
        </r>
        <r>
          <rPr>
            <b/>
            <sz val="8"/>
            <color indexed="81"/>
            <rFont val="Tahoma"/>
            <family val="2"/>
          </rPr>
          <t>8/14/14:</t>
        </r>
        <r>
          <rPr>
            <sz val="8"/>
            <color indexed="81"/>
            <rFont val="Tahoma"/>
            <family val="2"/>
          </rPr>
          <t xml:space="preserve"> -40-50 bps
</t>
        </r>
        <r>
          <rPr>
            <b/>
            <sz val="8"/>
            <color indexed="81"/>
            <rFont val="Tahoma"/>
            <family val="2"/>
          </rPr>
          <t>11/12/14:</t>
        </r>
        <r>
          <rPr>
            <sz val="8"/>
            <color indexed="81"/>
            <rFont val="Tahoma"/>
            <family val="2"/>
          </rPr>
          <t xml:space="preserve"> -50-55 bps</t>
        </r>
      </text>
    </comment>
    <comment ref="DA44" authorId="2">
      <text>
        <r>
          <rPr>
            <b/>
            <sz val="9"/>
            <color indexed="81"/>
            <rFont val="Tahoma"/>
            <family val="2"/>
          </rPr>
          <t>Baglione, Gregory  (Research):</t>
        </r>
        <r>
          <rPr>
            <sz val="9"/>
            <color indexed="81"/>
            <rFont val="Tahoma"/>
            <family val="2"/>
          </rPr>
          <t xml:space="preserve">
11/15/15
GM to decline 50-60 bps for FY</t>
        </r>
      </text>
    </comment>
    <comment ref="DE44" authorId="2">
      <text>
        <r>
          <rPr>
            <b/>
            <sz val="9"/>
            <color indexed="81"/>
            <rFont val="Tahoma"/>
            <family val="2"/>
          </rPr>
          <t>Baglione, Gregory  (Research):</t>
        </r>
        <r>
          <rPr>
            <sz val="9"/>
            <color indexed="81"/>
            <rFont val="Tahoma"/>
            <family val="2"/>
          </rPr>
          <t xml:space="preserve">
1/4/16
Lowering 2016 GM to 35.1% from 35.4%
</t>
        </r>
      </text>
    </comment>
    <comment ref="DI44" authorId="4">
      <text>
        <r>
          <rPr>
            <b/>
            <sz val="9"/>
            <color indexed="81"/>
            <rFont val="Tahoma"/>
            <family val="2"/>
          </rPr>
          <t>Roberts, Cynthia (Research):</t>
        </r>
        <r>
          <rPr>
            <sz val="9"/>
            <color indexed="81"/>
            <rFont val="Tahoma"/>
            <family val="2"/>
          </rPr>
          <t xml:space="preserve">
2/23/17: Guidance: stable GM, taking into account negative mix impact from Rack growth</t>
        </r>
      </text>
    </comment>
    <comment ref="DN44" authorId="4">
      <text>
        <r>
          <rPr>
            <b/>
            <sz val="9"/>
            <color indexed="81"/>
            <rFont val="Tahoma"/>
            <family val="2"/>
          </rPr>
          <t>Roberts, Cynthia (Research):</t>
        </r>
        <r>
          <rPr>
            <sz val="9"/>
            <color indexed="81"/>
            <rFont val="Tahoma"/>
            <family val="2"/>
          </rPr>
          <t xml:space="preserve">
3/1/18: Guidance improvement in merchandise margin and occupancy rate similar to last year with higher expenses in 1H18 due to new store openings</t>
        </r>
      </text>
    </comment>
    <comment ref="CN50" authorId="0">
      <text>
        <r>
          <rPr>
            <b/>
            <sz val="8"/>
            <color indexed="81"/>
            <rFont val="Tahoma"/>
            <family val="2"/>
          </rPr>
          <t xml:space="preserve">1Q13 10Q: </t>
        </r>
        <r>
          <rPr>
            <sz val="8"/>
            <color indexed="81"/>
            <rFont val="Tahoma"/>
            <family val="2"/>
          </rPr>
          <t>Restatated</t>
        </r>
      </text>
    </comment>
    <comment ref="DA50" authorId="6">
      <text>
        <r>
          <rPr>
            <b/>
            <sz val="9"/>
            <color indexed="81"/>
            <rFont val="Tahoma"/>
            <family val="2"/>
          </rPr>
          <t>casselau:</t>
        </r>
        <r>
          <rPr>
            <sz val="9"/>
            <color indexed="81"/>
            <rFont val="Tahoma"/>
            <family val="2"/>
          </rPr>
          <t xml:space="preserve">
5/14/15: reflects planned growth initiatves related to Trunk Club, Canada, and continuing fulfillment and technology investments</t>
        </r>
      </text>
    </comment>
    <comment ref="DI50" authorId="4">
      <text>
        <r>
          <rPr>
            <b/>
            <sz val="9"/>
            <color indexed="81"/>
            <rFont val="Tahoma"/>
            <family val="2"/>
          </rPr>
          <t>Roberts, Cynthia (Research):</t>
        </r>
        <r>
          <rPr>
            <sz val="9"/>
            <color indexed="81"/>
            <rFont val="Tahoma"/>
            <family val="2"/>
          </rPr>
          <t xml:space="preserve">
5/11/17: excluding $30M charge LY, leveraged 24 bps due to tech expenses</t>
        </r>
      </text>
    </comment>
    <comment ref="CN51" authorId="0">
      <text>
        <r>
          <rPr>
            <b/>
            <sz val="8"/>
            <color indexed="81"/>
            <rFont val="Tahoma"/>
            <family val="2"/>
          </rPr>
          <t xml:space="preserve">1Q13 10Q: </t>
        </r>
        <r>
          <rPr>
            <sz val="8"/>
            <color indexed="81"/>
            <rFont val="Tahoma"/>
            <family val="2"/>
          </rPr>
          <t>Restatated</t>
        </r>
      </text>
    </comment>
    <comment ref="DA51" authorId="3">
      <text>
        <r>
          <rPr>
            <b/>
            <sz val="9"/>
            <color indexed="81"/>
            <rFont val="Tahoma"/>
            <family val="2"/>
          </rPr>
          <t>Mains, Spencer (Research):</t>
        </r>
        <r>
          <rPr>
            <sz val="9"/>
            <color indexed="81"/>
            <rFont val="Tahoma"/>
            <family val="2"/>
          </rPr>
          <t xml:space="preserve">
Reflects planned growth initiatives related to Trunk Club and Canada and higher fulfillment costs associated with online growth</t>
        </r>
      </text>
    </comment>
    <comment ref="CN52" authorId="0">
      <text>
        <r>
          <rPr>
            <b/>
            <sz val="8"/>
            <color indexed="81"/>
            <rFont val="Tahoma"/>
            <family val="2"/>
          </rPr>
          <t xml:space="preserve">1Q13 10Q: </t>
        </r>
        <r>
          <rPr>
            <sz val="8"/>
            <color indexed="81"/>
            <rFont val="Tahoma"/>
            <family val="2"/>
          </rPr>
          <t>Restatated</t>
        </r>
      </text>
    </comment>
    <comment ref="CN53" authorId="0">
      <text>
        <r>
          <rPr>
            <b/>
            <sz val="8"/>
            <color indexed="81"/>
            <rFont val="Tahoma"/>
            <family val="2"/>
          </rPr>
          <t xml:space="preserve">1Q13 10Q: </t>
        </r>
        <r>
          <rPr>
            <sz val="8"/>
            <color indexed="81"/>
            <rFont val="Tahoma"/>
            <family val="2"/>
          </rPr>
          <t>Restatated</t>
        </r>
      </text>
    </comment>
    <comment ref="CW53" authorId="6">
      <text>
        <r>
          <rPr>
            <b/>
            <sz val="9"/>
            <color indexed="81"/>
            <rFont val="Tahoma"/>
            <family val="2"/>
          </rPr>
          <t>casselau:</t>
        </r>
        <r>
          <rPr>
            <sz val="9"/>
            <color indexed="81"/>
            <rFont val="Tahoma"/>
            <family val="2"/>
          </rPr>
          <t xml:space="preserve">
increased 110 bps y/y primarily due to expenses related to Trunk Club acquisiton and ongoing technology and fulfillment investments</t>
        </r>
      </text>
    </comment>
    <comment ref="DA53" authorId="2">
      <text>
        <r>
          <rPr>
            <b/>
            <sz val="9"/>
            <color indexed="81"/>
            <rFont val="Tahoma"/>
            <family val="2"/>
          </rPr>
          <t>Baglione, Gregory  (Research):</t>
        </r>
        <r>
          <rPr>
            <sz val="9"/>
            <color indexed="81"/>
            <rFont val="Tahoma"/>
            <family val="2"/>
          </rPr>
          <t xml:space="preserve">
2/18/16
Selling, general and administrative expenses, as a percentage of net sales, of 28.2 percent increased 71 basis points compared with the same period in fiscal 2014 due to asset impairment charges. Excluding these charges, selling, general and administrative expenses, as a percentage of net sales, decreased by approximately 50 basis points.</t>
        </r>
      </text>
    </comment>
    <comment ref="CS54" authorId="0">
      <text>
        <r>
          <rPr>
            <b/>
            <sz val="8"/>
            <color indexed="81"/>
            <rFont val="Tahoma"/>
            <family val="2"/>
          </rPr>
          <t xml:space="preserve">11/14/13: </t>
        </r>
        <r>
          <rPr>
            <sz val="8"/>
            <color indexed="81"/>
            <rFont val="Tahoma"/>
            <family val="2"/>
          </rPr>
          <t>0-10 bps increase</t>
        </r>
        <r>
          <rPr>
            <b/>
            <sz val="8"/>
            <color indexed="81"/>
            <rFont val="Tahoma"/>
            <family val="2"/>
          </rPr>
          <t xml:space="preserve">
5/16/2013 guidance: </t>
        </r>
        <r>
          <rPr>
            <sz val="8"/>
            <color indexed="81"/>
            <rFont val="Tahoma"/>
            <family val="2"/>
          </rPr>
          <t xml:space="preserve">flat to -10 bps </t>
        </r>
      </text>
    </comment>
    <comment ref="CW54" authorId="1">
      <text>
        <r>
          <rPr>
            <b/>
            <sz val="8"/>
            <color indexed="81"/>
            <rFont val="Tahoma"/>
            <family val="2"/>
          </rPr>
          <t xml:space="preserve">2/19/15:  </t>
        </r>
        <r>
          <rPr>
            <sz val="8"/>
            <color indexed="81"/>
            <rFont val="Tahoma"/>
            <family val="2"/>
          </rPr>
          <t xml:space="preserve">increase driven by Trunk Club and ongoing technology and fulfillment investments </t>
        </r>
        <r>
          <rPr>
            <b/>
            <sz val="8"/>
            <color indexed="81"/>
            <rFont val="Tahoma"/>
            <family val="2"/>
          </rPr>
          <t xml:space="preserve">
2/20/14: </t>
        </r>
        <r>
          <rPr>
            <sz val="8"/>
            <color indexed="81"/>
            <rFont val="Tahoma"/>
            <family val="2"/>
          </rPr>
          <t xml:space="preserve">+10-30bps
</t>
        </r>
        <r>
          <rPr>
            <b/>
            <sz val="8"/>
            <color indexed="81"/>
            <rFont val="Tahoma"/>
            <family val="2"/>
          </rPr>
          <t>5/15/14:</t>
        </r>
        <r>
          <rPr>
            <sz val="8"/>
            <color indexed="81"/>
            <rFont val="Tahoma"/>
            <family val="2"/>
          </rPr>
          <t xml:space="preserve"> +0-20bps
</t>
        </r>
        <r>
          <rPr>
            <b/>
            <sz val="8"/>
            <color indexed="81"/>
            <rFont val="Tahoma"/>
            <family val="2"/>
          </rPr>
          <t>8/14/14:</t>
        </r>
        <r>
          <rPr>
            <sz val="8"/>
            <color indexed="81"/>
            <rFont val="Tahoma"/>
            <family val="2"/>
          </rPr>
          <t xml:space="preserve"> +10-20bps
</t>
        </r>
        <r>
          <rPr>
            <b/>
            <sz val="8"/>
            <color indexed="81"/>
            <rFont val="Tahoma"/>
            <family val="2"/>
          </rPr>
          <t>11/12/14:</t>
        </r>
        <r>
          <rPr>
            <sz val="8"/>
            <color indexed="81"/>
            <rFont val="Tahoma"/>
            <family val="2"/>
          </rPr>
          <t xml:space="preserve"> +40-45bps</t>
        </r>
      </text>
    </comment>
    <comment ref="CZ54" authorId="6">
      <text>
        <r>
          <rPr>
            <b/>
            <sz val="9"/>
            <color indexed="81"/>
            <rFont val="Tahoma"/>
            <family val="2"/>
          </rPr>
          <t>casselau:</t>
        </r>
        <r>
          <rPr>
            <sz val="9"/>
            <color indexed="81"/>
            <rFont val="Tahoma"/>
            <family val="2"/>
          </rPr>
          <t xml:space="preserve">
2/9/15: $30M in expensees associated with initiatves to enable growth (DC, loyalty)</t>
        </r>
      </text>
    </comment>
    <comment ref="DA54" authorId="6">
      <text>
        <r>
          <rPr>
            <b/>
            <sz val="9"/>
            <color indexed="81"/>
            <rFont val="Tahoma"/>
            <family val="2"/>
          </rPr>
          <t>casselau:</t>
        </r>
        <r>
          <rPr>
            <sz val="9"/>
            <color indexed="81"/>
            <rFont val="Tahoma"/>
            <family val="2"/>
          </rPr>
          <t xml:space="preserve">
8/13/15: guidance +65-75 bps (majority of increase from prev guidance related to fulfillment cost)
2/19/15: guidance +55-65 bps</t>
        </r>
      </text>
    </comment>
    <comment ref="DN54" authorId="4">
      <text>
        <r>
          <rPr>
            <b/>
            <sz val="9"/>
            <color indexed="81"/>
            <rFont val="Tahoma"/>
            <family val="2"/>
          </rPr>
          <t>Roberts, Cynthia (Research):</t>
        </r>
        <r>
          <rPr>
            <sz val="9"/>
            <color indexed="81"/>
            <rFont val="Tahoma"/>
            <family val="2"/>
          </rPr>
          <t xml:space="preserve">
3/1/18: Guidance +MSD growth</t>
        </r>
      </text>
    </comment>
    <comment ref="CL60" authorId="7">
      <text>
        <r>
          <rPr>
            <b/>
            <sz val="8"/>
            <color indexed="81"/>
            <rFont val="Tahoma"/>
            <family val="2"/>
          </rPr>
          <t>Assumes leverage at 2% comp.</t>
        </r>
        <r>
          <rPr>
            <sz val="8"/>
            <color indexed="81"/>
            <rFont val="Tahoma"/>
            <family val="2"/>
          </rPr>
          <t xml:space="preserve">
</t>
        </r>
        <r>
          <rPr>
            <b/>
            <sz val="8"/>
            <color indexed="81"/>
            <rFont val="Tahoma"/>
            <family val="2"/>
          </rPr>
          <t>Estimate for Hautelook:</t>
        </r>
        <r>
          <rPr>
            <sz val="8"/>
            <color indexed="81"/>
            <rFont val="Tahoma"/>
            <family val="2"/>
          </rPr>
          <t xml:space="preserve">
$180M purchase price; $100M finite-lived intangibles (e.g., customer list) amortizable over 5 years; $20M pre-tax; $12M after tax = 5 cents annual impact
</t>
        </r>
        <r>
          <rPr>
            <b/>
            <sz val="8"/>
            <color indexed="81"/>
            <rFont val="Tahoma"/>
            <family val="2"/>
          </rPr>
          <t>We embed 5 cents in annual SG&amp;A:
$20M pre-tax; ~$7 M per quarter or ~30 bps of SG&amp;A deleverage</t>
        </r>
      </text>
    </comment>
    <comment ref="CN60" authorId="0">
      <text>
        <r>
          <rPr>
            <b/>
            <sz val="8"/>
            <color indexed="81"/>
            <rFont val="Tahoma"/>
            <family val="2"/>
          </rPr>
          <t xml:space="preserve">1Q13 10Q: </t>
        </r>
        <r>
          <rPr>
            <sz val="8"/>
            <color indexed="81"/>
            <rFont val="Tahoma"/>
            <family val="2"/>
          </rPr>
          <t>Restatated</t>
        </r>
      </text>
    </comment>
    <comment ref="CO60" authorId="0">
      <text>
        <r>
          <rPr>
            <b/>
            <sz val="8"/>
            <color indexed="81"/>
            <rFont val="Tahoma"/>
            <family val="2"/>
          </rPr>
          <t xml:space="preserve">5/10/2012 Comment </t>
        </r>
        <r>
          <rPr>
            <sz val="8"/>
            <color indexed="81"/>
            <rFont val="Tahoma"/>
            <family val="2"/>
          </rPr>
          <t xml:space="preserve">
1)$110M increase primarily due to various initiatives to improve the customer experience across all channels and specifically to grow e-comm business (1/2 of $ increase)
2) Increase also reflected higher volume from existing and new stores (majority of other 1/2 of $ increase)
3) merch margins flat
4) % of full priced selling cont'd to increase vs. LY </t>
        </r>
      </text>
    </comment>
    <comment ref="CP60" authorId="0">
      <text>
        <r>
          <rPr>
            <b/>
            <sz val="8"/>
            <color indexed="81"/>
            <rFont val="Tahoma"/>
            <family val="2"/>
          </rPr>
          <t xml:space="preserve">5/10/2012 Comment </t>
        </r>
        <r>
          <rPr>
            <sz val="8"/>
            <color indexed="81"/>
            <rFont val="Tahoma"/>
            <family val="2"/>
          </rPr>
          <t xml:space="preserve">
1)$110M increase primarily due to various initiatives to improve the customer experience across all channels and specifically to grow e-comm business (1/2 of $ increase)
2) Increase also reflected higher volume from existing and new stores (majority of other 1/2 of $ increase)
3) merch margins flat
4) % of full priced selling cont'd to increase vs. LY </t>
        </r>
      </text>
    </comment>
    <comment ref="CR60" authorId="0">
      <text>
        <r>
          <rPr>
            <b/>
            <sz val="8"/>
            <color indexed="81"/>
            <rFont val="Tahoma"/>
            <family val="2"/>
          </rPr>
          <t xml:space="preserve">5/18/2013: </t>
        </r>
        <r>
          <rPr>
            <sz val="8"/>
            <color indexed="81"/>
            <rFont val="Tahoma"/>
            <family val="2"/>
          </rPr>
          <t>Includes $6M related to accelerated Rack expansion and entering Canada</t>
        </r>
        <r>
          <rPr>
            <b/>
            <sz val="8"/>
            <color indexed="81"/>
            <rFont val="Tahoma"/>
            <family val="2"/>
          </rPr>
          <t xml:space="preserve">
Note:</t>
        </r>
        <r>
          <rPr>
            <sz val="8"/>
            <color indexed="81"/>
            <rFont val="Tahoma"/>
            <family val="2"/>
          </rPr>
          <t xml:space="preserve"> adjusted to get to total Net Income</t>
        </r>
      </text>
    </comment>
    <comment ref="CS60" authorId="0">
      <text>
        <r>
          <rPr>
            <b/>
            <sz val="8"/>
            <color indexed="81"/>
            <rFont val="Tahoma"/>
            <family val="2"/>
          </rPr>
          <t xml:space="preserve">Note: </t>
        </r>
        <r>
          <rPr>
            <sz val="8"/>
            <color indexed="81"/>
            <rFont val="Tahoma"/>
            <family val="2"/>
          </rPr>
          <t>Lap $110M of spending on IT intiatives (see LY)</t>
        </r>
      </text>
    </comment>
    <comment ref="DD60" authorId="2">
      <text>
        <r>
          <rPr>
            <b/>
            <sz val="9"/>
            <color indexed="81"/>
            <rFont val="Tahoma"/>
            <family val="2"/>
          </rPr>
          <t>Baglione, Gregory  (Research):</t>
        </r>
        <r>
          <rPr>
            <sz val="9"/>
            <color indexed="81"/>
            <rFont val="Tahoma"/>
            <family val="2"/>
          </rPr>
          <t xml:space="preserve">
5/12/16
$30M charge
5/12/16
Selling, general and administrative expenses, as a percentage of net sales, of 32.7 percent increased 149 basis points compared with the same period in fiscal 2015, primarily due to higher credit chargebacks and severance charges in addition to planned fulfillment and technology costs supporting the Company's growth initiatives. With the roll-out of an upgraded point-of-sale system completed in February, the Company anticipates the impact of credit chargebacks to substantially lessen in the second quarter.</t>
        </r>
      </text>
    </comment>
    <comment ref="DI60" authorId="4">
      <text>
        <r>
          <rPr>
            <b/>
            <sz val="9"/>
            <color indexed="81"/>
            <rFont val="Tahoma"/>
            <family val="2"/>
          </rPr>
          <t>Roberts, Cynthia (Research):</t>
        </r>
        <r>
          <rPr>
            <sz val="9"/>
            <color indexed="81"/>
            <rFont val="Tahoma"/>
            <family val="2"/>
          </rPr>
          <t xml:space="preserve">
5/11/17: excluding $30M charge LY, leveraged 24 bps due to tech expenses</t>
        </r>
      </text>
    </comment>
    <comment ref="CL61" authorId="7">
      <text>
        <r>
          <rPr>
            <sz val="8"/>
            <color indexed="81"/>
            <rFont val="Tahoma"/>
            <family val="2"/>
          </rPr>
          <t>We back into a leverage pt. and sensitivity above that leverage pt. to get close to mgmt guidance on retail SG&amp;A expense.  We then account for our higher sales outlook.</t>
        </r>
        <r>
          <rPr>
            <sz val="8"/>
            <color indexed="81"/>
            <rFont val="Tahoma"/>
            <family val="2"/>
          </rPr>
          <t xml:space="preserve">
</t>
        </r>
      </text>
    </comment>
    <comment ref="CN61" authorId="0">
      <text>
        <r>
          <rPr>
            <b/>
            <sz val="8"/>
            <color indexed="81"/>
            <rFont val="Tahoma"/>
            <family val="2"/>
          </rPr>
          <t xml:space="preserve">1Q13 10Q: </t>
        </r>
        <r>
          <rPr>
            <sz val="8"/>
            <color indexed="81"/>
            <rFont val="Tahoma"/>
            <family val="2"/>
          </rPr>
          <t>Restatated</t>
        </r>
      </text>
    </comment>
    <comment ref="CO61" authorId="0">
      <text>
        <r>
          <rPr>
            <b/>
            <sz val="8"/>
            <color indexed="81"/>
            <rFont val="Tahoma"/>
            <family val="2"/>
          </rPr>
          <t xml:space="preserve">5/10/2012 Guidance
</t>
        </r>
        <r>
          <rPr>
            <sz val="8"/>
            <color indexed="81"/>
            <rFont val="Tahoma"/>
            <family val="2"/>
          </rPr>
          <t>+80-100 bps largely as a result of the timing of our investments in  e-comm</t>
        </r>
      </text>
    </comment>
    <comment ref="CP61" authorId="0">
      <text>
        <r>
          <rPr>
            <b/>
            <sz val="8"/>
            <color indexed="81"/>
            <rFont val="Tahoma"/>
            <family val="2"/>
          </rPr>
          <t xml:space="preserve">5/10/2012 Guidance
</t>
        </r>
        <r>
          <rPr>
            <sz val="8"/>
            <color indexed="81"/>
            <rFont val="Tahoma"/>
            <family val="2"/>
          </rPr>
          <t>+80-100 bps largely as a result of the timing of our investments in e-comm</t>
        </r>
      </text>
    </comment>
    <comment ref="CR61" authorId="0">
      <text>
        <r>
          <rPr>
            <b/>
            <sz val="8"/>
            <color indexed="81"/>
            <rFont val="Tahoma"/>
            <family val="2"/>
          </rPr>
          <t xml:space="preserve">5/18/2013: </t>
        </r>
        <r>
          <rPr>
            <sz val="8"/>
            <color indexed="81"/>
            <rFont val="Tahoma"/>
            <family val="2"/>
          </rPr>
          <t>Includes $6M related to accelerated Rack expansion and entering Canada</t>
        </r>
        <r>
          <rPr>
            <b/>
            <sz val="8"/>
            <color indexed="81"/>
            <rFont val="Tahoma"/>
            <family val="2"/>
          </rPr>
          <t xml:space="preserve">
Note:</t>
        </r>
        <r>
          <rPr>
            <sz val="8"/>
            <color indexed="81"/>
            <rFont val="Tahoma"/>
            <family val="2"/>
          </rPr>
          <t xml:space="preserve"> adjusted to get to total Net Income</t>
        </r>
      </text>
    </comment>
    <comment ref="CS61" authorId="0">
      <text>
        <r>
          <rPr>
            <b/>
            <sz val="8"/>
            <color indexed="81"/>
            <rFont val="Tahoma"/>
            <family val="2"/>
          </rPr>
          <t xml:space="preserve">Note: </t>
        </r>
        <r>
          <rPr>
            <sz val="8"/>
            <color indexed="81"/>
            <rFont val="Tahoma"/>
            <family val="2"/>
          </rPr>
          <t>Lap 1 wk shift of sale in 3Q from 2Q</t>
        </r>
      </text>
    </comment>
    <comment ref="DA61" authorId="2">
      <text>
        <r>
          <rPr>
            <b/>
            <sz val="9"/>
            <color indexed="81"/>
            <rFont val="Tahoma"/>
            <family val="2"/>
          </rPr>
          <t>Baglione, Gregory  (Research):</t>
        </r>
        <r>
          <rPr>
            <sz val="9"/>
            <color indexed="81"/>
            <rFont val="Tahoma"/>
            <family val="2"/>
          </rPr>
          <t xml:space="preserve">
8/13/15: Reflects planned investments in trunk club and canada</t>
        </r>
      </text>
    </comment>
    <comment ref="DF61" authorId="2">
      <text>
        <r>
          <rPr>
            <b/>
            <sz val="9"/>
            <color indexed="81"/>
            <rFont val="Tahoma"/>
            <family val="2"/>
          </rPr>
          <t>Baglione, Gregory  (Research):</t>
        </r>
        <r>
          <rPr>
            <sz val="9"/>
            <color indexed="81"/>
            <rFont val="Tahoma"/>
            <family val="2"/>
          </rPr>
          <t xml:space="preserve">
8/16/16
Selling, general and administrative expenses, as a percentage of net sales, of 29.8 percent increased 212 basis points compared with the same period in fiscal 2015, primarily due to a $64 million benefit in fiscal 2015 associated with the sale of the credit card portfolio. The increase was also attributable to expense deleverage from the shift in sales volume into the third quarter related to the Anniversary Sale event
2/18/16
Excluding impairment charges of $59 million in 2015, Retail EBIT is expected to have a decrease of 3 percent to an increase of 3 percent relative to last year.
In the first half of fiscal 2016, the Company expects earnings per diluted share to decrease by approximately 30 percent relative to the same period last year due to the following:o
 the impact of the sale of the credit receivables in October 2015 
o the impact of growth initiatives, including its East coast fulfillment center which opened in August 2015 and new store pre-opening expenses 
o the shift of the Anniversary Sale event from Q2 in 2015 to the second and Q3s in 2016 
</t>
        </r>
      </text>
    </comment>
    <comment ref="DI61" authorId="5">
      <text>
        <r>
          <rPr>
            <b/>
            <sz val="9"/>
            <color indexed="81"/>
            <rFont val="Tahoma"/>
            <family val="2"/>
          </rPr>
          <t>De Courreges, Edouard (Research):</t>
        </r>
        <r>
          <rPr>
            <sz val="9"/>
            <color indexed="81"/>
            <rFont val="Tahoma"/>
            <family val="2"/>
          </rPr>
          <t xml:space="preserve">
8/10/17: Retail EBIT decreased $27 million compared with the same quarter last year, primarily reflecting planned technology, occupancy and supply chain expenses supporting the Company's growth initiatives</t>
        </r>
      </text>
    </comment>
    <comment ref="CL62" authorId="7">
      <text>
        <r>
          <rPr>
            <b/>
            <sz val="8"/>
            <color indexed="81"/>
            <rFont val="Tahoma"/>
            <family val="2"/>
          </rPr>
          <t>11/10/2011 comment:</t>
        </r>
        <r>
          <rPr>
            <sz val="8"/>
            <color indexed="81"/>
            <rFont val="Tahoma"/>
            <family val="2"/>
          </rPr>
          <t xml:space="preserve">
1) up driven by growth in new and existing stores
2) reflects various initiatives to grow ecomm, including HauteLook op and purchase accounting expenses
3) Includes $21MM in HL related expenses
We back into a leverage pt. and sensitivity above that leverage pt. to get close to mgmt guidance on retail SG&amp;A expense.  We then account for our higher sales outlook.</t>
        </r>
        <r>
          <rPr>
            <sz val="8"/>
            <color indexed="81"/>
            <rFont val="Tahoma"/>
            <family val="2"/>
          </rPr>
          <t xml:space="preserve">
</t>
        </r>
      </text>
    </comment>
    <comment ref="CN62" authorId="0">
      <text>
        <r>
          <rPr>
            <b/>
            <sz val="8"/>
            <color indexed="81"/>
            <rFont val="Tahoma"/>
            <family val="2"/>
          </rPr>
          <t xml:space="preserve">1Q13 10Q: </t>
        </r>
        <r>
          <rPr>
            <sz val="8"/>
            <color indexed="81"/>
            <rFont val="Tahoma"/>
            <family val="2"/>
          </rPr>
          <t>Restatated</t>
        </r>
      </text>
    </comment>
    <comment ref="CO62" authorId="0">
      <text>
        <r>
          <rPr>
            <b/>
            <sz val="8"/>
            <color indexed="81"/>
            <rFont val="Tahoma"/>
            <family val="2"/>
          </rPr>
          <t xml:space="preserve">8/9/2012 </t>
        </r>
        <r>
          <rPr>
            <sz val="8"/>
            <color indexed="81"/>
            <rFont val="Tahoma"/>
            <family val="2"/>
          </rPr>
          <t>down 55-75bps in 3Q</t>
        </r>
        <r>
          <rPr>
            <b/>
            <sz val="8"/>
            <color indexed="81"/>
            <rFont val="Tahoma"/>
            <family val="2"/>
          </rPr>
          <t xml:space="preserve">
5/10/2012 </t>
        </r>
        <r>
          <rPr>
            <sz val="8"/>
            <color indexed="81"/>
            <rFont val="Tahoma"/>
            <family val="2"/>
          </rPr>
          <t>down 70 to 90 basis in 2H12</t>
        </r>
      </text>
    </comment>
    <comment ref="CP62" authorId="0">
      <text>
        <r>
          <rPr>
            <b/>
            <sz val="8"/>
            <color indexed="81"/>
            <rFont val="Tahoma"/>
            <family val="2"/>
          </rPr>
          <t xml:space="preserve">11/8/2012 Guidance </t>
        </r>
        <r>
          <rPr>
            <sz val="8"/>
            <color indexed="81"/>
            <rFont val="Tahoma"/>
            <family val="2"/>
          </rPr>
          <t>Improvements in exp leverage; slightly lower than anticipated lvrg achieved due to shift of expense from 4Q -&gt; 3Q</t>
        </r>
        <r>
          <rPr>
            <b/>
            <sz val="8"/>
            <color indexed="81"/>
            <rFont val="Tahoma"/>
            <family val="2"/>
          </rPr>
          <t xml:space="preserve">
8/9/2012 Guidance
</t>
        </r>
        <r>
          <rPr>
            <sz val="8"/>
            <color indexed="81"/>
            <rFont val="Tahoma"/>
            <family val="2"/>
          </rPr>
          <t>-55 to -75bps</t>
        </r>
        <r>
          <rPr>
            <b/>
            <sz val="8"/>
            <color indexed="81"/>
            <rFont val="Tahoma"/>
            <family val="2"/>
          </rPr>
          <t xml:space="preserve">
5/10/2012 Guidance
</t>
        </r>
        <r>
          <rPr>
            <sz val="8"/>
            <color indexed="81"/>
            <rFont val="Tahoma"/>
            <family val="2"/>
          </rPr>
          <t>-70 to -90 basis in 2H12 (due to timing of investments in ecomm)</t>
        </r>
      </text>
    </comment>
    <comment ref="CS62" authorId="0">
      <text>
        <r>
          <rPr>
            <b/>
            <sz val="8"/>
            <color indexed="81"/>
            <rFont val="Tahoma"/>
            <family val="2"/>
          </rPr>
          <t xml:space="preserve">Note: </t>
        </r>
        <r>
          <rPr>
            <sz val="8"/>
            <color indexed="81"/>
            <rFont val="Tahoma"/>
            <family val="2"/>
          </rPr>
          <t>Lap shift of exp from 4Q to 3Q LY (est. $9M - assume stays in 3Q); lap 1 wk shift of sale in 3Q from 2Q</t>
        </r>
      </text>
    </comment>
    <comment ref="DF62" authorId="2">
      <text>
        <r>
          <rPr>
            <b/>
            <sz val="9"/>
            <color indexed="81"/>
            <rFont val="Tahoma"/>
            <family val="2"/>
          </rPr>
          <t>Baglione, Gregory  (Research):</t>
        </r>
        <r>
          <rPr>
            <sz val="9"/>
            <color indexed="81"/>
            <rFont val="Tahoma"/>
            <family val="2"/>
          </rPr>
          <t xml:space="preserve">
2/18/16
Excluding impairment charges of $59 million in 2015, Retail EBIT is expected to have a decrease of 3 percent to an increase of 3 percent relative to last year.
In the first half of fiscal 2016, the Company expects earnings per diluted share to decrease by approximately 30 percent relative to the same period last year due to the following:o
 the impact of the sale of the credit receivables in October 2015 
o the impact of growth initiatives, including its East coast fulfillment center which opened in August 2015 and new store pre-opening expenses 
o the shift of the Anniversary Sale event from Q2 in 2015 to the second and Q3s in 2016 
</t>
        </r>
      </text>
    </comment>
    <comment ref="CL63" authorId="7">
      <text>
        <r>
          <rPr>
            <sz val="8"/>
            <color indexed="81"/>
            <rFont val="Tahoma"/>
            <family val="2"/>
          </rPr>
          <t>We back into a leverage pt. and sensitivity above that leverage pt. to get close to mgmt guidance on retail SG&amp;A expense.  We then account for our higher sales outlook.</t>
        </r>
        <r>
          <rPr>
            <sz val="8"/>
            <color indexed="81"/>
            <rFont val="Tahoma"/>
            <family val="2"/>
          </rPr>
          <t xml:space="preserve">
</t>
        </r>
      </text>
    </comment>
    <comment ref="CN63" authorId="0">
      <text>
        <r>
          <rPr>
            <b/>
            <sz val="8"/>
            <color indexed="81"/>
            <rFont val="Tahoma"/>
            <family val="2"/>
          </rPr>
          <t>1Q13 10Q:</t>
        </r>
        <r>
          <rPr>
            <sz val="8"/>
            <color indexed="81"/>
            <rFont val="Tahoma"/>
            <family val="2"/>
          </rPr>
          <t xml:space="preserve"> Restatated</t>
        </r>
        <r>
          <rPr>
            <b/>
            <sz val="8"/>
            <color indexed="81"/>
            <rFont val="Tahoma"/>
            <family val="2"/>
          </rPr>
          <t xml:space="preserve">
11/8/2012: </t>
        </r>
        <r>
          <rPr>
            <sz val="8"/>
            <color indexed="81"/>
            <rFont val="Tahoma"/>
            <family val="2"/>
          </rPr>
          <t>see FY guidance</t>
        </r>
      </text>
    </comment>
    <comment ref="CO63" authorId="0">
      <text>
        <r>
          <rPr>
            <b/>
            <sz val="8"/>
            <color indexed="81"/>
            <rFont val="Tahoma"/>
            <family val="2"/>
          </rPr>
          <t xml:space="preserve">8/9/2012 </t>
        </r>
        <r>
          <rPr>
            <sz val="8"/>
            <color indexed="81"/>
            <rFont val="Tahoma"/>
            <family val="2"/>
          </rPr>
          <t>down 45-65 bps in 3Q</t>
        </r>
        <r>
          <rPr>
            <b/>
            <sz val="8"/>
            <color indexed="81"/>
            <rFont val="Tahoma"/>
            <family val="2"/>
          </rPr>
          <t xml:space="preserve">
5/10/2012 Guidance </t>
        </r>
        <r>
          <rPr>
            <sz val="8"/>
            <color indexed="81"/>
            <rFont val="Tahoma"/>
            <family val="2"/>
          </rPr>
          <t>-70 to -90 basis in 2H12</t>
        </r>
      </text>
    </comment>
    <comment ref="CP63" authorId="0">
      <text>
        <r>
          <rPr>
            <b/>
            <sz val="8"/>
            <color indexed="81"/>
            <rFont val="Tahoma"/>
            <family val="2"/>
          </rPr>
          <t xml:space="preserve">8/9/2012 Guidance
</t>
        </r>
        <r>
          <rPr>
            <sz val="8"/>
            <color indexed="81"/>
            <rFont val="Tahoma"/>
            <family val="2"/>
          </rPr>
          <t>-45 to -65 bps</t>
        </r>
        <r>
          <rPr>
            <b/>
            <sz val="8"/>
            <color indexed="81"/>
            <rFont val="Tahoma"/>
            <family val="2"/>
          </rPr>
          <t xml:space="preserve">
5/10/2012 Guidance
</t>
        </r>
        <r>
          <rPr>
            <sz val="8"/>
            <color indexed="81"/>
            <rFont val="Tahoma"/>
            <family val="2"/>
          </rPr>
          <t>-70 to -90 basis in 2H12 (due to timing of investments in ecomm)</t>
        </r>
      </text>
    </comment>
    <comment ref="CR63" authorId="0">
      <text>
        <r>
          <rPr>
            <b/>
            <sz val="8"/>
            <color indexed="81"/>
            <rFont val="Tahoma"/>
            <family val="2"/>
          </rPr>
          <t xml:space="preserve">12/5/2012 Note: </t>
        </r>
        <r>
          <rPr>
            <sz val="8"/>
            <color indexed="81"/>
            <rFont val="Tahoma"/>
            <family val="2"/>
          </rPr>
          <t>extra wk modeled at ~$63M</t>
        </r>
      </text>
    </comment>
    <comment ref="DA63" authorId="2">
      <text>
        <r>
          <rPr>
            <b/>
            <sz val="9"/>
            <color indexed="81"/>
            <rFont val="Tahoma"/>
            <family val="2"/>
          </rPr>
          <t xml:space="preserve">Baglione, Gregory  (Research):
</t>
        </r>
        <r>
          <rPr>
            <sz val="9"/>
            <color indexed="81"/>
            <rFont val="Tahoma"/>
            <family val="2"/>
          </rPr>
          <t>11/12/15
FY guidance for SG&amp;A to increase +70-75 bps y/y vs. prior 65-70 bps</t>
        </r>
        <r>
          <rPr>
            <b/>
            <sz val="9"/>
            <color indexed="81"/>
            <rFont val="Tahoma"/>
            <family val="2"/>
          </rPr>
          <t xml:space="preserve">
</t>
        </r>
      </text>
    </comment>
    <comment ref="DE63" authorId="4">
      <text>
        <r>
          <rPr>
            <b/>
            <sz val="9"/>
            <color indexed="81"/>
            <rFont val="Tahoma"/>
            <family val="2"/>
          </rPr>
          <t>Roberts, Cynthia (Research):</t>
        </r>
        <r>
          <rPr>
            <sz val="9"/>
            <color indexed="81"/>
            <rFont val="Tahoma"/>
            <family val="2"/>
          </rPr>
          <t xml:space="preserve">
1/17/17
Previous: 26.8
Current: 27.0
updated given weak results reported by Department store peers.
11/10/16
previous: 26.5%
current: 26.8%
</t>
        </r>
      </text>
    </comment>
    <comment ref="DF63" authorId="2">
      <text>
        <r>
          <rPr>
            <b/>
            <sz val="9"/>
            <color indexed="81"/>
            <rFont val="Tahoma"/>
            <family val="2"/>
          </rPr>
          <t>Baglione, Gregory  (Research):</t>
        </r>
        <r>
          <rPr>
            <sz val="9"/>
            <color indexed="81"/>
            <rFont val="Tahoma"/>
            <family val="2"/>
          </rPr>
          <t xml:space="preserve">
2/18/16
Excluding impairment charges of $59 million in 2015, Retail EBIT is expected to have a decrease of 3 percent to an increase of 3 percent relative to last year.
In the first half of fiscal 2016, the Company expects earnings per diluted share to decrease by approximately 30 percent relative to the same period last year due to the following:o
 the impact of the sale of the credit receivables in October 2015 
o the impact of growth initiatives, including its East coast fulfillment center which opened in August 2015 and new store pre-opening expenses 
o the shift of the Anniversary Sale event from Q2 in 2015 to the second and Q3s in 2016 
</t>
        </r>
      </text>
    </comment>
    <comment ref="CN64" authorId="0">
      <text>
        <r>
          <rPr>
            <b/>
            <sz val="8"/>
            <color indexed="81"/>
            <rFont val="Tahoma"/>
            <family val="2"/>
          </rPr>
          <t>11/8/2012 Guidance +</t>
        </r>
        <r>
          <rPr>
            <sz val="8"/>
            <color indexed="81"/>
            <rFont val="Tahoma"/>
            <family val="2"/>
          </rPr>
          <t>$340-355</t>
        </r>
        <r>
          <rPr>
            <b/>
            <sz val="8"/>
            <color indexed="81"/>
            <rFont val="Tahoma"/>
            <family val="2"/>
          </rPr>
          <t xml:space="preserve">
8/9/2012 Guidance </t>
        </r>
        <r>
          <rPr>
            <sz val="8"/>
            <color indexed="81"/>
            <rFont val="Tahoma"/>
            <family val="2"/>
          </rPr>
          <t>+$340-355M</t>
        </r>
        <r>
          <rPr>
            <b/>
            <sz val="8"/>
            <color indexed="81"/>
            <rFont val="Tahoma"/>
            <family val="2"/>
          </rPr>
          <t xml:space="preserve">
Guidance: 5/10/2012
</t>
        </r>
        <r>
          <rPr>
            <sz val="8"/>
            <color indexed="81"/>
            <rFont val="Tahoma"/>
            <family val="2"/>
          </rPr>
          <t>+275-340M y/y (incr. of $10M reflects add'l ecomm investments)</t>
        </r>
        <r>
          <rPr>
            <b/>
            <sz val="8"/>
            <color indexed="81"/>
            <rFont val="Tahoma"/>
            <family val="2"/>
          </rPr>
          <t xml:space="preserve">
Guidance: 2/16/2012
+</t>
        </r>
        <r>
          <rPr>
            <sz val="8"/>
            <color indexed="81"/>
            <rFont val="Tahoma"/>
            <family val="2"/>
          </rPr>
          <t>$265M-$330M y/y</t>
        </r>
        <r>
          <rPr>
            <b/>
            <sz val="8"/>
            <color indexed="81"/>
            <rFont val="Tahoma"/>
            <family val="2"/>
          </rPr>
          <t xml:space="preserve">
</t>
        </r>
      </text>
    </comment>
    <comment ref="CO64" authorId="0">
      <text>
        <r>
          <rPr>
            <b/>
            <sz val="8"/>
            <color indexed="81"/>
            <rFont val="Tahoma"/>
            <family val="2"/>
          </rPr>
          <t>11/8/2012 Guidance +</t>
        </r>
        <r>
          <rPr>
            <sz val="8"/>
            <color indexed="81"/>
            <rFont val="Tahoma"/>
            <family val="2"/>
          </rPr>
          <t>$340-355</t>
        </r>
        <r>
          <rPr>
            <b/>
            <sz val="8"/>
            <color indexed="81"/>
            <rFont val="Tahoma"/>
            <family val="2"/>
          </rPr>
          <t xml:space="preserve">
8/9/2012 Guidance </t>
        </r>
        <r>
          <rPr>
            <sz val="8"/>
            <color indexed="81"/>
            <rFont val="Tahoma"/>
            <family val="2"/>
          </rPr>
          <t>+$340-355M</t>
        </r>
        <r>
          <rPr>
            <b/>
            <sz val="8"/>
            <color indexed="81"/>
            <rFont val="Tahoma"/>
            <family val="2"/>
          </rPr>
          <t xml:space="preserve">
Guidance: 5/10/2012
</t>
        </r>
        <r>
          <rPr>
            <sz val="8"/>
            <color indexed="81"/>
            <rFont val="Tahoma"/>
            <family val="2"/>
          </rPr>
          <t>+275-340M y/y (incr. of $10M reflects add'l ecomm investments)</t>
        </r>
        <r>
          <rPr>
            <b/>
            <sz val="8"/>
            <color indexed="81"/>
            <rFont val="Tahoma"/>
            <family val="2"/>
          </rPr>
          <t xml:space="preserve">
Guidance: 2/16/2012
+</t>
        </r>
        <r>
          <rPr>
            <sz val="8"/>
            <color indexed="81"/>
            <rFont val="Tahoma"/>
            <family val="2"/>
          </rPr>
          <t>$265M-$330M y/y</t>
        </r>
        <r>
          <rPr>
            <b/>
            <sz val="8"/>
            <color indexed="81"/>
            <rFont val="Tahoma"/>
            <family val="2"/>
          </rPr>
          <t xml:space="preserve">
</t>
        </r>
      </text>
    </comment>
    <comment ref="CP64" authorId="0">
      <text>
        <r>
          <rPr>
            <b/>
            <sz val="8"/>
            <color indexed="81"/>
            <rFont val="Tahoma"/>
            <family val="2"/>
          </rPr>
          <t>11/8/2012 Guidance +</t>
        </r>
        <r>
          <rPr>
            <sz val="8"/>
            <color indexed="81"/>
            <rFont val="Tahoma"/>
            <family val="2"/>
          </rPr>
          <t>$340-355</t>
        </r>
        <r>
          <rPr>
            <b/>
            <sz val="8"/>
            <color indexed="81"/>
            <rFont val="Tahoma"/>
            <family val="2"/>
          </rPr>
          <t xml:space="preserve">
8/9/2012 Guidance </t>
        </r>
        <r>
          <rPr>
            <sz val="8"/>
            <color indexed="81"/>
            <rFont val="Tahoma"/>
            <family val="2"/>
          </rPr>
          <t>+$340-355M</t>
        </r>
        <r>
          <rPr>
            <b/>
            <sz val="8"/>
            <color indexed="81"/>
            <rFont val="Tahoma"/>
            <family val="2"/>
          </rPr>
          <t xml:space="preserve">
Guidance: 5/10/2012
</t>
        </r>
        <r>
          <rPr>
            <sz val="8"/>
            <color indexed="81"/>
            <rFont val="Tahoma"/>
            <family val="2"/>
          </rPr>
          <t>+275-340M y/y (incr. of $10M reflects add'l ecomm investments)</t>
        </r>
        <r>
          <rPr>
            <b/>
            <sz val="8"/>
            <color indexed="81"/>
            <rFont val="Tahoma"/>
            <family val="2"/>
          </rPr>
          <t xml:space="preserve">
Guidance: 2/16/2012
+</t>
        </r>
        <r>
          <rPr>
            <sz val="8"/>
            <color indexed="81"/>
            <rFont val="Tahoma"/>
            <family val="2"/>
          </rPr>
          <t>$265M-$330M y/y</t>
        </r>
        <r>
          <rPr>
            <b/>
            <sz val="8"/>
            <color indexed="81"/>
            <rFont val="Tahoma"/>
            <family val="2"/>
          </rPr>
          <t xml:space="preserve">
</t>
        </r>
      </text>
    </comment>
    <comment ref="CS64" authorId="0">
      <text>
        <r>
          <rPr>
            <b/>
            <sz val="8"/>
            <color indexed="81"/>
            <rFont val="Tahoma"/>
            <family val="2"/>
          </rPr>
          <t xml:space="preserve">5/16/2013: </t>
        </r>
        <r>
          <rPr>
            <sz val="8"/>
            <color indexed="81"/>
            <rFont val="Tahoma"/>
            <family val="2"/>
          </rPr>
          <t>see total SG&amp;A guidance above</t>
        </r>
        <r>
          <rPr>
            <b/>
            <sz val="8"/>
            <color indexed="81"/>
            <rFont val="Tahoma"/>
            <family val="2"/>
          </rPr>
          <t xml:space="preserve">
2/21/2013 Guidance: </t>
        </r>
        <r>
          <rPr>
            <sz val="8"/>
            <color indexed="81"/>
            <rFont val="Tahoma"/>
            <family val="2"/>
          </rPr>
          <t>-10 to -30 bps decrease w/ leverage on sales volume. Includes infrastructure expenses totaling $20-25M related to Canada entry (first store opens in FY14) and incremental costs from the accelerated Rack growth</t>
        </r>
      </text>
    </comment>
    <comment ref="CT64" authorId="0">
      <text>
        <r>
          <rPr>
            <b/>
            <sz val="8"/>
            <color indexed="81"/>
            <rFont val="Tahoma"/>
            <family val="2"/>
          </rPr>
          <t xml:space="preserve">5/16/2013: </t>
        </r>
        <r>
          <rPr>
            <sz val="8"/>
            <color indexed="81"/>
            <rFont val="Tahoma"/>
            <family val="2"/>
          </rPr>
          <t>see total SG&amp;A guidance above</t>
        </r>
        <r>
          <rPr>
            <b/>
            <sz val="8"/>
            <color indexed="81"/>
            <rFont val="Tahoma"/>
            <family val="2"/>
          </rPr>
          <t xml:space="preserve">
2/21/2013 Guidance: </t>
        </r>
        <r>
          <rPr>
            <sz val="8"/>
            <color indexed="81"/>
            <rFont val="Tahoma"/>
            <family val="2"/>
          </rPr>
          <t>-10 to -30 bps decrease including infrastructure expenses totally $20-25M related to Canada entry (first store opens in FY14) and incremental costs from the accelerated Rack growth</t>
        </r>
      </text>
    </comment>
    <comment ref="DA64" authorId="2">
      <text>
        <r>
          <rPr>
            <b/>
            <sz val="9"/>
            <color indexed="81"/>
            <rFont val="Tahoma"/>
            <family val="2"/>
          </rPr>
          <t>Baglione, Gregory  (Research):</t>
        </r>
        <r>
          <rPr>
            <sz val="9"/>
            <color indexed="81"/>
            <rFont val="Tahoma"/>
            <family val="2"/>
          </rPr>
          <t xml:space="preserve">
11/12/15
SG&amp;A rate to increase 70-75 bps for FY 
8/13/15
SG&amp;A rate 65 to 75 increase (BPS)
</t>
        </r>
      </text>
    </comment>
    <comment ref="DE64" authorId="2">
      <text>
        <r>
          <rPr>
            <b/>
            <sz val="9"/>
            <color indexed="81"/>
            <rFont val="Tahoma"/>
            <family val="2"/>
          </rPr>
          <t>Baglione, Gregory  (Research):</t>
        </r>
        <r>
          <rPr>
            <sz val="9"/>
            <color indexed="81"/>
            <rFont val="Tahoma"/>
            <family val="2"/>
          </rPr>
          <t xml:space="preserve">
11/10/16
Retail EBIT -5 to -10% 
8/11/16
Retail EBIT -10 to -15%
11/12/15
Maintaining +9% SG&amp;A growth
Previous Rate 28.3%
1/4/15
Lowering SG&amp;A dollar growth to 7.5% given lower store commision expense on softer sales and tighter expense discipline on other variable expenses
</t>
        </r>
      </text>
    </comment>
    <comment ref="DF64" authorId="2">
      <text>
        <r>
          <rPr>
            <b/>
            <sz val="9"/>
            <color indexed="81"/>
            <rFont val="Tahoma"/>
            <family val="2"/>
          </rPr>
          <t>Baglione, Gregory  (Research):</t>
        </r>
        <r>
          <rPr>
            <sz val="9"/>
            <color indexed="81"/>
            <rFont val="Tahoma"/>
            <family val="2"/>
          </rPr>
          <t xml:space="preserve">
2/18/16
Excluding impairment charges of $59 million in 2015, Retail EBIT is expected to have a decrease of 3 percent to an increase of 3 percent relative to last year.
In the first half of fiscal 2016, the Company expects earnings per diluted share to decrease by approximately 30 percent relative to the same period last year due to the following:o
 the impact of the sale of the credit receivables in October 2015 
o the impact of growth initiatives, including its East coast fulfillment center which opened in August 2015 and new store pre-opening expenses 
o the shift of the Anniversary Sale event from Q2 in 2015 to the second and Q3s in 2016 
</t>
        </r>
      </text>
    </comment>
    <comment ref="CO66" authorId="0">
      <text>
        <r>
          <rPr>
            <b/>
            <sz val="8"/>
            <color indexed="81"/>
            <rFont val="Tahoma"/>
            <family val="2"/>
          </rPr>
          <t xml:space="preserve">5/10/2012 Guidance
</t>
        </r>
        <r>
          <rPr>
            <sz val="8"/>
            <color indexed="81"/>
            <rFont val="Tahoma"/>
            <family val="2"/>
          </rPr>
          <t>-70 to -90 basis in 2H12 (due to timing of investments in ecomm)</t>
        </r>
      </text>
    </comment>
    <comment ref="CN70" authorId="0">
      <text>
        <r>
          <rPr>
            <b/>
            <sz val="8"/>
            <color indexed="81"/>
            <rFont val="Tahoma"/>
            <family val="2"/>
          </rPr>
          <t xml:space="preserve">1Q13 10Q: </t>
        </r>
        <r>
          <rPr>
            <sz val="8"/>
            <color indexed="81"/>
            <rFont val="Tahoma"/>
            <family val="2"/>
          </rPr>
          <t>Restatated</t>
        </r>
      </text>
    </comment>
    <comment ref="CO70" authorId="0">
      <text>
        <r>
          <rPr>
            <b/>
            <sz val="8"/>
            <color indexed="81"/>
            <rFont val="Tahoma"/>
            <family val="2"/>
          </rPr>
          <t xml:space="preserve">Comment 5/10/2012
</t>
        </r>
        <r>
          <rPr>
            <sz val="8"/>
            <color indexed="81"/>
            <rFont val="Tahoma"/>
            <family val="2"/>
          </rPr>
          <t>- pmt rate cont'd to improve 
- annualized net write-offs were 4.7% of avg credit card receivables vs. 7% in 1Q11</t>
        </r>
        <r>
          <rPr>
            <b/>
            <sz val="8"/>
            <color indexed="81"/>
            <rFont val="Tahoma"/>
            <family val="2"/>
          </rPr>
          <t xml:space="preserve">
- </t>
        </r>
        <r>
          <rPr>
            <sz val="8"/>
            <color indexed="81"/>
            <rFont val="Tahoma"/>
            <family val="2"/>
          </rPr>
          <t>Delinquencies as a % of credit card</t>
        </r>
        <r>
          <rPr>
            <b/>
            <sz val="8"/>
            <color indexed="81"/>
            <rFont val="Tahoma"/>
            <family val="2"/>
          </rPr>
          <t xml:space="preserve"> </t>
        </r>
        <r>
          <rPr>
            <sz val="8"/>
            <color indexed="81"/>
            <rFont val="Tahoma"/>
            <family val="2"/>
          </rPr>
          <t>receivables were 2.3%, down from 3.3% LY
- The reserve for bad debt was reduced by $10M</t>
        </r>
      </text>
    </comment>
    <comment ref="CR70" authorId="0">
      <text>
        <r>
          <rPr>
            <b/>
            <sz val="8"/>
            <color indexed="81"/>
            <rFont val="Tahoma"/>
            <family val="2"/>
          </rPr>
          <t>Note:</t>
        </r>
        <r>
          <rPr>
            <sz val="8"/>
            <color indexed="81"/>
            <rFont val="Tahoma"/>
            <family val="2"/>
          </rPr>
          <t xml:space="preserve"> adjusted to get to total Net Income</t>
        </r>
      </text>
    </comment>
    <comment ref="DD70" authorId="2">
      <text>
        <r>
          <rPr>
            <b/>
            <sz val="9"/>
            <color indexed="81"/>
            <rFont val="Tahoma"/>
            <family val="2"/>
          </rPr>
          <t>Baglione, Gregory  (Research):</t>
        </r>
        <r>
          <rPr>
            <sz val="9"/>
            <color indexed="81"/>
            <rFont val="Tahoma"/>
            <family val="2"/>
          </rPr>
          <t xml:space="preserve">
5/12/16
$1M debt write-off
11/23/15 
Incremental $3M quarterly  impact from non-cash accounting adjustments related to beneficial interest portion of the portfolio. 
8/13/15
Mgmt states "We estimate the cash impact of this revenue share agreement, while maintaining our credit operating expenses, will result in roughly 50% of credit EBIT retained." Impact ~$100M income loss
</t>
        </r>
      </text>
    </comment>
    <comment ref="DV70" authorId="2">
      <text>
        <r>
          <rPr>
            <b/>
            <sz val="9"/>
            <color indexed="81"/>
            <rFont val="Tahoma"/>
            <family val="2"/>
          </rPr>
          <t>Baglione, Gregory  (Research):</t>
        </r>
        <r>
          <rPr>
            <sz val="9"/>
            <color indexed="81"/>
            <rFont val="Tahoma"/>
            <family val="2"/>
          </rPr>
          <t xml:space="preserve">
8/11/16
Credit EBIT Approximately $80M
2/18/16
Expect FY credit EBIT ~$70-$80M
Purchase accounting will impact by ~$17-18M, which is why guidance is below $100M. 
Credit income in 2017 will go back to $100M level when those charges roll off
</t>
        </r>
      </text>
    </comment>
    <comment ref="DW70" authorId="4">
      <text>
        <r>
          <rPr>
            <b/>
            <sz val="9"/>
            <color indexed="81"/>
            <rFont val="Tahoma"/>
            <family val="2"/>
          </rPr>
          <t>Roberts, Cynthia (Research):</t>
        </r>
        <r>
          <rPr>
            <sz val="9"/>
            <color indexed="81"/>
            <rFont val="Tahoma"/>
            <family val="2"/>
          </rPr>
          <t xml:space="preserve">
5/11/17: increase driven by higher credit card revenue, $7M reduction in amortization expenses related to portfolio sale</t>
        </r>
      </text>
    </comment>
    <comment ref="CN71" authorId="0">
      <text>
        <r>
          <rPr>
            <b/>
            <sz val="8"/>
            <color indexed="81"/>
            <rFont val="Tahoma"/>
            <family val="2"/>
          </rPr>
          <t xml:space="preserve">1Q13 10Q: </t>
        </r>
        <r>
          <rPr>
            <sz val="8"/>
            <color indexed="81"/>
            <rFont val="Tahoma"/>
            <family val="2"/>
          </rPr>
          <t>Restatated</t>
        </r>
      </text>
    </comment>
    <comment ref="CR71" authorId="0">
      <text>
        <r>
          <rPr>
            <b/>
            <sz val="8"/>
            <color indexed="81"/>
            <rFont val="Tahoma"/>
            <family val="2"/>
          </rPr>
          <t>Note:</t>
        </r>
        <r>
          <rPr>
            <sz val="8"/>
            <color indexed="81"/>
            <rFont val="Tahoma"/>
            <family val="2"/>
          </rPr>
          <t xml:space="preserve"> adjusted to get to total Net Income</t>
        </r>
      </text>
    </comment>
    <comment ref="DD71" authorId="2">
      <text>
        <r>
          <rPr>
            <b/>
            <sz val="9"/>
            <color indexed="81"/>
            <rFont val="Tahoma"/>
            <family val="2"/>
          </rPr>
          <t>Baglione, Gregory  (Research):</t>
        </r>
        <r>
          <rPr>
            <sz val="9"/>
            <color indexed="81"/>
            <rFont val="Tahoma"/>
            <family val="2"/>
          </rPr>
          <t xml:space="preserve">
8/13/15
Mgmt states "We estimate the cash impact of this revenue share agreement, while maintaining our credit operating expenses, will result in roughly 50% of credit EBIT retained." Impact ~$100M income loss
Incremental $3M quarterly  impact from non-cash accounting adjustments related to beneficial interest portion of the portfolio. </t>
        </r>
      </text>
    </comment>
    <comment ref="DH71" authorId="5">
      <text>
        <r>
          <rPr>
            <b/>
            <sz val="9"/>
            <color indexed="81"/>
            <rFont val="Tahoma"/>
            <family val="2"/>
          </rPr>
          <t>De Courreges, Edouard (Research):</t>
        </r>
        <r>
          <rPr>
            <sz val="9"/>
            <color indexed="81"/>
            <rFont val="Tahoma"/>
            <family val="2"/>
          </rPr>
          <t xml:space="preserve">
8/10/17: Our credit EBIT increased $23 million over last year, driven by a 30% increase in credit card revenues. Also, amortization from TD deal starting to decline. Will continue to dec rease in 2H and disappear in 2018 (ie no effect)</t>
        </r>
      </text>
    </comment>
    <comment ref="DV71" authorId="2">
      <text>
        <r>
          <rPr>
            <b/>
            <sz val="9"/>
            <color indexed="81"/>
            <rFont val="Tahoma"/>
            <family val="2"/>
          </rPr>
          <t>Baglione, Gregory  (Research):</t>
        </r>
        <r>
          <rPr>
            <sz val="9"/>
            <color indexed="81"/>
            <rFont val="Tahoma"/>
            <family val="2"/>
          </rPr>
          <t xml:space="preserve">
8/11/16
Credit EBIT Approximately $80M
2/18/16
Expect FY credit EBIT ~$70-$80M
Purchase accounting will impact by ~$17-18M, which is why guidance is below $100M. 
Credit income in 2017 will go back to $100M level when those charges roll off
</t>
        </r>
      </text>
    </comment>
    <comment ref="CN72" authorId="0">
      <text>
        <r>
          <rPr>
            <b/>
            <sz val="8"/>
            <color indexed="81"/>
            <rFont val="Tahoma"/>
            <family val="2"/>
          </rPr>
          <t xml:space="preserve">1Q13 10Q: </t>
        </r>
        <r>
          <rPr>
            <sz val="8"/>
            <color indexed="81"/>
            <rFont val="Tahoma"/>
            <family val="2"/>
          </rPr>
          <t>Restatated</t>
        </r>
      </text>
    </comment>
    <comment ref="CZ72" authorId="2">
      <text>
        <r>
          <rPr>
            <b/>
            <sz val="9"/>
            <color indexed="81"/>
            <rFont val="Tahoma"/>
            <family val="2"/>
          </rPr>
          <t>Baglione, Gregory  (Research):</t>
        </r>
        <r>
          <rPr>
            <sz val="9"/>
            <color indexed="81"/>
            <rFont val="Tahoma"/>
            <family val="2"/>
          </rPr>
          <t xml:space="preserve">
8/13/15
Mgmt states "We estimate the cash impact of this revenue share agreement, while maintaining our credit operating expenses, will result in roughly 50% of credit EBIT retained." Impact ~$100M income loss
$32M Trnasactional Charge, excluded from Non-GAAP</t>
        </r>
      </text>
    </comment>
    <comment ref="DD72" authorId="2">
      <text>
        <r>
          <rPr>
            <b/>
            <sz val="9"/>
            <color indexed="81"/>
            <rFont val="Tahoma"/>
            <family val="2"/>
          </rPr>
          <t>Baglione, Gregory  (Research):</t>
        </r>
        <r>
          <rPr>
            <sz val="9"/>
            <color indexed="81"/>
            <rFont val="Tahoma"/>
            <family val="2"/>
          </rPr>
          <t xml:space="preserve">
11/21/16
Per management rounding 38.5
8/13/15
Mgmt states "We estimate the cash impact of this revenue share agreement, while maintaining our credit operating expenses, will result in roughly 50% of credit EBIT retained." Impact ~$100M income loss
Incremental $3M quarterly  impact from non-cash accounting adjustments related to beneficial interest portion of the portfolio.</t>
        </r>
      </text>
    </comment>
    <comment ref="DV72" authorId="2">
      <text>
        <r>
          <rPr>
            <b/>
            <sz val="9"/>
            <color indexed="81"/>
            <rFont val="Tahoma"/>
            <family val="2"/>
          </rPr>
          <t>Baglione, Gregory  (Research):</t>
        </r>
        <r>
          <rPr>
            <sz val="9"/>
            <color indexed="81"/>
            <rFont val="Tahoma"/>
            <family val="2"/>
          </rPr>
          <t xml:space="preserve">
8/11/16
Credit EBIT Approximately $80M
2/18/16
Expect FY credit EBIT ~$70-$80M
Purchase accounting will impact by ~$17-18M, which is why guidance is below $100M. 
Credit income in 2017 will go back to $100M level when those charges roll off
</t>
        </r>
      </text>
    </comment>
    <comment ref="CN73" authorId="0">
      <text>
        <r>
          <rPr>
            <b/>
            <sz val="8"/>
            <color indexed="81"/>
            <rFont val="Tahoma"/>
            <family val="2"/>
          </rPr>
          <t>1Q13 10Q:</t>
        </r>
        <r>
          <rPr>
            <sz val="8"/>
            <color indexed="81"/>
            <rFont val="Tahoma"/>
            <family val="2"/>
          </rPr>
          <t xml:space="preserve"> Restatated</t>
        </r>
        <r>
          <rPr>
            <b/>
            <sz val="8"/>
            <color indexed="81"/>
            <rFont val="Tahoma"/>
            <family val="2"/>
          </rPr>
          <t xml:space="preserve">
Per 1/17/12 Commentary:
</t>
        </r>
        <r>
          <rPr>
            <sz val="8"/>
            <color indexed="81"/>
            <rFont val="Tahoma"/>
            <family val="2"/>
          </rPr>
          <t xml:space="preserve">Credit impacted by extra week in terms of Sales, COGS and SG&amp;A
</t>
        </r>
      </text>
    </comment>
    <comment ref="CO73" authorId="0">
      <text>
        <r>
          <rPr>
            <b/>
            <sz val="8"/>
            <color indexed="81"/>
            <rFont val="Tahoma"/>
            <family val="2"/>
          </rPr>
          <t xml:space="preserve">2/21/2013: </t>
        </r>
        <r>
          <rPr>
            <sz val="8"/>
            <color indexed="81"/>
            <rFont val="Tahoma"/>
            <family val="2"/>
          </rPr>
          <t>Includes $10M benefit for bad debt reserve reduction</t>
        </r>
      </text>
    </comment>
    <comment ref="CZ73" authorId="2">
      <text>
        <r>
          <rPr>
            <b/>
            <sz val="9"/>
            <color indexed="81"/>
            <rFont val="Tahoma"/>
            <family val="2"/>
          </rPr>
          <t>Baglione, Gregory  (Research):</t>
        </r>
        <r>
          <rPr>
            <sz val="9"/>
            <color indexed="81"/>
            <rFont val="Tahoma"/>
            <family val="2"/>
          </rPr>
          <t xml:space="preserve">
11/12/15
~$43M EBIT impact to 4Q from CC transaction
$27m revenue impact
$14M non-cash accounting impact
$2M receivables reclassification and transaction related cost impact ~2M
Updated outlook 70-75 bps of SG&amp;A
11/1/15
Company will maintain ~75% of CC revenue y/y
</t>
        </r>
      </text>
    </comment>
    <comment ref="DD73" authorId="2">
      <text>
        <r>
          <rPr>
            <b/>
            <sz val="9"/>
            <color indexed="81"/>
            <rFont val="Tahoma"/>
            <family val="2"/>
          </rPr>
          <t>Baglione, Gregory  (Research):</t>
        </r>
        <r>
          <rPr>
            <sz val="9"/>
            <color indexed="81"/>
            <rFont val="Tahoma"/>
            <family val="2"/>
          </rPr>
          <t xml:space="preserve">
11/10/16
previous: 38
current: 28 
reflects 3Q results and updated FY16 guidance of approximately $90M credit EBIT margin
8/13/15
Mgmt states "We estimate the cash impact of this revenue share agreement, while maintaining our credit operating expenses, will result in roughly 50% of credit EBIT retained." Impact ~$100M income loss
</t>
        </r>
      </text>
    </comment>
    <comment ref="DV73" authorId="2">
      <text>
        <r>
          <rPr>
            <b/>
            <sz val="9"/>
            <color indexed="81"/>
            <rFont val="Tahoma"/>
            <family val="2"/>
          </rPr>
          <t>Baglione, Gregory  (Research):</t>
        </r>
        <r>
          <rPr>
            <sz val="9"/>
            <color indexed="81"/>
            <rFont val="Tahoma"/>
            <family val="2"/>
          </rPr>
          <t xml:space="preserve">
11/10/16
Credit EBIT approx $90M
8/11/16
Credit EBIT Approximately $80M
2/18/16
Expect FY credit EBIT ~$70-$80M
Purchase accounting will impact by ~$17-18M, which is why guidance is below $100M. 
Credit income in 2017 will go back to $100M level when those charges roll off
</t>
        </r>
      </text>
    </comment>
    <comment ref="CN74" authorId="7">
      <text>
        <r>
          <rPr>
            <b/>
            <sz val="8"/>
            <color indexed="81"/>
            <rFont val="Tahoma"/>
            <family val="2"/>
          </rPr>
          <t xml:space="preserve">11/8/2012 guidance: </t>
        </r>
        <r>
          <rPr>
            <sz val="8"/>
            <color indexed="81"/>
            <rFont val="Tahoma"/>
            <family val="2"/>
          </rPr>
          <t>$10-15M decrease</t>
        </r>
        <r>
          <rPr>
            <b/>
            <sz val="8"/>
            <color indexed="81"/>
            <rFont val="Tahoma"/>
            <family val="2"/>
          </rPr>
          <t xml:space="preserve">
8/9/2012 Guidance
</t>
        </r>
        <r>
          <rPr>
            <sz val="8"/>
            <color indexed="81"/>
            <rFont val="Tahoma"/>
            <family val="2"/>
          </rPr>
          <t>+$0-5M increase</t>
        </r>
        <r>
          <rPr>
            <b/>
            <sz val="8"/>
            <color indexed="81"/>
            <rFont val="Tahoma"/>
            <family val="2"/>
          </rPr>
          <t xml:space="preserve">
Guidance: 5/10/2012
</t>
        </r>
        <r>
          <rPr>
            <sz val="8"/>
            <color indexed="81"/>
            <rFont val="Tahoma"/>
            <family val="2"/>
          </rPr>
          <t>$0-$10M increase
(decline is due to $10M reduction in reserve for bad debt that occurred in 1Q12)</t>
        </r>
        <r>
          <rPr>
            <b/>
            <sz val="8"/>
            <color indexed="81"/>
            <rFont val="Tahoma"/>
            <family val="2"/>
          </rPr>
          <t xml:space="preserve">
Guidance: 2/16/2012
+$10-$20M increase</t>
        </r>
        <r>
          <rPr>
            <sz val="8"/>
            <color indexed="81"/>
            <rFont val="Tahoma"/>
            <family val="2"/>
          </rPr>
          <t xml:space="preserve">
</t>
        </r>
      </text>
    </comment>
    <comment ref="CO74" authorId="7">
      <text>
        <r>
          <rPr>
            <b/>
            <sz val="8"/>
            <color indexed="81"/>
            <rFont val="Tahoma"/>
            <family val="2"/>
          </rPr>
          <t xml:space="preserve">11/8/2012 guidance: </t>
        </r>
        <r>
          <rPr>
            <sz val="8"/>
            <color indexed="81"/>
            <rFont val="Tahoma"/>
            <family val="2"/>
          </rPr>
          <t>$10-15M decrease</t>
        </r>
        <r>
          <rPr>
            <b/>
            <sz val="8"/>
            <color indexed="81"/>
            <rFont val="Tahoma"/>
            <family val="2"/>
          </rPr>
          <t xml:space="preserve">
8/9/2012 Guidance
</t>
        </r>
        <r>
          <rPr>
            <sz val="8"/>
            <color indexed="81"/>
            <rFont val="Tahoma"/>
            <family val="2"/>
          </rPr>
          <t>+$0-5M increase</t>
        </r>
        <r>
          <rPr>
            <b/>
            <sz val="8"/>
            <color indexed="81"/>
            <rFont val="Tahoma"/>
            <family val="2"/>
          </rPr>
          <t xml:space="preserve">
Guidance: 5/10/2012
</t>
        </r>
        <r>
          <rPr>
            <sz val="8"/>
            <color indexed="81"/>
            <rFont val="Tahoma"/>
            <family val="2"/>
          </rPr>
          <t>$0-$10M increase
(decline is due to $10M reduction in reserve for bad debt that occurred in 1Q12)</t>
        </r>
        <r>
          <rPr>
            <b/>
            <sz val="8"/>
            <color indexed="81"/>
            <rFont val="Tahoma"/>
            <family val="2"/>
          </rPr>
          <t xml:space="preserve">
Guidance: 2/16/2012
+$10-$20M increase</t>
        </r>
        <r>
          <rPr>
            <sz val="8"/>
            <color indexed="81"/>
            <rFont val="Tahoma"/>
            <family val="2"/>
          </rPr>
          <t xml:space="preserve">
</t>
        </r>
      </text>
    </comment>
    <comment ref="CS74" authorId="0">
      <text>
        <r>
          <rPr>
            <b/>
            <sz val="8"/>
            <color indexed="81"/>
            <rFont val="Tahoma"/>
            <family val="2"/>
          </rPr>
          <t xml:space="preserve">5/16/2013: </t>
        </r>
        <r>
          <rPr>
            <sz val="8"/>
            <color indexed="81"/>
            <rFont val="Tahoma"/>
            <family val="2"/>
          </rPr>
          <t>see total SG&amp;A guidance above</t>
        </r>
        <r>
          <rPr>
            <b/>
            <sz val="8"/>
            <color indexed="81"/>
            <rFont val="Tahoma"/>
            <family val="2"/>
          </rPr>
          <t xml:space="preserve">
2/21/2013 guidance:</t>
        </r>
        <r>
          <rPr>
            <sz val="8"/>
            <color indexed="81"/>
            <rFont val="Tahoma"/>
            <family val="2"/>
          </rPr>
          <t xml:space="preserve"> +$20-$30M (absent $30M reduction of bad debt reserves)</t>
        </r>
      </text>
    </comment>
    <comment ref="DD74" authorId="2">
      <text>
        <r>
          <rPr>
            <b/>
            <sz val="9"/>
            <color indexed="81"/>
            <rFont val="Tahoma"/>
            <family val="2"/>
          </rPr>
          <t>Baglione, Gregory  (Research):</t>
        </r>
        <r>
          <rPr>
            <sz val="9"/>
            <color indexed="81"/>
            <rFont val="Tahoma"/>
            <family val="2"/>
          </rPr>
          <t xml:space="preserve">
11/10/16
Credit EBIT Approx $90M
8/11/16
Credit EBIT Approximately $80M
2/18/16
Expect FY credit EBIT ~$70-$80M
Purchase accounting will impact by ~$17-18M, which is why guidance is below $100M. 
Credit income in 2017 will go back to $100M level when those charges roll off
</t>
        </r>
      </text>
    </comment>
    <comment ref="DV74" authorId="2">
      <text>
        <r>
          <rPr>
            <b/>
            <sz val="9"/>
            <color indexed="81"/>
            <rFont val="Tahoma"/>
            <family val="2"/>
          </rPr>
          <t>Baglione, Gregory  (Research):</t>
        </r>
        <r>
          <rPr>
            <sz val="9"/>
            <color indexed="81"/>
            <rFont val="Tahoma"/>
            <family val="2"/>
          </rPr>
          <t xml:space="preserve">
11/10/16
Credit EBIT Approx $90M
8/11/16
Credit EBIT Approximately $80M
2/18/16
Expect FY credit EBIT ~$70-$80M
Purchase accounting will impact by ~$17-18M, which is why guidance is below $100M. 
Credit income in 2017 will go back to $100M level when those charges roll off
</t>
        </r>
      </text>
    </comment>
    <comment ref="DW74" authorId="4">
      <text>
        <r>
          <rPr>
            <b/>
            <sz val="9"/>
            <color indexed="81"/>
            <rFont val="Tahoma"/>
            <family val="2"/>
          </rPr>
          <t>Roberts, Cynthia (Research):</t>
        </r>
        <r>
          <rPr>
            <sz val="9"/>
            <color indexed="81"/>
            <rFont val="Tahoma"/>
            <family val="2"/>
          </rPr>
          <t xml:space="preserve">
5/11/17: Guidance $140M</t>
        </r>
      </text>
    </comment>
    <comment ref="CO75" authorId="7">
      <text>
        <r>
          <rPr>
            <b/>
            <sz val="8"/>
            <color indexed="81"/>
            <rFont val="Tahoma"/>
            <family val="2"/>
          </rPr>
          <t xml:space="preserve">Guidance: 5/10/2012
</t>
        </r>
        <r>
          <rPr>
            <sz val="8"/>
            <color indexed="81"/>
            <rFont val="Tahoma"/>
            <family val="2"/>
          </rPr>
          <t>$0-$10M increase
(decline is due to $10M reduction in reserve for bad debt that occurred in 1Q12)</t>
        </r>
        <r>
          <rPr>
            <b/>
            <sz val="8"/>
            <color indexed="81"/>
            <rFont val="Tahoma"/>
            <family val="2"/>
          </rPr>
          <t xml:space="preserve">
Guidance: 2/16/2012
+$10-$20M increase</t>
        </r>
        <r>
          <rPr>
            <sz val="8"/>
            <color indexed="81"/>
            <rFont val="Tahoma"/>
            <family val="2"/>
          </rPr>
          <t xml:space="preserve">
</t>
        </r>
      </text>
    </comment>
    <comment ref="CO76" authorId="7">
      <text>
        <r>
          <rPr>
            <b/>
            <sz val="8"/>
            <color indexed="81"/>
            <rFont val="Tahoma"/>
            <family val="2"/>
          </rPr>
          <t xml:space="preserve">Guidance: 5/10/2012
</t>
        </r>
        <r>
          <rPr>
            <sz val="8"/>
            <color indexed="81"/>
            <rFont val="Tahoma"/>
            <family val="2"/>
          </rPr>
          <t>$0-$10M increase
(decline is due to $10M reduction in reserve for bad debt that occurred in 1Q12)</t>
        </r>
        <r>
          <rPr>
            <b/>
            <sz val="8"/>
            <color indexed="81"/>
            <rFont val="Tahoma"/>
            <family val="2"/>
          </rPr>
          <t xml:space="preserve">
Guidance: 2/16/2012
+$10-$20M increase</t>
        </r>
        <r>
          <rPr>
            <sz val="8"/>
            <color indexed="81"/>
            <rFont val="Tahoma"/>
            <family val="2"/>
          </rPr>
          <t xml:space="preserve">
</t>
        </r>
      </text>
    </comment>
    <comment ref="CZ80" authorId="6">
      <text>
        <r>
          <rPr>
            <b/>
            <sz val="9"/>
            <color indexed="81"/>
            <rFont val="Tahoma"/>
            <family val="2"/>
          </rPr>
          <t>casselau:</t>
        </r>
        <r>
          <rPr>
            <sz val="9"/>
            <color indexed="81"/>
            <rFont val="Tahoma"/>
            <family val="2"/>
          </rPr>
          <t xml:space="preserve">
5/13/15: impact of Trunk club and Canada reduced EBIT by $19M</t>
        </r>
      </text>
    </comment>
    <comment ref="CV83" authorId="6">
      <text>
        <r>
          <rPr>
            <b/>
            <sz val="9"/>
            <color indexed="81"/>
            <rFont val="Tahoma"/>
            <family val="2"/>
          </rPr>
          <t>casselau:</t>
        </r>
        <r>
          <rPr>
            <sz val="9"/>
            <color indexed="81"/>
            <rFont val="Tahoma"/>
            <family val="2"/>
          </rPr>
          <t xml:space="preserve">
2/19/15: Trunk club reduced EBIT by $11M</t>
        </r>
      </text>
    </comment>
    <comment ref="CS84" authorId="0">
      <text>
        <r>
          <rPr>
            <b/>
            <sz val="8"/>
            <color indexed="81"/>
            <rFont val="Tahoma"/>
            <family val="2"/>
          </rPr>
          <t xml:space="preserve">2/21/2013 guidance: </t>
        </r>
        <r>
          <rPr>
            <sz val="8"/>
            <color indexed="81"/>
            <rFont val="Tahoma"/>
            <family val="2"/>
          </rPr>
          <t>planned EBIT mgn increase</t>
        </r>
      </text>
    </comment>
    <comment ref="CV84" authorId="6">
      <text>
        <r>
          <rPr>
            <b/>
            <sz val="9"/>
            <color indexed="81"/>
            <rFont val="Tahoma"/>
            <family val="2"/>
          </rPr>
          <t>casselau:</t>
        </r>
        <r>
          <rPr>
            <sz val="9"/>
            <color indexed="81"/>
            <rFont val="Tahoma"/>
            <family val="2"/>
          </rPr>
          <t xml:space="preserve">
2/19/15: Trunk club reduced EBIT by $25M</t>
        </r>
      </text>
    </comment>
    <comment ref="CZ84" authorId="6">
      <text>
        <r>
          <rPr>
            <b/>
            <sz val="9"/>
            <color indexed="81"/>
            <rFont val="Tahoma"/>
            <family val="2"/>
          </rPr>
          <t>casselau:</t>
        </r>
        <r>
          <rPr>
            <sz val="9"/>
            <color indexed="81"/>
            <rFont val="Tahoma"/>
            <family val="2"/>
          </rPr>
          <t xml:space="preserve">
8/13/15: Estimate credit card transaction, while maintaining our credit operating expenses, will result in roughly 50% of credit EBIT retained.  Going forward, this EBIT gap could narrow due to future growth in the portfolio.
2/19/15: expect Canada $60M loss vs. $32M in FY14; Trunk Club $30M loss vs. $25M in FY14</t>
        </r>
      </text>
    </comment>
    <comment ref="DF84" authorId="2">
      <text>
        <r>
          <rPr>
            <b/>
            <sz val="9"/>
            <color indexed="81"/>
            <rFont val="Tahoma"/>
            <family val="2"/>
          </rPr>
          <t>Baglione, Gregory  (Research):</t>
        </r>
        <r>
          <rPr>
            <sz val="9"/>
            <color indexed="81"/>
            <rFont val="Tahoma"/>
            <family val="2"/>
          </rPr>
          <t xml:space="preserve">
11/10/16
guidance: Retail EBIT -5-10% decrease
8/11/16
Retail EBIT 10 to 15% decrease
5/12/16
Retail EBIT percent 10-20%
2/18/16
FY Retail EBIT range: -3%-3%</t>
        </r>
      </text>
    </comment>
    <comment ref="DH84" authorId="4">
      <text>
        <r>
          <rPr>
            <b/>
            <sz val="9"/>
            <color indexed="81"/>
            <rFont val="Tahoma"/>
            <family val="2"/>
          </rPr>
          <t>Roberts, Cynthia (Research):</t>
        </r>
        <r>
          <rPr>
            <sz val="9"/>
            <color indexed="81"/>
            <rFont val="Tahoma"/>
            <family val="2"/>
          </rPr>
          <t xml:space="preserve">
2/23/17: Guidance: Retail EBIT $780M-$840M; Credit EBIT approx. $135M; Total: $915M-$975M</t>
        </r>
      </text>
    </comment>
    <comment ref="DL84" authorId="4">
      <text>
        <r>
          <rPr>
            <b/>
            <sz val="9"/>
            <color indexed="81"/>
            <rFont val="Tahoma"/>
            <family val="2"/>
          </rPr>
          <t>Roberts, Cynthia (Research):</t>
        </r>
        <r>
          <rPr>
            <sz val="9"/>
            <color indexed="81"/>
            <rFont val="Tahoma"/>
            <family val="2"/>
          </rPr>
          <t xml:space="preserve">
2/23/17: Guidance: Retail EBIT $780M-$840M; Credit EBIT approx. $135M; Total: $915M-$975M</t>
        </r>
      </text>
    </comment>
    <comment ref="CR90" authorId="0">
      <text>
        <r>
          <rPr>
            <b/>
            <sz val="8"/>
            <color indexed="81"/>
            <rFont val="Tahoma"/>
            <family val="2"/>
          </rPr>
          <t>Note:</t>
        </r>
        <r>
          <rPr>
            <sz val="8"/>
            <color indexed="81"/>
            <rFont val="Tahoma"/>
            <family val="2"/>
          </rPr>
          <t xml:space="preserve"> Interest expense net cap int</t>
        </r>
      </text>
    </comment>
    <comment ref="DD90" authorId="2">
      <text>
        <r>
          <rPr>
            <b/>
            <sz val="9"/>
            <color indexed="81"/>
            <rFont val="Tahoma"/>
            <family val="2"/>
          </rPr>
          <t>Baglione, Gregory  (Research):</t>
        </r>
        <r>
          <rPr>
            <sz val="9"/>
            <color indexed="81"/>
            <rFont val="Tahoma"/>
            <family val="2"/>
          </rPr>
          <t xml:space="preserve">
2/18/16
Per IR- Model Interest similar  to 2015
~2-3M reduction interest expense/quarter from retirement of debt securitized by CC</t>
        </r>
      </text>
    </comment>
    <comment ref="DH90" authorId="4">
      <text>
        <r>
          <rPr>
            <b/>
            <sz val="9"/>
            <color indexed="81"/>
            <rFont val="Tahoma"/>
            <family val="2"/>
          </rPr>
          <t>Roberts, Cynthia (Research):</t>
        </r>
        <r>
          <rPr>
            <sz val="9"/>
            <color indexed="81"/>
            <rFont val="Tahoma"/>
            <family val="2"/>
          </rPr>
          <t xml:space="preserve">
5/11/17: $18M in interest expense charge from $650M debt refinance</t>
        </r>
      </text>
    </comment>
    <comment ref="CR91" authorId="0">
      <text>
        <r>
          <rPr>
            <b/>
            <sz val="8"/>
            <color indexed="81"/>
            <rFont val="Tahoma"/>
            <family val="2"/>
          </rPr>
          <t>Note:</t>
        </r>
        <r>
          <rPr>
            <sz val="8"/>
            <color indexed="81"/>
            <rFont val="Tahoma"/>
            <family val="2"/>
          </rPr>
          <t xml:space="preserve"> Interest expense net cap int</t>
        </r>
      </text>
    </comment>
    <comment ref="DD91" authorId="2">
      <text>
        <r>
          <rPr>
            <b/>
            <sz val="9"/>
            <color indexed="81"/>
            <rFont val="Tahoma"/>
            <family val="2"/>
          </rPr>
          <t>Baglione, Gregory  (Research):</t>
        </r>
        <r>
          <rPr>
            <sz val="9"/>
            <color indexed="81"/>
            <rFont val="Tahoma"/>
            <family val="2"/>
          </rPr>
          <t xml:space="preserve">
2/18/16
Per IR- Model Interest similar  to 2015
~2-3M reduction interest expense/quarter from retirement of debt securitized by CC</t>
        </r>
      </text>
    </comment>
    <comment ref="CR92" authorId="0">
      <text>
        <r>
          <rPr>
            <b/>
            <sz val="8"/>
            <color indexed="81"/>
            <rFont val="Tahoma"/>
            <family val="2"/>
          </rPr>
          <t>Note:</t>
        </r>
        <r>
          <rPr>
            <sz val="8"/>
            <color indexed="81"/>
            <rFont val="Tahoma"/>
            <family val="2"/>
          </rPr>
          <t xml:space="preserve"> Interest expense net cap int</t>
        </r>
      </text>
    </comment>
    <comment ref="DD92" authorId="2">
      <text>
        <r>
          <rPr>
            <b/>
            <sz val="9"/>
            <color indexed="81"/>
            <rFont val="Tahoma"/>
            <family val="2"/>
          </rPr>
          <t>Baglione, Gregory  (Research):</t>
        </r>
        <r>
          <rPr>
            <sz val="9"/>
            <color indexed="81"/>
            <rFont val="Tahoma"/>
            <family val="2"/>
          </rPr>
          <t xml:space="preserve">
2/18/16
Per IR- Model Interest similar  to 2015
~2-3M reduction interest expense/quarter from retirement of debt securitized by CC</t>
        </r>
      </text>
    </comment>
    <comment ref="CR93" authorId="0">
      <text>
        <r>
          <rPr>
            <b/>
            <sz val="8"/>
            <color indexed="81"/>
            <rFont val="Tahoma"/>
            <family val="2"/>
          </rPr>
          <t>Note:</t>
        </r>
        <r>
          <rPr>
            <sz val="8"/>
            <color indexed="81"/>
            <rFont val="Tahoma"/>
            <family val="2"/>
          </rPr>
          <t xml:space="preserve"> Interest expense net cap int</t>
        </r>
      </text>
    </comment>
    <comment ref="DD93" authorId="2">
      <text>
        <r>
          <rPr>
            <b/>
            <sz val="9"/>
            <color indexed="81"/>
            <rFont val="Tahoma"/>
            <family val="2"/>
          </rPr>
          <t>Baglione, Gregory  (Research):</t>
        </r>
        <r>
          <rPr>
            <sz val="9"/>
            <color indexed="81"/>
            <rFont val="Tahoma"/>
            <family val="2"/>
          </rPr>
          <t xml:space="preserve">
2/18/16
Per IR- Model Interest similar  to 2015
~2-3M reduction interest expense/quarter from retirement of debt securitized by CC</t>
        </r>
      </text>
    </comment>
    <comment ref="CN94" authorId="0">
      <text>
        <r>
          <rPr>
            <b/>
            <sz val="8"/>
            <color indexed="81"/>
            <rFont val="Tahoma"/>
            <family val="2"/>
          </rPr>
          <t xml:space="preserve">11/8/2012 Guidance: </t>
        </r>
        <r>
          <rPr>
            <sz val="8"/>
            <color indexed="81"/>
            <rFont val="Tahoma"/>
            <family val="2"/>
          </rPr>
          <t>+$30M</t>
        </r>
      </text>
    </comment>
    <comment ref="CR94" authorId="0">
      <text>
        <r>
          <rPr>
            <b/>
            <sz val="8"/>
            <color indexed="81"/>
            <rFont val="Tahoma"/>
            <family val="2"/>
          </rPr>
          <t>8/15/2013 guidance</t>
        </r>
        <r>
          <rPr>
            <sz val="8"/>
            <color indexed="81"/>
            <rFont val="Tahoma"/>
            <family val="2"/>
          </rPr>
          <t>: -$10M</t>
        </r>
        <r>
          <rPr>
            <b/>
            <sz val="8"/>
            <color indexed="81"/>
            <rFont val="Tahoma"/>
            <family val="2"/>
          </rPr>
          <t xml:space="preserve">
8/15/2013 guidance: </t>
        </r>
        <r>
          <rPr>
            <sz val="8"/>
            <color indexed="81"/>
            <rFont val="Tahoma"/>
            <family val="2"/>
          </rPr>
          <t>-$5M to -10M</t>
        </r>
        <r>
          <rPr>
            <b/>
            <sz val="8"/>
            <color indexed="81"/>
            <rFont val="Tahoma"/>
            <family val="2"/>
          </rPr>
          <t xml:space="preserve">
5/18/2013 guidance: </t>
        </r>
        <r>
          <rPr>
            <sz val="8"/>
            <color indexed="81"/>
            <rFont val="Tahoma"/>
            <family val="2"/>
          </rPr>
          <t>-$5M</t>
        </r>
        <r>
          <rPr>
            <b/>
            <sz val="8"/>
            <color indexed="81"/>
            <rFont val="Tahoma"/>
            <family val="2"/>
          </rPr>
          <t xml:space="preserve">
2/21/2013 guidance: </t>
        </r>
        <r>
          <rPr>
            <sz val="8"/>
            <color indexed="81"/>
            <rFont val="Tahoma"/>
            <family val="2"/>
          </rPr>
          <t>-$5M</t>
        </r>
      </text>
    </comment>
    <comment ref="CV94" authorId="1">
      <text>
        <r>
          <rPr>
            <b/>
            <sz val="8"/>
            <color indexed="81"/>
            <rFont val="Tahoma"/>
            <family val="2"/>
          </rPr>
          <t>2/20/14:</t>
        </r>
        <r>
          <rPr>
            <sz val="8"/>
            <color indexed="81"/>
            <rFont val="Tahoma"/>
            <family val="2"/>
          </rPr>
          <t xml:space="preserve"> -$25M
</t>
        </r>
        <r>
          <rPr>
            <b/>
            <sz val="8"/>
            <color indexed="81"/>
            <rFont val="Tahoma"/>
            <family val="2"/>
          </rPr>
          <t>5/15/14:</t>
        </r>
        <r>
          <rPr>
            <sz val="8"/>
            <color indexed="81"/>
            <rFont val="Tahoma"/>
            <family val="2"/>
          </rPr>
          <t xml:space="preserve"> -$25M
</t>
        </r>
        <r>
          <rPr>
            <b/>
            <sz val="8"/>
            <color indexed="81"/>
            <rFont val="Tahoma"/>
            <family val="2"/>
          </rPr>
          <t>8/14/14:</t>
        </r>
        <r>
          <rPr>
            <sz val="8"/>
            <color indexed="81"/>
            <rFont val="Tahoma"/>
            <family val="2"/>
          </rPr>
          <t xml:space="preserve"> -$25M
</t>
        </r>
        <r>
          <rPr>
            <b/>
            <sz val="8"/>
            <color indexed="81"/>
            <rFont val="Tahoma"/>
            <family val="2"/>
          </rPr>
          <t xml:space="preserve">11/12/14: </t>
        </r>
        <r>
          <rPr>
            <sz val="8"/>
            <color indexed="81"/>
            <rFont val="Tahoma"/>
            <family val="2"/>
          </rPr>
          <t>-$25M</t>
        </r>
      </text>
    </comment>
    <comment ref="CZ94" authorId="6">
      <text>
        <r>
          <rPr>
            <b/>
            <sz val="9"/>
            <color indexed="81"/>
            <rFont val="Tahoma"/>
            <family val="2"/>
          </rPr>
          <t>casselau:</t>
        </r>
        <r>
          <rPr>
            <sz val="9"/>
            <color indexed="81"/>
            <rFont val="Tahoma"/>
            <family val="2"/>
          </rPr>
          <t xml:space="preserve">
2/19/15: expect flat with LY</t>
        </r>
      </text>
    </comment>
    <comment ref="DL94" authorId="4">
      <text>
        <r>
          <rPr>
            <b/>
            <sz val="9"/>
            <color indexed="81"/>
            <rFont val="Tahoma"/>
            <family val="2"/>
          </rPr>
          <t>Roberts, Cynthia (Research):</t>
        </r>
        <r>
          <rPr>
            <sz val="9"/>
            <color indexed="81"/>
            <rFont val="Tahoma"/>
            <family val="2"/>
          </rPr>
          <t xml:space="preserve">
3/1/18: Guidance $105M</t>
        </r>
      </text>
    </comment>
    <comment ref="DE120" authorId="2">
      <text>
        <r>
          <rPr>
            <b/>
            <sz val="9"/>
            <color indexed="81"/>
            <rFont val="Tahoma"/>
            <family val="2"/>
          </rPr>
          <t>Baglione, Gregory  (Research):</t>
        </r>
        <r>
          <rPr>
            <sz val="9"/>
            <color indexed="81"/>
            <rFont val="Tahoma"/>
            <family val="2"/>
          </rPr>
          <t xml:space="preserve">
2/16/16
Per IR call use historical rate close to 38.5-39%</t>
        </r>
      </text>
    </comment>
    <comment ref="DM120" authorId="5">
      <text>
        <r>
          <rPr>
            <b/>
            <sz val="9"/>
            <color indexed="81"/>
            <rFont val="Tahoma"/>
            <family val="2"/>
          </rPr>
          <t>De Courreges, Edouard (Research):</t>
        </r>
        <r>
          <rPr>
            <sz val="9"/>
            <color indexed="81"/>
            <rFont val="Tahoma"/>
            <family val="2"/>
          </rPr>
          <t xml:space="preserve">
Assume 14% reduction from tax reform (35-21) less 4% from loss of deductions</t>
        </r>
      </text>
    </comment>
    <comment ref="DE121" authorId="2">
      <text>
        <r>
          <rPr>
            <b/>
            <sz val="9"/>
            <color indexed="81"/>
            <rFont val="Tahoma"/>
            <family val="2"/>
          </rPr>
          <t>Baglione, Gregory  (Research):</t>
        </r>
        <r>
          <rPr>
            <sz val="9"/>
            <color indexed="81"/>
            <rFont val="Tahoma"/>
            <family val="2"/>
          </rPr>
          <t xml:space="preserve">
2/16/16
Per IR call use historical rate close to 38.5-39%</t>
        </r>
      </text>
    </comment>
    <comment ref="DE122" authorId="2">
      <text>
        <r>
          <rPr>
            <b/>
            <sz val="9"/>
            <color indexed="81"/>
            <rFont val="Tahoma"/>
            <family val="2"/>
          </rPr>
          <t>Baglione, Gregory  (Research):</t>
        </r>
        <r>
          <rPr>
            <sz val="9"/>
            <color indexed="81"/>
            <rFont val="Tahoma"/>
            <family val="2"/>
          </rPr>
          <t xml:space="preserve">
2/16/16
Per IR call use historical rate close to 38.5-39%</t>
        </r>
      </text>
    </comment>
    <comment ref="CW123" authorId="6">
      <text>
        <r>
          <rPr>
            <b/>
            <sz val="9"/>
            <color indexed="81"/>
            <rFont val="Tahoma"/>
            <family val="2"/>
          </rPr>
          <t>casselau:</t>
        </r>
        <r>
          <rPr>
            <sz val="9"/>
            <color indexed="81"/>
            <rFont val="Tahoma"/>
            <family val="2"/>
          </rPr>
          <t xml:space="preserve">
2/19/15: higher due to tax adjustments related to reassessment of our deferred tax assets</t>
        </r>
      </text>
    </comment>
    <comment ref="CZ123" authorId="2">
      <text>
        <r>
          <rPr>
            <b/>
            <sz val="9"/>
            <color indexed="81"/>
            <rFont val="Tahoma"/>
            <family val="2"/>
          </rPr>
          <t>Baglione, Gregory  (Research):</t>
        </r>
        <r>
          <rPr>
            <sz val="9"/>
            <color indexed="81"/>
            <rFont val="Tahoma"/>
            <family val="2"/>
          </rPr>
          <t xml:space="preserve">
2/16/16
$18M tax add back</t>
        </r>
      </text>
    </comment>
    <comment ref="DE123" authorId="2">
      <text>
        <r>
          <rPr>
            <b/>
            <sz val="9"/>
            <color indexed="81"/>
            <rFont val="Tahoma"/>
            <family val="2"/>
          </rPr>
          <t>Baglione, Gregory  (Research):</t>
        </r>
        <r>
          <rPr>
            <sz val="9"/>
            <color indexed="81"/>
            <rFont val="Tahoma"/>
            <family val="2"/>
          </rPr>
          <t xml:space="preserve">
2/16/16
Per IR call use historical rate close to 38.5-39%</t>
        </r>
      </text>
    </comment>
    <comment ref="DH123" authorId="4">
      <text>
        <r>
          <rPr>
            <b/>
            <sz val="9"/>
            <color indexed="81"/>
            <rFont val="Tahoma"/>
            <family val="2"/>
          </rPr>
          <t>Roberts, Cynthia (Research):</t>
        </r>
        <r>
          <rPr>
            <sz val="9"/>
            <color indexed="81"/>
            <rFont val="Tahoma"/>
            <family val="2"/>
          </rPr>
          <t xml:space="preserve">
GAAP $168M excluding ~42M from a charge on Deferred Tax Assets as result of tax reform legislation</t>
        </r>
      </text>
    </comment>
    <comment ref="CN124" authorId="0">
      <text>
        <r>
          <rPr>
            <b/>
            <sz val="8"/>
            <color indexed="81"/>
            <rFont val="Tahoma"/>
            <family val="2"/>
          </rPr>
          <t xml:space="preserve">11/8/2012: </t>
        </r>
        <r>
          <rPr>
            <sz val="8"/>
            <color indexed="81"/>
            <rFont val="Tahoma"/>
            <family val="2"/>
          </rPr>
          <t>38.5%</t>
        </r>
      </text>
    </comment>
    <comment ref="CO124" authorId="0">
      <text>
        <r>
          <rPr>
            <b/>
            <sz val="8"/>
            <color indexed="81"/>
            <rFont val="Tahoma"/>
            <family val="2"/>
          </rPr>
          <t xml:space="preserve">11/8/2012: </t>
        </r>
        <r>
          <rPr>
            <sz val="8"/>
            <color indexed="81"/>
            <rFont val="Tahoma"/>
            <family val="2"/>
          </rPr>
          <t>38.5%</t>
        </r>
      </text>
    </comment>
    <comment ref="CS124" authorId="0">
      <text>
        <r>
          <rPr>
            <b/>
            <sz val="8"/>
            <color indexed="81"/>
            <rFont val="Tahoma"/>
            <family val="2"/>
          </rPr>
          <t xml:space="preserve">11/15/2013 guidance: </t>
        </r>
        <r>
          <rPr>
            <sz val="8"/>
            <color indexed="81"/>
            <rFont val="Tahoma"/>
            <family val="2"/>
          </rPr>
          <t>38.3%</t>
        </r>
        <r>
          <rPr>
            <b/>
            <sz val="8"/>
            <color indexed="81"/>
            <rFont val="Tahoma"/>
            <family val="2"/>
          </rPr>
          <t xml:space="preserve">
8/15/2013 guidance: </t>
        </r>
        <r>
          <rPr>
            <sz val="8"/>
            <color indexed="81"/>
            <rFont val="Tahoma"/>
            <family val="2"/>
          </rPr>
          <t>38.6%</t>
        </r>
        <r>
          <rPr>
            <b/>
            <sz val="8"/>
            <color indexed="81"/>
            <rFont val="Tahoma"/>
            <family val="2"/>
          </rPr>
          <t xml:space="preserve">
5/18/2013 guidance: </t>
        </r>
        <r>
          <rPr>
            <sz val="8"/>
            <color indexed="81"/>
            <rFont val="Tahoma"/>
            <family val="2"/>
          </rPr>
          <t>39%</t>
        </r>
        <r>
          <rPr>
            <b/>
            <sz val="8"/>
            <color indexed="81"/>
            <rFont val="Tahoma"/>
            <family val="2"/>
          </rPr>
          <t xml:space="preserve">
2/21/2013 Guidance: </t>
        </r>
        <r>
          <rPr>
            <sz val="8"/>
            <color indexed="81"/>
            <rFont val="Tahoma"/>
            <family val="2"/>
          </rPr>
          <t>39%</t>
        </r>
      </text>
    </comment>
    <comment ref="CW124" authorId="1">
      <text>
        <r>
          <rPr>
            <b/>
            <sz val="8"/>
            <color indexed="81"/>
            <rFont val="Tahoma"/>
            <family val="2"/>
          </rPr>
          <t>2/20/14</t>
        </r>
        <r>
          <rPr>
            <sz val="8"/>
            <color indexed="81"/>
            <rFont val="Tahoma"/>
            <family val="2"/>
          </rPr>
          <t xml:space="preserve">: 39.0%
</t>
        </r>
        <r>
          <rPr>
            <b/>
            <sz val="8"/>
            <color indexed="81"/>
            <rFont val="Tahoma"/>
            <family val="2"/>
          </rPr>
          <t>5/15/14:</t>
        </r>
        <r>
          <rPr>
            <sz val="8"/>
            <color indexed="81"/>
            <rFont val="Tahoma"/>
            <family val="2"/>
          </rPr>
          <t xml:space="preserve"> 39.0%
</t>
        </r>
        <r>
          <rPr>
            <b/>
            <sz val="8"/>
            <color indexed="81"/>
            <rFont val="Tahoma"/>
            <family val="2"/>
          </rPr>
          <t>8/14/14:</t>
        </r>
        <r>
          <rPr>
            <sz val="8"/>
            <color indexed="81"/>
            <rFont val="Tahoma"/>
            <family val="2"/>
          </rPr>
          <t xml:space="preserve"> 39.0%</t>
        </r>
      </text>
    </comment>
    <comment ref="DA124" authorId="6">
      <text>
        <r>
          <rPr>
            <b/>
            <sz val="9"/>
            <color indexed="81"/>
            <rFont val="Tahoma"/>
            <family val="2"/>
          </rPr>
          <t>casselau:</t>
        </r>
        <r>
          <rPr>
            <sz val="9"/>
            <color indexed="81"/>
            <rFont val="Tahoma"/>
            <family val="2"/>
          </rPr>
          <t xml:space="preserve">
2/19/15: expected to be in-line with historical rates</t>
        </r>
      </text>
    </comment>
    <comment ref="DD152" authorId="4">
      <text>
        <r>
          <rPr>
            <b/>
            <sz val="9"/>
            <color indexed="81"/>
            <rFont val="Tahoma"/>
            <family val="2"/>
          </rPr>
          <t>Roberts, Cynthia (Research):</t>
        </r>
        <r>
          <rPr>
            <sz val="9"/>
            <color indexed="81"/>
            <rFont val="Tahoma"/>
            <family val="2"/>
          </rPr>
          <t xml:space="preserve">
$197M related to Trunk Club impairment, -$39M in tax effect of non-deductible charges in interim period</t>
        </r>
      </text>
    </comment>
    <comment ref="DD153" authorId="4">
      <text>
        <r>
          <rPr>
            <b/>
            <sz val="9"/>
            <color indexed="81"/>
            <rFont val="Tahoma"/>
            <family val="2"/>
          </rPr>
          <t>Roberts, Cynthia (Research):</t>
        </r>
        <r>
          <rPr>
            <sz val="9"/>
            <color indexed="81"/>
            <rFont val="Tahoma"/>
            <family val="2"/>
          </rPr>
          <t xml:space="preserve">
$39M in tax effect of non-deductible charges in interim period</t>
        </r>
      </text>
    </comment>
    <comment ref="CN170" authorId="7">
      <text>
        <r>
          <rPr>
            <b/>
            <sz val="8"/>
            <color indexed="81"/>
            <rFont val="Tahoma"/>
            <family val="2"/>
          </rPr>
          <t>Note: 1Q12 actual EPS was in line with mgmt expectations.</t>
        </r>
        <r>
          <rPr>
            <sz val="8"/>
            <color indexed="81"/>
            <rFont val="Tahoma"/>
            <family val="2"/>
          </rPr>
          <t xml:space="preserve">
</t>
        </r>
      </text>
    </comment>
    <comment ref="CR170" authorId="0">
      <text>
        <r>
          <rPr>
            <b/>
            <sz val="8"/>
            <color indexed="81"/>
            <rFont val="Tahoma"/>
            <family val="2"/>
          </rPr>
          <t>2/21/2013 Guidance:</t>
        </r>
        <r>
          <rPr>
            <sz val="8"/>
            <color indexed="81"/>
            <rFont val="Tahoma"/>
            <family val="2"/>
          </rPr>
          <t xml:space="preserve"> 1Q inline with FL guidance for +3-7% (ex repo)</t>
        </r>
      </text>
    </comment>
    <comment ref="CS170" authorId="0">
      <text>
        <r>
          <rPr>
            <b/>
            <sz val="8"/>
            <color indexed="81"/>
            <rFont val="Tahoma"/>
            <family val="2"/>
          </rPr>
          <t>2/21/2013 Guidance:</t>
        </r>
        <r>
          <rPr>
            <sz val="8"/>
            <color indexed="81"/>
            <rFont val="Tahoma"/>
            <family val="2"/>
          </rPr>
          <t xml:space="preserve"> 1Q inline with full year guidance for +3-7% (ex repo)</t>
        </r>
      </text>
    </comment>
    <comment ref="CZ170" authorId="6">
      <text>
        <r>
          <rPr>
            <b/>
            <sz val="9"/>
            <color indexed="81"/>
            <rFont val="Tahoma"/>
            <family val="2"/>
          </rPr>
          <t>casselau:</t>
        </r>
        <r>
          <rPr>
            <sz val="9"/>
            <color indexed="81"/>
            <rFont val="Tahoma"/>
            <family val="2"/>
          </rPr>
          <t xml:space="preserve">
2/19/15: 1H15 growth is expected to be below the full-year outlook range of a 2 percent decrease and 2 percent increase, primarily due to store pre-opening expenses and the full year impact of the Trunk Club acquisition </t>
        </r>
      </text>
    </comment>
    <comment ref="DD170" authorId="2">
      <text>
        <r>
          <rPr>
            <b/>
            <sz val="9"/>
            <color indexed="81"/>
            <rFont val="Tahoma"/>
            <family val="2"/>
          </rPr>
          <t>Baglione, Gregory  (Research):</t>
        </r>
        <r>
          <rPr>
            <sz val="9"/>
            <color indexed="81"/>
            <rFont val="Tahoma"/>
            <family val="2"/>
          </rPr>
          <t xml:space="preserve">
2/18/16
FY EPS $3.10 to $3.35. 
Based on current trends, we remain cautious and have considered the impact of a continued promotional environment. 
In the first half of the year, EPS is planned to decrease by roughly 30% due to the following: the impact of the sale of credit receivables; the impact of growth initiatives, including our third fulfillment center which opened last August and new store pro-opening costs; and the shift of our anniversary event, which will span the second and third quarters in 2016.
</t>
        </r>
      </text>
    </comment>
    <comment ref="CN171" authorId="0">
      <text>
        <r>
          <rPr>
            <b/>
            <sz val="8"/>
            <color indexed="81"/>
            <rFont val="Tahoma"/>
            <family val="2"/>
          </rPr>
          <t xml:space="preserve">5/3/2012 Commentary: 
</t>
        </r>
        <r>
          <rPr>
            <sz val="8"/>
            <color indexed="81"/>
            <rFont val="Tahoma"/>
            <family val="2"/>
          </rPr>
          <t xml:space="preserve">Note: 1 wk of annivesary sale shifts from 2Q to 3Q
</t>
        </r>
        <r>
          <rPr>
            <b/>
            <sz val="8"/>
            <color indexed="81"/>
            <rFont val="Tahoma"/>
            <family val="2"/>
          </rPr>
          <t xml:space="preserve">7/5/12: </t>
        </r>
        <r>
          <rPr>
            <sz val="8"/>
            <color indexed="81"/>
            <rFont val="Tahoma"/>
            <family val="2"/>
          </rPr>
          <t>consensus 73c</t>
        </r>
      </text>
    </comment>
    <comment ref="CR171" authorId="0">
      <text>
        <r>
          <rPr>
            <b/>
            <sz val="8"/>
            <color indexed="81"/>
            <rFont val="Tahoma"/>
            <family val="2"/>
          </rPr>
          <t>2/21/2013 Guidance:</t>
        </r>
        <r>
          <rPr>
            <sz val="8"/>
            <color indexed="81"/>
            <rFont val="Tahoma"/>
            <family val="2"/>
          </rPr>
          <t xml:space="preserve"> 2Q &gt; FL guidance for +3-7% (ex repo)</t>
        </r>
      </text>
    </comment>
    <comment ref="CS171" authorId="0">
      <text>
        <r>
          <rPr>
            <b/>
            <sz val="8"/>
            <color indexed="81"/>
            <rFont val="Tahoma"/>
            <family val="2"/>
          </rPr>
          <t xml:space="preserve">5/16/2013 guidance: </t>
        </r>
        <r>
          <rPr>
            <sz val="8"/>
            <color indexed="81"/>
            <rFont val="Tahoma"/>
            <family val="2"/>
          </rPr>
          <t>2Q &gt; +3-7% FY guidance</t>
        </r>
        <r>
          <rPr>
            <b/>
            <sz val="8"/>
            <color indexed="81"/>
            <rFont val="Tahoma"/>
            <family val="2"/>
          </rPr>
          <t xml:space="preserve">
2/21/2013 Guidance:</t>
        </r>
        <r>
          <rPr>
            <sz val="8"/>
            <color indexed="81"/>
            <rFont val="Tahoma"/>
            <family val="2"/>
          </rPr>
          <t xml:space="preserve"> 2Q &gt; full year guidance for +3-7% (ex repo)</t>
        </r>
      </text>
    </comment>
    <comment ref="CZ171" authorId="6">
      <text>
        <r>
          <rPr>
            <b/>
            <sz val="9"/>
            <color indexed="81"/>
            <rFont val="Tahoma"/>
            <family val="2"/>
          </rPr>
          <t xml:space="preserve">casselau:
5/14/15: </t>
        </r>
        <r>
          <rPr>
            <sz val="9"/>
            <color indexed="81"/>
            <rFont val="Tahoma"/>
            <family val="2"/>
          </rPr>
          <t xml:space="preserve">expected to be below the full-year outlook range of a -2% to a +2%, primarily due to the ongoing entry into Canada and the acquisition of Trunk Club in the third quarter 2014. 
</t>
        </r>
        <r>
          <rPr>
            <b/>
            <sz val="9"/>
            <color indexed="81"/>
            <rFont val="Tahoma"/>
            <family val="2"/>
          </rPr>
          <t>2/19/15:</t>
        </r>
        <r>
          <rPr>
            <sz val="9"/>
            <color indexed="81"/>
            <rFont val="Tahoma"/>
            <family val="2"/>
          </rPr>
          <t xml:space="preserve"> 1H15 growth is expected to be below the full-year outlook range of a 2 percent decrease and 2 percent increase, primarily due to store pre-opening expenses and the full year impact of the Trunk Club acquisition </t>
        </r>
      </text>
    </comment>
    <comment ref="DD171" authorId="2">
      <text>
        <r>
          <rPr>
            <b/>
            <sz val="9"/>
            <color indexed="81"/>
            <rFont val="Tahoma"/>
            <family val="2"/>
          </rPr>
          <t>Baglione, Gregory  (Research):</t>
        </r>
        <r>
          <rPr>
            <sz val="9"/>
            <color indexed="81"/>
            <rFont val="Tahoma"/>
            <family val="2"/>
          </rPr>
          <t xml:space="preserve">
2/18/16
FY EPS $3.10 to $3.35. 
Based on current trends, we remain cautious and have considered the impact of a continued promotional environment. 
In the first half of the year, EPS is planned to decrease by roughly 30% due to the following: the impact of the sale of credit receivables; the impact of growth initiatives, including our third fulfillment center which opened last August and new store pro-opening costs; and the shift of our anniversary event, which will span the second and third quarters in 2016.
</t>
        </r>
      </text>
    </comment>
    <comment ref="DH171" authorId="5">
      <text>
        <r>
          <rPr>
            <b/>
            <sz val="9"/>
            <color indexed="81"/>
            <rFont val="Tahoma"/>
            <family val="2"/>
          </rPr>
          <t>De Courreges, Edouard (Research):</t>
        </r>
        <r>
          <rPr>
            <sz val="9"/>
            <color indexed="81"/>
            <rFont val="Tahoma"/>
            <family val="2"/>
          </rPr>
          <t xml:space="preserve">
8/10/17: CFO - earnings per share of $0.65 achieved our expectations</t>
        </r>
      </text>
    </comment>
    <comment ref="CN172" authorId="0">
      <text>
        <r>
          <rPr>
            <b/>
            <sz val="8"/>
            <color indexed="81"/>
            <rFont val="Tahoma"/>
            <family val="2"/>
          </rPr>
          <t xml:space="preserve">10/4/2012: </t>
        </r>
        <r>
          <rPr>
            <sz val="8"/>
            <color indexed="81"/>
            <rFont val="Tahoma"/>
            <family val="2"/>
          </rPr>
          <t>Consensus $0.71</t>
        </r>
        <r>
          <rPr>
            <b/>
            <sz val="8"/>
            <color indexed="81"/>
            <rFont val="Tahoma"/>
            <family val="2"/>
          </rPr>
          <t xml:space="preserve">
8/30/2012: </t>
        </r>
        <r>
          <rPr>
            <sz val="8"/>
            <color indexed="81"/>
            <rFont val="Tahoma"/>
            <family val="2"/>
          </rPr>
          <t>Consensus $0.70</t>
        </r>
        <r>
          <rPr>
            <b/>
            <sz val="8"/>
            <color indexed="81"/>
            <rFont val="Tahoma"/>
            <family val="2"/>
          </rPr>
          <t xml:space="preserve">
5/10/2012 Guidance
</t>
        </r>
        <r>
          <rPr>
            <sz val="8"/>
            <color indexed="81"/>
            <rFont val="Tahoma"/>
            <family val="2"/>
          </rPr>
          <t>Expect 2H strong from an EPS standpt</t>
        </r>
        <r>
          <rPr>
            <b/>
            <sz val="8"/>
            <color indexed="81"/>
            <rFont val="Tahoma"/>
            <family val="2"/>
          </rPr>
          <t xml:space="preserve">
5/3/2012 Commentary: 
</t>
        </r>
        <r>
          <rPr>
            <sz val="8"/>
            <color indexed="81"/>
            <rFont val="Tahoma"/>
            <family val="2"/>
          </rPr>
          <t>Note: 1 wk of annivesary sale shifts from 2Q to 3Q</t>
        </r>
      </text>
    </comment>
    <comment ref="CR172" authorId="0">
      <text>
        <r>
          <rPr>
            <b/>
            <sz val="8"/>
            <color indexed="81"/>
            <rFont val="Tahoma"/>
            <family val="2"/>
          </rPr>
          <t>2/21/2013 Guidance:</t>
        </r>
        <r>
          <rPr>
            <sz val="8"/>
            <color indexed="81"/>
            <rFont val="Tahoma"/>
            <family val="2"/>
          </rPr>
          <t xml:space="preserve"> 2H &lt; FL guidance for +3-7% (ex repo)</t>
        </r>
      </text>
    </comment>
    <comment ref="CS172" authorId="0">
      <text>
        <r>
          <rPr>
            <b/>
            <sz val="8"/>
            <color indexed="81"/>
            <rFont val="Tahoma"/>
            <family val="2"/>
          </rPr>
          <t xml:space="preserve">8/15/2013 guidance: </t>
        </r>
        <r>
          <rPr>
            <sz val="8"/>
            <color indexed="81"/>
            <rFont val="Tahoma"/>
            <family val="2"/>
          </rPr>
          <t>2H &lt; +1-4% FY guidance</t>
        </r>
        <r>
          <rPr>
            <b/>
            <sz val="8"/>
            <color indexed="81"/>
            <rFont val="Tahoma"/>
            <family val="2"/>
          </rPr>
          <t xml:space="preserve">
5/16/2013 guidance:</t>
        </r>
        <r>
          <rPr>
            <sz val="8"/>
            <color indexed="81"/>
            <rFont val="Tahoma"/>
            <family val="2"/>
          </rPr>
          <t xml:space="preserve"> 2H &lt; +3-7% FY guidance</t>
        </r>
        <r>
          <rPr>
            <b/>
            <sz val="8"/>
            <color indexed="81"/>
            <rFont val="Tahoma"/>
            <family val="2"/>
          </rPr>
          <t xml:space="preserve">
2/21/2013 Guidance:</t>
        </r>
        <r>
          <rPr>
            <sz val="8"/>
            <color indexed="81"/>
            <rFont val="Tahoma"/>
            <family val="2"/>
          </rPr>
          <t xml:space="preserve"> 2H &lt; full year guidance for +3-7% (ex repo); lapp 4c benefit from extra week</t>
        </r>
      </text>
    </comment>
    <comment ref="DD172" authorId="2">
      <text>
        <r>
          <rPr>
            <b/>
            <sz val="9"/>
            <color indexed="81"/>
            <rFont val="Tahoma"/>
            <family val="2"/>
          </rPr>
          <t>Baglione, Gregory  (Research):</t>
        </r>
        <r>
          <rPr>
            <sz val="9"/>
            <color indexed="81"/>
            <rFont val="Tahoma"/>
            <family val="2"/>
          </rPr>
          <t xml:space="preserve">
2/18/16
FY EPS $3.10 to $3.35. 
Based on current trends, we remain cautious and have considered the impact of a continued promotional environment. 
In the first half of the year, EPS is planned to decrease by roughly 30% due to the following: the impact of the sale of credit receivables; the impact of growth initiatives, including our third fulfillment center which opened last August and new store pro-opening costs; and the shift of our anniversary event, which will span the second and third quarters in 2016.
</t>
        </r>
      </text>
    </comment>
    <comment ref="CN173" authorId="0">
      <text>
        <r>
          <rPr>
            <b/>
            <sz val="8"/>
            <color indexed="81"/>
            <rFont val="Tahoma"/>
            <family val="2"/>
          </rPr>
          <t xml:space="preserve">2/21/2013: </t>
        </r>
        <r>
          <rPr>
            <sz val="8"/>
            <color indexed="81"/>
            <rFont val="Tahoma"/>
            <family val="2"/>
          </rPr>
          <t xml:space="preserve">extra week added 4c
</t>
        </r>
        <r>
          <rPr>
            <b/>
            <sz val="8"/>
            <color indexed="81"/>
            <rFont val="Tahoma"/>
            <family val="2"/>
          </rPr>
          <t xml:space="preserve">
Note:
</t>
        </r>
        <r>
          <rPr>
            <sz val="8"/>
            <color indexed="81"/>
            <rFont val="Tahoma"/>
            <family val="2"/>
          </rPr>
          <t xml:space="preserve">- January 2013 has an extra week vs January 2012 (not included in the comp)
- $0.02 impact in 2006 from extra week
</t>
        </r>
        <r>
          <rPr>
            <b/>
            <sz val="8"/>
            <color indexed="81"/>
            <rFont val="Tahoma"/>
            <family val="2"/>
          </rPr>
          <t>5/10/2012 Guidance</t>
        </r>
        <r>
          <rPr>
            <sz val="8"/>
            <color indexed="81"/>
            <rFont val="Tahoma"/>
            <family val="2"/>
          </rPr>
          <t xml:space="preserve">
Expect 2H strong from an EPS standpt</t>
        </r>
      </text>
    </comment>
    <comment ref="CR173" authorId="0">
      <text>
        <r>
          <rPr>
            <b/>
            <sz val="8"/>
            <color indexed="81"/>
            <rFont val="Tahoma"/>
            <family val="2"/>
          </rPr>
          <t>2/21/2013 Guidance:</t>
        </r>
        <r>
          <rPr>
            <sz val="8"/>
            <color indexed="81"/>
            <rFont val="Tahoma"/>
            <family val="2"/>
          </rPr>
          <t xml:space="preserve"> 2H &lt; FL guidance for +3-7% (ex repo); lapp 4c benefit from extra week</t>
        </r>
      </text>
    </comment>
    <comment ref="CS173" authorId="0">
      <text>
        <r>
          <rPr>
            <b/>
            <sz val="8"/>
            <color indexed="81"/>
            <rFont val="Tahoma"/>
            <family val="2"/>
          </rPr>
          <t xml:space="preserve">8/15/2013 guidance: </t>
        </r>
        <r>
          <rPr>
            <sz val="8"/>
            <color indexed="81"/>
            <rFont val="Tahoma"/>
            <family val="2"/>
          </rPr>
          <t>2H &lt; +1-4% FY guidance</t>
        </r>
        <r>
          <rPr>
            <b/>
            <sz val="8"/>
            <color indexed="81"/>
            <rFont val="Tahoma"/>
            <family val="2"/>
          </rPr>
          <t xml:space="preserve">
5/16/2013 guidance:</t>
        </r>
        <r>
          <rPr>
            <sz val="8"/>
            <color indexed="81"/>
            <rFont val="Tahoma"/>
            <family val="2"/>
          </rPr>
          <t xml:space="preserve"> 2H &lt; +3-7% FY guidance</t>
        </r>
        <r>
          <rPr>
            <b/>
            <sz val="8"/>
            <color indexed="81"/>
            <rFont val="Tahoma"/>
            <family val="2"/>
          </rPr>
          <t xml:space="preserve">
2/21/2013 Guidance:</t>
        </r>
        <r>
          <rPr>
            <sz val="8"/>
            <color indexed="81"/>
            <rFont val="Tahoma"/>
            <family val="2"/>
          </rPr>
          <t xml:space="preserve"> 2H &lt; full year guidance for +3-7% (ex repo); lapp 4c benefit from extra week</t>
        </r>
      </text>
    </comment>
    <comment ref="CZ173" authorId="2">
      <text>
        <r>
          <rPr>
            <b/>
            <sz val="9"/>
            <color indexed="81"/>
            <rFont val="Tahoma"/>
            <family val="2"/>
          </rPr>
          <t>Baglione, Gregory  (Research):</t>
        </r>
        <r>
          <rPr>
            <sz val="9"/>
            <color indexed="81"/>
            <rFont val="Tahoma"/>
            <family val="2"/>
          </rPr>
          <t xml:space="preserve">
1/4/16
Lowering 4Q EPS to $1.18 from $1.27</t>
        </r>
      </text>
    </comment>
    <comment ref="DD173" authorId="2">
      <text>
        <r>
          <rPr>
            <b/>
            <sz val="9"/>
            <color indexed="81"/>
            <rFont val="Tahoma"/>
            <family val="2"/>
          </rPr>
          <t>Baglione, Gregory  (Research):</t>
        </r>
        <r>
          <rPr>
            <sz val="9"/>
            <color indexed="81"/>
            <rFont val="Tahoma"/>
            <family val="2"/>
          </rPr>
          <t xml:space="preserve">
1/17/17
previous: $1.18
current: $1.10
updated given weak results reported by Department store peers. 
reflects -1% comp (vs. prior flat)
11/10/16
previous:$1.31
current: $1.18
reflects 3Q EPS beat (84c vs MSe 52c) and updated FY16 guidance $2.85 - $2.95 (vs previous $2.60 - $2.75)
2/18/16
FY EPS $3.10 to $3.35. 
Based on current trends, we remain cautious and have considered the impact of a continued promotional environment. 
In the first half of the year, EPS is planned to decrease by roughly 30% due to the following: the impact of the sale of credit receivables; the impact of growth initiatives, including our third fulfillment center which opened last August and new store pro-opening costs; and the shift of our anniversary event, which will span the second and third quarters in 2016.
</t>
        </r>
      </text>
    </comment>
    <comment ref="DH173" authorId="5">
      <text>
        <r>
          <rPr>
            <b/>
            <sz val="9"/>
            <color indexed="81"/>
            <rFont val="Tahoma"/>
            <family val="2"/>
          </rPr>
          <t>De Courreges, Edouard (Research):</t>
        </r>
        <r>
          <rPr>
            <sz val="9"/>
            <color indexed="81"/>
            <rFont val="Tahoma"/>
            <family val="2"/>
          </rPr>
          <t xml:space="preserve">
5c benefit from the 53rd week</t>
        </r>
      </text>
    </comment>
    <comment ref="CN174" authorId="0">
      <text>
        <r>
          <rPr>
            <b/>
            <sz val="8"/>
            <color indexed="81"/>
            <rFont val="Tahoma"/>
            <family val="2"/>
          </rPr>
          <t xml:space="preserve">11/8/2012 Guidance: </t>
        </r>
        <r>
          <rPr>
            <sz val="8"/>
            <color indexed="81"/>
            <rFont val="Tahoma"/>
            <family val="2"/>
          </rPr>
          <t>$3.45-$3.50 ex 4Q share repo</t>
        </r>
        <r>
          <rPr>
            <b/>
            <sz val="8"/>
            <color indexed="81"/>
            <rFont val="Tahoma"/>
            <family val="2"/>
          </rPr>
          <t xml:space="preserve">
8/9/2012 Guidance
</t>
        </r>
        <r>
          <rPr>
            <sz val="8"/>
            <color indexed="81"/>
            <rFont val="Tahoma"/>
            <family val="2"/>
          </rPr>
          <t>$3.40-$3.50, ex additional repo (incl 8c benefit from ytd repo)</t>
        </r>
        <r>
          <rPr>
            <b/>
            <sz val="8"/>
            <color indexed="81"/>
            <rFont val="Tahoma"/>
            <family val="2"/>
          </rPr>
          <t xml:space="preserve">
5/10/2012 Guidance
</t>
        </r>
        <r>
          <rPr>
            <sz val="8"/>
            <color indexed="81"/>
            <rFont val="Tahoma"/>
            <family val="2"/>
          </rPr>
          <t xml:space="preserve">1) $3.30-$3.45
2) expect 2H strong from an EPS standpt
</t>
        </r>
        <r>
          <rPr>
            <b/>
            <sz val="8"/>
            <color indexed="81"/>
            <rFont val="Tahoma"/>
            <family val="2"/>
          </rPr>
          <t xml:space="preserve">
Guidance: 2/16/2012
</t>
        </r>
        <r>
          <rPr>
            <sz val="8"/>
            <color indexed="81"/>
            <rFont val="Tahoma"/>
            <family val="2"/>
          </rPr>
          <t xml:space="preserve">1) $3.30-$3.45 incl 53rd week
2) 53rd wk impact of 3c-5c
</t>
        </r>
      </text>
    </comment>
    <comment ref="CR174" authorId="0">
      <text>
        <r>
          <rPr>
            <b/>
            <sz val="8"/>
            <color indexed="81"/>
            <rFont val="Tahoma"/>
            <family val="2"/>
          </rPr>
          <t>11/14/13 guidance: $3.65-$3.70
8/15/2013 guidance:</t>
        </r>
        <r>
          <rPr>
            <sz val="8"/>
            <color indexed="81"/>
            <rFont val="Tahoma"/>
            <family val="2"/>
          </rPr>
          <t xml:space="preserve"> lower to $3.60-$3.70 (ex repo)
</t>
        </r>
        <r>
          <rPr>
            <b/>
            <sz val="8"/>
            <color indexed="81"/>
            <rFont val="Tahoma"/>
            <family val="2"/>
          </rPr>
          <t>5/16/2013 guidance:</t>
        </r>
        <r>
          <rPr>
            <sz val="8"/>
            <color indexed="81"/>
            <rFont val="Tahoma"/>
            <family val="2"/>
          </rPr>
          <t xml:space="preserve"> $3.65-$3.80 (incl 5c from 1Q repo)</t>
        </r>
        <r>
          <rPr>
            <b/>
            <sz val="8"/>
            <color indexed="81"/>
            <rFont val="Tahoma"/>
            <family val="2"/>
          </rPr>
          <t xml:space="preserve">
2/21/2013 Guidance:</t>
        </r>
        <r>
          <rPr>
            <sz val="8"/>
            <color indexed="81"/>
            <rFont val="Tahoma"/>
            <family val="2"/>
          </rPr>
          <t xml:space="preserve"> $3.65-$3.80, +3-7% (ex repo)</t>
        </r>
      </text>
    </comment>
    <comment ref="CS174" authorId="0">
      <text>
        <r>
          <rPr>
            <b/>
            <sz val="8"/>
            <color indexed="81"/>
            <rFont val="Tahoma"/>
            <family val="2"/>
          </rPr>
          <t xml:space="preserve">2/21/2013 Guidance: </t>
        </r>
        <r>
          <rPr>
            <sz val="8"/>
            <color indexed="81"/>
            <rFont val="Tahoma"/>
            <family val="2"/>
          </rPr>
          <t>+1-4% Y/Y full yr EPS</t>
        </r>
        <r>
          <rPr>
            <b/>
            <sz val="8"/>
            <color indexed="81"/>
            <rFont val="Tahoma"/>
            <family val="2"/>
          </rPr>
          <t xml:space="preserve">
2/21/2013 Guidance:</t>
        </r>
        <r>
          <rPr>
            <sz val="8"/>
            <color indexed="81"/>
            <rFont val="Tahoma"/>
            <family val="2"/>
          </rPr>
          <t xml:space="preserve"> $3.65-$3.80, +3-7% (ex repo)</t>
        </r>
      </text>
    </comment>
    <comment ref="CV174" authorId="9">
      <text>
        <r>
          <rPr>
            <b/>
            <sz val="9"/>
            <color indexed="81"/>
            <rFont val="Tahoma"/>
            <family val="2"/>
          </rPr>
          <t>2/20/14:</t>
        </r>
        <r>
          <rPr>
            <sz val="9"/>
            <color indexed="81"/>
            <rFont val="Tahoma"/>
            <family val="2"/>
          </rPr>
          <t xml:space="preserve"> guidance $3.75-3.90 (exclude future buybacks)</t>
        </r>
        <r>
          <rPr>
            <b/>
            <sz val="9"/>
            <color indexed="81"/>
            <rFont val="Tahoma"/>
            <family val="2"/>
          </rPr>
          <t xml:space="preserve">
5/15/14: </t>
        </r>
        <r>
          <rPr>
            <sz val="9"/>
            <color indexed="81"/>
            <rFont val="Tahoma"/>
            <family val="2"/>
          </rPr>
          <t xml:space="preserve">guidance $3.75-3.90 (exclude future buybacks)
</t>
        </r>
        <r>
          <rPr>
            <b/>
            <sz val="9"/>
            <color indexed="81"/>
            <rFont val="Tahoma"/>
            <family val="2"/>
          </rPr>
          <t>8/14/14:</t>
        </r>
        <r>
          <rPr>
            <sz val="9"/>
            <color indexed="81"/>
            <rFont val="Tahoma"/>
            <family val="2"/>
          </rPr>
          <t xml:space="preserve"> guidance $3.80-3.90 (exclude future buybacks). Acquisition of Trunk Club is estimated to reduce EPS by 3-5%
</t>
        </r>
        <r>
          <rPr>
            <b/>
            <sz val="9"/>
            <color indexed="81"/>
            <rFont val="Tahoma"/>
            <family val="2"/>
          </rPr>
          <t>11/12/14:</t>
        </r>
        <r>
          <rPr>
            <sz val="9"/>
            <color indexed="81"/>
            <rFont val="Tahoma"/>
            <family val="2"/>
          </rPr>
          <t xml:space="preserve"> guidance $3.70-3.75 (exclude future buybacks). Including the impact of Trunk Club, which reduces EPS by 3%
</t>
        </r>
      </text>
    </comment>
    <comment ref="CZ174" authorId="6">
      <text>
        <r>
          <rPr>
            <b/>
            <sz val="9"/>
            <color indexed="81"/>
            <rFont val="Tahoma"/>
            <family val="2"/>
          </rPr>
          <t>casselau:</t>
        </r>
        <r>
          <rPr>
            <sz val="9"/>
            <color indexed="81"/>
            <rFont val="Tahoma"/>
            <family val="2"/>
          </rPr>
          <t xml:space="preserve">
11/12/15
Updated guidance $3.40-$3.50
8/13/15: guidance $3.70-3.80 (updated)
2/19/15: guidance $3.65-$3.80 (excludes repos)
</t>
        </r>
      </text>
    </comment>
    <comment ref="DD174" authorId="2">
      <text>
        <r>
          <rPr>
            <b/>
            <sz val="9"/>
            <color indexed="81"/>
            <rFont val="Tahoma"/>
            <family val="2"/>
          </rPr>
          <t>Baglione, Gregory  (Research):</t>
        </r>
        <r>
          <rPr>
            <sz val="9"/>
            <color indexed="81"/>
            <rFont val="Tahoma"/>
            <family val="2"/>
          </rPr>
          <t xml:space="preserve">
11/10/16
previous: $2.75
current: $2.95
guidance: adjusted EPS $2.80 to $2.95, comps approximately flat
8/11/16
EPS $2.60 to $2.75
5/12/16
Reducing EPS guidance  to $2.50-$2.70 from $3.10-$3.35
Comps -1 to +1% from 0-2%
2/18/16
FY EPS $3.10 to $3.35. 
Based on current trends, we remain cautious and have considered the impact of a continued promotional environment. 
In the first half of the year, EPS is planned to decrease by roughly 30% due to the following: the impact of the sale of credit receivables; the impact of growth initiatives, including our third fulfillment center which opened last August and new store pro-opening costs; and the shift of our anniversary event, which will span the second and third quarters in 2016.
</t>
        </r>
      </text>
    </comment>
    <comment ref="DF174" authorId="2">
      <text>
        <r>
          <rPr>
            <b/>
            <sz val="9"/>
            <color indexed="81"/>
            <rFont val="Tahoma"/>
            <family val="2"/>
          </rPr>
          <t>Baglione, Gregory  (Research):</t>
        </r>
        <r>
          <rPr>
            <sz val="9"/>
            <color indexed="81"/>
            <rFont val="Tahoma"/>
            <family val="2"/>
          </rPr>
          <t xml:space="preserve">
2/18/16
Excluding impairment charges of $59 million in 2015, Retail EBIT is expected to have a decrease of 3 percent to an increase of 3 percent relative to last year.
In the first half of fiscal 2016, the Company expects earnings per diluted share to decrease by approximately 30 percent relative to the same period last year due to the following:</t>
        </r>
      </text>
    </comment>
    <comment ref="DH174" authorId="4">
      <text>
        <r>
          <rPr>
            <b/>
            <sz val="9"/>
            <color indexed="81"/>
            <rFont val="Tahoma"/>
            <family val="2"/>
          </rPr>
          <t>Roberts, Cynthia (Research):</t>
        </r>
        <r>
          <rPr>
            <sz val="9"/>
            <color indexed="81"/>
            <rFont val="Tahoma"/>
            <family val="2"/>
          </rPr>
          <t xml:space="preserve">
1/9/18: $2.90-$2.95
8/10/17: Low end of guidance raised - +2.85 to +3.00 
5/11/17: Maintained Guidance 
2/23/17: Guidance: $2.75-$3.00 (excluding future buybacks)</t>
        </r>
      </text>
    </comment>
    <comment ref="DL174" authorId="4">
      <text>
        <r>
          <rPr>
            <b/>
            <sz val="9"/>
            <color indexed="81"/>
            <rFont val="Tahoma"/>
            <family val="2"/>
          </rPr>
          <t>Roberts, Cynthia (Research):</t>
        </r>
        <r>
          <rPr>
            <sz val="9"/>
            <color indexed="81"/>
            <rFont val="Tahoma"/>
            <family val="2"/>
          </rPr>
          <t xml:space="preserve">
3/1/18: Guidance $3.30-$3.55</t>
        </r>
      </text>
    </comment>
    <comment ref="CZ181" authorId="3">
      <text>
        <r>
          <rPr>
            <b/>
            <sz val="9"/>
            <color indexed="81"/>
            <rFont val="Tahoma"/>
            <family val="2"/>
          </rPr>
          <t>Mains, Spencer (Research):</t>
        </r>
        <r>
          <rPr>
            <sz val="9"/>
            <color indexed="81"/>
            <rFont val="Tahoma"/>
            <family val="2"/>
          </rPr>
          <t xml:space="preserve">
8/13/15: includes 16c benefit from reclassification of receivables as "held for sale" associated with credit card transaction</t>
        </r>
      </text>
    </comment>
    <comment ref="CZ184" authorId="2">
      <text>
        <r>
          <rPr>
            <b/>
            <sz val="9"/>
            <color indexed="81"/>
            <rFont val="Tahoma"/>
            <family val="2"/>
          </rPr>
          <t>Baglione, Gregory  (Research):</t>
        </r>
        <r>
          <rPr>
            <sz val="9"/>
            <color indexed="81"/>
            <rFont val="Tahoma"/>
            <family val="2"/>
          </rPr>
          <t xml:space="preserve">
FY EPS $3.40-$3.50 vs. prior $3.70-$3.80</t>
        </r>
      </text>
    </comment>
    <comment ref="CR190" authorId="8">
      <text>
        <r>
          <rPr>
            <sz val="8"/>
            <color indexed="81"/>
            <rFont val="Tahoma"/>
            <family val="2"/>
          </rPr>
          <t xml:space="preserve">Bought back 3M shares for $166M in 1Q
</t>
        </r>
      </text>
    </comment>
    <comment ref="DD190" authorId="2">
      <text>
        <r>
          <rPr>
            <b/>
            <sz val="9"/>
            <color indexed="81"/>
            <rFont val="Tahoma"/>
            <family val="2"/>
          </rPr>
          <t>Baglione, Gregory  (Research):</t>
        </r>
        <r>
          <rPr>
            <sz val="9"/>
            <color indexed="81"/>
            <rFont val="Tahoma"/>
            <family val="2"/>
          </rPr>
          <t xml:space="preserve">
5/12/16
Repurchased 1M shares in 1Q</t>
        </r>
      </text>
    </comment>
    <comment ref="CR191" authorId="8">
      <text>
        <r>
          <rPr>
            <sz val="8"/>
            <color indexed="81"/>
            <rFont val="Tahoma"/>
            <family val="2"/>
          </rPr>
          <t>Bought back 0.8M shares for $48M in 2Q</t>
        </r>
      </text>
    </comment>
    <comment ref="CV193" authorId="6">
      <text>
        <r>
          <rPr>
            <b/>
            <sz val="9"/>
            <color indexed="81"/>
            <rFont val="Tahoma"/>
            <family val="2"/>
          </rPr>
          <t>casselau:</t>
        </r>
        <r>
          <rPr>
            <sz val="9"/>
            <color indexed="81"/>
            <rFont val="Tahoma"/>
            <family val="2"/>
          </rPr>
          <t xml:space="preserve">
2/19/15: repurchased 0.7M shares for $56M; $1.1B rre under existing share buyback authorization</t>
        </r>
      </text>
    </comment>
    <comment ref="DD193" authorId="4">
      <text>
        <r>
          <rPr>
            <b/>
            <sz val="9"/>
            <color indexed="81"/>
            <rFont val="Tahoma"/>
            <family val="2"/>
          </rPr>
          <t>Roberts, Cynthia (Research):</t>
        </r>
        <r>
          <rPr>
            <sz val="9"/>
            <color indexed="81"/>
            <rFont val="Tahoma"/>
            <family val="2"/>
          </rPr>
          <t xml:space="preserve">
2/17/17
</t>
        </r>
        <r>
          <rPr>
            <b/>
            <sz val="9"/>
            <color indexed="81"/>
            <rFont val="Tahoma"/>
            <family val="2"/>
          </rPr>
          <t xml:space="preserve">board of directors has authorized a repurchase program of up to $500 million of the Company’s outstanding common stock, through August 31, 2018. </t>
        </r>
        <r>
          <rPr>
            <sz val="9"/>
            <color indexed="81"/>
            <rFont val="Tahoma"/>
            <family val="2"/>
          </rPr>
          <t xml:space="preserve">The Company intends to fund the repurchase program from existing cash on hand. The actual number and timing of share repurchases, if any, will be subject to market conditions and applicable Securities and Exchange Commission rules. This program is in addition to the Company’s existing repurchase program that was approved by the board in October 2015. </t>
        </r>
        <r>
          <rPr>
            <b/>
            <sz val="9"/>
            <color indexed="81"/>
            <rFont val="Tahoma"/>
            <family val="2"/>
          </rPr>
          <t xml:space="preserve">The existing repurchase program has $529 million outstanding as of January 28, 2017, and will expire on March 1, 2017. </t>
        </r>
      </text>
    </comment>
    <comment ref="CN194" authorId="0">
      <text>
        <r>
          <rPr>
            <b/>
            <sz val="8"/>
            <color indexed="81"/>
            <rFont val="Tahoma"/>
            <family val="2"/>
          </rPr>
          <t>11/8/2012 Guidance</t>
        </r>
        <r>
          <rPr>
            <sz val="8"/>
            <color indexed="81"/>
            <rFont val="Tahoma"/>
            <family val="2"/>
          </rPr>
          <t xml:space="preserve"> 207.3 ex 4Q repo</t>
        </r>
        <r>
          <rPr>
            <b/>
            <sz val="8"/>
            <color indexed="81"/>
            <rFont val="Tahoma"/>
            <family val="2"/>
          </rPr>
          <t xml:space="preserve">
8/9/2012 Guidance </t>
        </r>
        <r>
          <rPr>
            <sz val="8"/>
            <color indexed="81"/>
            <rFont val="Tahoma"/>
            <family val="2"/>
          </rPr>
          <t>207.5</t>
        </r>
        <r>
          <rPr>
            <b/>
            <sz val="8"/>
            <color indexed="81"/>
            <rFont val="Tahoma"/>
            <family val="2"/>
          </rPr>
          <t xml:space="preserve">
5/10/2012 Guidance
</t>
        </r>
        <r>
          <rPr>
            <sz val="8"/>
            <color indexed="81"/>
            <rFont val="Tahoma"/>
            <family val="2"/>
          </rPr>
          <t xml:space="preserve">212.6M
</t>
        </r>
        <r>
          <rPr>
            <b/>
            <sz val="8"/>
            <color indexed="81"/>
            <rFont val="Tahoma"/>
            <family val="2"/>
          </rPr>
          <t xml:space="preserve">
2/16/12 Guidance
</t>
        </r>
        <r>
          <rPr>
            <sz val="8"/>
            <color indexed="81"/>
            <rFont val="Tahoma"/>
            <family val="2"/>
          </rPr>
          <t>213M (excludes repo)</t>
        </r>
      </text>
    </comment>
    <comment ref="CR194" authorId="0">
      <text>
        <r>
          <rPr>
            <b/>
            <sz val="8"/>
            <color indexed="81"/>
            <rFont val="Tahoma"/>
            <family val="2"/>
          </rPr>
          <t xml:space="preserve">8/15/2013 guidance: </t>
        </r>
        <r>
          <rPr>
            <sz val="8"/>
            <color indexed="81"/>
            <rFont val="Tahoma"/>
            <family val="2"/>
          </rPr>
          <t>~200M</t>
        </r>
        <r>
          <rPr>
            <b/>
            <sz val="8"/>
            <color indexed="81"/>
            <rFont val="Tahoma"/>
            <family val="2"/>
          </rPr>
          <t xml:space="preserve">
5/18/2013 guidance: </t>
        </r>
        <r>
          <rPr>
            <sz val="8"/>
            <color indexed="81"/>
            <rFont val="Tahoma"/>
            <family val="2"/>
          </rPr>
          <t>~200M ex 2Q-4Q repo</t>
        </r>
        <r>
          <rPr>
            <b/>
            <sz val="8"/>
            <color indexed="81"/>
            <rFont val="Tahoma"/>
            <family val="2"/>
          </rPr>
          <t xml:space="preserve">
2/21/2013: </t>
        </r>
        <r>
          <rPr>
            <sz val="8"/>
            <color indexed="81"/>
            <rFont val="Tahoma"/>
            <family val="2"/>
          </rPr>
          <t>203M ex repo</t>
        </r>
      </text>
    </comment>
    <comment ref="CV194" authorId="1">
      <text>
        <r>
          <rPr>
            <b/>
            <sz val="8"/>
            <color indexed="81"/>
            <rFont val="Tahoma"/>
            <family val="2"/>
          </rPr>
          <t xml:space="preserve">2/20/14: </t>
        </r>
        <r>
          <rPr>
            <sz val="8"/>
            <color indexed="81"/>
            <rFont val="Tahoma"/>
            <family val="2"/>
          </rPr>
          <t>~196M exclude share buybacks</t>
        </r>
        <r>
          <rPr>
            <sz val="8"/>
            <color indexed="81"/>
            <rFont val="Tahoma"/>
            <family val="2"/>
          </rPr>
          <t xml:space="preserve">
</t>
        </r>
        <r>
          <rPr>
            <b/>
            <sz val="8"/>
            <color indexed="81"/>
            <rFont val="Tahoma"/>
            <family val="2"/>
          </rPr>
          <t xml:space="preserve">5/15/14: </t>
        </r>
        <r>
          <rPr>
            <sz val="8"/>
            <color indexed="81"/>
            <rFont val="Tahoma"/>
            <family val="2"/>
          </rPr>
          <t xml:space="preserve">~194M exclude share buybacks
</t>
        </r>
        <r>
          <rPr>
            <b/>
            <sz val="8"/>
            <color indexed="81"/>
            <rFont val="Tahoma"/>
            <family val="2"/>
          </rPr>
          <t>8/14/14:</t>
        </r>
        <r>
          <rPr>
            <sz val="8"/>
            <color indexed="81"/>
            <rFont val="Tahoma"/>
            <family val="2"/>
          </rPr>
          <t xml:space="preserve"> ~192M exclude share buybacks
</t>
        </r>
        <r>
          <rPr>
            <b/>
            <sz val="8"/>
            <color indexed="81"/>
            <rFont val="Tahoma"/>
            <family val="2"/>
          </rPr>
          <t>11/12/14:</t>
        </r>
        <r>
          <rPr>
            <sz val="8"/>
            <color indexed="81"/>
            <rFont val="Tahoma"/>
            <family val="2"/>
          </rPr>
          <t xml:space="preserve"> ~194M exclude share buybacks</t>
        </r>
      </text>
    </comment>
    <comment ref="DH194" authorId="4">
      <text>
        <r>
          <rPr>
            <b/>
            <sz val="9"/>
            <color indexed="81"/>
            <rFont val="Tahoma"/>
            <family val="2"/>
          </rPr>
          <t>Roberts, Cynthia (Research):</t>
        </r>
        <r>
          <rPr>
            <sz val="9"/>
            <color indexed="81"/>
            <rFont val="Tahoma"/>
            <family val="2"/>
          </rPr>
          <t xml:space="preserve">
2/17/17
</t>
        </r>
        <r>
          <rPr>
            <b/>
            <sz val="9"/>
            <color indexed="81"/>
            <rFont val="Tahoma"/>
            <family val="2"/>
          </rPr>
          <t xml:space="preserve">board of directors has authorized a repurchase program of up to $500 million of the Company’s outstanding common stock, through August 31, 2018. </t>
        </r>
        <r>
          <rPr>
            <sz val="9"/>
            <color indexed="81"/>
            <rFont val="Tahoma"/>
            <family val="2"/>
          </rPr>
          <t xml:space="preserve">The Company intends to fund the repurchase program from existing cash on hand. The actual number and timing of share repurchases, if any, will be subject to market conditions and applicable Securities and Exchange Commission rules. This program is in addition to the Company’s existing repurchase program that was approved by the board in October 2015. </t>
        </r>
        <r>
          <rPr>
            <b/>
            <sz val="9"/>
            <color indexed="81"/>
            <rFont val="Tahoma"/>
            <family val="2"/>
          </rPr>
          <t xml:space="preserve">The existing repurchase program has $529 million outstanding as of January 28, 2017, and will expire on March 1, 2017. </t>
        </r>
      </text>
    </comment>
    <comment ref="DD203" authorId="10">
      <text>
        <r>
          <rPr>
            <b/>
            <sz val="9"/>
            <color indexed="81"/>
            <rFont val="Tahoma"/>
            <family val="2"/>
          </rPr>
          <t>Baglione, Gregory (Research):</t>
        </r>
        <r>
          <rPr>
            <sz val="9"/>
            <color indexed="81"/>
            <rFont val="Tahoma"/>
            <family val="2"/>
          </rPr>
          <t xml:space="preserve">
model 1M share repurchases in 4Q</t>
        </r>
      </text>
    </comment>
    <comment ref="CT210" authorId="8">
      <text>
        <r>
          <rPr>
            <b/>
            <sz val="8"/>
            <color indexed="81"/>
            <rFont val="Tahoma"/>
            <family val="2"/>
          </rPr>
          <t>bought 3M shares in 1Q</t>
        </r>
        <r>
          <rPr>
            <sz val="8"/>
            <color indexed="81"/>
            <rFont val="Tahoma"/>
            <family val="2"/>
          </rPr>
          <t xml:space="preserve">
</t>
        </r>
      </text>
    </comment>
    <comment ref="CX210" authorId="8">
      <text>
        <r>
          <rPr>
            <sz val="8"/>
            <color indexed="81"/>
            <rFont val="Tahoma"/>
            <family val="2"/>
          </rPr>
          <t xml:space="preserve">bought 3.2M shares in 1Q
</t>
        </r>
      </text>
    </comment>
    <comment ref="DB210" authorId="6">
      <text>
        <r>
          <rPr>
            <b/>
            <sz val="9"/>
            <color indexed="81"/>
            <rFont val="Tahoma"/>
            <family val="2"/>
          </rPr>
          <t>casselau:</t>
        </r>
        <r>
          <rPr>
            <sz val="9"/>
            <color indexed="81"/>
            <rFont val="Tahoma"/>
            <family val="2"/>
          </rPr>
          <t xml:space="preserve">
5/14/15: repurchased 0.4M shares for $33M; $969M remains under its existing share repurchase authorization</t>
        </r>
      </text>
    </comment>
    <comment ref="DE210" authorId="4">
      <text>
        <r>
          <rPr>
            <b/>
            <sz val="9"/>
            <color indexed="81"/>
            <rFont val="Tahoma"/>
            <family val="2"/>
          </rPr>
          <t>Roberts, Cynthia (Research):</t>
        </r>
        <r>
          <rPr>
            <sz val="9"/>
            <color indexed="81"/>
            <rFont val="Tahoma"/>
            <family val="2"/>
          </rPr>
          <t xml:space="preserve">
50/1M</t>
        </r>
      </text>
    </comment>
    <comment ref="DF210" authorId="2">
      <text>
        <r>
          <rPr>
            <b/>
            <sz val="9"/>
            <color indexed="81"/>
            <rFont val="Tahoma"/>
            <family val="2"/>
          </rPr>
          <t>Baglione, Gregory  (Research):</t>
        </r>
        <r>
          <rPr>
            <sz val="9"/>
            <color indexed="81"/>
            <rFont val="Tahoma"/>
            <family val="2"/>
          </rPr>
          <t xml:space="preserve">
5/12/16
Repurchased 1M shares in 1Q for 50 million</t>
        </r>
      </text>
    </comment>
    <comment ref="DJ210" authorId="4">
      <text>
        <r>
          <rPr>
            <b/>
            <sz val="9"/>
            <color indexed="81"/>
            <rFont val="Tahoma"/>
            <family val="2"/>
          </rPr>
          <t>Roberts, Cynthia (Research):</t>
        </r>
        <r>
          <rPr>
            <sz val="9"/>
            <color indexed="81"/>
            <rFont val="Tahoma"/>
            <family val="2"/>
          </rPr>
          <t xml:space="preserve">
5/11/17: repurchased 4.6M shares for $206M</t>
        </r>
      </text>
    </comment>
    <comment ref="CO211" authorId="0">
      <text>
        <r>
          <rPr>
            <b/>
            <sz val="8"/>
            <color indexed="81"/>
            <rFont val="Tahoma"/>
            <family val="2"/>
          </rPr>
          <t xml:space="preserve">8/9/2012 Comment
</t>
        </r>
        <r>
          <rPr>
            <sz val="8"/>
            <color indexed="81"/>
            <rFont val="Tahoma"/>
            <family val="2"/>
          </rPr>
          <t>Repo'd 7.5M shares</t>
        </r>
      </text>
    </comment>
    <comment ref="CT211" authorId="8">
      <text>
        <r>
          <rPr>
            <sz val="8"/>
            <color indexed="81"/>
            <rFont val="Tahoma"/>
            <family val="2"/>
          </rPr>
          <t xml:space="preserve">bought 0.8M in 2Q
</t>
        </r>
      </text>
    </comment>
    <comment ref="CX211" authorId="8">
      <text>
        <r>
          <rPr>
            <sz val="8"/>
            <color indexed="81"/>
            <rFont val="Tahoma"/>
            <family val="2"/>
          </rPr>
          <t xml:space="preserve">bought 1.7M in 2Q
</t>
        </r>
      </text>
    </comment>
    <comment ref="DB211" authorId="3">
      <text>
        <r>
          <rPr>
            <b/>
            <sz val="9"/>
            <color indexed="81"/>
            <rFont val="Tahoma"/>
            <family val="2"/>
          </rPr>
          <t>Mains, Spencer (Research):</t>
        </r>
        <r>
          <rPr>
            <sz val="9"/>
            <color indexed="81"/>
            <rFont val="Tahoma"/>
            <family val="2"/>
          </rPr>
          <t xml:space="preserve">
Repurchased 3.1M shares for $233M.  $736M remains available under existing repurchase authorization.</t>
        </r>
      </text>
    </comment>
    <comment ref="DF211" authorId="2">
      <text>
        <r>
          <rPr>
            <b/>
            <sz val="9"/>
            <color indexed="81"/>
            <rFont val="Tahoma"/>
            <family val="2"/>
          </rPr>
          <t>Baglione, Gregory  (Research):</t>
        </r>
        <r>
          <rPr>
            <sz val="9"/>
            <color indexed="81"/>
            <rFont val="Tahoma"/>
            <family val="2"/>
          </rPr>
          <t xml:space="preserve">
Repurchased 1.3M shares
for $60M</t>
        </r>
      </text>
    </comment>
    <comment ref="CO212" authorId="0">
      <text>
        <r>
          <rPr>
            <b/>
            <sz val="8"/>
            <color indexed="81"/>
            <rFont val="Tahoma"/>
            <family val="2"/>
          </rPr>
          <t xml:space="preserve">11/1/2012: </t>
        </r>
        <r>
          <rPr>
            <sz val="8"/>
            <color indexed="81"/>
            <rFont val="Tahoma"/>
            <family val="2"/>
          </rPr>
          <t>Avg share price qtd = $56</t>
        </r>
        <r>
          <rPr>
            <b/>
            <sz val="8"/>
            <color indexed="81"/>
            <rFont val="Tahoma"/>
            <family val="2"/>
          </rPr>
          <t xml:space="preserve">
8/30/2012: </t>
        </r>
        <r>
          <rPr>
            <sz val="8"/>
            <color indexed="81"/>
            <rFont val="Tahoma"/>
            <family val="2"/>
          </rPr>
          <t>Avg share price qtd = $56</t>
        </r>
      </text>
    </comment>
    <comment ref="CT212" authorId="1">
      <text>
        <r>
          <rPr>
            <b/>
            <sz val="8"/>
            <color indexed="81"/>
            <rFont val="Tahoma"/>
            <family val="2"/>
          </rPr>
          <t>bought back 2.7 mln shares for $155M</t>
        </r>
        <r>
          <rPr>
            <sz val="8"/>
            <color indexed="81"/>
            <rFont val="Tahoma"/>
            <family val="2"/>
          </rPr>
          <t xml:space="preserve">
</t>
        </r>
      </text>
    </comment>
    <comment ref="DB212" authorId="2">
      <text>
        <r>
          <rPr>
            <b/>
            <sz val="9"/>
            <color indexed="81"/>
            <rFont val="Tahoma"/>
            <family val="2"/>
          </rPr>
          <t>Baglione, Gregory  (Research):</t>
        </r>
        <r>
          <rPr>
            <sz val="9"/>
            <color indexed="81"/>
            <rFont val="Tahoma"/>
            <family val="2"/>
          </rPr>
          <t xml:space="preserve">
11/12/15 
3.5 million shares of its common stock repurchased for $250 million
Expect company to accelerate share repurchases in next 4Q ~$1B-$1.1B
</t>
        </r>
      </text>
    </comment>
    <comment ref="DF212" authorId="10">
      <text>
        <r>
          <rPr>
            <b/>
            <sz val="9"/>
            <color indexed="81"/>
            <rFont val="Tahoma"/>
            <family val="2"/>
          </rPr>
          <t>Baglione, Gregory (Research):</t>
        </r>
        <r>
          <rPr>
            <sz val="9"/>
            <color indexed="81"/>
            <rFont val="Tahoma"/>
            <family val="2"/>
          </rPr>
          <t xml:space="preserve">
During the nine months ended October 29, 2016, the Company repurchased 1.9 million shares of its common stock for $93 million.
YTD purchased 1.3M shares for $60M
implies .6M shares for $33M</t>
        </r>
      </text>
    </comment>
    <comment ref="CO213" authorId="0">
      <text>
        <r>
          <rPr>
            <b/>
            <sz val="8"/>
            <color indexed="81"/>
            <rFont val="Tahoma"/>
            <family val="2"/>
          </rPr>
          <t xml:space="preserve">1/3/2013: </t>
        </r>
        <r>
          <rPr>
            <sz val="8"/>
            <color indexed="81"/>
            <rFont val="Tahoma"/>
            <family val="2"/>
          </rPr>
          <t>Avg qtd stock price = $54</t>
        </r>
      </text>
    </comment>
    <comment ref="CX213" authorId="6">
      <text>
        <r>
          <rPr>
            <b/>
            <sz val="9"/>
            <color indexed="81"/>
            <rFont val="Tahoma"/>
            <family val="2"/>
          </rPr>
          <t>casselau:</t>
        </r>
        <r>
          <rPr>
            <sz val="9"/>
            <color indexed="81"/>
            <rFont val="Tahoma"/>
            <family val="2"/>
          </rPr>
          <t xml:space="preserve">
bought back .7m shares for $56M</t>
        </r>
      </text>
    </comment>
    <comment ref="DB213" authorId="2">
      <text>
        <r>
          <rPr>
            <b/>
            <sz val="9"/>
            <color indexed="81"/>
            <rFont val="Tahoma"/>
            <family val="2"/>
          </rPr>
          <t>Baglione, Gregory  (Research):</t>
        </r>
        <r>
          <rPr>
            <sz val="9"/>
            <color indexed="81"/>
            <rFont val="Tahoma"/>
            <family val="2"/>
          </rPr>
          <t xml:space="preserve">
Expect company to accelerate share repurchases in next 4Q ~$1B-$1.1B
During the quarter, the Company repurchased 12.0 million shares of its common stock for $675 million. A total of $0.8 billion remains under its existing share repurchase board authorization. </t>
        </r>
      </text>
    </comment>
    <comment ref="DF213" authorId="4">
      <text>
        <r>
          <rPr>
            <b/>
            <sz val="9"/>
            <color indexed="81"/>
            <rFont val="Tahoma"/>
            <family val="2"/>
          </rPr>
          <t>Roberts, Cynthia (Research):</t>
        </r>
        <r>
          <rPr>
            <sz val="9"/>
            <color indexed="81"/>
            <rFont val="Tahoma"/>
            <family val="2"/>
          </rPr>
          <t xml:space="preserve">
2/23/17
During the quarter, the Company repurchased 4.0 million shares of its common stock for $189 million</t>
        </r>
      </text>
    </comment>
    <comment ref="CZ224" authorId="6">
      <text>
        <r>
          <rPr>
            <b/>
            <sz val="9"/>
            <color indexed="81"/>
            <rFont val="Tahoma"/>
            <family val="2"/>
          </rPr>
          <t>casselau:</t>
        </r>
        <r>
          <rPr>
            <sz val="9"/>
            <color indexed="81"/>
            <rFont val="Tahoma"/>
            <family val="2"/>
          </rPr>
          <t xml:space="preserve">
2/19/15: expected to increase 15%</t>
        </r>
      </text>
    </comment>
  </commentList>
</comments>
</file>

<file path=xl/comments4.xml><?xml version="1.0" encoding="utf-8"?>
<comments xmlns="http://schemas.openxmlformats.org/spreadsheetml/2006/main">
  <authors>
    <author>balskyh</author>
    <author>Baglione, Gregory  (Research)</author>
    <author>Roberts, Cynthia (Research)</author>
    <author>De Courreges, Edouard (Research)</author>
    <author>Cassel, Lauren (Research)</author>
  </authors>
  <commentList>
    <comment ref="T12" authorId="0">
      <text>
        <r>
          <rPr>
            <b/>
            <sz val="8"/>
            <color indexed="81"/>
            <rFont val="Tahoma"/>
            <family val="2"/>
          </rPr>
          <t>Includes direct, detail not available</t>
        </r>
      </text>
    </comment>
    <comment ref="T13" authorId="0">
      <text>
        <r>
          <rPr>
            <b/>
            <sz val="8"/>
            <color indexed="81"/>
            <rFont val="Tahoma"/>
            <family val="2"/>
          </rPr>
          <t>Includes direct, detail not available</t>
        </r>
      </text>
    </comment>
    <comment ref="T14" authorId="0">
      <text>
        <r>
          <rPr>
            <b/>
            <sz val="8"/>
            <color indexed="81"/>
            <rFont val="Tahoma"/>
            <family val="2"/>
          </rPr>
          <t>Includes direct, detail not available</t>
        </r>
      </text>
    </comment>
    <comment ref="T15" authorId="0">
      <text>
        <r>
          <rPr>
            <b/>
            <sz val="8"/>
            <color indexed="81"/>
            <rFont val="Tahoma"/>
            <family val="2"/>
          </rPr>
          <t>Includes direct, detail not available</t>
        </r>
      </text>
    </comment>
    <comment ref="T16" authorId="0">
      <text>
        <r>
          <rPr>
            <b/>
            <sz val="8"/>
            <color indexed="81"/>
            <rFont val="Tahoma"/>
            <family val="2"/>
          </rPr>
          <t>Includes direct, detail not available</t>
        </r>
      </text>
    </comment>
    <comment ref="T19" authorId="0">
      <text>
        <r>
          <rPr>
            <b/>
            <sz val="8"/>
            <color indexed="81"/>
            <rFont val="Tahoma"/>
            <family val="2"/>
          </rPr>
          <t>Includes direct, detail not available</t>
        </r>
      </text>
    </comment>
    <comment ref="T20" authorId="0">
      <text>
        <r>
          <rPr>
            <b/>
            <sz val="8"/>
            <color indexed="81"/>
            <rFont val="Tahoma"/>
            <family val="2"/>
          </rPr>
          <t>Includes direct, detail not available</t>
        </r>
      </text>
    </comment>
    <comment ref="T21" authorId="0">
      <text>
        <r>
          <rPr>
            <b/>
            <sz val="8"/>
            <color indexed="81"/>
            <rFont val="Tahoma"/>
            <family val="2"/>
          </rPr>
          <t>Includes direct, detail not available</t>
        </r>
      </text>
    </comment>
    <comment ref="T22" authorId="0">
      <text>
        <r>
          <rPr>
            <b/>
            <sz val="8"/>
            <color indexed="81"/>
            <rFont val="Tahoma"/>
            <family val="2"/>
          </rPr>
          <t>Includes direct, detail not available</t>
        </r>
      </text>
    </comment>
    <comment ref="T23" authorId="0">
      <text>
        <r>
          <rPr>
            <b/>
            <sz val="8"/>
            <color indexed="81"/>
            <rFont val="Tahoma"/>
            <family val="2"/>
          </rPr>
          <t>Includes direct, detail not available</t>
        </r>
      </text>
    </comment>
    <comment ref="T26" authorId="0">
      <text>
        <r>
          <rPr>
            <b/>
            <sz val="8"/>
            <color indexed="81"/>
            <rFont val="Tahoma"/>
            <family val="2"/>
          </rPr>
          <t>Includes direct, detail not available</t>
        </r>
      </text>
    </comment>
    <comment ref="T27" authorId="0">
      <text>
        <r>
          <rPr>
            <b/>
            <sz val="8"/>
            <color indexed="81"/>
            <rFont val="Tahoma"/>
            <family val="2"/>
          </rPr>
          <t>Includes direct, detail not available</t>
        </r>
      </text>
    </comment>
    <comment ref="T28" authorId="0">
      <text>
        <r>
          <rPr>
            <b/>
            <sz val="8"/>
            <color indexed="81"/>
            <rFont val="Tahoma"/>
            <family val="2"/>
          </rPr>
          <t>Includes direct, detail not available</t>
        </r>
      </text>
    </comment>
    <comment ref="T29" authorId="0">
      <text>
        <r>
          <rPr>
            <b/>
            <sz val="8"/>
            <color indexed="81"/>
            <rFont val="Tahoma"/>
            <family val="2"/>
          </rPr>
          <t>Includes direct, detail not available</t>
        </r>
      </text>
    </comment>
    <comment ref="T30" authorId="0">
      <text>
        <r>
          <rPr>
            <b/>
            <sz val="8"/>
            <color indexed="81"/>
            <rFont val="Tahoma"/>
            <family val="2"/>
          </rPr>
          <t>Includes direct, detail not available</t>
        </r>
      </text>
    </comment>
    <comment ref="T33" authorId="0">
      <text>
        <r>
          <rPr>
            <b/>
            <sz val="8"/>
            <color indexed="81"/>
            <rFont val="Tahoma"/>
            <family val="2"/>
          </rPr>
          <t>Includes direct, detail not available</t>
        </r>
      </text>
    </comment>
    <comment ref="T34" authorId="0">
      <text>
        <r>
          <rPr>
            <b/>
            <sz val="8"/>
            <color indexed="81"/>
            <rFont val="Tahoma"/>
            <family val="2"/>
          </rPr>
          <t>Includes direct, detail not available</t>
        </r>
      </text>
    </comment>
    <comment ref="T35" authorId="0">
      <text>
        <r>
          <rPr>
            <b/>
            <sz val="8"/>
            <color indexed="81"/>
            <rFont val="Tahoma"/>
            <family val="2"/>
          </rPr>
          <t>Includes direct, detail not available</t>
        </r>
      </text>
    </comment>
    <comment ref="T36" authorId="0">
      <text>
        <r>
          <rPr>
            <b/>
            <sz val="8"/>
            <color indexed="81"/>
            <rFont val="Tahoma"/>
            <family val="2"/>
          </rPr>
          <t>Includes direct, detail not available</t>
        </r>
      </text>
    </comment>
    <comment ref="T37" authorId="0">
      <text>
        <r>
          <rPr>
            <b/>
            <sz val="8"/>
            <color indexed="81"/>
            <rFont val="Tahoma"/>
            <family val="2"/>
          </rPr>
          <t>Includes direct, detail not available</t>
        </r>
      </text>
    </comment>
    <comment ref="T40" authorId="0">
      <text>
        <r>
          <rPr>
            <b/>
            <sz val="8"/>
            <color indexed="81"/>
            <rFont val="Tahoma"/>
            <family val="2"/>
          </rPr>
          <t>Includes direct, detail not available</t>
        </r>
      </text>
    </comment>
    <comment ref="T41" authorId="0">
      <text>
        <r>
          <rPr>
            <b/>
            <sz val="8"/>
            <color indexed="81"/>
            <rFont val="Tahoma"/>
            <family val="2"/>
          </rPr>
          <t>Includes direct, detail not available</t>
        </r>
      </text>
    </comment>
    <comment ref="T42" authorId="0">
      <text>
        <r>
          <rPr>
            <b/>
            <sz val="8"/>
            <color indexed="81"/>
            <rFont val="Tahoma"/>
            <family val="2"/>
          </rPr>
          <t>Includes direct, detail not available</t>
        </r>
      </text>
    </comment>
    <comment ref="T43" authorId="0">
      <text>
        <r>
          <rPr>
            <b/>
            <sz val="8"/>
            <color indexed="81"/>
            <rFont val="Tahoma"/>
            <family val="2"/>
          </rPr>
          <t>Includes direct, detail not available</t>
        </r>
      </text>
    </comment>
    <comment ref="T44" authorId="0">
      <text>
        <r>
          <rPr>
            <b/>
            <sz val="8"/>
            <color indexed="81"/>
            <rFont val="Tahoma"/>
            <family val="2"/>
          </rPr>
          <t>Includes direct, detail not available</t>
        </r>
      </text>
    </comment>
    <comment ref="T47" authorId="0">
      <text>
        <r>
          <rPr>
            <b/>
            <sz val="8"/>
            <color indexed="81"/>
            <rFont val="Tahoma"/>
            <family val="2"/>
          </rPr>
          <t>Includes direct, detail not available</t>
        </r>
      </text>
    </comment>
    <comment ref="T48" authorId="0">
      <text>
        <r>
          <rPr>
            <b/>
            <sz val="8"/>
            <color indexed="81"/>
            <rFont val="Tahoma"/>
            <family val="2"/>
          </rPr>
          <t>Includes direct, detail not available</t>
        </r>
      </text>
    </comment>
    <comment ref="T49" authorId="0">
      <text>
        <r>
          <rPr>
            <b/>
            <sz val="8"/>
            <color indexed="81"/>
            <rFont val="Tahoma"/>
            <family val="2"/>
          </rPr>
          <t>Includes direct, detail not available</t>
        </r>
      </text>
    </comment>
    <comment ref="T50" authorId="0">
      <text>
        <r>
          <rPr>
            <b/>
            <sz val="8"/>
            <color indexed="81"/>
            <rFont val="Tahoma"/>
            <family val="2"/>
          </rPr>
          <t>Includes direct, detail not available</t>
        </r>
      </text>
    </comment>
    <comment ref="T51" authorId="0">
      <text>
        <r>
          <rPr>
            <b/>
            <sz val="8"/>
            <color indexed="81"/>
            <rFont val="Tahoma"/>
            <family val="2"/>
          </rPr>
          <t>Includes direct, detail not available</t>
        </r>
      </text>
    </comment>
    <comment ref="T54" authorId="0">
      <text>
        <r>
          <rPr>
            <b/>
            <sz val="8"/>
            <color indexed="81"/>
            <rFont val="Tahoma"/>
            <family val="2"/>
          </rPr>
          <t>Includes direct, detail not available</t>
        </r>
      </text>
    </comment>
    <comment ref="T55" authorId="0">
      <text>
        <r>
          <rPr>
            <b/>
            <sz val="8"/>
            <color indexed="81"/>
            <rFont val="Tahoma"/>
            <family val="2"/>
          </rPr>
          <t>Includes direct, detail not available</t>
        </r>
      </text>
    </comment>
    <comment ref="T56" authorId="0">
      <text>
        <r>
          <rPr>
            <b/>
            <sz val="8"/>
            <color indexed="81"/>
            <rFont val="Tahoma"/>
            <family val="2"/>
          </rPr>
          <t>Includes direct, detail not available</t>
        </r>
      </text>
    </comment>
    <comment ref="T57" authorId="0">
      <text>
        <r>
          <rPr>
            <b/>
            <sz val="8"/>
            <color indexed="81"/>
            <rFont val="Tahoma"/>
            <family val="2"/>
          </rPr>
          <t>Includes direct, detail not available</t>
        </r>
      </text>
    </comment>
    <comment ref="T58" authorId="0">
      <text>
        <r>
          <rPr>
            <b/>
            <sz val="8"/>
            <color indexed="81"/>
            <rFont val="Tahoma"/>
            <family val="2"/>
          </rPr>
          <t>Includes direct, detail not available</t>
        </r>
      </text>
    </comment>
    <comment ref="T61" authorId="0">
      <text>
        <r>
          <rPr>
            <b/>
            <sz val="8"/>
            <color indexed="81"/>
            <rFont val="Tahoma"/>
            <family val="2"/>
          </rPr>
          <t>Includes direct, detail not available</t>
        </r>
      </text>
    </comment>
    <comment ref="T62" authorId="0">
      <text>
        <r>
          <rPr>
            <b/>
            <sz val="8"/>
            <color indexed="81"/>
            <rFont val="Tahoma"/>
            <family val="2"/>
          </rPr>
          <t>Includes direct, detail not available</t>
        </r>
      </text>
    </comment>
    <comment ref="T63" authorId="0">
      <text>
        <r>
          <rPr>
            <b/>
            <sz val="8"/>
            <color indexed="81"/>
            <rFont val="Tahoma"/>
            <family val="2"/>
          </rPr>
          <t>Includes direct, detail not available</t>
        </r>
      </text>
    </comment>
    <comment ref="T64" authorId="0">
      <text>
        <r>
          <rPr>
            <b/>
            <sz val="8"/>
            <color indexed="81"/>
            <rFont val="Tahoma"/>
            <family val="2"/>
          </rPr>
          <t>Includes direct, detail not available</t>
        </r>
      </text>
    </comment>
    <comment ref="T65" authorId="0">
      <text>
        <r>
          <rPr>
            <b/>
            <sz val="8"/>
            <color indexed="81"/>
            <rFont val="Tahoma"/>
            <family val="2"/>
          </rPr>
          <t>Includes direct, detail not available</t>
        </r>
      </text>
    </comment>
    <comment ref="T68" authorId="0">
      <text>
        <r>
          <rPr>
            <b/>
            <sz val="8"/>
            <color indexed="81"/>
            <rFont val="Tahoma"/>
            <family val="2"/>
          </rPr>
          <t>Includes direct, detail not available</t>
        </r>
      </text>
    </comment>
    <comment ref="T69" authorId="0">
      <text>
        <r>
          <rPr>
            <b/>
            <sz val="8"/>
            <color indexed="81"/>
            <rFont val="Tahoma"/>
            <family val="2"/>
          </rPr>
          <t>Includes direct, detail not available</t>
        </r>
      </text>
    </comment>
    <comment ref="T70" authorId="0">
      <text>
        <r>
          <rPr>
            <b/>
            <sz val="8"/>
            <color indexed="81"/>
            <rFont val="Tahoma"/>
            <family val="2"/>
          </rPr>
          <t>Includes direct, detail not available</t>
        </r>
      </text>
    </comment>
    <comment ref="T71" authorId="0">
      <text>
        <r>
          <rPr>
            <b/>
            <sz val="8"/>
            <color indexed="81"/>
            <rFont val="Tahoma"/>
            <family val="2"/>
          </rPr>
          <t>Includes direct, detail not available</t>
        </r>
      </text>
    </comment>
    <comment ref="T72" authorId="0">
      <text>
        <r>
          <rPr>
            <b/>
            <sz val="8"/>
            <color indexed="81"/>
            <rFont val="Tahoma"/>
            <family val="2"/>
          </rPr>
          <t>Includes direct, detail not available</t>
        </r>
      </text>
    </comment>
    <comment ref="T75" authorId="0">
      <text>
        <r>
          <rPr>
            <b/>
            <sz val="8"/>
            <color indexed="81"/>
            <rFont val="Tahoma"/>
            <family val="2"/>
          </rPr>
          <t>Includes direct, detail not available</t>
        </r>
      </text>
    </comment>
    <comment ref="T76" authorId="0">
      <text>
        <r>
          <rPr>
            <b/>
            <sz val="8"/>
            <color indexed="81"/>
            <rFont val="Tahoma"/>
            <family val="2"/>
          </rPr>
          <t>Includes direct, detail not available</t>
        </r>
      </text>
    </comment>
    <comment ref="T77" authorId="0">
      <text>
        <r>
          <rPr>
            <b/>
            <sz val="8"/>
            <color indexed="81"/>
            <rFont val="Tahoma"/>
            <family val="2"/>
          </rPr>
          <t>Includes direct, detail not available</t>
        </r>
      </text>
    </comment>
    <comment ref="T78" authorId="0">
      <text>
        <r>
          <rPr>
            <b/>
            <sz val="8"/>
            <color indexed="81"/>
            <rFont val="Tahoma"/>
            <family val="2"/>
          </rPr>
          <t>Includes direct, detail not available</t>
        </r>
      </text>
    </comment>
    <comment ref="T79" authorId="0">
      <text>
        <r>
          <rPr>
            <b/>
            <sz val="8"/>
            <color indexed="81"/>
            <rFont val="Tahoma"/>
            <family val="2"/>
          </rPr>
          <t>Includes direct, detail not available</t>
        </r>
      </text>
    </comment>
    <comment ref="T82" authorId="0">
      <text>
        <r>
          <rPr>
            <b/>
            <sz val="8"/>
            <color indexed="81"/>
            <rFont val="Tahoma"/>
            <family val="2"/>
          </rPr>
          <t>Includes direct, detail not available</t>
        </r>
      </text>
    </comment>
    <comment ref="T83" authorId="0">
      <text>
        <r>
          <rPr>
            <b/>
            <sz val="8"/>
            <color indexed="81"/>
            <rFont val="Tahoma"/>
            <family val="2"/>
          </rPr>
          <t>Includes direct, detail not available</t>
        </r>
      </text>
    </comment>
    <comment ref="T84" authorId="0">
      <text>
        <r>
          <rPr>
            <b/>
            <sz val="8"/>
            <color indexed="81"/>
            <rFont val="Tahoma"/>
            <family val="2"/>
          </rPr>
          <t>Includes direct, detail not available</t>
        </r>
      </text>
    </comment>
    <comment ref="T85" authorId="0">
      <text>
        <r>
          <rPr>
            <b/>
            <sz val="8"/>
            <color indexed="81"/>
            <rFont val="Tahoma"/>
            <family val="2"/>
          </rPr>
          <t>Includes direct, detail not available</t>
        </r>
      </text>
    </comment>
    <comment ref="O120" authorId="0">
      <text>
        <r>
          <rPr>
            <b/>
            <sz val="8"/>
            <color indexed="81"/>
            <rFont val="Tahoma"/>
            <family val="2"/>
          </rPr>
          <t xml:space="preserve">2/21/2013: </t>
        </r>
        <r>
          <rPr>
            <sz val="8"/>
            <color indexed="81"/>
            <rFont val="Tahoma"/>
            <family val="2"/>
          </rPr>
          <t xml:space="preserve">Note: calculation includes extra week impact; </t>
        </r>
        <r>
          <rPr>
            <b/>
            <sz val="8"/>
            <color indexed="81"/>
            <rFont val="Tahoma"/>
            <family val="2"/>
          </rPr>
          <t>would be 33 exc the extra week</t>
        </r>
      </text>
    </comment>
    <comment ref="E121" authorId="0">
      <text>
        <r>
          <rPr>
            <b/>
            <sz val="8"/>
            <color indexed="81"/>
            <rFont val="Tahoma"/>
            <family val="2"/>
          </rPr>
          <t xml:space="preserve">2/7/2013: </t>
        </r>
        <r>
          <rPr>
            <sz val="10"/>
            <rFont val="Arial"/>
            <family val="2"/>
          </rPr>
          <t>Note: beat guidance given Jan comp despite November miss</t>
        </r>
        <r>
          <rPr>
            <b/>
            <sz val="8"/>
            <color indexed="81"/>
            <rFont val="Tahoma"/>
            <family val="2"/>
          </rPr>
          <t xml:space="preserve">
11/8/2012 Guidance</t>
        </r>
        <r>
          <rPr>
            <sz val="8"/>
            <color indexed="81"/>
            <rFont val="Tahoma"/>
            <family val="2"/>
          </rPr>
          <t xml:space="preserve"> FY +6.5-7%</t>
        </r>
        <r>
          <rPr>
            <b/>
            <sz val="8"/>
            <color indexed="81"/>
            <rFont val="Tahoma"/>
            <family val="2"/>
          </rPr>
          <t xml:space="preserve">
8/9/2012 Guidance </t>
        </r>
        <r>
          <rPr>
            <sz val="8"/>
            <color indexed="81"/>
            <rFont val="Tahoma"/>
            <family val="2"/>
          </rPr>
          <t>+MSD</t>
        </r>
        <r>
          <rPr>
            <b/>
            <sz val="8"/>
            <color indexed="81"/>
            <rFont val="Tahoma"/>
            <family val="2"/>
          </rPr>
          <t xml:space="preserve">
Per 1/17/2012 Commentary: </t>
        </r>
        <r>
          <rPr>
            <sz val="8"/>
            <color indexed="81"/>
            <rFont val="Tahoma"/>
            <family val="2"/>
          </rPr>
          <t xml:space="preserve">
- Comp will not include HL in 2012
- HL likely to be broken out similarly to Jeffery in other revenues
- 53rd week not included in comp</t>
        </r>
      </text>
    </comment>
    <comment ref="AK121" authorId="0">
      <text>
        <r>
          <rPr>
            <b/>
            <sz val="8"/>
            <color indexed="81"/>
            <rFont val="Tahoma"/>
            <family val="2"/>
          </rPr>
          <t xml:space="preserve">Note: </t>
        </r>
        <r>
          <rPr>
            <sz val="8"/>
            <color indexed="81"/>
            <rFont val="Tahoma"/>
            <family val="2"/>
          </rPr>
          <t>Adjusted for extra week = $160-170M per 10K</t>
        </r>
      </text>
    </comment>
    <comment ref="E125" authorId="0">
      <text>
        <r>
          <rPr>
            <b/>
            <sz val="8"/>
            <color indexed="81"/>
            <rFont val="Tahoma"/>
            <family val="2"/>
          </rPr>
          <t>2/21/2013 guidance</t>
        </r>
        <r>
          <rPr>
            <b/>
            <sz val="8"/>
            <color indexed="81"/>
            <rFont val="Tahoma"/>
            <family val="2"/>
          </rPr>
          <t>:</t>
        </r>
        <r>
          <rPr>
            <sz val="8"/>
            <color indexed="81"/>
            <rFont val="Tahoma"/>
            <family val="2"/>
          </rPr>
          <t xml:space="preserve"> 2Q &gt; 3.5-5.5%</t>
        </r>
      </text>
    </comment>
    <comment ref="E126" authorId="0">
      <text>
        <r>
          <rPr>
            <b/>
            <sz val="8"/>
            <color indexed="81"/>
            <rFont val="Tahoma"/>
            <family val="2"/>
          </rPr>
          <t>2/21/2013 guidance</t>
        </r>
        <r>
          <rPr>
            <b/>
            <sz val="8"/>
            <color indexed="81"/>
            <rFont val="Tahoma"/>
            <family val="2"/>
          </rPr>
          <t>:</t>
        </r>
        <r>
          <rPr>
            <sz val="8"/>
            <color indexed="81"/>
            <rFont val="Tahoma"/>
            <family val="2"/>
          </rPr>
          <t xml:space="preserve"> 2H &lt; 3.5-5.5%</t>
        </r>
      </text>
    </comment>
    <comment ref="E127" authorId="0">
      <text>
        <r>
          <rPr>
            <b/>
            <sz val="8"/>
            <color indexed="81"/>
            <rFont val="Tahoma"/>
            <family val="2"/>
          </rPr>
          <t>2/21/2013 guidance</t>
        </r>
        <r>
          <rPr>
            <b/>
            <sz val="8"/>
            <color indexed="81"/>
            <rFont val="Tahoma"/>
            <family val="2"/>
          </rPr>
          <t>:</t>
        </r>
        <r>
          <rPr>
            <sz val="8"/>
            <color indexed="81"/>
            <rFont val="Tahoma"/>
            <family val="2"/>
          </rPr>
          <t xml:space="preserve"> 2H &lt; 3.5-5.5%</t>
        </r>
      </text>
    </comment>
    <comment ref="G127" authorId="0">
      <text>
        <r>
          <rPr>
            <b/>
            <sz val="8"/>
            <color indexed="81"/>
            <rFont val="Tahoma"/>
            <family val="2"/>
          </rPr>
          <t xml:space="preserve">2/21/2013: </t>
        </r>
        <r>
          <rPr>
            <sz val="8"/>
            <color indexed="81"/>
            <rFont val="Tahoma"/>
            <family val="2"/>
          </rPr>
          <t>Note: calculation includes extra week impact</t>
        </r>
      </text>
    </comment>
    <comment ref="O127" authorId="0">
      <text>
        <r>
          <rPr>
            <b/>
            <sz val="8"/>
            <color indexed="81"/>
            <rFont val="Tahoma"/>
            <family val="2"/>
          </rPr>
          <t xml:space="preserve">2/21/2013: </t>
        </r>
        <r>
          <rPr>
            <sz val="8"/>
            <color indexed="81"/>
            <rFont val="Tahoma"/>
            <family val="2"/>
          </rPr>
          <t>Note: calculation includes extra week impact</t>
        </r>
      </text>
    </comment>
    <comment ref="C128" authorId="0">
      <text>
        <r>
          <rPr>
            <b/>
            <sz val="8"/>
            <color indexed="81"/>
            <rFont val="Tahoma"/>
            <family val="2"/>
          </rPr>
          <t xml:space="preserve">5/16/2013 guidance: </t>
        </r>
        <r>
          <rPr>
            <sz val="8"/>
            <color indexed="81"/>
            <rFont val="Tahoma"/>
            <family val="2"/>
          </rPr>
          <t>4-6%</t>
        </r>
        <r>
          <rPr>
            <b/>
            <sz val="8"/>
            <color indexed="81"/>
            <rFont val="Tahoma"/>
            <family val="2"/>
          </rPr>
          <t xml:space="preserve">
2/21/2013 guidance</t>
        </r>
        <r>
          <rPr>
            <b/>
            <sz val="8"/>
            <color indexed="81"/>
            <rFont val="Tahoma"/>
            <family val="2"/>
          </rPr>
          <t>:</t>
        </r>
        <r>
          <rPr>
            <sz val="8"/>
            <color indexed="81"/>
            <rFont val="Tahoma"/>
            <family val="2"/>
          </rPr>
          <t xml:space="preserve"> 4.5-6.5% including +LSD FL and Rach growth and 20%+ ecomm growth</t>
        </r>
      </text>
    </comment>
    <comment ref="E128" authorId="0">
      <text>
        <r>
          <rPr>
            <b/>
            <sz val="8"/>
            <color indexed="81"/>
            <rFont val="Tahoma"/>
            <family val="2"/>
          </rPr>
          <t>2/21/2013 guidance</t>
        </r>
        <r>
          <rPr>
            <b/>
            <sz val="8"/>
            <color indexed="81"/>
            <rFont val="Tahoma"/>
            <family val="2"/>
          </rPr>
          <t>:</t>
        </r>
        <r>
          <rPr>
            <sz val="8"/>
            <color indexed="81"/>
            <rFont val="Tahoma"/>
            <family val="2"/>
          </rPr>
          <t xml:space="preserve"> 3.5-5.5%</t>
        </r>
      </text>
    </comment>
    <comment ref="G128" authorId="0">
      <text>
        <r>
          <rPr>
            <b/>
            <sz val="8"/>
            <color indexed="81"/>
            <rFont val="Tahoma"/>
            <family val="2"/>
          </rPr>
          <t xml:space="preserve">2/21/2013: </t>
        </r>
        <r>
          <rPr>
            <sz val="8"/>
            <color indexed="81"/>
            <rFont val="Tahoma"/>
            <family val="2"/>
          </rPr>
          <t>Note: calculation includes extra week impact</t>
        </r>
      </text>
    </comment>
    <comment ref="E129" authorId="0">
      <text>
        <r>
          <rPr>
            <b/>
            <sz val="8"/>
            <color indexed="81"/>
            <rFont val="Tahoma"/>
            <family val="2"/>
          </rPr>
          <t>2/21/2013 guidance</t>
        </r>
        <r>
          <rPr>
            <b/>
            <sz val="8"/>
            <color indexed="81"/>
            <rFont val="Tahoma"/>
            <family val="2"/>
          </rPr>
          <t>:</t>
        </r>
        <r>
          <rPr>
            <sz val="8"/>
            <color indexed="81"/>
            <rFont val="Tahoma"/>
            <family val="2"/>
          </rPr>
          <t xml:space="preserve"> 2H &lt; 3.5-5.5%</t>
        </r>
      </text>
    </comment>
    <comment ref="E136" authorId="0">
      <text>
        <r>
          <rPr>
            <b/>
            <sz val="8"/>
            <color indexed="81"/>
            <rFont val="Tahoma"/>
            <family val="2"/>
          </rPr>
          <t>2/21/2013 guidance</t>
        </r>
        <r>
          <rPr>
            <b/>
            <sz val="8"/>
            <color indexed="81"/>
            <rFont val="Tahoma"/>
            <family val="2"/>
          </rPr>
          <t>:</t>
        </r>
        <r>
          <rPr>
            <sz val="8"/>
            <color indexed="81"/>
            <rFont val="Tahoma"/>
            <family val="2"/>
          </rPr>
          <t xml:space="preserve"> 2H &lt; 3.5-5.5%</t>
        </r>
      </text>
    </comment>
    <comment ref="E141" authorId="1">
      <text>
        <r>
          <rPr>
            <b/>
            <sz val="9"/>
            <color indexed="81"/>
            <rFont val="Tahoma"/>
            <family val="2"/>
          </rPr>
          <t>Baglione, Gregory  (Research):</t>
        </r>
        <r>
          <rPr>
            <sz val="9"/>
            <color indexed="81"/>
            <rFont val="Tahoma"/>
            <family val="2"/>
          </rPr>
          <t xml:space="preserve">
1/4/16
Lowering comp to flat from +0.5%
11/12/15
Updated outlook FY comp +2.5%-3.0% vs. prior +3.5%-+4.5%
Implies ~0.5% to 1.5% 4Q comp
Lowering comp from 4 to +0.5%
</t>
        </r>
      </text>
    </comment>
    <comment ref="C142" authorId="1">
      <text>
        <r>
          <rPr>
            <b/>
            <sz val="9"/>
            <color indexed="81"/>
            <rFont val="Tahoma"/>
            <family val="2"/>
          </rPr>
          <t>Baglione, Gregory  (Research):</t>
        </r>
        <r>
          <rPr>
            <sz val="9"/>
            <color indexed="81"/>
            <rFont val="Tahoma"/>
            <family val="2"/>
          </rPr>
          <t xml:space="preserve">
11/12/15
FY sales outlook
+7.5-8.0% vs. prior +8.5%-+9.5%</t>
        </r>
      </text>
    </comment>
    <comment ref="E145" authorId="1">
      <text>
        <r>
          <rPr>
            <b/>
            <sz val="9"/>
            <color indexed="81"/>
            <rFont val="Tahoma"/>
            <family val="2"/>
          </rPr>
          <t>Baglione, Gregory  (Research):</t>
        </r>
        <r>
          <rPr>
            <sz val="9"/>
            <color indexed="81"/>
            <rFont val="Tahoma"/>
            <family val="2"/>
          </rPr>
          <t xml:space="preserve">
1/4/16
Lowering comp to flat from +1.0%</t>
        </r>
      </text>
    </comment>
    <comment ref="E146" authorId="1">
      <text>
        <r>
          <rPr>
            <b/>
            <sz val="9"/>
            <color indexed="81"/>
            <rFont val="Tahoma"/>
            <family val="2"/>
          </rPr>
          <t>Baglione, Gregory  (Research):</t>
        </r>
        <r>
          <rPr>
            <sz val="9"/>
            <color indexed="81"/>
            <rFont val="Tahoma"/>
            <family val="2"/>
          </rPr>
          <t xml:space="preserve">
5/12/16
Lowering comp to -4% from -2%
2/18/16
the shift of the Anniversary Sale event from the second quarter in 2015 to the second and third quarters in 2016 woth 200-300 bps comp
1/4/16
Lowering comp to flat from +1.0%
</t>
        </r>
      </text>
    </comment>
    <comment ref="E147" authorId="1">
      <text>
        <r>
          <rPr>
            <b/>
            <sz val="9"/>
            <color indexed="81"/>
            <rFont val="Tahoma"/>
            <family val="2"/>
          </rPr>
          <t>Baglione, Gregory  (Research):</t>
        </r>
        <r>
          <rPr>
            <sz val="9"/>
            <color indexed="81"/>
            <rFont val="Tahoma"/>
            <family val="2"/>
          </rPr>
          <t xml:space="preserve">
2/18/16
the shift of the Anniversary Sale event from the second quarter in 2015 to the second and third quarters in 2016 woth 200-300 bps comp
1/4/16
Lowering comp to 1.0% from +3.0%</t>
        </r>
      </text>
    </comment>
    <comment ref="G147" authorId="1">
      <text>
        <r>
          <rPr>
            <b/>
            <sz val="9"/>
            <color indexed="81"/>
            <rFont val="Tahoma"/>
            <family val="2"/>
          </rPr>
          <t>Baglione, Gregory  (Research):</t>
        </r>
        <r>
          <rPr>
            <sz val="9"/>
            <color indexed="81"/>
            <rFont val="Tahoma"/>
            <family val="2"/>
          </rPr>
          <t xml:space="preserve">
Sales ~300-350 bps ahead of comps for 3Q
</t>
        </r>
      </text>
    </comment>
    <comment ref="E148" authorId="2">
      <text>
        <r>
          <rPr>
            <b/>
            <sz val="9"/>
            <color indexed="81"/>
            <rFont val="Tahoma"/>
            <family val="2"/>
          </rPr>
          <t>Roberts, Cynthia (Research):</t>
        </r>
        <r>
          <rPr>
            <sz val="9"/>
            <color indexed="81"/>
            <rFont val="Tahoma"/>
            <family val="2"/>
          </rPr>
          <t xml:space="preserve">
1/17/17
Previous flat.
Updated to -1% given weak results reported by Department store peers.</t>
        </r>
      </text>
    </comment>
    <comment ref="C149" authorId="1">
      <text>
        <r>
          <rPr>
            <b/>
            <sz val="9"/>
            <color indexed="81"/>
            <rFont val="Tahoma"/>
            <family val="2"/>
          </rPr>
          <t>Baglione, Gregory  (Research):</t>
        </r>
        <r>
          <rPr>
            <sz val="9"/>
            <color indexed="81"/>
            <rFont val="Tahoma"/>
            <family val="2"/>
          </rPr>
          <t xml:space="preserve">
2/18/16
Net sales increase (percent)   3.5 to 5.5% for FY</t>
        </r>
      </text>
    </comment>
    <comment ref="E149" authorId="1">
      <text>
        <r>
          <rPr>
            <b/>
            <sz val="9"/>
            <color indexed="81"/>
            <rFont val="Tahoma"/>
            <family val="2"/>
          </rPr>
          <t>Baglione, Gregory  (Research):</t>
        </r>
        <r>
          <rPr>
            <sz val="9"/>
            <color indexed="81"/>
            <rFont val="Tahoma"/>
            <family val="2"/>
          </rPr>
          <t xml:space="preserve">
2/18/16
FY comp expected 0-2%
</t>
        </r>
      </text>
    </comment>
    <comment ref="J149" authorId="1">
      <text>
        <r>
          <rPr>
            <b/>
            <sz val="9"/>
            <color indexed="81"/>
            <rFont val="Tahoma"/>
            <family val="2"/>
          </rPr>
          <t>Baglione, Gregory  (Research):</t>
        </r>
        <r>
          <rPr>
            <sz val="9"/>
            <color indexed="81"/>
            <rFont val="Tahoma"/>
            <family val="2"/>
          </rPr>
          <t xml:space="preserve">
2/18/16
Nordstrom has announced plans to open the following stores in fiscal 2016, consisting of three new full-line stores, 20 new Nordstrom Rack stores, one full-line store relocation and two Nordstrom Rack store relocations
</t>
        </r>
      </text>
    </comment>
    <comment ref="E153" authorId="3">
      <text>
        <r>
          <rPr>
            <b/>
            <sz val="9"/>
            <color indexed="81"/>
            <rFont val="Tahoma"/>
            <family val="2"/>
          </rPr>
          <t>De Courreges, Edouard (Research):</t>
        </r>
        <r>
          <rPr>
            <sz val="9"/>
            <color indexed="81"/>
            <rFont val="Tahoma"/>
            <family val="2"/>
          </rPr>
          <t xml:space="preserve">
8/10/17: Driven by Anniversary Sale. delivered online growth of more than 20% compared to last year's sale. We also grew buy-online, pick-up in-store sales by roughly 50%. Anniversary sale gre 2.4% and comped 1.4%
Increases in regular prices sales y/y
+ categories: beauty and women's apparel
We use </t>
        </r>
        <r>
          <rPr>
            <b/>
            <sz val="9"/>
            <color indexed="81"/>
            <rFont val="Tahoma"/>
            <family val="2"/>
          </rPr>
          <t>transactions</t>
        </r>
        <r>
          <rPr>
            <sz val="9"/>
            <color indexed="81"/>
            <rFont val="Tahoma"/>
            <family val="2"/>
          </rPr>
          <t xml:space="preserve"> as a proxy for traffic, and it was
slightly improved in the second quarter relative to the trend over the last few quarters, which is to say roughly in line with our comp sales and probably pretty aligned with what we all see in terms of the reported mall traffic numbers that are out there. So a slight improvement but nothing real material.</t>
        </r>
      </text>
    </comment>
    <comment ref="AO153" authorId="3">
      <text>
        <r>
          <rPr>
            <b/>
            <sz val="9"/>
            <color indexed="81"/>
            <rFont val="Tahoma"/>
            <family val="2"/>
          </rPr>
          <t>De Courreges, Edouard (Research):</t>
        </r>
        <r>
          <rPr>
            <sz val="9"/>
            <color indexed="81"/>
            <rFont val="Tahoma"/>
            <family val="2"/>
          </rPr>
          <t xml:space="preserve">
8/10/17: e Company delivered online sales growth of 20 percent at Nordstrom.com, reflecting its largest volumeday in company history, and 27 percent at Nordstromrack.com/HauteLook</t>
        </r>
      </text>
    </comment>
    <comment ref="E154" authorId="3">
      <text>
        <r>
          <rPr>
            <b/>
            <sz val="9"/>
            <color indexed="81"/>
            <rFont val="Tahoma"/>
            <family val="2"/>
          </rPr>
          <t>De Courreges, Edouard (Research):</t>
        </r>
        <r>
          <rPr>
            <sz val="9"/>
            <color indexed="81"/>
            <rFont val="Tahoma"/>
            <family val="2"/>
          </rPr>
          <t xml:space="preserve">
8/10/17: Anniversary sale didn't change trend in comps before or after</t>
        </r>
      </text>
    </comment>
    <comment ref="E155" authorId="3">
      <text>
        <r>
          <rPr>
            <b/>
            <sz val="9"/>
            <color indexed="81"/>
            <rFont val="Tahoma"/>
            <family val="2"/>
          </rPr>
          <t>De Courreges, Edouard (Research):</t>
        </r>
        <r>
          <rPr>
            <sz val="9"/>
            <color indexed="81"/>
            <rFont val="Tahoma"/>
            <family val="2"/>
          </rPr>
          <t xml:space="preserve">
1/9/18: +1.2 holiday comp</t>
        </r>
      </text>
    </comment>
    <comment ref="G155" authorId="4">
      <text>
        <r>
          <rPr>
            <b/>
            <sz val="9"/>
            <color indexed="81"/>
            <rFont val="Tahoma"/>
            <family val="2"/>
          </rPr>
          <t>Cassel, Lauren (Research):</t>
        </r>
        <r>
          <rPr>
            <sz val="9"/>
            <color indexed="81"/>
            <rFont val="Tahoma"/>
            <family val="2"/>
          </rPr>
          <t xml:space="preserve">
5/11/17: 53rd week = $200M or 4.7% benefit</t>
        </r>
      </text>
    </comment>
    <comment ref="E156" authorId="2">
      <text>
        <r>
          <rPr>
            <b/>
            <sz val="9"/>
            <color indexed="81"/>
            <rFont val="Tahoma"/>
            <family val="2"/>
          </rPr>
          <t xml:space="preserve">Roberts, Cynthia (Research):
</t>
        </r>
        <r>
          <rPr>
            <sz val="9"/>
            <color indexed="81"/>
            <rFont val="Tahoma"/>
            <family val="2"/>
          </rPr>
          <t>8/10/17: Total sales are expected to increase approximately 4%, including $200 million for the 53rd week, while we expect
comp sales to be roughly flat to last year.
2/23/17: Guidance: approx. flat</t>
        </r>
      </text>
    </comment>
    <comment ref="G160" authorId="3">
      <text>
        <r>
          <rPr>
            <b/>
            <sz val="9"/>
            <color indexed="81"/>
            <rFont val="Tahoma"/>
            <family val="2"/>
          </rPr>
          <t>De Courreges, Edouard (Research):</t>
        </r>
        <r>
          <rPr>
            <sz val="9"/>
            <color indexed="81"/>
            <rFont val="Tahoma"/>
            <family val="2"/>
          </rPr>
          <t xml:space="preserve">
+1 from 53rd wk shift</t>
        </r>
      </text>
    </comment>
    <comment ref="E161" authorId="3">
      <text>
        <r>
          <rPr>
            <b/>
            <sz val="9"/>
            <color indexed="81"/>
            <rFont val="Tahoma"/>
            <family val="2"/>
          </rPr>
          <t>De Courreges, Edouard (Research):</t>
        </r>
        <r>
          <rPr>
            <sz val="9"/>
            <color indexed="81"/>
            <rFont val="Tahoma"/>
            <family val="2"/>
          </rPr>
          <t xml:space="preserve">
+0.5 from anniversary sale</t>
        </r>
      </text>
    </comment>
    <comment ref="G161" authorId="3">
      <text>
        <r>
          <rPr>
            <b/>
            <sz val="9"/>
            <color indexed="81"/>
            <rFont val="Tahoma"/>
            <family val="2"/>
          </rPr>
          <t>De Courreges, Edouard (Research):</t>
        </r>
        <r>
          <rPr>
            <sz val="9"/>
            <color indexed="81"/>
            <rFont val="Tahoma"/>
            <family val="2"/>
          </rPr>
          <t xml:space="preserve">
+.3 from 53rd week shift</t>
        </r>
      </text>
    </comment>
    <comment ref="E162" authorId="3">
      <text>
        <r>
          <rPr>
            <b/>
            <sz val="9"/>
            <color indexed="81"/>
            <rFont val="Tahoma"/>
            <family val="2"/>
          </rPr>
          <t>De Courreges, Edouard (Research):</t>
        </r>
        <r>
          <rPr>
            <sz val="9"/>
            <color indexed="81"/>
            <rFont val="Tahoma"/>
            <family val="2"/>
          </rPr>
          <t xml:space="preserve">
-0.2 from anniversary sale shift</t>
        </r>
      </text>
    </comment>
    <comment ref="G162" authorId="3">
      <text>
        <r>
          <rPr>
            <b/>
            <sz val="9"/>
            <color indexed="81"/>
            <rFont val="Tahoma"/>
            <family val="2"/>
          </rPr>
          <t>De Courreges, Edouard (Research):</t>
        </r>
        <r>
          <rPr>
            <sz val="9"/>
            <color indexed="81"/>
            <rFont val="Tahoma"/>
            <family val="2"/>
          </rPr>
          <t xml:space="preserve">
-0.2 from 53rd week shift</t>
        </r>
      </text>
    </comment>
    <comment ref="G163" authorId="3">
      <text>
        <r>
          <rPr>
            <b/>
            <sz val="9"/>
            <color indexed="81"/>
            <rFont val="Tahoma"/>
            <family val="2"/>
          </rPr>
          <t>De Courreges, Edouard (Research):</t>
        </r>
        <r>
          <rPr>
            <sz val="9"/>
            <color indexed="81"/>
            <rFont val="Tahoma"/>
            <family val="2"/>
          </rPr>
          <t xml:space="preserve">
-10.2 incremental spread from 53rd week shift</t>
        </r>
      </text>
    </comment>
  </commentList>
</comments>
</file>

<file path=xl/comments5.xml><?xml version="1.0" encoding="utf-8"?>
<comments xmlns="http://schemas.openxmlformats.org/spreadsheetml/2006/main">
  <authors>
    <author>mmcclell</author>
    <author>Scott Feiler</author>
    <author>cuomochr</author>
    <author>balskyh</author>
    <author>duol</author>
    <author>casselau</author>
    <author>Mains, Spencer (Research)</author>
    <author>Baglione, Gregory  (Research)</author>
    <author>De Courreges, Edouard (Research)</author>
    <author>Roberts, Cynthia (Research)</author>
  </authors>
  <commentList>
    <comment ref="C61" authorId="0">
      <text>
        <r>
          <rPr>
            <b/>
            <sz val="8"/>
            <color indexed="81"/>
            <rFont val="Tahoma"/>
            <family val="2"/>
          </rPr>
          <t>mmcclell:</t>
        </r>
        <r>
          <rPr>
            <sz val="8"/>
            <color indexed="81"/>
            <rFont val="Tahoma"/>
            <family val="2"/>
          </rPr>
          <t xml:space="preserve">
JWN will open its 94th full-line store at Dadeland Mall in Miami Fla on Friday Nov. 12th</t>
        </r>
      </text>
    </comment>
    <comment ref="C78" authorId="0">
      <text>
        <r>
          <rPr>
            <b/>
            <sz val="8"/>
            <color indexed="81"/>
            <rFont val="Tahoma"/>
            <family val="2"/>
          </rPr>
          <t>-9/7/07: 144,000 sq ft @ Natick Mall (MA)
-9/28/07: 165,000 sq ft @ Twelve Oaks Mall (Michigan)</t>
        </r>
        <r>
          <rPr>
            <sz val="8"/>
            <color indexed="81"/>
            <rFont val="Tahoma"/>
            <family val="2"/>
          </rPr>
          <t xml:space="preserve">
</t>
        </r>
        <r>
          <rPr>
            <b/>
            <sz val="8"/>
            <color indexed="81"/>
            <rFont val="Tahoma"/>
            <family val="2"/>
          </rPr>
          <t>-10/19/07: 140,000 sq ft @ Cherry Creek Mall (Denver)
-Fall: Rack store @ Southcenter Square (Tukwila, Wash)</t>
        </r>
      </text>
    </comment>
    <comment ref="C82" authorId="1">
      <text>
        <r>
          <rPr>
            <sz val="8"/>
            <color indexed="81"/>
            <rFont val="Tahoma"/>
            <family val="2"/>
          </rPr>
          <t>- a 172,000-sq-ft in Aventura, FL
- a 211,000-sq-ft in Honolulu, Hawaii
-a 143,000-sq-ft in Burlington, Mass
- a 122,000 sq-ft in Clinton Township, Michigan</t>
        </r>
        <r>
          <rPr>
            <b/>
            <sz val="8"/>
            <color indexed="81"/>
            <rFont val="Tahoma"/>
            <family val="2"/>
          </rPr>
          <t xml:space="preserve">
</t>
        </r>
        <r>
          <rPr>
            <sz val="8"/>
            <color indexed="81"/>
            <rFont val="Tahoma"/>
            <family val="2"/>
          </rPr>
          <t xml:space="preserve">
</t>
        </r>
      </text>
    </comment>
    <comment ref="C84" authorId="0">
      <text>
        <r>
          <rPr>
            <sz val="8"/>
            <color indexed="81"/>
            <rFont val="Tahoma"/>
            <family val="2"/>
          </rPr>
          <t>Store opening dates (as per company's website):
- 9/5/2008: Thousand Oaks, CA</t>
        </r>
        <r>
          <rPr>
            <sz val="8"/>
            <color indexed="81"/>
            <rFont val="Tahoma"/>
            <family val="2"/>
          </rPr>
          <t xml:space="preserve">
- 9/19/2008: Indianapolis, IN
- 10/24/2008: Pittsburgh, PA</t>
        </r>
      </text>
    </comment>
    <comment ref="C85" authorId="0">
      <text>
        <r>
          <rPr>
            <sz val="8"/>
            <color indexed="81"/>
            <rFont val="Tahoma"/>
            <family val="2"/>
          </rPr>
          <t>Store opening dates (as per company's website):
- 11/7/2008: Naples, FL</t>
        </r>
        <r>
          <rPr>
            <sz val="8"/>
            <color indexed="81"/>
            <rFont val="Tahoma"/>
            <family val="2"/>
          </rPr>
          <t xml:space="preserve">
</t>
        </r>
      </text>
    </comment>
    <comment ref="C88" authorId="1">
      <text>
        <r>
          <rPr>
            <sz val="8"/>
            <color indexed="81"/>
            <rFont val="Tahoma"/>
            <family val="2"/>
          </rPr>
          <t>- Cherry Hill Mall (NJ) on 3/27/09
- Northshore Mall (MA) on 4/17/09</t>
        </r>
      </text>
    </comment>
    <comment ref="C90" authorId="1">
      <text>
        <r>
          <rPr>
            <sz val="8"/>
            <color indexed="81"/>
            <rFont val="Tahoma"/>
            <family val="2"/>
          </rPr>
          <t>- Kenwood Towne Centre (OH) on 9/25/09 (138K square ft)</t>
        </r>
      </text>
    </comment>
    <comment ref="C94" authorId="2">
      <text>
        <r>
          <rPr>
            <b/>
            <sz val="8"/>
            <color indexed="81"/>
            <rFont val="Tahoma"/>
            <family val="2"/>
          </rPr>
          <t>Guidance 2/22/10:</t>
        </r>
        <r>
          <rPr>
            <sz val="8"/>
            <color indexed="81"/>
            <rFont val="Tahoma"/>
            <family val="2"/>
          </rPr>
          <t xml:space="preserve">
1 Full Line in March
1 Full Line in April</t>
        </r>
      </text>
    </comment>
    <comment ref="C96" authorId="2">
      <text>
        <r>
          <rPr>
            <b/>
            <sz val="8"/>
            <color indexed="81"/>
            <rFont val="Tahoma"/>
            <family val="2"/>
          </rPr>
          <t>Guidance 8/12/10:</t>
        </r>
        <r>
          <rPr>
            <sz val="8"/>
            <color indexed="81"/>
            <rFont val="Tahoma"/>
            <family val="2"/>
          </rPr>
          <t xml:space="preserve">
1 Full Line in August
(Santa Monica; 122h)</t>
        </r>
      </text>
    </comment>
    <comment ref="C97" authorId="0">
      <text>
        <r>
          <rPr>
            <b/>
            <sz val="8"/>
            <color indexed="81"/>
            <rFont val="Tahoma"/>
            <family val="2"/>
          </rPr>
          <t xml:space="preserve">Guidance: 2/22/2010
</t>
        </r>
        <r>
          <rPr>
            <sz val="8"/>
            <color indexed="81"/>
            <rFont val="Tahoma"/>
            <family val="2"/>
          </rPr>
          <t>plan to open 3 full-line stores in 2010</t>
        </r>
        <r>
          <rPr>
            <b/>
            <sz val="8"/>
            <color indexed="81"/>
            <rFont val="Tahoma"/>
            <family val="2"/>
          </rPr>
          <t xml:space="preserve">
Guidance: 11/12/2009
</t>
        </r>
        <r>
          <rPr>
            <sz val="8"/>
            <color indexed="81"/>
            <rFont val="Tahoma"/>
            <family val="2"/>
          </rPr>
          <t>plan to open 3 full-line stores</t>
        </r>
        <r>
          <rPr>
            <b/>
            <sz val="8"/>
            <color indexed="81"/>
            <rFont val="Tahoma"/>
            <family val="2"/>
          </rPr>
          <t xml:space="preserve">
</t>
        </r>
      </text>
    </comment>
    <comment ref="C100" authorId="1">
      <text>
        <r>
          <rPr>
            <b/>
            <sz val="8"/>
            <color indexed="81"/>
            <rFont val="Tahoma"/>
            <family val="2"/>
          </rPr>
          <t>Comment 4/5/2012
-</t>
        </r>
        <r>
          <rPr>
            <sz val="8"/>
            <color indexed="81"/>
            <rFont val="Tahoma"/>
            <family val="2"/>
          </rPr>
          <t xml:space="preserve"> Opened 1 FL store in Utah in March</t>
        </r>
        <r>
          <rPr>
            <b/>
            <sz val="8"/>
            <color indexed="81"/>
            <rFont val="Tahoma"/>
            <family val="2"/>
          </rPr>
          <t xml:space="preserve">
Comment 11/18/11</t>
        </r>
        <r>
          <rPr>
            <sz val="8"/>
            <color indexed="81"/>
            <rFont val="Tahoma"/>
            <family val="2"/>
          </rPr>
          <t xml:space="preserve">
- JWN to close University Mall Store in Orem, Utah on February 24, 2012
- 1 opening in 1Q12
</t>
        </r>
      </text>
    </comment>
    <comment ref="E100" authorId="3">
      <text>
        <r>
          <rPr>
            <b/>
            <sz val="8"/>
            <color indexed="81"/>
            <rFont val="Tahoma"/>
            <family val="2"/>
          </rPr>
          <t xml:space="preserve">Comment 4/5/2012
</t>
        </r>
        <r>
          <rPr>
            <sz val="8"/>
            <color indexed="81"/>
            <rFont val="Tahoma"/>
            <family val="2"/>
          </rPr>
          <t>Opened 1 Rack in March in California
Will open 3 new Racks in April (CT, ID, GA)
Relocated 1 Rack in Washington in March</t>
        </r>
        <r>
          <rPr>
            <b/>
            <sz val="8"/>
            <color indexed="81"/>
            <rFont val="Tahoma"/>
            <family val="2"/>
          </rPr>
          <t xml:space="preserve">
Guidance 2/16/12
</t>
        </r>
        <r>
          <rPr>
            <sz val="8"/>
            <color indexed="81"/>
            <rFont val="Tahoma"/>
            <family val="2"/>
          </rPr>
          <t>4 new Racks in 1Q12</t>
        </r>
      </text>
    </comment>
    <comment ref="E101" authorId="3">
      <text>
        <r>
          <rPr>
            <b/>
            <sz val="8"/>
            <color indexed="81"/>
            <rFont val="Tahoma"/>
            <family val="2"/>
          </rPr>
          <t xml:space="preserve">Guidance 2/16/12
</t>
        </r>
        <r>
          <rPr>
            <sz val="8"/>
            <color indexed="81"/>
            <rFont val="Tahoma"/>
            <family val="2"/>
          </rPr>
          <t>2 new Racks in 2Q12</t>
        </r>
      </text>
    </comment>
    <comment ref="E103" authorId="1">
      <text>
        <r>
          <rPr>
            <b/>
            <sz val="8"/>
            <color indexed="81"/>
            <rFont val="Tahoma"/>
            <family val="2"/>
          </rPr>
          <t xml:space="preserve">Guidance 2/16/12 &amp; 10K
</t>
        </r>
        <r>
          <rPr>
            <sz val="8"/>
            <color indexed="81"/>
            <rFont val="Tahoma"/>
            <family val="2"/>
          </rPr>
          <t>13 new stores in 2012 + 2 store relocations</t>
        </r>
        <r>
          <rPr>
            <b/>
            <sz val="8"/>
            <color indexed="81"/>
            <rFont val="Tahoma"/>
            <family val="2"/>
          </rPr>
          <t xml:space="preserve">
Guidance 8/11/11:
</t>
        </r>
        <r>
          <rPr>
            <sz val="8"/>
            <color indexed="81"/>
            <rFont val="Tahoma"/>
            <family val="2"/>
          </rPr>
          <t>Announced ~13 for 2012</t>
        </r>
        <r>
          <rPr>
            <b/>
            <sz val="8"/>
            <color indexed="81"/>
            <rFont val="Tahoma"/>
            <family val="2"/>
          </rPr>
          <t xml:space="preserve">
Guidance 3/10/10:</t>
        </r>
        <r>
          <rPr>
            <sz val="8"/>
            <color indexed="81"/>
            <rFont val="Tahoma"/>
            <family val="2"/>
          </rPr>
          <t xml:space="preserve">
1) Plan for 10-15 Racks/yr and 2-4 full line/yr for next several yrs
2) Full line expansion constrained by lack of comm real estate
1/9/09: 5 full-line store openings listed on the website
6/16/08: 1 full-line store opening listed on website</t>
        </r>
      </text>
    </comment>
    <comment ref="P103" authorId="3">
      <text>
        <r>
          <rPr>
            <b/>
            <sz val="8"/>
            <color indexed="81"/>
            <rFont val="Tahoma"/>
            <family val="2"/>
          </rPr>
          <t xml:space="preserve">11/8/2012: </t>
        </r>
        <r>
          <rPr>
            <sz val="8"/>
            <color indexed="81"/>
            <rFont val="Tahoma"/>
            <family val="2"/>
          </rPr>
          <t>opened 2 racks 11/8/12</t>
        </r>
      </text>
    </comment>
    <comment ref="P106" authorId="3">
      <text>
        <r>
          <rPr>
            <sz val="10"/>
            <rFont val="Arial"/>
            <family val="2"/>
          </rPr>
          <t xml:space="preserve">2/21/2013: </t>
        </r>
        <r>
          <rPr>
            <sz val="10"/>
            <rFont val="Arial"/>
            <family val="2"/>
          </rPr>
          <t>Roughly 24 Rack openings in FY13 (5 announced so far in March/April</t>
        </r>
        <r>
          <rPr>
            <sz val="10"/>
            <rFont val="Arial"/>
            <family val="2"/>
          </rPr>
          <t xml:space="preserve">
1/3/2013 Release:</t>
        </r>
        <r>
          <rPr>
            <sz val="10"/>
            <rFont val="Arial"/>
            <family val="2"/>
          </rPr>
          <t xml:space="preserve">
1) Columbia, MD  - Columbia Crossing (Nordstrom Rack) Spring 2013
2) Downtown Washington DC (Nordstrom Rack) Spring 2013</t>
        </r>
        <r>
          <rPr>
            <sz val="10"/>
            <rFont val="Arial"/>
            <family val="2"/>
          </rPr>
          <t xml:space="preserve">
</t>
        </r>
        <r>
          <rPr>
            <sz val="10"/>
            <rFont val="Arial"/>
            <family val="2"/>
          </rPr>
          <t xml:space="preserve">3) South Portland, ME (Nordstrom Rack) Main Crossing Spring 2013
</t>
        </r>
        <r>
          <rPr>
            <sz val="10"/>
            <rFont val="Arial"/>
            <family val="2"/>
          </rPr>
          <t xml:space="preserve">
Birmingham, AL - River Ridge Shopping Center (Nordstrom 
12/4/2012 JWN website:
</t>
        </r>
        <r>
          <rPr>
            <sz val="10"/>
            <rFont val="Arial"/>
            <family val="2"/>
          </rPr>
          <t xml:space="preserve">1) Birmingham, AL - River Ridge Shopping Center (Nordstrom Rack); Opening Date: Spring 2013
2) Upland, CA - Colonies Crossroads (Nordstrom Rack); Opening Date: Spring 2013
3) Boston, MA - The Newbry (Nordstrom Rack); Opening Date: Spring 2013
4) Ann Arbor, MI - Arborland Center (Nordstrom Rack); Opening Date: Spring 2013
5) Auburn Hills, MI - Baldwin Commons (Nordstrom Rack); Opening Date: Spring 2013
6) Concord, CA - Sunvalley Shopping Center (Nordstrom Rack); Opening Date: Fall 2013
7) Manhasset, NY - Manhasset Center (Nordstrom Rack); Opening Date: Fall 2013
8) Cleveland, OH - Promenade in Crocker Park (Nordstrom Rack); Opening Date: Fall 2013
9) Columbus, OH - Easton Market (Nordstrom Rack); Opening Date: Fall 2013
10) El Paso, TX - The Fountains at Farah (Nordstrom Rack); Opening Date: Fall 2013
</t>
        </r>
        <r>
          <rPr>
            <sz val="10"/>
            <rFont val="Arial"/>
            <family val="2"/>
          </rPr>
          <t xml:space="preserve">8/9/2012: </t>
        </r>
        <r>
          <rPr>
            <sz val="10"/>
            <rFont val="Arial"/>
            <family val="2"/>
          </rPr>
          <t>24 Rack Stores in FY13</t>
        </r>
      </text>
    </comment>
    <comment ref="E107" authorId="4">
      <text>
        <r>
          <rPr>
            <b/>
            <sz val="8"/>
            <color indexed="81"/>
            <rFont val="Tahoma"/>
            <family val="2"/>
          </rPr>
          <t>10Q: 8 in first half and 14 more by year end</t>
        </r>
        <r>
          <rPr>
            <sz val="8"/>
            <color indexed="81"/>
            <rFont val="Tahoma"/>
            <family val="2"/>
          </rPr>
          <t xml:space="preserve">
</t>
        </r>
      </text>
    </comment>
    <comment ref="P107" authorId="3">
      <text>
        <r>
          <rPr>
            <sz val="10"/>
            <rFont val="Arial"/>
            <family val="2"/>
          </rPr>
          <t xml:space="preserve">2/21/2013: </t>
        </r>
        <r>
          <rPr>
            <sz val="10"/>
            <rFont val="Arial"/>
            <family val="2"/>
          </rPr>
          <t xml:space="preserve">Roughly 24 Rack openings in FY13; 3 announced so far for May </t>
        </r>
        <r>
          <rPr>
            <sz val="10"/>
            <rFont val="Arial"/>
            <family val="2"/>
          </rPr>
          <t xml:space="preserve">
1/3/2013 Release:</t>
        </r>
        <r>
          <rPr>
            <sz val="10"/>
            <rFont val="Arial"/>
            <family val="2"/>
          </rPr>
          <t xml:space="preserve">
1) Columbia, MD  - Columbia Crossing (Nordstrom Rack) Spring 2013
2) Downtown Washington DC (Nordstrom Rack) Spring 2013</t>
        </r>
        <r>
          <rPr>
            <sz val="10"/>
            <rFont val="Arial"/>
            <family val="2"/>
          </rPr>
          <t xml:space="preserve">
</t>
        </r>
        <r>
          <rPr>
            <sz val="10"/>
            <rFont val="Arial"/>
            <family val="2"/>
          </rPr>
          <t xml:space="preserve">3) South Portland, ME (Nordstrom Rack) Main Crossing Spring 2013
</t>
        </r>
        <r>
          <rPr>
            <sz val="10"/>
            <rFont val="Arial"/>
            <family val="2"/>
          </rPr>
          <t xml:space="preserve">
Birmingham, AL - River Ridge Shopping Center (Nordstrom 
12/4/2012 JWN website:
</t>
        </r>
        <r>
          <rPr>
            <sz val="10"/>
            <rFont val="Arial"/>
            <family val="2"/>
          </rPr>
          <t xml:space="preserve">1) Birmingham, AL - River Ridge Shopping Center (Nordstrom Rack); Opening Date: Spring 2013
2) Upland, CA - Colonies Crossroads (Nordstrom Rack); Opening Date: Spring 2013
3) Boston, MA - The Newbry (Nordstrom Rack); Opening Date: Spring 2013
4) Ann Arbor, MI - Arborland Center (Nordstrom Rack); Opening Date: Spring 2013
5) Auburn Hills, MI - Baldwin Commons (Nordstrom Rack); Opening Date: Spring 2013
6) Concord, CA - Sunvalley Shopping Center (Nordstrom Rack); Opening Date: Fall 2013
7) Manhasset, NY - Manhasset Center (Nordstrom Rack); Opening Date: Fall 2013
8) Cleveland, OH - Promenade in Crocker Park (Nordstrom Rack); Opening Date: Fall 2013
9) Columbus, OH - Easton Market (Nordstrom Rack); Opening Date: Fall 2013
10) El Paso, TX - The Fountains at Farah (Nordstrom Rack); Opening Date: Fall 2013
</t>
        </r>
        <r>
          <rPr>
            <sz val="10"/>
            <rFont val="Arial"/>
            <family val="2"/>
          </rPr>
          <t xml:space="preserve">8/9/2012: </t>
        </r>
        <r>
          <rPr>
            <sz val="10"/>
            <rFont val="Arial"/>
            <family val="2"/>
          </rPr>
          <t>24 Rack Stores in FY13</t>
        </r>
      </text>
    </comment>
    <comment ref="E108" authorId="5">
      <text>
        <r>
          <rPr>
            <b/>
            <sz val="9"/>
            <color indexed="81"/>
            <rFont val="Tahoma"/>
            <family val="2"/>
          </rPr>
          <t>casselau:</t>
        </r>
        <r>
          <rPr>
            <sz val="9"/>
            <color indexed="81"/>
            <rFont val="Tahoma"/>
            <family val="2"/>
          </rPr>
          <t xml:space="preserve">
137 rack, 3 other</t>
        </r>
      </text>
    </comment>
    <comment ref="P108" authorId="3">
      <text>
        <r>
          <rPr>
            <sz val="10"/>
            <rFont val="Arial"/>
            <family val="2"/>
          </rPr>
          <t xml:space="preserve">2/21/2013: </t>
        </r>
        <r>
          <rPr>
            <sz val="10"/>
            <rFont val="Arial"/>
            <family val="2"/>
          </rPr>
          <t>Roughly 24 Rack openings in FY13</t>
        </r>
        <r>
          <rPr>
            <sz val="10"/>
            <rFont val="Arial"/>
            <family val="2"/>
          </rPr>
          <t xml:space="preserve">
1/3/2013 Release:</t>
        </r>
        <r>
          <rPr>
            <sz val="10"/>
            <rFont val="Arial"/>
            <family val="2"/>
          </rPr>
          <t xml:space="preserve">
1) Columbia, MD  - Columbia Crossing (Nordstrom Rack) Spring 2013
2) Downtown Washington DC (Nordstrom Rack) Spring 2013</t>
        </r>
        <r>
          <rPr>
            <sz val="10"/>
            <rFont val="Arial"/>
            <family val="2"/>
          </rPr>
          <t xml:space="preserve">
</t>
        </r>
        <r>
          <rPr>
            <sz val="10"/>
            <rFont val="Arial"/>
            <family val="2"/>
          </rPr>
          <t xml:space="preserve">3) South Portland, ME (Nordstrom Rack) Main Crossing Spring 2013
</t>
        </r>
        <r>
          <rPr>
            <sz val="10"/>
            <rFont val="Arial"/>
            <family val="2"/>
          </rPr>
          <t xml:space="preserve">
Birmingham, AL - River Ridge Shopping Center (Nordstrom 
12/4/2012 JWN website:
</t>
        </r>
        <r>
          <rPr>
            <sz val="10"/>
            <rFont val="Arial"/>
            <family val="2"/>
          </rPr>
          <t xml:space="preserve">1) Birmingham, AL - River Ridge Shopping Center (Nordstrom Rack); Opening Date: Spring 2013
2) Upland, CA - Colonies Crossroads (Nordstrom Rack); Opening Date: Spring 2013
3) Boston, MA - The Newbry (Nordstrom Rack); Opening Date: Spring 2013
4) Ann Arbor, MI - Arborland Center (Nordstrom Rack); Opening Date: Spring 2013
5) Auburn Hills, MI - Baldwin Commons (Nordstrom Rack); Opening Date: Spring 2013
6) Concord, CA - Sunvalley Shopping Center (Nordstrom Rack); Opening Date: Fall 2013
7) Manhasset, NY - Manhasset Center (Nordstrom Rack); Opening Date: Fall 2013
8) Cleveland, OH - Promenade in Crocker Park (Nordstrom Rack); Opening Date: Fall 2013
9) Columbus, OH - Easton Market (Nordstrom Rack); Opening Date: Fall 2013
10) El Paso, TX - The Fountains at Farah (Nordstrom Rack); Opening Date: Fall 2013
</t>
        </r>
        <r>
          <rPr>
            <sz val="10"/>
            <rFont val="Arial"/>
            <family val="2"/>
          </rPr>
          <t xml:space="preserve">8/9/2012: </t>
        </r>
        <r>
          <rPr>
            <sz val="10"/>
            <rFont val="Arial"/>
            <family val="2"/>
          </rPr>
          <t>24 Rack Stores in FY13</t>
        </r>
      </text>
    </comment>
    <comment ref="P109" authorId="3">
      <text>
        <r>
          <rPr>
            <sz val="10"/>
            <rFont val="Arial"/>
            <family val="2"/>
          </rPr>
          <t xml:space="preserve">2/21/2013: </t>
        </r>
        <r>
          <rPr>
            <sz val="10"/>
            <rFont val="Arial"/>
            <family val="2"/>
          </rPr>
          <t>Roughly 24 Rack openings in FY13</t>
        </r>
        <r>
          <rPr>
            <sz val="10"/>
            <rFont val="Arial"/>
            <family val="2"/>
          </rPr>
          <t xml:space="preserve">
1/3/2013 Release:</t>
        </r>
        <r>
          <rPr>
            <sz val="10"/>
            <rFont val="Arial"/>
            <family val="2"/>
          </rPr>
          <t xml:space="preserve">
1) Columbia, MD  - Columbia Crossing (Nordstrom Rack) Spring 2013
2) Downtown Washington DC (Nordstrom Rack) Spring 2013</t>
        </r>
        <r>
          <rPr>
            <sz val="10"/>
            <rFont val="Arial"/>
            <family val="2"/>
          </rPr>
          <t xml:space="preserve">
</t>
        </r>
        <r>
          <rPr>
            <sz val="10"/>
            <rFont val="Arial"/>
            <family val="2"/>
          </rPr>
          <t xml:space="preserve">3) South Portland, ME (Nordstrom Rack) Main Crossing Spring 2013
</t>
        </r>
        <r>
          <rPr>
            <sz val="10"/>
            <rFont val="Arial"/>
            <family val="2"/>
          </rPr>
          <t xml:space="preserve">
Birmingham, AL - River Ridge Shopping Center (Nordstrom 
12/4/2012 JWN website:
</t>
        </r>
        <r>
          <rPr>
            <sz val="10"/>
            <rFont val="Arial"/>
            <family val="2"/>
          </rPr>
          <t xml:space="preserve">1) Birmingham, AL - River Ridge Shopping Center (Nordstrom Rack); Opening Date: Spring 2013
2) Upland, CA - Colonies Crossroads (Nordstrom Rack); Opening Date: Spring 2013
3) Boston, MA - The Newbry (Nordstrom Rack); Opening Date: Spring 2013
4) Ann Arbor, MI - Arborland Center (Nordstrom Rack); Opening Date: Spring 2013
5) Auburn Hills, MI - Baldwin Commons (Nordstrom Rack); Opening Date: Spring 2013
6) Concord, CA - Sunvalley Shopping Center (Nordstrom Rack); Opening Date: Fall 2013
7) Manhasset, NY - Manhasset Center (Nordstrom Rack); Opening Date: Fall 2013
8) Cleveland, OH - Promenade in Crocker Park (Nordstrom Rack); Opening Date: Fall 2013
9) Columbus, OH - Easton Market (Nordstrom Rack); Opening Date: Fall 2013
10) El Paso, TX - The Fountains at Farah (Nordstrom Rack); Opening Date: Fall 2013
</t>
        </r>
        <r>
          <rPr>
            <sz val="10"/>
            <rFont val="Arial"/>
            <family val="2"/>
          </rPr>
          <t xml:space="preserve">8/9/2012: </t>
        </r>
        <r>
          <rPr>
            <sz val="10"/>
            <rFont val="Arial"/>
            <family val="2"/>
          </rPr>
          <t>24 Rack Stores in FY13</t>
        </r>
      </text>
    </comment>
    <comment ref="P112" authorId="4">
      <text>
        <r>
          <rPr>
            <b/>
            <sz val="8"/>
            <color indexed="81"/>
            <rFont val="Tahoma"/>
            <family val="2"/>
          </rPr>
          <t xml:space="preserve">2/20/14 PR:
</t>
        </r>
        <r>
          <rPr>
            <sz val="8"/>
            <color indexed="81"/>
            <rFont val="Tahoma"/>
            <family val="2"/>
          </rPr>
          <t>Palm Desert, California   One Eleven Towne Center   34   March 6
San Francisco, California   901 Market Street   45   March 6
Chicago, Illinois   Collection Anex   40   April 3
Riverside, California   Riverside Plaza   45   April 3
Skokie, Illinois   Shops at Orchard Place   36   April 3
Tulsa, Oklahoma   Woodland Plaza   33   April 3
Wauwatosa, Wisconsin   Mayfair Collection   36   April 3
Brooklyn, New York   505 Fulton Street   41   May 1
Columbus, Ohio   Sun Center   38   May 1
Houston, Texas   Village Plaza at Bunker Hill   30   May 1</t>
        </r>
      </text>
    </comment>
    <comment ref="P113" authorId="4">
      <text>
        <r>
          <rPr>
            <b/>
            <sz val="8"/>
            <color indexed="81"/>
            <rFont val="Tahoma"/>
            <family val="2"/>
          </rPr>
          <t xml:space="preserve">2/20/14:
</t>
        </r>
        <r>
          <rPr>
            <sz val="8"/>
            <color indexed="81"/>
            <rFont val="Tahoma"/>
            <family val="2"/>
          </rPr>
          <t xml:space="preserve">
Manhasset, New York   Manhasset Center   32   May 1</t>
        </r>
        <r>
          <rPr>
            <sz val="8"/>
            <color indexed="81"/>
            <rFont val="Tahoma"/>
            <family val="2"/>
          </rPr>
          <t xml:space="preserve">
</t>
        </r>
      </text>
    </comment>
    <comment ref="E114" authorId="5">
      <text>
        <r>
          <rPr>
            <b/>
            <sz val="9"/>
            <color indexed="81"/>
            <rFont val="Tahoma"/>
            <family val="2"/>
          </rPr>
          <t>casselau:</t>
        </r>
        <r>
          <rPr>
            <sz val="9"/>
            <color indexed="81"/>
            <rFont val="Tahoma"/>
            <family val="2"/>
          </rPr>
          <t xml:space="preserve">
167 rack, 7 other</t>
        </r>
      </text>
    </comment>
    <comment ref="N114" authorId="4">
      <text>
        <r>
          <rPr>
            <b/>
            <sz val="8"/>
            <color indexed="81"/>
            <rFont val="Tahoma"/>
            <family val="2"/>
          </rPr>
          <t xml:space="preserve">2/20/14 PR:
</t>
        </r>
        <r>
          <rPr>
            <sz val="8"/>
            <color indexed="81"/>
            <rFont val="Tahoma"/>
            <family val="2"/>
          </rPr>
          <t>Nordstrom Full-line Stores      
The Woodlands, Texas   The Woodlands Mall   138   September 5
Calgary, Alberta, Canada   Chinook Centre   140   September 19
Jacksonville, Florida   St. Johns Town Center   124   October 3</t>
        </r>
        <r>
          <rPr>
            <sz val="8"/>
            <color indexed="81"/>
            <rFont val="Tahoma"/>
            <family val="2"/>
          </rPr>
          <t xml:space="preserve">
7/10 PR: Close 1 store
Nordstrom today announced plans to close itsFlorida Mall Store in Orlando, Florida. Originally opened in 2002, the store will serve customers through August 16, 2014.</t>
        </r>
      </text>
    </comment>
    <comment ref="P114" authorId="4">
      <text>
        <r>
          <rPr>
            <b/>
            <sz val="8"/>
            <color indexed="81"/>
            <rFont val="Tahoma"/>
            <family val="2"/>
          </rPr>
          <t>2/20/14 PR:</t>
        </r>
        <r>
          <rPr>
            <sz val="8"/>
            <color indexed="81"/>
            <rFont val="Tahoma"/>
            <family val="2"/>
          </rPr>
          <t xml:space="preserve">
Chicago, Illinois   The Maxwell   37   September 10
Dayton, Ohio   The Greene   35   September 10
Houston, Texas   Willowbrook Mall   38   September 10
Queens, New York   The Shops at Skyview   39   September 10
Brentwood, Tennessee   Brentwood Place Shopping Center   36   October 9
Brooklyn, New York   Gateway Center   33   October 9
Greenville, South Carolina   Magnolia Park   32   October 9
Livingston, New Jersey   Livingston Center   32   October 9
Madison, Wisconsin   West Towne Crossing   31   October 9
Tempe, Arizona   Tempe Marketplace   35   October 9
West Palm Beach, Florida   Palm Beach Outlets   35   October 9</t>
        </r>
      </text>
    </comment>
    <comment ref="C115" authorId="5">
      <text>
        <r>
          <rPr>
            <b/>
            <sz val="9"/>
            <color indexed="81"/>
            <rFont val="Tahoma"/>
            <family val="2"/>
          </rPr>
          <t>casselau:</t>
        </r>
        <r>
          <rPr>
            <sz val="9"/>
            <color indexed="81"/>
            <rFont val="Tahoma"/>
            <family val="2"/>
          </rPr>
          <t xml:space="preserve">
includes one Canada store (IR includes in other)</t>
        </r>
      </text>
    </comment>
    <comment ref="E115" authorId="5">
      <text>
        <r>
          <rPr>
            <b/>
            <sz val="9"/>
            <color indexed="81"/>
            <rFont val="Tahoma"/>
            <family val="2"/>
          </rPr>
          <t>casselau:</t>
        </r>
        <r>
          <rPr>
            <sz val="9"/>
            <color indexed="81"/>
            <rFont val="Tahoma"/>
            <family val="2"/>
          </rPr>
          <t xml:space="preserve">
167 rack, 8 other</t>
        </r>
      </text>
    </comment>
    <comment ref="P115" authorId="4">
      <text>
        <r>
          <rPr>
            <b/>
            <sz val="8"/>
            <color indexed="81"/>
            <rFont val="Tahoma"/>
            <family val="2"/>
          </rPr>
          <t xml:space="preserve">2/20/14 PR: </t>
        </r>
        <r>
          <rPr>
            <sz val="8"/>
            <color indexed="81"/>
            <rFont val="Tahoma"/>
            <family val="2"/>
          </rPr>
          <t xml:space="preserve">
Brandon, Florida   Lake Brandon Plaza   33   October 30
Columbia, South Carolina   Harbison Court   34   October 30
Des Moines, Iowa   Plaza at Jordan Creek   35   October 30
Philadelphia, Pennsylvania   1700 Chestnut Street   39   October 30
Summerlin, Nevada     The Shops at Summerlin     36     October 30
(DL: including these in 4Q even though technically it's the 2nd last day of 3Q)</t>
        </r>
      </text>
    </comment>
    <comment ref="C120" authorId="6">
      <text>
        <r>
          <rPr>
            <b/>
            <sz val="9"/>
            <color indexed="81"/>
            <rFont val="Tahoma"/>
            <family val="2"/>
          </rPr>
          <t>Mains, Spencer (Research):</t>
        </r>
        <r>
          <rPr>
            <sz val="9"/>
            <color indexed="81"/>
            <rFont val="Tahoma"/>
            <family val="2"/>
          </rPr>
          <t xml:space="preserve">
8/13/15: Opening Vancouver flagship in Sept and 2 full line stores in Minneapolis and Milwaukee in Oct
11/12/15
Nordstrom full-line - U.S.      
Minneapolis, Minnesota  Ridgedale Center  140  October 2
Torrance, California1  Del Amo Fashion Center  149  October 9
Wauwatosa, Wisconsin  Mayfair  150  October 23
Nordstrom full-line - Canada      
Vancouver, British Columbia  Pacific Centre  231  September 18
Nordstrom Rack      
Albany, New York  Colonie Center  35  September 3
Anchorage, Alaska  The Mall at Sears  35  September 3
Buffalo, New York  Boulevard Consumer Square  35  September 3
Clearwater, Florida  Countryside Mall  39  September 3
Mount Pleasant, South Carolina  Bowman Place  34  September 3
Baton Rouge, Louisiana  The Mall of Louisiana  30  October 1
Long Beach, California  Marina Pacifica Mall  24  October 1
Newark, Delaware  Christiana Fashion Center  32  October 1
Rockaway, New Jersey  Rockaway Commons  39  October 1
Thousand Oaks, California  Janss Marketplace  39  October 1
Cerritos, California  Cerritos Best Plaza  34  October 22
Eatontown, New Jersey  Crossroads at Eatontown  35  October 22
Emeryville, California  East Bay Bridge Center  38  October 22
Fort Collins, Colorado  Foothills Mall  34  October 22
Syracuse, New York  Destiny USA  30  October 22
Wayne, New Jersey  Wayne Town Center  37  October 22</t>
        </r>
      </text>
    </comment>
    <comment ref="E124" authorId="7">
      <text>
        <r>
          <rPr>
            <b/>
            <sz val="9"/>
            <color indexed="81"/>
            <rFont val="Tahoma"/>
            <family val="2"/>
          </rPr>
          <t>Baglione, Gregory  (Research):</t>
        </r>
        <r>
          <rPr>
            <sz val="9"/>
            <color indexed="81"/>
            <rFont val="Tahoma"/>
            <family val="2"/>
          </rPr>
          <t xml:space="preserve">
1 relocation discrepancy</t>
        </r>
      </text>
    </comment>
    <comment ref="I124" authorId="7">
      <text>
        <r>
          <rPr>
            <b/>
            <sz val="9"/>
            <color indexed="81"/>
            <rFont val="Tahoma"/>
            <family val="2"/>
          </rPr>
          <t>Baglione, Gregory  (Research):</t>
        </r>
        <r>
          <rPr>
            <sz val="9"/>
            <color indexed="81"/>
            <rFont val="Tahoma"/>
            <family val="2"/>
          </rPr>
          <t xml:space="preserve">
2/18/16
Nordstrom has announced plans to open the following stores in fiscal 2016, consisting of three new full-line stores, 20 new Nordstrom Rack stores, one full-line store relocation and two Nordstrom Rack store relocations:</t>
        </r>
      </text>
    </comment>
    <comment ref="N124" authorId="7">
      <text>
        <r>
          <rPr>
            <b/>
            <sz val="9"/>
            <color indexed="81"/>
            <rFont val="Tahoma"/>
            <family val="2"/>
          </rPr>
          <t>Baglione, Gregory  (Research):</t>
        </r>
        <r>
          <rPr>
            <sz val="9"/>
            <color indexed="81"/>
            <rFont val="Tahoma"/>
            <family val="2"/>
          </rPr>
          <t xml:space="preserve">
2/18/16
Nordstrom has announced plans to open the following stores in fiscal 2016, consisting of three new full-line stores, 20 new Nordstrom Rack stores, one full-line store relocation and two Nordstrom Rack store relocations:
</t>
        </r>
      </text>
    </comment>
    <comment ref="P124" authorId="7">
      <text>
        <r>
          <rPr>
            <b/>
            <sz val="9"/>
            <color indexed="81"/>
            <rFont val="Tahoma"/>
            <family val="2"/>
          </rPr>
          <t>Baglione, Gregory  (Research):</t>
        </r>
        <r>
          <rPr>
            <sz val="9"/>
            <color indexed="81"/>
            <rFont val="Tahoma"/>
            <family val="2"/>
          </rPr>
          <t xml:space="preserve">
2/18/16
Nordstrom has announced plans to open the following stores in fiscal 2016, consisting of three new full-line stores, 20 new Nordstrom Rack stores, one full-line store relocation and two Nordstrom Rack store relocations:
Lafayette, Louisiana  Ambassador Town Center  25  March 10
Orem, Utah  University Crossing  30  March 10
Virginia Beach, Virginia  Pembroke Mall  33  March 10
Colorado Springs, Colorado  Chapel Hills East  31  April 28
Folsom, California  Palladio at Broadstone  33  April 28
Tucson, Arizona  Wilmot Plaza  25  April 28
Allentown, Pennsylvania  Hamilton Crossing  35  Fall
Braintree, Massachusetts  The Marketplace at Braintree  35  Fall
Fort Lauderdale, Florida  1600 Commons  36  Fall
Honolulu, Hawaii  Waikiki Trade Center  34  Fall
King of Prussia, Pennsylvania2  King of Prussia Town Center  35  Fall
La Jolla, California  The Shops at La Jolla Village  32  Fall
Langhorne, Pennsylvania  Lincoln Plaza  27  Fall
New Orleans, Louisiana  Outlet Collection at Riverwalk  35  Fall
Novi, Michigan  West Oaks  33  Fall
Pittsburgh, Pennsylvania  The Block Northway  40  Fall
Rosemount, Illinois  Fashion Outlets  28  Fall
Sacramento, California3  Howe ‘Bout Arden Center  35  Fall
Santa Rosa, California  Coddingtown Mall  31  Fall
Staten Island, New York  Empire Outlets  34  Fall
Tustin, California  The Market Place  33  Fall
Albuquerque, New Mexico   Winrock Town Center   34   TBD</t>
        </r>
      </text>
    </comment>
    <comment ref="I125" authorId="7">
      <text>
        <r>
          <rPr>
            <b/>
            <sz val="9"/>
            <color indexed="81"/>
            <rFont val="Tahoma"/>
            <family val="2"/>
          </rPr>
          <t>Baglione, Gregory  (Research):</t>
        </r>
        <r>
          <rPr>
            <sz val="9"/>
            <color indexed="81"/>
            <rFont val="Tahoma"/>
            <family val="2"/>
          </rPr>
          <t xml:space="preserve">
2/18/16
Nordstrom has announced plans to open the following stores in fiscal 2016, consisting of three new full-line stores, 20 new Nordstrom Rack stores, one full-line store relocation and two Nordstrom Rack store relocations:</t>
        </r>
      </text>
    </comment>
    <comment ref="P125" authorId="7">
      <text>
        <r>
          <rPr>
            <b/>
            <sz val="9"/>
            <color indexed="81"/>
            <rFont val="Tahoma"/>
            <family val="2"/>
          </rPr>
          <t>Baglione, Gregory  (Research):</t>
        </r>
        <r>
          <rPr>
            <sz val="9"/>
            <color indexed="81"/>
            <rFont val="Tahoma"/>
            <family val="2"/>
          </rPr>
          <t xml:space="preserve">
2/18/16
Nordstrom has announced plans to open the following stores in fiscal 2016, consisting of three new full-line stores, 20 new Nordstrom Rack stores, one full-line store relocation and two Nordstrom Rack store relocations:
Lafayette, Louisiana  Ambassador Town Center  25  March 10
Orem, Utah  University Crossing  30  March 10
Virginia Beach, Virginia  Pembroke Mall  33  March 10
Colorado Springs, Colorado  Chapel Hills East  31  April 28
Folsom, California  Palladio at Broadstone  33  April 28
Tucson, Arizona  Wilmot Plaza  25  April 28
Allentown, Pennsylvania  Hamilton Crossing  35  Fall
Braintree, Massachusetts  The Marketplace at Braintree  35  Fall
Fort Lauderdale, Florida  1600 Commons  36  Fall
Honolulu, Hawaii  Waikiki Trade Center  34  Fall
King of Prussia, Pennsylvania2  King of Prussia Town Center  35  Fall
La Jolla, California  The Shops at La Jolla Village  32  Fall
Langhorne, Pennsylvania  Lincoln Plaza  27  Fall
New Orleans, Louisiana  Outlet Collection at Riverwalk  35  Fall
Novi, Michigan  West Oaks  33  Fall
Pittsburgh, Pennsylvania  The Block Northway  40  Fall
Rosemount, Illinois  Fashion Outlets  28  Fall
Sacramento, California3  Howe ‘Bout Arden Center  35  Fall
Santa Rosa, California  Coddingtown Mall  31  Fall
Staten Island, New York  Empire Outlets  34  Fall
Tustin, California  The Market Place  33  Fall
Albuquerque, New Mexico   Winrock Town Center   34   TBD</t>
        </r>
      </text>
    </comment>
    <comment ref="C126" authorId="6">
      <text>
        <r>
          <rPr>
            <b/>
            <sz val="9"/>
            <color indexed="81"/>
            <rFont val="Tahoma"/>
            <family val="2"/>
          </rPr>
          <t>Mains, Spencer (Research):</t>
        </r>
        <r>
          <rPr>
            <sz val="9"/>
            <color indexed="81"/>
            <rFont val="Tahoma"/>
            <family val="2"/>
          </rPr>
          <t xml:space="preserve">
8/13/15: Opening Vancouver flagship in Sept and 2 full line stores in Minneapolis and Milwaukee in Oct
8/11/16
On September16th, we will open a flagship at Eaton Centre, followed by another store at Yorkdale Shopping
Centre on October 21st. In the U.S., we will open a second full-line store in Austin, Texas, on
September 30th. In</t>
        </r>
      </text>
    </comment>
    <comment ref="I126" authorId="7">
      <text>
        <r>
          <rPr>
            <b/>
            <sz val="9"/>
            <color indexed="81"/>
            <rFont val="Tahoma"/>
            <family val="2"/>
          </rPr>
          <t>Baglione, Gregory  (Research):</t>
        </r>
        <r>
          <rPr>
            <sz val="9"/>
            <color indexed="81"/>
            <rFont val="Tahoma"/>
            <family val="2"/>
          </rPr>
          <t xml:space="preserve">
2/18/16
Nordstrom has announced plans to open the following stores in fiscal 2016, consisting of three new full-line stores, 20 new Nordstrom Rack stores, one full-line store relocation and two Nordstrom Rack store relocations:</t>
        </r>
      </text>
    </comment>
    <comment ref="N126" authorId="7">
      <text>
        <r>
          <rPr>
            <b/>
            <sz val="9"/>
            <color indexed="81"/>
            <rFont val="Tahoma"/>
            <family val="2"/>
          </rPr>
          <t>Baglione, Gregory  (Research):</t>
        </r>
        <r>
          <rPr>
            <sz val="9"/>
            <color indexed="81"/>
            <rFont val="Tahoma"/>
            <family val="2"/>
          </rPr>
          <t xml:space="preserve">
On September
16th, we will open a flagship at Eaton Centre, followed by another store at Yorkdale Shopping
Centre on October 21st. In the U.S., we will open a second full-line store in Austin, Texas, on
September 30th. In</t>
        </r>
      </text>
    </comment>
    <comment ref="P126" authorId="7">
      <text>
        <r>
          <rPr>
            <b/>
            <sz val="9"/>
            <color indexed="81"/>
            <rFont val="Tahoma"/>
            <family val="2"/>
          </rPr>
          <t>Baglione, Gregory  (Research):</t>
        </r>
        <r>
          <rPr>
            <sz val="9"/>
            <color indexed="81"/>
            <rFont val="Tahoma"/>
            <family val="2"/>
          </rPr>
          <t xml:space="preserve">
2/18/16
Nordstrom has announced plans to open the following stores in fiscal 2016, consisting of three new full-line stores, 20 new Nordstrom Rack stores, one full-line store relocation and two Nordstrom Rack store relocations:
Lafayette, Louisiana  Ambassador Town Center  25  March 10
Orem, Utah  University Crossing  30  March 10
Virginia Beach, Virginia  Pembroke Mall  33  March 10
Colorado Springs, Colorado  Chapel Hills East  31  April 28
Folsom, California  Palladio at Broadstone  33  April 28
Tucson, Arizona  Wilmot Plaza  25  April 28
Allentown, Pennsylvania  Hamilton Crossing  35  Fall
Braintree, Massachusetts  The Marketplace at Braintree  35  Fall
Fort Lauderdale, Florida  1600 Commons  36  Fall
Honolulu, Hawaii  Waikiki Trade Center  34  Fall
King of Prussia, Pennsylvania2  King of Prussia Town Center  35  Fall
La Jolla, California  The Shops at La Jolla Village  32  Fall
Langhorne, Pennsylvania  Lincoln Plaza  27  Fall
New Orleans, Louisiana  Outlet Collection at Riverwalk  35  Fall
Novi, Michigan  West Oaks  33  Fall
Pittsburgh, Pennsylvania  The Block Northway  40  Fall
Rosemount, Illinois  Fashion Outlets  28  Fall
Sacramento, California3  Howe ‘Bout Arden Center  35  Fall
Santa Rosa, California  Coddingtown Mall  31  Fall
Staten Island, New York  Empire Outlets  34  Fall
Tustin, California  The Market Place  33  Fall
Albuquerque, New Mexico   Winrock Town Center   34   TBD</t>
        </r>
      </text>
    </comment>
    <comment ref="E127" authorId="7">
      <text>
        <r>
          <rPr>
            <b/>
            <sz val="9"/>
            <color indexed="81"/>
            <rFont val="Tahoma"/>
            <family val="2"/>
          </rPr>
          <t>Baglione, Gregory  (Research):</t>
        </r>
        <r>
          <rPr>
            <sz val="9"/>
            <color indexed="81"/>
            <rFont val="Tahoma"/>
            <family val="2"/>
          </rPr>
          <t xml:space="preserve">
In our Nordstrom Rack brand, we plan to open 15 stores this fall for a total of 215
by the end of the year.</t>
        </r>
      </text>
    </comment>
    <comment ref="I127" authorId="7">
      <text>
        <r>
          <rPr>
            <b/>
            <sz val="9"/>
            <color indexed="81"/>
            <rFont val="Tahoma"/>
            <family val="2"/>
          </rPr>
          <t>Baglione, Gregory  (Research):</t>
        </r>
        <r>
          <rPr>
            <sz val="9"/>
            <color indexed="81"/>
            <rFont val="Tahoma"/>
            <family val="2"/>
          </rPr>
          <t xml:space="preserve">
2/18/16
Nordstrom has announced plans to open the following stores in fiscal 2016, consisting of three new full-line stores, 20 new Nordstrom Rack stores, one full-line store relocation and two Nordstrom Rack store relocations:</t>
        </r>
      </text>
    </comment>
    <comment ref="P127" authorId="7">
      <text>
        <r>
          <rPr>
            <b/>
            <sz val="9"/>
            <color indexed="81"/>
            <rFont val="Tahoma"/>
            <family val="2"/>
          </rPr>
          <t>Baglione, Gregory  (Research):</t>
        </r>
        <r>
          <rPr>
            <sz val="9"/>
            <color indexed="81"/>
            <rFont val="Tahoma"/>
            <family val="2"/>
          </rPr>
          <t xml:space="preserve">
2/18/16
Nordstrom has announced plans to open the following stores in fiscal 2016, consisting of three new full-line stores, 20 new Nordstrom Rack stores, one full-line store relocation and two Nordstrom Rack store relocations:
Lafayette, Louisiana  Ambassador Town Center  25  March 10
Orem, Utah  University Crossing  30  March 10
Virginia Beach, Virginia  Pembroke Mall  33  March 10
Colorado Springs, Colorado  Chapel Hills East  31  April 28
Folsom, California  Palladio at Broadstone  33  April 28
Tucson, Arizona  Wilmot Plaza  25  April 28
Allentown, Pennsylvania  Hamilton Crossing  35  Fall
Braintree, Massachusetts  The Marketplace at Braintree  35  Fall
Fort Lauderdale, Florida  1600 Commons  36  Fall
Honolulu, Hawaii  Waikiki Trade Center  34  Fall
King of Prussia, Pennsylvania2  King of Prussia Town Center  35  Fall
La Jolla, California  The Shops at La Jolla Village  32  Fall
Langhorne, Pennsylvania  Lincoln Plaza  27  Fall
New Orleans, Louisiana  Outlet Collection at Riverwalk  35  Fall
Novi, Michigan  West Oaks  33  Fall
Pittsburgh, Pennsylvania  The Block Northway  40  Fall
Rosemount, Illinois  Fashion Outlets  28  Fall
Sacramento, California3  Howe ‘Bout Arden Center  35  Fall
Santa Rosa, California  Coddingtown Mall  31  Fall
Staten Island, New York  Empire Outlets  34  Fall
Tustin, California  The Market Place  33  Fall
Albuquerque, New Mexico   Winrock Town Center   34   TBD</t>
        </r>
      </text>
    </comment>
    <comment ref="C131" authorId="8">
      <text>
        <r>
          <rPr>
            <b/>
            <sz val="9"/>
            <color indexed="81"/>
            <rFont val="Tahoma"/>
            <family val="2"/>
          </rPr>
          <t>De Courreges, Edouard (Research):</t>
        </r>
        <r>
          <rPr>
            <sz val="9"/>
            <color indexed="81"/>
            <rFont val="Tahoma"/>
            <family val="2"/>
          </rPr>
          <t xml:space="preserve">
8/10/17: 
117 Stores US, 5 CN
All of our stores contribute and are profitable</t>
        </r>
      </text>
    </comment>
    <comment ref="N133" authorId="9">
      <text>
        <r>
          <rPr>
            <b/>
            <sz val="9"/>
            <color indexed="81"/>
            <rFont val="Tahoma"/>
            <family val="2"/>
          </rPr>
          <t>Roberts, Cynthia (Research):</t>
        </r>
        <r>
          <rPr>
            <sz val="9"/>
            <color indexed="81"/>
            <rFont val="Tahoma"/>
            <family val="2"/>
          </rPr>
          <t xml:space="preserve">
Nordstrom plans to open 1 new full line, 2 full line relocations, and 15 new Rack stores, and on Rack relocation </t>
        </r>
      </text>
    </comment>
  </commentList>
</comments>
</file>

<file path=xl/comments6.xml><?xml version="1.0" encoding="utf-8"?>
<comments xmlns="http://schemas.openxmlformats.org/spreadsheetml/2006/main">
  <authors>
    <author>Baglione, Gregory  (Research)</author>
    <author>De Courreges, Edouard (Research)</author>
    <author>Roberts, Cynthia (Research)</author>
  </authors>
  <commentList>
    <comment ref="B10" authorId="0">
      <text>
        <r>
          <rPr>
            <b/>
            <sz val="9"/>
            <color indexed="81"/>
            <rFont val="Tahoma"/>
            <family val="2"/>
          </rPr>
          <t>Baglione, Gregory  (Research):</t>
        </r>
        <r>
          <rPr>
            <sz val="9"/>
            <color indexed="81"/>
            <rFont val="Tahoma"/>
            <family val="2"/>
          </rPr>
          <t xml:space="preserve">
Rounding off by $1M</t>
        </r>
      </text>
    </comment>
    <comment ref="F10" authorId="0">
      <text>
        <r>
          <rPr>
            <b/>
            <sz val="9"/>
            <color indexed="81"/>
            <rFont val="Tahoma"/>
            <family val="2"/>
          </rPr>
          <t>Baglione, Gregory  (Research):</t>
        </r>
        <r>
          <rPr>
            <sz val="9"/>
            <color indexed="81"/>
            <rFont val="Tahoma"/>
            <family val="2"/>
          </rPr>
          <t xml:space="preserve">
Rounding off by $1M</t>
        </r>
      </text>
    </comment>
    <comment ref="J10" authorId="0">
      <text>
        <r>
          <rPr>
            <b/>
            <sz val="9"/>
            <color indexed="81"/>
            <rFont val="Tahoma"/>
            <family val="2"/>
          </rPr>
          <t>Baglione, Gregory  (Research):</t>
        </r>
        <r>
          <rPr>
            <sz val="9"/>
            <color indexed="81"/>
            <rFont val="Tahoma"/>
            <family val="2"/>
          </rPr>
          <t xml:space="preserve">
Rounding off by $1M</t>
        </r>
      </text>
    </comment>
    <comment ref="N10" authorId="0">
      <text>
        <r>
          <rPr>
            <b/>
            <sz val="9"/>
            <color indexed="81"/>
            <rFont val="Tahoma"/>
            <family val="2"/>
          </rPr>
          <t>Baglione, Gregory  (Research):</t>
        </r>
        <r>
          <rPr>
            <sz val="9"/>
            <color indexed="81"/>
            <rFont val="Tahoma"/>
            <family val="2"/>
          </rPr>
          <t xml:space="preserve">
rounding off by $1M</t>
        </r>
      </text>
    </comment>
    <comment ref="T10" authorId="0">
      <text>
        <r>
          <rPr>
            <b/>
            <sz val="9"/>
            <color indexed="81"/>
            <rFont val="Tahoma"/>
            <family val="2"/>
          </rPr>
          <t>Baglione, Gregory  (Research):</t>
        </r>
        <r>
          <rPr>
            <sz val="9"/>
            <color indexed="81"/>
            <rFont val="Tahoma"/>
            <family val="2"/>
          </rPr>
          <t xml:space="preserve">
Explore the difference between sum of parts of comp vs. actual total comp. May be some discrepancy due to the way they are reporting returns across various channels.</t>
        </r>
      </text>
    </comment>
    <comment ref="X10" authorId="0">
      <text>
        <r>
          <rPr>
            <b/>
            <sz val="9"/>
            <color indexed="81"/>
            <rFont val="Tahoma"/>
            <family val="2"/>
          </rPr>
          <t>Baglione, Gregory  (Research):</t>
        </r>
        <r>
          <rPr>
            <sz val="9"/>
            <color indexed="81"/>
            <rFont val="Tahoma"/>
            <family val="2"/>
          </rPr>
          <t xml:space="preserve">
Explore the difference between sum of parts of comp vs. actual total comp. May be some discrepancy due to the way they are reporting returns across various channels.</t>
        </r>
      </text>
    </comment>
    <comment ref="X14" authorId="0">
      <text>
        <r>
          <rPr>
            <b/>
            <sz val="9"/>
            <color indexed="81"/>
            <rFont val="Tahoma"/>
            <family val="2"/>
          </rPr>
          <t>Baglione, Gregory  (Research):</t>
        </r>
        <r>
          <rPr>
            <sz val="9"/>
            <color indexed="81"/>
            <rFont val="Tahoma"/>
            <family val="2"/>
          </rPr>
          <t xml:space="preserve">
-5.4</t>
        </r>
      </text>
    </comment>
    <comment ref="X30" authorId="0">
      <text>
        <r>
          <rPr>
            <b/>
            <sz val="9"/>
            <color indexed="81"/>
            <rFont val="Tahoma"/>
            <family val="2"/>
          </rPr>
          <t>Baglione, Gregory  (Research):</t>
        </r>
        <r>
          <rPr>
            <sz val="9"/>
            <color indexed="81"/>
            <rFont val="Tahoma"/>
            <family val="2"/>
          </rPr>
          <t xml:space="preserve">
-4.3% inclduing Full Line, Nordstrom.com, Trunk Club, Canada</t>
        </r>
      </text>
    </comment>
    <comment ref="AB39" authorId="1">
      <text>
        <r>
          <rPr>
            <b/>
            <sz val="9"/>
            <color indexed="81"/>
            <rFont val="Tahoma"/>
            <family val="2"/>
          </rPr>
          <t>De Courreges, Edouard (Research):</t>
        </r>
        <r>
          <rPr>
            <sz val="9"/>
            <color indexed="81"/>
            <rFont val="Tahoma"/>
            <family val="2"/>
          </rPr>
          <t xml:space="preserve">
8/10/17: we've been running about 200 basis points below our plan (though above plan for rack.com)
we actually saw our merch margins grow
year-over-year in off-price</t>
        </r>
      </text>
    </comment>
    <comment ref="N46" authorId="0">
      <text>
        <r>
          <rPr>
            <b/>
            <sz val="9"/>
            <color indexed="81"/>
            <rFont val="Tahoma"/>
            <family val="2"/>
          </rPr>
          <t>Baglione, Gregory  (Research):</t>
        </r>
        <r>
          <rPr>
            <sz val="9"/>
            <color indexed="81"/>
            <rFont val="Tahoma"/>
            <family val="2"/>
          </rPr>
          <t xml:space="preserve">
Restated from $85M</t>
        </r>
      </text>
    </comment>
    <comment ref="AB46" authorId="2">
      <text>
        <r>
          <rPr>
            <b/>
            <sz val="9"/>
            <color indexed="81"/>
            <rFont val="Tahoma"/>
            <family val="2"/>
          </rPr>
          <t>Roberts, Cynthia (Research):</t>
        </r>
        <r>
          <rPr>
            <sz val="9"/>
            <color indexed="81"/>
            <rFont val="Tahoma"/>
            <family val="2"/>
          </rPr>
          <t xml:space="preserve">
Off-price comp 2.3%</t>
        </r>
      </text>
    </comment>
    <comment ref="J48" authorId="0">
      <text>
        <r>
          <rPr>
            <b/>
            <sz val="9"/>
            <color indexed="81"/>
            <rFont val="Tahoma"/>
            <family val="2"/>
          </rPr>
          <t>Baglione, Gregory  (Research):</t>
        </r>
        <r>
          <rPr>
            <sz val="9"/>
            <color indexed="81"/>
            <rFont val="Tahoma"/>
            <family val="2"/>
          </rPr>
          <t xml:space="preserve">
Restated from $78M in 2013 Q</t>
        </r>
      </text>
    </comment>
    <comment ref="A52" authorId="0">
      <text>
        <r>
          <rPr>
            <b/>
            <sz val="9"/>
            <color indexed="81"/>
            <rFont val="Tahoma"/>
            <family val="2"/>
          </rPr>
          <t>Baglione, Gregory  (Research):</t>
        </r>
        <r>
          <rPr>
            <sz val="9"/>
            <color indexed="81"/>
            <rFont val="Tahoma"/>
            <family val="2"/>
          </rPr>
          <t xml:space="preserve">
</t>
        </r>
      </text>
    </comment>
    <comment ref="J54" authorId="0">
      <text>
        <r>
          <rPr>
            <b/>
            <sz val="9"/>
            <color indexed="81"/>
            <rFont val="Tahoma"/>
            <family val="2"/>
          </rPr>
          <t>Baglione, Gregory  (Research):</t>
        </r>
        <r>
          <rPr>
            <sz val="9"/>
            <color indexed="81"/>
            <rFont val="Tahoma"/>
            <family val="2"/>
          </rPr>
          <t xml:space="preserve">
do not disclose</t>
        </r>
      </text>
    </comment>
    <comment ref="V54" authorId="0">
      <text>
        <r>
          <rPr>
            <b/>
            <sz val="9"/>
            <color indexed="81"/>
            <rFont val="Tahoma"/>
            <family val="2"/>
          </rPr>
          <t>Baglione, Gregory  (Research):</t>
        </r>
        <r>
          <rPr>
            <sz val="9"/>
            <color indexed="81"/>
            <rFont val="Tahoma"/>
            <family val="2"/>
          </rPr>
          <t xml:space="preserve">
1 Other retail includes Nordstrom Canada full-line stores, Trunk Club and Jeffrey boutiques.
</t>
        </r>
      </text>
    </comment>
    <comment ref="J55" authorId="0">
      <text>
        <r>
          <rPr>
            <b/>
            <sz val="9"/>
            <color indexed="81"/>
            <rFont val="Tahoma"/>
            <family val="2"/>
          </rPr>
          <t>Baglione, Gregory  (Research):</t>
        </r>
        <r>
          <rPr>
            <sz val="9"/>
            <color indexed="81"/>
            <rFont val="Tahoma"/>
            <family val="2"/>
          </rPr>
          <t xml:space="preserve">
do not disclose</t>
        </r>
      </text>
    </comment>
    <comment ref="J57" authorId="0">
      <text>
        <r>
          <rPr>
            <b/>
            <sz val="9"/>
            <color indexed="81"/>
            <rFont val="Tahoma"/>
            <family val="2"/>
          </rPr>
          <t>Baglione, Gregory  (Research):</t>
        </r>
        <r>
          <rPr>
            <sz val="9"/>
            <color indexed="81"/>
            <rFont val="Tahoma"/>
            <family val="2"/>
          </rPr>
          <t xml:space="preserve">
do not disclose</t>
        </r>
      </text>
    </comment>
  </commentList>
</comments>
</file>

<file path=xl/comments7.xml><?xml version="1.0" encoding="utf-8"?>
<comments xmlns="http://schemas.openxmlformats.org/spreadsheetml/2006/main">
  <authors>
    <author>Baglione, Gregory  (Research)</author>
    <author>De Courreges, Edouard (Research)</author>
    <author>balskyh</author>
    <author>Baglione, Gregory (Research)</author>
    <author>Cassel, Lauren (Research)</author>
    <author>Scott Feiler</author>
  </authors>
  <commentList>
    <comment ref="AI7" authorId="0">
      <text>
        <r>
          <rPr>
            <b/>
            <sz val="9"/>
            <color indexed="81"/>
            <rFont val="Tahoma"/>
            <family val="2"/>
          </rPr>
          <t>Baglione, Gregory  (Research):</t>
        </r>
        <r>
          <rPr>
            <sz val="9"/>
            <color indexed="81"/>
            <rFont val="Tahoma"/>
            <family val="2"/>
          </rPr>
          <t xml:space="preserve">
8/13/15: Sales growth remains on pace for +8.5-+9.5%</t>
        </r>
      </text>
    </comment>
    <comment ref="AK9" authorId="1">
      <text>
        <r>
          <rPr>
            <b/>
            <sz val="9"/>
            <color indexed="81"/>
            <rFont val="Tahoma"/>
            <family val="2"/>
          </rPr>
          <t>De Courreges, Edouard (Research):</t>
        </r>
        <r>
          <rPr>
            <sz val="9"/>
            <color indexed="81"/>
            <rFont val="Tahoma"/>
            <family val="2"/>
          </rPr>
          <t xml:space="preserve">
8/10/17: we expect our online penetration to exceed 25% by the end of the year</t>
        </r>
      </text>
    </comment>
    <comment ref="AG10" authorId="2">
      <text>
        <r>
          <rPr>
            <b/>
            <sz val="8"/>
            <color indexed="81"/>
            <rFont val="Tahoma"/>
            <family val="2"/>
          </rPr>
          <t xml:space="preserve">11/8/2012: </t>
        </r>
        <r>
          <rPr>
            <sz val="8"/>
            <color indexed="81"/>
            <rFont val="Tahoma"/>
            <family val="2"/>
          </rPr>
          <t>Online could grow L-M 30%</t>
        </r>
      </text>
    </comment>
    <comment ref="AI11" authorId="0">
      <text>
        <r>
          <rPr>
            <b/>
            <sz val="9"/>
            <color indexed="81"/>
            <rFont val="Tahoma"/>
            <family val="2"/>
          </rPr>
          <t>Baglione, Gregory  (Research):</t>
        </r>
        <r>
          <rPr>
            <sz val="9"/>
            <color indexed="81"/>
            <rFont val="Tahoma"/>
            <family val="2"/>
          </rPr>
          <t xml:space="preserve">
8/13/15: Sales growth remains on pace for +8.5-+9.5%</t>
        </r>
      </text>
    </comment>
    <comment ref="AK11" authorId="3">
      <text>
        <r>
          <rPr>
            <b/>
            <sz val="9"/>
            <color indexed="81"/>
            <rFont val="Tahoma"/>
            <family val="2"/>
          </rPr>
          <t>Baglione, Gregory (Research):</t>
        </r>
        <r>
          <rPr>
            <sz val="9"/>
            <color indexed="81"/>
            <rFont val="Tahoma"/>
            <family val="2"/>
          </rPr>
          <t xml:space="preserve">
53rd week impact ~1% spread benefit</t>
        </r>
      </text>
    </comment>
    <comment ref="AL11" authorId="3">
      <text>
        <r>
          <rPr>
            <b/>
            <sz val="9"/>
            <color indexed="81"/>
            <rFont val="Tahoma"/>
            <family val="2"/>
          </rPr>
          <t>Baglione, Gregory (Research):</t>
        </r>
        <r>
          <rPr>
            <sz val="9"/>
            <color indexed="81"/>
            <rFont val="Tahoma"/>
            <family val="2"/>
          </rPr>
          <t xml:space="preserve">
Reverse spread to 2.5% </t>
        </r>
      </text>
    </comment>
    <comment ref="AK26" authorId="0">
      <text>
        <r>
          <rPr>
            <b/>
            <sz val="9"/>
            <color indexed="81"/>
            <rFont val="Tahoma"/>
            <family val="2"/>
          </rPr>
          <t>Baglione, Gregory  (Research):</t>
        </r>
        <r>
          <rPr>
            <sz val="9"/>
            <color indexed="81"/>
            <rFont val="Tahoma"/>
            <family val="2"/>
          </rPr>
          <t xml:space="preserve">
1/5/16
Lowered from 3.0% to 2.0%</t>
        </r>
      </text>
    </comment>
    <comment ref="AL26" authorId="0">
      <text>
        <r>
          <rPr>
            <b/>
            <sz val="9"/>
            <color indexed="81"/>
            <rFont val="Tahoma"/>
            <family val="2"/>
          </rPr>
          <t>Baglione, Gregory  (Research):</t>
        </r>
        <r>
          <rPr>
            <sz val="9"/>
            <color indexed="81"/>
            <rFont val="Tahoma"/>
            <family val="2"/>
          </rPr>
          <t xml:space="preserve">
1/5/16
Lowered from 3.0% to 2.0%</t>
        </r>
      </text>
    </comment>
    <comment ref="AM26" authorId="0">
      <text>
        <r>
          <rPr>
            <b/>
            <sz val="9"/>
            <color indexed="81"/>
            <rFont val="Tahoma"/>
            <family val="2"/>
          </rPr>
          <t>Baglione, Gregory  (Research):</t>
        </r>
        <r>
          <rPr>
            <sz val="9"/>
            <color indexed="81"/>
            <rFont val="Tahoma"/>
            <family val="2"/>
          </rPr>
          <t xml:space="preserve">
1/5/16
Lowered from 3.0% to 2.0%</t>
        </r>
      </text>
    </comment>
    <comment ref="AG30" authorId="2">
      <text>
        <r>
          <rPr>
            <b/>
            <i/>
            <sz val="8"/>
            <color indexed="12"/>
            <rFont val="Tahoma"/>
            <family val="2"/>
          </rPr>
          <t>Note: Adjusted by factor to get to guidance range</t>
        </r>
        <r>
          <rPr>
            <b/>
            <sz val="8"/>
            <color indexed="81"/>
            <rFont val="Tahoma"/>
            <family val="2"/>
          </rPr>
          <t xml:space="preserve">
2011 10K guidance: 
</t>
        </r>
        <r>
          <rPr>
            <sz val="8"/>
            <color indexed="81"/>
            <rFont val="Tahoma"/>
            <family val="2"/>
          </rPr>
          <t>$160-$170M of revenues from extra week</t>
        </r>
      </text>
    </comment>
    <comment ref="AH53" authorId="2">
      <text>
        <r>
          <rPr>
            <b/>
            <sz val="8"/>
            <color indexed="81"/>
            <rFont val="Tahoma"/>
            <family val="2"/>
          </rPr>
          <t xml:space="preserve">9/13/2012 - </t>
        </r>
        <r>
          <rPr>
            <sz val="8"/>
            <color indexed="81"/>
            <rFont val="Tahoma"/>
            <family val="2"/>
          </rPr>
          <t>Calgary store opens fall 2014</t>
        </r>
      </text>
    </comment>
    <comment ref="AI53" authorId="2">
      <text>
        <r>
          <rPr>
            <b/>
            <sz val="8"/>
            <color indexed="81"/>
            <rFont val="Tahoma"/>
            <family val="2"/>
          </rPr>
          <t xml:space="preserve">9/13/2012 - </t>
        </r>
        <r>
          <rPr>
            <sz val="8"/>
            <color indexed="81"/>
            <rFont val="Tahoma"/>
            <family val="2"/>
          </rPr>
          <t>Calgary store opens fall 2014</t>
        </r>
      </text>
    </comment>
    <comment ref="AK53" authorId="4">
      <text>
        <r>
          <rPr>
            <b/>
            <sz val="9"/>
            <color indexed="81"/>
            <rFont val="Tahoma"/>
            <family val="2"/>
          </rPr>
          <t>Cassel, Lauren (Research):</t>
        </r>
        <r>
          <rPr>
            <sz val="9"/>
            <color indexed="81"/>
            <rFont val="Tahoma"/>
            <family val="2"/>
          </rPr>
          <t xml:space="preserve">
plan to open 1 new full line store</t>
        </r>
      </text>
    </comment>
    <comment ref="AG54" authorId="5">
      <text>
        <r>
          <rPr>
            <b/>
            <sz val="8"/>
            <color indexed="81"/>
            <rFont val="Tahoma"/>
            <family val="2"/>
          </rPr>
          <t>Guidance 3/10/10:</t>
        </r>
        <r>
          <rPr>
            <sz val="8"/>
            <color indexed="81"/>
            <rFont val="Tahoma"/>
            <family val="2"/>
          </rPr>
          <t xml:space="preserve">
1) Plan for 10-15 Racks/yr and 2-4 full line/yr for next several yrs
2) Full line expansion constrained by lack of comm real estate
1/9/09: 5 full-line store openings listed on the website
6/16/08: 1 full-line store opening listed on website</t>
        </r>
      </text>
    </comment>
    <comment ref="AH54" authorId="5">
      <text>
        <r>
          <rPr>
            <b/>
            <sz val="8"/>
            <color indexed="81"/>
            <rFont val="Tahoma"/>
            <family val="2"/>
          </rPr>
          <t>Guidance 3/10/10:</t>
        </r>
        <r>
          <rPr>
            <sz val="8"/>
            <color indexed="81"/>
            <rFont val="Tahoma"/>
            <family val="2"/>
          </rPr>
          <t xml:space="preserve">
1) Plan for 10-15 Racks/yr and 2-4 full line/yr for next several yrs
2) Full line expansion constrained by lack of comm real estate
1/9/09: 5 full-line store openings listed on the website
6/16/08: 1 full-line store opening listed on website</t>
        </r>
      </text>
    </comment>
    <comment ref="AI54" authorId="5">
      <text>
        <r>
          <rPr>
            <b/>
            <sz val="8"/>
            <color indexed="81"/>
            <rFont val="Tahoma"/>
            <family val="2"/>
          </rPr>
          <t>Guidance 3/10/10:</t>
        </r>
        <r>
          <rPr>
            <sz val="8"/>
            <color indexed="81"/>
            <rFont val="Tahoma"/>
            <family val="2"/>
          </rPr>
          <t xml:space="preserve">
1) Plan for 10-15 Racks/yr and 2-4 full line/yr for next several yrs
2) Full line expansion constrained by lack of comm real estate
1/9/09: 5 full-line store openings listed on the website
6/16/08: 1 full-line store opening listed on website</t>
        </r>
      </text>
    </comment>
    <comment ref="AK65" authorId="3">
      <text>
        <r>
          <rPr>
            <b/>
            <sz val="9"/>
            <color indexed="81"/>
            <rFont val="Tahoma"/>
            <family val="2"/>
          </rPr>
          <t>Plan to open 15 new rack stores in 2016 
Baglione, Gregory (Research):</t>
        </r>
        <r>
          <rPr>
            <sz val="9"/>
            <color indexed="81"/>
            <rFont val="Tahoma"/>
            <family val="2"/>
          </rPr>
          <t xml:space="preserve">
~15 Racks on IR Website as of 11/10/16</t>
        </r>
      </text>
    </comment>
    <comment ref="AG66" authorId="5">
      <text>
        <r>
          <rPr>
            <b/>
            <sz val="8"/>
            <color indexed="81"/>
            <rFont val="Tahoma"/>
            <family val="2"/>
          </rPr>
          <t xml:space="preserve">8/9/2012 Guidance
</t>
        </r>
        <r>
          <rPr>
            <sz val="8"/>
            <color indexed="81"/>
            <rFont val="Tahoma"/>
            <family val="2"/>
          </rPr>
          <t>+24 Racks</t>
        </r>
        <r>
          <rPr>
            <b/>
            <sz val="8"/>
            <color indexed="81"/>
            <rFont val="Tahoma"/>
            <family val="2"/>
          </rPr>
          <t xml:space="preserve">
Guidance 3/10/10:</t>
        </r>
        <r>
          <rPr>
            <sz val="8"/>
            <color indexed="81"/>
            <rFont val="Tahoma"/>
            <family val="2"/>
          </rPr>
          <t xml:space="preserve">
1) Plan for 10-15 Racks/yr and 2-4 full line/yr for next several yrs
2) Full line expansion constrained by lack of comm real estate
1/9/09: 5 full-line store openings listed on the website
6/16/08: 1 full-line store opening listed on website</t>
        </r>
      </text>
    </comment>
    <comment ref="AH66" authorId="5">
      <text>
        <r>
          <rPr>
            <b/>
            <sz val="8"/>
            <color indexed="81"/>
            <rFont val="Tahoma"/>
            <family val="2"/>
          </rPr>
          <t>8/9/2012:</t>
        </r>
        <r>
          <rPr>
            <sz val="8"/>
            <color indexed="81"/>
            <rFont val="Tahoma"/>
            <family val="2"/>
          </rPr>
          <t xml:space="preserve"> 230+ stores by 2016</t>
        </r>
        <r>
          <rPr>
            <b/>
            <sz val="8"/>
            <color indexed="81"/>
            <rFont val="Tahoma"/>
            <family val="2"/>
          </rPr>
          <t xml:space="preserve">
Guidance 3/10/10:</t>
        </r>
        <r>
          <rPr>
            <sz val="8"/>
            <color indexed="81"/>
            <rFont val="Tahoma"/>
            <family val="2"/>
          </rPr>
          <t xml:space="preserve">
1) Plan for 10-15 Racks/yr and 2-4 full line/yr for next several yrs
2) Full line expansion constrained by lack of comm real estate
1/9/09: 5 full-line store openings listed on the website
6/16/08: 1 full-line store opening listed on website</t>
        </r>
      </text>
    </comment>
    <comment ref="AI66" authorId="5">
      <text>
        <r>
          <rPr>
            <b/>
            <sz val="8"/>
            <color indexed="81"/>
            <rFont val="Tahoma"/>
            <family val="2"/>
          </rPr>
          <t>8/9/2012:</t>
        </r>
        <r>
          <rPr>
            <sz val="8"/>
            <color indexed="81"/>
            <rFont val="Tahoma"/>
            <family val="2"/>
          </rPr>
          <t xml:space="preserve"> 230+ stores by 2016</t>
        </r>
        <r>
          <rPr>
            <b/>
            <sz val="8"/>
            <color indexed="81"/>
            <rFont val="Tahoma"/>
            <family val="2"/>
          </rPr>
          <t xml:space="preserve">
Guidance 3/10/10:</t>
        </r>
        <r>
          <rPr>
            <sz val="8"/>
            <color indexed="81"/>
            <rFont val="Tahoma"/>
            <family val="2"/>
          </rPr>
          <t xml:space="preserve">
1) Plan for 10-15 Racks/yr and 2-4 full line/yr for next several yrs
2) Full line expansion constrained by lack of comm real estate
1/9/09: 5 full-line store openings listed on the website
6/16/08: 1 full-line store opening listed on website</t>
        </r>
      </text>
    </comment>
    <comment ref="AJ66" authorId="5">
      <text>
        <r>
          <rPr>
            <b/>
            <sz val="8"/>
            <color indexed="81"/>
            <rFont val="Tahoma"/>
            <family val="2"/>
          </rPr>
          <t>8/9/2012:</t>
        </r>
        <r>
          <rPr>
            <sz val="8"/>
            <color indexed="81"/>
            <rFont val="Tahoma"/>
            <family val="2"/>
          </rPr>
          <t xml:space="preserve"> 230+ stores by 2016</t>
        </r>
        <r>
          <rPr>
            <b/>
            <sz val="8"/>
            <color indexed="81"/>
            <rFont val="Tahoma"/>
            <family val="2"/>
          </rPr>
          <t xml:space="preserve">
Guidance 3/10/10:</t>
        </r>
        <r>
          <rPr>
            <sz val="8"/>
            <color indexed="81"/>
            <rFont val="Tahoma"/>
            <family val="2"/>
          </rPr>
          <t xml:space="preserve">
1) Plan for 10-15 Racks/yr and 2-4 full line/yr for next several yrs
2) Full line expansion constrained by lack of comm real estate
1/9/09: 5 full-line store openings listed on the website
6/16/08: 1 full-line store opening listed on website</t>
        </r>
      </text>
    </comment>
    <comment ref="AK66" authorId="5">
      <text>
        <r>
          <rPr>
            <b/>
            <sz val="8"/>
            <color indexed="81"/>
            <rFont val="Tahoma"/>
            <family val="2"/>
          </rPr>
          <t>8/9/2012:</t>
        </r>
        <r>
          <rPr>
            <sz val="8"/>
            <color indexed="81"/>
            <rFont val="Tahoma"/>
            <family val="2"/>
          </rPr>
          <t xml:space="preserve"> 230+ stores by 2016</t>
        </r>
        <r>
          <rPr>
            <b/>
            <sz val="8"/>
            <color indexed="81"/>
            <rFont val="Tahoma"/>
            <family val="2"/>
          </rPr>
          <t xml:space="preserve">
Guidance 3/10/10:</t>
        </r>
        <r>
          <rPr>
            <sz val="8"/>
            <color indexed="81"/>
            <rFont val="Tahoma"/>
            <family val="2"/>
          </rPr>
          <t xml:space="preserve">
1) Plan for 10-15 Racks/yr and 2-4 full line/yr for next several yrs
2) Full line expansion constrained by lack of comm real estate
1/9/09: 5 full-line store openings listed on the website
6/16/08: 1 full-line store opening listed on website</t>
        </r>
      </text>
    </comment>
    <comment ref="AL66" authorId="5">
      <text>
        <r>
          <rPr>
            <b/>
            <sz val="8"/>
            <color indexed="81"/>
            <rFont val="Tahoma"/>
            <family val="2"/>
          </rPr>
          <t>8/9/2012:</t>
        </r>
        <r>
          <rPr>
            <sz val="8"/>
            <color indexed="81"/>
            <rFont val="Tahoma"/>
            <family val="2"/>
          </rPr>
          <t xml:space="preserve"> 230+ stores by 2016</t>
        </r>
        <r>
          <rPr>
            <b/>
            <sz val="8"/>
            <color indexed="81"/>
            <rFont val="Tahoma"/>
            <family val="2"/>
          </rPr>
          <t xml:space="preserve">
Guidance 3/10/10:</t>
        </r>
        <r>
          <rPr>
            <sz val="8"/>
            <color indexed="81"/>
            <rFont val="Tahoma"/>
            <family val="2"/>
          </rPr>
          <t xml:space="preserve">
1) Plan for 10-15 Racks/yr and 2-4 full line/yr for next several yrs
2) Full line expansion constrained by lack of comm real estate
1/9/09: 5 full-line store openings listed on the website
6/16/08: 1 full-line store opening listed on website</t>
        </r>
      </text>
    </comment>
    <comment ref="AM66" authorId="5">
      <text>
        <r>
          <rPr>
            <b/>
            <sz val="8"/>
            <color indexed="81"/>
            <rFont val="Tahoma"/>
            <family val="2"/>
          </rPr>
          <t>3/8/17: Long term rack store count 280-285 - no longer 300
2/19/2015: 300 by 2020
8/9/2012:</t>
        </r>
        <r>
          <rPr>
            <sz val="8"/>
            <color indexed="81"/>
            <rFont val="Tahoma"/>
            <family val="2"/>
          </rPr>
          <t xml:space="preserve"> 230+ stores by 2016</t>
        </r>
        <r>
          <rPr>
            <b/>
            <sz val="8"/>
            <color indexed="81"/>
            <rFont val="Tahoma"/>
            <family val="2"/>
          </rPr>
          <t xml:space="preserve">
Guidance 3/10/10:</t>
        </r>
        <r>
          <rPr>
            <sz val="8"/>
            <color indexed="81"/>
            <rFont val="Tahoma"/>
            <family val="2"/>
          </rPr>
          <t xml:space="preserve">
1) Plan for 10-15 Racks/yr and 2-4 full line/yr for next several yrs
2) Full line expansion constrained by lack of comm real estate
1/9/09: 5 full-line store openings listed on the website
6/16/08: 1 full-line store opening listed on website</t>
        </r>
      </text>
    </comment>
    <comment ref="AN66" authorId="4">
      <text>
        <r>
          <rPr>
            <b/>
            <sz val="9"/>
            <color indexed="81"/>
            <rFont val="Tahoma"/>
            <family val="2"/>
          </rPr>
          <t>Cassel, Lauren (Research):</t>
        </r>
        <r>
          <rPr>
            <sz val="9"/>
            <color indexed="81"/>
            <rFont val="Tahoma"/>
            <family val="2"/>
          </rPr>
          <t xml:space="preserve">
3/8/17: 3/8/17: Long term rack store count 280-285 - no longer 300</t>
        </r>
      </text>
    </comment>
    <comment ref="AO66" authorId="4">
      <text>
        <r>
          <rPr>
            <b/>
            <sz val="9"/>
            <color indexed="81"/>
            <rFont val="Tahoma"/>
            <family val="2"/>
          </rPr>
          <t>Cassel, Lauren (Research):</t>
        </r>
        <r>
          <rPr>
            <sz val="9"/>
            <color indexed="81"/>
            <rFont val="Tahoma"/>
            <family val="2"/>
          </rPr>
          <t xml:space="preserve">
3/8/17: Long term rack store count 280-285 - no longer 300</t>
        </r>
      </text>
    </comment>
    <comment ref="AP66" authorId="4">
      <text>
        <r>
          <rPr>
            <b/>
            <sz val="9"/>
            <color indexed="81"/>
            <rFont val="Tahoma"/>
            <family val="2"/>
          </rPr>
          <t>Cassel, Lauren (Research):</t>
        </r>
        <r>
          <rPr>
            <sz val="9"/>
            <color indexed="81"/>
            <rFont val="Tahoma"/>
            <family val="2"/>
          </rPr>
          <t xml:space="preserve">
3/8/17: Long term rack store count 280-285 - no longer 300</t>
        </r>
      </text>
    </comment>
  </commentList>
</comments>
</file>

<file path=xl/comments8.xml><?xml version="1.0" encoding="utf-8"?>
<comments xmlns="http://schemas.openxmlformats.org/spreadsheetml/2006/main">
  <authors>
    <author>casselau</author>
    <author>Baglione, Gregory  (Research)</author>
    <author>Roberts, Cynthia (Research)</author>
    <author>balskyh</author>
    <author>DL</author>
  </authors>
  <commentList>
    <comment ref="AM7" authorId="0">
      <text>
        <r>
          <rPr>
            <b/>
            <sz val="9"/>
            <color indexed="81"/>
            <rFont val="Tahoma"/>
            <family val="2"/>
          </rPr>
          <t>casselau:</t>
        </r>
        <r>
          <rPr>
            <sz val="9"/>
            <color indexed="81"/>
            <rFont val="Tahoma"/>
            <family val="2"/>
          </rPr>
          <t xml:space="preserve">
8/13/15: $20B by 2020
2/19/15: $20B+ business by 2020</t>
        </r>
      </text>
    </comment>
    <comment ref="AJ11" authorId="1">
      <text>
        <r>
          <rPr>
            <b/>
            <sz val="9"/>
            <color indexed="81"/>
            <rFont val="Tahoma"/>
            <family val="2"/>
          </rPr>
          <t>Baglione, Gregory  (Research):</t>
        </r>
        <r>
          <rPr>
            <sz val="9"/>
            <color indexed="81"/>
            <rFont val="Tahoma"/>
            <family val="2"/>
          </rPr>
          <t xml:space="preserve">
Reflects sale of CC Rec. ~2.1B. Expect to maintain majority of revenue. Lose ~100M op income.</t>
        </r>
      </text>
    </comment>
    <comment ref="AK11" authorId="1">
      <text>
        <r>
          <rPr>
            <b/>
            <sz val="9"/>
            <color indexed="81"/>
            <rFont val="Tahoma"/>
            <family val="2"/>
          </rPr>
          <t>Baglione, Gregory  (Research):</t>
        </r>
        <r>
          <rPr>
            <sz val="9"/>
            <color indexed="81"/>
            <rFont val="Tahoma"/>
            <family val="2"/>
          </rPr>
          <t xml:space="preserve">
11/10/16 
prev: 269
curr:258
2/18/16
Expect FY credit EBIT ~$70-$80M
Purchase accounting will impact by ~$17-18M, which is why guidance is below $100M. 
Credit income in 2017 will go back to $100M level when those charges roll off</t>
        </r>
      </text>
    </comment>
    <comment ref="AL11" authorId="2">
      <text>
        <r>
          <rPr>
            <b/>
            <sz val="9"/>
            <color indexed="81"/>
            <rFont val="Tahoma"/>
            <family val="2"/>
          </rPr>
          <t>Roberts, Cynthia (Research):</t>
        </r>
        <r>
          <rPr>
            <sz val="9"/>
            <color indexed="81"/>
            <rFont val="Tahoma"/>
            <family val="2"/>
          </rPr>
          <t xml:space="preserve">
11/10/16
prev: 284
curr:277</t>
        </r>
      </text>
    </comment>
    <comment ref="AM11" authorId="2">
      <text>
        <r>
          <rPr>
            <b/>
            <sz val="9"/>
            <color indexed="81"/>
            <rFont val="Tahoma"/>
            <family val="2"/>
          </rPr>
          <t>Roberts, Cynthia (Research):</t>
        </r>
        <r>
          <rPr>
            <sz val="9"/>
            <color indexed="81"/>
            <rFont val="Tahoma"/>
            <family val="2"/>
          </rPr>
          <t xml:space="preserve">
11/10/16
prev: 299
curr: 298</t>
        </r>
      </text>
    </comment>
    <comment ref="AG18" authorId="3">
      <text>
        <r>
          <rPr>
            <b/>
            <sz val="8"/>
            <color indexed="81"/>
            <rFont val="Tahoma"/>
            <family val="2"/>
          </rPr>
          <t xml:space="preserve">2/21/2013 Mgmt commentary: </t>
        </r>
        <r>
          <rPr>
            <sz val="8"/>
            <color indexed="81"/>
            <rFont val="Tahoma"/>
            <family val="2"/>
          </rPr>
          <t>MDSE margin at all time high in FY12, don't expect significant expansion there</t>
        </r>
      </text>
    </comment>
    <comment ref="AH18" authorId="3">
      <text>
        <r>
          <rPr>
            <b/>
            <sz val="8"/>
            <color indexed="81"/>
            <rFont val="Tahoma"/>
            <family val="2"/>
          </rPr>
          <t xml:space="preserve">2/21/2013 Mgmt commentary: </t>
        </r>
        <r>
          <rPr>
            <sz val="8"/>
            <color indexed="81"/>
            <rFont val="Tahoma"/>
            <family val="2"/>
          </rPr>
          <t>MDSE margin at all time high in FY12, don't expect significant expansion there</t>
        </r>
      </text>
    </comment>
    <comment ref="AI18" authorId="3">
      <text>
        <r>
          <rPr>
            <b/>
            <sz val="8"/>
            <color indexed="81"/>
            <rFont val="Tahoma"/>
            <family val="2"/>
          </rPr>
          <t xml:space="preserve">2/21/2013 Mgmt commentary: </t>
        </r>
        <r>
          <rPr>
            <sz val="8"/>
            <color indexed="81"/>
            <rFont val="Tahoma"/>
            <family val="2"/>
          </rPr>
          <t>MDSE margin at all time high in FY12, don't expect significant expansion there</t>
        </r>
      </text>
    </comment>
    <comment ref="AJ18" authorId="3">
      <text>
        <r>
          <rPr>
            <b/>
            <sz val="8"/>
            <color indexed="81"/>
            <rFont val="Tahoma"/>
            <family val="2"/>
          </rPr>
          <t xml:space="preserve">2/21/2013 Mgmt commentary: </t>
        </r>
        <r>
          <rPr>
            <sz val="8"/>
            <color indexed="81"/>
            <rFont val="Tahoma"/>
            <family val="2"/>
          </rPr>
          <t>MDSE margin at all time high in FY12, don't expect significant expansion there</t>
        </r>
      </text>
    </comment>
    <comment ref="AK18" authorId="1">
      <text>
        <r>
          <rPr>
            <b/>
            <sz val="9"/>
            <color indexed="81"/>
            <rFont val="Tahoma"/>
            <family val="2"/>
          </rPr>
          <t>Baglione, Gregory  (Research):</t>
        </r>
        <r>
          <rPr>
            <sz val="9"/>
            <color indexed="81"/>
            <rFont val="Tahoma"/>
            <family val="2"/>
          </rPr>
          <t xml:space="preserve">
11/10/16 
prev: 34.4
curr:34.5
1/4/16
We model 10 bps GM decline y/y given ongoing  headwinds from increased competitive pressures, including price match and  occupancy deleverage</t>
        </r>
      </text>
    </comment>
    <comment ref="AL18" authorId="1">
      <text>
        <r>
          <rPr>
            <b/>
            <sz val="9"/>
            <color indexed="81"/>
            <rFont val="Tahoma"/>
            <family val="2"/>
          </rPr>
          <t>Baglione, Gregory  (Research):</t>
        </r>
        <r>
          <rPr>
            <sz val="9"/>
            <color indexed="81"/>
            <rFont val="Tahoma"/>
            <family val="2"/>
          </rPr>
          <t xml:space="preserve">
11/10/16
prev: 34.3
curr: 34.46
1/4/16
We model 5 bps GM decline y/y given ongoing  headwinds from increased competitive pressures, including price match and  occupancy deleverage</t>
        </r>
      </text>
    </comment>
    <comment ref="AM18" authorId="1">
      <text>
        <r>
          <rPr>
            <b/>
            <sz val="9"/>
            <color indexed="81"/>
            <rFont val="Tahoma"/>
            <family val="2"/>
          </rPr>
          <t>Baglione, Gregory  (Research):</t>
        </r>
        <r>
          <rPr>
            <sz val="9"/>
            <color indexed="81"/>
            <rFont val="Tahoma"/>
            <family val="2"/>
          </rPr>
          <t xml:space="preserve">
11/10/16
prev: 34.24
curr: 34.46
1/4/16
We model 5 bps GM decline y/y given ongoing  headwinds from increased competitive pressures, including price match and  occupancy deleverage</t>
        </r>
      </text>
    </comment>
    <comment ref="AG19" authorId="3">
      <text>
        <r>
          <rPr>
            <b/>
            <sz val="8"/>
            <color indexed="81"/>
            <rFont val="Tahoma"/>
            <family val="2"/>
          </rPr>
          <t xml:space="preserve">8/9/2012 Guidance
</t>
        </r>
        <r>
          <rPr>
            <sz val="8"/>
            <color indexed="81"/>
            <rFont val="Tahoma"/>
            <family val="2"/>
          </rPr>
          <t>Greater # of Rack openings hurt GM, but benefits SG&amp;A -&gt; Op Mgn Favorable</t>
        </r>
      </text>
    </comment>
    <comment ref="AH19" authorId="3">
      <text>
        <r>
          <rPr>
            <b/>
            <sz val="8"/>
            <color indexed="81"/>
            <rFont val="Tahoma"/>
            <family val="2"/>
          </rPr>
          <t xml:space="preserve">8/9/2012 Guidance
</t>
        </r>
        <r>
          <rPr>
            <sz val="8"/>
            <color indexed="81"/>
            <rFont val="Tahoma"/>
            <family val="2"/>
          </rPr>
          <t>Greater # of Rack openings hurt GM, but benefits SG&amp;A -&gt; Op Mgn Favorable</t>
        </r>
      </text>
    </comment>
    <comment ref="AI19" authorId="3">
      <text>
        <r>
          <rPr>
            <b/>
            <sz val="8"/>
            <color indexed="81"/>
            <rFont val="Tahoma"/>
            <family val="2"/>
          </rPr>
          <t xml:space="preserve">8/9/2012 Guidance
</t>
        </r>
        <r>
          <rPr>
            <sz val="8"/>
            <color indexed="81"/>
            <rFont val="Tahoma"/>
            <family val="2"/>
          </rPr>
          <t>Greater # of Rack openings hurt GM, but benefits SG&amp;A -&gt; Op Mgn Favorable</t>
        </r>
      </text>
    </comment>
    <comment ref="AH21" authorId="4">
      <text>
        <r>
          <rPr>
            <sz val="9"/>
            <color indexed="81"/>
            <rFont val="Tahoma"/>
            <family val="2"/>
          </rPr>
          <t xml:space="preserve">to match Qtr P&amp;L total SG&amp;A
</t>
        </r>
      </text>
    </comment>
    <comment ref="AI21" authorId="4">
      <text>
        <r>
          <rPr>
            <sz val="9"/>
            <color indexed="81"/>
            <rFont val="Tahoma"/>
            <family val="2"/>
          </rPr>
          <t xml:space="preserve">to match Qtr P&amp;L total SG&amp;A
</t>
        </r>
      </text>
    </comment>
    <comment ref="AJ21" authorId="4">
      <text>
        <r>
          <rPr>
            <sz val="9"/>
            <color indexed="81"/>
            <rFont val="Tahoma"/>
            <family val="2"/>
          </rPr>
          <t xml:space="preserve">to match Qtr P&amp;L total SG&amp;A
</t>
        </r>
      </text>
    </comment>
    <comment ref="AK26" authorId="1">
      <text>
        <r>
          <rPr>
            <b/>
            <sz val="9"/>
            <color indexed="81"/>
            <rFont val="Tahoma"/>
            <family val="2"/>
          </rPr>
          <t>Baglione, Gregory  (Research):</t>
        </r>
        <r>
          <rPr>
            <sz val="9"/>
            <color indexed="81"/>
            <rFont val="Tahoma"/>
            <family val="2"/>
          </rPr>
          <t xml:space="preserve">
1/4/16
We model approximately 6% SG&amp;A dollar growth y/y</t>
        </r>
      </text>
    </comment>
    <comment ref="AL26" authorId="1">
      <text>
        <r>
          <rPr>
            <b/>
            <sz val="9"/>
            <color indexed="81"/>
            <rFont val="Tahoma"/>
            <family val="2"/>
          </rPr>
          <t>Baglione, Gregory  (Research):</t>
        </r>
        <r>
          <rPr>
            <sz val="9"/>
            <color indexed="81"/>
            <rFont val="Tahoma"/>
            <family val="2"/>
          </rPr>
          <t xml:space="preserve">
11/10/16
prev: 29.5
curr:29.4
1/4/16
We model approximately 6% SG&amp;A dollar growth y/y</t>
        </r>
      </text>
    </comment>
    <comment ref="AM26" authorId="1">
      <text>
        <r>
          <rPr>
            <b/>
            <sz val="9"/>
            <color indexed="81"/>
            <rFont val="Tahoma"/>
            <family val="2"/>
          </rPr>
          <t>Baglione, Gregory  (Research):</t>
        </r>
        <r>
          <rPr>
            <sz val="9"/>
            <color indexed="81"/>
            <rFont val="Tahoma"/>
            <family val="2"/>
          </rPr>
          <t xml:space="preserve">
1/4/16
We model approximately 6% SG&amp;A dollar growth y/y</t>
        </r>
      </text>
    </comment>
    <comment ref="AJ29" authorId="1">
      <text>
        <r>
          <rPr>
            <b/>
            <sz val="9"/>
            <color indexed="81"/>
            <rFont val="Tahoma"/>
            <family val="2"/>
          </rPr>
          <t>Baglione, Gregory  (Research):</t>
        </r>
        <r>
          <rPr>
            <sz val="9"/>
            <color indexed="81"/>
            <rFont val="Tahoma"/>
            <family val="2"/>
          </rPr>
          <t xml:space="preserve">
Reflects sale of CC Rec. ~2.1B. Expect to maintain majority of revenue. Lose ~100M op income.</t>
        </r>
      </text>
    </comment>
    <comment ref="AK29" authorId="1">
      <text>
        <r>
          <rPr>
            <b/>
            <sz val="9"/>
            <color indexed="81"/>
            <rFont val="Tahoma"/>
            <family val="2"/>
          </rPr>
          <t>Baglione, Gregory  (Research):</t>
        </r>
        <r>
          <rPr>
            <sz val="9"/>
            <color indexed="81"/>
            <rFont val="Tahoma"/>
            <family val="2"/>
          </rPr>
          <t xml:space="preserve">
2/18/16
Expect FY credit EBIT ~$70-$80M
Purchase accounting will impact by ~$17-18M, which is why guidance is below $100M. 
Credit income in 2017 will go back to $100M level when those charges roll off</t>
        </r>
      </text>
    </comment>
    <comment ref="AG35" authorId="3">
      <text>
        <r>
          <rPr>
            <b/>
            <sz val="8"/>
            <color indexed="81"/>
            <rFont val="Tahoma"/>
            <family val="2"/>
          </rPr>
          <t xml:space="preserve">2/21/2013 Guidance: 
</t>
        </r>
        <r>
          <rPr>
            <sz val="8"/>
            <color indexed="81"/>
            <rFont val="Tahoma"/>
            <family val="2"/>
          </rPr>
          <t>* EBIT mgn is planned to increase in FY13</t>
        </r>
        <r>
          <rPr>
            <b/>
            <sz val="8"/>
            <color indexed="81"/>
            <rFont val="Tahoma"/>
            <family val="2"/>
          </rPr>
          <t xml:space="preserve">
</t>
        </r>
        <r>
          <rPr>
            <sz val="8"/>
            <color indexed="81"/>
            <rFont val="Tahoma"/>
            <family val="2"/>
          </rPr>
          <t>* Expect no EBIT expansion over the next several years given infrastructure investments to support Canada growth, Rack growth related costs and higher D&amp;A from ongoing ecomm investments</t>
        </r>
      </text>
    </comment>
    <comment ref="AH35" authorId="3">
      <text>
        <r>
          <rPr>
            <b/>
            <sz val="8"/>
            <color indexed="81"/>
            <rFont val="Tahoma"/>
            <family val="2"/>
          </rPr>
          <t xml:space="preserve">2/21/2013 Guidance: 
</t>
        </r>
        <r>
          <rPr>
            <sz val="8"/>
            <color indexed="81"/>
            <rFont val="Tahoma"/>
            <family val="2"/>
          </rPr>
          <t>* EBIT mgn is planned to increase in FY13</t>
        </r>
        <r>
          <rPr>
            <b/>
            <sz val="8"/>
            <color indexed="81"/>
            <rFont val="Tahoma"/>
            <family val="2"/>
          </rPr>
          <t xml:space="preserve">
</t>
        </r>
        <r>
          <rPr>
            <sz val="8"/>
            <color indexed="81"/>
            <rFont val="Tahoma"/>
            <family val="2"/>
          </rPr>
          <t>* Expect no EBIT expansion over the next several years given infrastructure investments to support Canada growth, Rack growth related costs and higher D&amp;A from ongoing ecomm investments</t>
        </r>
      </text>
    </comment>
    <comment ref="AI35" authorId="3">
      <text>
        <r>
          <rPr>
            <b/>
            <sz val="8"/>
            <color indexed="81"/>
            <rFont val="Tahoma"/>
            <family val="2"/>
          </rPr>
          <t xml:space="preserve">2/21/2013 Guidance: 
</t>
        </r>
        <r>
          <rPr>
            <sz val="8"/>
            <color indexed="81"/>
            <rFont val="Tahoma"/>
            <family val="2"/>
          </rPr>
          <t>* EBIT mgn is planned to increase in FY13</t>
        </r>
        <r>
          <rPr>
            <b/>
            <sz val="8"/>
            <color indexed="81"/>
            <rFont val="Tahoma"/>
            <family val="2"/>
          </rPr>
          <t xml:space="preserve">
</t>
        </r>
        <r>
          <rPr>
            <sz val="8"/>
            <color indexed="81"/>
            <rFont val="Tahoma"/>
            <family val="2"/>
          </rPr>
          <t>* Expect no EBIT expansion over the next several years given infrastructure investments to support Canada growth, Rack growth related costs and higher D&amp;A from ongoing ecomm investments</t>
        </r>
      </text>
    </comment>
    <comment ref="AJ35" authorId="3">
      <text>
        <r>
          <rPr>
            <b/>
            <sz val="8"/>
            <color indexed="81"/>
            <rFont val="Tahoma"/>
            <family val="2"/>
          </rPr>
          <t xml:space="preserve">2/21/2013 Guidance: 
</t>
        </r>
        <r>
          <rPr>
            <sz val="8"/>
            <color indexed="81"/>
            <rFont val="Tahoma"/>
            <family val="2"/>
          </rPr>
          <t>* EBIT mgn is planned to increase in FY13</t>
        </r>
        <r>
          <rPr>
            <b/>
            <sz val="8"/>
            <color indexed="81"/>
            <rFont val="Tahoma"/>
            <family val="2"/>
          </rPr>
          <t xml:space="preserve">
</t>
        </r>
        <r>
          <rPr>
            <sz val="8"/>
            <color indexed="81"/>
            <rFont val="Tahoma"/>
            <family val="2"/>
          </rPr>
          <t>* Expect no EBIT expansion over the next several years given infrastructure investments to support Canada growth, Rack growth related costs and higher D&amp;A from ongoing ecomm investments</t>
        </r>
      </text>
    </comment>
    <comment ref="AK35" authorId="3">
      <text>
        <r>
          <rPr>
            <b/>
            <sz val="8"/>
            <color indexed="81"/>
            <rFont val="Tahoma"/>
            <family val="2"/>
          </rPr>
          <t xml:space="preserve">2/21/2013 Guidance: 
</t>
        </r>
        <r>
          <rPr>
            <sz val="8"/>
            <color indexed="81"/>
            <rFont val="Tahoma"/>
            <family val="2"/>
          </rPr>
          <t>* EBIT mgn is planned to increase in FY13</t>
        </r>
        <r>
          <rPr>
            <b/>
            <sz val="8"/>
            <color indexed="81"/>
            <rFont val="Tahoma"/>
            <family val="2"/>
          </rPr>
          <t xml:space="preserve">
</t>
        </r>
        <r>
          <rPr>
            <sz val="8"/>
            <color indexed="81"/>
            <rFont val="Tahoma"/>
            <family val="2"/>
          </rPr>
          <t>* Expect no EBIT expansion over the next several years given infrastructure investments to support Canada growth, Rack growth related costs and higher D&amp;A from ongoing ecomm investments</t>
        </r>
      </text>
    </comment>
    <comment ref="AL35" authorId="3">
      <text>
        <r>
          <rPr>
            <b/>
            <sz val="8"/>
            <color indexed="81"/>
            <rFont val="Tahoma"/>
            <family val="2"/>
          </rPr>
          <t xml:space="preserve">2/21/2013 Guidance: 
</t>
        </r>
        <r>
          <rPr>
            <sz val="8"/>
            <color indexed="81"/>
            <rFont val="Tahoma"/>
            <family val="2"/>
          </rPr>
          <t>* EBIT mgn is planned to increase in FY13</t>
        </r>
        <r>
          <rPr>
            <b/>
            <sz val="8"/>
            <color indexed="81"/>
            <rFont val="Tahoma"/>
            <family val="2"/>
          </rPr>
          <t xml:space="preserve">
</t>
        </r>
        <r>
          <rPr>
            <sz val="8"/>
            <color indexed="81"/>
            <rFont val="Tahoma"/>
            <family val="2"/>
          </rPr>
          <t>* Expect no EBIT expansion over the next several years given infrastructure investments to support Canada growth, Rack growth related costs and higher D&amp;A from ongoing ecomm investments</t>
        </r>
      </text>
    </comment>
    <comment ref="AM35" authorId="3">
      <text>
        <r>
          <rPr>
            <b/>
            <sz val="8"/>
            <color indexed="81"/>
            <rFont val="Tahoma"/>
            <family val="2"/>
          </rPr>
          <t xml:space="preserve">2/21/2013 Guidance: 
</t>
        </r>
        <r>
          <rPr>
            <sz val="8"/>
            <color indexed="81"/>
            <rFont val="Tahoma"/>
            <family val="2"/>
          </rPr>
          <t>* EBIT mgn is planned to increase in FY13</t>
        </r>
        <r>
          <rPr>
            <b/>
            <sz val="8"/>
            <color indexed="81"/>
            <rFont val="Tahoma"/>
            <family val="2"/>
          </rPr>
          <t xml:space="preserve">
</t>
        </r>
        <r>
          <rPr>
            <sz val="8"/>
            <color indexed="81"/>
            <rFont val="Tahoma"/>
            <family val="2"/>
          </rPr>
          <t>* Expect no EBIT expansion over the next several years given infrastructure investments to support Canada growth, Rack growth related costs and higher D&amp;A from ongoing ecomm investments</t>
        </r>
      </text>
    </comment>
    <comment ref="AJ61" authorId="1">
      <text>
        <r>
          <rPr>
            <b/>
            <sz val="9"/>
            <color indexed="81"/>
            <rFont val="Tahoma"/>
            <family val="2"/>
          </rPr>
          <t>Baglione, Gregory  (Research):</t>
        </r>
        <r>
          <rPr>
            <sz val="9"/>
            <color indexed="81"/>
            <rFont val="Tahoma"/>
            <family val="2"/>
          </rPr>
          <t xml:space="preserve">
11/23/15
Lowering EPS  to $4.00 from $4.05 due to $14M in incremental cash accounting charges not previously included in 4Q CC SG&amp;A</t>
        </r>
      </text>
    </comment>
    <comment ref="AK61" authorId="1">
      <text>
        <r>
          <rPr>
            <b/>
            <sz val="9"/>
            <color indexed="81"/>
            <rFont val="Tahoma"/>
            <family val="2"/>
          </rPr>
          <t>Baglione, Gregory  (Research):</t>
        </r>
        <r>
          <rPr>
            <sz val="9"/>
            <color indexed="81"/>
            <rFont val="Tahoma"/>
            <family val="2"/>
          </rPr>
          <t xml:space="preserve">
9/4/15 buybacks offset decline in credit operating income
11/4/15
Lowering EPS to $4.50 from $4.65 due to lower than expected share repurchases
11/23/15
Lowering EPS due to $15M in cash accounting adjustment charges related to CC transaction.</t>
        </r>
      </text>
    </comment>
  </commentList>
</comments>
</file>

<file path=xl/comments9.xml><?xml version="1.0" encoding="utf-8"?>
<comments xmlns="http://schemas.openxmlformats.org/spreadsheetml/2006/main">
  <authors>
    <author>Baglione, Gregory  (Research)</author>
    <author>De Courreges, Edouard (Research)</author>
  </authors>
  <commentList>
    <comment ref="AN9" authorId="0">
      <text>
        <r>
          <rPr>
            <b/>
            <sz val="9"/>
            <color indexed="81"/>
            <rFont val="Tahoma"/>
            <family val="2"/>
          </rPr>
          <t>Baglione, Gregory  (Research):</t>
        </r>
        <r>
          <rPr>
            <sz val="9"/>
            <color indexed="81"/>
            <rFont val="Tahoma"/>
            <family val="2"/>
          </rPr>
          <t xml:space="preserve">
1/5/16
JWN said target cash balance ~~$600M-$1.2B. However, we are leaving our cash balance ~$300M, but note JWN may need to increase its leverage in the out years in order to maintain its target level of liquidity.</t>
        </r>
      </text>
    </comment>
    <comment ref="AO9" authorId="0">
      <text>
        <r>
          <rPr>
            <b/>
            <sz val="9"/>
            <color indexed="81"/>
            <rFont val="Tahoma"/>
            <family val="2"/>
          </rPr>
          <t>Baglione, Gregory  (Research):</t>
        </r>
        <r>
          <rPr>
            <sz val="9"/>
            <color indexed="81"/>
            <rFont val="Tahoma"/>
            <family val="2"/>
          </rPr>
          <t xml:space="preserve">
1/5/16
JWN said target cash balance ~~$600M-$1.2B. However, we are leaving our cash balance ~$300M, but note JWN may need to increase its leverage in the out years in order to maintain its target level of liquidity.</t>
        </r>
      </text>
    </comment>
    <comment ref="AP9" authorId="0">
      <text>
        <r>
          <rPr>
            <b/>
            <sz val="9"/>
            <color indexed="81"/>
            <rFont val="Tahoma"/>
            <family val="2"/>
          </rPr>
          <t>Baglione, Gregory  (Research):</t>
        </r>
        <r>
          <rPr>
            <sz val="9"/>
            <color indexed="81"/>
            <rFont val="Tahoma"/>
            <family val="2"/>
          </rPr>
          <t xml:space="preserve">
1/5/16
JWN said target cash balance ~~$600M-$1.2B. However, we are leaving our cash balance ~$300M, but note JWN may need to increase its leverage in the out years in order to maintain its target level of liquidity.</t>
        </r>
      </text>
    </comment>
    <comment ref="AL10" authorId="0">
      <text>
        <r>
          <rPr>
            <b/>
            <sz val="9"/>
            <color indexed="81"/>
            <rFont val="Tahoma"/>
            <family val="2"/>
          </rPr>
          <t>Baglione, Gregory  (Research):</t>
        </r>
        <r>
          <rPr>
            <sz val="9"/>
            <color indexed="81"/>
            <rFont val="Tahoma"/>
            <family val="2"/>
          </rPr>
          <t xml:space="preserve">
Previously 2,428.
Company to sell ~2.1B receivables, ~$225-250M left after sale
</t>
        </r>
      </text>
    </comment>
    <comment ref="AN18" authorId="1">
      <text>
        <r>
          <rPr>
            <b/>
            <sz val="9"/>
            <color indexed="81"/>
            <rFont val="Tahoma"/>
            <family val="2"/>
          </rPr>
          <t>De Courreges, Edouard (Research):</t>
        </r>
        <r>
          <rPr>
            <sz val="9"/>
            <color indexed="81"/>
            <rFont val="Tahoma"/>
            <family val="2"/>
          </rPr>
          <t xml:space="preserve">
$111M Land and land improvements
$1,246M Buildings and building improvements
$3,009M Leasehold improvements
$3,724M Store fixtures and equipment
$1,280M Capitalized software
$584M Construction in progress
-$6,105M Accumulated depreciation
</t>
        </r>
      </text>
    </comment>
  </commentList>
</comments>
</file>

<file path=xl/comments10.xml><?xml version="1.0" encoding="utf-8"?>
<comments xmlns="http://schemas.openxmlformats.org/spreadsheetml/2006/main">
  <authors>
    <author>Scott Feiler</author>
    <author>cuomochr</author>
    <author>Michelle Clark</author>
    <author>casselau</author>
    <author>gfowlkes</author>
    <author>leechi</author>
    <author>mmcclell</author>
    <author>balskyh</author>
    <author>DL</author>
    <author>Baglione, Gregory  (Research)</author>
    <author>duol</author>
  </authors>
  <commentList>
    <comment ref="AE10" authorId="0">
      <text>
        <r>
          <rPr>
            <b/>
            <sz val="8"/>
            <color indexed="81"/>
            <rFont val="Tahoma"/>
            <family val="2"/>
          </rPr>
          <t xml:space="preserve">Guidance: 2/23/2009
$275M
</t>
        </r>
      </text>
    </comment>
    <comment ref="AF10" authorId="1">
      <text>
        <r>
          <rPr>
            <b/>
            <sz val="8"/>
            <color indexed="81"/>
            <rFont val="Tahoma"/>
            <family val="2"/>
          </rPr>
          <t xml:space="preserve">Guidance 2/22/10:
</t>
        </r>
        <r>
          <rPr>
            <sz val="8"/>
            <color indexed="81"/>
            <rFont val="Tahoma"/>
            <family val="2"/>
          </rPr>
          <t>$275mn</t>
        </r>
        <r>
          <rPr>
            <sz val="8"/>
            <color indexed="81"/>
            <rFont val="Tahoma"/>
            <family val="2"/>
          </rPr>
          <t xml:space="preserve">
</t>
        </r>
      </text>
    </comment>
    <comment ref="AH10" authorId="2">
      <text>
        <r>
          <rPr>
            <b/>
            <sz val="8"/>
            <color indexed="81"/>
            <rFont val="Tahoma"/>
            <family val="2"/>
          </rPr>
          <t xml:space="preserve">see ROW 66
Guidance: 2/16/2012
</t>
        </r>
        <r>
          <rPr>
            <sz val="8"/>
            <color indexed="81"/>
            <rFont val="Tahoma"/>
            <family val="2"/>
          </rPr>
          <t xml:space="preserve">$370M includes dep of def property incentives
</t>
        </r>
      </text>
    </comment>
    <comment ref="AK10" authorId="3">
      <text>
        <r>
          <rPr>
            <b/>
            <sz val="9"/>
            <color indexed="81"/>
            <rFont val="Tahoma"/>
            <family val="2"/>
          </rPr>
          <t>casselau:</t>
        </r>
        <r>
          <rPr>
            <sz val="9"/>
            <color indexed="81"/>
            <rFont val="Tahoma"/>
            <family val="2"/>
          </rPr>
          <t xml:space="preserve">
2/19/15: expected to increase 15%</t>
        </r>
      </text>
    </comment>
    <comment ref="Z15" authorId="4">
      <text>
        <r>
          <rPr>
            <b/>
            <sz val="8"/>
            <color indexed="81"/>
            <rFont val="Tahoma"/>
            <family val="2"/>
          </rPr>
          <t>gfowlkes:</t>
        </r>
        <r>
          <rPr>
            <sz val="8"/>
            <color indexed="81"/>
            <rFont val="Tahoma"/>
            <family val="2"/>
          </rPr>
          <t xml:space="preserve">
$725-775 in capital projects over 3 yrs</t>
        </r>
      </text>
    </comment>
    <comment ref="AD15" authorId="5">
      <text>
        <r>
          <rPr>
            <b/>
            <sz val="8"/>
            <color indexed="81"/>
            <rFont val="Tahoma"/>
            <family val="2"/>
          </rPr>
          <t>11/13/2008:</t>
        </r>
        <r>
          <rPr>
            <sz val="8"/>
            <color indexed="81"/>
            <rFont val="Tahoma"/>
            <family val="2"/>
          </rPr>
          <t xml:space="preserve"> $2.5BN over 5 years
- will reduce remodels to ~2/year, down from 5-6/yr, until economic environment improves
11/19/2007: $3Bn over next 5 years.
$525M in 2008.
80% on stores
10% for technology
Balance on maintenence</t>
        </r>
      </text>
    </comment>
    <comment ref="AE15" authorId="0">
      <text>
        <r>
          <rPr>
            <b/>
            <sz val="8"/>
            <color indexed="81"/>
            <rFont val="Tahoma"/>
            <family val="2"/>
          </rPr>
          <t xml:space="preserve">Guidance: 11/12/2009
</t>
        </r>
        <r>
          <rPr>
            <sz val="8"/>
            <color indexed="81"/>
            <rFont val="Tahoma"/>
            <family val="2"/>
          </rPr>
          <t>$280M</t>
        </r>
        <r>
          <rPr>
            <b/>
            <sz val="8"/>
            <color indexed="81"/>
            <rFont val="Tahoma"/>
            <family val="2"/>
          </rPr>
          <t xml:space="preserve">
Guidance: 2/23/2009
</t>
        </r>
        <r>
          <rPr>
            <sz val="8"/>
            <color indexed="81"/>
            <rFont val="Tahoma"/>
            <family val="2"/>
          </rPr>
          <t>$325M</t>
        </r>
        <r>
          <rPr>
            <b/>
            <sz val="8"/>
            <color indexed="81"/>
            <rFont val="Tahoma"/>
            <family val="2"/>
          </rPr>
          <t xml:space="preserve">
</t>
        </r>
        <r>
          <rPr>
            <b/>
            <sz val="8"/>
            <color indexed="81"/>
            <rFont val="Tahoma"/>
            <family val="2"/>
          </rPr>
          <t>Guidance: 11/13/2008</t>
        </r>
        <r>
          <rPr>
            <sz val="8"/>
            <color indexed="81"/>
            <rFont val="Tahoma"/>
            <family val="2"/>
          </rPr>
          <t xml:space="preserve">
$350mm capex vs previous $560mm plan</t>
        </r>
      </text>
    </comment>
    <comment ref="AF15" authorId="1">
      <text>
        <r>
          <rPr>
            <b/>
            <sz val="8"/>
            <color indexed="81"/>
            <rFont val="Tahoma"/>
            <family val="2"/>
          </rPr>
          <t xml:space="preserve">Guidance: 2/22/10
</t>
        </r>
        <r>
          <rPr>
            <sz val="8"/>
            <color indexed="81"/>
            <rFont val="Tahoma"/>
            <family val="2"/>
          </rPr>
          <t xml:space="preserve">Reiterate $325-$375M net (gross up at similar ratio as in 2009 to get to ~$450M gross, annualizing deferred property incentives)
3 Full Line/ 16 Racks
</t>
        </r>
        <r>
          <rPr>
            <b/>
            <sz val="8"/>
            <color indexed="81"/>
            <rFont val="Tahoma"/>
            <family val="2"/>
          </rPr>
          <t xml:space="preserve">
Guidance: 11/12/09
$325-$375M net (or ~$465M gross, annualizing deferred property incentives)
</t>
        </r>
        <r>
          <rPr>
            <sz val="8"/>
            <color indexed="81"/>
            <rFont val="Tahoma"/>
            <family val="2"/>
          </rPr>
          <t xml:space="preserve">3 Full Line/15 Rack openings and 5-6 remodels in 2010
$40-45mn tech investment/yr
</t>
        </r>
        <r>
          <rPr>
            <b/>
            <sz val="8"/>
            <color indexed="81"/>
            <rFont val="Tahoma"/>
            <family val="2"/>
          </rPr>
          <t>Long term capex:</t>
        </r>
        <r>
          <rPr>
            <sz val="8"/>
            <color indexed="81"/>
            <rFont val="Tahoma"/>
            <family val="2"/>
          </rPr>
          <t xml:space="preserve">
2-4 Full Line per year
10-15 Racks per year
$2.1bn of capex over 5 years vs. $2.5bn previously</t>
        </r>
      </text>
    </comment>
    <comment ref="AG15" authorId="6">
      <text>
        <r>
          <rPr>
            <b/>
            <sz val="8"/>
            <color indexed="81"/>
            <rFont val="Tahoma"/>
            <family val="2"/>
          </rPr>
          <t xml:space="preserve">Guidance: 2/17/11
</t>
        </r>
        <r>
          <rPr>
            <sz val="8"/>
            <color indexed="81"/>
            <rFont val="Tahoma"/>
            <family val="2"/>
          </rPr>
          <t>* $400-440; $70 of which is IT
* $2.2 bn 5-yr plan; 75% new stores &amp; remodels; 15% IT and 10% store maint</t>
        </r>
        <r>
          <rPr>
            <b/>
            <sz val="8"/>
            <color indexed="81"/>
            <rFont val="Tahoma"/>
            <family val="2"/>
          </rPr>
          <t xml:space="preserve">
Guidance: 2/26/07
$2.8Bn over 5 yrs
('07-'11)</t>
        </r>
        <r>
          <rPr>
            <sz val="8"/>
            <color indexed="81"/>
            <rFont val="Tahoma"/>
            <family val="2"/>
          </rPr>
          <t xml:space="preserve">
</t>
        </r>
      </text>
    </comment>
    <comment ref="AH15" authorId="7">
      <text>
        <r>
          <rPr>
            <sz val="10"/>
            <rFont val="Arial"/>
            <family val="2"/>
          </rPr>
          <t xml:space="preserve">See row 113 for Capex net of incentives.
</t>
        </r>
        <r>
          <rPr>
            <b/>
            <sz val="8"/>
            <color indexed="81"/>
            <rFont val="Tahoma"/>
            <family val="2"/>
          </rPr>
          <t xml:space="preserve">
2/16/12 Guidance:
</t>
        </r>
        <r>
          <rPr>
            <sz val="8"/>
            <color indexed="81"/>
            <rFont val="Tahoma"/>
            <family val="2"/>
          </rPr>
          <t>1) $480-520M, net of incentives (majority on increase y/y attributable to ecomm investments)
2) Plan to spend $140M in ecomm (~30% of capex) vs. $100M (~20%) LY
3) For every dollar of capital that goes into technology; there is roughly 30-40%
4) 5-yr capital plan $3.3Bn (~60% for new stores and remodels)
5) (per 2011 10K) plan to relocated 2 Rack stores &amp; remodel 8 FL stores</t>
        </r>
      </text>
    </comment>
    <comment ref="AI15" authorId="6">
      <text>
        <r>
          <rPr>
            <b/>
            <sz val="8"/>
            <color indexed="81"/>
            <rFont val="Tahoma"/>
            <family val="2"/>
          </rPr>
          <t xml:space="preserve">SEE BELOW FOR NET CAPEX
2/21/2013 Guidance
</t>
        </r>
        <r>
          <rPr>
            <sz val="8"/>
            <color indexed="81"/>
            <rFont val="Tahoma"/>
            <family val="2"/>
          </rPr>
          <t>$750-$790M  (net of incentives) vs. $450M LY
Current 5-yr capital plan of $3.7Bn w/ 20% entry into Canada &amp; 55% new FL stores, Rack stores and remodels &amp; 25% ecomm/IT investments</t>
        </r>
        <r>
          <rPr>
            <b/>
            <sz val="8"/>
            <color indexed="81"/>
            <rFont val="Tahoma"/>
            <family val="2"/>
          </rPr>
          <t xml:space="preserve">
2/16/12 Commentary + 10K</t>
        </r>
        <r>
          <rPr>
            <sz val="8"/>
            <color indexed="81"/>
            <rFont val="Tahoma"/>
            <family val="2"/>
          </rPr>
          <t xml:space="preserve">
1)</t>
        </r>
        <r>
          <rPr>
            <b/>
            <sz val="8"/>
            <color indexed="81"/>
            <rFont val="Tahoma"/>
            <family val="2"/>
          </rPr>
          <t xml:space="preserve"> </t>
        </r>
        <r>
          <rPr>
            <sz val="8"/>
            <color indexed="81"/>
            <rFont val="Tahoma"/>
            <family val="2"/>
          </rPr>
          <t xml:space="preserve">5-yr capital plan $3.3Bn net of incentives (~60% for new stores and remodels) (as of 1Q12)
2) 60% new stores/remodels, 30% ecomm, 10% other
</t>
        </r>
        <r>
          <rPr>
            <b/>
            <sz val="8"/>
            <color indexed="81"/>
            <rFont val="Tahoma"/>
            <family val="2"/>
          </rPr>
          <t xml:space="preserve">
Guidance: 3/25/09
</t>
        </r>
        <r>
          <rPr>
            <sz val="8"/>
            <color indexed="81"/>
            <rFont val="Tahoma"/>
            <family val="2"/>
          </rPr>
          <t>$2.1Bn over 5 yrs
('09-'13)
- plan to use:
47%: new stores and relocations
28%: remodels
12%: IT
13%: other projects</t>
        </r>
        <r>
          <rPr>
            <sz val="8"/>
            <color indexed="81"/>
            <rFont val="Tahoma"/>
            <family val="2"/>
          </rPr>
          <t xml:space="preserve">
</t>
        </r>
      </text>
    </comment>
    <comment ref="AJ15" authorId="7">
      <text>
        <r>
          <rPr>
            <b/>
            <sz val="8"/>
            <color indexed="81"/>
            <rFont val="Tahoma"/>
            <family val="2"/>
          </rPr>
          <t xml:space="preserve">2/20/14 guidance: </t>
        </r>
        <r>
          <rPr>
            <sz val="8"/>
            <color indexed="81"/>
            <rFont val="Tahoma"/>
            <family val="2"/>
          </rPr>
          <t xml:space="preserve">$840-880M. net of ~$90 property incentives
</t>
        </r>
        <r>
          <rPr>
            <b/>
            <sz val="8"/>
            <color indexed="81"/>
            <rFont val="Tahoma"/>
            <family val="2"/>
          </rPr>
          <t xml:space="preserve">
2/21/2013 </t>
        </r>
        <r>
          <rPr>
            <sz val="8"/>
            <color indexed="81"/>
            <rFont val="Tahoma"/>
            <family val="2"/>
          </rPr>
          <t>Current 5-yr capital plan of $3.7Bn w/ 20% entry into Canada &amp; 55% new FL stores, Rack stores and remodels &amp; 25% ecomm / IT investments</t>
        </r>
        <r>
          <rPr>
            <b/>
            <sz val="8"/>
            <color indexed="81"/>
            <rFont val="Tahoma"/>
            <family val="2"/>
          </rPr>
          <t xml:space="preserve">
2/16/12 Commentary
</t>
        </r>
        <r>
          <rPr>
            <sz val="8"/>
            <color indexed="81"/>
            <rFont val="Tahoma"/>
            <family val="2"/>
          </rPr>
          <t>1) 5-yr capital plan $3.3Bn net of incentives (~60% for new stores and remodels) (as of 1Q12)
2) 60% new stores/remodels, 30% ecomm, 10% other</t>
        </r>
      </text>
    </comment>
    <comment ref="AK15" authorId="7">
      <text>
        <r>
          <rPr>
            <b/>
            <sz val="8"/>
            <color indexed="81"/>
            <rFont val="Tahoma"/>
            <family val="2"/>
          </rPr>
          <t>8/13/15</t>
        </r>
        <r>
          <rPr>
            <sz val="8"/>
            <color indexed="81"/>
            <rFont val="Tahoma"/>
            <family val="2"/>
          </rPr>
          <t>: $425M net capex YTD</t>
        </r>
        <r>
          <rPr>
            <b/>
            <sz val="8"/>
            <color indexed="81"/>
            <rFont val="Tahoma"/>
            <family val="2"/>
          </rPr>
          <t xml:space="preserve">
2/19/15: </t>
        </r>
        <r>
          <rPr>
            <sz val="8"/>
            <color indexed="81"/>
            <rFont val="Tahoma"/>
            <family val="2"/>
          </rPr>
          <t>Driven by 3 new flagships (Toronto, Vancouver, Manhattan), 3 flagship remodels (Seattle, Chicago, San Fran), and new East Coast fulfillment center
Current $4.3Bn 5-year capital plan (35% technology, 25% Canada/New York, 18% new stores, 22% remodels); expect 2015 to be peak investment year</t>
        </r>
        <r>
          <rPr>
            <b/>
            <sz val="8"/>
            <color indexed="81"/>
            <rFont val="Tahoma"/>
            <family val="2"/>
          </rPr>
          <t xml:space="preserve">
2/21/2013 </t>
        </r>
        <r>
          <rPr>
            <sz val="8"/>
            <color indexed="81"/>
            <rFont val="Tahoma"/>
            <family val="2"/>
          </rPr>
          <t xml:space="preserve">Current 5-yr capital plan of $3.7Bn w/ 20% entry into Canada &amp; 55% new FL stores, Rack stores and remodels &amp; 25% ecomm / IT investments
Per mgmt: capex will pick up in '14/15 for Canada growth
</t>
        </r>
        <r>
          <rPr>
            <b/>
            <sz val="8"/>
            <color indexed="81"/>
            <rFont val="Tahoma"/>
            <family val="2"/>
          </rPr>
          <t xml:space="preserve">
2/16/12 Commentary
</t>
        </r>
        <r>
          <rPr>
            <sz val="8"/>
            <color indexed="81"/>
            <rFont val="Tahoma"/>
            <family val="2"/>
          </rPr>
          <t>1) 5-yr capital plan $3.3Bn net of incentives (~60% for new stores and remodels) (as of 1Q12)
2) 60% new stores/remodels, 30% ecomm, 10% other</t>
        </r>
      </text>
    </comment>
    <comment ref="AL15" authorId="7">
      <text>
        <r>
          <rPr>
            <b/>
            <sz val="8"/>
            <color indexed="81"/>
            <rFont val="Tahoma"/>
            <family val="2"/>
          </rPr>
          <t xml:space="preserve">2/18/16
*Updating tro $900M vs. prior $775
8/24/15
</t>
        </r>
        <r>
          <rPr>
            <sz val="8"/>
            <color indexed="81"/>
            <rFont val="Tahoma"/>
            <family val="2"/>
          </rPr>
          <t>Discussion with IR, use 3.1B/4 as Capex assumption</t>
        </r>
        <r>
          <rPr>
            <b/>
            <sz val="8"/>
            <color indexed="81"/>
            <rFont val="Tahoma"/>
            <family val="2"/>
          </rPr>
          <t xml:space="preserve">
2/21/2013 </t>
        </r>
        <r>
          <rPr>
            <sz val="8"/>
            <color indexed="81"/>
            <rFont val="Tahoma"/>
            <family val="2"/>
          </rPr>
          <t xml:space="preserve">Current 5-yr capital plan of $3.7Bn w/ 20% entry into Canada &amp; 55% new FL stores, Rack stores and remodels &amp; 25% ecomm / IT investments
Per mgmt: capex will pick up in '14/15 for Canada growth
</t>
        </r>
        <r>
          <rPr>
            <b/>
            <sz val="8"/>
            <color indexed="81"/>
            <rFont val="Tahoma"/>
            <family val="2"/>
          </rPr>
          <t xml:space="preserve">
2/16/12 Commentary
</t>
        </r>
        <r>
          <rPr>
            <sz val="8"/>
            <color indexed="81"/>
            <rFont val="Tahoma"/>
            <family val="2"/>
          </rPr>
          <t xml:space="preserve">1) 5-yr capital plan $3.3Bn net of incentives (~60% for new stores and remodels) (as of 1Q12)
2) 60% new stores/remodels, 30% ecomm, 10% other
</t>
        </r>
      </text>
    </comment>
    <comment ref="AM15" authorId="7">
      <text>
        <r>
          <rPr>
            <b/>
            <sz val="8"/>
            <color indexed="81"/>
            <rFont val="Tahoma"/>
            <family val="2"/>
          </rPr>
          <t>3Q: $536M YTD vs. $625M LY
2Q: $341M YTD vs. $407M LY
1Q: $153M YTD vs. $205M LY
2/23/17: Capital plan 2017-2021 $3.4B</t>
        </r>
        <r>
          <rPr>
            <sz val="8"/>
            <color indexed="81"/>
            <rFont val="Tahoma"/>
            <family val="2"/>
          </rPr>
          <t xml:space="preserve"> </t>
        </r>
        <r>
          <rPr>
            <b/>
            <sz val="8"/>
            <color indexed="81"/>
            <rFont val="Tahoma"/>
            <family val="2"/>
          </rPr>
          <t xml:space="preserve">or $680M per year
3/16
2016-2020 Capital Plan ~$4B
Model 2017e Capex $700M
8/24/15 
</t>
        </r>
        <r>
          <rPr>
            <sz val="8"/>
            <color indexed="81"/>
            <rFont val="Tahoma"/>
            <family val="2"/>
          </rPr>
          <t>Discussion with IR, use 3.1B/4 as Capex assumption</t>
        </r>
        <r>
          <rPr>
            <b/>
            <sz val="8"/>
            <color indexed="81"/>
            <rFont val="Tahoma"/>
            <family val="2"/>
          </rPr>
          <t xml:space="preserve">
2/21/2013 </t>
        </r>
        <r>
          <rPr>
            <sz val="8"/>
            <color indexed="81"/>
            <rFont val="Tahoma"/>
            <family val="2"/>
          </rPr>
          <t xml:space="preserve">Current 5-yr capital plan of $3.7Bn w/ 20% entry into Canada &amp; 55% new FL stores, Rack stores and remodels &amp; 25% ecomm / IT investments
Per mgmt: capex will pick up in '14/15 for Canada growth
</t>
        </r>
        <r>
          <rPr>
            <b/>
            <sz val="8"/>
            <color indexed="81"/>
            <rFont val="Tahoma"/>
            <family val="2"/>
          </rPr>
          <t xml:space="preserve">
2/16/12 Commentary
</t>
        </r>
        <r>
          <rPr>
            <sz val="8"/>
            <color indexed="81"/>
            <rFont val="Tahoma"/>
            <family val="2"/>
          </rPr>
          <t>1) 5-yr capital plan $3.3Bn net of incentives (~60% for new stores and remodels) (as of 1Q12)
2) 60% new stores/remodels, 30% ecomm, 10% other</t>
        </r>
      </text>
    </comment>
    <comment ref="AN15" authorId="7">
      <text>
        <r>
          <rPr>
            <b/>
            <sz val="8"/>
            <color indexed="81"/>
            <rFont val="Tahoma"/>
            <family val="2"/>
          </rPr>
          <t xml:space="preserve">3/26:18
</t>
        </r>
        <r>
          <rPr>
            <sz val="8"/>
            <color indexed="81"/>
            <rFont val="Tahoma"/>
            <family val="2"/>
          </rPr>
          <t>10-K
Our capital expenditures, net over the next five years is expected to be approximately $3,200</t>
        </r>
        <r>
          <rPr>
            <b/>
            <sz val="8"/>
            <color indexed="81"/>
            <rFont val="Tahoma"/>
            <family val="2"/>
          </rPr>
          <t xml:space="preserve">
2/23/17: Capital plan 2017-2021 $3.4B or $680M per year
3/16
2016-2020 Capital Plan ~$4B
Model 2017e Capex $700M
8/24/15 
</t>
        </r>
        <r>
          <rPr>
            <sz val="8"/>
            <color indexed="81"/>
            <rFont val="Tahoma"/>
            <family val="2"/>
          </rPr>
          <t>Discussion with IR, use 3.1B/4 as Capex assumption</t>
        </r>
        <r>
          <rPr>
            <b/>
            <sz val="8"/>
            <color indexed="81"/>
            <rFont val="Tahoma"/>
            <family val="2"/>
          </rPr>
          <t xml:space="preserve">
2/21/2013 </t>
        </r>
        <r>
          <rPr>
            <sz val="8"/>
            <color indexed="81"/>
            <rFont val="Tahoma"/>
            <family val="2"/>
          </rPr>
          <t xml:space="preserve">Current 5-yr capital plan of $3.7Bn w/ 20% entry into Canada &amp; 55% new FL stores, Rack stores and remodels &amp; 25% ecomm / IT investments
Per mgmt: capex will pick up in '14/15 for Canada growth
</t>
        </r>
        <r>
          <rPr>
            <b/>
            <sz val="8"/>
            <color indexed="81"/>
            <rFont val="Tahoma"/>
            <family val="2"/>
          </rPr>
          <t xml:space="preserve">
2/16/12 Commentary
</t>
        </r>
        <r>
          <rPr>
            <sz val="8"/>
            <color indexed="81"/>
            <rFont val="Tahoma"/>
            <family val="2"/>
          </rPr>
          <t>1) 5-yr capital plan $3.3Bn net of incentives (~60% for new stores and remodels) (as of 1Q12)
2) 60% new stores/remodels, 30% ecomm, 10% other</t>
        </r>
      </text>
    </comment>
    <comment ref="AO15" authorId="7">
      <text>
        <r>
          <rPr>
            <b/>
            <sz val="8"/>
            <color indexed="81"/>
            <rFont val="Tahoma"/>
            <family val="2"/>
          </rPr>
          <t>3/26:18</t>
        </r>
        <r>
          <rPr>
            <sz val="8"/>
            <color indexed="81"/>
            <rFont val="Tahoma"/>
            <family val="2"/>
          </rPr>
          <t xml:space="preserve">
10-K
Our capital expenditures, net over the next five years is expected to be approximately $3,200</t>
        </r>
        <r>
          <rPr>
            <b/>
            <sz val="8"/>
            <color indexed="81"/>
            <rFont val="Tahoma"/>
            <family val="2"/>
          </rPr>
          <t xml:space="preserve">
2/23/17: Capital plan 2017-2021 $3.4B or $680M per year
3/16
2016-2020 Capital Plan ~$4B
Model 2017e Capex $700M
8/24/15 
</t>
        </r>
        <r>
          <rPr>
            <sz val="8"/>
            <color indexed="81"/>
            <rFont val="Tahoma"/>
            <family val="2"/>
          </rPr>
          <t>Discussion with IR, use 3.1B/4 as Capex assumption</t>
        </r>
        <r>
          <rPr>
            <b/>
            <sz val="8"/>
            <color indexed="81"/>
            <rFont val="Tahoma"/>
            <family val="2"/>
          </rPr>
          <t xml:space="preserve">
2/21/2013 </t>
        </r>
        <r>
          <rPr>
            <sz val="8"/>
            <color indexed="81"/>
            <rFont val="Tahoma"/>
            <family val="2"/>
          </rPr>
          <t xml:space="preserve">Current 5-yr capital plan of $3.7Bn w/ 20% entry into Canada &amp; 55% new FL stores, Rack stores and remodels &amp; 25% ecomm / IT investments
Per mgmt: capex will pick up in '14/15 for Canada growth
</t>
        </r>
        <r>
          <rPr>
            <b/>
            <sz val="8"/>
            <color indexed="81"/>
            <rFont val="Tahoma"/>
            <family val="2"/>
          </rPr>
          <t xml:space="preserve">
2/16/12 Commentary
</t>
        </r>
        <r>
          <rPr>
            <sz val="8"/>
            <color indexed="81"/>
            <rFont val="Tahoma"/>
            <family val="2"/>
          </rPr>
          <t>1) 5-yr capital plan $3.3Bn net of incentives (~60% for new stores and remodels) (as of 1Q12)
2) 60% new stores/remodels, 30% ecomm, 10% other</t>
        </r>
      </text>
    </comment>
    <comment ref="AP15" authorId="7">
      <text>
        <r>
          <rPr>
            <b/>
            <sz val="8"/>
            <color indexed="81"/>
            <rFont val="Tahoma"/>
            <family val="2"/>
          </rPr>
          <t xml:space="preserve">3/26:18
</t>
        </r>
        <r>
          <rPr>
            <sz val="8"/>
            <color indexed="81"/>
            <rFont val="Tahoma"/>
            <family val="2"/>
          </rPr>
          <t xml:space="preserve">10-K
Our capital expenditures, net over the next five years is expected to be approximately $3,200
</t>
        </r>
        <r>
          <rPr>
            <b/>
            <sz val="8"/>
            <color indexed="81"/>
            <rFont val="Tahoma"/>
            <family val="2"/>
          </rPr>
          <t xml:space="preserve">
2/23/17: Capital plan 2017-2021 $3.4B or $680M per year
3/16
2016-2020 Capital Plan ~$4B
Model 2017e Capex $700M
8/24/15 
</t>
        </r>
        <r>
          <rPr>
            <sz val="8"/>
            <color indexed="81"/>
            <rFont val="Tahoma"/>
            <family val="2"/>
          </rPr>
          <t>Discussion with IR, use 3.1B/4 as Capex assumption</t>
        </r>
        <r>
          <rPr>
            <b/>
            <sz val="8"/>
            <color indexed="81"/>
            <rFont val="Tahoma"/>
            <family val="2"/>
          </rPr>
          <t xml:space="preserve">
2/21/2013 </t>
        </r>
        <r>
          <rPr>
            <sz val="8"/>
            <color indexed="81"/>
            <rFont val="Tahoma"/>
            <family val="2"/>
          </rPr>
          <t xml:space="preserve">Current 5-yr capital plan of $3.7Bn w/ 20% entry into Canada &amp; 55% new FL stores, Rack stores and remodels &amp; 25% ecomm / IT investments
Per mgmt: capex will pick up in '14/15 for Canada growth
</t>
        </r>
        <r>
          <rPr>
            <b/>
            <sz val="8"/>
            <color indexed="81"/>
            <rFont val="Tahoma"/>
            <family val="2"/>
          </rPr>
          <t xml:space="preserve">
2/16/12 Commentary
</t>
        </r>
        <r>
          <rPr>
            <sz val="8"/>
            <color indexed="81"/>
            <rFont val="Tahoma"/>
            <family val="2"/>
          </rPr>
          <t>1) 5-yr capital plan $3.3Bn net of incentives (~60% for new stores and remodels) (as of 1Q12)
2) 60% new stores/remodels, 30% ecomm, 10% other</t>
        </r>
      </text>
    </comment>
    <comment ref="AQ15" authorId="7">
      <text>
        <r>
          <rPr>
            <b/>
            <sz val="8"/>
            <color indexed="81"/>
            <rFont val="Tahoma"/>
            <family val="2"/>
          </rPr>
          <t>3/26:18</t>
        </r>
        <r>
          <rPr>
            <sz val="8"/>
            <color indexed="81"/>
            <rFont val="Tahoma"/>
            <family val="2"/>
          </rPr>
          <t xml:space="preserve">
10-K
Our capital expenditures, net over the next five years is expected to be approximately $3,200</t>
        </r>
        <r>
          <rPr>
            <b/>
            <sz val="8"/>
            <color indexed="81"/>
            <rFont val="Tahoma"/>
            <family val="2"/>
          </rPr>
          <t xml:space="preserve">
2/23/17: Capital plan 2017-2021 $3.4B or $680M per year
3/16
2016-2020 Capital Plan ~$4B
Model 2017e Capex $700M
8/24/15 
</t>
        </r>
        <r>
          <rPr>
            <sz val="8"/>
            <color indexed="81"/>
            <rFont val="Tahoma"/>
            <family val="2"/>
          </rPr>
          <t>Discussion with IR, use 3.1B/4 as Capex assumption</t>
        </r>
        <r>
          <rPr>
            <b/>
            <sz val="8"/>
            <color indexed="81"/>
            <rFont val="Tahoma"/>
            <family val="2"/>
          </rPr>
          <t xml:space="preserve">
2/21/2013 </t>
        </r>
        <r>
          <rPr>
            <sz val="8"/>
            <color indexed="81"/>
            <rFont val="Tahoma"/>
            <family val="2"/>
          </rPr>
          <t xml:space="preserve">Current 5-yr capital plan of $3.7Bn w/ 20% entry into Canada &amp; 55% new FL stores, Rack stores and remodels &amp; 25% ecomm / IT investments
Per mgmt: capex will pick up in '14/15 for Canada growth
</t>
        </r>
        <r>
          <rPr>
            <b/>
            <sz val="8"/>
            <color indexed="81"/>
            <rFont val="Tahoma"/>
            <family val="2"/>
          </rPr>
          <t xml:space="preserve">
2/16/12 Commentary
</t>
        </r>
        <r>
          <rPr>
            <sz val="8"/>
            <color indexed="81"/>
            <rFont val="Tahoma"/>
            <family val="2"/>
          </rPr>
          <t>1) 5-yr capital plan $3.3Bn net of incentives (~60% for new stores and remodels) (as of 1Q12)
2) 60% new stores/remodels, 30% ecomm, 10% other</t>
        </r>
      </text>
    </comment>
    <comment ref="AR15" authorId="7">
      <text>
        <r>
          <rPr>
            <b/>
            <sz val="8"/>
            <color indexed="81"/>
            <rFont val="Tahoma"/>
            <family val="2"/>
          </rPr>
          <t xml:space="preserve">3/26/18
</t>
        </r>
        <r>
          <rPr>
            <sz val="8"/>
            <color indexed="81"/>
            <rFont val="Tahoma"/>
            <family val="2"/>
          </rPr>
          <t>10-K
Our capital expenditures, net over the next five years is expected to be approximately $3,200</t>
        </r>
        <r>
          <rPr>
            <b/>
            <sz val="8"/>
            <color indexed="81"/>
            <rFont val="Tahoma"/>
            <family val="2"/>
          </rPr>
          <t xml:space="preserve">
2/23/17: Capital plan 2017-2020 $3.4B</t>
        </r>
        <r>
          <rPr>
            <sz val="8"/>
            <color indexed="81"/>
            <rFont val="Tahoma"/>
            <family val="2"/>
          </rPr>
          <t xml:space="preserve"> </t>
        </r>
        <r>
          <rPr>
            <b/>
            <sz val="8"/>
            <color indexed="81"/>
            <rFont val="Tahoma"/>
            <family val="2"/>
          </rPr>
          <t xml:space="preserve">
3/16
2016-2020 Capital Plan ~$4B
Model 2017e Capex $700M
8/24/15 
</t>
        </r>
        <r>
          <rPr>
            <sz val="8"/>
            <color indexed="81"/>
            <rFont val="Tahoma"/>
            <family val="2"/>
          </rPr>
          <t>Discussion with IR, use 3.1B/4 as Capex assumption</t>
        </r>
        <r>
          <rPr>
            <b/>
            <sz val="8"/>
            <color indexed="81"/>
            <rFont val="Tahoma"/>
            <family val="2"/>
          </rPr>
          <t xml:space="preserve">
2/21/2013 </t>
        </r>
        <r>
          <rPr>
            <sz val="8"/>
            <color indexed="81"/>
            <rFont val="Tahoma"/>
            <family val="2"/>
          </rPr>
          <t xml:space="preserve">Current 5-yr capital plan of $3.7Bn w/ 20% entry into Canada &amp; 55% new FL stores, Rack stores and remodels &amp; 25% ecomm / IT investments
Per mgmt: capex will pick up in '14/15 for Canada growth
</t>
        </r>
        <r>
          <rPr>
            <b/>
            <sz val="8"/>
            <color indexed="81"/>
            <rFont val="Tahoma"/>
            <family val="2"/>
          </rPr>
          <t xml:space="preserve">
2/16/12 Commentary
</t>
        </r>
        <r>
          <rPr>
            <sz val="8"/>
            <color indexed="81"/>
            <rFont val="Tahoma"/>
            <family val="2"/>
          </rPr>
          <t>1) 5-yr capital plan $3.3Bn net of incentives (~60% for new stores and remodels) (as of 1Q12)
2) 60% new stores/remodels, 30% ecomm, 10% other</t>
        </r>
      </text>
    </comment>
    <comment ref="AI24" authorId="7">
      <text>
        <r>
          <rPr>
            <b/>
            <sz val="8"/>
            <color indexed="81"/>
            <rFont val="Tahoma"/>
            <family val="2"/>
          </rPr>
          <t>2/21/2013 Guidance:</t>
        </r>
        <r>
          <rPr>
            <sz val="8"/>
            <color indexed="81"/>
            <rFont val="Tahoma"/>
            <family val="2"/>
          </rPr>
          <t xml:space="preserve"> expect $1.3Bn CFO vs. $1.1Bn LY</t>
        </r>
      </text>
    </comment>
    <comment ref="AK30" authorId="8">
      <text>
        <r>
          <rPr>
            <b/>
            <sz val="9"/>
            <color indexed="81"/>
            <rFont val="Tahoma"/>
            <family val="2"/>
          </rPr>
          <t>11/12/14:</t>
        </r>
        <r>
          <rPr>
            <sz val="9"/>
            <color indexed="81"/>
            <rFont val="Tahoma"/>
            <family val="2"/>
          </rPr>
          <t xml:space="preserve"> This is for maintaining a positive cash balance. Will potentially be offset by credit card receivables sales next year. 
</t>
        </r>
      </text>
    </comment>
    <comment ref="AM30" authorId="8">
      <text>
        <r>
          <rPr>
            <b/>
            <sz val="9"/>
            <color indexed="81"/>
            <rFont val="Tahoma"/>
            <family val="2"/>
          </rPr>
          <t>11/12/14:</t>
        </r>
        <r>
          <rPr>
            <sz val="9"/>
            <color indexed="81"/>
            <rFont val="Tahoma"/>
            <family val="2"/>
          </rPr>
          <t xml:space="preserve"> This is for maintaining a positive cash balance. Will potentially be offset by credit card receivables sales next year. 
</t>
        </r>
      </text>
    </comment>
    <comment ref="AH31" authorId="1">
      <text>
        <r>
          <rPr>
            <b/>
            <sz val="8"/>
            <color indexed="81"/>
            <rFont val="Tahoma"/>
            <family val="2"/>
          </rPr>
          <t xml:space="preserve">2010 10K
</t>
        </r>
        <r>
          <rPr>
            <sz val="8"/>
            <color indexed="81"/>
            <rFont val="Tahoma"/>
            <family val="2"/>
          </rPr>
          <t>1) $454mn Series 2007-2 Class A notes due April 2012</t>
        </r>
        <r>
          <rPr>
            <sz val="8"/>
            <color indexed="81"/>
            <rFont val="Tahoma"/>
            <family val="2"/>
          </rPr>
          <t xml:space="preserve">
2) $46mn Series 2007-2 Class B notes due April 2012</t>
        </r>
      </text>
    </comment>
    <comment ref="AK32" authorId="9">
      <text>
        <r>
          <rPr>
            <b/>
            <sz val="9"/>
            <color indexed="81"/>
            <rFont val="Tahoma"/>
            <family val="2"/>
          </rPr>
          <t>Baglione, Gregory  (Research):</t>
        </r>
        <r>
          <rPr>
            <sz val="9"/>
            <color indexed="81"/>
            <rFont val="Tahoma"/>
            <family val="2"/>
          </rPr>
          <t xml:space="preserve">
Assumes $100M from Proceeds from issuances under stock compensation plans
</t>
        </r>
      </text>
    </comment>
    <comment ref="AL32" authorId="9">
      <text>
        <r>
          <rPr>
            <b/>
            <sz val="9"/>
            <color indexed="81"/>
            <rFont val="Tahoma"/>
            <family val="2"/>
          </rPr>
          <t>Baglione, Gregory  (Research):</t>
        </r>
        <r>
          <rPr>
            <sz val="9"/>
            <color indexed="81"/>
            <rFont val="Tahoma"/>
            <family val="2"/>
          </rPr>
          <t xml:space="preserve">
Assumes $100M from Proceeds from issuances under stock compensation plans
</t>
        </r>
      </text>
    </comment>
    <comment ref="AM32" authorId="9">
      <text>
        <r>
          <rPr>
            <b/>
            <sz val="9"/>
            <color indexed="81"/>
            <rFont val="Tahoma"/>
            <family val="2"/>
          </rPr>
          <t>Baglione, Gregory  (Research):</t>
        </r>
        <r>
          <rPr>
            <sz val="9"/>
            <color indexed="81"/>
            <rFont val="Tahoma"/>
            <family val="2"/>
          </rPr>
          <t xml:space="preserve">
Assumes $100M from Proceeds from issuances under stock compensation plans
</t>
        </r>
      </text>
    </comment>
    <comment ref="AN32" authorId="9">
      <text>
        <r>
          <rPr>
            <b/>
            <sz val="9"/>
            <color indexed="81"/>
            <rFont val="Tahoma"/>
            <family val="2"/>
          </rPr>
          <t>Baglione, Gregory  (Research):</t>
        </r>
        <r>
          <rPr>
            <sz val="9"/>
            <color indexed="81"/>
            <rFont val="Tahoma"/>
            <family val="2"/>
          </rPr>
          <t xml:space="preserve">
Assumes $100M from Proceeds from issuances under stock compensation plans
</t>
        </r>
      </text>
    </comment>
    <comment ref="AO32" authorId="9">
      <text>
        <r>
          <rPr>
            <b/>
            <sz val="9"/>
            <color indexed="81"/>
            <rFont val="Tahoma"/>
            <family val="2"/>
          </rPr>
          <t>Baglione, Gregory  (Research):</t>
        </r>
        <r>
          <rPr>
            <sz val="9"/>
            <color indexed="81"/>
            <rFont val="Tahoma"/>
            <family val="2"/>
          </rPr>
          <t xml:space="preserve">
Assumes $100M from Proceeds from issuances under stock compensation plans
</t>
        </r>
      </text>
    </comment>
    <comment ref="AH33" authorId="7">
      <text>
        <r>
          <rPr>
            <b/>
            <sz val="8"/>
            <color indexed="81"/>
            <rFont val="Tahoma"/>
            <family val="2"/>
          </rPr>
          <t xml:space="preserve">5/10/2012 Comment
</t>
        </r>
        <r>
          <rPr>
            <sz val="8"/>
            <color indexed="81"/>
            <rFont val="Tahoma"/>
            <family val="2"/>
          </rPr>
          <t>Repo'd $40M of stock for px of $50.79 (800k shares)</t>
        </r>
      </text>
    </comment>
    <comment ref="AK33" authorId="9">
      <text>
        <r>
          <rPr>
            <b/>
            <sz val="9"/>
            <color indexed="81"/>
            <rFont val="Tahoma"/>
            <family val="2"/>
          </rPr>
          <t>Baglione, Gregory  (Research):</t>
        </r>
        <r>
          <rPr>
            <sz val="9"/>
            <color indexed="81"/>
            <rFont val="Tahoma"/>
            <family val="2"/>
          </rPr>
          <t xml:space="preserve">
8/18/15
Increased to $530M from $483M
10/1/15: Announced closing of CC transaction, $900 special dividend payable 10/27</t>
        </r>
      </text>
    </comment>
    <comment ref="AM33" authorId="9">
      <text>
        <r>
          <rPr>
            <b/>
            <sz val="9"/>
            <color indexed="81"/>
            <rFont val="Tahoma"/>
            <family val="2"/>
          </rPr>
          <t>Baglione, Gregory  (Research):</t>
        </r>
        <r>
          <rPr>
            <sz val="9"/>
            <color indexed="81"/>
            <rFont val="Tahoma"/>
            <family val="2"/>
          </rPr>
          <t xml:space="preserve">
lowering to -450 to maintain ~$500M cash blaance</t>
        </r>
      </text>
    </comment>
    <comment ref="AN33" authorId="9">
      <text>
        <r>
          <rPr>
            <b/>
            <sz val="9"/>
            <color indexed="81"/>
            <rFont val="Tahoma"/>
            <family val="2"/>
          </rPr>
          <t>Baglione, Gregory  (Research):</t>
        </r>
        <r>
          <rPr>
            <sz val="9"/>
            <color indexed="81"/>
            <rFont val="Tahoma"/>
            <family val="2"/>
          </rPr>
          <t xml:space="preserve">
lowering to -450 to maintain ~$500M cash blaance</t>
        </r>
      </text>
    </comment>
    <comment ref="AJ47" authorId="10">
      <text>
        <r>
          <rPr>
            <b/>
            <sz val="8"/>
            <color indexed="81"/>
            <rFont val="Tahoma"/>
            <family val="2"/>
          </rPr>
          <t xml:space="preserve">2/20/14:
</t>
        </r>
        <r>
          <rPr>
            <sz val="8"/>
            <color indexed="81"/>
            <rFont val="Tahoma"/>
            <family val="2"/>
          </rPr>
          <t>Dividend raised to 33c per Q, payable in May 2014</t>
        </r>
        <r>
          <rPr>
            <sz val="8"/>
            <color indexed="81"/>
            <rFont val="Tahoma"/>
            <family val="2"/>
          </rPr>
          <t xml:space="preserve">
</t>
        </r>
      </text>
    </comment>
    <comment ref="AK47" authorId="3">
      <text>
        <r>
          <rPr>
            <b/>
            <sz val="9"/>
            <color indexed="81"/>
            <rFont val="Tahoma"/>
            <family val="2"/>
          </rPr>
          <t>casselau:</t>
        </r>
        <r>
          <rPr>
            <sz val="9"/>
            <color indexed="81"/>
            <rFont val="Tahoma"/>
            <family val="2"/>
          </rPr>
          <t xml:space="preserve">
2/13: Increased by 12.1% to $0.37 from $0.33 payable 3/13/15</t>
        </r>
      </text>
    </comment>
    <comment ref="AH59" authorId="7">
      <text>
        <r>
          <rPr>
            <sz val="10"/>
            <rFont val="Arial"/>
            <family val="2"/>
          </rPr>
          <t xml:space="preserve">See row 113 for Capex net of incentives.
</t>
        </r>
        <r>
          <rPr>
            <b/>
            <sz val="8"/>
            <color indexed="81"/>
            <rFont val="Tahoma"/>
            <family val="2"/>
          </rPr>
          <t xml:space="preserve">
2/16/12 Guidance:
</t>
        </r>
        <r>
          <rPr>
            <sz val="8"/>
            <color indexed="81"/>
            <rFont val="Tahoma"/>
            <family val="2"/>
          </rPr>
          <t>1) $480-520M, net of incentives (majority on increase y/y attributable to ecomm investments)
2) Plan to spend $140M in ecomm (~30% of capex) vs. $100M (~20%) LY
3) For every dollar of capital that goes into technology; there is roughly 30-40%
4) 5-yr capital plan $3.3Bn (~60% for new stores and remodels)
5) (per 2011 10K) plan to relocated 2 Rack stores &amp; remodel 8 FL stores</t>
        </r>
      </text>
    </comment>
    <comment ref="AI59" authorId="6">
      <text>
        <r>
          <rPr>
            <b/>
            <sz val="8"/>
            <color indexed="81"/>
            <rFont val="Tahoma"/>
            <family val="2"/>
          </rPr>
          <t xml:space="preserve">2/21/2013 Guidance
</t>
        </r>
        <r>
          <rPr>
            <sz val="8"/>
            <color indexed="81"/>
            <rFont val="Tahoma"/>
            <family val="2"/>
          </rPr>
          <t>$750-$790M  (net of incentives) vs. ~$450M LY</t>
        </r>
        <r>
          <rPr>
            <b/>
            <sz val="8"/>
            <color indexed="81"/>
            <rFont val="Tahoma"/>
            <family val="2"/>
          </rPr>
          <t xml:space="preserve">
2/16/12 Commentary + 10K</t>
        </r>
        <r>
          <rPr>
            <sz val="8"/>
            <color indexed="81"/>
            <rFont val="Tahoma"/>
            <family val="2"/>
          </rPr>
          <t xml:space="preserve">
1)</t>
        </r>
        <r>
          <rPr>
            <b/>
            <sz val="8"/>
            <color indexed="81"/>
            <rFont val="Tahoma"/>
            <family val="2"/>
          </rPr>
          <t xml:space="preserve"> </t>
        </r>
        <r>
          <rPr>
            <sz val="8"/>
            <color indexed="81"/>
            <rFont val="Tahoma"/>
            <family val="2"/>
          </rPr>
          <t xml:space="preserve">5-yr capital plan $3.3Bn net of incentives (~60% for new stores and remodels) (as of 1Q12)
2) 60% new stores/remodels, 30% ecomm, 10% other
</t>
        </r>
        <r>
          <rPr>
            <b/>
            <sz val="8"/>
            <color indexed="81"/>
            <rFont val="Tahoma"/>
            <family val="2"/>
          </rPr>
          <t xml:space="preserve">
Guidance: 3/25/09
</t>
        </r>
        <r>
          <rPr>
            <sz val="8"/>
            <color indexed="81"/>
            <rFont val="Tahoma"/>
            <family val="2"/>
          </rPr>
          <t>$2.1Bn over 5 yrs
('09-'13)
- plan to use:
47%: new stores and relocations
28%: remodels
12%: IT
13%: other projects</t>
        </r>
        <r>
          <rPr>
            <sz val="8"/>
            <color indexed="81"/>
            <rFont val="Tahoma"/>
            <family val="2"/>
          </rPr>
          <t xml:space="preserve">
</t>
        </r>
      </text>
    </comment>
    <comment ref="AH67" authorId="2">
      <text>
        <r>
          <rPr>
            <b/>
            <sz val="8"/>
            <color indexed="81"/>
            <rFont val="Tahoma"/>
            <family val="2"/>
          </rPr>
          <t xml:space="preserve">2/21/2013: </t>
        </r>
        <r>
          <rPr>
            <sz val="8"/>
            <color indexed="81"/>
            <rFont val="Tahoma"/>
            <family val="2"/>
          </rPr>
          <t>actual $366M net</t>
        </r>
        <r>
          <rPr>
            <b/>
            <sz val="8"/>
            <color indexed="81"/>
            <rFont val="Tahoma"/>
            <family val="2"/>
          </rPr>
          <t xml:space="preserve">
Guidance: 2/16/2012
</t>
        </r>
        <r>
          <rPr>
            <sz val="8"/>
            <color indexed="81"/>
            <rFont val="Tahoma"/>
            <family val="2"/>
          </rPr>
          <t xml:space="preserve">$370M includes dep of def property incentives
</t>
        </r>
      </text>
    </comment>
    <comment ref="AI67" authorId="7">
      <text>
        <r>
          <rPr>
            <b/>
            <sz val="8"/>
            <color indexed="81"/>
            <rFont val="Tahoma"/>
            <family val="2"/>
          </rPr>
          <t xml:space="preserve">2/21/2013 Guidance: </t>
        </r>
        <r>
          <rPr>
            <sz val="8"/>
            <color indexed="81"/>
            <rFont val="Tahoma"/>
            <family val="2"/>
          </rPr>
          <t>$390M Net</t>
        </r>
      </text>
    </comment>
  </commentList>
</comments>
</file>

<file path=xl/comments11.xml><?xml version="1.0" encoding="utf-8"?>
<comments xmlns="http://schemas.openxmlformats.org/spreadsheetml/2006/main">
  <authors>
    <author>balskyh</author>
    <author>casselau</author>
    <author>Baglione, Gregory  (Research)</author>
  </authors>
  <commentList>
    <comment ref="BQ10" authorId="0">
      <text>
        <r>
          <rPr>
            <b/>
            <sz val="8"/>
            <color indexed="81"/>
            <rFont val="Tahoma"/>
            <family val="2"/>
          </rPr>
          <t xml:space="preserve">2/22/2013: </t>
        </r>
        <r>
          <rPr>
            <sz val="8"/>
            <color indexed="81"/>
            <rFont val="Tahoma"/>
            <family val="2"/>
          </rPr>
          <t>Per mgmt inv growth, ex Pack &amp; Hold, inventory growth would have been in-line with sales</t>
        </r>
      </text>
    </comment>
    <comment ref="BU10" authorId="0">
      <text>
        <r>
          <rPr>
            <b/>
            <sz val="8"/>
            <color indexed="81"/>
            <rFont val="Tahoma"/>
            <family val="2"/>
          </rPr>
          <t xml:space="preserve">5/16/2013: </t>
        </r>
        <r>
          <rPr>
            <sz val="8"/>
            <color indexed="81"/>
            <rFont val="Tahoma"/>
            <family val="2"/>
          </rPr>
          <t>5.9% in psf growth vs. 2.3% sales psf growth</t>
        </r>
        <r>
          <rPr>
            <b/>
            <sz val="8"/>
            <color indexed="81"/>
            <rFont val="Tahoma"/>
            <family val="2"/>
          </rPr>
          <t xml:space="preserve">
2/22/2013: </t>
        </r>
        <r>
          <rPr>
            <sz val="8"/>
            <color indexed="81"/>
            <rFont val="Tahoma"/>
            <family val="2"/>
          </rPr>
          <t>Per mgmt inv growth, ex Pack &amp; Hold, inventory growth would have been in-line with sales</t>
        </r>
      </text>
    </comment>
    <comment ref="CC10" authorId="1">
      <text>
        <r>
          <rPr>
            <b/>
            <sz val="9"/>
            <color indexed="81"/>
            <rFont val="Tahoma"/>
            <family val="2"/>
          </rPr>
          <t>casselau:</t>
        </r>
        <r>
          <rPr>
            <sz val="9"/>
            <color indexed="81"/>
            <rFont val="Tahoma"/>
            <family val="2"/>
          </rPr>
          <t xml:space="preserve">
5/14/15: ending inventory was in-line with company expectations, reflecting planned inventory investments to support store and online growth</t>
        </r>
      </text>
    </comment>
    <comment ref="CG10" authorId="1">
      <text>
        <r>
          <rPr>
            <b/>
            <sz val="9"/>
            <color indexed="81"/>
            <rFont val="Tahoma"/>
            <family val="2"/>
          </rPr>
          <t>casselau:</t>
        </r>
        <r>
          <rPr>
            <sz val="9"/>
            <color indexed="81"/>
            <rFont val="Tahoma"/>
            <family val="2"/>
          </rPr>
          <t xml:space="preserve">
5/14/15: ending inventory was in-line with company expectations, reflecting planned inventory investments to support store and online growth</t>
        </r>
      </text>
    </comment>
    <comment ref="BQ11" authorId="0">
      <text>
        <r>
          <rPr>
            <b/>
            <sz val="8"/>
            <color indexed="81"/>
            <rFont val="Tahoma"/>
            <family val="2"/>
          </rPr>
          <t xml:space="preserve">5/9/2013: </t>
        </r>
        <r>
          <rPr>
            <sz val="8"/>
            <color indexed="81"/>
            <rFont val="Tahoma"/>
            <family val="2"/>
          </rPr>
          <t>we had estimated anniv sale shift had a 7-8% impact on 2Q inventory</t>
        </r>
        <r>
          <rPr>
            <b/>
            <sz val="8"/>
            <color indexed="81"/>
            <rFont val="Tahoma"/>
            <family val="2"/>
          </rPr>
          <t xml:space="preserve">
2/22/2013: </t>
        </r>
        <r>
          <rPr>
            <sz val="8"/>
            <color indexed="81"/>
            <rFont val="Tahoma"/>
            <family val="2"/>
          </rPr>
          <t xml:space="preserve">Per mgmt inv growth, ex Pack &amp; Hold, inventory growth would have been in-line with sales 
</t>
        </r>
      </text>
    </comment>
    <comment ref="BU11" authorId="0">
      <text>
        <r>
          <rPr>
            <b/>
            <sz val="8"/>
            <color indexed="81"/>
            <rFont val="Tahoma"/>
            <family val="2"/>
          </rPr>
          <t xml:space="preserve">5/9/2013: </t>
        </r>
        <r>
          <rPr>
            <sz val="8"/>
            <color indexed="81"/>
            <rFont val="Tahoma"/>
            <family val="2"/>
          </rPr>
          <t>Per IR, expect inventory down y/y</t>
        </r>
        <r>
          <rPr>
            <b/>
            <sz val="8"/>
            <color indexed="81"/>
            <rFont val="Tahoma"/>
            <family val="2"/>
          </rPr>
          <t xml:space="preserve">
2/22/2013: </t>
        </r>
        <r>
          <rPr>
            <sz val="8"/>
            <color indexed="81"/>
            <rFont val="Tahoma"/>
            <family val="2"/>
          </rPr>
          <t>Per mgmt, expect Pack &amp; Hold to "moderate" in FY13</t>
        </r>
        <r>
          <rPr>
            <b/>
            <sz val="8"/>
            <color indexed="81"/>
            <rFont val="Tahoma"/>
            <family val="2"/>
          </rPr>
          <t xml:space="preserve">
12/6/2012 Note: </t>
        </r>
        <r>
          <rPr>
            <sz val="8"/>
            <color indexed="81"/>
            <rFont val="Tahoma"/>
            <family val="2"/>
          </rPr>
          <t>lap Anniv sale shift</t>
        </r>
      </text>
    </comment>
    <comment ref="CC11" authorId="2">
      <text>
        <r>
          <rPr>
            <b/>
            <sz val="9"/>
            <color indexed="81"/>
            <rFont val="Tahoma"/>
            <family val="2"/>
          </rPr>
          <t>Baglione, Gregory  (Research):</t>
        </r>
        <r>
          <rPr>
            <sz val="9"/>
            <color indexed="81"/>
            <rFont val="Tahoma"/>
            <family val="2"/>
          </rPr>
          <t xml:space="preserve">
8/13/15:
 increase of 11 percent, compared with the same period last year, was consistent with expectations and reflected planned growth initiatives related to Trunk Club and Canada.</t>
        </r>
      </text>
    </comment>
    <comment ref="CG11" authorId="2">
      <text>
        <r>
          <rPr>
            <b/>
            <sz val="9"/>
            <color indexed="81"/>
            <rFont val="Tahoma"/>
            <family val="2"/>
          </rPr>
          <t>Baglione, Gregory  (Research):</t>
        </r>
        <r>
          <rPr>
            <sz val="9"/>
            <color indexed="81"/>
            <rFont val="Tahoma"/>
            <family val="2"/>
          </rPr>
          <t xml:space="preserve">
8/13/15:
 increase of 11 percent, compared with the same period last year, was consistent with expectations and reflected planned growth initiatives related to Trunk Club and Canada.</t>
        </r>
      </text>
    </comment>
    <comment ref="BQ12" authorId="0">
      <text>
        <r>
          <rPr>
            <b/>
            <sz val="8"/>
            <color indexed="81"/>
            <rFont val="Tahoma"/>
            <family val="2"/>
          </rPr>
          <t xml:space="preserve">2/22/2013: </t>
        </r>
        <r>
          <rPr>
            <sz val="8"/>
            <color indexed="81"/>
            <rFont val="Tahoma"/>
            <family val="2"/>
          </rPr>
          <t>Per mgmt inv growth, ex Pack &amp; Hold, inventory growth would have been in-line with sales</t>
        </r>
      </text>
    </comment>
    <comment ref="BU12" authorId="0">
      <text>
        <r>
          <rPr>
            <b/>
            <sz val="8"/>
            <color indexed="81"/>
            <rFont val="Tahoma"/>
            <family val="2"/>
          </rPr>
          <t xml:space="preserve">2/22/2013: </t>
        </r>
        <r>
          <rPr>
            <sz val="8"/>
            <color indexed="81"/>
            <rFont val="Tahoma"/>
            <family val="2"/>
          </rPr>
          <t>Per mgmt, expect Pack &amp; Hold to "moderate" in FY13</t>
        </r>
      </text>
    </comment>
    <comment ref="BQ13" authorId="0">
      <text>
        <r>
          <rPr>
            <b/>
            <sz val="8"/>
            <color indexed="81"/>
            <rFont val="Tahoma"/>
            <family val="2"/>
          </rPr>
          <t xml:space="preserve">2/22/2013: </t>
        </r>
        <r>
          <rPr>
            <sz val="8"/>
            <color indexed="81"/>
            <rFont val="Tahoma"/>
            <family val="2"/>
          </rPr>
          <t xml:space="preserve">Per mgmt inv growth, ex Pack &amp; Hold, inventory growth would have been in-line with sales; includes impact from Pack &amp; Hold </t>
        </r>
      </text>
    </comment>
    <comment ref="BU13" authorId="0">
      <text>
        <r>
          <rPr>
            <b/>
            <sz val="8"/>
            <color indexed="81"/>
            <rFont val="Tahoma"/>
            <family val="2"/>
          </rPr>
          <t xml:space="preserve">2/22/2013: </t>
        </r>
        <r>
          <rPr>
            <sz val="8"/>
            <color indexed="81"/>
            <rFont val="Tahoma"/>
            <family val="2"/>
          </rPr>
          <t>Per mgmt, expect Pack &amp; Hold to "moderate" in FY13</t>
        </r>
      </text>
    </comment>
    <comment ref="CC13" authorId="2">
      <text>
        <r>
          <rPr>
            <b/>
            <sz val="9"/>
            <color indexed="81"/>
            <rFont val="Tahoma"/>
            <family val="2"/>
          </rPr>
          <t>Baglione, Gregory  (Research):</t>
        </r>
        <r>
          <rPr>
            <sz val="9"/>
            <color indexed="81"/>
            <rFont val="Tahoma"/>
            <family val="2"/>
          </rPr>
          <t xml:space="preserve">
Inventory +12%--below mgmt's initial plan.</t>
        </r>
      </text>
    </comment>
    <comment ref="CB17" authorId="2">
      <text>
        <r>
          <rPr>
            <b/>
            <sz val="9"/>
            <color indexed="81"/>
            <rFont val="Tahoma"/>
            <family val="2"/>
          </rPr>
          <t>Baglione, Gregory  (Research):</t>
        </r>
        <r>
          <rPr>
            <sz val="9"/>
            <color indexed="81"/>
            <rFont val="Tahoma"/>
            <family val="2"/>
          </rPr>
          <t xml:space="preserve">
Includes $2.391 bn AR held for sale. At end of 2015 most of the AR balance will go away, we model $225M remainning at year end.</t>
        </r>
      </text>
    </comment>
  </commentList>
</comments>
</file>

<file path=xl/comments12.xml><?xml version="1.0" encoding="utf-8"?>
<comments xmlns="http://schemas.openxmlformats.org/spreadsheetml/2006/main">
  <authors>
    <author>De Courreges, Edouard (Research)</author>
    <author>Baglione, Gregory  (Research)</author>
  </authors>
  <commentList>
    <comment ref="H29" authorId="0">
      <text>
        <r>
          <rPr>
            <b/>
            <sz val="9"/>
            <color indexed="81"/>
            <rFont val="Tahoma"/>
            <family val="2"/>
          </rPr>
          <t>De Courreges, Edouard (Research):</t>
        </r>
        <r>
          <rPr>
            <sz val="9"/>
            <color indexed="81"/>
            <rFont val="Tahoma"/>
            <family val="2"/>
          </rPr>
          <t xml:space="preserve">
8/2/17 BB</t>
        </r>
      </text>
    </comment>
    <comment ref="H30" authorId="0">
      <text>
        <r>
          <rPr>
            <b/>
            <sz val="9"/>
            <color indexed="81"/>
            <rFont val="Tahoma"/>
            <family val="2"/>
          </rPr>
          <t>De Courreges, Edouard (Research):</t>
        </r>
        <r>
          <rPr>
            <sz val="9"/>
            <color indexed="81"/>
            <rFont val="Tahoma"/>
            <family val="2"/>
          </rPr>
          <t xml:space="preserve">
Damodoran</t>
        </r>
      </text>
    </comment>
    <comment ref="H31" authorId="1">
      <text>
        <r>
          <rPr>
            <b/>
            <sz val="9"/>
            <color indexed="81"/>
            <rFont val="Tahoma"/>
            <family val="2"/>
          </rPr>
          <t>Baglione, Gregory  (Research):</t>
        </r>
        <r>
          <rPr>
            <sz val="9"/>
            <color indexed="81"/>
            <rFont val="Tahoma"/>
            <family val="2"/>
          </rPr>
          <t xml:space="preserve">
8/10/17 BB 1yr raw</t>
        </r>
      </text>
    </comment>
  </commentList>
</comments>
</file>

<file path=xl/comments13.xml><?xml version="1.0" encoding="utf-8"?>
<comments xmlns="http://schemas.openxmlformats.org/spreadsheetml/2006/main">
  <authors>
    <author>Leon Michaelides</author>
    <author>leechi</author>
    <author>jdieter</author>
    <author>cuomochr</author>
  </authors>
  <commentList>
    <comment ref="C20" authorId="0">
      <text>
        <r>
          <rPr>
            <b/>
            <sz val="8"/>
            <color indexed="81"/>
            <rFont val="Tahoma"/>
            <family val="2"/>
          </rPr>
          <t>Leon Michaelides:</t>
        </r>
        <r>
          <rPr>
            <sz val="8"/>
            <color indexed="81"/>
            <rFont val="Tahoma"/>
            <family val="2"/>
          </rPr>
          <t xml:space="preserve">
This is assuming that the take on portfolio of leases is on average half way through their life.   Use the simple example to calculate what % this will be using the same assumptions as in the first year for this model.</t>
        </r>
      </text>
    </comment>
    <comment ref="B37" authorId="0">
      <text>
        <r>
          <rPr>
            <b/>
            <sz val="8"/>
            <color indexed="81"/>
            <rFont val="Tahoma"/>
            <family val="2"/>
          </rPr>
          <t>Leon Michaelides:</t>
        </r>
        <r>
          <rPr>
            <sz val="8"/>
            <color indexed="81"/>
            <rFont val="Tahoma"/>
            <family val="2"/>
          </rPr>
          <t xml:space="preserve">
If the company only begins using operating leases during the historical periods included in the template then for first year set weighted average interest rate equal to the interest implicit in new leases signed.</t>
        </r>
      </text>
    </comment>
    <comment ref="D38" authorId="1">
      <text>
        <r>
          <rPr>
            <b/>
            <sz val="8"/>
            <color indexed="81"/>
            <rFont val="Tahoma"/>
            <family val="2"/>
          </rPr>
          <t>Weighted average interest rate of long-term debt. Per 10-K</t>
        </r>
      </text>
    </comment>
    <comment ref="E38" authorId="1">
      <text>
        <r>
          <rPr>
            <b/>
            <sz val="8"/>
            <color indexed="81"/>
            <rFont val="Tahoma"/>
            <family val="2"/>
          </rPr>
          <t>Weighted average interest rate of long-term debt. Per 10-K</t>
        </r>
      </text>
    </comment>
    <comment ref="F38" authorId="1">
      <text>
        <r>
          <rPr>
            <b/>
            <sz val="8"/>
            <color indexed="81"/>
            <rFont val="Tahoma"/>
            <family val="2"/>
          </rPr>
          <t>Weighted average interest rate of long-term debt. Per 10-K</t>
        </r>
      </text>
    </comment>
    <comment ref="G38" authorId="1">
      <text>
        <r>
          <rPr>
            <b/>
            <sz val="8"/>
            <color indexed="81"/>
            <rFont val="Tahoma"/>
            <family val="2"/>
          </rPr>
          <t>Weighted average interest rate of long-term debt. Per 10-K</t>
        </r>
      </text>
    </comment>
    <comment ref="H38" authorId="1">
      <text>
        <r>
          <rPr>
            <b/>
            <sz val="8"/>
            <color indexed="81"/>
            <rFont val="Tahoma"/>
            <family val="2"/>
          </rPr>
          <t>Weighted average interest rate of long-term debt. Per 10-K</t>
        </r>
      </text>
    </comment>
    <comment ref="I38" authorId="1">
      <text>
        <r>
          <rPr>
            <b/>
            <sz val="8"/>
            <color indexed="81"/>
            <rFont val="Tahoma"/>
            <family val="2"/>
          </rPr>
          <t>Weighted average interest rate of long-term debt. Per 10-K</t>
        </r>
      </text>
    </comment>
    <comment ref="J38" authorId="1">
      <text>
        <r>
          <rPr>
            <b/>
            <sz val="8"/>
            <color indexed="81"/>
            <rFont val="Tahoma"/>
            <family val="2"/>
          </rPr>
          <t>Weighted average interest rate of long-term debt. Per 10-K</t>
        </r>
      </text>
    </comment>
    <comment ref="K38" authorId="1">
      <text>
        <r>
          <rPr>
            <b/>
            <sz val="8"/>
            <color indexed="81"/>
            <rFont val="Tahoma"/>
            <family val="2"/>
          </rPr>
          <t>Weighted average interest rate of long-term debt. Per 10-K</t>
        </r>
      </text>
    </comment>
    <comment ref="L38" authorId="1">
      <text>
        <r>
          <rPr>
            <b/>
            <sz val="8"/>
            <color indexed="81"/>
            <rFont val="Tahoma"/>
            <family val="2"/>
          </rPr>
          <t>Weighted average interest rate of long-term debt. Per 10-K</t>
        </r>
      </text>
    </comment>
    <comment ref="M38" authorId="1">
      <text>
        <r>
          <rPr>
            <b/>
            <sz val="8"/>
            <color indexed="81"/>
            <rFont val="Tahoma"/>
            <family val="2"/>
          </rPr>
          <t>Weighted average interest rate of long-term debt. Per 10-K</t>
        </r>
      </text>
    </comment>
    <comment ref="N38" authorId="1">
      <text>
        <r>
          <rPr>
            <b/>
            <sz val="8"/>
            <color indexed="81"/>
            <rFont val="Tahoma"/>
            <family val="2"/>
          </rPr>
          <t>Weighted average interest rate of long-term debt. Per 10-K</t>
        </r>
      </text>
    </comment>
    <comment ref="O38" authorId="1">
      <text>
        <r>
          <rPr>
            <b/>
            <sz val="8"/>
            <color indexed="81"/>
            <rFont val="Tahoma"/>
            <family val="2"/>
          </rPr>
          <t>Weighted average interest rate of long-term debt. Per 10-K</t>
        </r>
      </text>
    </comment>
    <comment ref="P38" authorId="1">
      <text>
        <r>
          <rPr>
            <b/>
            <sz val="8"/>
            <color indexed="81"/>
            <rFont val="Tahoma"/>
            <family val="2"/>
          </rPr>
          <t>Weighted average interest rate of long-term debt. Per 10-K</t>
        </r>
      </text>
    </comment>
    <comment ref="Q38" authorId="1">
      <text>
        <r>
          <rPr>
            <b/>
            <sz val="8"/>
            <color indexed="81"/>
            <rFont val="Tahoma"/>
            <family val="2"/>
          </rPr>
          <t>Weighted average interest rate of long-term debt. Per 10-K</t>
        </r>
      </text>
    </comment>
    <comment ref="B40" authorId="0">
      <text>
        <r>
          <rPr>
            <b/>
            <sz val="8"/>
            <color indexed="81"/>
            <rFont val="Tahoma"/>
            <family val="2"/>
          </rPr>
          <t>Leon Michaelides:</t>
        </r>
        <r>
          <rPr>
            <sz val="8"/>
            <color indexed="81"/>
            <rFont val="Tahoma"/>
            <family val="2"/>
          </rPr>
          <t xml:space="preserve">
Use as an alternate method of forecasting lease payments.  Or if disclosures are available then use as a sensibility check on forecast lease payments.  </t>
        </r>
      </text>
    </comment>
    <comment ref="N40" authorId="2">
      <text>
        <r>
          <rPr>
            <b/>
            <sz val="8"/>
            <color indexed="81"/>
            <rFont val="Tahoma"/>
            <family val="2"/>
          </rPr>
          <t>Per 10K
Total Number of Stores - Owned Stores</t>
        </r>
      </text>
    </comment>
    <comment ref="B47" authorId="0">
      <text>
        <r>
          <rPr>
            <b/>
            <sz val="8"/>
            <color indexed="81"/>
            <rFont val="Tahoma"/>
            <family val="2"/>
          </rPr>
          <t>Leon Michaelides:</t>
        </r>
        <r>
          <rPr>
            <sz val="8"/>
            <color indexed="81"/>
            <rFont val="Tahoma"/>
            <family val="2"/>
          </rPr>
          <t xml:space="preserve">
An option if disclosure is available is to forecast lease payments per number of leased units.</t>
        </r>
      </text>
    </comment>
    <comment ref="B50" authorId="0">
      <text>
        <r>
          <rPr>
            <b/>
            <sz val="8"/>
            <color indexed="81"/>
            <rFont val="Tahoma"/>
            <family val="2"/>
          </rPr>
          <t>Leon Michaelides:</t>
        </r>
        <r>
          <rPr>
            <sz val="8"/>
            <color indexed="81"/>
            <rFont val="Tahoma"/>
            <family val="2"/>
          </rPr>
          <t xml:space="preserve">
Present Value of the Increase in lease payments each year.  This is the PV of new leases signed and is equavilent to the capital spending financed through operating leases.
Either use an assumed growth rate or forecast capex explicitly.</t>
        </r>
      </text>
    </comment>
    <comment ref="B51" authorId="0">
      <text>
        <r>
          <rPr>
            <b/>
            <sz val="8"/>
            <color indexed="81"/>
            <rFont val="Tahoma"/>
            <family val="2"/>
          </rPr>
          <t>Leon Michaelides:</t>
        </r>
        <r>
          <rPr>
            <sz val="8"/>
            <color indexed="81"/>
            <rFont val="Tahoma"/>
            <family val="2"/>
          </rPr>
          <t xml:space="preserve">
Use as an alternate method of forecasting lease payments. </t>
        </r>
      </text>
    </comment>
    <comment ref="M54" authorId="1">
      <text>
        <r>
          <rPr>
            <b/>
            <sz val="8"/>
            <color indexed="81"/>
            <rFont val="Tahoma"/>
            <family val="2"/>
          </rPr>
          <t>Growth based on leased sq. ft.</t>
        </r>
      </text>
    </comment>
    <comment ref="N54" authorId="1">
      <text>
        <r>
          <rPr>
            <b/>
            <sz val="8"/>
            <color indexed="81"/>
            <rFont val="Tahoma"/>
            <family val="2"/>
          </rPr>
          <t>Growth based on leased sq. ft.</t>
        </r>
      </text>
    </comment>
    <comment ref="B56" authorId="0">
      <text>
        <r>
          <rPr>
            <b/>
            <sz val="8"/>
            <color indexed="81"/>
            <rFont val="Tahoma"/>
            <family val="2"/>
          </rPr>
          <t>Leon Michaelides:</t>
        </r>
        <r>
          <rPr>
            <sz val="8"/>
            <color indexed="81"/>
            <rFont val="Tahoma"/>
            <family val="2"/>
          </rPr>
          <t xml:space="preserve">
non cancelable leases only</t>
        </r>
      </text>
    </comment>
    <comment ref="N66" authorId="2">
      <text>
        <r>
          <rPr>
            <b/>
            <sz val="8"/>
            <color indexed="81"/>
            <rFont val="Tahoma"/>
            <family val="2"/>
          </rPr>
          <t>Minimum rent only</t>
        </r>
      </text>
    </comment>
    <comment ref="Q66" authorId="3">
      <text>
        <r>
          <rPr>
            <b/>
            <sz val="8"/>
            <color indexed="81"/>
            <rFont val="Tahoma"/>
            <family val="2"/>
          </rPr>
          <t>Store loc + Offices,W/H, and Equip</t>
        </r>
        <r>
          <rPr>
            <sz val="8"/>
            <color indexed="81"/>
            <rFont val="Tahoma"/>
            <family val="2"/>
          </rPr>
          <t xml:space="preserve">
</t>
        </r>
      </text>
    </comment>
    <comment ref="C139" authorId="0">
      <text>
        <r>
          <rPr>
            <b/>
            <sz val="8"/>
            <color indexed="81"/>
            <rFont val="Tahoma"/>
            <family val="2"/>
          </rPr>
          <t>Leon Michaelides:</t>
        </r>
        <r>
          <rPr>
            <sz val="8"/>
            <color indexed="81"/>
            <rFont val="Tahoma"/>
            <family val="2"/>
          </rPr>
          <t xml:space="preserve">
factor to apply to smooth depreciation of the take on carrying value of leased assets.  This is to depreciate them on a reducing balance method to similate a portfolio where leases would roll off over time.</t>
        </r>
      </text>
    </comment>
  </commentList>
</comments>
</file>

<file path=xl/sharedStrings.xml><?xml version="1.0" encoding="utf-8"?>
<sst xmlns="http://schemas.openxmlformats.org/spreadsheetml/2006/main" count="3187" uniqueCount="987">
  <si>
    <t>LULU.O,mscalc:closePriceCurrencyCalc</t>
  </si>
  <si>
    <t>LULU.O,mscalc:sedolCodeCalc</t>
  </si>
  <si>
    <t>LULU.O,mscalc:targetPrice,,,,USD</t>
  </si>
  <si>
    <t>B23FN39</t>
  </si>
  <si>
    <t>Statutory Tax Rate</t>
  </si>
  <si>
    <t>LULU.O,mscalc:factsetIdCalc</t>
  </si>
  <si>
    <t>LULU</t>
  </si>
  <si>
    <t>Net Income Reported</t>
  </si>
  <si>
    <t>Balance Check</t>
  </si>
  <si>
    <t>Cash and Equivalents</t>
  </si>
  <si>
    <t>Inventories</t>
  </si>
  <si>
    <t>Net PP&amp;E</t>
  </si>
  <si>
    <t>Total Current Liabilities</t>
  </si>
  <si>
    <t>Total Long-Term Liabilities</t>
  </si>
  <si>
    <t>Total Shareholders' Equity</t>
  </si>
  <si>
    <t>Receivables</t>
  </si>
  <si>
    <t>Total Current Assets</t>
  </si>
  <si>
    <t>Liabilities and Shareholders' Equity</t>
  </si>
  <si>
    <t>TOTAL LIABILITIES</t>
  </si>
  <si>
    <t>Avg. Retail Sales Per Store ($MM)</t>
  </si>
  <si>
    <t>% Increase</t>
  </si>
  <si>
    <t>% Tax Rate</t>
  </si>
  <si>
    <t>% Net Margin</t>
  </si>
  <si>
    <t>% Chg. from LY</t>
  </si>
  <si>
    <t>% Chg. Avg. Units</t>
  </si>
  <si>
    <t>CAGR</t>
  </si>
  <si>
    <t># Stores Open BOY</t>
  </si>
  <si>
    <t># Stores Open EOY</t>
  </si>
  <si>
    <t>Avg. # Open</t>
  </si>
  <si>
    <t>Comparable-Store Sales</t>
  </si>
  <si>
    <t>Operating Profit ($MM)</t>
  </si>
  <si>
    <t>($ millions except per share data)</t>
  </si>
  <si>
    <t>Avg. Store Size (Gross Sq. Ft.)</t>
  </si>
  <si>
    <t>Ending Gross Sq. Ft. (MM)</t>
  </si>
  <si>
    <t>(a) Projected sales figures exclude Internet sales.</t>
  </si>
  <si>
    <t>% Gross Margin</t>
  </si>
  <si>
    <t>% of Sales</t>
  </si>
  <si>
    <t>% Margin</t>
  </si>
  <si>
    <t>(1)</t>
  </si>
  <si>
    <t>Total/Comp</t>
  </si>
  <si>
    <t>Non-Comp.</t>
  </si>
  <si>
    <t>Spread</t>
  </si>
  <si>
    <t>No. of Stores</t>
  </si>
  <si>
    <t>Space</t>
  </si>
  <si>
    <t>(1) - (2)</t>
  </si>
  <si>
    <t>Average</t>
  </si>
  <si>
    <t>Expansion</t>
  </si>
  <si>
    <t>Productivity (3)/(6)</t>
  </si>
  <si>
    <t>(2)</t>
  </si>
  <si>
    <t>(3)</t>
  </si>
  <si>
    <t>(4)</t>
  </si>
  <si>
    <t>(5)</t>
  </si>
  <si>
    <t>(6)</t>
  </si>
  <si>
    <t>(7)</t>
  </si>
  <si>
    <t>(9)</t>
  </si>
  <si>
    <t>Year</t>
  </si>
  <si>
    <t>Store</t>
  </si>
  <si>
    <t xml:space="preserve">Per Avg. </t>
  </si>
  <si>
    <t xml:space="preserve">Percent </t>
  </si>
  <si>
    <t>Change</t>
  </si>
  <si>
    <t>(8)</t>
  </si>
  <si>
    <t>(10)</t>
  </si>
  <si>
    <t>Square Footage</t>
  </si>
  <si>
    <t>(11)</t>
  </si>
  <si>
    <t>(12)</t>
  </si>
  <si>
    <t>(13)</t>
  </si>
  <si>
    <t>Productivity (3)/(13)</t>
  </si>
  <si>
    <t>(14)</t>
  </si>
  <si>
    <t>(15)</t>
  </si>
  <si>
    <t>(16)</t>
  </si>
  <si>
    <t>(17)</t>
  </si>
  <si>
    <t>Per Avg.</t>
  </si>
  <si>
    <t>Square Ft.</t>
  </si>
  <si>
    <t>Square Footage Analysis</t>
  </si>
  <si>
    <t>Store Analysis</t>
  </si>
  <si>
    <t>Sales (mm) (a)</t>
  </si>
  <si>
    <t>Sales (mm, except per foot data) (a)</t>
  </si>
  <si>
    <t>Source: Company reports and Morgan Stanley estimates.</t>
  </si>
  <si>
    <t>Apr</t>
  </si>
  <si>
    <t>Jul</t>
  </si>
  <si>
    <t>Oct</t>
  </si>
  <si>
    <t>Jan</t>
  </si>
  <si>
    <t xml:space="preserve">  Year</t>
  </si>
  <si>
    <t>NA</t>
  </si>
  <si>
    <t>For the fiscal year ending January 31 of the following year</t>
  </si>
  <si>
    <t>($ in millions except per share data)</t>
  </si>
  <si>
    <t>Sales</t>
  </si>
  <si>
    <t>Total</t>
  </si>
  <si>
    <t>Comp-</t>
  </si>
  <si>
    <t>Stores</t>
  </si>
  <si>
    <t>%</t>
  </si>
  <si>
    <t>Avg. Gross Sq. Ft. (MM)</t>
  </si>
  <si>
    <t>1Q</t>
  </si>
  <si>
    <t>2Q</t>
  </si>
  <si>
    <t>3Q</t>
  </si>
  <si>
    <t>4Q</t>
  </si>
  <si>
    <t>Year-to-Year Dollar Change in Working Capital</t>
  </si>
  <si>
    <t>($ millions)</t>
  </si>
  <si>
    <t>Cash &amp; Equivalents</t>
  </si>
  <si>
    <t>Long-Term Debt</t>
  </si>
  <si>
    <t>Total Debt</t>
  </si>
  <si>
    <t>Net Debt (Total Debt Less Cash)</t>
  </si>
  <si>
    <t>Shareholders' Equity</t>
  </si>
  <si>
    <t>Total Capital</t>
  </si>
  <si>
    <t>Total Debt as % of Total Capital</t>
  </si>
  <si>
    <t>Net Debt as % of Total Capital</t>
  </si>
  <si>
    <t>Source: Company reports.</t>
  </si>
  <si>
    <t>% Change</t>
  </si>
  <si>
    <t>TOTAL ASSETS</t>
  </si>
  <si>
    <t>Inventory</t>
  </si>
  <si>
    <t>Cost of</t>
  </si>
  <si>
    <t>End of</t>
  </si>
  <si>
    <t>Prior</t>
  </si>
  <si>
    <t>Following</t>
  </si>
  <si>
    <t>Goods Sold</t>
  </si>
  <si>
    <t>Quarter</t>
  </si>
  <si>
    <t>Prior Year</t>
  </si>
  <si>
    <t>Assets</t>
  </si>
  <si>
    <t>x</t>
  </si>
  <si>
    <t>TOTAL LIABILITIES AND S/H EQUITY</t>
  </si>
  <si>
    <t>Open</t>
  </si>
  <si>
    <t>Y-o-Y</t>
  </si>
  <si>
    <t>At</t>
  </si>
  <si>
    <t>at End</t>
  </si>
  <si>
    <t>per</t>
  </si>
  <si>
    <t>of Quarter</t>
  </si>
  <si>
    <t>Sq. Ft.</t>
  </si>
  <si>
    <t>vs.</t>
  </si>
  <si>
    <t>Inventory vs.</t>
  </si>
  <si>
    <t>Quarterly</t>
  </si>
  <si>
    <t>Turnover Analysis</t>
  </si>
  <si>
    <t>Average (a)</t>
  </si>
  <si>
    <t>Quarter (b)</t>
  </si>
  <si>
    <t>on Hand</t>
  </si>
  <si>
    <t>Days Inventory</t>
  </si>
  <si>
    <t>Avg. (a)</t>
  </si>
  <si>
    <t>Qtr (b)</t>
  </si>
  <si>
    <t>Follow</t>
  </si>
  <si>
    <t>Ratio calculations:</t>
  </si>
  <si>
    <t>COGS</t>
  </si>
  <si>
    <t>SG&amp;A</t>
  </si>
  <si>
    <t>Net Income</t>
  </si>
  <si>
    <t>TOTAL OPERATING SOURCES</t>
  </si>
  <si>
    <t>Net Working Capital</t>
  </si>
  <si>
    <t>TOTAL OPERATING USES</t>
  </si>
  <si>
    <t>INTERNAL CASH GENERATION (FUNDS NEEDED)</t>
  </si>
  <si>
    <t>TOTAL EXTERNAL SOURCES</t>
  </si>
  <si>
    <t>Beginning Cash Balance</t>
  </si>
  <si>
    <t>Increase (Decrease) in Cash</t>
  </si>
  <si>
    <t>Increase (Decrease) in</t>
  </si>
  <si>
    <t>(Increase) Decrease in</t>
  </si>
  <si>
    <t>Ending Cash Balance</t>
  </si>
  <si>
    <t>Total External Sources &amp; Cash</t>
  </si>
  <si>
    <t>Capex / Sales</t>
  </si>
  <si>
    <t>Cash Flow Per Share</t>
  </si>
  <si>
    <t>Income Statement</t>
  </si>
  <si>
    <t>Cost of Goods Sold</t>
  </si>
  <si>
    <t>Gross Profit</t>
  </si>
  <si>
    <t>SG&amp;A Expense</t>
  </si>
  <si>
    <t>Operating Income</t>
  </si>
  <si>
    <t>Pretax Income</t>
  </si>
  <si>
    <t>Taxes</t>
  </si>
  <si>
    <t>Net Income from Operations</t>
  </si>
  <si>
    <t>Extraordinary Gain/Loss</t>
  </si>
  <si>
    <t>Average Diluted Shares</t>
  </si>
  <si>
    <t>Average Basic Shares</t>
  </si>
  <si>
    <t>Operating EPS</t>
  </si>
  <si>
    <t>Reported EPS</t>
  </si>
  <si>
    <t>End of Period Shares</t>
  </si>
  <si>
    <t>EBITDA</t>
  </si>
  <si>
    <t>Margin Analysis</t>
  </si>
  <si>
    <t>Gross Margin</t>
  </si>
  <si>
    <t>Expense Ratio</t>
  </si>
  <si>
    <t>Operating Margin</t>
  </si>
  <si>
    <t>Pretax Margin</t>
  </si>
  <si>
    <t>Tax Rate</t>
  </si>
  <si>
    <t>Net Margin</t>
  </si>
  <si>
    <t>EBITDA Margin</t>
  </si>
  <si>
    <t>Year-Over-Year Growth</t>
  </si>
  <si>
    <t>Comparable Store Sales</t>
  </si>
  <si>
    <t>Quarterly Results and Estimates</t>
  </si>
  <si>
    <t>Annual Data (Year-end)</t>
  </si>
  <si>
    <t>Store Count</t>
  </si>
  <si>
    <t>Total Sq Ft (millions)</t>
  </si>
  <si>
    <t>Total Sq Ft Growth</t>
  </si>
  <si>
    <t>Avg Size</t>
  </si>
  <si>
    <t>USD</t>
  </si>
  <si>
    <t>,mscalc:closePriceCurrencyCalc</t>
  </si>
  <si>
    <t>,mscalc:sedolCodeCalc</t>
  </si>
  <si>
    <t>,mscalc:targetPrice,,,,USD</t>
  </si>
  <si>
    <t>LULU.O,mscalc:targetPrice</t>
  </si>
  <si>
    <t>Inventory Turnover</t>
  </si>
  <si>
    <t>Payables / Inventory</t>
  </si>
  <si>
    <t>Debt to Total Capital</t>
  </si>
  <si>
    <t>Return on Equity</t>
  </si>
  <si>
    <t>LULU.O,mscalc:defaultCurrencyCalc</t>
  </si>
  <si>
    <t>Month</t>
  </si>
  <si>
    <t xml:space="preserve"> Feb</t>
  </si>
  <si>
    <t xml:space="preserve"> May</t>
  </si>
  <si>
    <t xml:space="preserve"> Oct</t>
  </si>
  <si>
    <t xml:space="preserve"> Jan</t>
  </si>
  <si>
    <t>Factor</t>
  </si>
  <si>
    <t xml:space="preserve"> </t>
  </si>
  <si>
    <t>Growth</t>
  </si>
  <si>
    <t>Other Assets</t>
  </si>
  <si>
    <t>Other</t>
  </si>
  <si>
    <t>% Growth</t>
  </si>
  <si>
    <t>% Increase / (% Decrease)</t>
  </si>
  <si>
    <t>Store Sales ($MM)</t>
  </si>
  <si>
    <t>Total Sales ($MM)</t>
  </si>
  <si>
    <t>Y/Y ∆ bps</t>
  </si>
  <si>
    <t>Comp Store Sales Increase / (Decrease)</t>
  </si>
  <si>
    <t>% of Sales (before cost savings)</t>
  </si>
  <si>
    <t>Receivables Turnover</t>
  </si>
  <si>
    <t>Payable Turnover</t>
  </si>
  <si>
    <t>Net Debt/(Cash)</t>
  </si>
  <si>
    <t>Total Capitalization</t>
  </si>
  <si>
    <t>Net Operating Assets</t>
  </si>
  <si>
    <t>Debt/Equity</t>
  </si>
  <si>
    <t>Debt/Capitalization</t>
  </si>
  <si>
    <t>Net Debt/Capitalization</t>
  </si>
  <si>
    <t>Liquidity Position</t>
  </si>
  <si>
    <t>Operating Efficiency</t>
  </si>
  <si>
    <t>Days Inventory On Hand</t>
  </si>
  <si>
    <t xml:space="preserve"> Days Payable</t>
  </si>
  <si>
    <t>Days Sales Outstanding</t>
  </si>
  <si>
    <t>Avg. Total Sales Per Store ($MM)</t>
  </si>
  <si>
    <t>Total Sales Per Avg Gross Sq Ft</t>
  </si>
  <si>
    <t>Interest Exp/(Inc)</t>
  </si>
  <si>
    <t xml:space="preserve">NA </t>
  </si>
  <si>
    <t>Quarterly Analysis of Debt and Total Capital, 2001A-1Q12A</t>
  </si>
  <si>
    <t>JCP.N,mscalc:closePriceCurrencyCalc</t>
  </si>
  <si>
    <t>JCP.N,mscalc:targetPrice,,,,USD</t>
  </si>
  <si>
    <t>22</t>
  </si>
  <si>
    <t>JCP.N,mscalc:sedolCodeCalc</t>
  </si>
  <si>
    <t>JCP.N,mscalc:targetPrice</t>
  </si>
  <si>
    <t>2680303</t>
  </si>
  <si>
    <t>Floorspace</t>
  </si>
  <si>
    <t>Current portion of long-term debt</t>
  </si>
  <si>
    <t>Common Stock</t>
  </si>
  <si>
    <t>Other Current Assets</t>
  </si>
  <si>
    <t>Internet ($MM)</t>
  </si>
  <si>
    <t>+ Net New Units</t>
  </si>
  <si>
    <t>Dividend Per Share</t>
  </si>
  <si>
    <t>2012 Extra Week Impact</t>
  </si>
  <si>
    <t>KSS.N,mscalc:closePriceCurrencyCalc</t>
  </si>
  <si>
    <t>KSS.N,mscalc:sedolCodeCalc</t>
  </si>
  <si>
    <t>KSS.N,mscalc:targetPrice,,,,USD</t>
  </si>
  <si>
    <t>2496113</t>
  </si>
  <si>
    <t>1. Retail Sales (Year-to-Year % Increase/Comps)</t>
  </si>
  <si>
    <t>3. Total Revenue (Year-to-Year % Increase)</t>
  </si>
  <si>
    <t>4. Cost of Goods Sold (% Gross Margin / bps Change)</t>
  </si>
  <si>
    <t>Other (Income)</t>
  </si>
  <si>
    <t>Revenues</t>
  </si>
  <si>
    <t>4. Cost of Goods Sold</t>
  </si>
  <si>
    <t>Deferred Income Taxes</t>
  </si>
  <si>
    <t>Retained Earning (Deficit)</t>
  </si>
  <si>
    <t>Accounts payable</t>
  </si>
  <si>
    <t>Depreciation and Amortization</t>
  </si>
  <si>
    <t>Other Changes to Working Capital</t>
  </si>
  <si>
    <t>Borrowings of LT Debt</t>
  </si>
  <si>
    <t>Repayment of LT Debt</t>
  </si>
  <si>
    <t>Issuance of Common Stock</t>
  </si>
  <si>
    <t>Purchase of treasury Stock</t>
  </si>
  <si>
    <t>Cash dividends paid</t>
  </si>
  <si>
    <t>Qtr</t>
  </si>
  <si>
    <t>Square Footage and Store Count</t>
  </si>
  <si>
    <t>% chg.</t>
  </si>
  <si>
    <t>Store Openings and Closings</t>
  </si>
  <si>
    <t>Net Stores Opened</t>
  </si>
  <si>
    <t>Stores / Square Feet - By Segment</t>
  </si>
  <si>
    <t>(incl. lease rev)</t>
  </si>
  <si>
    <t>Short-Term Debt (including debt held for sale)</t>
  </si>
  <si>
    <t>Retail Sales</t>
  </si>
  <si>
    <t>Currency</t>
  </si>
  <si>
    <t>Current Stock Price</t>
  </si>
  <si>
    <t>Count</t>
  </si>
  <si>
    <t>SKS.N,mscalc:targetPrice,,,,USD</t>
  </si>
  <si>
    <t>SKS.N,mscalc:closePriceCurrencyCalc</t>
  </si>
  <si>
    <t>SKS.N,mscalc:sedolCodeCalc</t>
  </si>
  <si>
    <t>2704786</t>
  </si>
  <si>
    <t>1H</t>
  </si>
  <si>
    <t>2H</t>
  </si>
  <si>
    <t>Sales vs. Comp Spread</t>
  </si>
  <si>
    <t>Bear</t>
  </si>
  <si>
    <t>2010A</t>
  </si>
  <si>
    <t>2011A</t>
  </si>
  <si>
    <t>Total Sales</t>
  </si>
  <si>
    <t>Bull</t>
  </si>
  <si>
    <t>D&amp;A</t>
  </si>
  <si>
    <t>Rack</t>
  </si>
  <si>
    <t>Full-Line</t>
  </si>
  <si>
    <t>July</t>
  </si>
  <si>
    <t>Faconnable/ Shoes</t>
  </si>
  <si>
    <t>Rack &amp; Other</t>
  </si>
  <si>
    <t>Square Feet</t>
  </si>
  <si>
    <t>Direct</t>
  </si>
  <si>
    <t>Corporate/Other</t>
  </si>
  <si>
    <t>Nordstrom</t>
  </si>
  <si>
    <t>(Ex Direct)</t>
  </si>
  <si>
    <t>For the fiscal year ending January 11 of the following year</t>
  </si>
  <si>
    <t>2. Credit Revenues</t>
  </si>
  <si>
    <t>5. Total SG&amp;A (% of Sales / % growth)</t>
  </si>
  <si>
    <t>5a. Retail SG&amp;A (% of Sales / % growth)</t>
  </si>
  <si>
    <t>6. Operating Income  (% of Sales / % Change)</t>
  </si>
  <si>
    <t>7. Interest Expense (Income)  (% of Sales)</t>
  </si>
  <si>
    <t>8. Non-recurring Charges</t>
  </si>
  <si>
    <t>14. Net Earnings (% Net Margin / % Change)</t>
  </si>
  <si>
    <t>1. Retail Sales</t>
  </si>
  <si>
    <t>Full Line</t>
  </si>
  <si>
    <t>2. Credit Revenues (% Growth)</t>
  </si>
  <si>
    <t>3. Total Revenue</t>
  </si>
  <si>
    <t xml:space="preserve">5. Total SG&amp;A </t>
  </si>
  <si>
    <t>5a. Retail SG&amp;A (% of Retail Sales / % growth)</t>
  </si>
  <si>
    <t>5b. Credit SG&amp;A (% of Sales / % growth)</t>
  </si>
  <si>
    <t>6. Operating Income</t>
  </si>
  <si>
    <t>Credit Revenues</t>
  </si>
  <si>
    <t>Total Revenues</t>
  </si>
  <si>
    <t>Reconcil. of NOBE Credit</t>
  </si>
  <si>
    <t>Gross PP&amp;E</t>
  </si>
  <si>
    <t>Accumulated Depreciation</t>
  </si>
  <si>
    <t>Notes and Commercial Paper</t>
  </si>
  <si>
    <t>Other Current Liabilities</t>
  </si>
  <si>
    <t xml:space="preserve">Long-Term Debt </t>
  </si>
  <si>
    <t>Capital Lease Obligations</t>
  </si>
  <si>
    <t>Other Operating Activities</t>
  </si>
  <si>
    <t>Other Investing Acitivities</t>
  </si>
  <si>
    <t>EBIT</t>
  </si>
  <si>
    <t>Credit</t>
  </si>
  <si>
    <t>5b. Credit SG&amp;A (% of Credit Revenue / % growth)</t>
  </si>
  <si>
    <t>Shr Px</t>
  </si>
  <si>
    <t>Share repo</t>
  </si>
  <si>
    <t>Credit Revenue - Credit SG&amp;A</t>
  </si>
  <si>
    <t>Interest</t>
  </si>
  <si>
    <t>Share Repo</t>
  </si>
  <si>
    <t>Price</t>
  </si>
  <si>
    <t>Deferred Property Incentives</t>
  </si>
  <si>
    <t>FY</t>
  </si>
  <si>
    <t>Amortization of  Deferred Property Incentives</t>
  </si>
  <si>
    <t>Depreciation Net of Amort of Deferred Prop Incentives</t>
  </si>
  <si>
    <t>CapEx net of Deferred Property Incentives</t>
  </si>
  <si>
    <t>Accounts Payable</t>
  </si>
  <si>
    <t>Repurchase Authorization</t>
  </si>
  <si>
    <t>Depreciation</t>
  </si>
  <si>
    <t>Inventory (Y-o-Y % Change vs. % Retail Sales Growth)</t>
  </si>
  <si>
    <t>Plus: Receivables (Y-o-Y % Change vs. % Retail Sales Growth)</t>
  </si>
  <si>
    <t>Plus: Other Current Assets (incl. current assets held for sale) (Y-o-Y % Change vs. % Retail Sales Growth)</t>
  </si>
  <si>
    <t>Less: Accounts Payable (Y-o-Y % Change vs. % Retail Sales Growth)</t>
  </si>
  <si>
    <t>Equals: "Operating" Working Capital (Y-o-Y % Change vs. % Retail Sales Growth)</t>
  </si>
  <si>
    <t>Less: Other Current Liabilities (Y-o-Y % Change vs. % Retail Sales Growth)</t>
  </si>
  <si>
    <t>Retails</t>
  </si>
  <si>
    <t>Retail SG&amp;A</t>
  </si>
  <si>
    <t>Credit SG&amp;A</t>
  </si>
  <si>
    <t>JWN.N</t>
  </si>
  <si>
    <t>JWN.N,mscalc:targetPrice,,,,USD</t>
  </si>
  <si>
    <t>JWN.N,mscalc:closePriceCurrencyCalc</t>
  </si>
  <si>
    <t>JWN.N,mscalc:sedolCodeCalc</t>
  </si>
  <si>
    <t>2641827</t>
  </si>
  <si>
    <t>Operating Lease Module</t>
  </si>
  <si>
    <t>Adjustment to Income Statement</t>
  </si>
  <si>
    <t>Reverse Rent Payment</t>
  </si>
  <si>
    <t>Add Implied Depreciation Expense</t>
  </si>
  <si>
    <t>Net Increase/(Decrease) to Operating Income</t>
  </si>
  <si>
    <t>Add Estimated Interest Expense</t>
  </si>
  <si>
    <t>Net Increase/(Decrease) to Pre-tax Income</t>
  </si>
  <si>
    <t>Principal Paid</t>
  </si>
  <si>
    <t>FIXED ASSET SCHEDULE</t>
  </si>
  <si>
    <t>Beginning Carrying Value of Leased Assets</t>
  </si>
  <si>
    <t xml:space="preserve">Additions </t>
  </si>
  <si>
    <t>Current year charge</t>
  </si>
  <si>
    <t>Carying Value of Assets Held Under Operating Leases</t>
  </si>
  <si>
    <t>Ratio of carrying value to oustanding debt value for take on balance</t>
  </si>
  <si>
    <t>OPERATING LEASE DEBT SCHEDULE</t>
  </si>
  <si>
    <t>Beginning Balance of Implied Debt</t>
  </si>
  <si>
    <t>Repayment</t>
  </si>
  <si>
    <t>Debt Issuances (Reductions)</t>
  </si>
  <si>
    <t>Ending Balance of Implied Debt</t>
  </si>
  <si>
    <t>Assets to Liabilities</t>
  </si>
  <si>
    <t>Cumulative Adjustment To Equity</t>
  </si>
  <si>
    <t>Year over Year Adjustment in Equity</t>
  </si>
  <si>
    <t>ASSUMPTIONS</t>
  </si>
  <si>
    <t>Weighted average interest rate of lease portfolio</t>
  </si>
  <si>
    <t>Interest implicit in new leases signed</t>
  </si>
  <si>
    <t>Number of Units Leased</t>
  </si>
  <si>
    <t>Growth in Leased Units</t>
  </si>
  <si>
    <t>Leased Units / Total Units in Capacity (%)</t>
  </si>
  <si>
    <t>Leased EOP Gross Sq. Ft. (000s)</t>
  </si>
  <si>
    <t>Growth in Leased Sq. Ft.</t>
  </si>
  <si>
    <t>Leased Sq. Footage / Total Sq. Footage in Capacity (%)</t>
  </si>
  <si>
    <t>Capex per Unit</t>
  </si>
  <si>
    <t>% change in capex per unit</t>
  </si>
  <si>
    <t>Capital expenditure financed through operating leases</t>
  </si>
  <si>
    <t>Marginal Tax Rate</t>
  </si>
  <si>
    <t>Current Year Operating Lease Payments</t>
  </si>
  <si>
    <t>YOY % Change in Current Year Operating Lease Expense</t>
  </si>
  <si>
    <t>Total Reported Lease Commitments</t>
  </si>
  <si>
    <t>Growth in Aggregate Lease Obligations</t>
  </si>
  <si>
    <t>Cumulative Payments After Year 5</t>
  </si>
  <si>
    <t>Implied Total Total Lease Life</t>
  </si>
  <si>
    <t>Implied Remaining Duration on Reported Lease Payements</t>
  </si>
  <si>
    <t>Lease Payment Schedule - Non Cancelable Leases Only</t>
  </si>
  <si>
    <t>Current year rental payment</t>
  </si>
  <si>
    <t>Expected payments forecast year 1</t>
  </si>
  <si>
    <t>Expected payments forecast year 2</t>
  </si>
  <si>
    <t>Expected payments forecast year 3</t>
  </si>
  <si>
    <t>Expected payments forecast year 4</t>
  </si>
  <si>
    <t>Expected payments forecast year 5</t>
  </si>
  <si>
    <t>Expected payments forecast year 6</t>
  </si>
  <si>
    <t>Expected payments forecast year 7</t>
  </si>
  <si>
    <t>Expected payments forecast year 8</t>
  </si>
  <si>
    <t>Expected payments forecast year 9</t>
  </si>
  <si>
    <t>Expected payments forecast year 10</t>
  </si>
  <si>
    <t>Expected payments forecast year 11</t>
  </si>
  <si>
    <t>Expected payments forecast year 12</t>
  </si>
  <si>
    <t>Expected payments forecast year 13</t>
  </si>
  <si>
    <t>Expected payments forecast year 14</t>
  </si>
  <si>
    <t>Expected payments forecast year 15</t>
  </si>
  <si>
    <t>Expected payments forecast year 16</t>
  </si>
  <si>
    <t>Expected payments forecast year 17</t>
  </si>
  <si>
    <t>Expected payments forecast year 18</t>
  </si>
  <si>
    <t>Expected payments forecast year 19</t>
  </si>
  <si>
    <t>Expected payments forecast year 20</t>
  </si>
  <si>
    <t>Expected payments forecast year 21</t>
  </si>
  <si>
    <t>Expected payments forecast year 22</t>
  </si>
  <si>
    <t>Expected payments forecast year 23</t>
  </si>
  <si>
    <t>Expected payments forecast year 24</t>
  </si>
  <si>
    <t>Expected payments forecast year 25</t>
  </si>
  <si>
    <t>Expected payments forecast year 26</t>
  </si>
  <si>
    <t>Expected payments forecast year 27</t>
  </si>
  <si>
    <t>Expected payments forecast year 28</t>
  </si>
  <si>
    <t>Expected payments forecast year 29</t>
  </si>
  <si>
    <t>Expected payments forecast year 30</t>
  </si>
  <si>
    <t>Rental Payments Schedule</t>
  </si>
  <si>
    <t>PV of incremental payments</t>
  </si>
  <si>
    <t>Period</t>
  </si>
  <si>
    <t>Present Value of Incremental Lease Payments</t>
  </si>
  <si>
    <t>Increase in current year lease payments versus previous years expected</t>
  </si>
  <si>
    <t>Estimated additions to leased assets in period</t>
  </si>
  <si>
    <t>Depreciation schedule</t>
  </si>
  <si>
    <t>Assumed Average Lease Life</t>
  </si>
  <si>
    <t>Fade rate for depreciation of opening balance</t>
  </si>
  <si>
    <t>Depreciation of take on book value</t>
  </si>
  <si>
    <t>Depreciation Schedule</t>
  </si>
  <si>
    <t>9. Pretax Income (Loss) (% Margin / % Change)</t>
  </si>
  <si>
    <t>10. Income Taxes/(Credit) (% Tax Rate / % Change)</t>
  </si>
  <si>
    <t>11. Minority Interest</t>
  </si>
  <si>
    <t>12. Net Earnings (% Net Margin / % Change)</t>
  </si>
  <si>
    <t>13. Extraordinary/Discontinued Items (after-tax)</t>
  </si>
  <si>
    <t>15. EPS Before Extraordinary/Discontinued - Fully Diluted</t>
  </si>
  <si>
    <t>16. Earnings Per Share - GAAP - Fully Diluted</t>
  </si>
  <si>
    <t>17. Average Diluted Shares</t>
  </si>
  <si>
    <t>18. Average Basic Shares</t>
  </si>
  <si>
    <t>19. Basic Shares Outstanding</t>
  </si>
  <si>
    <t xml:space="preserve">7. Interest Expense </t>
  </si>
  <si>
    <t>8. Other (Income)</t>
  </si>
  <si>
    <t>9. Pretax Income</t>
  </si>
  <si>
    <t>10. Income Taxes</t>
  </si>
  <si>
    <t>12. Net Earnings</t>
  </si>
  <si>
    <t>13. Extraordinary Items (after tax)</t>
  </si>
  <si>
    <t>14. Net Earnings (after extra items)</t>
  </si>
  <si>
    <t>15. Operating Earnings per Share</t>
  </si>
  <si>
    <t>16. Reported Earnings per Share</t>
  </si>
  <si>
    <t>17. Average Shares Outstanding</t>
  </si>
  <si>
    <t>.</t>
  </si>
  <si>
    <t>MS</t>
  </si>
  <si>
    <t>Variance vs.</t>
  </si>
  <si>
    <t>Interest Expense</t>
  </si>
  <si>
    <t>Average Shares</t>
  </si>
  <si>
    <t>Earnings Per Share</t>
  </si>
  <si>
    <t>JWN</t>
  </si>
  <si>
    <t>Non-Comp Space Productivity (based on SF)</t>
  </si>
  <si>
    <t>Company</t>
  </si>
  <si>
    <t>Street</t>
  </si>
  <si>
    <t>K</t>
  </si>
  <si>
    <t>Total SG&amp;A Expense</t>
  </si>
  <si>
    <t>Retail Expense Ratio</t>
  </si>
  <si>
    <t>Extra week</t>
  </si>
  <si>
    <t>2H Comp</t>
  </si>
  <si>
    <t>Gross Capital Expenditures</t>
  </si>
  <si>
    <t>Metric</t>
  </si>
  <si>
    <t>BASE CASE</t>
  </si>
  <si>
    <t>2004A</t>
  </si>
  <si>
    <t>2005A</t>
  </si>
  <si>
    <t>2006A</t>
  </si>
  <si>
    <t>2007A</t>
  </si>
  <si>
    <t>2008A</t>
  </si>
  <si>
    <t>2009A</t>
  </si>
  <si>
    <t>2012A</t>
  </si>
  <si>
    <t>2016E</t>
  </si>
  <si>
    <t>2017E</t>
  </si>
  <si>
    <t>Depreciation &amp; Amortization</t>
  </si>
  <si>
    <t>Interest and Other Exp/(Inc)</t>
  </si>
  <si>
    <t>BULL CASE</t>
  </si>
  <si>
    <t>Base Case Sales Comp Spread</t>
  </si>
  <si>
    <t>BEAR CASE</t>
  </si>
  <si>
    <t>Bear Case Sales Comp Spread</t>
  </si>
  <si>
    <t>INTERACTIVE</t>
  </si>
  <si>
    <t>Base</t>
  </si>
  <si>
    <t xml:space="preserve">Type "Bull / Base / Bear" here to toggle scenarios &gt;&gt; </t>
  </si>
  <si>
    <t>Total Expense Ratio</t>
  </si>
  <si>
    <t>Bull Case Sales Comp Spread</t>
  </si>
  <si>
    <t>Sales Comp Spread</t>
  </si>
  <si>
    <t>LY</t>
  </si>
  <si>
    <t>Cons</t>
  </si>
  <si>
    <t>EPS Impact</t>
  </si>
  <si>
    <t>Actual vs. MSe</t>
  </si>
  <si>
    <t>Report</t>
  </si>
  <si>
    <t>Other Op Expense (ex qualified pension)</t>
  </si>
  <si>
    <t>Total Operating Expense</t>
  </si>
  <si>
    <t>Cumulative</t>
  </si>
  <si>
    <t xml:space="preserve">  Operating Income</t>
  </si>
  <si>
    <t>Other Expense/(Income)</t>
  </si>
  <si>
    <t xml:space="preserve">   Pretax Income</t>
  </si>
  <si>
    <t>Net Inc. From Ops</t>
  </si>
  <si>
    <t>Test</t>
  </si>
  <si>
    <t xml:space="preserve">Earnings Per Share </t>
  </si>
  <si>
    <t>Other Operating</t>
  </si>
  <si>
    <t>Comp. Store Sales (A)</t>
  </si>
  <si>
    <t>SG&amp;A  Expense</t>
  </si>
  <si>
    <t>TY</t>
  </si>
  <si>
    <t>eComm % of Total Sales</t>
  </si>
  <si>
    <t>2018E</t>
  </si>
  <si>
    <t>Retail Only</t>
  </si>
  <si>
    <t>Retail Gross Margin</t>
  </si>
  <si>
    <t>Retail Gross Profit</t>
  </si>
  <si>
    <t xml:space="preserve">Consolidated Gross Margin </t>
  </si>
  <si>
    <t>2019E</t>
  </si>
  <si>
    <t>WACC</t>
  </si>
  <si>
    <t>NOPAT</t>
  </si>
  <si>
    <t>JWN.N,mscalc:sharePriceCurrent</t>
  </si>
  <si>
    <t>$AT$2</t>
  </si>
  <si>
    <t>Net Debt</t>
  </si>
  <si>
    <t>Retail Operating Income</t>
  </si>
  <si>
    <t>Credit Operating Income</t>
  </si>
  <si>
    <t>Total Operating Margin</t>
  </si>
  <si>
    <t>Retail Operating Margin</t>
  </si>
  <si>
    <t>Expense Ratio (retail)</t>
  </si>
  <si>
    <t>Gross Margin (retail)</t>
  </si>
  <si>
    <t>Credit Operating Margin</t>
  </si>
  <si>
    <t>48.49</t>
  </si>
  <si>
    <t>4Q Inventory Growth</t>
  </si>
  <si>
    <t xml:space="preserve">4Q Sales Growth </t>
  </si>
  <si>
    <t>Credit EBIT</t>
  </si>
  <si>
    <t>Nordstrom full-line stores - U.S. (1)</t>
  </si>
  <si>
    <t>Nordstrom.com (2)</t>
  </si>
  <si>
    <t>Total Nordstrom (1+2)</t>
  </si>
  <si>
    <t>Nordstrom Rack (3)</t>
  </si>
  <si>
    <t>Nordstromrack.com/HauteLook (4)</t>
  </si>
  <si>
    <t>Other Retail (5)*</t>
  </si>
  <si>
    <t>*Other retail includes Trunk Club, our Nordstrom Canada full-line stores and Jeffrey boutiques.</t>
  </si>
  <si>
    <t xml:space="preserve">Segment Sales/Comp Model </t>
  </si>
  <si>
    <t>Total (1-5)</t>
  </si>
  <si>
    <t>Retail Sales (Year-to-Year % Increase/Comps) **Does not include Corporate/Other</t>
  </si>
  <si>
    <t>2013A</t>
  </si>
  <si>
    <t>2014A</t>
  </si>
  <si>
    <t>2015A</t>
  </si>
  <si>
    <t xml:space="preserve">Sales/Avg Sq Ft (Including eComm) </t>
  </si>
  <si>
    <t xml:space="preserve">Sales/Avg Sq Ft (Store Only) </t>
  </si>
  <si>
    <t>Forecasts</t>
  </si>
  <si>
    <t>Revenue</t>
  </si>
  <si>
    <t>Margin</t>
  </si>
  <si>
    <t>Operating Taxes</t>
  </si>
  <si>
    <t xml:space="preserve">  NOPAT Margin</t>
  </si>
  <si>
    <t>+Depreciation &amp; Amortization</t>
  </si>
  <si>
    <t>Capital Expenditures</t>
  </si>
  <si>
    <t xml:space="preserve"> Increase in WC (&amp; other NOA)</t>
  </si>
  <si>
    <t>Total Reinvestment</t>
  </si>
  <si>
    <t xml:space="preserve">  Reinvest Rate</t>
  </si>
  <si>
    <t>Free Cash Flow from Operations</t>
  </si>
  <si>
    <t>Discount Factor</t>
  </si>
  <si>
    <t>NPV of Forecasted Cash Flows</t>
  </si>
  <si>
    <t>Terminal Value</t>
  </si>
  <si>
    <t>NPV of Terminal Value</t>
  </si>
  <si>
    <t>Terminal Value Growth Rate</t>
  </si>
  <si>
    <t xml:space="preserve">Debt Balance </t>
  </si>
  <si>
    <t>Risk-Free Rate</t>
  </si>
  <si>
    <t>Market Risk Premium</t>
  </si>
  <si>
    <t>Equity Beta</t>
  </si>
  <si>
    <t>Cost of Debt (Pre-tax)</t>
  </si>
  <si>
    <t>Required Equity Return</t>
  </si>
  <si>
    <t xml:space="preserve">Fully Diluted Shares </t>
  </si>
  <si>
    <t>Current Share Price</t>
  </si>
  <si>
    <t>Market Capitalization</t>
  </si>
  <si>
    <t>Market Enterprise Value</t>
  </si>
  <si>
    <t>Sum of NPV Forecasted CFs</t>
  </si>
  <si>
    <t>Intrinsic Enterprise Value</t>
  </si>
  <si>
    <t>Less: Debt</t>
  </si>
  <si>
    <t>Plus: Cash</t>
  </si>
  <si>
    <t>Less: MV of Non-controlling Interest</t>
  </si>
  <si>
    <t>Plus: MV of Equity Investments</t>
  </si>
  <si>
    <t>Equity Value</t>
  </si>
  <si>
    <t>Current Equity Value per Share</t>
  </si>
  <si>
    <t>Implied 12 Month Price Target</t>
  </si>
  <si>
    <t xml:space="preserve">Cash Balance </t>
  </si>
  <si>
    <t>Multiple</t>
  </si>
  <si>
    <t>Annual Earnings Model, Fiscal 2004A-2021E</t>
  </si>
  <si>
    <t>11-16A</t>
  </si>
  <si>
    <t>Annual Sales Model, Fiscal 1989A-2021E</t>
  </si>
  <si>
    <t>Cash Flow Statement, Fiscal 1989A-2021E</t>
  </si>
  <si>
    <t>Balance Sheet, Fiscal 1989A-2021E</t>
  </si>
  <si>
    <t>Operating Results Summary &amp; Financial Analysis, Fiscal 1990A-2021E</t>
  </si>
  <si>
    <t>Quarterly Operating Results and Financial Analysis, , Fiscal 1989A-2017E</t>
  </si>
  <si>
    <t>Analysis of Space Productivity, 1989A-2017E</t>
  </si>
  <si>
    <t>Quarterly Analysis of "Operating" Working Capital, 2001A-2016E</t>
  </si>
  <si>
    <t>Quarterly Analysis of Inventory Turnover, 2005A-2016E</t>
  </si>
  <si>
    <t>2020E</t>
  </si>
  <si>
    <t>2021E</t>
  </si>
  <si>
    <t>TR Cons</t>
  </si>
  <si>
    <t>SGA dolllar growth</t>
  </si>
  <si>
    <t>2016A</t>
  </si>
  <si>
    <t>Model</t>
  </si>
  <si>
    <t>2QFY2018</t>
  </si>
  <si>
    <t>2025E</t>
  </si>
  <si>
    <t>2018A</t>
  </si>
  <si>
    <t>3Q17A</t>
  </si>
  <si>
    <t>3Q16A</t>
  </si>
  <si>
    <t>3Q17E</t>
  </si>
  <si>
    <t>2022E</t>
  </si>
  <si>
    <t>16A-22E</t>
  </si>
  <si>
    <t>42</t>
  </si>
  <si>
    <t>2023E</t>
  </si>
  <si>
    <t>2024E</t>
  </si>
  <si>
    <t>Cost of Debt (Post-tax @ 21%)</t>
  </si>
  <si>
    <t>MSA13041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</si>
  <si>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</si>
  <si>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</si>
  <si>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</si>
  <si>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</si>
  <si>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</si>
  <si>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</si>
  <si>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</si>
  <si>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</si>
  <si>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Kimberly Greenberger</t>
  </si>
  <si>
    <t>Date: 09 Apr 2018</t>
  </si>
  <si>
    <t>Ticker: JWN.N</t>
  </si>
  <si>
    <t>Stock Rating: Underweight</t>
  </si>
  <si>
    <t>Industry: Retail, Department Stores</t>
  </si>
  <si>
    <t>Industry View: Cautious</t>
  </si>
  <si>
    <t>Price as of 09 Apr 2018: 48.67</t>
  </si>
  <si>
    <t>Target Price: 42</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</si>
  <si>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</si>
  <si>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</si>
  <si>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</si>
  <si>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</si>
  <si>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Nordstrom.</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</si>
  <si>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</si>
  <si>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</si>
  <si>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</si>
  <si>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</si>
  <si>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</si>
  <si>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</si>
  <si>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</si>
  <si>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</si>
  <si>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</si>
  <si>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</si>
  <si>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</si>
  <si>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</si>
  <si>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</si>
  <si>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</si>
  <si>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</si>
  <si>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</si>
  <si>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</si>
  <si>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</si>
  <si>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</si>
  <si>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</si>
  <si>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</si>
  <si>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</si>
  <si>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</si>
  <si>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</si>
  <si>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</si>
  <si>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</si>
  <si>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</si>
  <si>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</si>
  <si>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</si>
  <si>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</si>
  <si>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</si>
  <si>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</si>
  <si>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</si>
  <si>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</si>
  <si>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</si>
  <si>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</si>
  <si>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</si>
  <si>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</si>
  <si>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</si>
  <si>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</si>
  <si>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</si>
  <si>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</si>
  <si>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</si>
  <si>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</si>
  <si>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</si>
  <si>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</si>
  <si>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</si>
  <si>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</si>
  <si>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</si>
  <si>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</si>
  <si>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</si>
  <si>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</si>
  <si>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</si>
  <si>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</si>
  <si>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</si>
  <si>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</si>
  <si>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</si>
  <si>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</si>
  <si>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</si>
  <si>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</si>
  <si>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</si>
  <si>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</si>
  <si>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</si>
  <si>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</si>
  <si>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</si>
  <si>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</si>
  <si>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</si>
  <si>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</si>
  <si>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</si>
  <si>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</si>
  <si>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</si>
  <si>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</si>
  <si>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</si>
  <si>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</si>
  <si>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</si>
  <si>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</si>
  <si>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</si>
  <si>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</si>
  <si>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</si>
  <si>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</si>
  <si>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</si>
  <si>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</si>
  <si>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</si>
  <si>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</si>
  <si>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</si>
  <si>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</si>
  <si>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</si>
  <si>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</si>
  <si>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</si>
  <si>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</si>
  <si>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</si>
  <si>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</si>
  <si>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</si>
  <si>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</si>
  <si>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</si>
  <si>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</si>
  <si>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</si>
  <si>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</si>
  <si>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</si>
  <si>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</si>
  <si>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</si>
  <si>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</si>
  <si>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</si>
  <si>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</si>
  <si>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</si>
  <si>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</si>
  <si>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</si>
  <si>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</si>
  <si>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</si>
  <si>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</si>
  <si>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</si>
  <si>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</si>
  <si>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</si>
  <si>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</si>
  <si>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</si>
  <si>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</si>
  <si>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</si>
  <si>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</si>
  <si>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</si>
  <si>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</si>
  <si>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</si>
  <si>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</si>
  <si>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</si>
  <si>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</si>
  <si>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</si>
  <si>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</si>
  <si>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</si>
  <si>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</si>
  <si>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</si>
  <si>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</si>
  <si>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</si>
  <si>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</si>
  <si>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</si>
  <si>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</si>
  <si>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</si>
  <si>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</si>
  <si>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</si>
  <si>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</si>
  <si>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</si>
  <si>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</si>
  <si>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</si>
  <si>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</si>
  <si>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</si>
  <si>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</si>
  <si>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</si>
  <si>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</si>
  <si>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</si>
  <si>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</si>
  <si>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</si>
  <si>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</si>
  <si>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</si>
  <si>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</si>
  <si>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</si>
  <si>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</si>
  <si>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</si>
  <si>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</si>
  <si>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</si>
  <si>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</si>
  <si>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</si>
  <si>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</si>
  <si>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</si>
  <si>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</si>
  <si>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</si>
  <si>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</si>
  <si>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</si>
  <si>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</si>
  <si>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</si>
  <si>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</si>
  <si>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</si>
  <si>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</si>
  <si>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</si>
  <si>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</si>
  <si>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</si>
  <si>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</si>
  <si>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</si>
  <si>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Nordstrom.</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</si>
  <si>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</si>
  <si>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</si>
  <si>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</si>
  <si>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</si>
  <si>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</si>
  <si>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</si>
  <si>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</si>
  <si>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</si>
  <si>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</si>
  <si>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</si>
  <si>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</si>
  <si>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</si>
  <si>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</si>
  <si>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</si>
  <si>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</si>
  <si>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</si>
  <si>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</si>
  <si>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</si>
  <si>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</si>
  <si>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</si>
  <si>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</si>
  <si>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</si>
  <si>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</si>
  <si>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</si>
  <si>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</si>
  <si>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</si>
  <si>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</si>
  <si>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</si>
  <si>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</si>
  <si>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</si>
  <si>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</si>
  <si>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</si>
  <si>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</si>
  <si>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</si>
  <si>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</si>
  <si>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</si>
  <si>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</si>
  <si>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</si>
  <si>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</si>
  <si>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</si>
  <si>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</si>
  <si>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</si>
  <si>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</si>
  <si>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</si>
  <si>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</si>
  <si>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</si>
  <si>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</si>
  <si>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</si>
  <si>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</si>
  <si>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</si>
  <si>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</si>
  <si>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</si>
  <si>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</si>
  <si>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</si>
  <si>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</si>
  <si>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</si>
  <si>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</si>
  <si>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</si>
  <si>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</si>
  <si>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</si>
  <si>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</si>
  <si>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</si>
  <si>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</si>
  <si>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</si>
  <si>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</si>
  <si>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</si>
  <si>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</si>
  <si>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</si>
  <si>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Nordstrom.</t>
  </si>
  <si>
    <t>Within the last 12 months, Morgan Stanley has provided or is providing investment banking services to,</t>
  </si>
  <si>
    <t>or has an investment banking client relationship with, the following company: Nordstrom.</t>
  </si>
  <si>
    <t>Within the last 12 months, Morgan Stanley has received compensation for products and services other than</t>
  </si>
  <si>
    <t>investment banking services from Nordstrom.</t>
  </si>
  <si>
    <t>In the next 3 months, Morgan Stanley expects to receive or intends to seek compensation for investment</t>
  </si>
  <si>
    <t>banking services from Nordstrom.</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</si>
  <si>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</si>
  <si>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</si>
  <si>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</si>
  <si>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</si>
  <si>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</si>
  <si>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Kimberly C Greenberger.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</si>
  <si>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</si>
  <si>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</si>
  <si>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</si>
  <si>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</si>
  <si>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</si>
  <si>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</si>
  <si>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</si>
  <si>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</si>
  <si>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</si>
  <si>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</si>
  <si>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</si>
  <si>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</si>
  <si>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</si>
  <si>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</si>
  <si>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</si>
  <si>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</si>
  <si>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</si>
  <si>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</si>
  <si>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</si>
  <si>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</si>
  <si>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</si>
  <si>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</si>
  <si>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</si>
  <si>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</si>
  <si>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</si>
  <si>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</si>
  <si>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</si>
  <si>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</si>
  <si>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</si>
  <si>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</si>
  <si>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</si>
  <si>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</si>
  <si>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</si>
  <si>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</si>
  <si>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</si>
  <si>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</si>
  <si>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</si>
  <si>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</si>
  <si>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</si>
  <si>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</si>
  <si>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</si>
  <si>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</si>
  <si>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</si>
  <si>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</si>
  <si>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</si>
  <si>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</si>
  <si>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</si>
  <si>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</si>
  <si>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</si>
  <si>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</si>
  <si>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</si>
  <si>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</si>
  <si>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</si>
  <si>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</si>
  <si>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</si>
  <si>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</si>
  <si>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</si>
  <si>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</si>
  <si>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</si>
  <si>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</si>
  <si>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</si>
  <si>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</si>
  <si>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</si>
  <si>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</si>
  <si>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</si>
  <si>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</si>
  <si>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Cautious</t>
  </si>
  <si>
    <t>Regular Update</t>
  </si>
  <si>
    <t>NorthAmerica</t>
  </si>
  <si>
    <t>edouardd</t>
  </si>
  <si>
    <t>L:\RETAIL\Greenberger\Companies\JWN\Model\JWN_Model.xlsm</t>
  </si>
  <si>
    <t>Please contact edouard.de.courreges@ms.com with any questions/concerns. Updated in accordance with the 10-K release. Thank you, Ed</t>
  </si>
  <si>
    <t>[BRO MSA]</t>
  </si>
  <si>
    <t>[PRODUCT MODEL]</t>
  </si>
  <si>
    <t>[EMAIL_ALERT YES]</t>
  </si>
  <si>
    <t>[DISCIPLINE Company]</t>
  </si>
  <si>
    <t>[SUPPRESSED NO]</t>
  </si>
  <si>
    <t>[DOCDAT 2018-04-09]</t>
  </si>
  <si>
    <t>[DOCTIME 14:07]</t>
  </si>
  <si>
    <t>[PSYM JWN.N(S&amp;P) (None)]</t>
  </si>
  <si>
    <t>[COU 1]</t>
  </si>
  <si>
    <t>[ANA ]</t>
  </si>
  <si>
    <t>[HL JWN.N Model]</t>
  </si>
  <si>
    <t>[IND RETSPC]</t>
  </si>
  <si>
    <t>[PANA MSA13041]</t>
  </si>
</sst>
</file>

<file path=xl/styles.xml><?xml version="1.0" encoding="utf-8"?>
<styleSheet xmlns="http://schemas.openxmlformats.org/spreadsheetml/2006/main" xmlns:mc="http://schemas.openxmlformats.org/markup-compatibility/2006" xmlns:x14ac="http://schemas.microsoft.com/office/spreadsheetml/2009/9/ac" mc:Ignorable="x14ac">
  <numFmts count="77">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_);\(#,##0.0\)"/>
    <numFmt numFmtId="165" formatCode="0.0"/>
    <numFmt numFmtId="166" formatCode="&quot;$&quot;#,##0.0"/>
    <numFmt numFmtId="167" formatCode="&quot;$&quot;#,##0.00"/>
    <numFmt numFmtId="168" formatCode="\(0.0\)"/>
    <numFmt numFmtId="169" formatCode="\+0.0;\-0.0"/>
    <numFmt numFmtId="170" formatCode="&quot;$&quot;#,##0.0_);\(&quot;$&quot;#,##0.0\)"/>
    <numFmt numFmtId="171" formatCode="0.0_);\(0.0\)"/>
    <numFmt numFmtId="172" formatCode="_(* #,##0.0_);_(* \(#,##0.0\);_(* &quot;-&quot;??_);_(@_)"/>
    <numFmt numFmtId="173" formatCode="_(* #,##0_);_(* \(#,##0\);_(* &quot;-&quot;??_);_(@_)"/>
    <numFmt numFmtId="174" formatCode="General_)"/>
    <numFmt numFmtId="175" formatCode="0.0;\(0.0\)"/>
    <numFmt numFmtId="176" formatCode="0.0_);[Red]\(0.0\)"/>
    <numFmt numFmtId="177" formatCode="0.0%"/>
    <numFmt numFmtId="178" formatCode="_(&quot;$&quot;* #,##0.0_);_(&quot;$&quot;* \(#,##0.0\);_(&quot;$&quot;* &quot;-&quot;??_);_(@_)"/>
    <numFmt numFmtId="179" formatCode="_(* #,##0.000_);_(* \(#,##0.000\);_(* &quot;-&quot;??_);_(@_)"/>
    <numFmt numFmtId="180" formatCode="0.0%;\(0.0%\)"/>
    <numFmt numFmtId="181" formatCode="&quot;$&quot;#,##0"/>
    <numFmt numFmtId="182" formatCode="0000&quot;A&quot;"/>
    <numFmt numFmtId="183" formatCode="0.0%_);\(0.0%\);&quot;–&quot;_)"/>
    <numFmt numFmtId="184" formatCode="General&quot;E&quot;"/>
    <numFmt numFmtId="185" formatCode="General&quot;A&quot;"/>
    <numFmt numFmtId="186" formatCode="00000;;&quot;--&quot;"/>
    <numFmt numFmtId="187" formatCode="#,##0_);\(#,##0\);&quot;--&quot;"/>
    <numFmt numFmtId="188" formatCode="&quot;$&quot;#,##0_);\(&quot;$&quot;#,##0\);&quot;--&quot;"/>
    <numFmt numFmtId="189" formatCode="0000&quot;E&quot;"/>
    <numFmt numFmtId="190" formatCode="0.0%_);\(0.0%\)"/>
    <numFmt numFmtId="191" formatCode="\ #,##0_);\(#,##0\)"/>
    <numFmt numFmtId="192" formatCode="0.0\x"/>
    <numFmt numFmtId="193" formatCode="#,##0_);\(#,##0\);\-\-_);@_)"/>
    <numFmt numFmtId="194" formatCode="&quot;$&quot;#,##0.0_);\(&quot;$&quot;#,##0.0\);&quot;--&quot;"/>
    <numFmt numFmtId="195" formatCode="&quot;/&quot;0.0;&quot;/&quot;\(0.0\)"/>
    <numFmt numFmtId="196" formatCode="&quot;/&quot;0;&quot;/&quot;\(0\)"/>
    <numFmt numFmtId="197" formatCode="&quot;$&quot;0.0_)"/>
    <numFmt numFmtId="198" formatCode="0.0\x_)"/>
    <numFmt numFmtId="199" formatCode="#,##0_);\(#,##0\);#,##0_);@_)"/>
    <numFmt numFmtId="200" formatCode="#,##0.000_);\(#,##0.000\)"/>
    <numFmt numFmtId="201" formatCode="\+0;\-0"/>
    <numFmt numFmtId="202" formatCode="0%_);\(0%\)"/>
    <numFmt numFmtId="203" formatCode="0.0_)"/>
    <numFmt numFmtId="204" formatCode="0_);\(0\)"/>
    <numFmt numFmtId="205" formatCode="#,##0;\(#,##0\)"/>
    <numFmt numFmtId="206" formatCode="#,##0.0;\(#,##0.0\)"/>
    <numFmt numFmtId="207" formatCode="\F###0\A"/>
    <numFmt numFmtId="208" formatCode="\F###0\E"/>
    <numFmt numFmtId="209" formatCode="###0"/>
    <numFmt numFmtId="210" formatCode="###0.00"/>
    <numFmt numFmtId="211" formatCode="0.00000%"/>
    <numFmt numFmtId="212" formatCode="_(* #,##0.0_);_(* \(#,##0.0\);_(* &quot;-&quot;?_);_(@_)"/>
    <numFmt numFmtId="213" formatCode="0.000"/>
    <numFmt numFmtId="214" formatCode="0\ &quot;bps&quot;"/>
    <numFmt numFmtId="215" formatCode="0%;\(0%\)"/>
    <numFmt numFmtId="216" formatCode="_(&quot;$&quot;* #,##0.0_);_(&quot;$&quot;* \(#,##0.0\);_(&quot;$&quot;* &quot;-&quot;?_);_(@_)"/>
    <numFmt numFmtId="217" formatCode="0.00000000000000"/>
    <numFmt numFmtId="218" formatCode="0.0\x_);\(0.0\x\);&quot;–&quot;_)"/>
    <numFmt numFmtId="219" formatCode="0.00%;\(0.00%\)"/>
    <numFmt numFmtId="220" formatCode="0.000;\(0.000\)"/>
    <numFmt numFmtId="221" formatCode="&quot;$&quot;#,##0.000_);\(&quot;$&quot;#,##0.000\)"/>
    <numFmt numFmtId="222" formatCode="#,##0.000_);\(#,##0.000\);&quot;--&quot;"/>
    <numFmt numFmtId="223" formatCode="0.00%_);\(0.00%\)"/>
    <numFmt numFmtId="224" formatCode="0.000%"/>
    <numFmt numFmtId="225" formatCode="0.00000000000000000%"/>
    <numFmt numFmtId="226" formatCode="#,##0.00_);\(#,##0.00\);&quot;--&quot;"/>
    <numFmt numFmtId="227" formatCode="&quot;/&quot;0.00;&quot;/&quot;\(0.00\)"/>
    <numFmt numFmtId="228" formatCode="&quot;$&quot;0_)"/>
    <numFmt numFmtId="229" formatCode="0.0000"/>
    <numFmt numFmtId="230" formatCode="0_);[Red]\(0\)"/>
    <numFmt numFmtId="231" formatCode="0.000_);\(0.000\)"/>
    <numFmt numFmtId="232" formatCode="####&quot;E&quot;"/>
    <numFmt numFmtId="233" formatCode="#,##0.0000_);\(#,##0.0000\)"/>
    <numFmt numFmtId="234" formatCode="mm/dd/yy\ hh:mm"/>
  </numFmts>
  <fonts count="117" x14ac:knownFonts="1">
    <font>
      <sz val="10"/>
      <name val="Arial"/>
    </font>
    <font>
      <sz val="10"/>
      <name val="Arial"/>
      <family val="2"/>
    </font>
    <font>
      <b/>
      <sz val="10"/>
      <name val="Arial"/>
      <family val="2"/>
    </font>
    <font>
      <sz val="10"/>
      <name val="MS Sans Serif"/>
      <family val="2"/>
    </font>
    <font>
      <b/>
      <sz val="10"/>
      <color indexed="8"/>
      <name val="Times New Roman"/>
      <family val="1"/>
    </font>
    <font>
      <sz val="10"/>
      <name val="Courier"/>
      <family val="3"/>
    </font>
    <font>
      <sz val="9"/>
      <name val="Times New Roman"/>
      <family val="1"/>
    </font>
    <font>
      <sz val="10"/>
      <name val="Arial"/>
      <family val="2"/>
    </font>
    <font>
      <sz val="10"/>
      <color indexed="8"/>
      <name val="Times New Roman"/>
      <family val="1"/>
    </font>
    <font>
      <i/>
      <sz val="8"/>
      <name val="Times New Roman"/>
      <family val="1"/>
    </font>
    <font>
      <sz val="8"/>
      <name val="Arial"/>
      <family val="2"/>
    </font>
    <font>
      <i/>
      <sz val="8"/>
      <name val="Arial"/>
      <family val="2"/>
    </font>
    <font>
      <sz val="8"/>
      <name val="Arial"/>
      <family val="2"/>
    </font>
    <font>
      <b/>
      <sz val="8"/>
      <name val="Arial"/>
      <family val="2"/>
    </font>
    <font>
      <b/>
      <sz val="8"/>
      <color indexed="12"/>
      <name val="Arial"/>
      <family val="2"/>
    </font>
    <font>
      <b/>
      <u/>
      <sz val="8"/>
      <name val="Arial"/>
      <family val="2"/>
    </font>
    <font>
      <sz val="8"/>
      <color indexed="12"/>
      <name val="Arial"/>
      <family val="2"/>
    </font>
    <font>
      <sz val="8"/>
      <color indexed="81"/>
      <name val="Tahoma"/>
      <family val="2"/>
    </font>
    <font>
      <b/>
      <sz val="8"/>
      <color indexed="81"/>
      <name val="Tahoma"/>
      <family val="2"/>
    </font>
    <font>
      <sz val="8"/>
      <color indexed="9"/>
      <name val="Arial"/>
      <family val="2"/>
    </font>
    <font>
      <sz val="8"/>
      <color indexed="8"/>
      <name val="Arial"/>
      <family val="2"/>
    </font>
    <font>
      <b/>
      <u/>
      <sz val="8"/>
      <color indexed="12"/>
      <name val="Arial"/>
      <family val="2"/>
    </font>
    <font>
      <sz val="8"/>
      <color indexed="12"/>
      <name val="Arial"/>
      <family val="2"/>
    </font>
    <font>
      <sz val="10"/>
      <name val="Helv"/>
    </font>
    <font>
      <sz val="8"/>
      <color indexed="10"/>
      <name val="Arial"/>
      <family val="2"/>
    </font>
    <font>
      <sz val="11"/>
      <name val="Arial"/>
      <family val="2"/>
    </font>
    <font>
      <sz val="10"/>
      <color indexed="12"/>
      <name val="Arial"/>
      <family val="2"/>
    </font>
    <font>
      <i/>
      <sz val="10"/>
      <name val="Arial"/>
      <family val="2"/>
    </font>
    <font>
      <sz val="8"/>
      <color indexed="17"/>
      <name val="Arial"/>
      <family val="2"/>
    </font>
    <font>
      <sz val="8"/>
      <color indexed="8"/>
      <name val="Arial"/>
      <family val="2"/>
    </font>
    <font>
      <sz val="8"/>
      <color indexed="17"/>
      <name val="Arial"/>
      <family val="2"/>
    </font>
    <font>
      <b/>
      <i/>
      <sz val="8"/>
      <color indexed="12"/>
      <name val="Tahoma"/>
      <family val="2"/>
    </font>
    <font>
      <b/>
      <i/>
      <sz val="8"/>
      <color indexed="17"/>
      <name val="Arial"/>
      <family val="2"/>
    </font>
    <font>
      <b/>
      <sz val="8"/>
      <name val="Arial"/>
      <family val="2"/>
    </font>
    <font>
      <b/>
      <u/>
      <sz val="8"/>
      <name val="Arial"/>
      <family val="2"/>
    </font>
    <font>
      <i/>
      <sz val="7"/>
      <name val="Arial"/>
      <family val="2"/>
    </font>
    <font>
      <b/>
      <sz val="7"/>
      <name val="Arial"/>
      <family val="2"/>
    </font>
    <font>
      <sz val="7"/>
      <color indexed="8"/>
      <name val="Arial"/>
      <family val="2"/>
    </font>
    <font>
      <b/>
      <sz val="8"/>
      <color indexed="9"/>
      <name val="Arial"/>
      <family val="2"/>
    </font>
    <font>
      <sz val="10"/>
      <color indexed="9"/>
      <name val="Arial"/>
      <family val="2"/>
    </font>
    <font>
      <b/>
      <sz val="10"/>
      <color indexed="9"/>
      <name val="Arial"/>
      <family val="2"/>
    </font>
    <font>
      <b/>
      <sz val="8"/>
      <color indexed="12"/>
      <name val="Arial"/>
      <family val="2"/>
    </font>
    <font>
      <sz val="8"/>
      <color indexed="10"/>
      <name val="Arial"/>
      <family val="2"/>
    </font>
    <font>
      <b/>
      <i/>
      <sz val="8"/>
      <color indexed="12"/>
      <name val="Arial"/>
      <family val="2"/>
    </font>
    <font>
      <sz val="10"/>
      <name val="Arial"/>
      <family val="2"/>
    </font>
    <font>
      <b/>
      <u/>
      <sz val="8"/>
      <color indexed="17"/>
      <name val="Arial"/>
      <family val="2"/>
    </font>
    <font>
      <sz val="10"/>
      <name val="Arial"/>
      <family val="2"/>
    </font>
    <font>
      <sz val="10"/>
      <color indexed="17"/>
      <name val="Arial"/>
      <family val="2"/>
    </font>
    <font>
      <sz val="10"/>
      <color indexed="17"/>
      <name val="Arial"/>
      <family val="2"/>
    </font>
    <font>
      <sz val="9"/>
      <name val="Arial"/>
      <family val="2"/>
    </font>
    <font>
      <b/>
      <sz val="10"/>
      <color indexed="10"/>
      <name val="Arial"/>
      <family val="2"/>
    </font>
    <font>
      <i/>
      <sz val="8"/>
      <color indexed="17"/>
      <name val="Arial"/>
      <family val="2"/>
    </font>
    <font>
      <sz val="10"/>
      <name val="Arial"/>
      <family val="2"/>
    </font>
    <font>
      <sz val="9"/>
      <name val="Times New Roman"/>
      <family val="1"/>
    </font>
    <font>
      <sz val="10"/>
      <name val="Arial"/>
      <family val="2"/>
    </font>
    <font>
      <b/>
      <sz val="8"/>
      <color indexed="10"/>
      <name val="Arial"/>
      <family val="2"/>
    </font>
    <font>
      <b/>
      <sz val="8"/>
      <color indexed="16"/>
      <name val="Arial"/>
      <family val="2"/>
    </font>
    <font>
      <b/>
      <sz val="8"/>
      <color indexed="53"/>
      <name val="Arial"/>
      <family val="2"/>
    </font>
    <font>
      <sz val="8"/>
      <color indexed="53"/>
      <name val="Arial"/>
      <family val="2"/>
    </font>
    <font>
      <sz val="8"/>
      <color indexed="23"/>
      <name val="Arial"/>
      <family val="2"/>
    </font>
    <font>
      <sz val="8"/>
      <color indexed="55"/>
      <name val="Arial"/>
      <family val="2"/>
    </font>
    <font>
      <sz val="7"/>
      <color indexed="8"/>
      <name val="Arial"/>
      <family val="2"/>
    </font>
    <font>
      <sz val="8"/>
      <color indexed="23"/>
      <name val="Arial"/>
      <family val="2"/>
    </font>
    <font>
      <sz val="8"/>
      <color indexed="55"/>
      <name val="Arial"/>
      <family val="2"/>
    </font>
    <font>
      <b/>
      <u/>
      <sz val="8"/>
      <color indexed="23"/>
      <name val="Arial"/>
      <family val="2"/>
    </font>
    <font>
      <b/>
      <sz val="8"/>
      <color indexed="62"/>
      <name val="Arial"/>
      <family val="2"/>
    </font>
    <font>
      <sz val="9"/>
      <color indexed="81"/>
      <name val="Tahoma"/>
      <family val="2"/>
    </font>
    <font>
      <b/>
      <sz val="9"/>
      <color indexed="81"/>
      <name val="Tahoma"/>
      <family val="2"/>
    </font>
    <font>
      <b/>
      <sz val="10"/>
      <color indexed="12"/>
      <name val="Arial"/>
      <family val="2"/>
    </font>
    <font>
      <b/>
      <u/>
      <sz val="10"/>
      <name val="Arial"/>
      <family val="2"/>
    </font>
    <font>
      <b/>
      <u/>
      <sz val="10"/>
      <color indexed="12"/>
      <name val="Arial"/>
      <family val="2"/>
    </font>
    <font>
      <sz val="10"/>
      <color indexed="8"/>
      <name val="Arial"/>
      <family val="2"/>
    </font>
    <font>
      <sz val="10"/>
      <color indexed="19"/>
      <name val="Arial"/>
      <family val="2"/>
    </font>
    <font>
      <sz val="10"/>
      <color indexed="21"/>
      <name val="Arial"/>
      <family val="2"/>
    </font>
    <font>
      <b/>
      <i/>
      <sz val="10"/>
      <color indexed="12"/>
      <name val="Arial"/>
      <family val="2"/>
    </font>
    <font>
      <b/>
      <sz val="10"/>
      <color indexed="17"/>
      <name val="Arial"/>
      <family val="2"/>
    </font>
    <font>
      <i/>
      <sz val="10"/>
      <color indexed="12"/>
      <name val="Arial"/>
      <family val="2"/>
    </font>
    <font>
      <b/>
      <i/>
      <sz val="10"/>
      <name val="Arial"/>
      <family val="2"/>
    </font>
    <font>
      <sz val="10"/>
      <color indexed="10"/>
      <name val="Arial"/>
      <family val="2"/>
    </font>
    <font>
      <sz val="10"/>
      <name val="Arial"/>
      <family val="2"/>
    </font>
    <font>
      <b/>
      <sz val="10"/>
      <color theme="0"/>
      <name val="Arial"/>
      <family val="2"/>
    </font>
    <font>
      <b/>
      <sz val="8"/>
      <color theme="0"/>
      <name val="Arial"/>
      <family val="2"/>
    </font>
    <font>
      <sz val="10"/>
      <color theme="0"/>
      <name val="Arial"/>
      <family val="2"/>
    </font>
    <font>
      <sz val="10"/>
      <color theme="1"/>
      <name val="Arial"/>
      <family val="2"/>
    </font>
    <font>
      <sz val="10"/>
      <color theme="3" tint="0.39997558519241921"/>
      <name val="Arial"/>
      <family val="2"/>
    </font>
    <font>
      <sz val="10"/>
      <color rgb="FF0070C0"/>
      <name val="Arial"/>
      <family val="2"/>
    </font>
    <font>
      <b/>
      <sz val="12"/>
      <color theme="3" tint="0.39997558519241921"/>
      <name val="Arial"/>
      <family val="2"/>
    </font>
    <font>
      <i/>
      <sz val="10"/>
      <color theme="3" tint="0.39997558519241921"/>
      <name val="Arial"/>
      <family val="2"/>
    </font>
    <font>
      <b/>
      <sz val="10"/>
      <color theme="1"/>
      <name val="Arial"/>
      <family val="2"/>
    </font>
    <font>
      <i/>
      <sz val="10"/>
      <color theme="1"/>
      <name val="Arial"/>
      <family val="2"/>
    </font>
    <font>
      <i/>
      <sz val="10"/>
      <color theme="1" tint="0.499984740745262"/>
      <name val="Arial"/>
      <family val="2"/>
    </font>
    <font>
      <i/>
      <sz val="10"/>
      <color theme="4" tint="0.79998168889431442"/>
      <name val="Arial"/>
      <family val="2"/>
    </font>
    <font>
      <i/>
      <sz val="10"/>
      <color theme="0"/>
      <name val="Arial"/>
      <family val="2"/>
    </font>
    <font>
      <i/>
      <sz val="8"/>
      <color theme="0" tint="-0.34998626667073579"/>
      <name val="Arial"/>
      <family val="2"/>
    </font>
    <font>
      <b/>
      <sz val="10"/>
      <color rgb="FF4F81BD"/>
      <name val="Arial"/>
      <family val="2"/>
    </font>
    <font>
      <sz val="8"/>
      <color rgb="FF0000FF"/>
      <name val="Arial"/>
      <family val="2"/>
    </font>
    <font>
      <sz val="10"/>
      <color rgb="FF0000FF"/>
      <name val="Arial"/>
      <family val="2"/>
    </font>
    <font>
      <b/>
      <sz val="10"/>
      <color rgb="FF0000FF"/>
      <name val="Arial"/>
      <family val="2"/>
    </font>
    <font>
      <b/>
      <sz val="10"/>
      <color rgb="FF008000"/>
      <name val="Arial"/>
      <family val="2"/>
    </font>
    <font>
      <sz val="10"/>
      <color rgb="FF008000"/>
      <name val="Arial"/>
      <family val="2"/>
    </font>
    <font>
      <i/>
      <sz val="10"/>
      <color rgb="FF0000FF"/>
      <name val="Arial"/>
      <family val="2"/>
    </font>
    <font>
      <b/>
      <sz val="8"/>
      <color rgb="FF008000"/>
      <name val="Arial"/>
      <family val="2"/>
    </font>
    <font>
      <b/>
      <i/>
      <sz val="10"/>
      <color rgb="FF008000"/>
      <name val="Arial"/>
      <family val="2"/>
    </font>
    <font>
      <b/>
      <i/>
      <sz val="10"/>
      <color indexed="62"/>
      <name val="Arial"/>
      <family val="2"/>
    </font>
    <font>
      <i/>
      <sz val="10"/>
      <color indexed="23"/>
      <name val="Arial"/>
      <family val="2"/>
    </font>
    <font>
      <i/>
      <sz val="10"/>
      <color indexed="44"/>
      <name val="Arial"/>
      <family val="2"/>
    </font>
    <font>
      <i/>
      <sz val="10"/>
      <color indexed="9"/>
      <name val="Arial"/>
      <family val="2"/>
    </font>
    <font>
      <b/>
      <sz val="10"/>
      <color indexed="8"/>
      <name val="Arial"/>
      <family val="2"/>
    </font>
    <font>
      <b/>
      <u/>
      <sz val="10"/>
      <color rgb="FF0000FF"/>
      <name val="Arial"/>
      <family val="2"/>
    </font>
    <font>
      <b/>
      <u/>
      <sz val="8"/>
      <color rgb="FF0000FF"/>
      <name val="Arial"/>
      <family val="2"/>
    </font>
    <font>
      <i/>
      <sz val="10"/>
      <color rgb="FF008000"/>
      <name val="Arial"/>
      <family val="2"/>
    </font>
    <font>
      <sz val="8"/>
      <color rgb="FF008000"/>
      <name val="Arial"/>
      <family val="2"/>
    </font>
    <font>
      <sz val="8"/>
      <color theme="1"/>
      <name val="Arial"/>
      <family val="2"/>
    </font>
    <font>
      <b/>
      <sz val="8"/>
      <color rgb="FF0000FF"/>
      <name val="Arial"/>
      <family val="2"/>
    </font>
    <font>
      <b/>
      <i/>
      <sz val="10"/>
      <color theme="3" tint="0.39997558519241921"/>
      <name val="Arial"/>
      <family val="2"/>
    </font>
    <font>
      <sz val="10"/>
      <color rgb="FF000000"/>
      <name val="Arial"/>
      <family val="2"/>
    </font>
    <font>
      <b/>
      <sz val="12"/>
      <color rgb="FF000080"/>
      <name val="Arial"/>
      <family val="2"/>
    </font>
  </fonts>
  <fills count="18">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44"/>
        <bgColor indexed="64"/>
      </patternFill>
    </fill>
    <fill>
      <patternFill patternType="solid">
        <fgColor indexed="47"/>
        <bgColor indexed="64"/>
      </patternFill>
    </fill>
    <fill>
      <patternFill patternType="solid">
        <fgColor indexed="9"/>
        <bgColor indexed="64"/>
      </patternFill>
    </fill>
    <fill>
      <patternFill patternType="solid">
        <fgColor indexed="53"/>
        <bgColor indexed="64"/>
      </patternFill>
    </fill>
    <fill>
      <patternFill patternType="solid">
        <fgColor indexed="42"/>
        <bgColor indexed="64"/>
      </patternFill>
    </fill>
    <fill>
      <patternFill patternType="solid">
        <fgColor indexed="41"/>
        <bgColor indexed="64"/>
      </patternFill>
    </fill>
    <fill>
      <patternFill patternType="solid">
        <fgColor theme="0"/>
        <bgColor indexed="64"/>
      </patternFill>
    </fill>
    <fill>
      <patternFill patternType="solid">
        <fgColor theme="3"/>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indexed="65"/>
        <bgColor indexed="64"/>
      </patternFill>
    </fill>
  </fills>
  <borders count="49">
    <border>
      <left/>
      <right/>
      <top/>
      <bottom/>
      <diagonal/>
    </border>
    <border>
      <left/>
      <right/>
      <top/>
      <bottom style="thin">
        <color indexed="8"/>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style="medium">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double">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dotted">
        <color indexed="64"/>
      </bottom>
      <diagonal/>
    </border>
    <border>
      <left/>
      <right/>
      <top/>
      <bottom style="thin">
        <color theme="0"/>
      </bottom>
      <diagonal/>
    </border>
    <border>
      <left/>
      <right/>
      <top style="dotted">
        <color indexed="64"/>
      </top>
      <bottom style="thin">
        <color theme="0"/>
      </bottom>
      <diagonal/>
    </border>
    <border>
      <left/>
      <right style="medium">
        <color theme="1" tint="0.499984740745262"/>
      </right>
      <top/>
      <bottom/>
      <diagonal/>
    </border>
    <border>
      <left style="medium">
        <color theme="1" tint="0.499984740745262"/>
      </left>
      <right style="medium">
        <color theme="1" tint="0.499984740745262"/>
      </right>
      <top style="medium">
        <color theme="1" tint="0.499984740745262"/>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48">
    <xf numFmtId="0" fontId="0" fillId="0" borderId="0"/>
    <xf numFmtId="0" fontId="1" fillId="0" borderId="0"/>
    <xf numFmtId="0" fontId="7" fillId="0" borderId="0" applyNumberFormat="0" applyFont="0" applyFill="0" applyBorder="0" applyAlignment="0" applyProtection="0"/>
    <xf numFmtId="0" fontId="7" fillId="0" borderId="0" applyFill="0" applyAlignment="0">
      <protection locked="0"/>
    </xf>
    <xf numFmtId="0" fontId="1" fillId="0" borderId="0"/>
    <xf numFmtId="0" fontId="3" fillId="0" borderId="0"/>
    <xf numFmtId="0" fontId="3" fillId="0" borderId="0"/>
    <xf numFmtId="0" fontId="4" fillId="0" borderId="0"/>
    <xf numFmtId="43" fontId="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7" fillId="0" borderId="0" applyNumberFormat="0" applyFill="0" applyBorder="0" applyAlignment="0" applyProtection="0">
      <alignment vertical="top"/>
      <protection locked="0"/>
    </xf>
    <xf numFmtId="0" fontId="7" fillId="0" borderId="0"/>
    <xf numFmtId="0" fontId="23" fillId="0" borderId="0"/>
    <xf numFmtId="37" fontId="5" fillId="0" borderId="0"/>
    <xf numFmtId="0" fontId="1" fillId="0" borderId="0"/>
    <xf numFmtId="0" fontId="1" fillId="0" borderId="0"/>
    <xf numFmtId="0" fontId="53" fillId="0" borderId="0"/>
    <xf numFmtId="174" fontId="5" fillId="0" borderId="0"/>
    <xf numFmtId="0" fontId="10" fillId="0" borderId="0"/>
    <xf numFmtId="0" fontId="1" fillId="0" borderId="0"/>
    <xf numFmtId="164" fontId="5" fillId="0" borderId="0"/>
    <xf numFmtId="174" fontId="5" fillId="0" borderId="0"/>
    <xf numFmtId="37" fontId="5" fillId="0" borderId="0"/>
    <xf numFmtId="37" fontId="5" fillId="0" borderId="0"/>
    <xf numFmtId="0" fontId="1" fillId="0" borderId="0"/>
    <xf numFmtId="174" fontId="5" fillId="0" borderId="0"/>
    <xf numFmtId="0" fontId="1" fillId="0" borderId="0"/>
    <xf numFmtId="174" fontId="5" fillId="0" borderId="0"/>
    <xf numFmtId="174" fontId="5" fillId="0" borderId="0"/>
    <xf numFmtId="37" fontId="5" fillId="0" borderId="0"/>
    <xf numFmtId="0" fontId="6" fillId="0" borderId="0">
      <alignment vertical="center"/>
    </xf>
    <xf numFmtId="9" fontId="1" fillId="0" borderId="0" applyFont="0" applyFill="0" applyBorder="0" applyAlignment="0" applyProtection="0"/>
    <xf numFmtId="9" fontId="7" fillId="0" borderId="0" applyFont="0" applyFill="0" applyBorder="0" applyAlignment="0" applyProtection="0"/>
    <xf numFmtId="0" fontId="7" fillId="2" borderId="0" applyNumberFormat="0" applyFont="0" applyBorder="0" applyAlignment="0" applyProtection="0"/>
    <xf numFmtId="0" fontId="8" fillId="0" borderId="0"/>
    <xf numFmtId="0" fontId="8" fillId="0" borderId="1">
      <alignment horizontal="centerContinuous"/>
    </xf>
    <xf numFmtId="0" fontId="9" fillId="0" borderId="1"/>
    <xf numFmtId="0" fontId="1"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2" borderId="0" applyNumberFormat="0" applyFont="0" applyBorder="0" applyAlignment="0" applyProtection="0"/>
    <xf numFmtId="0" fontId="1" fillId="0" borderId="0"/>
    <xf numFmtId="9" fontId="1" fillId="0" borderId="0" applyFont="0" applyFill="0" applyBorder="0" applyAlignment="0" applyProtection="0"/>
    <xf numFmtId="0" fontId="5" fillId="0" borderId="0"/>
  </cellStyleXfs>
  <cellXfs count="1402">
    <xf numFmtId="0" fontId="0" fillId="0" borderId="0" xfId="0"/>
    <xf numFmtId="0" fontId="0" fillId="0" borderId="0" xfId="0" applyFill="1"/>
    <xf numFmtId="0" fontId="12" fillId="0" borderId="0" xfId="0" applyFont="1"/>
    <xf numFmtId="0" fontId="12" fillId="0" borderId="0" xfId="0" applyFont="1" applyAlignment="1">
      <alignment horizontal="left" indent="1"/>
    </xf>
    <xf numFmtId="0" fontId="12" fillId="0" borderId="0" xfId="0" applyFont="1" applyBorder="1"/>
    <xf numFmtId="0" fontId="15" fillId="0" borderId="0" xfId="0" applyFont="1"/>
    <xf numFmtId="0" fontId="12" fillId="0" borderId="0" xfId="0" applyFont="1" applyAlignment="1">
      <alignment horizontal="right"/>
    </xf>
    <xf numFmtId="177" fontId="12" fillId="0" borderId="0" xfId="34" applyNumberFormat="1" applyFont="1"/>
    <xf numFmtId="0" fontId="7" fillId="0" borderId="0" xfId="0" applyFont="1"/>
    <xf numFmtId="0" fontId="15" fillId="0" borderId="0" xfId="0" applyFont="1" applyBorder="1" applyAlignment="1">
      <alignment horizontal="center"/>
    </xf>
    <xf numFmtId="177" fontId="10" fillId="0" borderId="0" xfId="34" applyNumberFormat="1" applyFont="1" applyBorder="1"/>
    <xf numFmtId="0" fontId="12" fillId="0" borderId="0" xfId="0" applyFont="1" applyFill="1" applyBorder="1"/>
    <xf numFmtId="49" fontId="0" fillId="0" borderId="0" xfId="0" applyNumberFormat="1"/>
    <xf numFmtId="0" fontId="0" fillId="0" borderId="0" xfId="0" applyBorder="1"/>
    <xf numFmtId="0" fontId="12" fillId="0" borderId="8" xfId="0" applyFont="1" applyBorder="1"/>
    <xf numFmtId="0" fontId="27" fillId="0" borderId="0" xfId="0" applyFont="1" applyBorder="1"/>
    <xf numFmtId="0" fontId="7" fillId="0" borderId="0" xfId="0" applyFont="1" applyFill="1"/>
    <xf numFmtId="0" fontId="10" fillId="0" borderId="0" xfId="0" applyFont="1" applyFill="1" applyBorder="1"/>
    <xf numFmtId="0" fontId="0" fillId="0" borderId="0" xfId="0" applyFill="1" applyBorder="1"/>
    <xf numFmtId="177" fontId="12" fillId="0" borderId="0" xfId="34" applyNumberFormat="1" applyFont="1" applyFill="1"/>
    <xf numFmtId="174" fontId="12" fillId="0" borderId="0" xfId="28" applyFont="1" applyFill="1" applyBorder="1" applyAlignment="1" applyProtection="1">
      <alignment horizontal="left"/>
    </xf>
    <xf numFmtId="7" fontId="0" fillId="0" borderId="0" xfId="0" applyNumberFormat="1"/>
    <xf numFmtId="0" fontId="10" fillId="0" borderId="0" xfId="27" applyFont="1"/>
    <xf numFmtId="0" fontId="54" fillId="0" borderId="0" xfId="19" applyFont="1" applyBorder="1"/>
    <xf numFmtId="0" fontId="10" fillId="0" borderId="0" xfId="19" applyFont="1" applyAlignment="1">
      <alignment horizontal="right"/>
    </xf>
    <xf numFmtId="0" fontId="10" fillId="0" borderId="0" xfId="27" applyFont="1" applyAlignment="1">
      <alignment horizontal="right"/>
    </xf>
    <xf numFmtId="208" fontId="10" fillId="0" borderId="0" xfId="27" applyNumberFormat="1" applyFont="1" applyAlignment="1">
      <alignment horizontal="right"/>
    </xf>
    <xf numFmtId="177" fontId="10" fillId="0" borderId="0" xfId="34" applyNumberFormat="1" applyFont="1" applyAlignment="1">
      <alignment horizontal="right"/>
    </xf>
    <xf numFmtId="0" fontId="41" fillId="0" borderId="6" xfId="19" applyFont="1" applyBorder="1"/>
    <xf numFmtId="209" fontId="33" fillId="0" borderId="6" xfId="17" applyNumberFormat="1" applyFont="1" applyBorder="1" applyAlignment="1">
      <alignment horizontal="right"/>
    </xf>
    <xf numFmtId="208" fontId="41" fillId="0" borderId="6" xfId="19" applyNumberFormat="1" applyFont="1" applyBorder="1" applyAlignment="1">
      <alignment horizontal="right"/>
    </xf>
    <xf numFmtId="0" fontId="41" fillId="0" borderId="0" xfId="19" applyFont="1" applyBorder="1"/>
    <xf numFmtId="207" fontId="33" fillId="0" borderId="0" xfId="17" applyNumberFormat="1" applyFont="1" applyBorder="1" applyAlignment="1">
      <alignment horizontal="right"/>
    </xf>
    <xf numFmtId="181" fontId="12" fillId="0" borderId="0" xfId="10" applyNumberFormat="1" applyFont="1" applyBorder="1" applyAlignment="1">
      <alignment horizontal="right"/>
    </xf>
    <xf numFmtId="208" fontId="41" fillId="0" borderId="0" xfId="19" applyNumberFormat="1" applyFont="1" applyBorder="1" applyAlignment="1">
      <alignment horizontal="right"/>
    </xf>
    <xf numFmtId="0" fontId="10" fillId="0" borderId="0" xfId="27" applyFont="1" applyFill="1" applyBorder="1" applyAlignment="1">
      <alignment horizontal="right"/>
    </xf>
    <xf numFmtId="0" fontId="10" fillId="0" borderId="0" xfId="27" applyFont="1" applyFill="1" applyBorder="1"/>
    <xf numFmtId="0" fontId="42" fillId="0" borderId="0" xfId="27" applyFont="1" applyFill="1" applyBorder="1"/>
    <xf numFmtId="204" fontId="33" fillId="0" borderId="0" xfId="21" applyNumberFormat="1" applyFont="1" applyFill="1" applyBorder="1"/>
    <xf numFmtId="181" fontId="10" fillId="0" borderId="0" xfId="27" applyNumberFormat="1" applyFont="1" applyAlignment="1">
      <alignment horizontal="right"/>
    </xf>
    <xf numFmtId="205" fontId="55" fillId="0" borderId="0" xfId="10" applyNumberFormat="1" applyFont="1" applyFill="1" applyBorder="1" applyAlignment="1">
      <alignment horizontal="left"/>
    </xf>
    <xf numFmtId="0" fontId="24" fillId="0" borderId="0" xfId="27" applyFont="1" applyFill="1" applyBorder="1" applyAlignment="1">
      <alignment horizontal="right"/>
    </xf>
    <xf numFmtId="0" fontId="24" fillId="0" borderId="0" xfId="27" applyFont="1" applyFill="1" applyBorder="1"/>
    <xf numFmtId="0" fontId="10" fillId="0" borderId="0" xfId="21" applyFont="1" applyFill="1"/>
    <xf numFmtId="205" fontId="12" fillId="0" borderId="0" xfId="10" applyNumberFormat="1" applyFont="1" applyFill="1" applyAlignment="1">
      <alignment horizontal="right"/>
    </xf>
    <xf numFmtId="205" fontId="12" fillId="0" borderId="0" xfId="10" applyNumberFormat="1" applyFont="1" applyAlignment="1">
      <alignment horizontal="right"/>
    </xf>
    <xf numFmtId="204" fontId="10" fillId="0" borderId="0" xfId="21" applyNumberFormat="1" applyFont="1" applyFill="1" applyBorder="1" applyAlignment="1" applyProtection="1">
      <alignment horizontal="left"/>
    </xf>
    <xf numFmtId="205" fontId="12" fillId="0" borderId="6" xfId="10" applyNumberFormat="1" applyFont="1" applyFill="1" applyBorder="1" applyAlignment="1">
      <alignment horizontal="right"/>
    </xf>
    <xf numFmtId="205" fontId="12" fillId="0" borderId="0" xfId="10" applyNumberFormat="1" applyFont="1" applyFill="1" applyBorder="1" applyAlignment="1">
      <alignment horizontal="right"/>
    </xf>
    <xf numFmtId="0" fontId="13" fillId="0" borderId="0" xfId="21" applyFont="1" applyFill="1"/>
    <xf numFmtId="205" fontId="56" fillId="0" borderId="0" xfId="27" applyNumberFormat="1" applyFont="1" applyFill="1" applyBorder="1"/>
    <xf numFmtId="0" fontId="13" fillId="0" borderId="6" xfId="27" applyFont="1" applyFill="1" applyBorder="1"/>
    <xf numFmtId="208" fontId="55" fillId="0" borderId="0" xfId="19" applyNumberFormat="1" applyFont="1" applyBorder="1" applyAlignment="1">
      <alignment horizontal="right"/>
    </xf>
    <xf numFmtId="0" fontId="10" fillId="0" borderId="0" xfId="21" applyFont="1" applyFill="1" applyAlignment="1">
      <alignment horizontal="left"/>
    </xf>
    <xf numFmtId="205" fontId="10" fillId="0" borderId="0" xfId="27" applyNumberFormat="1" applyFont="1" applyFill="1" applyAlignment="1">
      <alignment horizontal="right"/>
    </xf>
    <xf numFmtId="205" fontId="24" fillId="0" borderId="0" xfId="27" applyNumberFormat="1" applyFont="1" applyAlignment="1">
      <alignment horizontal="right"/>
    </xf>
    <xf numFmtId="205" fontId="10" fillId="0" borderId="0" xfId="27" applyNumberFormat="1" applyFont="1"/>
    <xf numFmtId="0" fontId="10" fillId="0" borderId="0" xfId="27" applyFont="1" applyFill="1" applyAlignment="1">
      <alignment horizontal="left" indent="1"/>
    </xf>
    <xf numFmtId="205" fontId="42" fillId="0" borderId="0" xfId="27" applyNumberFormat="1" applyFont="1" applyAlignment="1">
      <alignment horizontal="right"/>
    </xf>
    <xf numFmtId="0" fontId="10" fillId="0" borderId="0" xfId="27" applyFont="1" applyFill="1"/>
    <xf numFmtId="205" fontId="10" fillId="0" borderId="6" xfId="27" applyNumberFormat="1" applyFont="1" applyFill="1" applyBorder="1" applyAlignment="1">
      <alignment horizontal="right"/>
    </xf>
    <xf numFmtId="0" fontId="13" fillId="0" borderId="0" xfId="27" applyFont="1" applyFill="1"/>
    <xf numFmtId="205" fontId="13" fillId="0" borderId="0" xfId="27" applyNumberFormat="1" applyFont="1" applyAlignment="1">
      <alignment horizontal="right"/>
    </xf>
    <xf numFmtId="205" fontId="55" fillId="0" borderId="0" xfId="27" applyNumberFormat="1" applyFont="1" applyAlignment="1">
      <alignment horizontal="right"/>
    </xf>
    <xf numFmtId="0" fontId="12" fillId="0" borderId="0" xfId="27" applyFont="1" applyFill="1"/>
    <xf numFmtId="9" fontId="13" fillId="3" borderId="0" xfId="34" applyNumberFormat="1" applyFont="1" applyFill="1" applyAlignment="1">
      <alignment horizontal="right"/>
    </xf>
    <xf numFmtId="205" fontId="12" fillId="0" borderId="0" xfId="27" applyNumberFormat="1" applyFont="1" applyAlignment="1">
      <alignment horizontal="right"/>
    </xf>
    <xf numFmtId="0" fontId="10" fillId="0" borderId="0" xfId="21" applyFont="1" applyFill="1" applyAlignment="1">
      <alignment horizontal="left" indent="1"/>
    </xf>
    <xf numFmtId="205" fontId="12" fillId="0" borderId="0" xfId="27" applyNumberFormat="1" applyFont="1" applyFill="1" applyAlignment="1">
      <alignment horizontal="right"/>
    </xf>
    <xf numFmtId="0" fontId="10" fillId="0" borderId="0" xfId="21" applyFont="1" applyFill="1" applyAlignment="1">
      <alignment horizontal="left" indent="2"/>
    </xf>
    <xf numFmtId="205" fontId="12" fillId="0" borderId="0" xfId="27" applyNumberFormat="1" applyFont="1" applyBorder="1" applyAlignment="1">
      <alignment horizontal="right"/>
    </xf>
    <xf numFmtId="205" fontId="12" fillId="0" borderId="6" xfId="27" applyNumberFormat="1" applyFont="1" applyFill="1" applyBorder="1" applyAlignment="1">
      <alignment horizontal="right"/>
    </xf>
    <xf numFmtId="205" fontId="13" fillId="0" borderId="0" xfId="27" applyNumberFormat="1" applyFont="1" applyFill="1" applyAlignment="1">
      <alignment horizontal="right"/>
    </xf>
    <xf numFmtId="205" fontId="57" fillId="0" borderId="0" xfId="27" applyNumberFormat="1" applyFont="1" applyAlignment="1">
      <alignment horizontal="right"/>
    </xf>
    <xf numFmtId="0" fontId="13" fillId="0" borderId="0" xfId="27" applyFont="1"/>
    <xf numFmtId="9" fontId="12" fillId="0" borderId="0" xfId="34" applyFont="1" applyFill="1" applyAlignment="1">
      <alignment horizontal="right"/>
    </xf>
    <xf numFmtId="0" fontId="12" fillId="0" borderId="0" xfId="27" applyFont="1"/>
    <xf numFmtId="0" fontId="33" fillId="0" borderId="0" xfId="21" applyFont="1"/>
    <xf numFmtId="205" fontId="33" fillId="0" borderId="0" xfId="27" applyNumberFormat="1" applyFont="1" applyFill="1" applyAlignment="1">
      <alignment horizontal="right"/>
    </xf>
    <xf numFmtId="0" fontId="33" fillId="0" borderId="0" xfId="27" applyFont="1" applyAlignment="1">
      <alignment horizontal="left" indent="1"/>
    </xf>
    <xf numFmtId="0" fontId="11" fillId="0" borderId="0" xfId="21" applyFont="1" applyAlignment="1">
      <alignment horizontal="left" indent="1"/>
    </xf>
    <xf numFmtId="177" fontId="12" fillId="0" borderId="0" xfId="34" applyNumberFormat="1" applyFont="1" applyAlignment="1">
      <alignment horizontal="right"/>
    </xf>
    <xf numFmtId="0" fontId="13" fillId="0" borderId="6" xfId="27" applyFont="1" applyBorder="1"/>
    <xf numFmtId="0" fontId="11" fillId="0" borderId="0" xfId="27" applyFont="1"/>
    <xf numFmtId="0" fontId="11" fillId="0" borderId="0" xfId="27" applyFont="1" applyFill="1" applyBorder="1"/>
    <xf numFmtId="177" fontId="43" fillId="3" borderId="7" xfId="22" applyNumberFormat="1" applyFont="1" applyFill="1" applyBorder="1" applyAlignment="1">
      <alignment horizontal="right"/>
    </xf>
    <xf numFmtId="177" fontId="43" fillId="0" borderId="10" xfId="27" applyNumberFormat="1" applyFont="1" applyFill="1" applyBorder="1" applyAlignment="1">
      <alignment horizontal="right"/>
    </xf>
    <xf numFmtId="177" fontId="43" fillId="0" borderId="0" xfId="27" applyNumberFormat="1" applyFont="1" applyFill="1" applyBorder="1" applyAlignment="1">
      <alignment horizontal="right"/>
    </xf>
    <xf numFmtId="177" fontId="43" fillId="0" borderId="16" xfId="27" applyNumberFormat="1" applyFont="1" applyFill="1" applyBorder="1" applyAlignment="1">
      <alignment horizontal="right"/>
    </xf>
    <xf numFmtId="177" fontId="43" fillId="0" borderId="6" xfId="27" applyNumberFormat="1" applyFont="1" applyFill="1" applyBorder="1" applyAlignment="1">
      <alignment horizontal="right"/>
    </xf>
    <xf numFmtId="10" fontId="10" fillId="0" borderId="0" xfId="34" applyNumberFormat="1" applyFont="1" applyAlignment="1">
      <alignment horizontal="right"/>
    </xf>
    <xf numFmtId="0" fontId="13" fillId="0" borderId="0" xfId="27" applyFont="1" applyBorder="1"/>
    <xf numFmtId="205" fontId="16" fillId="3" borderId="0" xfId="10" applyNumberFormat="1" applyFont="1" applyFill="1" applyAlignment="1">
      <alignment horizontal="right"/>
    </xf>
    <xf numFmtId="205" fontId="10" fillId="0" borderId="0" xfId="10" applyNumberFormat="1" applyFont="1" applyFill="1" applyAlignment="1">
      <alignment horizontal="right"/>
    </xf>
    <xf numFmtId="0" fontId="10" fillId="0" borderId="0" xfId="27" applyFont="1" applyBorder="1"/>
    <xf numFmtId="177" fontId="12" fillId="0" borderId="0" xfId="34" applyNumberFormat="1" applyFont="1" applyFill="1" applyBorder="1" applyAlignment="1">
      <alignment horizontal="right"/>
    </xf>
    <xf numFmtId="9" fontId="12" fillId="0" borderId="0" xfId="34" applyNumberFormat="1" applyFont="1" applyFill="1" applyBorder="1" applyAlignment="1">
      <alignment horizontal="right"/>
    </xf>
    <xf numFmtId="9" fontId="22" fillId="3" borderId="0" xfId="34" applyNumberFormat="1" applyFont="1" applyFill="1" applyBorder="1" applyAlignment="1">
      <alignment horizontal="right"/>
    </xf>
    <xf numFmtId="205" fontId="16" fillId="0" borderId="0" xfId="10" applyNumberFormat="1" applyFont="1" applyFill="1" applyAlignment="1">
      <alignment horizontal="right"/>
    </xf>
    <xf numFmtId="207" fontId="12" fillId="0" borderId="0" xfId="17" applyNumberFormat="1" applyFont="1" applyBorder="1" applyAlignment="1">
      <alignment horizontal="right"/>
    </xf>
    <xf numFmtId="208" fontId="22" fillId="0" borderId="0" xfId="19" applyNumberFormat="1" applyFont="1" applyBorder="1" applyAlignment="1">
      <alignment horizontal="right"/>
    </xf>
    <xf numFmtId="205" fontId="12" fillId="0" borderId="0" xfId="19" applyNumberFormat="1" applyFont="1" applyBorder="1" applyAlignment="1">
      <alignment horizontal="right"/>
    </xf>
    <xf numFmtId="177" fontId="12" fillId="0" borderId="0" xfId="34" applyNumberFormat="1" applyFont="1" applyBorder="1" applyAlignment="1">
      <alignment horizontal="right"/>
    </xf>
    <xf numFmtId="205" fontId="12" fillId="0" borderId="0" xfId="19" applyNumberFormat="1" applyFont="1" applyFill="1" applyBorder="1" applyAlignment="1">
      <alignment horizontal="right"/>
    </xf>
    <xf numFmtId="0" fontId="13" fillId="4" borderId="0" xfId="27" applyFont="1" applyFill="1" applyBorder="1"/>
    <xf numFmtId="9" fontId="43" fillId="3" borderId="17" xfId="34" applyFont="1" applyFill="1" applyBorder="1" applyAlignment="1">
      <alignment horizontal="right"/>
    </xf>
    <xf numFmtId="207" fontId="12" fillId="0" borderId="0" xfId="17" applyNumberFormat="1" applyFont="1" applyFill="1" applyBorder="1" applyAlignment="1">
      <alignment horizontal="right"/>
    </xf>
    <xf numFmtId="208" fontId="22" fillId="0" borderId="0" xfId="19" applyNumberFormat="1" applyFont="1" applyFill="1" applyBorder="1" applyAlignment="1">
      <alignment horizontal="right"/>
    </xf>
    <xf numFmtId="0" fontId="10" fillId="0" borderId="0" xfId="27" applyFont="1" applyBorder="1" applyAlignment="1">
      <alignment horizontal="left" indent="1"/>
    </xf>
    <xf numFmtId="177" fontId="22" fillId="3" borderId="0" xfId="34" applyNumberFormat="1" applyFont="1" applyFill="1" applyBorder="1" applyAlignment="1">
      <alignment horizontal="right"/>
    </xf>
    <xf numFmtId="205" fontId="58" fillId="0" borderId="0" xfId="19" applyNumberFormat="1" applyFont="1" applyFill="1" applyBorder="1" applyAlignment="1">
      <alignment horizontal="right"/>
    </xf>
    <xf numFmtId="211" fontId="58" fillId="0" borderId="0" xfId="34" applyNumberFormat="1" applyFont="1" applyFill="1" applyBorder="1" applyAlignment="1">
      <alignment horizontal="right"/>
    </xf>
    <xf numFmtId="205" fontId="12" fillId="0" borderId="0" xfId="10" applyNumberFormat="1" applyFont="1" applyBorder="1" applyAlignment="1">
      <alignment horizontal="right"/>
    </xf>
    <xf numFmtId="0" fontId="11" fillId="0" borderId="0" xfId="27" applyFont="1" applyAlignment="1">
      <alignment horizontal="left" indent="2"/>
    </xf>
    <xf numFmtId="9" fontId="10" fillId="0" borderId="0" xfId="34" applyNumberFormat="1" applyFont="1" applyAlignment="1">
      <alignment horizontal="right"/>
    </xf>
    <xf numFmtId="0" fontId="10" fillId="4" borderId="0" xfId="27" applyFont="1" applyFill="1"/>
    <xf numFmtId="205" fontId="22" fillId="3" borderId="0" xfId="10" applyNumberFormat="1" applyFont="1" applyFill="1" applyAlignment="1">
      <alignment horizontal="right"/>
    </xf>
    <xf numFmtId="205" fontId="22" fillId="3" borderId="0" xfId="11" applyNumberFormat="1" applyFont="1" applyFill="1" applyAlignment="1">
      <alignment horizontal="right"/>
    </xf>
    <xf numFmtId="205" fontId="10" fillId="0" borderId="0" xfId="10" applyNumberFormat="1" applyFont="1" applyAlignment="1">
      <alignment horizontal="right"/>
    </xf>
    <xf numFmtId="9" fontId="10" fillId="0" borderId="0" xfId="34" applyFont="1" applyAlignment="1">
      <alignment horizontal="right"/>
    </xf>
    <xf numFmtId="173" fontId="24" fillId="0" borderId="0" xfId="10" applyNumberFormat="1" applyFont="1" applyFill="1" applyBorder="1" applyAlignment="1">
      <alignment horizontal="right"/>
    </xf>
    <xf numFmtId="205" fontId="14" fillId="0" borderId="10" xfId="10" applyNumberFormat="1" applyFont="1" applyFill="1" applyBorder="1" applyAlignment="1">
      <alignment horizontal="right"/>
    </xf>
    <xf numFmtId="205" fontId="14" fillId="0" borderId="18" xfId="10" applyNumberFormat="1" applyFont="1" applyFill="1" applyBorder="1" applyAlignment="1">
      <alignment horizontal="right"/>
    </xf>
    <xf numFmtId="205" fontId="22" fillId="0" borderId="0" xfId="19" applyNumberFormat="1" applyFont="1" applyBorder="1" applyAlignment="1">
      <alignment horizontal="right"/>
    </xf>
    <xf numFmtId="205" fontId="14" fillId="3" borderId="6" xfId="10" applyNumberFormat="1" applyFont="1" applyFill="1" applyBorder="1" applyAlignment="1">
      <alignment horizontal="right"/>
    </xf>
    <xf numFmtId="205" fontId="14" fillId="3" borderId="19" xfId="10" applyNumberFormat="1" applyFont="1" applyFill="1" applyBorder="1" applyAlignment="1">
      <alignment horizontal="right"/>
    </xf>
    <xf numFmtId="205" fontId="16" fillId="0" borderId="0" xfId="10" applyNumberFormat="1" applyFont="1" applyFill="1" applyBorder="1" applyAlignment="1">
      <alignment horizontal="right"/>
    </xf>
    <xf numFmtId="205" fontId="22" fillId="0" borderId="0" xfId="19" applyNumberFormat="1" applyFont="1" applyFill="1" applyBorder="1" applyAlignment="1">
      <alignment horizontal="right"/>
    </xf>
    <xf numFmtId="0" fontId="10" fillId="0" borderId="6" xfId="27" applyFont="1" applyBorder="1"/>
    <xf numFmtId="0" fontId="10" fillId="0" borderId="0" xfId="27" applyFont="1" applyBorder="1" applyAlignment="1">
      <alignment horizontal="left"/>
    </xf>
    <xf numFmtId="205" fontId="16" fillId="0" borderId="0" xfId="10" applyNumberFormat="1" applyFont="1" applyBorder="1" applyAlignment="1">
      <alignment horizontal="right"/>
    </xf>
    <xf numFmtId="204" fontId="10" fillId="4" borderId="0" xfId="21" applyNumberFormat="1" applyFont="1" applyFill="1" applyBorder="1" applyAlignment="1" applyProtection="1">
      <alignment horizontal="left"/>
    </xf>
    <xf numFmtId="205" fontId="16" fillId="4" borderId="17" xfId="10" applyNumberFormat="1" applyFont="1" applyFill="1" applyBorder="1" applyAlignment="1">
      <alignment horizontal="right"/>
    </xf>
    <xf numFmtId="205" fontId="10" fillId="0" borderId="0" xfId="10" applyNumberFormat="1" applyFont="1" applyFill="1" applyBorder="1" applyAlignment="1">
      <alignment horizontal="right"/>
    </xf>
    <xf numFmtId="181" fontId="10" fillId="0" borderId="0" xfId="27" applyNumberFormat="1" applyFont="1" applyFill="1" applyBorder="1"/>
    <xf numFmtId="181" fontId="10" fillId="0" borderId="0" xfId="27" applyNumberFormat="1" applyFont="1"/>
    <xf numFmtId="205" fontId="16" fillId="4" borderId="0" xfId="10" applyNumberFormat="1" applyFont="1" applyFill="1" applyAlignment="1">
      <alignment horizontal="right"/>
    </xf>
    <xf numFmtId="205" fontId="16" fillId="4" borderId="0" xfId="11" applyNumberFormat="1" applyFont="1" applyFill="1" applyAlignment="1">
      <alignment horizontal="right"/>
    </xf>
    <xf numFmtId="204" fontId="10" fillId="0" borderId="0" xfId="21" applyNumberFormat="1" applyFont="1" applyBorder="1" applyAlignment="1" applyProtection="1">
      <alignment horizontal="left"/>
    </xf>
    <xf numFmtId="0" fontId="10" fillId="0" borderId="0" xfId="27" applyFont="1" applyFill="1" applyAlignment="1">
      <alignment vertical="justify" textRotation="90" readingOrder="2"/>
    </xf>
    <xf numFmtId="173" fontId="59" fillId="0" borderId="0" xfId="10" applyNumberFormat="1" applyFont="1" applyFill="1"/>
    <xf numFmtId="181" fontId="24" fillId="0" borderId="0" xfId="10" applyNumberFormat="1" applyFont="1" applyFill="1" applyBorder="1" applyAlignment="1">
      <alignment horizontal="right"/>
    </xf>
    <xf numFmtId="181" fontId="24" fillId="0" borderId="0" xfId="27" applyNumberFormat="1" applyFont="1" applyFill="1" applyBorder="1"/>
    <xf numFmtId="173" fontId="10" fillId="0" borderId="0" xfId="10" applyNumberFormat="1" applyFont="1" applyFill="1"/>
    <xf numFmtId="205" fontId="15" fillId="0" borderId="20" xfId="10" applyNumberFormat="1" applyFont="1" applyFill="1" applyBorder="1" applyAlignment="1">
      <alignment horizontal="left" indent="1"/>
    </xf>
    <xf numFmtId="205" fontId="10" fillId="0" borderId="10" xfId="10" applyNumberFormat="1" applyFont="1" applyFill="1" applyBorder="1" applyAlignment="1">
      <alignment horizontal="right"/>
    </xf>
    <xf numFmtId="205" fontId="42" fillId="0" borderId="10" xfId="10" applyNumberFormat="1" applyFont="1" applyFill="1" applyBorder="1" applyAlignment="1">
      <alignment horizontal="right"/>
    </xf>
    <xf numFmtId="0" fontId="10" fillId="0" borderId="6" xfId="27" applyFont="1" applyBorder="1" applyAlignment="1">
      <alignment vertical="center" textRotation="90" readingOrder="2"/>
    </xf>
    <xf numFmtId="165" fontId="10" fillId="0" borderId="0" xfId="27" applyNumberFormat="1" applyFont="1" applyFill="1"/>
    <xf numFmtId="206" fontId="10" fillId="5" borderId="21" xfId="10" applyNumberFormat="1" applyFont="1" applyFill="1" applyBorder="1" applyAlignment="1">
      <alignment horizontal="right"/>
    </xf>
    <xf numFmtId="206" fontId="10" fillId="0" borderId="0" xfId="10" applyNumberFormat="1" applyFont="1" applyFill="1" applyBorder="1" applyAlignment="1">
      <alignment horizontal="right"/>
    </xf>
    <xf numFmtId="205" fontId="10" fillId="0" borderId="0" xfId="10" applyNumberFormat="1" applyFont="1" applyBorder="1" applyAlignment="1">
      <alignment horizontal="right"/>
    </xf>
    <xf numFmtId="205" fontId="10" fillId="0" borderId="7" xfId="10" applyNumberFormat="1" applyFont="1" applyBorder="1" applyAlignment="1">
      <alignment horizontal="right"/>
    </xf>
    <xf numFmtId="205" fontId="10" fillId="0" borderId="8" xfId="10" applyNumberFormat="1" applyFont="1" applyBorder="1" applyAlignment="1">
      <alignment horizontal="right"/>
    </xf>
    <xf numFmtId="205" fontId="10" fillId="0" borderId="0" xfId="27" applyNumberFormat="1" applyFont="1" applyAlignment="1">
      <alignment horizontal="right"/>
    </xf>
    <xf numFmtId="208" fontId="55" fillId="0" borderId="6" xfId="19" applyNumberFormat="1" applyFont="1" applyBorder="1" applyAlignment="1">
      <alignment horizontal="right"/>
    </xf>
    <xf numFmtId="209" fontId="33" fillId="0" borderId="0" xfId="17" applyNumberFormat="1" applyFont="1" applyBorder="1" applyAlignment="1">
      <alignment horizontal="right"/>
    </xf>
    <xf numFmtId="205" fontId="10" fillId="3" borderId="0" xfId="27" applyNumberFormat="1" applyFont="1" applyFill="1"/>
    <xf numFmtId="205" fontId="14" fillId="3" borderId="0" xfId="27" applyNumberFormat="1" applyFont="1" applyFill="1"/>
    <xf numFmtId="1" fontId="24" fillId="0" borderId="0" xfId="27" applyNumberFormat="1" applyFont="1"/>
    <xf numFmtId="210" fontId="33" fillId="0" borderId="0" xfId="17" applyNumberFormat="1" applyFont="1" applyBorder="1" applyAlignment="1">
      <alignment horizontal="right"/>
    </xf>
    <xf numFmtId="0" fontId="24" fillId="0" borderId="0" xfId="27" applyFont="1"/>
    <xf numFmtId="165" fontId="13" fillId="0" borderId="0" xfId="27" applyNumberFormat="1" applyFont="1" applyAlignment="1">
      <alignment horizontal="right"/>
    </xf>
    <xf numFmtId="206" fontId="13" fillId="0" borderId="0" xfId="27" applyNumberFormat="1" applyFont="1" applyAlignment="1">
      <alignment horizontal="right"/>
    </xf>
    <xf numFmtId="206" fontId="55" fillId="0" borderId="0" xfId="27" applyNumberFormat="1" applyFont="1" applyAlignment="1">
      <alignment horizontal="right"/>
    </xf>
    <xf numFmtId="206" fontId="10" fillId="0" borderId="0" xfId="27" applyNumberFormat="1" applyFont="1" applyAlignment="1">
      <alignment horizontal="right"/>
    </xf>
    <xf numFmtId="206" fontId="24" fillId="0" borderId="0" xfId="27" applyNumberFormat="1" applyFont="1" applyAlignment="1">
      <alignment horizontal="right"/>
    </xf>
    <xf numFmtId="206" fontId="12" fillId="0" borderId="0" xfId="27" applyNumberFormat="1" applyFont="1" applyAlignment="1">
      <alignment horizontal="right"/>
    </xf>
    <xf numFmtId="206" fontId="12" fillId="0" borderId="0" xfId="27" applyNumberFormat="1" applyFont="1" applyFill="1" applyAlignment="1">
      <alignment horizontal="right"/>
    </xf>
    <xf numFmtId="206" fontId="24" fillId="0" borderId="0" xfId="27" applyNumberFormat="1" applyFont="1" applyFill="1" applyAlignment="1">
      <alignment horizontal="right"/>
    </xf>
    <xf numFmtId="205" fontId="10" fillId="0" borderId="0" xfId="27" applyNumberFormat="1" applyFont="1" applyBorder="1"/>
    <xf numFmtId="206" fontId="10" fillId="0" borderId="0" xfId="27" applyNumberFormat="1" applyFont="1" applyBorder="1" applyAlignment="1">
      <alignment horizontal="right"/>
    </xf>
    <xf numFmtId="206" fontId="24" fillId="0" borderId="0" xfId="27" applyNumberFormat="1" applyFont="1" applyFill="1" applyBorder="1" applyAlignment="1">
      <alignment horizontal="right"/>
    </xf>
    <xf numFmtId="204" fontId="10" fillId="0" borderId="6" xfId="21" applyNumberFormat="1" applyFont="1" applyBorder="1" applyAlignment="1" applyProtection="1">
      <alignment horizontal="left"/>
    </xf>
    <xf numFmtId="165" fontId="10" fillId="0" borderId="10" xfId="27" applyNumberFormat="1" applyFont="1" applyBorder="1" applyAlignment="1">
      <alignment horizontal="right"/>
    </xf>
    <xf numFmtId="165" fontId="24" fillId="0" borderId="0" xfId="27" applyNumberFormat="1" applyFont="1" applyBorder="1" applyAlignment="1">
      <alignment horizontal="right"/>
    </xf>
    <xf numFmtId="204" fontId="59" fillId="0" borderId="0" xfId="21" applyNumberFormat="1" applyFont="1" applyBorder="1" applyAlignment="1" applyProtection="1">
      <alignment horizontal="left"/>
    </xf>
    <xf numFmtId="0" fontId="60" fillId="0" borderId="0" xfId="27" applyFont="1" applyFill="1" applyBorder="1" applyAlignment="1">
      <alignment horizontal="right"/>
    </xf>
    <xf numFmtId="173" fontId="42" fillId="0" borderId="0" xfId="10" applyNumberFormat="1" applyFont="1" applyFill="1" applyBorder="1"/>
    <xf numFmtId="204" fontId="13" fillId="0" borderId="0" xfId="21" applyNumberFormat="1" applyFont="1" applyBorder="1" applyAlignment="1" applyProtection="1">
      <alignment horizontal="left"/>
    </xf>
    <xf numFmtId="177" fontId="32" fillId="3" borderId="6" xfId="27" applyNumberFormat="1" applyFont="1" applyFill="1" applyBorder="1" applyAlignment="1">
      <alignment horizontal="right"/>
    </xf>
    <xf numFmtId="183" fontId="7" fillId="0" borderId="0" xfId="0" applyNumberFormat="1" applyFont="1"/>
    <xf numFmtId="37" fontId="10" fillId="0" borderId="0" xfId="0" applyNumberFormat="1" applyFont="1" applyFill="1" applyBorder="1"/>
    <xf numFmtId="177" fontId="7" fillId="0" borderId="0" xfId="0" applyNumberFormat="1" applyFont="1"/>
    <xf numFmtId="177" fontId="7" fillId="0" borderId="0" xfId="34" applyNumberFormat="1" applyFont="1"/>
    <xf numFmtId="177" fontId="12" fillId="0" borderId="0" xfId="34" applyNumberFormat="1" applyFont="1" applyFill="1" applyBorder="1"/>
    <xf numFmtId="177" fontId="10" fillId="0" borderId="0" xfId="34" applyNumberFormat="1" applyFont="1" applyFill="1" applyBorder="1"/>
    <xf numFmtId="0" fontId="14" fillId="0" borderId="0" xfId="0" applyFont="1"/>
    <xf numFmtId="0" fontId="13" fillId="0" borderId="10" xfId="0" applyFont="1" applyBorder="1" applyAlignment="1">
      <alignment horizontal="center"/>
    </xf>
    <xf numFmtId="0" fontId="62" fillId="0" borderId="0" xfId="0" applyFont="1"/>
    <xf numFmtId="216" fontId="63" fillId="0" borderId="0" xfId="0" applyNumberFormat="1" applyFont="1"/>
    <xf numFmtId="164" fontId="63" fillId="0" borderId="0" xfId="0" applyNumberFormat="1" applyFont="1"/>
    <xf numFmtId="0" fontId="62" fillId="0" borderId="0" xfId="0" applyFont="1" applyAlignment="1">
      <alignment horizontal="left" indent="1"/>
    </xf>
    <xf numFmtId="0" fontId="64" fillId="0" borderId="0" xfId="0" applyFont="1"/>
    <xf numFmtId="177" fontId="63" fillId="0" borderId="0" xfId="34" applyNumberFormat="1" applyFont="1"/>
    <xf numFmtId="177" fontId="63" fillId="0" borderId="0" xfId="34" applyNumberFormat="1" applyFont="1" applyAlignment="1">
      <alignment horizontal="right"/>
    </xf>
    <xf numFmtId="164" fontId="63" fillId="0" borderId="0" xfId="0" applyNumberFormat="1" applyFont="1" applyAlignment="1">
      <alignment horizontal="right"/>
    </xf>
    <xf numFmtId="0" fontId="7" fillId="3" borderId="0" xfId="0" applyFont="1" applyFill="1"/>
    <xf numFmtId="0" fontId="13" fillId="0" borderId="0" xfId="0" applyFont="1" applyBorder="1" applyAlignment="1">
      <alignment horizontal="center"/>
    </xf>
    <xf numFmtId="216" fontId="12" fillId="0" borderId="0" xfId="0" applyNumberFormat="1" applyFont="1"/>
    <xf numFmtId="164" fontId="12" fillId="0" borderId="0" xfId="0" applyNumberFormat="1" applyFont="1"/>
    <xf numFmtId="177" fontId="12" fillId="0" borderId="0" xfId="34" applyNumberFormat="1" applyFont="1" applyBorder="1"/>
    <xf numFmtId="0" fontId="7" fillId="7" borderId="0" xfId="0" applyFont="1" applyFill="1"/>
    <xf numFmtId="0" fontId="65" fillId="0" borderId="0" xfId="0" applyFont="1"/>
    <xf numFmtId="0" fontId="13" fillId="0" borderId="0" xfId="18" applyFont="1" applyFill="1" applyAlignment="1">
      <alignment horizontal="right"/>
    </xf>
    <xf numFmtId="0" fontId="13" fillId="5" borderId="28" xfId="18" applyFont="1" applyFill="1" applyBorder="1" applyAlignment="1">
      <alignment horizontal="left" indent="1"/>
    </xf>
    <xf numFmtId="0" fontId="10" fillId="0" borderId="0" xfId="18" applyFont="1" applyBorder="1" applyAlignment="1">
      <alignment horizontal="center"/>
    </xf>
    <xf numFmtId="0" fontId="12" fillId="0" borderId="0" xfId="18" applyFont="1" applyBorder="1" applyAlignment="1">
      <alignment horizontal="center"/>
    </xf>
    <xf numFmtId="177" fontId="10" fillId="0" borderId="0" xfId="34" applyNumberFormat="1" applyFont="1" applyBorder="1" applyAlignment="1">
      <alignment horizontal="right"/>
    </xf>
    <xf numFmtId="10" fontId="7" fillId="0" borderId="0" xfId="34" applyNumberFormat="1" applyFont="1"/>
    <xf numFmtId="164" fontId="12" fillId="0" borderId="0" xfId="0" applyNumberFormat="1" applyFont="1" applyFill="1"/>
    <xf numFmtId="212" fontId="63" fillId="0" borderId="0" xfId="0" applyNumberFormat="1" applyFont="1"/>
    <xf numFmtId="170" fontId="63" fillId="0" borderId="0" xfId="0" applyNumberFormat="1" applyFont="1"/>
    <xf numFmtId="170" fontId="7" fillId="0" borderId="0" xfId="0" applyNumberFormat="1" applyFont="1"/>
    <xf numFmtId="7" fontId="12" fillId="0" borderId="8" xfId="0" applyNumberFormat="1" applyFont="1" applyBorder="1"/>
    <xf numFmtId="0" fontId="7" fillId="0" borderId="0" xfId="0" applyFont="1" applyBorder="1"/>
    <xf numFmtId="164" fontId="12" fillId="0" borderId="0" xfId="0" applyNumberFormat="1" applyFont="1" applyBorder="1"/>
    <xf numFmtId="170" fontId="12" fillId="0" borderId="0" xfId="0" applyNumberFormat="1" applyFont="1"/>
    <xf numFmtId="177" fontId="14" fillId="0" borderId="0" xfId="34" applyNumberFormat="1" applyFont="1" applyBorder="1"/>
    <xf numFmtId="0" fontId="62" fillId="0" borderId="0" xfId="0" applyFont="1" applyBorder="1"/>
    <xf numFmtId="177" fontId="63" fillId="0" borderId="0" xfId="34" applyNumberFormat="1" applyFont="1" applyBorder="1" applyAlignment="1">
      <alignment horizontal="right"/>
    </xf>
    <xf numFmtId="177" fontId="63" fillId="0" borderId="0" xfId="34" applyNumberFormat="1" applyFont="1" applyBorder="1"/>
    <xf numFmtId="164" fontId="12" fillId="0" borderId="0" xfId="0" applyNumberFormat="1" applyFont="1" applyAlignment="1">
      <alignment horizontal="right"/>
    </xf>
    <xf numFmtId="177" fontId="0" fillId="0" borderId="0" xfId="0" applyNumberFormat="1" applyBorder="1"/>
    <xf numFmtId="9" fontId="12" fillId="0" borderId="0" xfId="0" applyNumberFormat="1" applyFont="1"/>
    <xf numFmtId="218" fontId="12" fillId="0" borderId="0" xfId="0" applyNumberFormat="1" applyFont="1"/>
    <xf numFmtId="218" fontId="7" fillId="0" borderId="0" xfId="0" applyNumberFormat="1" applyFont="1"/>
    <xf numFmtId="218" fontId="12" fillId="0" borderId="0" xfId="34" applyNumberFormat="1" applyFont="1" applyAlignment="1">
      <alignment horizontal="right"/>
    </xf>
    <xf numFmtId="218" fontId="0" fillId="0" borderId="0" xfId="0" applyNumberFormat="1"/>
    <xf numFmtId="177" fontId="14" fillId="0" borderId="0" xfId="34" applyNumberFormat="1" applyFont="1"/>
    <xf numFmtId="0" fontId="12" fillId="0" borderId="0" xfId="34" applyNumberFormat="1" applyFont="1" applyAlignment="1">
      <alignment horizontal="right"/>
    </xf>
    <xf numFmtId="0" fontId="12" fillId="0" borderId="0" xfId="0" applyFont="1" applyFill="1" applyAlignment="1">
      <alignment horizontal="right"/>
    </xf>
    <xf numFmtId="7" fontId="2" fillId="0" borderId="0" xfId="0" applyNumberFormat="1" applyFont="1"/>
    <xf numFmtId="177" fontId="0" fillId="0" borderId="0" xfId="34" applyNumberFormat="1" applyFont="1"/>
    <xf numFmtId="0" fontId="7" fillId="8" borderId="0" xfId="0" applyFont="1" applyFill="1"/>
    <xf numFmtId="0" fontId="27" fillId="9" borderId="0" xfId="0" applyFont="1" applyFill="1" applyAlignment="1">
      <alignment horizontal="left"/>
    </xf>
    <xf numFmtId="0" fontId="27" fillId="9" borderId="0" xfId="0" applyFont="1" applyFill="1" applyBorder="1"/>
    <xf numFmtId="0" fontId="0" fillId="0" borderId="0" xfId="0"/>
    <xf numFmtId="0" fontId="0" fillId="10" borderId="0" xfId="0" applyFill="1"/>
    <xf numFmtId="0" fontId="7" fillId="10" borderId="0" xfId="0" applyFont="1" applyFill="1"/>
    <xf numFmtId="0" fontId="7" fillId="10" borderId="6" xfId="0" applyFont="1" applyFill="1" applyBorder="1"/>
    <xf numFmtId="0" fontId="80" fillId="11" borderId="0" xfId="0" applyFont="1" applyFill="1"/>
    <xf numFmtId="164" fontId="7" fillId="10" borderId="6" xfId="0" applyNumberFormat="1" applyFont="1" applyFill="1" applyBorder="1"/>
    <xf numFmtId="0" fontId="7" fillId="10" borderId="0" xfId="0" quotePrefix="1" applyFont="1" applyFill="1"/>
    <xf numFmtId="7" fontId="0" fillId="10" borderId="0" xfId="0" applyNumberFormat="1" applyFill="1"/>
    <xf numFmtId="164" fontId="10" fillId="0" borderId="0" xfId="0" applyNumberFormat="1" applyFont="1"/>
    <xf numFmtId="177" fontId="2" fillId="0" borderId="0" xfId="34" applyNumberFormat="1" applyFont="1"/>
    <xf numFmtId="213" fontId="7" fillId="0" borderId="0" xfId="0" applyNumberFormat="1" applyFont="1"/>
    <xf numFmtId="0" fontId="2" fillId="10" borderId="0" xfId="0" applyFont="1" applyFill="1" applyBorder="1"/>
    <xf numFmtId="0" fontId="7" fillId="10" borderId="0" xfId="0" applyFont="1" applyFill="1" applyBorder="1"/>
    <xf numFmtId="37" fontId="2" fillId="10" borderId="6" xfId="25" applyFont="1" applyFill="1" applyBorder="1" applyAlignment="1" applyProtection="1">
      <alignment horizontal="left"/>
    </xf>
    <xf numFmtId="37" fontId="27" fillId="10" borderId="0" xfId="25" applyFont="1" applyFill="1" applyBorder="1" applyAlignment="1" applyProtection="1">
      <alignment horizontal="left"/>
    </xf>
    <xf numFmtId="43" fontId="7" fillId="10" borderId="0" xfId="0" applyNumberFormat="1" applyFont="1" applyFill="1"/>
    <xf numFmtId="172" fontId="7" fillId="10" borderId="0" xfId="0" applyNumberFormat="1" applyFont="1" applyFill="1"/>
    <xf numFmtId="7" fontId="7" fillId="10" borderId="0" xfId="0" applyNumberFormat="1" applyFont="1" applyFill="1"/>
    <xf numFmtId="177" fontId="7" fillId="10" borderId="0" xfId="34" applyNumberFormat="1" applyFont="1" applyFill="1"/>
    <xf numFmtId="5" fontId="7" fillId="10" borderId="0" xfId="0" applyNumberFormat="1" applyFont="1" applyFill="1"/>
    <xf numFmtId="187" fontId="7" fillId="10" borderId="0" xfId="0" applyNumberFormat="1" applyFont="1" applyFill="1"/>
    <xf numFmtId="177" fontId="7" fillId="10" borderId="0" xfId="34" applyNumberFormat="1" applyFont="1" applyFill="1" applyBorder="1"/>
    <xf numFmtId="0" fontId="2" fillId="10" borderId="0" xfId="0" applyFont="1" applyFill="1" applyBorder="1" applyAlignment="1">
      <alignment horizontal="centerContinuous"/>
    </xf>
    <xf numFmtId="0" fontId="7" fillId="10" borderId="0" xfId="0" applyFont="1" applyFill="1" applyBorder="1" applyAlignment="1">
      <alignment horizontal="centerContinuous"/>
    </xf>
    <xf numFmtId="0" fontId="7" fillId="10" borderId="0" xfId="0" applyFont="1" applyFill="1" applyAlignment="1">
      <alignment horizontal="centerContinuous"/>
    </xf>
    <xf numFmtId="7" fontId="7" fillId="10" borderId="0" xfId="0" applyNumberFormat="1" applyFont="1" applyFill="1" applyAlignment="1">
      <alignment horizontal="centerContinuous"/>
    </xf>
    <xf numFmtId="177" fontId="7" fillId="10" borderId="0" xfId="34" applyNumberFormat="1" applyFont="1" applyFill="1" applyAlignment="1">
      <alignment horizontal="centerContinuous"/>
    </xf>
    <xf numFmtId="2" fontId="82" fillId="10" borderId="6" xfId="0" applyNumberFormat="1" applyFont="1" applyFill="1" applyBorder="1"/>
    <xf numFmtId="182" fontId="7" fillId="10" borderId="0" xfId="0" applyNumberFormat="1" applyFont="1" applyFill="1" applyBorder="1"/>
    <xf numFmtId="182" fontId="7" fillId="10" borderId="0" xfId="0" applyNumberFormat="1" applyFont="1" applyFill="1"/>
    <xf numFmtId="189" fontId="7" fillId="10" borderId="0" xfId="0" applyNumberFormat="1" applyFont="1" applyFill="1"/>
    <xf numFmtId="0" fontId="7" fillId="10" borderId="10" xfId="0" applyFont="1" applyFill="1" applyBorder="1"/>
    <xf numFmtId="189" fontId="68" fillId="10" borderId="10" xfId="0" applyNumberFormat="1" applyFont="1" applyFill="1" applyBorder="1" applyAlignment="1">
      <alignment horizontal="center"/>
    </xf>
    <xf numFmtId="189" fontId="68" fillId="10" borderId="0" xfId="0" applyNumberFormat="1" applyFont="1" applyFill="1" applyBorder="1" applyAlignment="1">
      <alignment horizontal="center"/>
    </xf>
    <xf numFmtId="0" fontId="69" fillId="10" borderId="29" xfId="0" applyFont="1" applyFill="1" applyBorder="1"/>
    <xf numFmtId="0" fontId="69" fillId="10" borderId="0" xfId="0" applyFont="1" applyFill="1" applyBorder="1" applyAlignment="1">
      <alignment horizontal="center"/>
    </xf>
    <xf numFmtId="0" fontId="70" fillId="10" borderId="0" xfId="0" applyFont="1" applyFill="1" applyBorder="1" applyAlignment="1">
      <alignment horizontal="center"/>
    </xf>
    <xf numFmtId="0" fontId="69" fillId="10" borderId="29" xfId="0" applyFont="1" applyFill="1" applyBorder="1" applyAlignment="1">
      <alignment horizontal="center"/>
    </xf>
    <xf numFmtId="0" fontId="69" fillId="10" borderId="21" xfId="0" applyFont="1" applyFill="1" applyBorder="1" applyAlignment="1">
      <alignment horizontal="center"/>
    </xf>
    <xf numFmtId="0" fontId="7" fillId="10" borderId="29" xfId="0" applyFont="1" applyFill="1" applyBorder="1"/>
    <xf numFmtId="0" fontId="7" fillId="10" borderId="21" xfId="0" applyFont="1" applyFill="1" applyBorder="1"/>
    <xf numFmtId="5" fontId="7" fillId="10" borderId="0" xfId="12" applyNumberFormat="1" applyFont="1" applyFill="1" applyBorder="1"/>
    <xf numFmtId="178" fontId="7" fillId="10" borderId="0" xfId="12" applyNumberFormat="1" applyFont="1" applyFill="1" applyBorder="1"/>
    <xf numFmtId="5" fontId="7" fillId="10" borderId="29" xfId="12" applyNumberFormat="1" applyFont="1" applyFill="1" applyBorder="1"/>
    <xf numFmtId="5" fontId="7" fillId="10" borderId="21" xfId="12" applyNumberFormat="1" applyFont="1" applyFill="1" applyBorder="1"/>
    <xf numFmtId="37" fontId="7" fillId="10" borderId="0" xfId="12" applyNumberFormat="1" applyFont="1" applyFill="1" applyBorder="1"/>
    <xf numFmtId="37" fontId="7" fillId="10" borderId="29" xfId="12" applyNumberFormat="1" applyFont="1" applyFill="1" applyBorder="1"/>
    <xf numFmtId="37" fontId="7" fillId="10" borderId="21" xfId="12" applyNumberFormat="1" applyFont="1" applyFill="1" applyBorder="1"/>
    <xf numFmtId="43" fontId="7" fillId="10" borderId="29" xfId="8" applyFont="1" applyFill="1" applyBorder="1"/>
    <xf numFmtId="43" fontId="7" fillId="10" borderId="0" xfId="8" applyFont="1" applyFill="1" applyBorder="1"/>
    <xf numFmtId="43" fontId="7" fillId="10" borderId="21" xfId="8" applyFont="1" applyFill="1" applyBorder="1"/>
    <xf numFmtId="187" fontId="7" fillId="10" borderId="29" xfId="0" applyNumberFormat="1" applyFont="1" applyFill="1" applyBorder="1"/>
    <xf numFmtId="187" fontId="7" fillId="10" borderId="0" xfId="0" applyNumberFormat="1" applyFont="1" applyFill="1" applyBorder="1"/>
    <xf numFmtId="187" fontId="7" fillId="10" borderId="0" xfId="12" applyNumberFormat="1" applyFont="1" applyFill="1" applyBorder="1"/>
    <xf numFmtId="187" fontId="7" fillId="10" borderId="29" xfId="8" applyNumberFormat="1" applyFont="1" applyFill="1" applyBorder="1"/>
    <xf numFmtId="187" fontId="7" fillId="10" borderId="0" xfId="8" applyNumberFormat="1" applyFont="1" applyFill="1" applyBorder="1"/>
    <xf numFmtId="187" fontId="7" fillId="10" borderId="21" xfId="8" applyNumberFormat="1" applyFont="1" applyFill="1" applyBorder="1"/>
    <xf numFmtId="187" fontId="7" fillId="10" borderId="0" xfId="12" applyNumberFormat="1" applyFont="1" applyFill="1" applyBorder="1" applyAlignment="1">
      <alignment horizontal="right"/>
    </xf>
    <xf numFmtId="187" fontId="7" fillId="10" borderId="29" xfId="8" applyNumberFormat="1" applyFont="1" applyFill="1" applyBorder="1" applyAlignment="1">
      <alignment horizontal="right"/>
    </xf>
    <xf numFmtId="187" fontId="7" fillId="10" borderId="0" xfId="8" applyNumberFormat="1" applyFont="1" applyFill="1" applyBorder="1" applyAlignment="1">
      <alignment horizontal="right"/>
    </xf>
    <xf numFmtId="187" fontId="7" fillId="10" borderId="21" xfId="8" applyNumberFormat="1" applyFont="1" applyFill="1" applyBorder="1" applyAlignment="1">
      <alignment horizontal="right"/>
    </xf>
    <xf numFmtId="187" fontId="7" fillId="10" borderId="0" xfId="0" applyNumberFormat="1" applyFont="1" applyFill="1" applyBorder="1" applyAlignment="1">
      <alignment horizontal="right"/>
    </xf>
    <xf numFmtId="177" fontId="7" fillId="10" borderId="0" xfId="34" applyNumberFormat="1" applyFont="1" applyFill="1" applyBorder="1" applyAlignment="1">
      <alignment horizontal="right"/>
    </xf>
    <xf numFmtId="187" fontId="7" fillId="10" borderId="0" xfId="0" applyNumberFormat="1" applyFont="1" applyFill="1" applyAlignment="1">
      <alignment horizontal="right"/>
    </xf>
    <xf numFmtId="9" fontId="7" fillId="10" borderId="0" xfId="34" applyFont="1" applyFill="1" applyBorder="1" applyAlignment="1">
      <alignment horizontal="right"/>
    </xf>
    <xf numFmtId="187" fontId="7" fillId="10" borderId="29" xfId="0" applyNumberFormat="1" applyFont="1" applyFill="1" applyBorder="1" applyAlignment="1">
      <alignment horizontal="left" indent="1"/>
    </xf>
    <xf numFmtId="9" fontId="7" fillId="10" borderId="0" xfId="34" applyFont="1" applyFill="1" applyBorder="1"/>
    <xf numFmtId="178" fontId="7" fillId="10" borderId="0" xfId="0" applyNumberFormat="1" applyFont="1" applyFill="1" applyBorder="1"/>
    <xf numFmtId="0" fontId="7" fillId="10" borderId="16" xfId="0" applyFont="1" applyFill="1" applyBorder="1"/>
    <xf numFmtId="5" fontId="7" fillId="10" borderId="19" xfId="12" applyNumberFormat="1" applyFont="1" applyFill="1" applyBorder="1"/>
    <xf numFmtId="37" fontId="7" fillId="10" borderId="29" xfId="0" applyNumberFormat="1" applyFont="1" applyFill="1" applyBorder="1"/>
    <xf numFmtId="7" fontId="7" fillId="10" borderId="0" xfId="8" applyNumberFormat="1" applyFont="1" applyFill="1" applyBorder="1" applyAlignment="1">
      <alignment horizontal="right"/>
    </xf>
    <xf numFmtId="44" fontId="7" fillId="10" borderId="0" xfId="12" applyFont="1" applyFill="1" applyBorder="1"/>
    <xf numFmtId="7" fontId="7" fillId="10" borderId="21" xfId="8" applyNumberFormat="1" applyFont="1" applyFill="1" applyBorder="1" applyAlignment="1">
      <alignment horizontal="right"/>
    </xf>
    <xf numFmtId="7" fontId="7" fillId="10" borderId="6" xfId="8" applyNumberFormat="1" applyFont="1" applyFill="1" applyBorder="1" applyAlignment="1">
      <alignment horizontal="right"/>
    </xf>
    <xf numFmtId="44" fontId="7" fillId="10" borderId="6" xfId="12" applyFont="1" applyFill="1" applyBorder="1"/>
    <xf numFmtId="7" fontId="7" fillId="10" borderId="16" xfId="8" applyNumberFormat="1" applyFont="1" applyFill="1" applyBorder="1" applyAlignment="1">
      <alignment horizontal="right"/>
    </xf>
    <xf numFmtId="172" fontId="7" fillId="10" borderId="0" xfId="8" applyNumberFormat="1" applyFont="1" applyFill="1" applyBorder="1"/>
    <xf numFmtId="172" fontId="7" fillId="10" borderId="29" xfId="8" applyNumberFormat="1" applyFont="1" applyFill="1" applyBorder="1"/>
    <xf numFmtId="172" fontId="7" fillId="10" borderId="21" xfId="8" applyNumberFormat="1" applyFont="1" applyFill="1" applyBorder="1"/>
    <xf numFmtId="172" fontId="7" fillId="10" borderId="0" xfId="8" applyNumberFormat="1" applyFont="1" applyFill="1" applyBorder="1" applyAlignment="1">
      <alignment horizontal="right"/>
    </xf>
    <xf numFmtId="172" fontId="7" fillId="10" borderId="29" xfId="8" applyNumberFormat="1" applyFont="1" applyFill="1" applyBorder="1" applyAlignment="1">
      <alignment horizontal="right"/>
    </xf>
    <xf numFmtId="172" fontId="68" fillId="10" borderId="0" xfId="8" applyNumberFormat="1" applyFont="1" applyFill="1" applyBorder="1"/>
    <xf numFmtId="172" fontId="26" fillId="10" borderId="0" xfId="8" applyNumberFormat="1" applyFont="1" applyFill="1" applyBorder="1"/>
    <xf numFmtId="172" fontId="68" fillId="10" borderId="21" xfId="8" applyNumberFormat="1" applyFont="1" applyFill="1" applyBorder="1"/>
    <xf numFmtId="183" fontId="7" fillId="10" borderId="0" xfId="0" applyNumberFormat="1" applyFont="1" applyFill="1" applyBorder="1"/>
    <xf numFmtId="183" fontId="7" fillId="10" borderId="21" xfId="0" applyNumberFormat="1" applyFont="1" applyFill="1" applyBorder="1"/>
    <xf numFmtId="37" fontId="7" fillId="10" borderId="0" xfId="12" applyNumberFormat="1" applyFont="1" applyFill="1" applyBorder="1" applyAlignment="1">
      <alignment horizontal="right"/>
    </xf>
    <xf numFmtId="37" fontId="7" fillId="10" borderId="29" xfId="12" applyNumberFormat="1" applyFont="1" applyFill="1" applyBorder="1" applyAlignment="1">
      <alignment horizontal="right"/>
    </xf>
    <xf numFmtId="37" fontId="7" fillId="10" borderId="21" xfId="12" applyNumberFormat="1" applyFont="1" applyFill="1" applyBorder="1" applyAlignment="1">
      <alignment horizontal="right"/>
    </xf>
    <xf numFmtId="43" fontId="7" fillId="10" borderId="0" xfId="0" applyNumberFormat="1" applyFont="1" applyFill="1" applyBorder="1"/>
    <xf numFmtId="177" fontId="7" fillId="10" borderId="21" xfId="34" applyNumberFormat="1" applyFont="1" applyFill="1" applyBorder="1" applyAlignment="1">
      <alignment horizontal="right"/>
    </xf>
    <xf numFmtId="177" fontId="7" fillId="10" borderId="29" xfId="34" applyNumberFormat="1" applyFont="1" applyFill="1" applyBorder="1"/>
    <xf numFmtId="190" fontId="7" fillId="10" borderId="0" xfId="34" applyNumberFormat="1" applyFont="1" applyFill="1" applyBorder="1" applyAlignment="1">
      <alignment horizontal="right"/>
    </xf>
    <xf numFmtId="190" fontId="7" fillId="10" borderId="0" xfId="34" applyNumberFormat="1" applyFont="1" applyFill="1" applyBorder="1"/>
    <xf numFmtId="190" fontId="7" fillId="10" borderId="29" xfId="34" applyNumberFormat="1" applyFont="1" applyFill="1" applyBorder="1" applyAlignment="1">
      <alignment horizontal="right"/>
    </xf>
    <xf numFmtId="190" fontId="7" fillId="10" borderId="21" xfId="34" applyNumberFormat="1" applyFont="1" applyFill="1" applyBorder="1" applyAlignment="1">
      <alignment horizontal="right"/>
    </xf>
    <xf numFmtId="223" fontId="7" fillId="10" borderId="0" xfId="34" applyNumberFormat="1" applyFont="1" applyFill="1" applyBorder="1" applyAlignment="1">
      <alignment horizontal="right"/>
    </xf>
    <xf numFmtId="224" fontId="7" fillId="10" borderId="0" xfId="0" applyNumberFormat="1" applyFont="1" applyFill="1"/>
    <xf numFmtId="225" fontId="7" fillId="10" borderId="0" xfId="34" applyNumberFormat="1" applyFont="1" applyFill="1"/>
    <xf numFmtId="190" fontId="7" fillId="10" borderId="29" xfId="0" applyNumberFormat="1" applyFont="1" applyFill="1" applyBorder="1"/>
    <xf numFmtId="190" fontId="7" fillId="10" borderId="0" xfId="0" applyNumberFormat="1" applyFont="1" applyFill="1" applyBorder="1"/>
    <xf numFmtId="190" fontId="7" fillId="10" borderId="21" xfId="0" applyNumberFormat="1" applyFont="1" applyFill="1" applyBorder="1"/>
    <xf numFmtId="190" fontId="7" fillId="10" borderId="6" xfId="34" applyNumberFormat="1" applyFont="1" applyFill="1" applyBorder="1" applyAlignment="1">
      <alignment horizontal="right"/>
    </xf>
    <xf numFmtId="177" fontId="7" fillId="10" borderId="6" xfId="34" applyNumberFormat="1" applyFont="1" applyFill="1" applyBorder="1"/>
    <xf numFmtId="190" fontId="7" fillId="10" borderId="16" xfId="34" applyNumberFormat="1" applyFont="1" applyFill="1" applyBorder="1" applyAlignment="1">
      <alignment horizontal="right"/>
    </xf>
    <xf numFmtId="190" fontId="7" fillId="10" borderId="19" xfId="34" applyNumberFormat="1" applyFont="1" applyFill="1" applyBorder="1" applyAlignment="1">
      <alignment horizontal="right"/>
    </xf>
    <xf numFmtId="0" fontId="7" fillId="10" borderId="8" xfId="0" applyFont="1" applyFill="1" applyBorder="1"/>
    <xf numFmtId="0" fontId="69" fillId="10" borderId="20" xfId="0" applyFont="1" applyFill="1" applyBorder="1"/>
    <xf numFmtId="185" fontId="69" fillId="10" borderId="10" xfId="0" applyNumberFormat="1" applyFont="1" applyFill="1" applyBorder="1" applyAlignment="1">
      <alignment horizontal="center"/>
    </xf>
    <xf numFmtId="0" fontId="69" fillId="10" borderId="10" xfId="0" applyFont="1" applyFill="1" applyBorder="1" applyAlignment="1">
      <alignment horizontal="center"/>
    </xf>
    <xf numFmtId="189" fontId="68" fillId="10" borderId="29" xfId="0" applyNumberFormat="1" applyFont="1" applyFill="1" applyBorder="1" applyAlignment="1">
      <alignment horizontal="center"/>
    </xf>
    <xf numFmtId="198" fontId="7" fillId="10" borderId="0" xfId="0" applyNumberFormat="1" applyFont="1" applyFill="1" applyBorder="1"/>
    <xf numFmtId="198" fontId="7" fillId="10" borderId="21" xfId="0" applyNumberFormat="1" applyFont="1" applyFill="1" applyBorder="1"/>
    <xf numFmtId="173" fontId="7" fillId="10" borderId="0" xfId="8" applyNumberFormat="1" applyFont="1" applyFill="1" applyBorder="1"/>
    <xf numFmtId="173" fontId="7" fillId="10" borderId="29" xfId="8" applyNumberFormat="1" applyFont="1" applyFill="1" applyBorder="1"/>
    <xf numFmtId="190" fontId="7" fillId="10" borderId="21" xfId="34" applyNumberFormat="1" applyFont="1" applyFill="1" applyBorder="1"/>
    <xf numFmtId="190" fontId="7" fillId="10" borderId="6" xfId="34" applyNumberFormat="1" applyFont="1" applyFill="1" applyBorder="1"/>
    <xf numFmtId="190" fontId="7" fillId="10" borderId="19" xfId="34" applyNumberFormat="1" applyFont="1" applyFill="1" applyBorder="1"/>
    <xf numFmtId="190" fontId="39" fillId="10" borderId="0" xfId="34" applyNumberFormat="1" applyFont="1" applyFill="1" applyBorder="1"/>
    <xf numFmtId="190" fontId="7" fillId="10" borderId="29" xfId="34" applyNumberFormat="1" applyFont="1" applyFill="1" applyBorder="1"/>
    <xf numFmtId="197" fontId="7" fillId="10" borderId="0" xfId="12" applyNumberFormat="1" applyFont="1" applyFill="1" applyBorder="1"/>
    <xf numFmtId="197" fontId="7" fillId="10" borderId="29" xfId="12" applyNumberFormat="1" applyFont="1" applyFill="1" applyBorder="1"/>
    <xf numFmtId="0" fontId="7" fillId="10" borderId="0" xfId="29" applyFont="1" applyFill="1" applyBorder="1"/>
    <xf numFmtId="37" fontId="7" fillId="10" borderId="0" xfId="0" applyNumberFormat="1" applyFont="1" applyFill="1" applyBorder="1"/>
    <xf numFmtId="37" fontId="7" fillId="10" borderId="0" xfId="0" applyNumberFormat="1" applyFont="1" applyFill="1"/>
    <xf numFmtId="173" fontId="7" fillId="10" borderId="0" xfId="0" applyNumberFormat="1" applyFont="1" applyFill="1"/>
    <xf numFmtId="173" fontId="7" fillId="10" borderId="0" xfId="0" applyNumberFormat="1" applyFont="1" applyFill="1" applyBorder="1"/>
    <xf numFmtId="0" fontId="26" fillId="10" borderId="0" xfId="0" applyFont="1" applyFill="1" applyBorder="1"/>
    <xf numFmtId="183" fontId="26" fillId="10" borderId="0" xfId="0" applyNumberFormat="1" applyFont="1" applyFill="1" applyBorder="1"/>
    <xf numFmtId="183" fontId="26" fillId="10" borderId="0" xfId="0" applyNumberFormat="1" applyFont="1" applyFill="1"/>
    <xf numFmtId="0" fontId="26" fillId="10" borderId="0" xfId="0" applyFont="1" applyFill="1"/>
    <xf numFmtId="37" fontId="7" fillId="12" borderId="29" xfId="0" applyNumberFormat="1" applyFont="1" applyFill="1" applyBorder="1"/>
    <xf numFmtId="0" fontId="7" fillId="12" borderId="0" xfId="0" applyFont="1" applyFill="1" applyBorder="1"/>
    <xf numFmtId="7" fontId="7" fillId="12" borderId="0" xfId="8" applyNumberFormat="1" applyFont="1" applyFill="1" applyBorder="1" applyAlignment="1">
      <alignment horizontal="right"/>
    </xf>
    <xf numFmtId="44" fontId="7" fillId="12" borderId="0" xfId="12" applyFont="1" applyFill="1" applyBorder="1"/>
    <xf numFmtId="7" fontId="7" fillId="12" borderId="10" xfId="8" applyNumberFormat="1" applyFont="1" applyFill="1" applyBorder="1" applyAlignment="1">
      <alignment horizontal="right"/>
    </xf>
    <xf numFmtId="44" fontId="7" fillId="12" borderId="10" xfId="12" applyFont="1" applyFill="1" applyBorder="1"/>
    <xf numFmtId="7" fontId="7" fillId="12" borderId="20" xfId="8" applyNumberFormat="1" applyFont="1" applyFill="1" applyBorder="1" applyAlignment="1">
      <alignment horizontal="right"/>
    </xf>
    <xf numFmtId="7" fontId="7" fillId="12" borderId="21" xfId="8" applyNumberFormat="1" applyFont="1" applyFill="1" applyBorder="1" applyAlignment="1">
      <alignment horizontal="right"/>
    </xf>
    <xf numFmtId="37" fontId="12" fillId="10" borderId="0" xfId="16" applyFont="1" applyFill="1"/>
    <xf numFmtId="37" fontId="13" fillId="10" borderId="0" xfId="16" applyFont="1" applyFill="1" applyAlignment="1">
      <alignment horizontal="left"/>
    </xf>
    <xf numFmtId="37" fontId="12" fillId="10" borderId="0" xfId="16" applyFont="1" applyFill="1" applyAlignment="1">
      <alignment horizontal="center"/>
    </xf>
    <xf numFmtId="37" fontId="5" fillId="10" borderId="0" xfId="16" applyFill="1"/>
    <xf numFmtId="37" fontId="13" fillId="10" borderId="0" xfId="16" applyFont="1" applyFill="1"/>
    <xf numFmtId="37" fontId="38" fillId="10" borderId="0" xfId="16" applyFont="1" applyFill="1" applyAlignment="1">
      <alignment horizontal="center"/>
    </xf>
    <xf numFmtId="37" fontId="38" fillId="10" borderId="11" xfId="16" applyFont="1" applyFill="1" applyBorder="1" applyAlignment="1">
      <alignment horizontal="center"/>
    </xf>
    <xf numFmtId="5" fontId="12" fillId="10" borderId="14" xfId="16" applyNumberFormat="1" applyFont="1" applyFill="1" applyBorder="1" applyAlignment="1">
      <alignment horizontal="left"/>
    </xf>
    <xf numFmtId="170" fontId="13" fillId="10" borderId="0" xfId="16" applyNumberFormat="1" applyFont="1" applyFill="1" applyBorder="1" applyAlignment="1" applyProtection="1">
      <alignment horizontal="center"/>
    </xf>
    <xf numFmtId="6" fontId="13" fillId="10" borderId="14" xfId="16" applyNumberFormat="1" applyFont="1" applyFill="1" applyBorder="1" applyAlignment="1">
      <alignment horizontal="center"/>
    </xf>
    <xf numFmtId="6" fontId="13" fillId="10" borderId="0" xfId="16" applyNumberFormat="1" applyFont="1" applyFill="1" applyBorder="1" applyAlignment="1">
      <alignment horizontal="center"/>
    </xf>
    <xf numFmtId="6" fontId="13" fillId="10" borderId="27" xfId="16" applyNumberFormat="1" applyFont="1" applyFill="1" applyBorder="1" applyAlignment="1">
      <alignment horizontal="center"/>
    </xf>
    <xf numFmtId="8" fontId="22" fillId="10" borderId="11" xfId="16" applyNumberFormat="1" applyFont="1" applyFill="1" applyBorder="1" applyAlignment="1">
      <alignment horizontal="center"/>
    </xf>
    <xf numFmtId="5" fontId="12" fillId="10" borderId="0" xfId="16" applyNumberFormat="1" applyFont="1" applyFill="1" applyAlignment="1">
      <alignment horizontal="left"/>
    </xf>
    <xf numFmtId="5" fontId="13" fillId="10" borderId="0" xfId="16" applyNumberFormat="1" applyFont="1" applyFill="1" applyAlignment="1" applyProtection="1">
      <alignment horizontal="center"/>
    </xf>
    <xf numFmtId="5" fontId="14" fillId="10" borderId="0" xfId="16" applyNumberFormat="1" applyFont="1" applyFill="1" applyAlignment="1" applyProtection="1">
      <alignment horizontal="center"/>
    </xf>
    <xf numFmtId="6" fontId="13" fillId="10" borderId="0" xfId="16" applyNumberFormat="1" applyFont="1" applyFill="1" applyAlignment="1">
      <alignment horizontal="center"/>
    </xf>
    <xf numFmtId="5" fontId="10" fillId="10" borderId="14" xfId="16" applyNumberFormat="1" applyFont="1" applyFill="1" applyBorder="1" applyAlignment="1">
      <alignment horizontal="left"/>
    </xf>
    <xf numFmtId="170" fontId="10" fillId="10" borderId="0" xfId="16" applyNumberFormat="1" applyFont="1" applyFill="1" applyBorder="1" applyAlignment="1" applyProtection="1">
      <alignment horizontal="center"/>
    </xf>
    <xf numFmtId="180" fontId="12" fillId="10" borderId="27" xfId="16" applyNumberFormat="1" applyFont="1" applyFill="1" applyBorder="1" applyAlignment="1" applyProtection="1">
      <alignment horizontal="center"/>
    </xf>
    <xf numFmtId="214" fontId="12" fillId="10" borderId="14" xfId="16" applyNumberFormat="1" applyFont="1" applyFill="1" applyBorder="1" applyAlignment="1">
      <alignment horizontal="center"/>
    </xf>
    <xf numFmtId="214" fontId="12" fillId="10" borderId="0" xfId="16" applyNumberFormat="1" applyFont="1" applyFill="1" applyBorder="1" applyAlignment="1">
      <alignment horizontal="center"/>
    </xf>
    <xf numFmtId="214" fontId="12" fillId="10" borderId="27" xfId="16" applyNumberFormat="1" applyFont="1" applyFill="1" applyBorder="1" applyAlignment="1">
      <alignment horizontal="center"/>
    </xf>
    <xf numFmtId="8" fontId="12" fillId="10" borderId="11" xfId="16" applyNumberFormat="1" applyFont="1" applyFill="1" applyBorder="1"/>
    <xf numFmtId="180" fontId="12" fillId="10" borderId="0" xfId="16" applyNumberFormat="1" applyFont="1" applyFill="1" applyAlignment="1" applyProtection="1">
      <alignment horizontal="center"/>
    </xf>
    <xf numFmtId="180" fontId="22" fillId="10" borderId="0" xfId="16" applyNumberFormat="1" applyFont="1" applyFill="1" applyAlignment="1" applyProtection="1">
      <alignment horizontal="center"/>
    </xf>
    <xf numFmtId="164" fontId="12" fillId="10" borderId="0" xfId="16" applyNumberFormat="1" applyFont="1" applyFill="1" applyBorder="1" applyAlignment="1" applyProtection="1">
      <alignment horizontal="center"/>
    </xf>
    <xf numFmtId="164" fontId="10" fillId="10" borderId="0" xfId="16" applyNumberFormat="1" applyFont="1" applyFill="1" applyBorder="1" applyAlignment="1" applyProtection="1">
      <alignment horizontal="center"/>
    </xf>
    <xf numFmtId="164" fontId="12" fillId="10" borderId="27" xfId="16" applyNumberFormat="1" applyFont="1" applyFill="1" applyBorder="1" applyAlignment="1" applyProtection="1">
      <alignment horizontal="center"/>
    </xf>
    <xf numFmtId="6" fontId="12" fillId="10" borderId="14" xfId="16" applyNumberFormat="1" applyFont="1" applyFill="1" applyBorder="1" applyAlignment="1">
      <alignment horizontal="center"/>
    </xf>
    <xf numFmtId="6" fontId="12" fillId="10" borderId="0" xfId="16" applyNumberFormat="1" applyFont="1" applyFill="1" applyBorder="1" applyAlignment="1">
      <alignment horizontal="center"/>
    </xf>
    <xf numFmtId="6" fontId="12" fillId="10" borderId="27" xfId="16" applyNumberFormat="1" applyFont="1" applyFill="1" applyBorder="1" applyAlignment="1">
      <alignment horizontal="center"/>
    </xf>
    <xf numFmtId="37" fontId="12" fillId="10" borderId="0" xfId="16" applyNumberFormat="1" applyFont="1" applyFill="1" applyAlignment="1" applyProtection="1">
      <alignment horizontal="center"/>
    </xf>
    <xf numFmtId="37" fontId="22" fillId="10" borderId="0" xfId="16" applyFont="1" applyFill="1" applyAlignment="1" applyProtection="1">
      <alignment horizontal="center"/>
    </xf>
    <xf numFmtId="164" fontId="12" fillId="10" borderId="0" xfId="16" applyNumberFormat="1" applyFont="1" applyFill="1" applyBorder="1" applyAlignment="1">
      <alignment horizontal="center"/>
    </xf>
    <xf numFmtId="164" fontId="10" fillId="10" borderId="0" xfId="16" applyNumberFormat="1" applyFont="1" applyFill="1" applyBorder="1" applyAlignment="1">
      <alignment horizontal="center"/>
    </xf>
    <xf numFmtId="164" fontId="12" fillId="10" borderId="27" xfId="16" applyNumberFormat="1" applyFont="1" applyFill="1" applyBorder="1" applyAlignment="1">
      <alignment horizontal="center"/>
    </xf>
    <xf numFmtId="37" fontId="22" fillId="10" borderId="0" xfId="16" applyFont="1" applyFill="1" applyAlignment="1">
      <alignment horizontal="center"/>
    </xf>
    <xf numFmtId="8" fontId="13" fillId="10" borderId="11" xfId="16" applyNumberFormat="1" applyFont="1" applyFill="1" applyBorder="1" applyAlignment="1">
      <alignment horizontal="center"/>
    </xf>
    <xf numFmtId="8" fontId="12" fillId="10" borderId="32" xfId="16" applyNumberFormat="1" applyFont="1" applyFill="1" applyBorder="1" applyAlignment="1">
      <alignment horizontal="center"/>
    </xf>
    <xf numFmtId="177" fontId="12" fillId="10" borderId="0" xfId="16" applyNumberFormat="1" applyFont="1" applyFill="1" applyAlignment="1" applyProtection="1">
      <alignment horizontal="center"/>
    </xf>
    <xf numFmtId="8" fontId="13" fillId="10" borderId="30" xfId="16" applyNumberFormat="1" applyFont="1" applyFill="1" applyBorder="1" applyAlignment="1">
      <alignment horizontal="center"/>
    </xf>
    <xf numFmtId="183" fontId="13" fillId="10" borderId="0" xfId="16" applyNumberFormat="1" applyFont="1" applyFill="1" applyBorder="1" applyAlignment="1" applyProtection="1">
      <alignment horizontal="center"/>
    </xf>
    <xf numFmtId="8" fontId="12" fillId="10" borderId="11" xfId="16" applyNumberFormat="1" applyFont="1" applyFill="1" applyBorder="1" applyAlignment="1">
      <alignment horizontal="center"/>
    </xf>
    <xf numFmtId="164" fontId="22" fillId="10" borderId="27" xfId="16" applyNumberFormat="1" applyFont="1" applyFill="1" applyBorder="1" applyAlignment="1" applyProtection="1">
      <alignment horizontal="center"/>
    </xf>
    <xf numFmtId="183" fontId="12" fillId="10" borderId="0" xfId="16" applyNumberFormat="1" applyFont="1" applyFill="1" applyBorder="1" applyAlignment="1" applyProtection="1">
      <alignment horizontal="center"/>
    </xf>
    <xf numFmtId="164" fontId="22" fillId="10" borderId="0" xfId="16" applyNumberFormat="1" applyFont="1" applyFill="1" applyBorder="1" applyAlignment="1" applyProtection="1">
      <alignment horizontal="center"/>
    </xf>
    <xf numFmtId="39" fontId="12" fillId="10" borderId="0" xfId="16" applyNumberFormat="1" applyFont="1" applyFill="1" applyAlignment="1" applyProtection="1">
      <alignment horizontal="center"/>
    </xf>
    <xf numFmtId="39" fontId="22" fillId="10" borderId="0" xfId="16" applyNumberFormat="1" applyFont="1" applyFill="1" applyAlignment="1" applyProtection="1">
      <alignment horizontal="center"/>
    </xf>
    <xf numFmtId="183" fontId="12" fillId="10" borderId="0" xfId="16" applyNumberFormat="1" applyFont="1" applyFill="1" applyAlignment="1" applyProtection="1">
      <alignment horizontal="center"/>
    </xf>
    <xf numFmtId="37" fontId="12" fillId="10" borderId="0" xfId="16" applyNumberFormat="1" applyFont="1" applyFill="1" applyBorder="1" applyAlignment="1" applyProtection="1">
      <alignment horizontal="center"/>
    </xf>
    <xf numFmtId="37" fontId="10" fillId="10" borderId="0" xfId="16" applyFont="1" applyFill="1" applyBorder="1" applyAlignment="1" applyProtection="1">
      <alignment horizontal="center"/>
    </xf>
    <xf numFmtId="37" fontId="12" fillId="10" borderId="27" xfId="16" applyNumberFormat="1" applyFont="1" applyFill="1" applyBorder="1" applyAlignment="1" applyProtection="1">
      <alignment horizontal="center"/>
    </xf>
    <xf numFmtId="5" fontId="13" fillId="10" borderId="12" xfId="16" applyNumberFormat="1" applyFont="1" applyFill="1" applyBorder="1" applyAlignment="1">
      <alignment horizontal="center"/>
    </xf>
    <xf numFmtId="7" fontId="13" fillId="10" borderId="0" xfId="16" applyNumberFormat="1" applyFont="1" applyFill="1" applyBorder="1" applyAlignment="1" applyProtection="1">
      <alignment horizontal="center"/>
    </xf>
    <xf numFmtId="8" fontId="13" fillId="10" borderId="14" xfId="16" applyNumberFormat="1" applyFont="1" applyFill="1" applyBorder="1" applyAlignment="1">
      <alignment horizontal="center"/>
    </xf>
    <xf numFmtId="8" fontId="13" fillId="10" borderId="0" xfId="16" applyNumberFormat="1" applyFont="1" applyFill="1" applyBorder="1" applyAlignment="1">
      <alignment horizontal="center"/>
    </xf>
    <xf numFmtId="8" fontId="13" fillId="10" borderId="27" xfId="16" applyNumberFormat="1" applyFont="1" applyFill="1" applyBorder="1" applyAlignment="1">
      <alignment horizontal="center"/>
    </xf>
    <xf numFmtId="43" fontId="13" fillId="10" borderId="22" xfId="8" applyFont="1" applyFill="1" applyBorder="1" applyAlignment="1">
      <alignment horizontal="center"/>
    </xf>
    <xf numFmtId="7" fontId="13" fillId="10" borderId="0" xfId="16" applyNumberFormat="1" applyFont="1" applyFill="1" applyAlignment="1" applyProtection="1">
      <alignment horizontal="center"/>
    </xf>
    <xf numFmtId="7" fontId="14" fillId="10" borderId="0" xfId="16" applyNumberFormat="1" applyFont="1" applyFill="1" applyAlignment="1" applyProtection="1">
      <alignment horizontal="center"/>
    </xf>
    <xf numFmtId="38" fontId="12" fillId="10" borderId="14" xfId="16" applyNumberFormat="1" applyFont="1" applyFill="1" applyBorder="1" applyAlignment="1">
      <alignment horizontal="center"/>
    </xf>
    <xf numFmtId="37" fontId="12" fillId="10" borderId="0" xfId="16" applyNumberFormat="1" applyFont="1" applyFill="1" applyBorder="1" applyAlignment="1">
      <alignment horizontal="center"/>
    </xf>
    <xf numFmtId="37" fontId="12" fillId="10" borderId="27" xfId="16" applyNumberFormat="1" applyFont="1" applyFill="1" applyBorder="1" applyAlignment="1">
      <alignment horizontal="center"/>
    </xf>
    <xf numFmtId="5" fontId="13" fillId="10" borderId="14" xfId="16" applyNumberFormat="1" applyFont="1" applyFill="1" applyBorder="1" applyAlignment="1">
      <alignment horizontal="left"/>
    </xf>
    <xf numFmtId="183" fontId="10" fillId="10" borderId="0" xfId="16" applyNumberFormat="1" applyFont="1" applyFill="1" applyBorder="1" applyAlignment="1" applyProtection="1">
      <alignment horizontal="center"/>
    </xf>
    <xf numFmtId="164" fontId="12" fillId="10" borderId="14" xfId="16" applyNumberFormat="1" applyFont="1" applyFill="1" applyBorder="1" applyAlignment="1" applyProtection="1">
      <alignment horizontal="center"/>
    </xf>
    <xf numFmtId="37" fontId="12" fillId="10" borderId="11" xfId="16" applyFont="1" applyFill="1" applyBorder="1"/>
    <xf numFmtId="5" fontId="13" fillId="10" borderId="0" xfId="16" applyNumberFormat="1" applyFont="1" applyFill="1" applyAlignment="1">
      <alignment horizontal="left"/>
    </xf>
    <xf numFmtId="164" fontId="12" fillId="10" borderId="0" xfId="16" applyNumberFormat="1" applyFont="1" applyFill="1" applyAlignment="1" applyProtection="1">
      <alignment horizontal="center"/>
    </xf>
    <xf numFmtId="164" fontId="22" fillId="10" borderId="0" xfId="16" applyNumberFormat="1" applyFont="1" applyFill="1" applyAlignment="1" applyProtection="1">
      <alignment horizontal="center"/>
    </xf>
    <xf numFmtId="180" fontId="12" fillId="10" borderId="0" xfId="16" applyNumberFormat="1" applyFont="1" applyFill="1" applyBorder="1" applyAlignment="1" applyProtection="1">
      <alignment horizontal="center"/>
    </xf>
    <xf numFmtId="177" fontId="12" fillId="10" borderId="27" xfId="34" applyNumberFormat="1" applyFont="1" applyFill="1" applyBorder="1" applyAlignment="1" applyProtection="1">
      <alignment horizontal="center"/>
    </xf>
    <xf numFmtId="180" fontId="10" fillId="10" borderId="0" xfId="16" applyNumberFormat="1" applyFont="1" applyFill="1" applyBorder="1" applyAlignment="1" applyProtection="1">
      <alignment horizontal="center"/>
    </xf>
    <xf numFmtId="7" fontId="12" fillId="10" borderId="0" xfId="16" applyNumberFormat="1" applyFont="1" applyFill="1" applyAlignment="1">
      <alignment horizontal="left"/>
    </xf>
    <xf numFmtId="219" fontId="12" fillId="10" borderId="0" xfId="16" applyNumberFormat="1" applyFont="1" applyFill="1" applyAlignment="1" applyProtection="1">
      <alignment horizontal="center"/>
    </xf>
    <xf numFmtId="214" fontId="12" fillId="10" borderId="0" xfId="16" applyNumberFormat="1" applyFont="1" applyFill="1" applyAlignment="1">
      <alignment horizontal="center"/>
    </xf>
    <xf numFmtId="180" fontId="13" fillId="10" borderId="0" xfId="16" applyNumberFormat="1" applyFont="1" applyFill="1" applyBorder="1" applyAlignment="1" applyProtection="1">
      <alignment horizontal="center"/>
    </xf>
    <xf numFmtId="180" fontId="12" fillId="10" borderId="11" xfId="16" applyNumberFormat="1" applyFont="1" applyFill="1" applyBorder="1" applyAlignment="1" applyProtection="1">
      <alignment horizontal="center"/>
    </xf>
    <xf numFmtId="37" fontId="12" fillId="10" borderId="23" xfId="16" applyFont="1" applyFill="1" applyBorder="1"/>
    <xf numFmtId="37" fontId="12" fillId="10" borderId="4" xfId="16" applyFont="1" applyFill="1" applyBorder="1" applyAlignment="1">
      <alignment horizontal="center"/>
    </xf>
    <xf numFmtId="37" fontId="12" fillId="10" borderId="5" xfId="16" applyFont="1" applyFill="1" applyBorder="1" applyAlignment="1">
      <alignment horizontal="center"/>
    </xf>
    <xf numFmtId="37" fontId="12" fillId="10" borderId="4" xfId="16" applyFont="1" applyFill="1" applyBorder="1"/>
    <xf numFmtId="37" fontId="12" fillId="10" borderId="5" xfId="16" applyFont="1" applyFill="1" applyBorder="1"/>
    <xf numFmtId="37" fontId="12" fillId="10" borderId="22" xfId="16" applyFont="1" applyFill="1" applyBorder="1"/>
    <xf numFmtId="37" fontId="12" fillId="10" borderId="0" xfId="16" applyFont="1" applyFill="1" applyBorder="1"/>
    <xf numFmtId="37" fontId="15" fillId="10" borderId="0" xfId="16" applyFont="1" applyFill="1"/>
    <xf numFmtId="37" fontId="7" fillId="10" borderId="0" xfId="16" applyFont="1" applyFill="1"/>
    <xf numFmtId="5" fontId="10" fillId="10" borderId="0" xfId="16" applyNumberFormat="1" applyFont="1" applyFill="1" applyBorder="1" applyAlignment="1">
      <alignment horizontal="left"/>
    </xf>
    <xf numFmtId="212" fontId="10" fillId="10" borderId="0" xfId="16" applyNumberFormat="1" applyFont="1" applyFill="1"/>
    <xf numFmtId="212" fontId="16" fillId="10" borderId="0" xfId="16" applyNumberFormat="1" applyFont="1" applyFill="1"/>
    <xf numFmtId="5" fontId="10" fillId="10" borderId="6" xfId="16" applyNumberFormat="1" applyFont="1" applyFill="1" applyBorder="1" applyAlignment="1">
      <alignment horizontal="left"/>
    </xf>
    <xf numFmtId="212" fontId="10" fillId="10" borderId="6" xfId="16" applyNumberFormat="1" applyFont="1" applyFill="1" applyBorder="1"/>
    <xf numFmtId="212" fontId="16" fillId="10" borderId="6" xfId="16" applyNumberFormat="1" applyFont="1" applyFill="1" applyBorder="1"/>
    <xf numFmtId="5" fontId="12" fillId="10" borderId="0" xfId="16" applyNumberFormat="1" applyFont="1" applyFill="1" applyBorder="1" applyAlignment="1">
      <alignment horizontal="left"/>
    </xf>
    <xf numFmtId="37" fontId="13" fillId="11" borderId="15" xfId="16" applyFont="1" applyFill="1" applyBorder="1"/>
    <xf numFmtId="37" fontId="38" fillId="11" borderId="2" xfId="16" applyFont="1" applyFill="1" applyBorder="1" applyAlignment="1">
      <alignment horizontal="center"/>
    </xf>
    <xf numFmtId="37" fontId="38" fillId="11" borderId="3" xfId="16" applyFont="1" applyFill="1" applyBorder="1" applyAlignment="1">
      <alignment horizontal="center"/>
    </xf>
    <xf numFmtId="37" fontId="38" fillId="11" borderId="14" xfId="16" applyFont="1" applyFill="1" applyBorder="1" applyAlignment="1">
      <alignment horizontal="center"/>
    </xf>
    <xf numFmtId="37" fontId="38" fillId="11" borderId="0" xfId="16" applyFont="1" applyFill="1" applyBorder="1" applyAlignment="1">
      <alignment horizontal="center"/>
    </xf>
    <xf numFmtId="37" fontId="38" fillId="11" borderId="27" xfId="16" applyFont="1" applyFill="1" applyBorder="1" applyAlignment="1">
      <alignment horizontal="center"/>
    </xf>
    <xf numFmtId="170" fontId="13" fillId="13" borderId="0" xfId="16" applyNumberFormat="1" applyFont="1" applyFill="1" applyBorder="1" applyAlignment="1" applyProtection="1">
      <alignment horizontal="center"/>
    </xf>
    <xf numFmtId="170" fontId="10" fillId="13" borderId="0" xfId="16" applyNumberFormat="1" applyFont="1" applyFill="1" applyBorder="1" applyAlignment="1" applyProtection="1">
      <alignment horizontal="center"/>
    </xf>
    <xf numFmtId="164" fontId="12" fillId="13" borderId="0" xfId="16" applyNumberFormat="1" applyFont="1" applyFill="1" applyBorder="1" applyAlignment="1" applyProtection="1">
      <alignment horizontal="center"/>
    </xf>
    <xf numFmtId="164" fontId="12" fillId="13" borderId="0" xfId="16" applyNumberFormat="1" applyFont="1" applyFill="1" applyBorder="1" applyAlignment="1">
      <alignment horizontal="center"/>
    </xf>
    <xf numFmtId="183" fontId="13" fillId="13" borderId="0" xfId="16" applyNumberFormat="1" applyFont="1" applyFill="1" applyBorder="1" applyAlignment="1" applyProtection="1">
      <alignment horizontal="center"/>
    </xf>
    <xf numFmtId="183" fontId="12" fillId="13" borderId="0" xfId="16" applyNumberFormat="1" applyFont="1" applyFill="1" applyBorder="1" applyAlignment="1" applyProtection="1">
      <alignment horizontal="center"/>
    </xf>
    <xf numFmtId="164" fontId="22" fillId="13" borderId="0" xfId="16" applyNumberFormat="1" applyFont="1" applyFill="1" applyBorder="1" applyAlignment="1" applyProtection="1">
      <alignment horizontal="center"/>
    </xf>
    <xf numFmtId="37" fontId="12" fillId="13" borderId="0" xfId="16" applyNumberFormat="1" applyFont="1" applyFill="1" applyBorder="1" applyAlignment="1" applyProtection="1">
      <alignment horizontal="center"/>
    </xf>
    <xf numFmtId="7" fontId="13" fillId="13" borderId="0" xfId="16" applyNumberFormat="1" applyFont="1" applyFill="1" applyBorder="1" applyAlignment="1" applyProtection="1">
      <alignment horizontal="center"/>
    </xf>
    <xf numFmtId="180" fontId="12" fillId="13" borderId="0" xfId="16" applyNumberFormat="1" applyFont="1" applyFill="1" applyBorder="1" applyAlignment="1" applyProtection="1">
      <alignment horizontal="center"/>
    </xf>
    <xf numFmtId="180" fontId="13" fillId="13" borderId="0" xfId="16" applyNumberFormat="1" applyFont="1" applyFill="1" applyBorder="1" applyAlignment="1" applyProtection="1">
      <alignment horizontal="center"/>
    </xf>
    <xf numFmtId="37" fontId="38" fillId="11" borderId="33" xfId="16" applyFont="1" applyFill="1" applyBorder="1" applyAlignment="1">
      <alignment horizontal="centerContinuous"/>
    </xf>
    <xf numFmtId="37" fontId="19" fillId="11" borderId="24" xfId="16" applyFont="1" applyFill="1" applyBorder="1" applyAlignment="1">
      <alignment horizontal="centerContinuous"/>
    </xf>
    <xf numFmtId="37" fontId="19" fillId="11" borderId="34" xfId="16" applyFont="1" applyFill="1" applyBorder="1" applyAlignment="1">
      <alignment horizontal="centerContinuous"/>
    </xf>
    <xf numFmtId="37" fontId="81" fillId="11" borderId="12" xfId="16" applyFont="1" applyFill="1" applyBorder="1" applyAlignment="1">
      <alignment horizontal="centerContinuous"/>
    </xf>
    <xf numFmtId="0" fontId="7" fillId="12" borderId="20" xfId="0" applyFont="1" applyFill="1" applyBorder="1"/>
    <xf numFmtId="0" fontId="7" fillId="12" borderId="10" xfId="0" applyFont="1" applyFill="1" applyBorder="1"/>
    <xf numFmtId="182" fontId="2" fillId="12" borderId="10" xfId="0" applyNumberFormat="1" applyFont="1" applyFill="1" applyBorder="1" applyAlignment="1">
      <alignment horizontal="centerContinuous"/>
    </xf>
    <xf numFmtId="0" fontId="2" fillId="12" borderId="10" xfId="0" applyFont="1" applyFill="1" applyBorder="1" applyAlignment="1">
      <alignment horizontal="centerContinuous"/>
    </xf>
    <xf numFmtId="0" fontId="2" fillId="12" borderId="8" xfId="0" applyFont="1" applyFill="1" applyBorder="1" applyAlignment="1">
      <alignment horizontal="centerContinuous"/>
    </xf>
    <xf numFmtId="182" fontId="2" fillId="12" borderId="8" xfId="0" applyNumberFormat="1" applyFont="1" applyFill="1" applyBorder="1" applyAlignment="1">
      <alignment horizontal="centerContinuous"/>
    </xf>
    <xf numFmtId="189" fontId="2" fillId="12" borderId="8" xfId="0" applyNumberFormat="1" applyFont="1" applyFill="1" applyBorder="1" applyAlignment="1">
      <alignment horizontal="centerContinuous"/>
    </xf>
    <xf numFmtId="185" fontId="2" fillId="12" borderId="8" xfId="0" applyNumberFormat="1" applyFont="1" applyFill="1" applyBorder="1" applyAlignment="1">
      <alignment horizontal="centerContinuous"/>
    </xf>
    <xf numFmtId="182" fontId="2" fillId="12" borderId="20" xfId="0" applyNumberFormat="1" applyFont="1" applyFill="1" applyBorder="1" applyAlignment="1">
      <alignment horizontal="center"/>
    </xf>
    <xf numFmtId="182" fontId="2" fillId="12" borderId="10" xfId="0" applyNumberFormat="1" applyFont="1" applyFill="1" applyBorder="1" applyAlignment="1">
      <alignment horizontal="center"/>
    </xf>
    <xf numFmtId="7" fontId="7" fillId="10" borderId="0" xfId="12" applyNumberFormat="1" applyFont="1" applyFill="1" applyBorder="1"/>
    <xf numFmtId="0" fontId="2" fillId="10" borderId="0" xfId="0" applyFont="1" applyFill="1"/>
    <xf numFmtId="0" fontId="2" fillId="10" borderId="6" xfId="0" applyFont="1" applyFill="1" applyBorder="1"/>
    <xf numFmtId="37" fontId="27" fillId="10" borderId="0" xfId="25" applyFont="1" applyFill="1" applyAlignment="1" applyProtection="1">
      <alignment horizontal="left"/>
    </xf>
    <xf numFmtId="39" fontId="7" fillId="10" borderId="0" xfId="0" applyNumberFormat="1" applyFont="1" applyFill="1"/>
    <xf numFmtId="200" fontId="2" fillId="10" borderId="0" xfId="0" applyNumberFormat="1" applyFont="1" applyFill="1"/>
    <xf numFmtId="200" fontId="2" fillId="10" borderId="0" xfId="0" applyNumberFormat="1" applyFont="1" applyFill="1" applyBorder="1"/>
    <xf numFmtId="221" fontId="7" fillId="10" borderId="0" xfId="0" applyNumberFormat="1" applyFont="1" applyFill="1"/>
    <xf numFmtId="182" fontId="2" fillId="10" borderId="6" xfId="0" applyNumberFormat="1" applyFont="1" applyFill="1" applyBorder="1" applyAlignment="1">
      <alignment horizontal="centerContinuous"/>
    </xf>
    <xf numFmtId="0" fontId="2" fillId="10" borderId="6" xfId="0" applyFont="1" applyFill="1" applyBorder="1" applyAlignment="1">
      <alignment horizontal="centerContinuous"/>
    </xf>
    <xf numFmtId="0" fontId="68" fillId="10" borderId="6" xfId="0" applyFont="1" applyFill="1" applyBorder="1" applyAlignment="1">
      <alignment horizontal="centerContinuous"/>
    </xf>
    <xf numFmtId="185" fontId="2" fillId="10" borderId="6" xfId="0" applyNumberFormat="1" applyFont="1" applyFill="1" applyBorder="1" applyAlignment="1">
      <alignment horizontal="centerContinuous"/>
    </xf>
    <xf numFmtId="37" fontId="40" fillId="10" borderId="0" xfId="0" applyNumberFormat="1" applyFont="1" applyFill="1" applyAlignment="1"/>
    <xf numFmtId="37" fontId="2" fillId="10" borderId="0" xfId="0" applyNumberFormat="1" applyFont="1" applyFill="1" applyAlignment="1"/>
    <xf numFmtId="37" fontId="7" fillId="10" borderId="0" xfId="25" applyFont="1" applyFill="1" applyAlignment="1" applyProtection="1">
      <alignment horizontal="left"/>
    </xf>
    <xf numFmtId="5" fontId="7" fillId="10" borderId="0" xfId="0" applyNumberFormat="1" applyFont="1" applyFill="1" applyAlignment="1">
      <alignment horizontal="right"/>
    </xf>
    <xf numFmtId="175" fontId="27" fillId="10" borderId="0" xfId="0" applyNumberFormat="1" applyFont="1" applyFill="1" applyAlignment="1">
      <alignment horizontal="right"/>
    </xf>
    <xf numFmtId="195" fontId="27" fillId="10" borderId="0" xfId="0" applyNumberFormat="1" applyFont="1" applyFill="1" applyAlignment="1">
      <alignment horizontal="left"/>
    </xf>
    <xf numFmtId="195" fontId="27" fillId="10" borderId="0" xfId="0" applyNumberFormat="1" applyFont="1" applyFill="1" applyBorder="1" applyAlignment="1">
      <alignment horizontal="left"/>
    </xf>
    <xf numFmtId="175" fontId="74" fillId="10" borderId="0" xfId="0" applyNumberFormat="1" applyFont="1" applyFill="1" applyAlignment="1">
      <alignment horizontal="right"/>
    </xf>
    <xf numFmtId="195" fontId="74" fillId="10" borderId="0" xfId="0" applyNumberFormat="1" applyFont="1" applyFill="1" applyBorder="1" applyAlignment="1">
      <alignment horizontal="left"/>
    </xf>
    <xf numFmtId="37" fontId="7" fillId="10" borderId="0" xfId="0" applyNumberFormat="1" applyFont="1" applyFill="1" applyAlignment="1">
      <alignment horizontal="right"/>
    </xf>
    <xf numFmtId="37" fontId="68" fillId="10" borderId="0" xfId="0" applyNumberFormat="1" applyFont="1" applyFill="1" applyAlignment="1">
      <alignment horizontal="right"/>
    </xf>
    <xf numFmtId="37" fontId="7" fillId="10" borderId="6" xfId="0" applyNumberFormat="1" applyFont="1" applyFill="1" applyBorder="1" applyAlignment="1">
      <alignment horizontal="right"/>
    </xf>
    <xf numFmtId="37" fontId="68" fillId="10" borderId="6" xfId="0" applyNumberFormat="1" applyFont="1" applyFill="1" applyBorder="1" applyAlignment="1">
      <alignment horizontal="right"/>
    </xf>
    <xf numFmtId="37" fontId="75" fillId="10" borderId="0" xfId="0" applyNumberFormat="1" applyFont="1" applyFill="1" applyAlignment="1">
      <alignment horizontal="right"/>
    </xf>
    <xf numFmtId="177" fontId="75" fillId="10" borderId="0" xfId="34" applyNumberFormat="1" applyFont="1" applyFill="1" applyAlignment="1">
      <alignment horizontal="right"/>
    </xf>
    <xf numFmtId="5" fontId="47" fillId="10" borderId="0" xfId="0" applyNumberFormat="1" applyFont="1" applyFill="1" applyAlignment="1">
      <alignment horizontal="right"/>
    </xf>
    <xf numFmtId="175" fontId="27" fillId="10" borderId="0" xfId="0" applyNumberFormat="1" applyFont="1" applyFill="1" applyBorder="1" applyAlignment="1">
      <alignment horizontal="right"/>
    </xf>
    <xf numFmtId="9" fontId="7" fillId="10" borderId="0" xfId="34" applyFont="1" applyFill="1"/>
    <xf numFmtId="37" fontId="47" fillId="10" borderId="0" xfId="0" applyNumberFormat="1" applyFont="1" applyFill="1" applyAlignment="1">
      <alignment horizontal="right"/>
    </xf>
    <xf numFmtId="37" fontId="47" fillId="10" borderId="6" xfId="0" applyNumberFormat="1" applyFont="1" applyFill="1" applyBorder="1" applyAlignment="1">
      <alignment horizontal="right"/>
    </xf>
    <xf numFmtId="195" fontId="76" fillId="10" borderId="0" xfId="0" applyNumberFormat="1" applyFont="1" applyFill="1" applyBorder="1" applyAlignment="1">
      <alignment horizontal="left"/>
    </xf>
    <xf numFmtId="37" fontId="7" fillId="10" borderId="0" xfId="0" applyNumberFormat="1" applyFont="1" applyFill="1" applyBorder="1" applyAlignment="1">
      <alignment horizontal="right"/>
    </xf>
    <xf numFmtId="177" fontId="2" fillId="10" borderId="0" xfId="34" applyNumberFormat="1" applyFont="1" applyFill="1" applyAlignment="1"/>
    <xf numFmtId="196" fontId="27" fillId="10" borderId="0" xfId="0" applyNumberFormat="1" applyFont="1" applyFill="1" applyBorder="1" applyAlignment="1">
      <alignment horizontal="left"/>
    </xf>
    <xf numFmtId="196" fontId="27" fillId="10" borderId="0" xfId="0" applyNumberFormat="1" applyFont="1" applyFill="1" applyAlignment="1">
      <alignment horizontal="left"/>
    </xf>
    <xf numFmtId="165" fontId="27" fillId="10" borderId="0" xfId="0" applyNumberFormat="1" applyFont="1" applyFill="1"/>
    <xf numFmtId="183" fontId="7" fillId="10" borderId="0" xfId="0" applyNumberFormat="1" applyFont="1" applyFill="1"/>
    <xf numFmtId="213" fontId="27" fillId="10" borderId="0" xfId="0" applyNumberFormat="1" applyFont="1" applyFill="1"/>
    <xf numFmtId="5" fontId="71" fillId="10" borderId="0" xfId="0" applyNumberFormat="1" applyFont="1" applyFill="1" applyAlignment="1">
      <alignment horizontal="right"/>
    </xf>
    <xf numFmtId="183" fontId="7" fillId="10" borderId="0" xfId="0" applyNumberFormat="1" applyFont="1" applyFill="1" applyBorder="1" applyAlignment="1">
      <alignment horizontal="right"/>
    </xf>
    <xf numFmtId="5" fontId="83" fillId="10" borderId="0" xfId="0" applyNumberFormat="1" applyFont="1" applyFill="1" applyAlignment="1">
      <alignment horizontal="right"/>
    </xf>
    <xf numFmtId="37" fontId="71" fillId="10" borderId="0" xfId="0" applyNumberFormat="1" applyFont="1" applyFill="1" applyAlignment="1">
      <alignment horizontal="right"/>
    </xf>
    <xf numFmtId="37" fontId="83" fillId="10" borderId="0" xfId="0" applyNumberFormat="1" applyFont="1" applyFill="1" applyAlignment="1">
      <alignment horizontal="right"/>
    </xf>
    <xf numFmtId="37" fontId="71" fillId="10" borderId="6" xfId="0" applyNumberFormat="1" applyFont="1" applyFill="1" applyBorder="1" applyAlignment="1">
      <alignment horizontal="right"/>
    </xf>
    <xf numFmtId="37" fontId="83" fillId="10" borderId="6" xfId="0" applyNumberFormat="1" applyFont="1" applyFill="1" applyBorder="1" applyAlignment="1">
      <alignment horizontal="right"/>
    </xf>
    <xf numFmtId="0" fontId="27" fillId="10" borderId="0" xfId="0" applyFont="1" applyFill="1" applyBorder="1"/>
    <xf numFmtId="0" fontId="27" fillId="10" borderId="0" xfId="0" applyFont="1" applyFill="1"/>
    <xf numFmtId="220" fontId="27" fillId="10" borderId="0" xfId="0" applyNumberFormat="1" applyFont="1" applyFill="1" applyBorder="1" applyAlignment="1">
      <alignment horizontal="right"/>
    </xf>
    <xf numFmtId="2" fontId="7" fillId="10" borderId="0" xfId="0" applyNumberFormat="1" applyFont="1" applyFill="1"/>
    <xf numFmtId="9" fontId="7" fillId="10" borderId="0" xfId="0" applyNumberFormat="1" applyFont="1" applyFill="1"/>
    <xf numFmtId="37" fontId="2" fillId="10" borderId="0" xfId="0" applyNumberFormat="1" applyFont="1" applyFill="1" applyAlignment="1">
      <alignment horizontal="centerContinuous"/>
    </xf>
    <xf numFmtId="37" fontId="7" fillId="10" borderId="6" xfId="0" applyNumberFormat="1" applyFont="1" applyFill="1" applyBorder="1"/>
    <xf numFmtId="165" fontId="27" fillId="10" borderId="0" xfId="0" applyNumberFormat="1" applyFont="1" applyFill="1" applyBorder="1"/>
    <xf numFmtId="164" fontId="27" fillId="10" borderId="0" xfId="0" applyNumberFormat="1" applyFont="1" applyFill="1"/>
    <xf numFmtId="177" fontId="27" fillId="10" borderId="0" xfId="34" applyNumberFormat="1" applyFont="1" applyFill="1" applyBorder="1" applyAlignment="1">
      <alignment horizontal="right"/>
    </xf>
    <xf numFmtId="168" fontId="27" fillId="10" borderId="0" xfId="0" applyNumberFormat="1" applyFont="1" applyFill="1" applyBorder="1" applyAlignment="1">
      <alignment horizontal="left"/>
    </xf>
    <xf numFmtId="168" fontId="27" fillId="10" borderId="0" xfId="0" applyNumberFormat="1" applyFont="1" applyFill="1" applyBorder="1" applyAlignment="1">
      <alignment horizontal="right"/>
    </xf>
    <xf numFmtId="5" fontId="26" fillId="10" borderId="0" xfId="0" applyNumberFormat="1" applyFont="1" applyFill="1"/>
    <xf numFmtId="164" fontId="27" fillId="10" borderId="0" xfId="0" applyNumberFormat="1" applyFont="1" applyFill="1" applyBorder="1"/>
    <xf numFmtId="168" fontId="27" fillId="10" borderId="0" xfId="0" applyNumberFormat="1" applyFont="1" applyFill="1" applyAlignment="1">
      <alignment horizontal="right"/>
    </xf>
    <xf numFmtId="183" fontId="7" fillId="10" borderId="0" xfId="0" applyNumberFormat="1" applyFont="1" applyFill="1" applyAlignment="1">
      <alignment horizontal="right"/>
    </xf>
    <xf numFmtId="39" fontId="7" fillId="10" borderId="6" xfId="0" applyNumberFormat="1" applyFont="1" applyFill="1" applyBorder="1"/>
    <xf numFmtId="7" fontId="68" fillId="10" borderId="0" xfId="0" applyNumberFormat="1" applyFont="1" applyFill="1"/>
    <xf numFmtId="39" fontId="7" fillId="10" borderId="0" xfId="0" applyNumberFormat="1" applyFont="1" applyFill="1" applyBorder="1"/>
    <xf numFmtId="7" fontId="50" fillId="10" borderId="0" xfId="0" applyNumberFormat="1" applyFont="1" applyFill="1"/>
    <xf numFmtId="177" fontId="50" fillId="10" borderId="0" xfId="34" applyNumberFormat="1" applyFont="1" applyFill="1"/>
    <xf numFmtId="7" fontId="68" fillId="10" borderId="0" xfId="0" applyNumberFormat="1" applyFont="1" applyFill="1" applyBorder="1"/>
    <xf numFmtId="169" fontId="27" fillId="10" borderId="0" xfId="0" applyNumberFormat="1" applyFont="1" applyFill="1" applyAlignment="1">
      <alignment horizontal="right"/>
    </xf>
    <xf numFmtId="39" fontId="68" fillId="10" borderId="0" xfId="0" applyNumberFormat="1" applyFont="1" applyFill="1" applyBorder="1"/>
    <xf numFmtId="7" fontId="7" fillId="10" borderId="0" xfId="0" applyNumberFormat="1" applyFont="1" applyFill="1" applyBorder="1"/>
    <xf numFmtId="164" fontId="7" fillId="10" borderId="0" xfId="0" applyNumberFormat="1" applyFont="1" applyFill="1"/>
    <xf numFmtId="37" fontId="2" fillId="10" borderId="0" xfId="0" applyNumberFormat="1" applyFont="1" applyFill="1"/>
    <xf numFmtId="37" fontId="27" fillId="10" borderId="0" xfId="0" applyNumberFormat="1" applyFont="1" applyFill="1" applyBorder="1" applyAlignment="1">
      <alignment horizontal="right"/>
    </xf>
    <xf numFmtId="37" fontId="27" fillId="10" borderId="0" xfId="0" applyNumberFormat="1" applyFont="1" applyFill="1" applyBorder="1" applyAlignment="1">
      <alignment horizontal="left"/>
    </xf>
    <xf numFmtId="37" fontId="27" fillId="10" borderId="0" xfId="0" applyNumberFormat="1" applyFont="1" applyFill="1" applyAlignment="1">
      <alignment horizontal="left"/>
    </xf>
    <xf numFmtId="164" fontId="27" fillId="10" borderId="0" xfId="0" applyNumberFormat="1" applyFont="1" applyFill="1" applyBorder="1" applyAlignment="1">
      <alignment horizontal="left"/>
    </xf>
    <xf numFmtId="0" fontId="47" fillId="10" borderId="0" xfId="0" applyFont="1" applyFill="1" applyBorder="1"/>
    <xf numFmtId="0" fontId="47" fillId="10" borderId="0" xfId="0" applyFont="1" applyFill="1"/>
    <xf numFmtId="37" fontId="47" fillId="10" borderId="0" xfId="0" applyNumberFormat="1" applyFont="1" applyFill="1"/>
    <xf numFmtId="168" fontId="77" fillId="10" borderId="0" xfId="0" applyNumberFormat="1" applyFont="1" applyFill="1" applyBorder="1" applyAlignment="1">
      <alignment horizontal="center"/>
    </xf>
    <xf numFmtId="164" fontId="27" fillId="10" borderId="0" xfId="0" applyNumberFormat="1" applyFont="1" applyFill="1" applyBorder="1" applyAlignment="1">
      <alignment horizontal="right"/>
    </xf>
    <xf numFmtId="168" fontId="47" fillId="10" borderId="0" xfId="0" applyNumberFormat="1" applyFont="1" applyFill="1" applyBorder="1" applyAlignment="1">
      <alignment horizontal="right"/>
    </xf>
    <xf numFmtId="168" fontId="47" fillId="10" borderId="0" xfId="0" applyNumberFormat="1" applyFont="1" applyFill="1"/>
    <xf numFmtId="168" fontId="47" fillId="10" borderId="0" xfId="0" applyNumberFormat="1" applyFont="1" applyFill="1" applyAlignment="1">
      <alignment horizontal="right"/>
    </xf>
    <xf numFmtId="0" fontId="2" fillId="10" borderId="15" xfId="0" applyFont="1" applyFill="1" applyBorder="1" applyAlignment="1">
      <alignment horizontal="right"/>
    </xf>
    <xf numFmtId="0" fontId="2" fillId="10" borderId="3" xfId="0" applyFont="1" applyFill="1" applyBorder="1" applyAlignment="1">
      <alignment horizontal="right"/>
    </xf>
    <xf numFmtId="171" fontId="7" fillId="10" borderId="0" xfId="0" applyNumberFormat="1" applyFont="1" applyFill="1" applyBorder="1"/>
    <xf numFmtId="37" fontId="47" fillId="10" borderId="0" xfId="0" applyNumberFormat="1" applyFont="1" applyFill="1" applyBorder="1" applyAlignment="1">
      <alignment horizontal="right"/>
    </xf>
    <xf numFmtId="187" fontId="7" fillId="10" borderId="19" xfId="8" applyNumberFormat="1" applyFont="1" applyFill="1" applyBorder="1"/>
    <xf numFmtId="177" fontId="2" fillId="10" borderId="0" xfId="34" applyNumberFormat="1" applyFont="1" applyFill="1" applyAlignment="1">
      <alignment horizontal="center"/>
    </xf>
    <xf numFmtId="7" fontId="10" fillId="0" borderId="0" xfId="0" applyNumberFormat="1" applyFont="1" applyFill="1" applyBorder="1"/>
    <xf numFmtId="43" fontId="7" fillId="10" borderId="0" xfId="8" applyFont="1" applyFill="1"/>
    <xf numFmtId="7" fontId="7" fillId="10" borderId="6" xfId="0" applyNumberFormat="1" applyFont="1" applyFill="1" applyBorder="1"/>
    <xf numFmtId="0" fontId="27" fillId="10" borderId="0" xfId="15" applyFont="1" applyFill="1" applyBorder="1"/>
    <xf numFmtId="173" fontId="2" fillId="10" borderId="0" xfId="8" applyNumberFormat="1" applyFont="1" applyFill="1"/>
    <xf numFmtId="7" fontId="7" fillId="10" borderId="0" xfId="8" applyNumberFormat="1" applyFont="1" applyFill="1"/>
    <xf numFmtId="0" fontId="7" fillId="10" borderId="9" xfId="0" applyFont="1" applyFill="1" applyBorder="1"/>
    <xf numFmtId="182" fontId="2" fillId="10" borderId="6" xfId="0" applyNumberFormat="1" applyFont="1" applyFill="1" applyBorder="1" applyAlignment="1">
      <alignment horizontal="center"/>
    </xf>
    <xf numFmtId="189" fontId="2" fillId="10" borderId="6" xfId="0" applyNumberFormat="1" applyFont="1" applyFill="1" applyBorder="1" applyAlignment="1">
      <alignment horizontal="center"/>
    </xf>
    <xf numFmtId="5" fontId="47" fillId="10" borderId="0" xfId="12" applyNumberFormat="1" applyFont="1" applyFill="1"/>
    <xf numFmtId="5" fontId="7" fillId="10" borderId="0" xfId="12" applyNumberFormat="1" applyFont="1" applyFill="1"/>
    <xf numFmtId="165" fontId="7" fillId="10" borderId="0" xfId="0" applyNumberFormat="1" applyFont="1" applyFill="1" applyBorder="1"/>
    <xf numFmtId="0" fontId="7" fillId="10" borderId="0" xfId="0" applyFont="1" applyFill="1" applyAlignment="1">
      <alignment horizontal="left" indent="1"/>
    </xf>
    <xf numFmtId="190" fontId="7" fillId="10" borderId="0" xfId="0" applyNumberFormat="1" applyFont="1" applyFill="1" applyAlignment="1">
      <alignment horizontal="right"/>
    </xf>
    <xf numFmtId="190" fontId="47" fillId="10" borderId="0" xfId="0" applyNumberFormat="1" applyFont="1" applyFill="1" applyAlignment="1">
      <alignment horizontal="right"/>
    </xf>
    <xf numFmtId="37" fontId="47" fillId="10" borderId="0" xfId="12" applyNumberFormat="1" applyFont="1" applyFill="1"/>
    <xf numFmtId="37" fontId="68" fillId="10" borderId="0" xfId="12" applyNumberFormat="1" applyFont="1" applyFill="1"/>
    <xf numFmtId="37" fontId="7" fillId="10" borderId="0" xfId="12" applyNumberFormat="1" applyFont="1" applyFill="1"/>
    <xf numFmtId="177" fontId="68" fillId="10" borderId="0" xfId="0" applyNumberFormat="1" applyFont="1" applyFill="1"/>
    <xf numFmtId="37" fontId="27" fillId="10" borderId="0" xfId="0" applyNumberFormat="1" applyFont="1" applyFill="1" applyAlignment="1" applyProtection="1">
      <alignment horizontal="right"/>
    </xf>
    <xf numFmtId="177" fontId="7" fillId="10" borderId="0" xfId="0" applyNumberFormat="1" applyFont="1" applyFill="1"/>
    <xf numFmtId="177" fontId="2" fillId="10" borderId="0" xfId="34" applyNumberFormat="1" applyFont="1" applyFill="1"/>
    <xf numFmtId="177" fontId="26" fillId="10" borderId="0" xfId="0" applyNumberFormat="1" applyFont="1" applyFill="1"/>
    <xf numFmtId="37" fontId="74" fillId="10" borderId="0" xfId="0" applyNumberFormat="1" applyFont="1" applyFill="1" applyAlignment="1">
      <alignment horizontal="right"/>
    </xf>
    <xf numFmtId="2" fontId="7" fillId="10" borderId="0" xfId="34" applyNumberFormat="1" applyFont="1" applyFill="1"/>
    <xf numFmtId="190" fontId="7" fillId="10" borderId="0" xfId="0" applyNumberFormat="1" applyFont="1" applyFill="1"/>
    <xf numFmtId="190" fontId="2" fillId="10" borderId="0" xfId="0" applyNumberFormat="1" applyFont="1" applyFill="1"/>
    <xf numFmtId="37" fontId="26" fillId="10" borderId="0" xfId="12" applyNumberFormat="1" applyFont="1" applyFill="1"/>
    <xf numFmtId="191" fontId="68" fillId="10" borderId="0" xfId="0" applyNumberFormat="1" applyFont="1" applyFill="1" applyBorder="1" applyAlignment="1" applyProtection="1">
      <alignment horizontal="right"/>
    </xf>
    <xf numFmtId="0" fontId="7" fillId="10" borderId="0" xfId="8" applyNumberFormat="1" applyFont="1" applyFill="1"/>
    <xf numFmtId="164" fontId="26" fillId="10" borderId="0" xfId="0" applyNumberFormat="1" applyFont="1" applyFill="1" applyProtection="1"/>
    <xf numFmtId="202" fontId="7" fillId="10" borderId="0" xfId="0" applyNumberFormat="1" applyFont="1" applyFill="1" applyAlignment="1">
      <alignment horizontal="right"/>
    </xf>
    <xf numFmtId="202" fontId="68" fillId="10" borderId="0" xfId="34" applyNumberFormat="1" applyFont="1" applyFill="1"/>
    <xf numFmtId="37" fontId="71" fillId="10" borderId="0" xfId="12" applyNumberFormat="1" applyFont="1" applyFill="1"/>
    <xf numFmtId="7" fontId="7" fillId="10" borderId="0" xfId="12" applyNumberFormat="1" applyFont="1" applyFill="1"/>
    <xf numFmtId="43" fontId="26" fillId="10" borderId="0" xfId="8" applyFont="1" applyFill="1"/>
    <xf numFmtId="7" fontId="2" fillId="10" borderId="0" xfId="0" applyNumberFormat="1" applyFont="1" applyFill="1"/>
    <xf numFmtId="172" fontId="26" fillId="10" borderId="0" xfId="8" applyNumberFormat="1" applyFont="1" applyFill="1"/>
    <xf numFmtId="172" fontId="7" fillId="10" borderId="0" xfId="8" applyNumberFormat="1" applyFont="1" applyFill="1"/>
    <xf numFmtId="172" fontId="68" fillId="10" borderId="0" xfId="8" applyNumberFormat="1" applyFont="1" applyFill="1"/>
    <xf numFmtId="0" fontId="7" fillId="10" borderId="0" xfId="29" applyFont="1" applyFill="1"/>
    <xf numFmtId="188" fontId="7" fillId="10" borderId="0" xfId="0" applyNumberFormat="1" applyFont="1" applyFill="1"/>
    <xf numFmtId="188" fontId="71" fillId="10" borderId="0" xfId="12" applyNumberFormat="1" applyFont="1" applyFill="1" applyBorder="1" applyAlignment="1">
      <alignment horizontal="right"/>
    </xf>
    <xf numFmtId="185" fontId="69" fillId="10" borderId="0" xfId="0" applyNumberFormat="1" applyFont="1" applyFill="1" applyBorder="1" applyAlignment="1">
      <alignment horizontal="center"/>
    </xf>
    <xf numFmtId="184" fontId="70" fillId="10" borderId="0" xfId="0" applyNumberFormat="1" applyFont="1" applyFill="1" applyBorder="1" applyAlignment="1">
      <alignment horizontal="center"/>
    </xf>
    <xf numFmtId="185" fontId="69" fillId="10" borderId="0" xfId="0" applyNumberFormat="1" applyFont="1" applyFill="1" applyAlignment="1">
      <alignment horizontal="center"/>
    </xf>
    <xf numFmtId="188" fontId="78" fillId="10" borderId="0" xfId="8" applyNumberFormat="1" applyFont="1" applyFill="1" applyBorder="1"/>
    <xf numFmtId="187" fontId="26" fillId="10" borderId="0" xfId="12" applyNumberFormat="1" applyFont="1" applyFill="1" applyBorder="1" applyAlignment="1">
      <alignment horizontal="right"/>
    </xf>
    <xf numFmtId="9" fontId="26" fillId="10" borderId="0" xfId="34" applyFont="1" applyFill="1" applyBorder="1" applyAlignment="1">
      <alignment horizontal="right"/>
    </xf>
    <xf numFmtId="187" fontId="26" fillId="10" borderId="0" xfId="8" applyNumberFormat="1" applyFont="1" applyFill="1" applyBorder="1" applyAlignment="1">
      <alignment horizontal="right"/>
    </xf>
    <xf numFmtId="187" fontId="47" fillId="10" borderId="0" xfId="8" applyNumberFormat="1" applyFont="1" applyFill="1" applyBorder="1" applyAlignment="1">
      <alignment horizontal="right"/>
    </xf>
    <xf numFmtId="187" fontId="68" fillId="10" borderId="0" xfId="8" applyNumberFormat="1" applyFont="1" applyFill="1" applyBorder="1" applyAlignment="1">
      <alignment horizontal="right"/>
    </xf>
    <xf numFmtId="187" fontId="71" fillId="10" borderId="0" xfId="8" applyNumberFormat="1" applyFont="1" applyFill="1" applyBorder="1" applyAlignment="1">
      <alignment horizontal="right"/>
    </xf>
    <xf numFmtId="222" fontId="71" fillId="10" borderId="0" xfId="8" applyNumberFormat="1" applyFont="1" applyFill="1" applyBorder="1" applyAlignment="1">
      <alignment horizontal="right"/>
    </xf>
    <xf numFmtId="187" fontId="47" fillId="10" borderId="6" xfId="8" applyNumberFormat="1" applyFont="1" applyFill="1" applyBorder="1" applyAlignment="1">
      <alignment horizontal="right"/>
    </xf>
    <xf numFmtId="187" fontId="26" fillId="10" borderId="6" xfId="8" applyNumberFormat="1" applyFont="1" applyFill="1" applyBorder="1" applyAlignment="1">
      <alignment horizontal="right"/>
    </xf>
    <xf numFmtId="188" fontId="7" fillId="10" borderId="0" xfId="0" applyNumberFormat="1" applyFont="1" applyFill="1" applyBorder="1" applyAlignment="1">
      <alignment horizontal="right"/>
    </xf>
    <xf numFmtId="188" fontId="47" fillId="10" borderId="0" xfId="8" applyNumberFormat="1" applyFont="1" applyFill="1" applyBorder="1" applyAlignment="1">
      <alignment horizontal="right"/>
    </xf>
    <xf numFmtId="193" fontId="68" fillId="10" borderId="0" xfId="0" applyNumberFormat="1" applyFont="1" applyFill="1" applyAlignment="1">
      <alignment horizontal="right" vertical="center"/>
    </xf>
    <xf numFmtId="187" fontId="47" fillId="10" borderId="0" xfId="0" applyNumberFormat="1" applyFont="1" applyFill="1" applyBorder="1" applyAlignment="1">
      <alignment horizontal="right"/>
    </xf>
    <xf numFmtId="187" fontId="47" fillId="10" borderId="0" xfId="0" applyNumberFormat="1" applyFont="1" applyFill="1" applyAlignment="1">
      <alignment horizontal="right"/>
    </xf>
    <xf numFmtId="187" fontId="47" fillId="10" borderId="0" xfId="12" applyNumberFormat="1" applyFont="1" applyFill="1" applyBorder="1" applyAlignment="1">
      <alignment horizontal="right"/>
    </xf>
    <xf numFmtId="188" fontId="7" fillId="10" borderId="0" xfId="0" applyNumberFormat="1" applyFont="1" applyFill="1" applyAlignment="1">
      <alignment horizontal="right"/>
    </xf>
    <xf numFmtId="188" fontId="47" fillId="10" borderId="0" xfId="12" applyNumberFormat="1" applyFont="1" applyFill="1" applyBorder="1" applyAlignment="1">
      <alignment horizontal="right"/>
    </xf>
    <xf numFmtId="188" fontId="68" fillId="10" borderId="0" xfId="12" applyNumberFormat="1" applyFont="1" applyFill="1" applyBorder="1" applyAlignment="1">
      <alignment horizontal="right"/>
    </xf>
    <xf numFmtId="199" fontId="68" fillId="10" borderId="0" xfId="30" applyNumberFormat="1" applyFont="1" applyFill="1" applyBorder="1" applyAlignment="1">
      <alignment horizontal="right"/>
    </xf>
    <xf numFmtId="187" fontId="68" fillId="10" borderId="0" xfId="12" applyNumberFormat="1" applyFont="1" applyFill="1" applyBorder="1" applyAlignment="1">
      <alignment horizontal="right"/>
    </xf>
    <xf numFmtId="188" fontId="7" fillId="10" borderId="0" xfId="8" applyNumberFormat="1" applyFont="1" applyFill="1" applyBorder="1" applyAlignment="1">
      <alignment horizontal="right"/>
    </xf>
    <xf numFmtId="188" fontId="50" fillId="10" borderId="0" xfId="0" applyNumberFormat="1" applyFont="1" applyFill="1"/>
    <xf numFmtId="194" fontId="7" fillId="10" borderId="0" xfId="0" applyNumberFormat="1" applyFont="1" applyFill="1" applyAlignment="1">
      <alignment horizontal="right"/>
    </xf>
    <xf numFmtId="167" fontId="75" fillId="10" borderId="0" xfId="0" applyNumberFormat="1" applyFont="1" applyFill="1"/>
    <xf numFmtId="167" fontId="68" fillId="10" borderId="0" xfId="0" applyNumberFormat="1" applyFont="1" applyFill="1" applyAlignment="1"/>
    <xf numFmtId="179" fontId="7" fillId="10" borderId="0" xfId="0" applyNumberFormat="1" applyFont="1" applyFill="1"/>
    <xf numFmtId="183" fontId="7" fillId="10" borderId="0" xfId="8" applyNumberFormat="1" applyFont="1" applyFill="1" applyBorder="1" applyAlignment="1">
      <alignment horizontal="right"/>
    </xf>
    <xf numFmtId="194" fontId="7" fillId="10" borderId="0" xfId="8" applyNumberFormat="1" applyFont="1" applyFill="1" applyBorder="1" applyAlignment="1">
      <alignment horizontal="right"/>
    </xf>
    <xf numFmtId="187" fontId="2" fillId="10" borderId="0" xfId="8" applyNumberFormat="1" applyFont="1" applyFill="1" applyBorder="1" applyAlignment="1">
      <alignment horizontal="right"/>
    </xf>
    <xf numFmtId="0" fontId="7" fillId="12" borderId="8" xfId="0" applyFont="1" applyFill="1" applyBorder="1"/>
    <xf numFmtId="188" fontId="7" fillId="12" borderId="8" xfId="0" applyNumberFormat="1" applyFont="1" applyFill="1" applyBorder="1" applyAlignment="1">
      <alignment horizontal="right"/>
    </xf>
    <xf numFmtId="37" fontId="81" fillId="11" borderId="14" xfId="16" applyFont="1" applyFill="1" applyBorder="1" applyAlignment="1">
      <alignment horizontal="center"/>
    </xf>
    <xf numFmtId="37" fontId="81" fillId="11" borderId="0" xfId="16" applyFont="1" applyFill="1" applyBorder="1" applyAlignment="1">
      <alignment horizontal="center"/>
    </xf>
    <xf numFmtId="37" fontId="81" fillId="11" borderId="27" xfId="16" applyFont="1" applyFill="1" applyBorder="1" applyAlignment="1">
      <alignment horizontal="center"/>
    </xf>
    <xf numFmtId="5" fontId="7" fillId="10" borderId="0" xfId="0" applyNumberFormat="1" applyFont="1" applyFill="1" applyAlignment="1">
      <alignment horizontal="center"/>
    </xf>
    <xf numFmtId="0" fontId="80" fillId="11" borderId="0" xfId="0" applyFont="1" applyFill="1" applyAlignment="1">
      <alignment horizontal="center"/>
    </xf>
    <xf numFmtId="226" fontId="7" fillId="10" borderId="0" xfId="8" applyNumberFormat="1" applyFont="1" applyFill="1" applyBorder="1"/>
    <xf numFmtId="227" fontId="27" fillId="10" borderId="0" xfId="0" applyNumberFormat="1" applyFont="1" applyFill="1" applyBorder="1" applyAlignment="1">
      <alignment horizontal="left"/>
    </xf>
    <xf numFmtId="164" fontId="27" fillId="0" borderId="0" xfId="0" applyNumberFormat="1" applyFont="1" applyFill="1"/>
    <xf numFmtId="9" fontId="50" fillId="10" borderId="0" xfId="34" applyNumberFormat="1" applyFont="1" applyFill="1"/>
    <xf numFmtId="0" fontId="80" fillId="11" borderId="0" xfId="0" applyFont="1" applyFill="1" applyAlignment="1"/>
    <xf numFmtId="0" fontId="0" fillId="10" borderId="0" xfId="0" applyFill="1" applyAlignment="1">
      <alignment horizontal="center"/>
    </xf>
    <xf numFmtId="0" fontId="80" fillId="11" borderId="36" xfId="0" applyFont="1" applyFill="1" applyBorder="1" applyAlignment="1">
      <alignment horizontal="center"/>
    </xf>
    <xf numFmtId="0" fontId="0" fillId="10" borderId="0" xfId="0" applyFill="1" applyBorder="1"/>
    <xf numFmtId="0" fontId="80" fillId="11" borderId="0" xfId="0" applyFont="1" applyFill="1" applyBorder="1"/>
    <xf numFmtId="170" fontId="0" fillId="10" borderId="0" xfId="0" applyNumberFormat="1" applyFill="1"/>
    <xf numFmtId="170" fontId="84" fillId="10" borderId="0" xfId="0" applyNumberFormat="1" applyFont="1" applyFill="1"/>
    <xf numFmtId="170" fontId="85" fillId="10" borderId="0" xfId="0" applyNumberFormat="1" applyFont="1" applyFill="1"/>
    <xf numFmtId="0" fontId="86" fillId="12" borderId="35" xfId="0" applyFont="1" applyFill="1" applyBorder="1"/>
    <xf numFmtId="0" fontId="86" fillId="10" borderId="0" xfId="0" applyFont="1" applyFill="1" applyBorder="1"/>
    <xf numFmtId="164" fontId="85" fillId="10" borderId="0" xfId="0" applyNumberFormat="1" applyFont="1" applyFill="1"/>
    <xf numFmtId="164" fontId="85" fillId="10" borderId="6" xfId="0" applyNumberFormat="1" applyFont="1" applyFill="1" applyBorder="1"/>
    <xf numFmtId="170" fontId="7" fillId="10" borderId="0" xfId="0" applyNumberFormat="1" applyFont="1" applyFill="1"/>
    <xf numFmtId="164" fontId="85" fillId="10" borderId="0" xfId="0" applyNumberFormat="1" applyFont="1" applyFill="1" applyBorder="1"/>
    <xf numFmtId="164" fontId="7" fillId="10" borderId="0" xfId="0" applyNumberFormat="1" applyFont="1" applyFill="1" applyBorder="1"/>
    <xf numFmtId="195" fontId="87" fillId="10" borderId="0" xfId="0" applyNumberFormat="1" applyFont="1" applyFill="1" applyBorder="1" applyAlignment="1">
      <alignment horizontal="left"/>
    </xf>
    <xf numFmtId="0" fontId="86" fillId="10" borderId="37" xfId="0" applyFont="1" applyFill="1" applyBorder="1"/>
    <xf numFmtId="177" fontId="68" fillId="10" borderId="0" xfId="34" applyNumberFormat="1" applyFont="1" applyFill="1" applyAlignment="1">
      <alignment horizontal="right"/>
    </xf>
    <xf numFmtId="177" fontId="79" fillId="10" borderId="0" xfId="34" applyNumberFormat="1" applyFont="1" applyFill="1" applyAlignment="1">
      <alignment horizontal="center"/>
    </xf>
    <xf numFmtId="5" fontId="0" fillId="10" borderId="0" xfId="0" applyNumberFormat="1" applyFill="1" applyAlignment="1">
      <alignment horizontal="center"/>
    </xf>
    <xf numFmtId="171" fontId="7" fillId="10" borderId="0" xfId="0" applyNumberFormat="1" applyFont="1" applyFill="1"/>
    <xf numFmtId="177" fontId="71" fillId="10" borderId="0" xfId="34" applyNumberFormat="1" applyFont="1" applyFill="1" applyBorder="1" applyAlignment="1">
      <alignment horizontal="right"/>
    </xf>
    <xf numFmtId="190" fontId="7" fillId="10" borderId="0" xfId="8" applyNumberFormat="1" applyFont="1" applyFill="1"/>
    <xf numFmtId="2" fontId="7" fillId="10" borderId="0" xfId="34" applyNumberFormat="1" applyFont="1" applyFill="1" applyBorder="1" applyAlignment="1">
      <alignment horizontal="right"/>
    </xf>
    <xf numFmtId="0" fontId="1" fillId="10" borderId="0" xfId="0" applyFont="1" applyFill="1"/>
    <xf numFmtId="0" fontId="82" fillId="11" borderId="36" xfId="0" applyFont="1" applyFill="1" applyBorder="1"/>
    <xf numFmtId="228" fontId="7" fillId="10" borderId="0" xfId="12" applyNumberFormat="1" applyFont="1" applyFill="1" applyBorder="1"/>
    <xf numFmtId="177" fontId="7" fillId="10" borderId="19" xfId="34" applyNumberFormat="1" applyFont="1" applyFill="1" applyBorder="1"/>
    <xf numFmtId="228" fontId="7" fillId="10" borderId="21" xfId="12" applyNumberFormat="1" applyFont="1" applyFill="1" applyBorder="1"/>
    <xf numFmtId="174" fontId="7" fillId="10" borderId="0" xfId="24" applyFont="1" applyFill="1"/>
    <xf numFmtId="174" fontId="2" fillId="10" borderId="7" xfId="24" applyFont="1" applyFill="1" applyBorder="1" applyAlignment="1">
      <alignment horizontal="centerContinuous"/>
    </xf>
    <xf numFmtId="174" fontId="2" fillId="10" borderId="8" xfId="24" applyFont="1" applyFill="1" applyBorder="1" applyAlignment="1">
      <alignment horizontal="centerContinuous"/>
    </xf>
    <xf numFmtId="174" fontId="2" fillId="10" borderId="9" xfId="24" applyFont="1" applyFill="1" applyBorder="1" applyAlignment="1">
      <alignment horizontal="centerContinuous"/>
    </xf>
    <xf numFmtId="174" fontId="7" fillId="10" borderId="0" xfId="20" applyFont="1" applyFill="1"/>
    <xf numFmtId="37" fontId="2" fillId="10" borderId="8" xfId="24" applyNumberFormat="1" applyFont="1" applyFill="1" applyBorder="1" applyAlignment="1">
      <alignment horizontal="centerContinuous"/>
    </xf>
    <xf numFmtId="174" fontId="2" fillId="10" borderId="8" xfId="20" applyFont="1" applyFill="1" applyBorder="1" applyAlignment="1">
      <alignment horizontal="centerContinuous"/>
    </xf>
    <xf numFmtId="174" fontId="2" fillId="10" borderId="9" xfId="20" applyFont="1" applyFill="1" applyBorder="1" applyAlignment="1">
      <alignment horizontal="centerContinuous"/>
    </xf>
    <xf numFmtId="174" fontId="2" fillId="10" borderId="0" xfId="24" applyFont="1" applyFill="1"/>
    <xf numFmtId="174" fontId="2" fillId="10" borderId="6" xfId="24" applyFont="1" applyFill="1" applyBorder="1"/>
    <xf numFmtId="174" fontId="2" fillId="10" borderId="6" xfId="24" applyFont="1" applyFill="1" applyBorder="1" applyAlignment="1" applyProtection="1">
      <alignment horizontal="center"/>
    </xf>
    <xf numFmtId="174" fontId="2" fillId="10" borderId="0" xfId="24" applyFont="1" applyFill="1" applyAlignment="1" applyProtection="1">
      <alignment horizontal="center"/>
    </xf>
    <xf numFmtId="37" fontId="2" fillId="10" borderId="10" xfId="24" applyNumberFormat="1" applyFont="1" applyFill="1" applyBorder="1" applyAlignment="1" applyProtection="1">
      <alignment horizontal="centerContinuous"/>
    </xf>
    <xf numFmtId="174" fontId="2" fillId="10" borderId="6" xfId="24" applyFont="1" applyFill="1" applyBorder="1" applyAlignment="1" applyProtection="1">
      <alignment horizontal="centerContinuous" wrapText="1"/>
    </xf>
    <xf numFmtId="174" fontId="2" fillId="10" borderId="6" xfId="24" applyFont="1" applyFill="1" applyBorder="1" applyAlignment="1">
      <alignment horizontal="centerContinuous" wrapText="1"/>
    </xf>
    <xf numFmtId="37" fontId="2" fillId="10" borderId="6" xfId="26" applyFont="1" applyFill="1" applyBorder="1" applyAlignment="1">
      <alignment horizontal="center"/>
    </xf>
    <xf numFmtId="174" fontId="2" fillId="10" borderId="6" xfId="20" applyFont="1" applyFill="1" applyBorder="1"/>
    <xf numFmtId="174" fontId="2" fillId="10" borderId="0" xfId="20" applyFont="1" applyFill="1"/>
    <xf numFmtId="37" fontId="7" fillId="10" borderId="0" xfId="26" applyFont="1" applyFill="1"/>
    <xf numFmtId="174" fontId="39" fillId="10" borderId="0" xfId="24" applyFont="1" applyFill="1" applyBorder="1" applyAlignment="1">
      <alignment horizontal="centerContinuous"/>
    </xf>
    <xf numFmtId="174" fontId="2" fillId="10" borderId="0" xfId="24" applyFont="1" applyFill="1" applyAlignment="1">
      <alignment horizontal="center"/>
    </xf>
    <xf numFmtId="174" fontId="2" fillId="10" borderId="6" xfId="24" applyFont="1" applyFill="1" applyBorder="1" applyAlignment="1" applyProtection="1">
      <alignment horizontal="centerContinuous"/>
    </xf>
    <xf numFmtId="174" fontId="2" fillId="10" borderId="6" xfId="24" applyFont="1" applyFill="1" applyBorder="1" applyAlignment="1">
      <alignment horizontal="centerContinuous"/>
    </xf>
    <xf numFmtId="174" fontId="2" fillId="10" borderId="0" xfId="24" applyFont="1" applyFill="1" applyBorder="1" applyAlignment="1"/>
    <xf numFmtId="37" fontId="2" fillId="10" borderId="0" xfId="24" applyNumberFormat="1" applyFont="1" applyFill="1" applyBorder="1" applyAlignment="1" applyProtection="1">
      <alignment horizontal="centerContinuous"/>
    </xf>
    <xf numFmtId="174" fontId="2" fillId="10" borderId="0" xfId="24" applyFont="1" applyFill="1" applyBorder="1" applyAlignment="1" applyProtection="1">
      <alignment horizontal="center"/>
    </xf>
    <xf numFmtId="174" fontId="2" fillId="10" borderId="0" xfId="20" applyFont="1" applyFill="1" applyAlignment="1">
      <alignment horizontal="center"/>
    </xf>
    <xf numFmtId="174" fontId="2" fillId="10" borderId="0" xfId="20" applyFont="1" applyFill="1" applyBorder="1" applyAlignment="1">
      <alignment horizontal="center"/>
    </xf>
    <xf numFmtId="174" fontId="2" fillId="10" borderId="0" xfId="24" applyFont="1" applyFill="1" applyAlignment="1" applyProtection="1">
      <alignment horizontal="left"/>
    </xf>
    <xf numFmtId="37" fontId="2" fillId="10" borderId="0" xfId="26" applyFont="1" applyFill="1" applyAlignment="1">
      <alignment horizontal="center"/>
    </xf>
    <xf numFmtId="174" fontId="69" fillId="10" borderId="0" xfId="24" applyFont="1" applyFill="1"/>
    <xf numFmtId="174" fontId="2" fillId="10" borderId="8" xfId="24" applyFont="1" applyFill="1" applyBorder="1" applyAlignment="1" applyProtection="1">
      <alignment horizontal="center"/>
    </xf>
    <xf numFmtId="37" fontId="2" fillId="10" borderId="6" xfId="24" applyNumberFormat="1" applyFont="1" applyFill="1" applyBorder="1" applyAlignment="1" applyProtection="1">
      <alignment horizontal="centerContinuous"/>
    </xf>
    <xf numFmtId="174" fontId="2" fillId="10" borderId="6" xfId="20" applyFont="1" applyFill="1" applyBorder="1" applyAlignment="1">
      <alignment horizontal="center"/>
    </xf>
    <xf numFmtId="174" fontId="69" fillId="10" borderId="0" xfId="20" applyFont="1" applyFill="1"/>
    <xf numFmtId="0" fontId="2" fillId="10" borderId="0" xfId="0" applyFont="1" applyFill="1" applyAlignment="1">
      <alignment horizontal="center"/>
    </xf>
    <xf numFmtId="174" fontId="71" fillId="10" borderId="6" xfId="20" applyFont="1" applyFill="1" applyBorder="1"/>
    <xf numFmtId="174" fontId="7" fillId="10" borderId="6" xfId="20" applyFont="1" applyFill="1" applyBorder="1"/>
    <xf numFmtId="174" fontId="39" fillId="10" borderId="6" xfId="24" applyFont="1" applyFill="1" applyBorder="1" applyAlignment="1">
      <alignment horizontal="centerContinuous"/>
    </xf>
    <xf numFmtId="0" fontId="2" fillId="10" borderId="6" xfId="0" applyFont="1" applyFill="1" applyBorder="1" applyAlignment="1">
      <alignment horizontal="center"/>
    </xf>
    <xf numFmtId="175" fontId="7" fillId="10" borderId="0" xfId="0" applyNumberFormat="1" applyFont="1" applyFill="1"/>
    <xf numFmtId="173" fontId="26" fillId="10" borderId="0" xfId="8" applyNumberFormat="1" applyFont="1" applyFill="1"/>
    <xf numFmtId="1" fontId="7" fillId="10" borderId="0" xfId="0" applyNumberFormat="1" applyFont="1" applyFill="1"/>
    <xf numFmtId="3" fontId="7" fillId="10" borderId="0" xfId="0" applyNumberFormat="1" applyFont="1" applyFill="1"/>
    <xf numFmtId="166" fontId="7" fillId="10" borderId="0" xfId="0" applyNumberFormat="1" applyFont="1" applyFill="1"/>
    <xf numFmtId="176" fontId="7" fillId="10" borderId="0" xfId="0" applyNumberFormat="1" applyFont="1" applyFill="1"/>
    <xf numFmtId="1" fontId="26" fillId="10" borderId="0" xfId="0" applyNumberFormat="1" applyFont="1" applyFill="1"/>
    <xf numFmtId="0" fontId="69" fillId="10" borderId="0" xfId="0" applyFont="1" applyFill="1" applyAlignment="1">
      <alignment horizontal="left"/>
    </xf>
    <xf numFmtId="173" fontId="7" fillId="10" borderId="0" xfId="8" applyNumberFormat="1" applyFont="1" applyFill="1"/>
    <xf numFmtId="166" fontId="7" fillId="10" borderId="0" xfId="0" applyNumberFormat="1" applyFont="1" applyFill="1" applyAlignment="1">
      <alignment horizontal="right"/>
    </xf>
    <xf numFmtId="176" fontId="7" fillId="10" borderId="0" xfId="0" applyNumberFormat="1" applyFont="1" applyFill="1" applyAlignment="1">
      <alignment horizontal="right"/>
    </xf>
    <xf numFmtId="170" fontId="7" fillId="10" borderId="0" xfId="0" applyNumberFormat="1" applyFont="1" applyFill="1" applyAlignment="1">
      <alignment horizontal="right"/>
    </xf>
    <xf numFmtId="165" fontId="7" fillId="10" borderId="0" xfId="0" applyNumberFormat="1" applyFont="1" applyFill="1" applyAlignment="1">
      <alignment horizontal="right"/>
    </xf>
    <xf numFmtId="164" fontId="7" fillId="10" borderId="0" xfId="0" applyNumberFormat="1" applyFont="1" applyFill="1" applyAlignment="1">
      <alignment horizontal="right"/>
    </xf>
    <xf numFmtId="165" fontId="7" fillId="10" borderId="0" xfId="0" applyNumberFormat="1" applyFont="1" applyFill="1"/>
    <xf numFmtId="175" fontId="7" fillId="10" borderId="6" xfId="0" applyNumberFormat="1" applyFont="1" applyFill="1" applyBorder="1"/>
    <xf numFmtId="171" fontId="7" fillId="10" borderId="6" xfId="0" applyNumberFormat="1" applyFont="1" applyFill="1" applyBorder="1"/>
    <xf numFmtId="3" fontId="7" fillId="10" borderId="6" xfId="0" applyNumberFormat="1" applyFont="1" applyFill="1" applyBorder="1"/>
    <xf numFmtId="165" fontId="7" fillId="10" borderId="6" xfId="0" applyNumberFormat="1" applyFont="1" applyFill="1" applyBorder="1" applyAlignment="1">
      <alignment horizontal="right"/>
    </xf>
    <xf numFmtId="176" fontId="7" fillId="10" borderId="6" xfId="0" applyNumberFormat="1" applyFont="1" applyFill="1" applyBorder="1" applyAlignment="1">
      <alignment horizontal="right"/>
    </xf>
    <xf numFmtId="164" fontId="7" fillId="10" borderId="6" xfId="0" applyNumberFormat="1" applyFont="1" applyFill="1" applyBorder="1" applyAlignment="1">
      <alignment horizontal="right"/>
    </xf>
    <xf numFmtId="176" fontId="7" fillId="10" borderId="6" xfId="0" applyNumberFormat="1" applyFont="1" applyFill="1" applyBorder="1"/>
    <xf numFmtId="0" fontId="72" fillId="10" borderId="0" xfId="0" applyFont="1" applyFill="1"/>
    <xf numFmtId="173" fontId="72" fillId="10" borderId="0" xfId="0" applyNumberFormat="1" applyFont="1" applyFill="1"/>
    <xf numFmtId="175" fontId="50" fillId="10" borderId="0" xfId="0" applyNumberFormat="1" applyFont="1" applyFill="1" applyBorder="1"/>
    <xf numFmtId="173" fontId="26" fillId="10" borderId="0" xfId="8" applyNumberFormat="1" applyFont="1" applyFill="1" applyBorder="1"/>
    <xf numFmtId="3" fontId="7" fillId="10" borderId="0" xfId="0" applyNumberFormat="1" applyFont="1" applyFill="1" applyBorder="1"/>
    <xf numFmtId="180" fontId="71" fillId="10" borderId="0" xfId="34" applyNumberFormat="1" applyFont="1" applyFill="1" applyProtection="1"/>
    <xf numFmtId="215" fontId="7" fillId="10" borderId="0" xfId="0" applyNumberFormat="1" applyFont="1" applyFill="1"/>
    <xf numFmtId="0" fontId="68" fillId="10" borderId="0" xfId="0" applyFont="1" applyFill="1"/>
    <xf numFmtId="180" fontId="7" fillId="10" borderId="0" xfId="34" applyNumberFormat="1" applyFont="1" applyFill="1" applyProtection="1"/>
    <xf numFmtId="37" fontId="68" fillId="10" borderId="0" xfId="0" applyNumberFormat="1" applyFont="1" applyFill="1"/>
    <xf numFmtId="0" fontId="70" fillId="10" borderId="0" xfId="0" applyFont="1" applyFill="1" applyAlignment="1">
      <alignment horizontal="left"/>
    </xf>
    <xf numFmtId="37" fontId="27" fillId="10" borderId="0" xfId="26" applyFont="1" applyFill="1"/>
    <xf numFmtId="166" fontId="7" fillId="10" borderId="0" xfId="0" applyNumberFormat="1" applyFont="1" applyFill="1" applyBorder="1" applyAlignment="1">
      <alignment horizontal="right"/>
    </xf>
    <xf numFmtId="0" fontId="83" fillId="0" borderId="0" xfId="40" applyFont="1"/>
    <xf numFmtId="0" fontId="1" fillId="0" borderId="0" xfId="40" applyFont="1"/>
    <xf numFmtId="0" fontId="88" fillId="0" borderId="6" xfId="40" applyFont="1" applyBorder="1"/>
    <xf numFmtId="0" fontId="2" fillId="0" borderId="0" xfId="40" applyFont="1"/>
    <xf numFmtId="17" fontId="2" fillId="0" borderId="0" xfId="40" applyNumberFormat="1" applyFont="1"/>
    <xf numFmtId="0" fontId="88" fillId="0" borderId="0" xfId="40" applyFont="1"/>
    <xf numFmtId="9" fontId="1" fillId="0" borderId="0" xfId="42" applyFont="1"/>
    <xf numFmtId="177" fontId="1" fillId="0" borderId="0" xfId="42" applyNumberFormat="1" applyFont="1"/>
    <xf numFmtId="177" fontId="83" fillId="0" borderId="0" xfId="40" applyNumberFormat="1" applyFont="1"/>
    <xf numFmtId="0" fontId="89" fillId="0" borderId="0" xfId="40" applyFont="1"/>
    <xf numFmtId="0" fontId="27" fillId="0" borderId="0" xfId="40" applyFont="1"/>
    <xf numFmtId="9" fontId="90" fillId="0" borderId="0" xfId="42" applyFont="1"/>
    <xf numFmtId="0" fontId="90" fillId="0" borderId="0" xfId="40" applyFont="1"/>
    <xf numFmtId="173" fontId="83" fillId="0" borderId="0" xfId="41" quotePrefix="1" applyNumberFormat="1" applyFont="1"/>
    <xf numFmtId="9" fontId="92" fillId="0" borderId="0" xfId="42" applyFont="1"/>
    <xf numFmtId="9" fontId="91" fillId="10" borderId="0" xfId="42" applyFont="1" applyFill="1"/>
    <xf numFmtId="0" fontId="92" fillId="0" borderId="0" xfId="40" applyFont="1"/>
    <xf numFmtId="173" fontId="93" fillId="0" borderId="0" xfId="41" applyNumberFormat="1" applyFont="1" applyAlignment="1">
      <alignment horizontal="center"/>
    </xf>
    <xf numFmtId="0" fontId="11" fillId="0" borderId="0" xfId="40" applyFont="1" applyAlignment="1">
      <alignment horizontal="right"/>
    </xf>
    <xf numFmtId="0" fontId="93" fillId="0" borderId="0" xfId="40" applyFont="1" applyAlignment="1">
      <alignment horizontal="center"/>
    </xf>
    <xf numFmtId="173" fontId="83" fillId="0" borderId="0" xfId="41" applyNumberFormat="1" applyFont="1"/>
    <xf numFmtId="173" fontId="88" fillId="14" borderId="7" xfId="41" applyNumberFormat="1" applyFont="1" applyFill="1" applyBorder="1"/>
    <xf numFmtId="177" fontId="1" fillId="0" borderId="0" xfId="40" applyNumberFormat="1" applyFont="1"/>
    <xf numFmtId="177" fontId="1" fillId="0" borderId="0" xfId="42" applyNumberFormat="1" applyFont="1" applyAlignment="1">
      <alignment horizontal="right"/>
    </xf>
    <xf numFmtId="173" fontId="83" fillId="0" borderId="6" xfId="41" applyNumberFormat="1" applyFont="1" applyBorder="1"/>
    <xf numFmtId="177" fontId="1" fillId="10" borderId="0" xfId="42" applyNumberFormat="1" applyFont="1" applyFill="1" applyAlignment="1">
      <alignment horizontal="right"/>
    </xf>
    <xf numFmtId="173" fontId="88" fillId="0" borderId="0" xfId="41" applyNumberFormat="1" applyFont="1"/>
    <xf numFmtId="2" fontId="1" fillId="0" borderId="0" xfId="40" applyNumberFormat="1" applyFont="1" applyAlignment="1">
      <alignment horizontal="right"/>
    </xf>
    <xf numFmtId="173" fontId="89" fillId="0" borderId="0" xfId="41" applyNumberFormat="1" applyFont="1"/>
    <xf numFmtId="177" fontId="89" fillId="0" borderId="0" xfId="42" applyNumberFormat="1" applyFont="1"/>
    <xf numFmtId="173" fontId="83" fillId="0" borderId="0" xfId="41" applyNumberFormat="1" applyFont="1" applyAlignment="1">
      <alignment horizontal="right"/>
    </xf>
    <xf numFmtId="173" fontId="88" fillId="14" borderId="8" xfId="41" applyNumberFormat="1" applyFont="1" applyFill="1" applyBorder="1" applyAlignment="1">
      <alignment horizontal="center"/>
    </xf>
    <xf numFmtId="177" fontId="88" fillId="14" borderId="9" xfId="42" applyNumberFormat="1" applyFont="1" applyFill="1" applyBorder="1" applyAlignment="1">
      <alignment horizontal="right"/>
    </xf>
    <xf numFmtId="173" fontId="89" fillId="0" borderId="0" xfId="41" applyNumberFormat="1" applyFont="1" applyAlignment="1">
      <alignment horizontal="center"/>
    </xf>
    <xf numFmtId="177" fontId="83" fillId="0" borderId="0" xfId="42" applyNumberFormat="1" applyFont="1"/>
    <xf numFmtId="44" fontId="83" fillId="0" borderId="0" xfId="43" applyFont="1"/>
    <xf numFmtId="9" fontId="83" fillId="0" borderId="0" xfId="42" applyFont="1"/>
    <xf numFmtId="9" fontId="89" fillId="0" borderId="0" xfId="42" applyFont="1" applyAlignment="1">
      <alignment horizontal="center"/>
    </xf>
    <xf numFmtId="7" fontId="1" fillId="0" borderId="0" xfId="40" applyNumberFormat="1" applyFont="1"/>
    <xf numFmtId="173" fontId="83" fillId="0" borderId="0" xfId="41" applyNumberFormat="1" applyFont="1" applyBorder="1"/>
    <xf numFmtId="173" fontId="83" fillId="0" borderId="6" xfId="41" applyNumberFormat="1" applyFont="1" applyBorder="1" applyAlignment="1">
      <alignment horizontal="center"/>
    </xf>
    <xf numFmtId="44" fontId="88" fillId="15" borderId="9" xfId="43" applyFont="1" applyFill="1" applyBorder="1"/>
    <xf numFmtId="216" fontId="10" fillId="0" borderId="0" xfId="0" applyNumberFormat="1" applyFont="1"/>
    <xf numFmtId="190" fontId="1" fillId="10" borderId="0" xfId="0" applyNumberFormat="1" applyFont="1" applyFill="1" applyBorder="1"/>
    <xf numFmtId="195" fontId="0" fillId="10" borderId="0" xfId="0" applyNumberFormat="1" applyFill="1"/>
    <xf numFmtId="10" fontId="7" fillId="10" borderId="0" xfId="34" applyNumberFormat="1" applyFont="1" applyFill="1"/>
    <xf numFmtId="0" fontId="0" fillId="14" borderId="20" xfId="0" applyFill="1" applyBorder="1"/>
    <xf numFmtId="0" fontId="1" fillId="14" borderId="10" xfId="0" applyFont="1" applyFill="1" applyBorder="1"/>
    <xf numFmtId="0" fontId="1" fillId="14" borderId="18" xfId="0" applyFont="1" applyFill="1" applyBorder="1"/>
    <xf numFmtId="0" fontId="1" fillId="14" borderId="29" xfId="0" applyFont="1" applyFill="1" applyBorder="1"/>
    <xf numFmtId="0" fontId="0" fillId="14" borderId="0" xfId="0" applyFill="1" applyBorder="1" applyAlignment="1">
      <alignment horizontal="center"/>
    </xf>
    <xf numFmtId="7" fontId="0" fillId="14" borderId="21" xfId="0" applyNumberFormat="1" applyFill="1" applyBorder="1"/>
    <xf numFmtId="0" fontId="1" fillId="14" borderId="16" xfId="0" applyFont="1" applyFill="1" applyBorder="1"/>
    <xf numFmtId="0" fontId="1" fillId="14" borderId="6" xfId="0" applyFont="1" applyFill="1" applyBorder="1" applyAlignment="1">
      <alignment horizontal="center"/>
    </xf>
    <xf numFmtId="177" fontId="0" fillId="10" borderId="0" xfId="34" applyNumberFormat="1" applyFont="1" applyFill="1"/>
    <xf numFmtId="229" fontId="7" fillId="10" borderId="0" xfId="34" applyNumberFormat="1" applyFont="1" applyFill="1"/>
    <xf numFmtId="7" fontId="1" fillId="10" borderId="0" xfId="0" applyNumberFormat="1" applyFont="1" applyFill="1" applyBorder="1"/>
    <xf numFmtId="0" fontId="1" fillId="10" borderId="0" xfId="0" applyFont="1" applyFill="1" applyBorder="1"/>
    <xf numFmtId="7" fontId="0" fillId="14" borderId="19" xfId="0" applyNumberFormat="1" applyFill="1" applyBorder="1"/>
    <xf numFmtId="0" fontId="80" fillId="11" borderId="0" xfId="0" applyFont="1" applyFill="1" applyAlignment="1">
      <alignment horizontal="center"/>
    </xf>
    <xf numFmtId="37" fontId="2" fillId="10" borderId="0" xfId="0" applyNumberFormat="1" applyFont="1" applyFill="1" applyAlignment="1">
      <alignment horizontal="center"/>
    </xf>
    <xf numFmtId="0" fontId="94" fillId="10" borderId="0" xfId="0" applyFont="1" applyFill="1"/>
    <xf numFmtId="3" fontId="94" fillId="10" borderId="0" xfId="0" applyNumberFormat="1" applyFont="1" applyFill="1"/>
    <xf numFmtId="181" fontId="68" fillId="10" borderId="0" xfId="0" applyNumberFormat="1" applyFont="1" applyFill="1" applyAlignment="1">
      <alignment horizontal="right"/>
    </xf>
    <xf numFmtId="0" fontId="1" fillId="10" borderId="0" xfId="0" applyFont="1" applyFill="1" applyAlignment="1" applyProtection="1">
      <alignment horizontal="right"/>
    </xf>
    <xf numFmtId="182" fontId="2" fillId="12" borderId="7" xfId="0" applyNumberFormat="1" applyFont="1" applyFill="1" applyBorder="1" applyAlignment="1">
      <alignment horizontal="center"/>
    </xf>
    <xf numFmtId="182" fontId="2" fillId="12" borderId="8" xfId="0" applyNumberFormat="1" applyFont="1" applyFill="1" applyBorder="1" applyAlignment="1">
      <alignment horizontal="center"/>
    </xf>
    <xf numFmtId="185" fontId="2" fillId="12" borderId="8" xfId="0" applyNumberFormat="1" applyFont="1" applyFill="1" applyBorder="1" applyAlignment="1">
      <alignment horizontal="center"/>
    </xf>
    <xf numFmtId="189" fontId="68" fillId="12" borderId="8" xfId="0" applyNumberFormat="1" applyFont="1" applyFill="1" applyBorder="1" applyAlignment="1">
      <alignment horizontal="center"/>
    </xf>
    <xf numFmtId="189" fontId="68" fillId="12" borderId="9" xfId="0" applyNumberFormat="1" applyFont="1" applyFill="1" applyBorder="1" applyAlignment="1">
      <alignment horizontal="center"/>
    </xf>
    <xf numFmtId="196" fontId="7" fillId="10" borderId="0" xfId="0" applyNumberFormat="1" applyFont="1" applyFill="1" applyAlignment="1">
      <alignment horizontal="left"/>
    </xf>
    <xf numFmtId="7" fontId="68" fillId="10" borderId="0" xfId="8" applyNumberFormat="1" applyFont="1" applyFill="1"/>
    <xf numFmtId="177" fontId="7" fillId="10" borderId="0" xfId="34" applyNumberFormat="1" applyFont="1" applyFill="1" applyAlignment="1" applyProtection="1">
      <alignment horizontal="right"/>
    </xf>
    <xf numFmtId="2" fontId="7" fillId="10" borderId="0" xfId="28" applyNumberFormat="1" applyFont="1" applyFill="1" applyAlignment="1" applyProtection="1">
      <alignment horizontal="right"/>
    </xf>
    <xf numFmtId="7" fontId="2" fillId="10" borderId="0" xfId="8" applyNumberFormat="1" applyFont="1" applyFill="1"/>
    <xf numFmtId="185" fontId="2" fillId="10" borderId="6" xfId="0" applyNumberFormat="1" applyFont="1" applyFill="1" applyBorder="1" applyAlignment="1">
      <alignment horizontal="center"/>
    </xf>
    <xf numFmtId="184" fontId="68" fillId="10" borderId="6" xfId="0" applyNumberFormat="1" applyFont="1" applyFill="1" applyBorder="1" applyAlignment="1">
      <alignment horizontal="center"/>
    </xf>
    <xf numFmtId="183" fontId="2" fillId="10" borderId="0" xfId="0" applyNumberFormat="1" applyFont="1" applyFill="1"/>
    <xf numFmtId="5" fontId="7" fillId="10" borderId="0" xfId="28" applyNumberFormat="1" applyFont="1" applyFill="1" applyAlignment="1" applyProtection="1">
      <alignment horizontal="right"/>
    </xf>
    <xf numFmtId="0" fontId="7" fillId="10" borderId="0" xfId="0" applyFont="1" applyFill="1" applyAlignment="1">
      <alignment horizontal="center" wrapText="1"/>
    </xf>
    <xf numFmtId="190" fontId="7" fillId="10" borderId="0" xfId="34" applyNumberFormat="1" applyFont="1" applyFill="1"/>
    <xf numFmtId="190" fontId="7" fillId="10" borderId="0" xfId="34" applyNumberFormat="1" applyFont="1" applyFill="1" applyAlignment="1">
      <alignment horizontal="right"/>
    </xf>
    <xf numFmtId="177" fontId="27" fillId="10" borderId="0" xfId="34" applyNumberFormat="1" applyFont="1" applyFill="1"/>
    <xf numFmtId="174" fontId="7" fillId="10" borderId="0" xfId="31" applyNumberFormat="1" applyFont="1" applyFill="1" applyAlignment="1" applyProtection="1">
      <alignment horizontal="left"/>
    </xf>
    <xf numFmtId="43" fontId="7" fillId="10" borderId="0" xfId="0" applyNumberFormat="1" applyFont="1" applyFill="1" applyAlignment="1">
      <alignment horizontal="right"/>
    </xf>
    <xf numFmtId="174" fontId="7" fillId="10" borderId="0" xfId="31" applyNumberFormat="1" applyFont="1" applyFill="1" applyAlignment="1" applyProtection="1">
      <alignment horizontal="left" indent="1"/>
    </xf>
    <xf numFmtId="174" fontId="7" fillId="10" borderId="0" xfId="31" applyFont="1" applyFill="1"/>
    <xf numFmtId="166" fontId="7" fillId="10" borderId="0" xfId="12" applyNumberFormat="1" applyFont="1" applyFill="1"/>
    <xf numFmtId="180" fontId="7" fillId="10" borderId="0" xfId="0" quotePrefix="1" applyNumberFormat="1" applyFont="1" applyFill="1" applyAlignment="1" applyProtection="1">
      <alignment horizontal="right"/>
    </xf>
    <xf numFmtId="180" fontId="68" fillId="10" borderId="0" xfId="0" quotePrefix="1" applyNumberFormat="1" applyFont="1" applyFill="1" applyBorder="1" applyAlignment="1" applyProtection="1">
      <alignment horizontal="right"/>
    </xf>
    <xf numFmtId="9" fontId="7" fillId="10" borderId="0" xfId="34" applyNumberFormat="1" applyFont="1" applyFill="1"/>
    <xf numFmtId="9" fontId="75" fillId="10" borderId="0" xfId="34" applyFont="1" applyFill="1" applyAlignment="1">
      <alignment vertical="center"/>
    </xf>
    <xf numFmtId="181" fontId="7" fillId="10" borderId="0" xfId="12" applyNumberFormat="1" applyFont="1" applyFill="1"/>
    <xf numFmtId="43" fontId="7" fillId="10" borderId="0" xfId="8" applyNumberFormat="1" applyFont="1" applyFill="1"/>
    <xf numFmtId="0" fontId="69" fillId="10" borderId="0" xfId="0" applyFont="1" applyFill="1"/>
    <xf numFmtId="193" fontId="73" fillId="10" borderId="0" xfId="0" applyNumberFormat="1" applyFont="1" applyFill="1" applyAlignment="1">
      <alignment vertical="center"/>
    </xf>
    <xf numFmtId="173" fontId="47" fillId="10" borderId="0" xfId="0" applyNumberFormat="1" applyFont="1" applyFill="1"/>
    <xf numFmtId="37" fontId="71" fillId="10" borderId="0" xfId="0" applyNumberFormat="1" applyFont="1" applyFill="1"/>
    <xf numFmtId="37" fontId="1" fillId="10" borderId="0" xfId="0" applyNumberFormat="1" applyFont="1" applyFill="1"/>
    <xf numFmtId="179" fontId="47" fillId="10" borderId="0" xfId="0" applyNumberFormat="1" applyFont="1" applyFill="1"/>
    <xf numFmtId="179" fontId="71" fillId="10" borderId="0" xfId="0" applyNumberFormat="1" applyFont="1" applyFill="1"/>
    <xf numFmtId="43" fontId="26" fillId="10" borderId="0" xfId="0" applyNumberFormat="1" applyFont="1" applyFill="1"/>
    <xf numFmtId="0" fontId="13" fillId="10" borderId="0" xfId="0" applyFont="1" applyFill="1"/>
    <xf numFmtId="0" fontId="10" fillId="10" borderId="0" xfId="0" applyFont="1" applyFill="1" applyBorder="1"/>
    <xf numFmtId="39" fontId="10" fillId="10" borderId="0" xfId="0" applyNumberFormat="1" applyFont="1" applyFill="1" applyBorder="1"/>
    <xf numFmtId="0" fontId="10" fillId="10" borderId="0" xfId="0" applyFont="1" applyFill="1" applyBorder="1" applyAlignment="1">
      <alignment horizontal="center"/>
    </xf>
    <xf numFmtId="0" fontId="10" fillId="10" borderId="0" xfId="0" applyFont="1" applyFill="1" applyBorder="1" applyAlignment="1">
      <alignment horizontal="left"/>
    </xf>
    <xf numFmtId="37" fontId="13" fillId="10" borderId="6" xfId="25" applyFont="1" applyFill="1" applyBorder="1" applyAlignment="1" applyProtection="1">
      <alignment horizontal="left"/>
    </xf>
    <xf numFmtId="37" fontId="33" fillId="10" borderId="6" xfId="25" applyFont="1" applyFill="1" applyBorder="1" applyAlignment="1" applyProtection="1">
      <alignment horizontal="left"/>
    </xf>
    <xf numFmtId="37" fontId="36" fillId="10" borderId="6" xfId="25" applyFont="1" applyFill="1" applyBorder="1" applyAlignment="1" applyProtection="1">
      <alignment horizontal="left"/>
    </xf>
    <xf numFmtId="37" fontId="13" fillId="10" borderId="0" xfId="25" applyFont="1" applyFill="1" applyBorder="1" applyAlignment="1" applyProtection="1">
      <alignment horizontal="left"/>
    </xf>
    <xf numFmtId="174" fontId="33" fillId="10" borderId="0" xfId="28" applyFont="1" applyFill="1"/>
    <xf numFmtId="185" fontId="33" fillId="10" borderId="0" xfId="28" applyNumberFormat="1" applyFont="1" applyFill="1" applyBorder="1" applyAlignment="1">
      <alignment horizontal="center" wrapText="1"/>
    </xf>
    <xf numFmtId="0" fontId="35" fillId="10" borderId="0" xfId="0" applyFont="1" applyFill="1" applyAlignment="1">
      <alignment horizontal="center"/>
    </xf>
    <xf numFmtId="185" fontId="33" fillId="10" borderId="12" xfId="28" applyNumberFormat="1" applyFont="1" applyFill="1" applyBorder="1" applyAlignment="1">
      <alignment horizontal="center"/>
    </xf>
    <xf numFmtId="0" fontId="35" fillId="10" borderId="0" xfId="0" applyFont="1" applyFill="1" applyAlignment="1">
      <alignment horizontal="left"/>
    </xf>
    <xf numFmtId="174" fontId="34" fillId="10" borderId="0" xfId="28" applyFont="1" applyFill="1" applyBorder="1" applyAlignment="1" applyProtection="1">
      <alignment horizontal="left"/>
    </xf>
    <xf numFmtId="185" fontId="33" fillId="10" borderId="8" xfId="28" applyNumberFormat="1" applyFont="1" applyFill="1" applyBorder="1" applyAlignment="1">
      <alignment horizontal="centerContinuous"/>
    </xf>
    <xf numFmtId="185" fontId="33" fillId="10" borderId="13" xfId="28" applyNumberFormat="1" applyFont="1" applyFill="1" applyBorder="1" applyAlignment="1">
      <alignment horizontal="centerContinuous"/>
    </xf>
    <xf numFmtId="174" fontId="34" fillId="10" borderId="0" xfId="28" applyFont="1" applyFill="1" applyAlignment="1">
      <alignment horizontal="center"/>
    </xf>
    <xf numFmtId="174" fontId="34" fillId="10" borderId="0" xfId="28" applyFont="1" applyFill="1" applyAlignment="1">
      <alignment horizontal="left"/>
    </xf>
    <xf numFmtId="185" fontId="33" fillId="10" borderId="7" xfId="28" applyNumberFormat="1" applyFont="1" applyFill="1" applyBorder="1" applyAlignment="1">
      <alignment horizontal="centerContinuous"/>
    </xf>
    <xf numFmtId="185" fontId="34" fillId="10" borderId="0" xfId="28" applyNumberFormat="1" applyFont="1" applyFill="1" applyBorder="1" applyAlignment="1">
      <alignment horizontal="left"/>
    </xf>
    <xf numFmtId="0" fontId="10" fillId="10" borderId="0" xfId="0" applyFont="1" applyFill="1"/>
    <xf numFmtId="174" fontId="10" fillId="10" borderId="11" xfId="28" applyFont="1" applyFill="1" applyBorder="1" applyAlignment="1">
      <alignment horizontal="right"/>
    </xf>
    <xf numFmtId="174" fontId="10" fillId="10" borderId="0" xfId="28" applyFont="1" applyFill="1" applyAlignment="1">
      <alignment horizontal="center"/>
    </xf>
    <xf numFmtId="174" fontId="10" fillId="10" borderId="0" xfId="28" applyFont="1" applyFill="1" applyAlignment="1">
      <alignment horizontal="left"/>
    </xf>
    <xf numFmtId="174" fontId="10" fillId="10" borderId="0" xfId="28" applyFont="1" applyFill="1" applyAlignment="1">
      <alignment horizontal="right"/>
    </xf>
    <xf numFmtId="174" fontId="10" fillId="10" borderId="0" xfId="28" applyFont="1" applyFill="1" applyBorder="1" applyAlignment="1" applyProtection="1">
      <alignment horizontal="left"/>
    </xf>
    <xf numFmtId="37" fontId="28" fillId="10" borderId="0" xfId="0" applyNumberFormat="1" applyFont="1" applyFill="1"/>
    <xf numFmtId="37" fontId="10" fillId="10" borderId="0" xfId="0" applyNumberFormat="1" applyFont="1" applyFill="1"/>
    <xf numFmtId="37" fontId="10" fillId="10" borderId="11" xfId="8" applyNumberFormat="1" applyFont="1" applyFill="1" applyBorder="1" applyProtection="1"/>
    <xf numFmtId="169" fontId="37" fillId="10" borderId="0" xfId="8" applyNumberFormat="1" applyFont="1" applyFill="1" applyBorder="1" applyAlignment="1" applyProtection="1">
      <alignment horizontal="center"/>
    </xf>
    <xf numFmtId="169" fontId="37" fillId="10" borderId="0" xfId="8" applyNumberFormat="1" applyFont="1" applyFill="1" applyBorder="1" applyAlignment="1" applyProtection="1">
      <alignment horizontal="left"/>
    </xf>
    <xf numFmtId="37" fontId="16" fillId="10" borderId="0" xfId="8" applyNumberFormat="1" applyFont="1" applyFill="1" applyBorder="1" applyProtection="1"/>
    <xf numFmtId="174" fontId="10" fillId="10" borderId="0" xfId="28" applyFont="1" applyFill="1" applyAlignment="1" applyProtection="1">
      <alignment horizontal="left"/>
    </xf>
    <xf numFmtId="37" fontId="28" fillId="10" borderId="11" xfId="8" applyNumberFormat="1" applyFont="1" applyFill="1" applyBorder="1" applyProtection="1"/>
    <xf numFmtId="37" fontId="16" fillId="10" borderId="0" xfId="8" applyNumberFormat="1" applyFont="1" applyFill="1" applyProtection="1"/>
    <xf numFmtId="201" fontId="29" fillId="10" borderId="0" xfId="8" applyNumberFormat="1" applyFont="1" applyFill="1" applyBorder="1" applyAlignment="1" applyProtection="1">
      <alignment horizontal="right"/>
    </xf>
    <xf numFmtId="37" fontId="10" fillId="10" borderId="0" xfId="0" applyNumberFormat="1" applyFont="1" applyFill="1" applyBorder="1"/>
    <xf numFmtId="37" fontId="16" fillId="10" borderId="0" xfId="8" applyNumberFormat="1" applyFont="1" applyFill="1" applyBorder="1" applyAlignment="1" applyProtection="1">
      <alignment horizontal="left"/>
    </xf>
    <xf numFmtId="37" fontId="29" fillId="10" borderId="0" xfId="8" applyNumberFormat="1" applyFont="1" applyFill="1" applyProtection="1"/>
    <xf numFmtId="37" fontId="28" fillId="10" borderId="0" xfId="0" applyNumberFormat="1" applyFont="1" applyFill="1" applyBorder="1"/>
    <xf numFmtId="201" fontId="16" fillId="10" borderId="0" xfId="8" applyNumberFormat="1" applyFont="1" applyFill="1" applyBorder="1" applyAlignment="1" applyProtection="1">
      <alignment horizontal="right"/>
    </xf>
    <xf numFmtId="37" fontId="10" fillId="10" borderId="0" xfId="0" applyNumberFormat="1" applyFont="1" applyFill="1" applyBorder="1" applyAlignment="1">
      <alignment horizontal="left"/>
    </xf>
    <xf numFmtId="201" fontId="10" fillId="10" borderId="0" xfId="0" applyNumberFormat="1" applyFont="1" applyFill="1" applyBorder="1" applyAlignment="1">
      <alignment horizontal="right"/>
    </xf>
    <xf numFmtId="37" fontId="28" fillId="10" borderId="11" xfId="0" applyNumberFormat="1" applyFont="1" applyFill="1" applyBorder="1"/>
    <xf numFmtId="37" fontId="10" fillId="10" borderId="0" xfId="28" applyNumberFormat="1" applyFont="1" applyFill="1" applyAlignment="1">
      <alignment horizontal="left"/>
    </xf>
    <xf numFmtId="37" fontId="45" fillId="10" borderId="11" xfId="28" applyNumberFormat="1" applyFont="1" applyFill="1" applyBorder="1" applyAlignment="1">
      <alignment horizontal="center"/>
    </xf>
    <xf numFmtId="37" fontId="34" fillId="10" borderId="0" xfId="28" applyNumberFormat="1" applyFont="1" applyFill="1" applyAlignment="1">
      <alignment horizontal="center"/>
    </xf>
    <xf numFmtId="37" fontId="28" fillId="10" borderId="11" xfId="28" applyNumberFormat="1" applyFont="1" applyFill="1" applyBorder="1" applyAlignment="1">
      <alignment horizontal="right"/>
    </xf>
    <xf numFmtId="37" fontId="10" fillId="10" borderId="0" xfId="28" applyNumberFormat="1" applyFont="1" applyFill="1" applyAlignment="1">
      <alignment horizontal="right"/>
    </xf>
    <xf numFmtId="37" fontId="28" fillId="10" borderId="0" xfId="8" applyNumberFormat="1" applyFont="1" applyFill="1" applyProtection="1"/>
    <xf numFmtId="37" fontId="28" fillId="10" borderId="0" xfId="8" applyNumberFormat="1" applyFont="1" applyFill="1" applyBorder="1" applyProtection="1"/>
    <xf numFmtId="169" fontId="10" fillId="10" borderId="0" xfId="0" applyNumberFormat="1" applyFont="1" applyFill="1" applyBorder="1"/>
    <xf numFmtId="37" fontId="34" fillId="10" borderId="0" xfId="28" applyNumberFormat="1" applyFont="1" applyFill="1" applyAlignment="1">
      <alignment horizontal="left"/>
    </xf>
    <xf numFmtId="37" fontId="33" fillId="10" borderId="0" xfId="28" applyNumberFormat="1" applyFont="1" applyFill="1" applyAlignment="1">
      <alignment horizontal="center"/>
    </xf>
    <xf numFmtId="37" fontId="46" fillId="10" borderId="11" xfId="28" applyNumberFormat="1" applyFont="1" applyFill="1" applyBorder="1" applyAlignment="1">
      <alignment horizontal="centerContinuous"/>
    </xf>
    <xf numFmtId="37" fontId="46" fillId="10" borderId="11" xfId="28" applyNumberFormat="1" applyFont="1" applyFill="1" applyBorder="1" applyAlignment="1">
      <alignment horizontal="center"/>
    </xf>
    <xf numFmtId="37" fontId="33" fillId="10" borderId="0" xfId="28" applyNumberFormat="1" applyFont="1" applyFill="1" applyAlignment="1">
      <alignment horizontal="left"/>
    </xf>
    <xf numFmtId="37" fontId="33" fillId="10" borderId="0" xfId="28" applyNumberFormat="1" applyFont="1" applyFill="1" applyBorder="1" applyAlignment="1">
      <alignment horizontal="centerContinuous"/>
    </xf>
    <xf numFmtId="37" fontId="33" fillId="10" borderId="0" xfId="28" applyNumberFormat="1" applyFont="1" applyFill="1" applyBorder="1" applyAlignment="1">
      <alignment horizontal="center"/>
    </xf>
    <xf numFmtId="201" fontId="12" fillId="10" borderId="0" xfId="8" applyNumberFormat="1" applyFont="1" applyFill="1" applyBorder="1" applyAlignment="1" applyProtection="1">
      <alignment horizontal="right"/>
    </xf>
    <xf numFmtId="37" fontId="12" fillId="10" borderId="0" xfId="8" applyNumberFormat="1" applyFont="1" applyFill="1" applyBorder="1" applyProtection="1"/>
    <xf numFmtId="37" fontId="12" fillId="10" borderId="0" xfId="8" applyNumberFormat="1" applyFont="1" applyFill="1" applyProtection="1"/>
    <xf numFmtId="201" fontId="14" fillId="10" borderId="0" xfId="8" applyNumberFormat="1" applyFont="1" applyFill="1" applyBorder="1" applyAlignment="1" applyProtection="1">
      <alignment horizontal="right"/>
    </xf>
    <xf numFmtId="184" fontId="34" fillId="10" borderId="0" xfId="28" applyNumberFormat="1" applyFont="1" applyFill="1" applyBorder="1" applyAlignment="1">
      <alignment horizontal="left"/>
    </xf>
    <xf numFmtId="37" fontId="0" fillId="10" borderId="0" xfId="0" applyNumberFormat="1" applyFill="1"/>
    <xf numFmtId="185" fontId="33" fillId="10" borderId="31" xfId="28" applyNumberFormat="1" applyFont="1" applyFill="1" applyBorder="1" applyAlignment="1">
      <alignment horizontal="centerContinuous"/>
    </xf>
    <xf numFmtId="174" fontId="10" fillId="10" borderId="11" xfId="28" applyFont="1" applyFill="1" applyBorder="1" applyAlignment="1">
      <alignment horizontal="center"/>
    </xf>
    <xf numFmtId="0" fontId="28" fillId="10" borderId="0" xfId="0" applyFont="1" applyFill="1" applyBorder="1"/>
    <xf numFmtId="43" fontId="28" fillId="10" borderId="11" xfId="8" applyNumberFormat="1" applyFont="1" applyFill="1" applyBorder="1" applyProtection="1"/>
    <xf numFmtId="0" fontId="44" fillId="10" borderId="0" xfId="0" applyFont="1" applyFill="1"/>
    <xf numFmtId="43" fontId="16" fillId="10" borderId="0" xfId="0" applyNumberFormat="1" applyFont="1" applyFill="1" applyBorder="1"/>
    <xf numFmtId="43" fontId="28" fillId="10" borderId="0" xfId="8" applyNumberFormat="1" applyFont="1" applyFill="1" applyBorder="1" applyProtection="1"/>
    <xf numFmtId="169" fontId="52" fillId="10" borderId="0" xfId="8" applyNumberFormat="1" applyFont="1" applyFill="1" applyBorder="1" applyAlignment="1" applyProtection="1">
      <alignment horizontal="center"/>
    </xf>
    <xf numFmtId="0" fontId="51" fillId="10" borderId="0" xfId="0" applyFont="1" applyFill="1" applyBorder="1"/>
    <xf numFmtId="43" fontId="10" fillId="10" borderId="11" xfId="8" applyNumberFormat="1" applyFont="1" applyFill="1" applyBorder="1" applyProtection="1"/>
    <xf numFmtId="43" fontId="28" fillId="10" borderId="0" xfId="0" applyNumberFormat="1" applyFont="1" applyFill="1" applyBorder="1"/>
    <xf numFmtId="0" fontId="12" fillId="10" borderId="0" xfId="0" applyFont="1" applyFill="1" applyBorder="1"/>
    <xf numFmtId="174" fontId="12" fillId="10" borderId="0" xfId="28" applyFont="1" applyFill="1" applyBorder="1" applyAlignment="1" applyProtection="1">
      <alignment horizontal="left"/>
    </xf>
    <xf numFmtId="43" fontId="30" fillId="10" borderId="0" xfId="0" applyNumberFormat="1" applyFont="1" applyFill="1" applyBorder="1"/>
    <xf numFmtId="43" fontId="30" fillId="10" borderId="11" xfId="8" applyNumberFormat="1" applyFont="1" applyFill="1" applyBorder="1" applyProtection="1"/>
    <xf numFmtId="169" fontId="61" fillId="10" borderId="0" xfId="8" applyNumberFormat="1" applyFont="1" applyFill="1" applyBorder="1" applyAlignment="1" applyProtection="1">
      <alignment horizontal="center"/>
    </xf>
    <xf numFmtId="0" fontId="12" fillId="10" borderId="0" xfId="0" applyFont="1" applyFill="1" applyBorder="1" applyAlignment="1">
      <alignment horizontal="left"/>
    </xf>
    <xf numFmtId="43" fontId="0" fillId="10" borderId="0" xfId="0" applyNumberFormat="1" applyFill="1"/>
    <xf numFmtId="43" fontId="14" fillId="10" borderId="11" xfId="8" applyNumberFormat="1" applyFont="1" applyFill="1" applyBorder="1" applyProtection="1"/>
    <xf numFmtId="169" fontId="7" fillId="10" borderId="0" xfId="8" applyNumberFormat="1" applyFont="1" applyFill="1" applyBorder="1" applyAlignment="1" applyProtection="1">
      <alignment horizontal="center"/>
    </xf>
    <xf numFmtId="9" fontId="0" fillId="10" borderId="0" xfId="34" applyFont="1" applyFill="1"/>
    <xf numFmtId="0" fontId="0" fillId="10" borderId="11" xfId="0" applyFill="1" applyBorder="1"/>
    <xf numFmtId="0" fontId="0" fillId="10" borderId="27" xfId="0" applyFill="1" applyBorder="1"/>
    <xf numFmtId="173" fontId="7" fillId="10" borderId="21" xfId="8" applyNumberFormat="1" applyFont="1" applyFill="1" applyBorder="1"/>
    <xf numFmtId="184" fontId="69" fillId="10" borderId="18" xfId="0" applyNumberFormat="1" applyFont="1" applyFill="1" applyBorder="1" applyAlignment="1">
      <alignment horizontal="center"/>
    </xf>
    <xf numFmtId="44" fontId="0" fillId="0" borderId="0" xfId="12" applyFont="1"/>
    <xf numFmtId="183" fontId="2" fillId="10" borderId="0" xfId="8" applyNumberFormat="1" applyFont="1" applyFill="1"/>
    <xf numFmtId="2" fontId="2" fillId="10" borderId="0" xfId="8" applyNumberFormat="1" applyFont="1" applyFill="1"/>
    <xf numFmtId="187" fontId="47" fillId="10" borderId="0" xfId="12" applyNumberFormat="1" applyFont="1" applyFill="1"/>
    <xf numFmtId="187" fontId="68" fillId="10" borderId="0" xfId="12" applyNumberFormat="1" applyFont="1" applyFill="1"/>
    <xf numFmtId="37" fontId="47" fillId="10" borderId="0" xfId="12" applyNumberFormat="1" applyFont="1" applyFill="1" applyBorder="1"/>
    <xf numFmtId="37" fontId="68" fillId="10" borderId="0" xfId="12" applyNumberFormat="1" applyFont="1" applyFill="1" applyBorder="1"/>
    <xf numFmtId="187" fontId="47" fillId="10" borderId="6" xfId="12" applyNumberFormat="1" applyFont="1" applyFill="1" applyBorder="1"/>
    <xf numFmtId="187" fontId="26" fillId="10" borderId="6" xfId="12" applyNumberFormat="1" applyFont="1" applyFill="1" applyBorder="1"/>
    <xf numFmtId="5" fontId="7" fillId="10" borderId="8" xfId="12" applyNumberFormat="1" applyFont="1" applyFill="1" applyBorder="1"/>
    <xf numFmtId="177" fontId="26" fillId="10" borderId="0" xfId="34" applyNumberFormat="1" applyFont="1" applyFill="1"/>
    <xf numFmtId="5" fontId="68" fillId="10" borderId="0" xfId="12" applyNumberFormat="1" applyFont="1" applyFill="1"/>
    <xf numFmtId="187" fontId="47" fillId="10" borderId="0" xfId="12" applyNumberFormat="1" applyFont="1" applyFill="1" applyBorder="1"/>
    <xf numFmtId="187" fontId="68" fillId="10" borderId="0" xfId="12" applyNumberFormat="1" applyFont="1" applyFill="1" applyBorder="1"/>
    <xf numFmtId="186" fontId="26" fillId="10" borderId="0" xfId="12" applyNumberFormat="1" applyFont="1" applyFill="1"/>
    <xf numFmtId="178" fontId="26" fillId="10" borderId="0" xfId="0" applyNumberFormat="1" applyFont="1" applyFill="1"/>
    <xf numFmtId="187" fontId="7" fillId="10" borderId="6" xfId="12" applyNumberFormat="1" applyFont="1" applyFill="1" applyBorder="1"/>
    <xf numFmtId="37" fontId="68" fillId="10" borderId="6" xfId="12" applyNumberFormat="1" applyFont="1" applyFill="1" applyBorder="1"/>
    <xf numFmtId="0" fontId="78" fillId="10" borderId="0" xfId="0" applyFont="1" applyFill="1"/>
    <xf numFmtId="177" fontId="27" fillId="10" borderId="0" xfId="34" applyNumberFormat="1" applyFont="1" applyFill="1" applyBorder="1"/>
    <xf numFmtId="0" fontId="7" fillId="10" borderId="0" xfId="0" applyFont="1" applyFill="1" applyAlignment="1">
      <alignment horizontal="left"/>
    </xf>
    <xf numFmtId="174" fontId="7" fillId="10" borderId="0" xfId="0" applyNumberFormat="1" applyFont="1" applyFill="1" applyAlignment="1" applyProtection="1">
      <alignment horizontal="left"/>
    </xf>
    <xf numFmtId="174" fontId="27" fillId="10" borderId="0" xfId="0" applyNumberFormat="1" applyFont="1" applyFill="1" applyAlignment="1" applyProtection="1">
      <alignment horizontal="left"/>
    </xf>
    <xf numFmtId="9" fontId="27" fillId="10" borderId="0" xfId="34" applyFont="1" applyFill="1"/>
    <xf numFmtId="0" fontId="7" fillId="10" borderId="0" xfId="0" applyFont="1" applyFill="1" applyAlignment="1">
      <alignment horizontal="right"/>
    </xf>
    <xf numFmtId="37" fontId="26" fillId="10" borderId="0" xfId="0" applyNumberFormat="1" applyFont="1" applyFill="1"/>
    <xf numFmtId="192" fontId="7" fillId="10" borderId="0" xfId="0" applyNumberFormat="1" applyFont="1" applyFill="1" applyAlignment="1">
      <alignment horizontal="right"/>
    </xf>
    <xf numFmtId="192" fontId="7" fillId="10" borderId="0" xfId="0" applyNumberFormat="1" applyFont="1" applyFill="1"/>
    <xf numFmtId="38" fontId="7" fillId="10" borderId="0" xfId="0" applyNumberFormat="1" applyFont="1" applyFill="1"/>
    <xf numFmtId="172" fontId="7" fillId="10" borderId="0" xfId="8" applyNumberFormat="1" applyFont="1" applyFill="1" applyAlignment="1">
      <alignment horizontal="right"/>
    </xf>
    <xf numFmtId="172" fontId="68" fillId="10" borderId="0" xfId="8" applyNumberFormat="1" applyFont="1" applyFill="1" applyAlignment="1">
      <alignment horizontal="right"/>
    </xf>
    <xf numFmtId="38" fontId="7" fillId="10" borderId="0" xfId="0" applyNumberFormat="1" applyFont="1" applyFill="1" applyBorder="1"/>
    <xf numFmtId="38" fontId="7" fillId="10" borderId="0" xfId="0" quotePrefix="1" applyNumberFormat="1" applyFont="1" applyFill="1" applyBorder="1"/>
    <xf numFmtId="0" fontId="26" fillId="10" borderId="0" xfId="0" applyFont="1" applyFill="1" applyAlignment="1">
      <alignment horizontal="right"/>
    </xf>
    <xf numFmtId="164" fontId="27" fillId="10" borderId="0" xfId="23" applyFont="1" applyFill="1" applyBorder="1" applyAlignment="1">
      <alignment horizontal="left"/>
    </xf>
    <xf numFmtId="37" fontId="7" fillId="10" borderId="0" xfId="32" applyFont="1" applyFill="1"/>
    <xf numFmtId="37" fontId="7" fillId="10" borderId="6" xfId="32" applyFont="1" applyFill="1" applyBorder="1"/>
    <xf numFmtId="37" fontId="7" fillId="10" borderId="6" xfId="32" applyFont="1" applyFill="1" applyBorder="1" applyAlignment="1">
      <alignment horizontal="center"/>
    </xf>
    <xf numFmtId="37" fontId="2" fillId="10" borderId="6" xfId="32" applyFont="1" applyFill="1" applyBorder="1" applyAlignment="1">
      <alignment horizontal="center"/>
    </xf>
    <xf numFmtId="37" fontId="2" fillId="10" borderId="0" xfId="32" applyFont="1" applyFill="1" applyAlignment="1">
      <alignment horizontal="center"/>
    </xf>
    <xf numFmtId="37" fontId="2" fillId="10" borderId="0" xfId="32" applyFont="1" applyFill="1" applyAlignment="1">
      <alignment horizontal="centerContinuous"/>
    </xf>
    <xf numFmtId="37" fontId="2" fillId="10" borderId="0" xfId="32" applyFont="1" applyFill="1"/>
    <xf numFmtId="37" fontId="2" fillId="10" borderId="6" xfId="32" applyFont="1" applyFill="1" applyBorder="1"/>
    <xf numFmtId="37" fontId="2" fillId="10" borderId="6" xfId="32" applyFont="1" applyFill="1" applyBorder="1" applyAlignment="1" applyProtection="1">
      <alignment horizontal="center"/>
    </xf>
    <xf numFmtId="37" fontId="2" fillId="10" borderId="6" xfId="32" applyFont="1" applyFill="1" applyBorder="1" applyAlignment="1">
      <alignment horizontal="centerContinuous"/>
    </xf>
    <xf numFmtId="37" fontId="2" fillId="10" borderId="0" xfId="32" applyFont="1" applyFill="1" applyAlignment="1" applyProtection="1">
      <alignment horizontal="center"/>
    </xf>
    <xf numFmtId="37" fontId="2" fillId="10" borderId="0" xfId="32" applyFont="1" applyFill="1" applyBorder="1" applyAlignment="1">
      <alignment horizontal="centerContinuous"/>
    </xf>
    <xf numFmtId="37" fontId="2" fillId="10" borderId="0" xfId="32" applyFont="1" applyFill="1" applyBorder="1" applyAlignment="1">
      <alignment horizontal="center"/>
    </xf>
    <xf numFmtId="179" fontId="7" fillId="10" borderId="0" xfId="8" applyNumberFormat="1" applyFont="1" applyFill="1" applyBorder="1"/>
    <xf numFmtId="182" fontId="69" fillId="10" borderId="0" xfId="0" applyNumberFormat="1" applyFont="1" applyFill="1"/>
    <xf numFmtId="166" fontId="7" fillId="10" borderId="0" xfId="0" applyNumberFormat="1" applyFont="1" applyFill="1" applyBorder="1"/>
    <xf numFmtId="176" fontId="7" fillId="10" borderId="0" xfId="0" applyNumberFormat="1" applyFont="1" applyFill="1" applyBorder="1"/>
    <xf numFmtId="179" fontId="7" fillId="10" borderId="0" xfId="8" applyNumberFormat="1" applyFont="1" applyFill="1"/>
    <xf numFmtId="172" fontId="7" fillId="10" borderId="6" xfId="8" applyNumberFormat="1" applyFont="1" applyFill="1" applyBorder="1"/>
    <xf numFmtId="43" fontId="7" fillId="10" borderId="7" xfId="8" applyFont="1" applyFill="1" applyBorder="1"/>
    <xf numFmtId="37" fontId="7" fillId="10" borderId="0" xfId="8" applyNumberFormat="1" applyFont="1" applyFill="1"/>
    <xf numFmtId="0" fontId="70" fillId="10" borderId="0" xfId="0" applyFont="1" applyFill="1"/>
    <xf numFmtId="43" fontId="7" fillId="10" borderId="0" xfId="8" applyFont="1" applyFill="1" applyAlignment="1">
      <alignment horizontal="right"/>
    </xf>
    <xf numFmtId="185" fontId="69" fillId="10" borderId="0" xfId="0" applyNumberFormat="1" applyFont="1" applyFill="1"/>
    <xf numFmtId="183" fontId="27" fillId="10" borderId="0" xfId="0" applyNumberFormat="1" applyFont="1" applyFill="1" applyBorder="1"/>
    <xf numFmtId="217" fontId="7" fillId="10" borderId="0" xfId="0" applyNumberFormat="1" applyFont="1" applyFill="1"/>
    <xf numFmtId="0" fontId="69" fillId="10" borderId="0" xfId="0" applyFont="1" applyFill="1" applyAlignment="1">
      <alignment horizontal="centerContinuous"/>
    </xf>
    <xf numFmtId="173" fontId="7" fillId="10" borderId="0" xfId="0" applyNumberFormat="1" applyFont="1" applyFill="1" applyAlignment="1">
      <alignment horizontal="centerContinuous"/>
    </xf>
    <xf numFmtId="43" fontId="7" fillId="10" borderId="0" xfId="0" applyNumberFormat="1" applyFont="1" applyFill="1" applyAlignment="1">
      <alignment horizontal="centerContinuous"/>
    </xf>
    <xf numFmtId="173" fontId="47" fillId="10" borderId="0" xfId="8" applyNumberFormat="1" applyFont="1" applyFill="1"/>
    <xf numFmtId="172" fontId="27" fillId="10" borderId="0" xfId="8" applyNumberFormat="1" applyFont="1" applyFill="1" applyAlignment="1">
      <alignment horizontal="right"/>
    </xf>
    <xf numFmtId="195" fontId="7" fillId="10" borderId="0" xfId="8" applyNumberFormat="1" applyFont="1" applyFill="1" applyAlignment="1">
      <alignment horizontal="left"/>
    </xf>
    <xf numFmtId="179" fontId="27" fillId="10" borderId="0" xfId="8" applyNumberFormat="1" applyFont="1" applyFill="1" applyAlignment="1">
      <alignment horizontal="right"/>
    </xf>
    <xf numFmtId="0" fontId="47" fillId="10" borderId="0" xfId="0" applyFont="1" applyFill="1" applyAlignment="1">
      <alignment horizontal="centerContinuous"/>
    </xf>
    <xf numFmtId="173" fontId="2" fillId="10" borderId="0" xfId="0" applyNumberFormat="1" applyFont="1" applyFill="1"/>
    <xf numFmtId="173" fontId="7" fillId="10" borderId="0" xfId="8" applyNumberFormat="1" applyFont="1" applyFill="1" applyAlignment="1">
      <alignment horizontal="right"/>
    </xf>
    <xf numFmtId="0" fontId="12" fillId="10" borderId="0" xfId="0" applyFont="1" applyFill="1"/>
    <xf numFmtId="0" fontId="13" fillId="10" borderId="6" xfId="0" applyFont="1" applyFill="1" applyBorder="1"/>
    <xf numFmtId="0" fontId="12" fillId="10" borderId="6" xfId="0" applyFont="1" applyFill="1" applyBorder="1"/>
    <xf numFmtId="0" fontId="11" fillId="10" borderId="0" xfId="15" applyFont="1" applyFill="1" applyBorder="1"/>
    <xf numFmtId="182" fontId="13" fillId="10" borderId="6" xfId="0" applyNumberFormat="1" applyFont="1" applyFill="1" applyBorder="1" applyAlignment="1">
      <alignment horizontal="centerContinuous"/>
    </xf>
    <xf numFmtId="0" fontId="15" fillId="10" borderId="0" xfId="0" applyFont="1" applyFill="1" applyAlignment="1">
      <alignment horizontal="centerContinuous"/>
    </xf>
    <xf numFmtId="0" fontId="30" fillId="10" borderId="0" xfId="0" applyFont="1" applyFill="1"/>
    <xf numFmtId="173" fontId="30" fillId="10" borderId="0" xfId="8" applyNumberFormat="1" applyFont="1" applyFill="1"/>
    <xf numFmtId="173" fontId="28" fillId="10" borderId="0" xfId="8" applyNumberFormat="1" applyFont="1" applyFill="1"/>
    <xf numFmtId="173" fontId="30" fillId="10" borderId="0" xfId="0" applyNumberFormat="1" applyFont="1" applyFill="1"/>
    <xf numFmtId="0" fontId="48" fillId="10" borderId="0" xfId="0" applyFont="1" applyFill="1"/>
    <xf numFmtId="0" fontId="21" fillId="10" borderId="0" xfId="0" applyFont="1" applyFill="1" applyAlignment="1">
      <alignment horizontal="centerContinuous"/>
    </xf>
    <xf numFmtId="173" fontId="12" fillId="10" borderId="0" xfId="0" applyNumberFormat="1" applyFont="1" applyFill="1"/>
    <xf numFmtId="170" fontId="10" fillId="10" borderId="0" xfId="0" applyNumberFormat="1" applyFont="1" applyFill="1"/>
    <xf numFmtId="171" fontId="10" fillId="10" borderId="0" xfId="0" applyNumberFormat="1" applyFont="1" applyFill="1"/>
    <xf numFmtId="177" fontId="10" fillId="10" borderId="0" xfId="34" applyNumberFormat="1" applyFont="1" applyFill="1"/>
    <xf numFmtId="180" fontId="10" fillId="10" borderId="0" xfId="34" applyNumberFormat="1" applyFont="1" applyFill="1"/>
    <xf numFmtId="180" fontId="12" fillId="10" borderId="0" xfId="0" applyNumberFormat="1" applyFont="1" applyFill="1"/>
    <xf numFmtId="0" fontId="7" fillId="10" borderId="38" xfId="0" applyFont="1" applyFill="1" applyBorder="1"/>
    <xf numFmtId="175" fontId="7" fillId="10" borderId="10" xfId="0" applyNumberFormat="1" applyFont="1" applyFill="1" applyBorder="1"/>
    <xf numFmtId="0" fontId="7" fillId="10" borderId="40" xfId="0" applyFont="1" applyFill="1" applyBorder="1"/>
    <xf numFmtId="0" fontId="2" fillId="10" borderId="41" xfId="0" applyFont="1" applyFill="1" applyBorder="1" applyAlignment="1">
      <alignment horizontal="right"/>
    </xf>
    <xf numFmtId="175" fontId="2" fillId="10" borderId="42" xfId="0" applyNumberFormat="1" applyFont="1" applyFill="1" applyBorder="1"/>
    <xf numFmtId="175" fontId="68" fillId="10" borderId="42" xfId="0" applyNumberFormat="1" applyFont="1" applyFill="1" applyBorder="1"/>
    <xf numFmtId="0" fontId="2" fillId="10" borderId="0" xfId="0" applyFont="1" applyFill="1" applyBorder="1" applyAlignment="1">
      <alignment horizontal="right"/>
    </xf>
    <xf numFmtId="5" fontId="7" fillId="10" borderId="10" xfId="0" applyNumberFormat="1" applyFont="1" applyFill="1" applyBorder="1"/>
    <xf numFmtId="37" fontId="68" fillId="10" borderId="39" xfId="0" applyNumberFormat="1" applyFont="1" applyFill="1" applyBorder="1"/>
    <xf numFmtId="230" fontId="7" fillId="10" borderId="0" xfId="0" applyNumberFormat="1" applyFont="1" applyFill="1"/>
    <xf numFmtId="189" fontId="94" fillId="12" borderId="8" xfId="0" applyNumberFormat="1" applyFont="1" applyFill="1" applyBorder="1" applyAlignment="1">
      <alignment horizontal="centerContinuous"/>
    </xf>
    <xf numFmtId="0" fontId="10" fillId="6" borderId="0" xfId="45" applyNumberFormat="1" applyFont="1" applyFill="1" applyAlignment="1">
      <alignment horizontal="right"/>
    </xf>
    <xf numFmtId="164" fontId="10" fillId="6" borderId="27" xfId="45" applyNumberFormat="1" applyFont="1" applyFill="1" applyBorder="1" applyAlignment="1">
      <alignment horizontal="center"/>
    </xf>
    <xf numFmtId="37" fontId="10" fillId="6" borderId="27" xfId="0" applyNumberFormat="1" applyFont="1" applyFill="1" applyBorder="1" applyAlignment="1" applyProtection="1">
      <alignment horizontal="center"/>
    </xf>
    <xf numFmtId="37" fontId="10" fillId="10" borderId="27" xfId="45" applyNumberFormat="1" applyFont="1" applyFill="1" applyBorder="1" applyAlignment="1">
      <alignment horizontal="center"/>
    </xf>
    <xf numFmtId="164" fontId="10" fillId="10" borderId="27" xfId="16" applyNumberFormat="1" applyFont="1" applyFill="1" applyBorder="1" applyAlignment="1" applyProtection="1">
      <alignment horizontal="center"/>
    </xf>
    <xf numFmtId="7" fontId="13" fillId="10" borderId="27" xfId="16" applyNumberFormat="1" applyFont="1" applyFill="1" applyBorder="1" applyAlignment="1" applyProtection="1">
      <alignment horizontal="center"/>
    </xf>
    <xf numFmtId="180" fontId="10" fillId="10" borderId="27" xfId="16" applyNumberFormat="1" applyFont="1" applyFill="1" applyBorder="1" applyAlignment="1" applyProtection="1">
      <alignment horizontal="center"/>
    </xf>
    <xf numFmtId="9" fontId="12" fillId="10" borderId="27" xfId="34" applyFont="1" applyFill="1" applyBorder="1" applyAlignment="1" applyProtection="1">
      <alignment horizontal="center"/>
    </xf>
    <xf numFmtId="37" fontId="10" fillId="10" borderId="0" xfId="16" applyFont="1" applyFill="1" applyAlignment="1">
      <alignment horizontal="center"/>
    </xf>
    <xf numFmtId="37" fontId="1" fillId="10" borderId="0" xfId="0" applyNumberFormat="1" applyFont="1" applyFill="1" applyAlignment="1">
      <alignment horizontal="right"/>
    </xf>
    <xf numFmtId="182" fontId="69" fillId="10" borderId="0" xfId="0" applyNumberFormat="1" applyFont="1" applyFill="1" applyBorder="1" applyAlignment="1">
      <alignment horizontal="center"/>
    </xf>
    <xf numFmtId="0" fontId="69" fillId="10" borderId="10" xfId="0" applyNumberFormat="1" applyFont="1" applyFill="1" applyBorder="1" applyAlignment="1">
      <alignment horizontal="center"/>
    </xf>
    <xf numFmtId="0" fontId="82" fillId="11" borderId="0" xfId="0" applyFont="1" applyFill="1" applyBorder="1"/>
    <xf numFmtId="173" fontId="1" fillId="10" borderId="0" xfId="8" applyNumberFormat="1" applyFont="1" applyFill="1"/>
    <xf numFmtId="231" fontId="7" fillId="10" borderId="0" xfId="0" applyNumberFormat="1" applyFont="1" applyFill="1"/>
    <xf numFmtId="171" fontId="0" fillId="10" borderId="0" xfId="0" applyNumberFormat="1" applyFill="1"/>
    <xf numFmtId="43" fontId="1" fillId="0" borderId="0" xfId="9" applyFont="1" applyFill="1" applyAlignment="1">
      <alignment horizontal="right"/>
    </xf>
    <xf numFmtId="173" fontId="95" fillId="10" borderId="0" xfId="8" applyNumberFormat="1" applyFont="1" applyFill="1"/>
    <xf numFmtId="0" fontId="96" fillId="10" borderId="0" xfId="0" applyFont="1" applyFill="1"/>
    <xf numFmtId="173" fontId="95" fillId="10" borderId="0" xfId="0" applyNumberFormat="1" applyFont="1" applyFill="1"/>
    <xf numFmtId="173" fontId="96" fillId="10" borderId="0" xfId="8" applyNumberFormat="1" applyFont="1" applyFill="1"/>
    <xf numFmtId="0" fontId="96" fillId="10" borderId="0" xfId="0" applyFont="1" applyFill="1" applyAlignment="1">
      <alignment horizontal="centerContinuous"/>
    </xf>
    <xf numFmtId="187" fontId="96" fillId="10" borderId="0" xfId="8" applyNumberFormat="1" applyFont="1" applyFill="1" applyBorder="1" applyAlignment="1">
      <alignment horizontal="right"/>
    </xf>
    <xf numFmtId="187" fontId="96" fillId="10" borderId="6" xfId="8" applyNumberFormat="1" applyFont="1" applyFill="1" applyBorder="1" applyAlignment="1">
      <alignment horizontal="right"/>
    </xf>
    <xf numFmtId="188" fontId="96" fillId="10" borderId="0" xfId="8" applyNumberFormat="1" applyFont="1" applyFill="1" applyBorder="1" applyAlignment="1">
      <alignment horizontal="right"/>
    </xf>
    <xf numFmtId="187" fontId="96" fillId="10" borderId="0" xfId="0" applyNumberFormat="1" applyFont="1" applyFill="1" applyAlignment="1">
      <alignment horizontal="right"/>
    </xf>
    <xf numFmtId="183" fontId="96" fillId="10" borderId="0" xfId="0" applyNumberFormat="1" applyFont="1" applyFill="1" applyAlignment="1">
      <alignment horizontal="right"/>
    </xf>
    <xf numFmtId="187" fontId="96" fillId="10" borderId="0" xfId="12" applyNumberFormat="1" applyFont="1" applyFill="1" applyBorder="1" applyAlignment="1">
      <alignment horizontal="right"/>
    </xf>
    <xf numFmtId="188" fontId="96" fillId="10" borderId="0" xfId="12" applyNumberFormat="1" applyFont="1" applyFill="1" applyBorder="1" applyAlignment="1">
      <alignment horizontal="right"/>
    </xf>
    <xf numFmtId="188" fontId="97" fillId="10" borderId="0" xfId="12" applyNumberFormat="1" applyFont="1" applyFill="1" applyBorder="1" applyAlignment="1">
      <alignment horizontal="right"/>
    </xf>
    <xf numFmtId="167" fontId="97" fillId="10" borderId="0" xfId="0" applyNumberFormat="1" applyFont="1" applyFill="1" applyAlignment="1"/>
    <xf numFmtId="187" fontId="98" fillId="10" borderId="0" xfId="8" applyNumberFormat="1" applyFont="1" applyFill="1" applyBorder="1" applyAlignment="1">
      <alignment horizontal="right"/>
    </xf>
    <xf numFmtId="193" fontId="98" fillId="10" borderId="0" xfId="0" applyNumberFormat="1" applyFont="1" applyFill="1" applyAlignment="1">
      <alignment horizontal="right" vertical="center"/>
    </xf>
    <xf numFmtId="188" fontId="98" fillId="10" borderId="0" xfId="12" applyNumberFormat="1" applyFont="1" applyFill="1" applyBorder="1" applyAlignment="1">
      <alignment horizontal="right"/>
    </xf>
    <xf numFmtId="199" fontId="98" fillId="10" borderId="0" xfId="30" applyNumberFormat="1" applyFont="1" applyFill="1" applyBorder="1" applyAlignment="1">
      <alignment horizontal="right"/>
    </xf>
    <xf numFmtId="187" fontId="98" fillId="10" borderId="0" xfId="12" applyNumberFormat="1" applyFont="1" applyFill="1" applyBorder="1" applyAlignment="1">
      <alignment horizontal="right"/>
    </xf>
    <xf numFmtId="187" fontId="99" fillId="10" borderId="0" xfId="8" applyNumberFormat="1" applyFont="1" applyFill="1" applyBorder="1" applyAlignment="1">
      <alignment horizontal="right"/>
    </xf>
    <xf numFmtId="167" fontId="98" fillId="10" borderId="0" xfId="0" applyNumberFormat="1" applyFont="1" applyFill="1" applyAlignment="1"/>
    <xf numFmtId="187" fontId="96" fillId="10" borderId="0" xfId="12" applyNumberFormat="1" applyFont="1" applyFill="1"/>
    <xf numFmtId="37" fontId="96" fillId="10" borderId="0" xfId="12" applyNumberFormat="1" applyFont="1" applyFill="1"/>
    <xf numFmtId="37" fontId="96" fillId="10" borderId="0" xfId="12" applyNumberFormat="1" applyFont="1" applyFill="1" applyBorder="1"/>
    <xf numFmtId="187" fontId="96" fillId="10" borderId="6" xfId="12" applyNumberFormat="1" applyFont="1" applyFill="1" applyBorder="1"/>
    <xf numFmtId="5" fontId="96" fillId="10" borderId="0" xfId="12" applyNumberFormat="1" applyFont="1" applyFill="1"/>
    <xf numFmtId="187" fontId="96" fillId="10" borderId="0" xfId="12" applyNumberFormat="1" applyFont="1" applyFill="1" applyBorder="1"/>
    <xf numFmtId="172" fontId="97" fillId="10" borderId="0" xfId="8" applyNumberFormat="1" applyFont="1" applyFill="1" applyAlignment="1">
      <alignment horizontal="right"/>
    </xf>
    <xf numFmtId="172" fontId="97" fillId="10" borderId="0" xfId="8" applyNumberFormat="1" applyFont="1" applyFill="1"/>
    <xf numFmtId="172" fontId="98" fillId="10" borderId="0" xfId="8" applyNumberFormat="1" applyFont="1" applyFill="1" applyAlignment="1">
      <alignment horizontal="right"/>
    </xf>
    <xf numFmtId="172" fontId="98" fillId="10" borderId="0" xfId="8" applyNumberFormat="1" applyFont="1" applyFill="1"/>
    <xf numFmtId="37" fontId="2" fillId="10" borderId="6" xfId="12" applyNumberFormat="1" applyFont="1" applyFill="1" applyBorder="1"/>
    <xf numFmtId="187" fontId="98" fillId="10" borderId="0" xfId="12" applyNumberFormat="1" applyFont="1" applyFill="1" applyBorder="1"/>
    <xf numFmtId="5" fontId="98" fillId="10" borderId="0" xfId="12" applyNumberFormat="1" applyFont="1" applyFill="1"/>
    <xf numFmtId="187" fontId="98" fillId="10" borderId="0" xfId="12" applyNumberFormat="1" applyFont="1" applyFill="1"/>
    <xf numFmtId="37" fontId="98" fillId="10" borderId="0" xfId="12" applyNumberFormat="1" applyFont="1" applyFill="1"/>
    <xf numFmtId="177" fontId="88" fillId="10" borderId="0" xfId="34" applyNumberFormat="1" applyFont="1" applyFill="1"/>
    <xf numFmtId="177" fontId="98" fillId="10" borderId="0" xfId="0" applyNumberFormat="1" applyFont="1" applyFill="1"/>
    <xf numFmtId="37" fontId="100" fillId="10" borderId="0" xfId="0" applyNumberFormat="1" applyFont="1" applyFill="1" applyAlignment="1" applyProtection="1">
      <alignment horizontal="right"/>
    </xf>
    <xf numFmtId="177" fontId="99" fillId="10" borderId="0" xfId="0" applyNumberFormat="1" applyFont="1" applyFill="1"/>
    <xf numFmtId="191" fontId="98" fillId="10" borderId="0" xfId="0" applyNumberFormat="1" applyFont="1" applyFill="1" applyBorder="1" applyAlignment="1" applyProtection="1">
      <alignment horizontal="right"/>
    </xf>
    <xf numFmtId="190" fontId="98" fillId="10" borderId="0" xfId="34" applyNumberFormat="1" applyFont="1" applyFill="1"/>
    <xf numFmtId="172" fontId="2" fillId="10" borderId="0" xfId="8" applyNumberFormat="1" applyFont="1" applyFill="1"/>
    <xf numFmtId="172" fontId="2" fillId="0" borderId="0" xfId="8" applyNumberFormat="1" applyFont="1" applyFill="1"/>
    <xf numFmtId="37" fontId="97" fillId="10" borderId="39" xfId="0" applyNumberFormat="1" applyFont="1" applyFill="1" applyBorder="1"/>
    <xf numFmtId="179" fontId="2" fillId="10" borderId="0" xfId="0" applyNumberFormat="1" applyFont="1" applyFill="1" applyAlignment="1">
      <alignment vertical="center"/>
    </xf>
    <xf numFmtId="179" fontId="98" fillId="10" borderId="0" xfId="0" applyNumberFormat="1" applyFont="1" applyFill="1" applyAlignment="1">
      <alignment vertical="center"/>
    </xf>
    <xf numFmtId="37" fontId="98" fillId="10" borderId="0" xfId="0" applyNumberFormat="1" applyFont="1" applyFill="1"/>
    <xf numFmtId="177" fontId="98" fillId="10" borderId="0" xfId="34" applyNumberFormat="1" applyFont="1" applyFill="1" applyAlignment="1">
      <alignment vertical="center"/>
    </xf>
    <xf numFmtId="5" fontId="2" fillId="10" borderId="0" xfId="28" applyNumberFormat="1" applyFont="1" applyFill="1" applyAlignment="1" applyProtection="1">
      <alignment horizontal="right"/>
    </xf>
    <xf numFmtId="5" fontId="98" fillId="10" borderId="0" xfId="28" applyNumberFormat="1" applyFont="1" applyFill="1" applyAlignment="1" applyProtection="1">
      <alignment horizontal="right"/>
    </xf>
    <xf numFmtId="37" fontId="10" fillId="10" borderId="0" xfId="8" applyNumberFormat="1" applyFont="1" applyFill="1" applyProtection="1"/>
    <xf numFmtId="37" fontId="95" fillId="10" borderId="0" xfId="8" applyNumberFormat="1" applyFont="1" applyFill="1" applyBorder="1" applyProtection="1"/>
    <xf numFmtId="37" fontId="95" fillId="10" borderId="0" xfId="0" applyNumberFormat="1" applyFont="1" applyFill="1" applyBorder="1"/>
    <xf numFmtId="37" fontId="95" fillId="10" borderId="0" xfId="8" applyNumberFormat="1" applyFont="1" applyFill="1" applyProtection="1"/>
    <xf numFmtId="0" fontId="95" fillId="10" borderId="0" xfId="0" applyFont="1" applyFill="1" applyBorder="1"/>
    <xf numFmtId="183" fontId="95" fillId="10" borderId="0" xfId="0" applyNumberFormat="1" applyFont="1" applyFill="1" applyBorder="1"/>
    <xf numFmtId="43" fontId="10" fillId="10" borderId="0" xfId="0" applyNumberFormat="1" applyFont="1" applyFill="1" applyBorder="1"/>
    <xf numFmtId="43" fontId="95" fillId="10" borderId="0" xfId="8" applyNumberFormat="1" applyFont="1" applyFill="1" applyBorder="1" applyProtection="1"/>
    <xf numFmtId="3" fontId="98" fillId="10" borderId="0" xfId="0" applyNumberFormat="1" applyFont="1" applyFill="1" applyBorder="1"/>
    <xf numFmtId="37" fontId="99" fillId="10" borderId="0" xfId="0" applyNumberFormat="1" applyFont="1" applyFill="1"/>
    <xf numFmtId="0" fontId="99" fillId="10" borderId="0" xfId="0" applyFont="1" applyFill="1"/>
    <xf numFmtId="3" fontId="98" fillId="10" borderId="6" xfId="0" applyNumberFormat="1" applyFont="1" applyFill="1" applyBorder="1"/>
    <xf numFmtId="37" fontId="98" fillId="10" borderId="6" xfId="0" applyNumberFormat="1" applyFont="1" applyFill="1" applyBorder="1"/>
    <xf numFmtId="175" fontId="98" fillId="10" borderId="0" xfId="0" applyNumberFormat="1" applyFont="1" applyFill="1"/>
    <xf numFmtId="175" fontId="98" fillId="10" borderId="6" xfId="0" applyNumberFormat="1" applyFont="1" applyFill="1" applyBorder="1"/>
    <xf numFmtId="37" fontId="98" fillId="10" borderId="0" xfId="0" applyNumberFormat="1" applyFont="1" applyFill="1" applyBorder="1"/>
    <xf numFmtId="180" fontId="98" fillId="10" borderId="0" xfId="34" applyNumberFormat="1" applyFont="1" applyFill="1" applyProtection="1"/>
    <xf numFmtId="5" fontId="96" fillId="10" borderId="0" xfId="0" applyNumberFormat="1" applyFont="1" applyFill="1" applyAlignment="1">
      <alignment horizontal="right"/>
    </xf>
    <xf numFmtId="37" fontId="96" fillId="10" borderId="0" xfId="0" applyNumberFormat="1" applyFont="1" applyFill="1" applyAlignment="1">
      <alignment horizontal="right"/>
    </xf>
    <xf numFmtId="37" fontId="96" fillId="10" borderId="6" xfId="0" applyNumberFormat="1" applyFont="1" applyFill="1" applyBorder="1" applyAlignment="1">
      <alignment horizontal="right"/>
    </xf>
    <xf numFmtId="37" fontId="2" fillId="10" borderId="0" xfId="0" applyNumberFormat="1" applyFont="1" applyFill="1" applyBorder="1" applyAlignment="1">
      <alignment horizontal="right"/>
    </xf>
    <xf numFmtId="37" fontId="2" fillId="10" borderId="6" xfId="0" applyNumberFormat="1" applyFont="1" applyFill="1" applyBorder="1" applyAlignment="1">
      <alignment horizontal="right"/>
    </xf>
    <xf numFmtId="37" fontId="2" fillId="10" borderId="0" xfId="0" applyNumberFormat="1" applyFont="1" applyFill="1" applyAlignment="1">
      <alignment horizontal="right"/>
    </xf>
    <xf numFmtId="195" fontId="77" fillId="10" borderId="0" xfId="0" applyNumberFormat="1" applyFont="1" applyFill="1" applyBorder="1" applyAlignment="1">
      <alignment horizontal="left"/>
    </xf>
    <xf numFmtId="37" fontId="2" fillId="10" borderId="0" xfId="0" applyNumberFormat="1" applyFont="1" applyFill="1" applyBorder="1"/>
    <xf numFmtId="37" fontId="2" fillId="10" borderId="6" xfId="0" applyNumberFormat="1" applyFont="1" applyFill="1" applyBorder="1"/>
    <xf numFmtId="165" fontId="102" fillId="10" borderId="0" xfId="0" applyNumberFormat="1" applyFont="1" applyFill="1"/>
    <xf numFmtId="37" fontId="98" fillId="10" borderId="0" xfId="0" applyNumberFormat="1" applyFont="1" applyFill="1" applyBorder="1" applyAlignment="1">
      <alignment horizontal="right"/>
    </xf>
    <xf numFmtId="37" fontId="98" fillId="10" borderId="6" xfId="0" applyNumberFormat="1" applyFont="1" applyFill="1" applyBorder="1" applyAlignment="1">
      <alignment horizontal="right"/>
    </xf>
    <xf numFmtId="183" fontId="1" fillId="10" borderId="0" xfId="0" applyNumberFormat="1" applyFont="1" applyFill="1" applyBorder="1" applyAlignment="1">
      <alignment horizontal="right"/>
    </xf>
    <xf numFmtId="9" fontId="1" fillId="10" borderId="0" xfId="34" applyFont="1" applyFill="1"/>
    <xf numFmtId="37" fontId="99" fillId="10" borderId="0" xfId="0" applyNumberFormat="1" applyFont="1" applyFill="1" applyAlignment="1">
      <alignment horizontal="right"/>
    </xf>
    <xf numFmtId="37" fontId="99" fillId="10" borderId="6" xfId="0" applyNumberFormat="1" applyFont="1" applyFill="1" applyBorder="1" applyAlignment="1">
      <alignment horizontal="right"/>
    </xf>
    <xf numFmtId="37" fontId="96" fillId="0" borderId="6" xfId="0" applyNumberFormat="1" applyFont="1" applyFill="1" applyBorder="1" applyAlignment="1">
      <alignment horizontal="right"/>
    </xf>
    <xf numFmtId="164" fontId="102" fillId="10" borderId="0" xfId="0" applyNumberFormat="1" applyFont="1" applyFill="1"/>
    <xf numFmtId="37" fontId="98" fillId="10" borderId="0" xfId="0" applyNumberFormat="1" applyFont="1" applyFill="1" applyAlignment="1">
      <alignment horizontal="right"/>
    </xf>
    <xf numFmtId="203" fontId="96" fillId="10" borderId="14" xfId="0" applyNumberFormat="1" applyFont="1" applyFill="1" applyBorder="1" applyProtection="1"/>
    <xf numFmtId="171" fontId="96" fillId="10" borderId="27" xfId="0" applyNumberFormat="1" applyFont="1" applyFill="1" applyBorder="1" applyProtection="1"/>
    <xf numFmtId="203" fontId="96" fillId="10" borderId="23" xfId="0" applyNumberFormat="1" applyFont="1" applyFill="1" applyBorder="1" applyProtection="1"/>
    <xf numFmtId="171" fontId="96" fillId="10" borderId="5" xfId="0" applyNumberFormat="1" applyFont="1" applyFill="1" applyBorder="1" applyProtection="1"/>
    <xf numFmtId="232" fontId="68" fillId="10" borderId="6" xfId="15" applyNumberFormat="1" applyFont="1" applyFill="1" applyBorder="1" applyAlignment="1">
      <alignment horizontal="center"/>
    </xf>
    <xf numFmtId="232" fontId="68" fillId="16" borderId="6" xfId="15" applyNumberFormat="1" applyFont="1" applyFill="1" applyBorder="1" applyAlignment="1">
      <alignment horizontal="center"/>
    </xf>
    <xf numFmtId="17" fontId="2" fillId="10" borderId="0" xfId="40" applyNumberFormat="1" applyFont="1" applyFill="1"/>
    <xf numFmtId="17" fontId="2" fillId="16" borderId="0" xfId="40" applyNumberFormat="1" applyFont="1" applyFill="1"/>
    <xf numFmtId="173" fontId="1" fillId="10" borderId="0" xfId="41" applyNumberFormat="1" applyFont="1" applyFill="1"/>
    <xf numFmtId="173" fontId="1" fillId="16" borderId="0" xfId="41" applyNumberFormat="1" applyFont="1" applyFill="1"/>
    <xf numFmtId="177" fontId="1" fillId="10" borderId="0" xfId="46" applyNumberFormat="1" applyFont="1" applyFill="1"/>
    <xf numFmtId="177" fontId="103" fillId="16" borderId="0" xfId="46" applyNumberFormat="1" applyFont="1" applyFill="1"/>
    <xf numFmtId="9" fontId="100" fillId="10" borderId="0" xfId="40" applyNumberFormat="1" applyFont="1" applyFill="1"/>
    <xf numFmtId="9" fontId="103" fillId="16" borderId="0" xfId="46" applyNumberFormat="1" applyFont="1" applyFill="1"/>
    <xf numFmtId="173" fontId="1" fillId="10" borderId="6" xfId="41" applyNumberFormat="1" applyFont="1" applyFill="1" applyBorder="1"/>
    <xf numFmtId="173" fontId="1" fillId="16" borderId="6" xfId="41" applyNumberFormat="1" applyFont="1" applyFill="1" applyBorder="1"/>
    <xf numFmtId="173" fontId="1" fillId="10" borderId="0" xfId="40" applyNumberFormat="1" applyFont="1" applyFill="1"/>
    <xf numFmtId="173" fontId="1" fillId="16" borderId="0" xfId="40" applyNumberFormat="1" applyFont="1" applyFill="1"/>
    <xf numFmtId="177" fontId="104" fillId="10" borderId="0" xfId="46" applyNumberFormat="1" applyFont="1" applyFill="1"/>
    <xf numFmtId="177" fontId="105" fillId="16" borderId="0" xfId="46" applyNumberFormat="1" applyFont="1" applyFill="1"/>
    <xf numFmtId="0" fontId="1" fillId="10" borderId="0" xfId="40" applyFont="1" applyFill="1"/>
    <xf numFmtId="0" fontId="1" fillId="16" borderId="0" xfId="40" applyFont="1" applyFill="1"/>
    <xf numFmtId="177" fontId="96" fillId="16" borderId="0" xfId="46" applyNumberFormat="1" applyFont="1" applyFill="1"/>
    <xf numFmtId="177" fontId="1" fillId="16" borderId="0" xfId="46" applyNumberFormat="1" applyFont="1" applyFill="1"/>
    <xf numFmtId="9" fontId="106" fillId="10" borderId="0" xfId="46" applyFont="1" applyFill="1"/>
    <xf numFmtId="9" fontId="105" fillId="16" borderId="0" xfId="46" applyFont="1" applyFill="1"/>
    <xf numFmtId="0" fontId="1" fillId="10" borderId="6" xfId="40" applyFont="1" applyFill="1" applyBorder="1"/>
    <xf numFmtId="0" fontId="1" fillId="16" borderId="6" xfId="40" applyFont="1" applyFill="1" applyBorder="1"/>
    <xf numFmtId="173" fontId="2" fillId="10" borderId="0" xfId="40" applyNumberFormat="1" applyFont="1" applyFill="1"/>
    <xf numFmtId="173" fontId="2" fillId="16" borderId="0" xfId="40" applyNumberFormat="1" applyFont="1" applyFill="1"/>
    <xf numFmtId="173" fontId="71" fillId="10" borderId="0" xfId="41" applyNumberFormat="1" applyFont="1" applyFill="1"/>
    <xf numFmtId="43" fontId="20" fillId="10" borderId="0" xfId="41" applyNumberFormat="1" applyFont="1" applyFill="1"/>
    <xf numFmtId="173" fontId="107" fillId="4" borderId="7" xfId="41" applyNumberFormat="1" applyFont="1" applyFill="1" applyBorder="1"/>
    <xf numFmtId="173" fontId="1" fillId="4" borderId="8" xfId="41" applyNumberFormat="1" applyFont="1" applyFill="1" applyBorder="1"/>
    <xf numFmtId="173" fontId="1" fillId="4" borderId="9" xfId="41" applyNumberFormat="1" applyFont="1" applyFill="1" applyBorder="1"/>
    <xf numFmtId="173" fontId="71" fillId="4" borderId="7" xfId="41" applyNumberFormat="1" applyFont="1" applyFill="1" applyBorder="1"/>
    <xf numFmtId="0" fontId="1" fillId="4" borderId="8" xfId="40" applyFont="1" applyFill="1" applyBorder="1"/>
    <xf numFmtId="0" fontId="1" fillId="0" borderId="0" xfId="40"/>
    <xf numFmtId="39" fontId="1" fillId="10" borderId="0" xfId="0" applyNumberFormat="1" applyFont="1" applyFill="1"/>
    <xf numFmtId="37" fontId="2" fillId="10" borderId="0" xfId="0" applyNumberFormat="1" applyFont="1" applyFill="1" applyAlignment="1">
      <alignment horizontal="center"/>
    </xf>
    <xf numFmtId="189" fontId="108" fillId="10" borderId="0" xfId="0" applyNumberFormat="1" applyFont="1" applyFill="1"/>
    <xf numFmtId="0" fontId="97" fillId="10" borderId="6" xfId="0" applyFont="1" applyFill="1" applyBorder="1" applyAlignment="1">
      <alignment horizontal="centerContinuous"/>
    </xf>
    <xf numFmtId="184" fontId="97" fillId="10" borderId="6" xfId="0" applyNumberFormat="1" applyFont="1" applyFill="1" applyBorder="1" applyAlignment="1">
      <alignment horizontal="centerContinuous"/>
    </xf>
    <xf numFmtId="184" fontId="108" fillId="10" borderId="0" xfId="0" applyNumberFormat="1" applyFont="1" applyFill="1" applyAlignment="1">
      <alignment horizontal="center"/>
    </xf>
    <xf numFmtId="184" fontId="109" fillId="10" borderId="0" xfId="28" applyNumberFormat="1" applyFont="1" applyFill="1" applyBorder="1" applyAlignment="1">
      <alignment horizontal="left"/>
    </xf>
    <xf numFmtId="0" fontId="68" fillId="10" borderId="0" xfId="0" applyFont="1" applyFill="1" applyBorder="1" applyAlignment="1">
      <alignment horizontal="centerContinuous"/>
    </xf>
    <xf numFmtId="189" fontId="97" fillId="10" borderId="6" xfId="0" applyNumberFormat="1" applyFont="1" applyFill="1" applyBorder="1" applyAlignment="1">
      <alignment horizontal="centerContinuous"/>
    </xf>
    <xf numFmtId="0" fontId="69" fillId="10" borderId="10" xfId="0" applyFont="1" applyFill="1" applyBorder="1"/>
    <xf numFmtId="184" fontId="69" fillId="10" borderId="10" xfId="0" applyNumberFormat="1" applyFont="1" applyFill="1" applyBorder="1" applyAlignment="1">
      <alignment horizontal="center"/>
    </xf>
    <xf numFmtId="173" fontId="1" fillId="10" borderId="0" xfId="0" applyNumberFormat="1" applyFont="1" applyFill="1"/>
    <xf numFmtId="37" fontId="1" fillId="10" borderId="0" xfId="0" applyNumberFormat="1" applyFont="1" applyFill="1" applyBorder="1" applyAlignment="1">
      <alignment horizontal="right"/>
    </xf>
    <xf numFmtId="175" fontId="110" fillId="10" borderId="0" xfId="0" applyNumberFormat="1" applyFont="1" applyFill="1" applyAlignment="1">
      <alignment horizontal="right"/>
    </xf>
    <xf numFmtId="5" fontId="99" fillId="10" borderId="0" xfId="0" applyNumberFormat="1" applyFont="1" applyFill="1" applyAlignment="1">
      <alignment horizontal="right"/>
    </xf>
    <xf numFmtId="174" fontId="10" fillId="0" borderId="0" xfId="28" applyFont="1" applyFill="1" applyAlignment="1" applyProtection="1">
      <alignment horizontal="left"/>
    </xf>
    <xf numFmtId="37" fontId="10" fillId="0" borderId="0" xfId="8" applyNumberFormat="1" applyFont="1" applyFill="1" applyProtection="1"/>
    <xf numFmtId="169" fontId="37" fillId="0" borderId="0" xfId="8" applyNumberFormat="1" applyFont="1" applyFill="1" applyBorder="1" applyAlignment="1" applyProtection="1">
      <alignment horizontal="left"/>
    </xf>
    <xf numFmtId="37" fontId="10" fillId="0" borderId="11" xfId="8" applyNumberFormat="1" applyFont="1" applyFill="1" applyBorder="1" applyProtection="1"/>
    <xf numFmtId="201" fontId="111" fillId="0" borderId="0" xfId="8" applyNumberFormat="1" applyFont="1" applyFill="1" applyBorder="1" applyAlignment="1" applyProtection="1">
      <alignment horizontal="right"/>
    </xf>
    <xf numFmtId="37" fontId="10" fillId="0" borderId="0" xfId="8" applyNumberFormat="1" applyFont="1" applyFill="1" applyBorder="1" applyProtection="1"/>
    <xf numFmtId="37" fontId="16" fillId="0" borderId="0" xfId="8" applyNumberFormat="1" applyFont="1" applyFill="1" applyProtection="1"/>
    <xf numFmtId="201" fontId="29" fillId="0" borderId="0" xfId="8" applyNumberFormat="1" applyFont="1" applyFill="1" applyBorder="1" applyAlignment="1" applyProtection="1">
      <alignment horizontal="right"/>
    </xf>
    <xf numFmtId="37" fontId="0" fillId="0" borderId="0" xfId="0" applyNumberFormat="1" applyFill="1"/>
    <xf numFmtId="174" fontId="10" fillId="0" borderId="0" xfId="28" applyFont="1" applyFill="1" applyBorder="1" applyAlignment="1" applyProtection="1">
      <alignment horizontal="left"/>
    </xf>
    <xf numFmtId="37" fontId="16" fillId="0" borderId="0" xfId="8" applyNumberFormat="1" applyFont="1" applyFill="1" applyBorder="1" applyProtection="1"/>
    <xf numFmtId="201" fontId="101" fillId="0" borderId="0" xfId="8" applyNumberFormat="1" applyFont="1" applyFill="1" applyBorder="1" applyAlignment="1" applyProtection="1">
      <alignment horizontal="right"/>
    </xf>
    <xf numFmtId="37" fontId="10" fillId="0" borderId="22" xfId="8" applyNumberFormat="1" applyFont="1" applyFill="1" applyBorder="1" applyProtection="1"/>
    <xf numFmtId="37" fontId="112" fillId="10" borderId="0" xfId="0" applyNumberFormat="1" applyFont="1" applyFill="1" applyBorder="1"/>
    <xf numFmtId="37" fontId="112" fillId="0" borderId="0" xfId="8" applyNumberFormat="1" applyFont="1" applyFill="1" applyProtection="1"/>
    <xf numFmtId="37" fontId="112" fillId="0" borderId="0" xfId="0" applyNumberFormat="1" applyFont="1" applyFill="1" applyBorder="1"/>
    <xf numFmtId="201" fontId="101" fillId="10" borderId="0" xfId="8" applyNumberFormat="1" applyFont="1" applyFill="1" applyBorder="1" applyAlignment="1" applyProtection="1">
      <alignment horizontal="right"/>
    </xf>
    <xf numFmtId="37" fontId="111" fillId="10" borderId="0" xfId="8" applyNumberFormat="1" applyFont="1" applyFill="1" applyBorder="1" applyProtection="1"/>
    <xf numFmtId="43" fontId="10" fillId="0" borderId="0" xfId="0" applyNumberFormat="1" applyFont="1" applyFill="1" applyBorder="1"/>
    <xf numFmtId="169" fontId="7" fillId="0" borderId="0" xfId="8" applyNumberFormat="1" applyFont="1" applyFill="1" applyBorder="1" applyAlignment="1" applyProtection="1">
      <alignment horizontal="center"/>
    </xf>
    <xf numFmtId="169" fontId="52" fillId="0" borderId="0" xfId="8" applyNumberFormat="1" applyFont="1" applyFill="1" applyBorder="1" applyAlignment="1" applyProtection="1">
      <alignment horizontal="center"/>
    </xf>
    <xf numFmtId="0" fontId="0" fillId="0" borderId="27" xfId="0" applyFill="1" applyBorder="1"/>
    <xf numFmtId="169" fontId="37" fillId="0" borderId="0" xfId="8" applyNumberFormat="1" applyFont="1" applyFill="1" applyBorder="1" applyAlignment="1" applyProtection="1">
      <alignment horizontal="center"/>
    </xf>
    <xf numFmtId="43" fontId="101" fillId="0" borderId="0" xfId="0" applyNumberFormat="1" applyFont="1" applyFill="1" applyBorder="1"/>
    <xf numFmtId="43" fontId="14" fillId="0" borderId="11" xfId="8" applyNumberFormat="1" applyFont="1" applyFill="1" applyBorder="1" applyProtection="1"/>
    <xf numFmtId="169" fontId="61" fillId="0" borderId="0" xfId="8" applyNumberFormat="1" applyFont="1" applyFill="1" applyBorder="1" applyAlignment="1" applyProtection="1">
      <alignment horizontal="center"/>
    </xf>
    <xf numFmtId="43" fontId="14" fillId="0" borderId="22" xfId="8" applyNumberFormat="1" applyFont="1" applyFill="1" applyBorder="1" applyProtection="1"/>
    <xf numFmtId="0" fontId="70" fillId="0" borderId="0" xfId="0" applyFont="1" applyFill="1" applyBorder="1" applyAlignment="1">
      <alignment horizontal="center"/>
    </xf>
    <xf numFmtId="0" fontId="7" fillId="0" borderId="0" xfId="0" applyFont="1" applyFill="1" applyBorder="1"/>
    <xf numFmtId="5" fontId="7" fillId="0" borderId="0" xfId="12" applyNumberFormat="1" applyFont="1" applyFill="1" applyBorder="1"/>
    <xf numFmtId="37" fontId="7" fillId="0" borderId="0" xfId="12" applyNumberFormat="1" applyFont="1" applyFill="1" applyBorder="1"/>
    <xf numFmtId="187" fontId="7" fillId="0" borderId="0" xfId="12" applyNumberFormat="1" applyFont="1" applyFill="1" applyBorder="1"/>
    <xf numFmtId="187" fontId="7" fillId="0" borderId="0" xfId="12" applyNumberFormat="1" applyFont="1" applyFill="1" applyBorder="1" applyAlignment="1">
      <alignment horizontal="right"/>
    </xf>
    <xf numFmtId="0" fontId="69" fillId="0" borderId="21" xfId="0" applyFont="1" applyFill="1" applyBorder="1" applyAlignment="1">
      <alignment horizontal="center"/>
    </xf>
    <xf numFmtId="0" fontId="7" fillId="0" borderId="21" xfId="0" applyFont="1" applyFill="1" applyBorder="1"/>
    <xf numFmtId="5" fontId="7" fillId="0" borderId="21" xfId="12" applyNumberFormat="1" applyFont="1" applyFill="1" applyBorder="1"/>
    <xf numFmtId="37" fontId="7" fillId="0" borderId="21" xfId="12" applyNumberFormat="1" applyFont="1" applyFill="1" applyBorder="1"/>
    <xf numFmtId="43" fontId="7" fillId="0" borderId="21" xfId="8" applyFont="1" applyFill="1" applyBorder="1"/>
    <xf numFmtId="187" fontId="7" fillId="0" borderId="21" xfId="8" applyNumberFormat="1" applyFont="1" applyFill="1" applyBorder="1"/>
    <xf numFmtId="187" fontId="7" fillId="0" borderId="21" xfId="8" applyNumberFormat="1" applyFont="1" applyFill="1" applyBorder="1" applyAlignment="1">
      <alignment horizontal="right"/>
    </xf>
    <xf numFmtId="187" fontId="7" fillId="10" borderId="6" xfId="8" applyNumberFormat="1" applyFont="1" applyFill="1" applyBorder="1"/>
    <xf numFmtId="5" fontId="7" fillId="10" borderId="6" xfId="12" applyNumberFormat="1" applyFont="1" applyFill="1" applyBorder="1"/>
    <xf numFmtId="189" fontId="68" fillId="10" borderId="21" xfId="0" applyNumberFormat="1" applyFont="1" applyFill="1" applyBorder="1" applyAlignment="1">
      <alignment horizontal="center"/>
    </xf>
    <xf numFmtId="0" fontId="7" fillId="0" borderId="6" xfId="0" applyFont="1" applyFill="1" applyBorder="1"/>
    <xf numFmtId="0" fontId="7" fillId="0" borderId="7" xfId="0" applyFont="1" applyFill="1" applyBorder="1"/>
    <xf numFmtId="0" fontId="2" fillId="0" borderId="8" xfId="0" applyFont="1" applyFill="1" applyBorder="1" applyAlignment="1">
      <alignment horizontal="center"/>
    </xf>
    <xf numFmtId="0" fontId="7" fillId="0" borderId="8" xfId="0" applyFont="1" applyFill="1" applyBorder="1"/>
    <xf numFmtId="0" fontId="7" fillId="0" borderId="9" xfId="0" applyFont="1" applyFill="1" applyBorder="1"/>
    <xf numFmtId="0" fontId="2" fillId="0" borderId="7" xfId="0" applyFont="1" applyFill="1" applyBorder="1" applyAlignment="1">
      <alignment horizontal="center"/>
    </xf>
    <xf numFmtId="0" fontId="68" fillId="0" borderId="8" xfId="0" applyFont="1" applyFill="1" applyBorder="1" applyAlignment="1">
      <alignment horizontal="center"/>
    </xf>
    <xf numFmtId="0" fontId="7" fillId="0" borderId="20" xfId="0" applyFont="1" applyFill="1" applyBorder="1"/>
    <xf numFmtId="0" fontId="7" fillId="0" borderId="10" xfId="0" applyFont="1" applyFill="1" applyBorder="1"/>
    <xf numFmtId="0" fontId="7" fillId="0" borderId="18" xfId="0" applyFont="1" applyFill="1" applyBorder="1"/>
    <xf numFmtId="164" fontId="49" fillId="0" borderId="29" xfId="31" applyNumberFormat="1" applyFont="1" applyFill="1" applyBorder="1" applyProtection="1"/>
    <xf numFmtId="165" fontId="7" fillId="0" borderId="0" xfId="0" applyNumberFormat="1" applyFont="1" applyFill="1" applyBorder="1"/>
    <xf numFmtId="0" fontId="7" fillId="0" borderId="29" xfId="0" applyFont="1" applyFill="1" applyBorder="1"/>
    <xf numFmtId="165" fontId="7" fillId="0" borderId="29" xfId="0" applyNumberFormat="1" applyFont="1" applyFill="1" applyBorder="1" applyAlignment="1">
      <alignment horizontal="right"/>
    </xf>
    <xf numFmtId="165" fontId="7" fillId="0" borderId="29" xfId="0" applyNumberFormat="1" applyFont="1" applyFill="1" applyBorder="1"/>
    <xf numFmtId="0" fontId="7" fillId="0" borderId="16" xfId="0" applyFont="1" applyFill="1" applyBorder="1"/>
    <xf numFmtId="0" fontId="7" fillId="0" borderId="19" xfId="0" applyFont="1" applyFill="1" applyBorder="1"/>
    <xf numFmtId="0" fontId="2" fillId="0" borderId="6" xfId="0" applyFont="1" applyFill="1" applyBorder="1"/>
    <xf numFmtId="43" fontId="26" fillId="0" borderId="0" xfId="0" applyNumberFormat="1" applyFont="1" applyFill="1"/>
    <xf numFmtId="183" fontId="7" fillId="0" borderId="0" xfId="0" applyNumberFormat="1" applyFont="1" applyFill="1"/>
    <xf numFmtId="172" fontId="7" fillId="0" borderId="0" xfId="8" applyNumberFormat="1" applyFont="1" applyFill="1"/>
    <xf numFmtId="0" fontId="26" fillId="0" borderId="0" xfId="0" applyFont="1" applyFill="1"/>
    <xf numFmtId="164" fontId="49" fillId="0" borderId="16" xfId="31" applyNumberFormat="1" applyFont="1" applyFill="1" applyBorder="1" applyProtection="1"/>
    <xf numFmtId="165" fontId="7" fillId="0" borderId="6" xfId="0" applyNumberFormat="1" applyFont="1" applyFill="1" applyBorder="1"/>
    <xf numFmtId="177" fontId="7" fillId="0" borderId="29" xfId="34" applyNumberFormat="1" applyFont="1" applyFill="1" applyBorder="1"/>
    <xf numFmtId="0" fontId="2" fillId="0" borderId="29" xfId="0" applyFont="1" applyFill="1" applyBorder="1"/>
    <xf numFmtId="0" fontId="2" fillId="0" borderId="0" xfId="0" applyFont="1" applyFill="1" applyBorder="1"/>
    <xf numFmtId="0" fontId="2" fillId="0" borderId="21" xfId="0" applyFont="1" applyFill="1" applyBorder="1"/>
    <xf numFmtId="7" fontId="7" fillId="12" borderId="18" xfId="8" applyNumberFormat="1" applyFont="1" applyFill="1" applyBorder="1" applyAlignment="1">
      <alignment horizontal="right"/>
    </xf>
    <xf numFmtId="175" fontId="1" fillId="10" borderId="0" xfId="0" applyNumberFormat="1" applyFont="1" applyFill="1"/>
    <xf numFmtId="175" fontId="1" fillId="10" borderId="6" xfId="0" applyNumberFormat="1" applyFont="1" applyFill="1" applyBorder="1"/>
    <xf numFmtId="3" fontId="7" fillId="10" borderId="0" xfId="0" applyNumberFormat="1" applyFont="1" applyFill="1" applyAlignment="1">
      <alignment horizontal="right"/>
    </xf>
    <xf numFmtId="37" fontId="1" fillId="10" borderId="6" xfId="0" applyNumberFormat="1" applyFont="1" applyFill="1" applyBorder="1" applyAlignment="1">
      <alignment horizontal="right"/>
    </xf>
    <xf numFmtId="0" fontId="2" fillId="0" borderId="0" xfId="0" applyFont="1" applyFill="1" applyBorder="1" applyAlignment="1">
      <alignment horizontal="right"/>
    </xf>
    <xf numFmtId="171" fontId="96" fillId="0" borderId="0" xfId="0" applyNumberFormat="1" applyFont="1" applyFill="1" applyBorder="1" applyProtection="1"/>
    <xf numFmtId="37" fontId="98" fillId="0" borderId="0" xfId="0" applyNumberFormat="1" applyFont="1" applyFill="1" applyBorder="1" applyAlignment="1">
      <alignment horizontal="right"/>
    </xf>
    <xf numFmtId="171" fontId="98" fillId="0" borderId="0" xfId="0" applyNumberFormat="1" applyFont="1" applyFill="1" applyBorder="1" applyProtection="1"/>
    <xf numFmtId="164" fontId="98" fillId="10" borderId="0" xfId="0" applyNumberFormat="1" applyFont="1" applyFill="1" applyAlignment="1">
      <alignment horizontal="right"/>
    </xf>
    <xf numFmtId="37" fontId="1" fillId="10" borderId="0" xfId="12" quotePrefix="1" applyNumberFormat="1" applyFont="1" applyFill="1"/>
    <xf numFmtId="177" fontId="1" fillId="10" borderId="0" xfId="0" applyNumberFormat="1" applyFont="1" applyFill="1"/>
    <xf numFmtId="172" fontId="1" fillId="10" borderId="0" xfId="8" applyNumberFormat="1" applyFont="1" applyFill="1"/>
    <xf numFmtId="0" fontId="7" fillId="12" borderId="18" xfId="0" applyFont="1" applyFill="1" applyBorder="1"/>
    <xf numFmtId="0" fontId="7" fillId="10" borderId="18" xfId="0" applyFont="1" applyFill="1" applyBorder="1"/>
    <xf numFmtId="187" fontId="7" fillId="10" borderId="21" xfId="12" applyNumberFormat="1" applyFont="1" applyFill="1" applyBorder="1"/>
    <xf numFmtId="0" fontId="7" fillId="12" borderId="21" xfId="0" applyFont="1" applyFill="1" applyBorder="1"/>
    <xf numFmtId="200" fontId="2" fillId="10" borderId="0" xfId="0" applyNumberFormat="1" applyFont="1" applyFill="1" applyAlignment="1">
      <alignment horizontal="center"/>
    </xf>
    <xf numFmtId="233" fontId="7" fillId="10" borderId="0" xfId="0" applyNumberFormat="1" applyFont="1" applyFill="1"/>
    <xf numFmtId="201" fontId="95" fillId="10" borderId="0" xfId="8" applyNumberFormat="1" applyFont="1" applyFill="1" applyBorder="1" applyAlignment="1" applyProtection="1">
      <alignment horizontal="right"/>
    </xf>
    <xf numFmtId="201" fontId="113" fillId="10" borderId="0" xfId="8" applyNumberFormat="1" applyFont="1" applyFill="1" applyBorder="1" applyAlignment="1" applyProtection="1">
      <alignment horizontal="right"/>
    </xf>
    <xf numFmtId="37" fontId="27" fillId="0" borderId="0" xfId="0" applyNumberFormat="1" applyFont="1" applyFill="1"/>
    <xf numFmtId="10" fontId="7" fillId="10" borderId="0" xfId="34" applyNumberFormat="1" applyFont="1" applyFill="1" applyBorder="1" applyAlignment="1">
      <alignment horizontal="right"/>
    </xf>
    <xf numFmtId="190" fontId="1" fillId="10" borderId="0" xfId="0" applyNumberFormat="1" applyFont="1" applyFill="1" applyAlignment="1">
      <alignment horizontal="right"/>
    </xf>
    <xf numFmtId="203" fontId="98" fillId="0" borderId="14" xfId="0" applyNumberFormat="1" applyFont="1" applyFill="1" applyBorder="1" applyProtection="1"/>
    <xf numFmtId="171" fontId="98" fillId="0" borderId="27" xfId="0" applyNumberFormat="1" applyFont="1" applyFill="1" applyBorder="1" applyProtection="1"/>
    <xf numFmtId="37" fontId="98" fillId="0" borderId="6" xfId="0" applyNumberFormat="1" applyFont="1" applyFill="1" applyBorder="1" applyAlignment="1">
      <alignment horizontal="right"/>
    </xf>
    <xf numFmtId="203" fontId="98" fillId="0" borderId="25" xfId="0" applyNumberFormat="1" applyFont="1" applyFill="1" applyBorder="1" applyProtection="1"/>
    <xf numFmtId="171" fontId="98" fillId="0" borderId="26" xfId="0" applyNumberFormat="1" applyFont="1" applyFill="1" applyBorder="1" applyProtection="1"/>
    <xf numFmtId="37" fontId="98" fillId="0" borderId="0" xfId="0" applyNumberFormat="1" applyFont="1" applyFill="1" applyAlignment="1">
      <alignment horizontal="right"/>
    </xf>
    <xf numFmtId="164" fontId="1" fillId="10" borderId="0" xfId="0" applyNumberFormat="1" applyFont="1" applyFill="1"/>
    <xf numFmtId="170" fontId="1" fillId="10" borderId="0" xfId="0" applyNumberFormat="1" applyFont="1" applyFill="1"/>
    <xf numFmtId="170" fontId="1" fillId="10" borderId="6" xfId="0" applyNumberFormat="1" applyFont="1" applyFill="1" applyBorder="1"/>
    <xf numFmtId="39" fontId="1" fillId="10" borderId="6" xfId="0" applyNumberFormat="1" applyFont="1" applyFill="1" applyBorder="1"/>
    <xf numFmtId="7" fontId="1" fillId="10" borderId="0" xfId="0" applyNumberFormat="1" applyFont="1" applyFill="1"/>
    <xf numFmtId="37" fontId="1" fillId="10" borderId="0" xfId="25" applyFont="1" applyFill="1" applyAlignment="1" applyProtection="1">
      <alignment horizontal="left"/>
    </xf>
    <xf numFmtId="183" fontId="1" fillId="10" borderId="0" xfId="0" applyNumberFormat="1" applyFont="1" applyFill="1"/>
    <xf numFmtId="37" fontId="1" fillId="10" borderId="0" xfId="0" applyNumberFormat="1" applyFont="1" applyFill="1" applyBorder="1"/>
    <xf numFmtId="10" fontId="1" fillId="10" borderId="0" xfId="12" applyNumberFormat="1" applyFont="1" applyFill="1"/>
    <xf numFmtId="168" fontId="1" fillId="10" borderId="0" xfId="0" applyNumberFormat="1" applyFont="1" applyFill="1" applyBorder="1"/>
    <xf numFmtId="168" fontId="1" fillId="10" borderId="0" xfId="0" applyNumberFormat="1" applyFont="1" applyFill="1"/>
    <xf numFmtId="168" fontId="1" fillId="10" borderId="0" xfId="0" applyNumberFormat="1" applyFont="1" applyFill="1" applyBorder="1" applyAlignment="1">
      <alignment horizontal="right"/>
    </xf>
    <xf numFmtId="39" fontId="1" fillId="10" borderId="0" xfId="0" applyNumberFormat="1" applyFont="1" applyFill="1" applyAlignment="1">
      <alignment horizontal="right"/>
    </xf>
    <xf numFmtId="0" fontId="1" fillId="0" borderId="0" xfId="0" applyFont="1" applyFill="1" applyBorder="1" applyAlignment="1">
      <alignment horizontal="center"/>
    </xf>
    <xf numFmtId="165" fontId="1" fillId="0" borderId="0" xfId="0" applyNumberFormat="1" applyFont="1" applyFill="1" applyBorder="1" applyAlignment="1">
      <alignment horizontal="center"/>
    </xf>
    <xf numFmtId="203" fontId="98" fillId="10" borderId="25" xfId="0" applyNumberFormat="1" applyFont="1" applyFill="1" applyBorder="1" applyProtection="1"/>
    <xf numFmtId="171" fontId="98" fillId="10" borderId="26" xfId="0" applyNumberFormat="1" applyFont="1" applyFill="1" applyBorder="1" applyProtection="1"/>
    <xf numFmtId="203" fontId="1" fillId="10" borderId="0" xfId="0" applyNumberFormat="1" applyFont="1" applyFill="1" applyProtection="1"/>
    <xf numFmtId="171" fontId="1" fillId="10" borderId="0" xfId="0" applyNumberFormat="1" applyFont="1" applyFill="1" applyBorder="1" applyProtection="1"/>
    <xf numFmtId="203" fontId="1" fillId="0" borderId="0" xfId="0" applyNumberFormat="1" applyFont="1" applyFill="1" applyProtection="1"/>
    <xf numFmtId="171" fontId="1" fillId="0" borderId="0" xfId="0" applyNumberFormat="1" applyFont="1" applyFill="1" applyBorder="1" applyProtection="1"/>
    <xf numFmtId="0" fontId="1" fillId="0" borderId="0" xfId="0" applyFont="1" applyFill="1" applyBorder="1"/>
    <xf numFmtId="171" fontId="1" fillId="10" borderId="0" xfId="0" applyNumberFormat="1" applyFont="1" applyFill="1" applyBorder="1"/>
    <xf numFmtId="37" fontId="96" fillId="10" borderId="0" xfId="0" applyNumberFormat="1" applyFont="1" applyFill="1" applyBorder="1" applyAlignment="1">
      <alignment horizontal="right"/>
    </xf>
    <xf numFmtId="177" fontId="1" fillId="10" borderId="0" xfId="34" applyNumberFormat="1" applyFont="1" applyFill="1"/>
    <xf numFmtId="37" fontId="99" fillId="10" borderId="0" xfId="0" applyNumberFormat="1" applyFont="1" applyFill="1" applyBorder="1" applyAlignment="1">
      <alignment horizontal="right"/>
    </xf>
    <xf numFmtId="200" fontId="7" fillId="10" borderId="0" xfId="12" applyNumberFormat="1" applyFont="1" applyFill="1"/>
    <xf numFmtId="233" fontId="7" fillId="10" borderId="0" xfId="12" applyNumberFormat="1" applyFont="1" applyFill="1"/>
    <xf numFmtId="9" fontId="0" fillId="10" borderId="0" xfId="34" applyNumberFormat="1" applyFont="1" applyFill="1"/>
    <xf numFmtId="195" fontId="114" fillId="10" borderId="0" xfId="0" applyNumberFormat="1" applyFont="1" applyFill="1" applyBorder="1" applyAlignment="1">
      <alignment horizontal="left"/>
    </xf>
    <xf numFmtId="200" fontId="7" fillId="10" borderId="0" xfId="12" applyNumberFormat="1" applyFont="1" applyFill="1" applyBorder="1" applyAlignment="1">
      <alignment horizontal="right"/>
    </xf>
    <xf numFmtId="43" fontId="95" fillId="10" borderId="11" xfId="8" applyNumberFormat="1" applyFont="1" applyFill="1" applyBorder="1" applyProtection="1"/>
    <xf numFmtId="37" fontId="98" fillId="10" borderId="0" xfId="12" applyNumberFormat="1" applyFont="1" applyFill="1" applyBorder="1"/>
    <xf numFmtId="43" fontId="101" fillId="10" borderId="0" xfId="0" applyNumberFormat="1" applyFont="1" applyFill="1" applyBorder="1"/>
    <xf numFmtId="0" fontId="1" fillId="17" borderId="0" xfId="47" applyFont="1" applyFill="1" applyAlignment="1">
      <alignment vertical="top"/>
    </xf>
    <xf numFmtId="0" fontId="1" fillId="17" borderId="0" xfId="40" applyFill="1" applyAlignment="1">
      <alignment vertical="top"/>
    </xf>
    <xf numFmtId="0" fontId="1" fillId="17" borderId="0" xfId="40" applyFill="1"/>
    <xf numFmtId="0" fontId="25" fillId="17" borderId="0" xfId="47" applyFont="1" applyFill="1" applyAlignment="1">
      <alignment horizontal="left" vertical="top"/>
    </xf>
    <xf numFmtId="0" fontId="1" fillId="17" borderId="0" xfId="40" applyFont="1" applyFill="1" applyAlignment="1">
      <alignment vertical="top"/>
    </xf>
    <xf numFmtId="0" fontId="27" fillId="17" borderId="0" xfId="47" applyFont="1" applyFill="1" applyAlignment="1">
      <alignment vertical="top"/>
    </xf>
    <xf numFmtId="0" fontId="0" fillId="17" borderId="0" xfId="0" applyFill="1" applyAlignment="1">
      <alignment vertical="top"/>
    </xf>
    <xf numFmtId="0" fontId="115" fillId="17" borderId="0" xfId="0" applyFont="1" applyFill="1" applyAlignment="1">
      <alignment vertical="top"/>
    </xf>
    <xf numFmtId="0" fontId="116" fillId="17" borderId="0" xfId="0" applyFont="1" applyFill="1" applyAlignment="1">
      <alignment vertical="top"/>
    </xf>
    <xf numFmtId="0" fontId="115" fillId="17" borderId="43" xfId="0" applyFont="1" applyFill="1" applyBorder="1" applyAlignment="1">
      <alignment vertical="top"/>
    </xf>
    <xf numFmtId="9" fontId="115" fillId="17" borderId="43" xfId="0" applyNumberFormat="1" applyFont="1" applyFill="1" applyBorder="1" applyAlignment="1">
      <alignment vertical="top"/>
    </xf>
    <xf numFmtId="3" fontId="115" fillId="17" borderId="43" xfId="0" applyNumberFormat="1" applyFont="1" applyFill="1" applyBorder="1" applyAlignment="1">
      <alignment vertical="top"/>
    </xf>
    <xf numFmtId="2" fontId="1" fillId="0" borderId="0" xfId="40" applyNumberFormat="1" applyAlignment="1">
      <alignment horizontal="left"/>
    </xf>
    <xf numFmtId="0" fontId="1" fillId="0" borderId="0" xfId="40" applyNumberFormat="1" applyAlignment="1">
      <alignment horizontal="left"/>
    </xf>
    <xf numFmtId="1" fontId="1" fillId="0" borderId="0" xfId="40" applyNumberFormat="1" applyAlignment="1">
      <alignment horizontal="left"/>
    </xf>
    <xf numFmtId="234" fontId="1" fillId="0" borderId="0" xfId="40" applyNumberFormat="1" applyAlignment="1">
      <alignment horizontal="left"/>
    </xf>
    <xf numFmtId="49" fontId="1" fillId="0" borderId="0" xfId="40" applyNumberFormat="1"/>
    <xf numFmtId="0" fontId="0" fillId="17" borderId="48" xfId="0" applyFill="1" applyBorder="1" applyAlignment="1">
      <alignment vertical="top"/>
    </xf>
    <xf numFmtId="0" fontId="115" fillId="17" borderId="0" xfId="0" applyFont="1" applyFill="1" applyAlignment="1">
      <alignment vertical="top"/>
    </xf>
    <xf numFmtId="0" fontId="115" fillId="17" borderId="44" xfId="0" applyFont="1" applyFill="1" applyBorder="1" applyAlignment="1">
      <alignment vertical="top"/>
    </xf>
    <xf numFmtId="0" fontId="115" fillId="17" borderId="45" xfId="0" applyFont="1" applyFill="1" applyBorder="1" applyAlignment="1">
      <alignment vertical="top"/>
    </xf>
    <xf numFmtId="0" fontId="115" fillId="17" borderId="46" xfId="0" applyFont="1" applyFill="1" applyBorder="1" applyAlignment="1">
      <alignment vertical="top"/>
    </xf>
    <xf numFmtId="0" fontId="116" fillId="17" borderId="0" xfId="0" applyFont="1" applyFill="1" applyAlignment="1">
      <alignment vertical="top"/>
    </xf>
    <xf numFmtId="0" fontId="0" fillId="17" borderId="0" xfId="0" applyFill="1" applyAlignment="1">
      <alignment vertical="top"/>
    </xf>
    <xf numFmtId="0" fontId="0" fillId="17" borderId="47" xfId="0" applyFill="1" applyBorder="1" applyAlignment="1">
      <alignment vertical="top"/>
    </xf>
    <xf numFmtId="189" fontId="97" fillId="10" borderId="6" xfId="0" applyNumberFormat="1" applyFont="1" applyFill="1" applyBorder="1" applyAlignment="1">
      <alignment horizontal="center"/>
    </xf>
    <xf numFmtId="37" fontId="2" fillId="10" borderId="0" xfId="0" applyNumberFormat="1" applyFont="1" applyFill="1" applyAlignment="1">
      <alignment horizontal="center"/>
    </xf>
    <xf numFmtId="0" fontId="80" fillId="11" borderId="0" xfId="0" applyFont="1" applyFill="1" applyAlignment="1">
      <alignment horizontal="center"/>
    </xf>
    <xf numFmtId="0" fontId="80" fillId="11" borderId="36" xfId="0" applyFont="1" applyFill="1" applyBorder="1" applyAlignment="1">
      <alignment horizontal="center"/>
    </xf>
    <xf numFmtId="0" fontId="2" fillId="10" borderId="0" xfId="40" applyFont="1" applyFill="1" applyAlignment="1">
      <alignment horizontal="center"/>
    </xf>
    <xf numFmtId="0" fontId="2" fillId="16" borderId="0" xfId="40" applyFont="1" applyFill="1" applyAlignment="1">
      <alignment horizontal="center"/>
    </xf>
  </cellXfs>
  <cellStyles count="48">
    <cellStyle name=" 1" xfId="1"/>
    <cellStyle name="******************************************" xfId="2"/>
    <cellStyle name="_FY Guidancev2 " xfId="3"/>
    <cellStyle name="_SUMMARY " xfId="4"/>
    <cellStyle name="0_Capex &amp; Depreciation " xfId="5"/>
    <cellStyle name="0_Valuing BP " xfId="6"/>
    <cellStyle name="c_HardInc " xfId="7"/>
    <cellStyle name="Comma" xfId="8" builtinId="3"/>
    <cellStyle name="Comma 2" xfId="9"/>
    <cellStyle name="Comma 3" xfId="41"/>
    <cellStyle name="Comma_Lease Module TPG example 30062004 capex" xfId="10"/>
    <cellStyle name="Comma_TPG lease ex Leon" xfId="11"/>
    <cellStyle name="Currency" xfId="12" builtinId="4"/>
    <cellStyle name="Currency 2 2" xfId="43"/>
    <cellStyle name="Hyperlink 2" xfId="13"/>
    <cellStyle name="Normal" xfId="0" builtinId="0"/>
    <cellStyle name="Normal 2" xfId="14"/>
    <cellStyle name="Normal 2 2" xfId="40"/>
    <cellStyle name="Normal_ABSANUAL" xfId="15"/>
    <cellStyle name="Normal_AEO" xfId="16"/>
    <cellStyle name="Normal_Analysis V5" xfId="17"/>
    <cellStyle name="Normal_AXP_interactive_final" xfId="18"/>
    <cellStyle name="Normal_DisclaimerSheet Samples" xfId="47"/>
    <cellStyle name="Normal_GM Demo" xfId="19"/>
    <cellStyle name="Normal_GPSDIFF" xfId="20"/>
    <cellStyle name="Normal_hd roic" xfId="21"/>
    <cellStyle name="Normal_Lease examples 23072004" xfId="22"/>
    <cellStyle name="Normal_MONTHSAL" xfId="23"/>
    <cellStyle name="Normal_NEWSPACE" xfId="24"/>
    <cellStyle name="Normal_qtrP&amp;L" xfId="25"/>
    <cellStyle name="Normal_qtrSales" xfId="26"/>
    <cellStyle name="Normal_RSH" xfId="27"/>
    <cellStyle name="Normal_SALES_ROSTMONTH" xfId="28"/>
    <cellStyle name="Normal_Sheet1_1" xfId="29"/>
    <cellStyle name="Normal_SKS_working2" xfId="30"/>
    <cellStyle name="Normal_STORESUM" xfId="31"/>
    <cellStyle name="Normal_turn" xfId="32"/>
    <cellStyle name="Normal_UA Model" xfId="45"/>
    <cellStyle name="p " xfId="33"/>
    <cellStyle name="Percent" xfId="34" builtinId="5"/>
    <cellStyle name="Percent 2" xfId="35"/>
    <cellStyle name="Percent 3" xfId="42"/>
    <cellStyle name="Percent 3 2" xfId="46"/>
    <cellStyle name="RRSInstruction" xfId="36"/>
    <cellStyle name="RRSInstruction 2" xfId="44"/>
    <cellStyle name="s_HardInc " xfId="37"/>
    <cellStyle name="s_Valuation " xfId="38"/>
    <cellStyle name="ssp " xfId="39"/>
  </cellStyles>
  <dxfs count="38">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0000FF"/>
      <color rgb="FF008000"/>
      <color rgb="FF4F81BD"/>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1167</v>
        <stp/>
        <stp>17b5ea83-0af7-47d3-8e05-5d6aa8cca7d5</stp>
        <tr r="F9" s="85"/>
      </tp>
      <tp>
        <v>109</v>
        <stp/>
        <stp>73084517-edd7-45d6-95e7-21cd878c44cd</stp>
        <tr r="F16" s="85"/>
      </tp>
      <tp>
        <v>46.7</v>
        <stp/>
        <stp>46c9e1c0-b426-4d9c-8f38-0daf92c6e8d5</stp>
        <tr r="F24" s="85"/>
      </tp>
      <tp>
        <v>80</v>
        <stp/>
        <stp>1f8473c0-9bec-43d4-82f3-3f201b7fcd34</stp>
        <tr r="F20" s="85"/>
      </tp>
      <tp>
        <v>3343.1</v>
        <stp/>
        <stp>ec2785a8-e55a-40b4-8afc-6057d8460616</stp>
        <tr r="F4" s="85"/>
      </tp>
      <tp t="s">
        <v xml:space="preserve">$0.27 </v>
        <stp/>
        <stp>780011f9-d0ca-40f9-8819-c63504e15049</stp>
        <tr r="F26" s="85"/>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externalLinks/externalLink1.xml" Type="http://schemas.openxmlformats.org/officeDocument/2006/relationships/externalLink"/>
<Relationship Id="rId22" Target="externalLinks/externalLink2.xml" Type="http://schemas.openxmlformats.org/officeDocument/2006/relationships/externalLink"/>
<Relationship Id="rId23" Target="externalLinks/externalLink3.xml" Type="http://schemas.openxmlformats.org/officeDocument/2006/relationships/externalLink"/>
<Relationship Id="rId24" Target="externalLinks/externalLink4.xml" Type="http://schemas.openxmlformats.org/officeDocument/2006/relationships/externalLink"/>
<Relationship Id="rId25" Target="externalLinks/externalLink5.xml" Type="http://schemas.openxmlformats.org/officeDocument/2006/relationships/externalLink"/>
<Relationship Id="rId26" Target="externalLinks/externalLink6.xml" Type="http://schemas.openxmlformats.org/officeDocument/2006/relationships/externalLink"/>
<Relationship Id="rId27" Target="externalLinks/externalLink7.xml" Type="http://schemas.openxmlformats.org/officeDocument/2006/relationships/externalLink"/>
<Relationship Id="rId28" Target="externalLinks/externalLink8.xml" Type="http://schemas.openxmlformats.org/officeDocument/2006/relationships/externalLink"/>
<Relationship Id="rId29" Target="externalLinks/externalLink9.xml" Type="http://schemas.openxmlformats.org/officeDocument/2006/relationships/externalLink"/>
<Relationship Id="rId3" Target="worksheets/sheet3.xml" Type="http://schemas.openxmlformats.org/officeDocument/2006/relationships/worksheet"/>
<Relationship Id="rId30" Target="externalLinks/externalLink10.xml" Type="http://schemas.openxmlformats.org/officeDocument/2006/relationships/externalLink"/>
<Relationship Id="rId31" Target="externalLinks/externalLink11.xml" Type="http://schemas.openxmlformats.org/officeDocument/2006/relationships/externalLink"/>
<Relationship Id="rId32" Target="externalLinks/externalLink12.xml" Type="http://schemas.openxmlformats.org/officeDocument/2006/relationships/externalLink"/>
<Relationship Id="rId33" Target="externalLinks/externalLink13.xml" Type="http://schemas.openxmlformats.org/officeDocument/2006/relationships/externalLink"/>
<Relationship Id="rId34" Target="externalLinks/externalLink14.xml" Type="http://schemas.openxmlformats.org/officeDocument/2006/relationships/externalLink"/>
<Relationship Id="rId35" Target="externalLinks/externalLink15.xml" Type="http://schemas.openxmlformats.org/officeDocument/2006/relationships/externalLink"/>
<Relationship Id="rId36" Target="externalLinks/externalLink16.xml" Type="http://schemas.openxmlformats.org/officeDocument/2006/relationships/externalLink"/>
<Relationship Id="rId37" Target="externalLinks/externalLink17.xml" Type="http://schemas.openxmlformats.org/officeDocument/2006/relationships/externalLink"/>
<Relationship Id="rId38" Target="externalLinks/externalLink18.xml" Type="http://schemas.openxmlformats.org/officeDocument/2006/relationships/externalLink"/>
<Relationship Id="rId39" Target="externalLinks/externalLink19.xml" Type="http://schemas.openxmlformats.org/officeDocument/2006/relationships/externalLink"/>
<Relationship Id="rId4" Target="worksheets/sheet4.xml" Type="http://schemas.openxmlformats.org/officeDocument/2006/relationships/worksheet"/>
<Relationship Id="rId40" Target="externalLinks/externalLink20.xml" Type="http://schemas.openxmlformats.org/officeDocument/2006/relationships/externalLink"/>
<Relationship Id="rId41" Target="externalLinks/externalLink21.xml" Type="http://schemas.openxmlformats.org/officeDocument/2006/relationships/externalLink"/>
<Relationship Id="rId42" Target="externalLinks/externalLink22.xml" Type="http://schemas.openxmlformats.org/officeDocument/2006/relationships/externalLink"/>
<Relationship Id="rId43" Target="externalLinks/externalLink23.xml" Type="http://schemas.openxmlformats.org/officeDocument/2006/relationships/externalLink"/>
<Relationship Id="rId44" Target="externalLinks/externalLink24.xml" Type="http://schemas.openxmlformats.org/officeDocument/2006/relationships/externalLink"/>
<Relationship Id="rId45" Target="theme/theme1.xml" Type="http://schemas.openxmlformats.org/officeDocument/2006/relationships/theme"/>
<Relationship Id="rId46" Target="styles.xml" Type="http://schemas.openxmlformats.org/officeDocument/2006/relationships/styles"/>
<Relationship Id="rId47" Target="sharedStrings.xml" Type="http://schemas.openxmlformats.org/officeDocument/2006/relationships/sharedStrings"/>
<Relationship Id="rId48" Target="calcChain.xml" Type="http://schemas.openxmlformats.org/officeDocument/2006/relationships/calcChain"/>
<Relationship Id="rId49" Target="../customXml/item1.xml" Type="http://schemas.openxmlformats.org/officeDocument/2006/relationships/customXml"/>
<Relationship Id="rId5" Target="worksheets/sheet5.xml" Type="http://schemas.openxmlformats.org/officeDocument/2006/relationships/worksheet"/>
<Relationship Id="rId50" Target="../customXml/item2.xml" Type="http://schemas.openxmlformats.org/officeDocument/2006/relationships/customXml"/>
<Relationship Id="rId51" Target="volatileDependencies.xml" Type="http://schemas.openxmlformats.org/officeDocument/2006/relationships/volatileDependencies"/>
<Relationship Id="rId52" Target="vbaProject.bin" Type="http://schemas.microsoft.com/office/2006/relationships/vbaProjec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7</xdr:col>
      <xdr:colOff>390525</xdr:colOff>
      <xdr:row>197</xdr:row>
      <xdr:rowOff>104775</xdr:rowOff>
    </xdr:to>
    <xdr:pic>
      <xdr:nvPicPr>
        <xdr:cNvPr id="16320513" name="Picture 1" descr="C:\Users\edouardd\AppData\Local\Temp\MercuryPriceRatingHistoryChart\JWN.N_2018_04_08_18_39_36.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8033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file:///K:/na/ny/users/johndasc/Docs/ID/Charts/Chart_Gallery/From%20Vlad/B11_BarSingle_AverageLine.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RETAIL/Softlines/Apparel/Earnings/At%20a%20Glance.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DOCUME~1/barrpet/LOCALS~1/Application%20Data/Research/ModelPublishing/SubmittedModels/GPS.N.txt" TargetMode="External" Type="http://schemas.microsoft.com/office/2006/relationships/xlExternalLinkPath/xlAlternateStartup"/>
</Relationships>

</file>

<file path=xl/externalLinks/_rels/externalLink7.xml.rels><?xml version="1.0" encoding="UTF-8" standalone="yes"?>
<Relationships xmlns="http://schemas.openxmlformats.org/package/2006/relationships">
<Relationship Id="rId1" Target="RETAIL/Apparel/Earnings/Bull%20Bear%20Base%20Charts_2.xls" TargetMode="External" Type="http://schemas.microsoft.com/office/2006/relationships/xlExternalLinkPath/xlAlternateStartup"/>
</Relationships>

</file>

<file path=xl/externalLinks/_rels/externalLink8.xml.rels><?xml version="1.0" encoding="UTF-8" standalone="yes"?>
<Relationships xmlns="http://schemas.openxmlformats.org/package/2006/relationships">
<Relationship Id="rId1" Target="RETAIL/Softlines/Apparel/Analyses/GPS/2009_10%20Note/GPS_analyst%20meeting%20charts_SMU_2009_10_15.xls" TargetMode="External" Type="http://schemas.microsoft.com/office/2006/relationships/xlExternalLinkPath/xlAlternateStartup"/>
</Relationships>

</file>

<file path=xl/externalLinks/_rels/externalLink9.xml.rels><?xml version="1.0" encoding="UTF-8" standalone="yes"?>
<Relationships xmlns="http://schemas.openxmlformats.org/package/2006/relationships">
<Relationship Id="rId1" Target="RETAIL/Softlines/Apparel/Valuation/Softlines%20Playbook.xls" TargetMode="External" Type="http://schemas.microsoft.com/office/2006/relationships/xlExternalLinkPath/xlAlternateStartup"/>
</Relationships>

</file>

<file path=xl/externalLinks/_rels/externalLink10.xml.rels><?xml version="1.0" encoding="UTF-8" standalone="yes"?>
<Relationships xmlns="http://schemas.openxmlformats.org/package/2006/relationships">
<Relationship Id="rId1" Target="file:///K:/na/ny/users/johndasc/Docs/ID/Charts/Sandbox/BtoB.xls" TargetMode="External" Type="http://schemas.openxmlformats.org/officeDocument/2006/relationships/externalLinkPath"/>
</Relationships>

</file>

<file path=xl/externalLinks/_rels/externalLink11.xml.rels><?xml version="1.0" encoding="UTF-8" standalone="yes"?>
<Relationships xmlns="http://schemas.openxmlformats.org/package/2006/relationships">
<Relationship Id="rId1" Target="RETAIL/Softlines/Apparel/Models/Working%20Models/KSS_working.xls" TargetMode="External" Type="http://schemas.microsoft.com/office/2006/relationships/xlExternalLinkPath/xlStartup"/>
</Relationships>

</file>

<file path=xl/externalLinks/_rels/externalLink12.xml.rels><?xml version="1.0" encoding="UTF-8" standalone="yes"?>
<Relationships xmlns="http://schemas.openxmlformats.org/package/2006/relationships">
<Relationship Id="rId1" Target="RETAIL/Softlines/Apparel/Models/Working%20Models/ROST_working.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RETAIL/Softlines/Apparel/ANALYSES/Industry/INDUSTRY%20STATS/Summary_Industry_2011.xls" TargetMode="External" Type="http://schemas.microsoft.com/office/2006/relationships/xlExternalLinkPath/xlAlternateStartup"/>
</Relationships>

</file>

<file path=xl/externalLinks/_rels/externalLink14.xml.rels><?xml version="1.0" encoding="UTF-8" standalone="yes"?>
<Relationships xmlns="http://schemas.openxmlformats.org/package/2006/relationships">
<Relationship Id="rId1" Target="RETAIL/Softlines/Apparel/Analyses/GPS_Traffic.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RETAIL/Softlines/Apparel/Analyses/GPS/2010_01%20Note/GPS_Rosk%20Reward%20View%20Analyses_021010.xls" TargetMode="External" Type="http://schemas.microsoft.com/office/2006/relationships/xlExternalLinkPath/xlAlternateStartup"/>
</Relationships>

</file>

<file path=xl/externalLinks/_rels/externalLink16.xml.rels><?xml version="1.0" encoding="UTF-8" standalone="yes"?>
<Relationships xmlns="http://schemas.openxmlformats.org/package/2006/relationships">
<Relationship Id="rId1" Target="retail/MISSETT/EXCEL/MOD_BRU/BKS/oldmodelstuff.xls" TargetMode="External" Type="http://schemas.microsoft.com/office/2006/relationships/xlExternalLinkPath/xlStartup"/>
</Relationships>

</file>

<file path=xl/externalLinks/_rels/externalLink17.xml.rels><?xml version="1.0" encoding="UTF-8" standalone="yes"?>
<Relationships xmlns="http://schemas.openxmlformats.org/package/2006/relationships">
<Relationship Id="rId1" Target="RETAIL/Softlines/Apparel/MODELS/WORKING%20MODELS/M_working2.xls" TargetMode="External" Type="http://schemas.microsoft.com/office/2006/relationships/xlExternalLinkPath/xlAlternateStartup"/>
</Relationships>

</file>

<file path=xl/externalLinks/_rels/externalLink18.xml.rels><?xml version="1.0" encoding="UTF-8" standalone="yes"?>
<Relationships xmlns="http://schemas.openxmlformats.org/package/2006/relationships">
<Relationship Id="rId1" Target="RETAIL/Greenberger/Companies/JWN/Model/JWN_Model2.xls" TargetMode="External" Type="http://schemas.microsoft.com/office/2006/relationships/xlExternalLinkPath/xlAlternateStartup"/>
</Relationships>

</file>

<file path=xl/externalLinks/_rels/externalLink19.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20.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21.xml.rels><?xml version="1.0" encoding="UTF-8" standalone="yes"?>
<Relationships xmlns="http://schemas.openxmlformats.org/package/2006/relationships">
<Relationship Id="rId1" Target="Documents%20and%20Settings/catheloh/Local%20Settings/Temporary%20Internet%20Files/OLK30/Deferred%20tax%20analysis4.xls" TargetMode="External" Type="http://schemas.microsoft.com/office/2006/relationships/xlExternalLinkPath/xlStartup"/>
</Relationships>

</file>

<file path=xl/externalLinks/_rels/externalLink22.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23.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_rels/externalLink24.xml.rels><?xml version="1.0" encoding="UTF-8" standalone="yes"?>
<Relationships xmlns="http://schemas.openxmlformats.org/package/2006/relationships">
<Relationship Id="rId1" Target="file://///nysamba1/u/Documents%20and%20Settings/pscavo/Local%20Settings/Temporary%20Internet%20Files/OLK33/OIT%20Screening.xls" TargetMode="External" Type="http://schemas.openxmlformats.org/officeDocument/2006/relationships/externalLinkPath"/>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Risk-Reward_View_Chart"/>
      <sheetName val="Sheet1"/>
      <sheetName val="variables"/>
      <sheetName val="Operating Leases tagged"/>
      <sheetName val="EARNMOD"/>
      <sheetName val="WACC"/>
      <sheetName val="Fixed Line Mkt"/>
      <sheetName val="Cash Flow"/>
      <sheetName val="upside_downside"/>
      <sheetName val="Income Statement"/>
      <sheetName val="Balance Sheet"/>
      <sheetName val="Valsum"/>
      <sheetName val="Model"/>
      <sheetName val="Intrinsic Value"/>
      <sheetName val="Rev by Geo"/>
      <sheetName val="exh 11"/>
      <sheetName val="exh 14"/>
      <sheetName val="exh 12"/>
      <sheetName val="exh 10"/>
      <sheetName val="exh 1 and 5"/>
      <sheetName val="exh 15"/>
      <sheetName val="exh 3"/>
      <sheetName val="exh 9"/>
      <sheetName val="Good 12-00 (2)"/>
      <sheetName val="Good 11-36"/>
      <sheetName val="Good 11-50"/>
      <sheetName val="Sheet3 (5)"/>
      <sheetName val="DCF"/>
      <sheetName val="OP"/>
      <sheetName val="Inputs"/>
      <sheetName val="MWA RR"/>
      <sheetName val="Summary"/>
      <sheetName val="IS"/>
      <sheetName val="IS Quarterly"/>
      <sheetName val="Sheet1 (2)"/>
      <sheetName val="1Q11 Preview"/>
      <sheetName val="2Q11 Preview"/>
      <sheetName val="Total_Production"/>
      <sheetName val="RFS"/>
      <sheetName val="Corn_Uses"/>
      <sheetName val="US_Production"/>
      <sheetName val="Report template"/>
      <sheetName val="Model (WIP)"/>
      <sheetName val="Exclusion List"/>
      <sheetName val="fin"/>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Summary"/>
      <sheetName val="Floater Demand"/>
      <sheetName val="Inputs"/>
      <sheetName val="Interims"/>
      <sheetName val="Financial Statements"/>
      <sheetName val="FX"/>
      <sheetName val="Good 12-00 (2)"/>
      <sheetName val="Good 11-36"/>
      <sheetName val="Good 11-50"/>
      <sheetName val="Sheet3 (5)"/>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CPB"/>
      <sheetName val="Total_Food_Promo"/>
      <sheetName val="CPB_2yr"/>
      <sheetName val="Interims"/>
      <sheetName val="Financial Statements"/>
      <sheetName val="Inputs"/>
      <sheetName val="FX"/>
      <sheetName val="Good 12-00 (2)"/>
      <sheetName val="Good 11-36"/>
      <sheetName val="Good 11-50"/>
      <sheetName val="Sheet3 (5)"/>
      <sheetName val="Summary"/>
      <sheetName val="Floater Demand"/>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 Detail "/>
      <sheetName val="Sheet4"/>
      <sheetName val="ForeignStake"/>
      <sheetName val="Model"/>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Tables"/>
      <sheetName val="URBN Sales"/>
      <sheetName val="JWN Variance Chart"/>
      <sheetName val="JCP Variance Chart"/>
      <sheetName val="COH Variance Chart Data"/>
      <sheetName val="TJX Variance Chart Data"/>
      <sheetName val="SKS Variance Chart Data"/>
      <sheetName val="KSS Variance Chart Data"/>
      <sheetName val="M Variance Chart Data"/>
      <sheetName val="LTD Variance Chart Data"/>
      <sheetName val="VS. Consensus"/>
    </sheetNames>
    <sheetDataSet>
      <sheetData sheetId="0"/>
      <sheetData sheetId="1">
        <row r="1">
          <cell r="A1" t="str">
            <v>COH</v>
          </cell>
        </row>
        <row r="2">
          <cell r="A2" t="str">
            <v>As a % of Sales</v>
          </cell>
          <cell r="B2" t="str">
            <v>3Q10</v>
          </cell>
          <cell r="C2" t="str">
            <v>3Q09</v>
          </cell>
          <cell r="D2" t="str">
            <v>MS Estimate</v>
          </cell>
          <cell r="F2" t="str">
            <v>y/y∆ (bp)</v>
          </cell>
          <cell r="G2" t="str">
            <v>∆ vs 
Est. (bp)</v>
          </cell>
          <cell r="J2" t="str">
            <v>FQ1</v>
          </cell>
          <cell r="K2" t="str">
            <v>FQ2</v>
          </cell>
          <cell r="L2" t="str">
            <v>FQ3</v>
          </cell>
          <cell r="M2" t="str">
            <v>FY1</v>
          </cell>
          <cell r="N2" t="str">
            <v>FY2</v>
          </cell>
        </row>
        <row r="3">
          <cell r="A3" t="str">
            <v>Gross Income</v>
          </cell>
          <cell r="B3">
            <v>0.74116245487364618</v>
          </cell>
          <cell r="C3">
            <v>0.7096030889032745</v>
          </cell>
          <cell r="D3">
            <v>0.72560308890327452</v>
          </cell>
          <cell r="F3">
            <v>315.59365970371675</v>
          </cell>
          <cell r="G3">
            <v>155.59365970371664</v>
          </cell>
          <cell r="I3" t="str">
            <v>Consensus</v>
          </cell>
          <cell r="J3">
            <v>0.72</v>
          </cell>
          <cell r="K3">
            <v>0.42599999999999999</v>
          </cell>
          <cell r="M3">
            <v>2.081</v>
          </cell>
          <cell r="N3">
            <v>2.2749999999999999</v>
          </cell>
        </row>
        <row r="4">
          <cell r="A4" t="str">
            <v>SG&amp;A Expense</v>
          </cell>
          <cell r="B4">
            <v>0.44097833935018049</v>
          </cell>
          <cell r="C4">
            <v>0.44101067790723286</v>
          </cell>
          <cell r="D4">
            <v>0.43692237117798643</v>
          </cell>
          <cell r="F4">
            <v>-0.32338557052369321</v>
          </cell>
          <cell r="G4">
            <v>40.559681721940578</v>
          </cell>
          <cell r="I4" t="str">
            <v>MS Est.</v>
          </cell>
          <cell r="J4">
            <v>0.7264395435116795</v>
          </cell>
          <cell r="K4">
            <v>0.44398364879993413</v>
          </cell>
          <cell r="L4">
            <v>0.52239948825870619</v>
          </cell>
          <cell r="M4">
            <v>2.1327424509456789</v>
          </cell>
          <cell r="N4">
            <v>2.3543180587690742</v>
          </cell>
        </row>
        <row r="5">
          <cell r="A5" t="str">
            <v>Operating Income</v>
          </cell>
          <cell r="B5">
            <v>0.30018411552346569</v>
          </cell>
          <cell r="C5">
            <v>0.26859241099604159</v>
          </cell>
          <cell r="D5">
            <v>0.28868071772528814</v>
          </cell>
          <cell r="F5">
            <v>315.91704527424105</v>
          </cell>
          <cell r="G5">
            <v>115.03397798177551</v>
          </cell>
          <cell r="I5" t="str">
            <v>MS/C</v>
          </cell>
          <cell r="J5">
            <v>6.4395435116795241E-3</v>
          </cell>
          <cell r="K5">
            <v>1.7983648799934138E-2</v>
          </cell>
          <cell r="L5">
            <v>0.52239948825870619</v>
          </cell>
          <cell r="M5">
            <v>5.1742450945678975E-2</v>
          </cell>
          <cell r="N5">
            <v>7.9318058769074273E-2</v>
          </cell>
        </row>
        <row r="6">
          <cell r="A6" t="str">
            <v>Interest Expense</v>
          </cell>
          <cell r="B6">
            <v>-1.2515042117930205E-4</v>
          </cell>
          <cell r="C6">
            <v>1.6352699344135126E-4</v>
          </cell>
          <cell r="D6">
            <v>-1.7061939941546975E-3</v>
          </cell>
          <cell r="F6">
            <v>-2.8867741462065335</v>
          </cell>
          <cell r="G6">
            <v>15.810435729753955</v>
          </cell>
          <cell r="I6" t="str">
            <v>M Guidance</v>
          </cell>
          <cell r="J6">
            <v>0.67</v>
          </cell>
          <cell r="K6" t="str">
            <v>NA</v>
          </cell>
          <cell r="L6" t="str">
            <v>NA</v>
          </cell>
          <cell r="M6">
            <v>2.25</v>
          </cell>
          <cell r="N6" t="str">
            <v>NA</v>
          </cell>
        </row>
        <row r="7">
          <cell r="A7" t="str">
            <v>Earnings b4 Taxes</v>
          </cell>
          <cell r="B7">
            <v>0.30030926594464497</v>
          </cell>
          <cell r="C7">
            <v>0.26842888400260023</v>
          </cell>
          <cell r="D7">
            <v>0.29038691171944286</v>
          </cell>
          <cell r="F7">
            <v>318.80381942044733</v>
          </cell>
          <cell r="G7">
            <v>99.223542252021019</v>
          </cell>
          <cell r="I7" t="str">
            <v>N Guidance</v>
          </cell>
        </row>
        <row r="8">
          <cell r="A8" t="str">
            <v>Net Income</v>
          </cell>
          <cell r="B8">
            <v>0.19009265944645004</v>
          </cell>
          <cell r="C8">
            <v>0.16642588105235703</v>
          </cell>
          <cell r="D8">
            <v>0.182943754383249</v>
          </cell>
          <cell r="F8">
            <v>236.66778394093006</v>
          </cell>
          <cell r="G8">
            <v>71.48905063201039</v>
          </cell>
        </row>
        <row r="10">
          <cell r="A10" t="str">
            <v>EPS</v>
          </cell>
          <cell r="B10">
            <v>0.50314371257485024</v>
          </cell>
          <cell r="C10">
            <v>0.38320548925642983</v>
          </cell>
          <cell r="D10">
            <v>0.46802614782621577</v>
          </cell>
          <cell r="F10">
            <v>0.11993822331842041</v>
          </cell>
          <cell r="G10">
            <v>3.5117564748634478E-2</v>
          </cell>
        </row>
        <row r="12">
          <cell r="A12" t="str">
            <v>EPS Upsides/Downsides</v>
          </cell>
        </row>
        <row r="13">
          <cell r="A13" t="str">
            <v>Revenues</v>
          </cell>
          <cell r="B13">
            <v>1.3795699767058796E-2</v>
          </cell>
        </row>
        <row r="14">
          <cell r="A14" t="str">
            <v>Operating Margin</v>
          </cell>
          <cell r="B14">
            <v>1.8744559330757776E-2</v>
          </cell>
        </row>
        <row r="15">
          <cell r="A15" t="str">
            <v>Interest Expense</v>
          </cell>
          <cell r="B15">
            <v>-2.5705300518566792E-3</v>
          </cell>
        </row>
        <row r="16">
          <cell r="A16" t="str">
            <v>Tax Rate</v>
          </cell>
          <cell r="B16">
            <v>2.376385526818688E-3</v>
          </cell>
        </row>
        <row r="17">
          <cell r="A17" t="str">
            <v>Share Count</v>
          </cell>
          <cell r="B17">
            <v>3.11827661271602E-3</v>
          </cell>
        </row>
        <row r="18">
          <cell r="A18" t="str">
            <v>Total</v>
          </cell>
          <cell r="B18">
            <v>3.5464391185494604E-2</v>
          </cell>
        </row>
        <row r="20">
          <cell r="A20" t="str">
            <v>M</v>
          </cell>
        </row>
        <row r="21">
          <cell r="A21" t="str">
            <v>As a % of Sales</v>
          </cell>
          <cell r="B21" t="str">
            <v>4Q09</v>
          </cell>
          <cell r="C21" t="str">
            <v>4Q08</v>
          </cell>
          <cell r="D21" t="str">
            <v>MS Est.</v>
          </cell>
          <cell r="F21" t="str">
            <v>y/y∆ (bp)</v>
          </cell>
          <cell r="G21" t="str">
            <v>∆ vs MS
Est. (bp)</v>
          </cell>
          <cell r="J21" t="str">
            <v>FQ1</v>
          </cell>
          <cell r="K21" t="str">
            <v>FQ2</v>
          </cell>
          <cell r="M21" t="str">
            <v>FY1</v>
          </cell>
          <cell r="N21" t="str">
            <v>FY2</v>
          </cell>
        </row>
        <row r="22">
          <cell r="A22" t="str">
            <v>Same Store Sales</v>
          </cell>
          <cell r="B22">
            <v>-8.0000000000000002E-3</v>
          </cell>
          <cell r="C22">
            <v>-7.0000000000000007E-2</v>
          </cell>
          <cell r="D22">
            <v>-5.8421857088268997E-3</v>
          </cell>
          <cell r="F22">
            <v>620.00000000000011</v>
          </cell>
          <cell r="G22">
            <v>-21.578142911731003</v>
          </cell>
        </row>
        <row r="23">
          <cell r="A23" t="str">
            <v>Gross Income</v>
          </cell>
          <cell r="B23">
            <v>0.41686839087781885</v>
          </cell>
          <cell r="C23">
            <v>0.39349634484497104</v>
          </cell>
          <cell r="D23">
            <v>0.4229823306319937</v>
          </cell>
          <cell r="F23">
            <v>233.72046032847814</v>
          </cell>
          <cell r="G23">
            <v>-61.139397541748465</v>
          </cell>
          <cell r="I23" t="str">
            <v>Consensus</v>
          </cell>
          <cell r="J23">
            <v>-7.0000000000000007E-2</v>
          </cell>
          <cell r="K23">
            <v>1.1399999999999999</v>
          </cell>
          <cell r="M23">
            <v>1.1499999999999999</v>
          </cell>
          <cell r="N23">
            <v>1.47</v>
          </cell>
          <cell r="P23" t="str">
            <v>Bloomberg as of 8/11/09</v>
          </cell>
        </row>
        <row r="24">
          <cell r="A24" t="str">
            <v>SG&amp;A Expense</v>
          </cell>
          <cell r="B24">
            <v>0.2818193400433176</v>
          </cell>
          <cell r="C24">
            <v>0.28434585328963952</v>
          </cell>
          <cell r="D24">
            <v>0.29238058846006876</v>
          </cell>
          <cell r="F24">
            <v>-25.265132463219153</v>
          </cell>
          <cell r="G24">
            <v>-105.61248416751157</v>
          </cell>
          <cell r="I24" t="str">
            <v>MS Est.</v>
          </cell>
          <cell r="J24">
            <v>1.3152087854175281</v>
          </cell>
          <cell r="K24">
            <v>1.22</v>
          </cell>
          <cell r="M24">
            <v>1.25</v>
          </cell>
          <cell r="N24">
            <v>1.36</v>
          </cell>
        </row>
        <row r="25">
          <cell r="A25" t="str">
            <v>Operating Income</v>
          </cell>
          <cell r="B25">
            <v>0.13504905083450122</v>
          </cell>
          <cell r="C25">
            <v>0.10915049155533149</v>
          </cell>
          <cell r="D25">
            <v>0.13060174217192488</v>
          </cell>
          <cell r="F25">
            <v>258.98559279169729</v>
          </cell>
          <cell r="G25">
            <v>44.473086625763379</v>
          </cell>
          <cell r="I25" t="str">
            <v>MS/C</v>
          </cell>
          <cell r="K25">
            <v>8.0000000000000071E-2</v>
          </cell>
          <cell r="M25">
            <v>0.10000000000000009</v>
          </cell>
          <cell r="N25">
            <v>-0.10999999999999988</v>
          </cell>
        </row>
        <row r="26">
          <cell r="A26" t="str">
            <v>Interest Expense</v>
          </cell>
          <cell r="B26">
            <v>1.7709262326411009E-2</v>
          </cell>
          <cell r="C26">
            <v>1.8023695487774136E-2</v>
          </cell>
          <cell r="D26">
            <v>1.6762872564004581E-2</v>
          </cell>
          <cell r="F26">
            <v>-3.1443316136312709</v>
          </cell>
          <cell r="G26">
            <v>9.4638976240642858</v>
          </cell>
          <cell r="I26" t="str">
            <v>MG</v>
          </cell>
        </row>
        <row r="27">
          <cell r="A27" t="str">
            <v>Earnings b4 Taxes</v>
          </cell>
          <cell r="B27">
            <v>9.3642502229583383E-2</v>
          </cell>
          <cell r="C27">
            <v>6.3524073607259895E-2</v>
          </cell>
          <cell r="D27">
            <v>8.9001269302226765E-2</v>
          </cell>
          <cell r="F27">
            <v>301.18428622323489</v>
          </cell>
          <cell r="G27">
            <v>46.412329273566172</v>
          </cell>
          <cell r="I27" t="str">
            <v>NMG</v>
          </cell>
        </row>
        <row r="28">
          <cell r="A28" t="str">
            <v>Tax Rate</v>
          </cell>
          <cell r="B28">
            <v>0.37893593919652552</v>
          </cell>
          <cell r="C28">
            <v>0.38035961272475793</v>
          </cell>
          <cell r="D28">
            <v>0.40020087706019697</v>
          </cell>
          <cell r="F28">
            <v>-14.236735282324165</v>
          </cell>
          <cell r="G28">
            <v>-212.64937863671452</v>
          </cell>
        </row>
        <row r="29">
          <cell r="A29" t="str">
            <v>Net Income</v>
          </cell>
          <cell r="B29">
            <v>5.6695120397502866E-2</v>
          </cell>
          <cell r="C29">
            <v>5.6000000000000001E-2</v>
          </cell>
          <cell r="D29">
            <v>5.6070438993390141E-2</v>
          </cell>
          <cell r="F29">
            <v>6.9512039750286441</v>
          </cell>
          <cell r="G29">
            <v>6.2468140411272435</v>
          </cell>
        </row>
        <row r="31">
          <cell r="A31" t="str">
            <v>EPS</v>
          </cell>
          <cell r="B31">
            <v>1.3487385050695591</v>
          </cell>
          <cell r="C31">
            <v>1.2932312985703269</v>
          </cell>
          <cell r="D31">
            <v>1.3152087854175281</v>
          </cell>
          <cell r="F31">
            <v>5.5507206499232131E-2</v>
          </cell>
          <cell r="G31">
            <v>3.3529719652030998E-2</v>
          </cell>
        </row>
        <row r="33">
          <cell r="A33" t="str">
            <v>EPS Upsides/Downsides</v>
          </cell>
        </row>
        <row r="34">
          <cell r="A34" t="str">
            <v>Sales Variance</v>
          </cell>
          <cell r="B34">
            <v>-3.436359757770527E-4</v>
          </cell>
        </row>
        <row r="35">
          <cell r="A35" t="str">
            <v>Gross Margin</v>
          </cell>
          <cell r="B35">
            <v>-7.028610225707739E-2</v>
          </cell>
        </row>
        <row r="36">
          <cell r="A36" t="str">
            <v>SG&amp;A</v>
          </cell>
          <cell r="B36">
            <v>0.12141254510649906</v>
          </cell>
        </row>
        <row r="37">
          <cell r="A37" t="str">
            <v>Operating Margin</v>
          </cell>
          <cell r="B37">
            <v>5.1126442849421666E-2</v>
          </cell>
        </row>
        <row r="38">
          <cell r="A38" t="str">
            <v>Interest Expense</v>
          </cell>
          <cell r="B38">
            <v>-1.0827872995755723E-2</v>
          </cell>
        </row>
        <row r="39">
          <cell r="A39" t="str">
            <v>Tax Rate</v>
          </cell>
          <cell r="B39">
            <v>1.3911813251584314E-4</v>
          </cell>
        </row>
        <row r="40">
          <cell r="A40" t="str">
            <v>Shares</v>
          </cell>
          <cell r="B40">
            <v>-6.7117318972655937E-3</v>
          </cell>
        </row>
        <row r="41">
          <cell r="A41" t="str">
            <v>Total</v>
          </cell>
          <cell r="B41">
            <v>3.3382320113139144E-2</v>
          </cell>
        </row>
        <row r="43">
          <cell r="A43" t="str">
            <v>JCP</v>
          </cell>
        </row>
        <row r="44">
          <cell r="A44" t="str">
            <v>As a % of Sales</v>
          </cell>
          <cell r="B44" t="str">
            <v>2Q09</v>
          </cell>
          <cell r="C44" t="str">
            <v>2Q08</v>
          </cell>
          <cell r="D44" t="str">
            <v>MS Est.</v>
          </cell>
          <cell r="F44" t="str">
            <v>y/y∆ (bp)</v>
          </cell>
          <cell r="G44" t="str">
            <v>∆ vs MS
Est. (bp)</v>
          </cell>
          <cell r="J44" t="str">
            <v>FQ1</v>
          </cell>
          <cell r="K44" t="str">
            <v>FQ2</v>
          </cell>
          <cell r="L44" t="str">
            <v>FY1</v>
          </cell>
          <cell r="M44" t="str">
            <v>FY2</v>
          </cell>
        </row>
        <row r="45">
          <cell r="A45" t="str">
            <v>Gross Income</v>
          </cell>
          <cell r="B45">
            <v>0.39052747901801327</v>
          </cell>
          <cell r="C45">
            <v>0.40880043961122103</v>
          </cell>
          <cell r="D45">
            <v>0.37998198198198196</v>
          </cell>
          <cell r="F45">
            <v>-182.72960593207765</v>
          </cell>
          <cell r="G45">
            <v>105.45497036031304</v>
          </cell>
          <cell r="I45" t="str">
            <v>Consensus</v>
          </cell>
          <cell r="J45">
            <v>-0.01</v>
          </cell>
          <cell r="K45">
            <v>0.13</v>
          </cell>
          <cell r="L45">
            <v>0.88</v>
          </cell>
          <cell r="M45">
            <v>1.36</v>
          </cell>
          <cell r="N45" t="str">
            <v>Bloomberg</v>
          </cell>
          <cell r="O45">
            <v>40038</v>
          </cell>
        </row>
        <row r="46">
          <cell r="A46" t="str">
            <v>SG&amp;A Expense</v>
          </cell>
          <cell r="B46">
            <v>0.3160165321976135</v>
          </cell>
          <cell r="C46">
            <v>0.33123431892985855</v>
          </cell>
          <cell r="D46">
            <v>0.27389189189189189</v>
          </cell>
          <cell r="F46">
            <v>-152.17786732245054</v>
          </cell>
          <cell r="G46">
            <v>421.24640305721607</v>
          </cell>
          <cell r="I46" t="str">
            <v>MS Est.</v>
          </cell>
          <cell r="J46">
            <v>0.8553594903233469</v>
          </cell>
          <cell r="K46">
            <v>0.13</v>
          </cell>
          <cell r="L46">
            <v>0.87</v>
          </cell>
          <cell r="M46">
            <v>1.33</v>
          </cell>
        </row>
        <row r="47">
          <cell r="A47" t="str">
            <v>Operating Income</v>
          </cell>
          <cell r="B47">
            <v>2.7892927545231563E-2</v>
          </cell>
          <cell r="C47">
            <v>3.1873435876103265E-2</v>
          </cell>
          <cell r="D47">
            <v>6.9661501885608032E-2</v>
          </cell>
          <cell r="F47">
            <v>-39.805083308717023</v>
          </cell>
          <cell r="G47">
            <v>-417.68574340376466</v>
          </cell>
          <cell r="I47" t="str">
            <v>MS/C</v>
          </cell>
          <cell r="J47">
            <v>0.86535949032334691</v>
          </cell>
          <cell r="K47">
            <v>0</v>
          </cell>
          <cell r="L47">
            <v>-1.0000000000000009E-2</v>
          </cell>
          <cell r="M47">
            <v>-3.0000000000000027E-2</v>
          </cell>
        </row>
        <row r="48">
          <cell r="A48" t="str">
            <v>Interest Expense</v>
          </cell>
          <cell r="B48">
            <v>0</v>
          </cell>
          <cell r="C48">
            <v>0</v>
          </cell>
          <cell r="D48">
            <v>0</v>
          </cell>
          <cell r="F48">
            <v>0</v>
          </cell>
          <cell r="G48">
            <v>0</v>
          </cell>
          <cell r="I48" t="str">
            <v>MG</v>
          </cell>
        </row>
        <row r="49">
          <cell r="A49" t="str">
            <v>Earnings b4 Taxes</v>
          </cell>
          <cell r="B49">
            <v>138.16690201280809</v>
          </cell>
          <cell r="C49">
            <v>77.36492887791303</v>
          </cell>
          <cell r="D49">
            <v>20.474558308592531</v>
          </cell>
          <cell r="F49">
            <v>608019.73134895065</v>
          </cell>
          <cell r="G49">
            <v>1176923.4370421555</v>
          </cell>
          <cell r="I49" t="str">
            <v>MGN</v>
          </cell>
        </row>
        <row r="50">
          <cell r="A50" t="str">
            <v>Tax Rate</v>
          </cell>
          <cell r="B50">
            <v>0</v>
          </cell>
          <cell r="C50">
            <v>0</v>
          </cell>
          <cell r="D50">
            <v>0</v>
          </cell>
          <cell r="F50">
            <v>0</v>
          </cell>
          <cell r="G50">
            <v>0</v>
          </cell>
        </row>
        <row r="51">
          <cell r="A51" t="str">
            <v>Net Income</v>
          </cell>
          <cell r="B51">
            <v>85.658406517953949</v>
          </cell>
          <cell r="C51">
            <v>47.152740872066616</v>
          </cell>
          <cell r="D51">
            <v>10.820352277453523</v>
          </cell>
          <cell r="F51">
            <v>385056.65645887336</v>
          </cell>
          <cell r="G51">
            <v>748380.54240500426</v>
          </cell>
        </row>
        <row r="53">
          <cell r="A53" t="str">
            <v>EPS</v>
          </cell>
          <cell r="B53">
            <v>0.14074219483202524</v>
          </cell>
          <cell r="C53">
            <v>0.19354741634065173</v>
          </cell>
          <cell r="D53">
            <v>0.8553594903233469</v>
          </cell>
          <cell r="F53">
            <v>-5.2805221508626488E-2</v>
          </cell>
          <cell r="G53">
            <v>-0.71461729549132169</v>
          </cell>
        </row>
        <row r="55">
          <cell r="A55" t="str">
            <v>EPS Upsides/Downsides</v>
          </cell>
        </row>
        <row r="56">
          <cell r="A56" t="str">
            <v>Gross Margin</v>
          </cell>
          <cell r="B56">
            <v>-9.617582778843134E-2</v>
          </cell>
        </row>
        <row r="57">
          <cell r="A57" t="str">
            <v>Operating Expenses</v>
          </cell>
          <cell r="B57">
            <v>0.14882953124199277</v>
          </cell>
        </row>
        <row r="58">
          <cell r="A58" t="str">
            <v>Real Estate + Other Exp. (Inc.)</v>
          </cell>
          <cell r="B58">
            <v>-5.5156676128457718E-2</v>
          </cell>
        </row>
        <row r="59">
          <cell r="A59" t="str">
            <v>Operating Income</v>
          </cell>
          <cell r="B59">
            <v>-2.5029726748962895E-3</v>
          </cell>
        </row>
        <row r="60">
          <cell r="A60" t="str">
            <v>LIFO Charge</v>
          </cell>
          <cell r="B60">
            <v>0</v>
          </cell>
        </row>
        <row r="61">
          <cell r="A61" t="str">
            <v>Interest Expense</v>
          </cell>
          <cell r="B61">
            <v>2.3887504428639367E-3</v>
          </cell>
        </row>
        <row r="62">
          <cell r="A62" t="str">
            <v>Tax Rate</v>
          </cell>
          <cell r="B62">
            <v>4.3826380109566214E-3</v>
          </cell>
        </row>
        <row r="63">
          <cell r="A63" t="str">
            <v>Shares</v>
          </cell>
          <cell r="B63">
            <v>1.3564864172863622E-3</v>
          </cell>
        </row>
        <row r="64">
          <cell r="A64" t="str">
            <v>Total</v>
          </cell>
          <cell r="B64">
            <v>5.6249021962106304E-3</v>
          </cell>
        </row>
        <row r="66">
          <cell r="A66" t="str">
            <v>KSS</v>
          </cell>
        </row>
        <row r="67">
          <cell r="A67" t="str">
            <v>As a % of Sales</v>
          </cell>
          <cell r="B67" t="str">
            <v>4Q09</v>
          </cell>
          <cell r="C67" t="str">
            <v>4Q08</v>
          </cell>
          <cell r="D67" t="str">
            <v>MS Est.</v>
          </cell>
          <cell r="F67" t="str">
            <v>y/y∆ (bp)</v>
          </cell>
          <cell r="G67" t="str">
            <v>∆ vs MS
Est. (bp)</v>
          </cell>
          <cell r="J67" t="str">
            <v>FQ1</v>
          </cell>
          <cell r="K67" t="str">
            <v>FQ2</v>
          </cell>
          <cell r="L67" t="str">
            <v>FY1</v>
          </cell>
          <cell r="M67" t="str">
            <v>FY2</v>
          </cell>
        </row>
        <row r="68">
          <cell r="A68" t="str">
            <v>Gross Income</v>
          </cell>
          <cell r="B68">
            <v>0.36430834213305174</v>
          </cell>
          <cell r="C68">
            <v>0.34804202483285579</v>
          </cell>
          <cell r="D68">
            <v>0.35754202483285574</v>
          </cell>
          <cell r="F68">
            <v>162.66317300195954</v>
          </cell>
          <cell r="G68">
            <v>67.663173001960004</v>
          </cell>
          <cell r="I68" t="str">
            <v>Consensus</v>
          </cell>
          <cell r="J68">
            <v>0.60699999999999998</v>
          </cell>
          <cell r="K68">
            <v>1.232</v>
          </cell>
          <cell r="L68">
            <v>3.0419999999999998</v>
          </cell>
          <cell r="M68">
            <v>3.4220000000000002</v>
          </cell>
          <cell r="N68" t="str">
            <v>Bloomberg</v>
          </cell>
          <cell r="O68">
            <v>40128</v>
          </cell>
        </row>
        <row r="69">
          <cell r="A69" t="str">
            <v>SG&amp;A Expense</v>
          </cell>
          <cell r="B69">
            <v>0.20943329813445971</v>
          </cell>
          <cell r="C69">
            <v>0.21050620821394461</v>
          </cell>
          <cell r="D69">
            <v>0.20550620821394461</v>
          </cell>
          <cell r="F69">
            <v>-10.72910079484901</v>
          </cell>
          <cell r="G69">
            <v>39.270899205151032</v>
          </cell>
          <cell r="I69" t="str">
            <v>MS Est.</v>
          </cell>
          <cell r="J69">
            <v>1.37</v>
          </cell>
          <cell r="K69">
            <v>1.27</v>
          </cell>
          <cell r="L69">
            <v>3.08</v>
          </cell>
          <cell r="M69">
            <v>3.59</v>
          </cell>
        </row>
        <row r="70">
          <cell r="A70" t="str">
            <v>Operating Income</v>
          </cell>
          <cell r="B70">
            <v>0.12706793382611756</v>
          </cell>
          <cell r="C70">
            <v>0.10945558739255014</v>
          </cell>
          <cell r="D70">
            <v>0.12398231433098438</v>
          </cell>
          <cell r="F70">
            <v>176.12346433567419</v>
          </cell>
          <cell r="G70">
            <v>30.856194951331823</v>
          </cell>
          <cell r="I70" t="str">
            <v>MS/C</v>
          </cell>
          <cell r="J70">
            <v>0.76300000000000012</v>
          </cell>
          <cell r="K70">
            <v>3.8000000000000034E-2</v>
          </cell>
          <cell r="L70">
            <v>3.8000000000000256E-2</v>
          </cell>
          <cell r="M70">
            <v>0.16799999999999971</v>
          </cell>
        </row>
        <row r="71">
          <cell r="A71" t="str">
            <v>Interest Expense</v>
          </cell>
          <cell r="B71">
            <v>5.4558254135867656E-3</v>
          </cell>
          <cell r="C71">
            <v>5.7306590257879654E-3</v>
          </cell>
          <cell r="D71">
            <v>5.8271922900633606E-3</v>
          </cell>
          <cell r="F71">
            <v>-2.7483361220119984</v>
          </cell>
          <cell r="G71">
            <v>-3.7136687647659499</v>
          </cell>
          <cell r="I71" t="str">
            <v>MG</v>
          </cell>
        </row>
        <row r="72">
          <cell r="A72" t="str">
            <v>Earnings b4 Taxes</v>
          </cell>
          <cell r="B72">
            <v>0.1216121084125308</v>
          </cell>
          <cell r="C72">
            <v>0.10372492836676218</v>
          </cell>
          <cell r="D72">
            <v>0.11815512204092102</v>
          </cell>
          <cell r="F72">
            <v>178.87180045768613</v>
          </cell>
          <cell r="G72">
            <v>34.5698637160978</v>
          </cell>
        </row>
        <row r="73">
          <cell r="A73" t="str">
            <v>Net Income</v>
          </cell>
          <cell r="B73">
            <v>7.5853572685674053E-2</v>
          </cell>
          <cell r="C73">
            <v>6.4183381088825209E-2</v>
          </cell>
          <cell r="D73">
            <v>7.3610641031493798E-2</v>
          </cell>
          <cell r="F73">
            <v>116.70191596848845</v>
          </cell>
          <cell r="G73">
            <v>22.429316541802553</v>
          </cell>
        </row>
        <row r="75">
          <cell r="A75" t="str">
            <v>EPS</v>
          </cell>
          <cell r="B75">
            <v>1.4</v>
          </cell>
          <cell r="C75">
            <v>1.1000000000000001</v>
          </cell>
          <cell r="D75">
            <v>1.37</v>
          </cell>
          <cell r="F75">
            <v>0.29999999999999982</v>
          </cell>
          <cell r="G75">
            <v>2.9999999999999805E-2</v>
          </cell>
        </row>
        <row r="77">
          <cell r="A77" t="str">
            <v>EPS Upsides/Downsides</v>
          </cell>
        </row>
        <row r="78">
          <cell r="A78" t="str">
            <v>Reported Sales Variance</v>
          </cell>
          <cell r="B78">
            <v>0</v>
          </cell>
        </row>
        <row r="79">
          <cell r="A79" t="str">
            <v>Gross Margin</v>
          </cell>
          <cell r="B79">
            <v>7.7857794189564164E-2</v>
          </cell>
        </row>
        <row r="80">
          <cell r="A80" t="str">
            <v>SG&amp;A Expenses</v>
          </cell>
          <cell r="B80">
            <v>-4.5187735843620652E-2</v>
          </cell>
        </row>
        <row r="81">
          <cell r="A81" t="str">
            <v>Preopening Expense</v>
          </cell>
          <cell r="B81">
            <v>2.835153269306672E-3</v>
          </cell>
        </row>
        <row r="82">
          <cell r="A82" t="str">
            <v>Depreciation/Amortization</v>
          </cell>
          <cell r="B82">
            <v>0</v>
          </cell>
        </row>
        <row r="83">
          <cell r="A83" t="str">
            <v>Interest Expense, Net</v>
          </cell>
          <cell r="B83">
            <v>4.2731968594937973E-3</v>
          </cell>
        </row>
        <row r="84">
          <cell r="A84" t="str">
            <v>Tax Rate</v>
          </cell>
          <cell r="B84">
            <v>1.6461038961039123E-3</v>
          </cell>
        </row>
        <row r="85">
          <cell r="A85" t="str">
            <v>Shares</v>
          </cell>
          <cell r="B85">
            <v>-8.4967320261439827E-3</v>
          </cell>
        </row>
        <row r="86">
          <cell r="A86" t="str">
            <v>Total</v>
          </cell>
          <cell r="B86">
            <v>3.2927780344703908E-2</v>
          </cell>
        </row>
        <row r="88">
          <cell r="A88" t="str">
            <v>JWN</v>
          </cell>
        </row>
        <row r="89">
          <cell r="A89" t="str">
            <v>As a % of Sales</v>
          </cell>
          <cell r="B89" t="str">
            <v>3Q08</v>
          </cell>
          <cell r="C89" t="str">
            <v>3Q07</v>
          </cell>
          <cell r="D89" t="str">
            <v>MS Est.</v>
          </cell>
          <cell r="F89" t="str">
            <v>y/y∆ (bp)</v>
          </cell>
          <cell r="G89" t="str">
            <v>∆ vs MS
Est. (bp)</v>
          </cell>
          <cell r="J89" t="str">
            <v>FQ1</v>
          </cell>
          <cell r="K89" t="str">
            <v>FQ2</v>
          </cell>
          <cell r="L89" t="str">
            <v>FY1</v>
          </cell>
          <cell r="M89" t="str">
            <v>FY2</v>
          </cell>
        </row>
        <row r="90">
          <cell r="A90" t="str">
            <v>Gross Income</v>
          </cell>
          <cell r="B90">
            <v>0</v>
          </cell>
          <cell r="C90">
            <v>0</v>
          </cell>
          <cell r="D90">
            <v>0</v>
          </cell>
          <cell r="F90">
            <v>0</v>
          </cell>
          <cell r="G90">
            <v>0</v>
          </cell>
          <cell r="I90" t="str">
            <v>Consensus</v>
          </cell>
          <cell r="J90">
            <v>0.38200000000000001</v>
          </cell>
          <cell r="K90">
            <v>0.59599999999999997</v>
          </cell>
          <cell r="L90">
            <v>1.806</v>
          </cell>
          <cell r="M90">
            <v>2.1389999999999998</v>
          </cell>
          <cell r="N90" t="str">
            <v>Bloomberg</v>
          </cell>
          <cell r="O90">
            <v>40128</v>
          </cell>
        </row>
        <row r="91">
          <cell r="A91" t="str">
            <v>SG&amp;A Expense</v>
          </cell>
          <cell r="B91">
            <v>0</v>
          </cell>
          <cell r="C91">
            <v>0</v>
          </cell>
          <cell r="D91">
            <v>0</v>
          </cell>
          <cell r="F91">
            <v>0</v>
          </cell>
          <cell r="G91">
            <v>0</v>
          </cell>
          <cell r="I91" t="str">
            <v>MS Est.</v>
          </cell>
          <cell r="J91">
            <v>0</v>
          </cell>
          <cell r="K91">
            <v>0.2</v>
          </cell>
          <cell r="L91">
            <v>1.8</v>
          </cell>
          <cell r="M91">
            <v>1.07</v>
          </cell>
        </row>
        <row r="92">
          <cell r="A92" t="str">
            <v>Operating Income</v>
          </cell>
          <cell r="B92">
            <v>0</v>
          </cell>
          <cell r="C92">
            <v>0</v>
          </cell>
          <cell r="D92">
            <v>0</v>
          </cell>
          <cell r="F92">
            <v>0</v>
          </cell>
          <cell r="G92">
            <v>0</v>
          </cell>
          <cell r="I92" t="str">
            <v>MS/C</v>
          </cell>
          <cell r="J92">
            <v>-0.38200000000000001</v>
          </cell>
          <cell r="K92">
            <v>-0.39599999999999996</v>
          </cell>
          <cell r="L92">
            <v>-6.0000000000000053E-3</v>
          </cell>
          <cell r="M92">
            <v>-1.0689999999999997</v>
          </cell>
        </row>
        <row r="93">
          <cell r="A93" t="str">
            <v>Interest Expense</v>
          </cell>
          <cell r="B93">
            <v>0</v>
          </cell>
          <cell r="C93">
            <v>0</v>
          </cell>
          <cell r="D93">
            <v>0</v>
          </cell>
          <cell r="F93">
            <v>0</v>
          </cell>
          <cell r="G93">
            <v>0</v>
          </cell>
          <cell r="I93" t="str">
            <v>MG</v>
          </cell>
        </row>
        <row r="94">
          <cell r="A94" t="str">
            <v>Service &amp; Other</v>
          </cell>
          <cell r="B94">
            <v>0</v>
          </cell>
          <cell r="C94">
            <v>0</v>
          </cell>
          <cell r="D94">
            <v>0</v>
          </cell>
          <cell r="F94">
            <v>0</v>
          </cell>
          <cell r="G94">
            <v>0</v>
          </cell>
          <cell r="I94" t="str">
            <v>New</v>
          </cell>
        </row>
        <row r="95">
          <cell r="A95" t="str">
            <v>Earnings b4 Taxes</v>
          </cell>
          <cell r="B95">
            <v>0</v>
          </cell>
          <cell r="C95">
            <v>0</v>
          </cell>
          <cell r="D95">
            <v>0</v>
          </cell>
          <cell r="F95">
            <v>0</v>
          </cell>
          <cell r="G95">
            <v>0</v>
          </cell>
        </row>
        <row r="96">
          <cell r="A96" t="str">
            <v>Tax Rate</v>
          </cell>
          <cell r="B96">
            <v>0</v>
          </cell>
          <cell r="C96">
            <v>0</v>
          </cell>
          <cell r="D96">
            <v>0</v>
          </cell>
          <cell r="F96">
            <v>0</v>
          </cell>
          <cell r="G96">
            <v>0</v>
          </cell>
        </row>
        <row r="97">
          <cell r="A97" t="str">
            <v>Net Income</v>
          </cell>
          <cell r="B97">
            <v>0</v>
          </cell>
          <cell r="C97">
            <v>0</v>
          </cell>
          <cell r="D97">
            <v>0</v>
          </cell>
          <cell r="F97">
            <v>0</v>
          </cell>
          <cell r="G97">
            <v>0</v>
          </cell>
        </row>
        <row r="99">
          <cell r="A99" t="str">
            <v>EPS</v>
          </cell>
          <cell r="B99">
            <v>0</v>
          </cell>
          <cell r="C99">
            <v>0</v>
          </cell>
          <cell r="D99">
            <v>0</v>
          </cell>
          <cell r="F99">
            <v>0</v>
          </cell>
          <cell r="G99">
            <v>0</v>
          </cell>
        </row>
        <row r="101">
          <cell r="A101" t="str">
            <v>EPS Upsides/Downsides</v>
          </cell>
        </row>
        <row r="102">
          <cell r="A102">
            <v>0</v>
          </cell>
          <cell r="B102">
            <v>0</v>
          </cell>
        </row>
        <row r="103">
          <cell r="A103" t="str">
            <v>Source: Company data, Morgan Stanley Research  E = Morgan Stanley Research Estimate</v>
          </cell>
          <cell r="B103">
            <v>0</v>
          </cell>
        </row>
        <row r="104">
          <cell r="A104" t="str">
            <v>EPS Upsides/Downsides</v>
          </cell>
          <cell r="B104">
            <v>0</v>
          </cell>
        </row>
        <row r="105">
          <cell r="A105" t="str">
            <v>Reported Sales Variance</v>
          </cell>
          <cell r="B105">
            <v>-2.1583430631226738E-3</v>
          </cell>
        </row>
        <row r="106">
          <cell r="A106" t="str">
            <v>Gross Margin</v>
          </cell>
          <cell r="B106">
            <v>9.3948964248107891E-2</v>
          </cell>
        </row>
        <row r="107">
          <cell r="A107" t="str">
            <v>Total SG&amp;A</v>
          </cell>
          <cell r="B107">
            <v>-0.13372107319019222</v>
          </cell>
        </row>
        <row r="108">
          <cell r="A108" t="str">
            <v>Operating Margin</v>
          </cell>
          <cell r="B108">
            <v>0</v>
          </cell>
        </row>
        <row r="109">
          <cell r="A109" t="str">
            <v>Tax Rate</v>
          </cell>
          <cell r="B109">
            <v>9.3948964248107891E-2</v>
          </cell>
        </row>
        <row r="110">
          <cell r="A110" t="str">
            <v>Shares</v>
          </cell>
          <cell r="B110">
            <v>-0.13372107319019222</v>
          </cell>
        </row>
        <row r="111">
          <cell r="A111" t="str">
            <v>Total</v>
          </cell>
          <cell r="B111">
            <v>-4.1930452005207008E-2</v>
          </cell>
        </row>
        <row r="113">
          <cell r="A113" t="str">
            <v>SKS</v>
          </cell>
        </row>
        <row r="114">
          <cell r="A114" t="str">
            <v>As a % of Sales</v>
          </cell>
          <cell r="B114" t="str">
            <v>3Q09</v>
          </cell>
          <cell r="C114" t="str">
            <v>3Q08</v>
          </cell>
          <cell r="D114" t="str">
            <v>MS Est.</v>
          </cell>
          <cell r="F114" t="str">
            <v>y/y∆ (bp)</v>
          </cell>
          <cell r="G114" t="str">
            <v>∆ vs MS
Est. (bp)</v>
          </cell>
          <cell r="J114" t="str">
            <v>FQ1</v>
          </cell>
          <cell r="K114" t="str">
            <v>FQ2</v>
          </cell>
          <cell r="L114" t="str">
            <v>FY1</v>
          </cell>
          <cell r="M114" t="str">
            <v>FY2</v>
          </cell>
        </row>
        <row r="115">
          <cell r="A115" t="str">
            <v>Gross Income</v>
          </cell>
          <cell r="B115">
            <v>0.3907231769028765</v>
          </cell>
          <cell r="C115">
            <v>0.33156390807654762</v>
          </cell>
          <cell r="D115">
            <v>0.39027636388805009</v>
          </cell>
          <cell r="F115">
            <v>591.59268826328878</v>
          </cell>
          <cell r="G115">
            <v>4.4681301482640823</v>
          </cell>
          <cell r="I115" t="str">
            <v>Consensus</v>
          </cell>
          <cell r="J115">
            <v>-0.113</v>
          </cell>
          <cell r="K115">
            <v>-3.7999999999999999E-2</v>
          </cell>
          <cell r="L115">
            <v>-0.57499999999999996</v>
          </cell>
          <cell r="M115">
            <v>-0.34899999999999998</v>
          </cell>
          <cell r="N115" t="str">
            <v>Bloomberg</v>
          </cell>
          <cell r="O115">
            <v>40133</v>
          </cell>
        </row>
        <row r="116">
          <cell r="A116" t="str">
            <v>SG&amp;A Expense</v>
          </cell>
          <cell r="B116">
            <v>0.2428184106076488</v>
          </cell>
          <cell r="C116">
            <v>0.272497270340676</v>
          </cell>
          <cell r="D116">
            <v>0.2548642423756452</v>
          </cell>
          <cell r="F116">
            <v>-296.78859733027195</v>
          </cell>
          <cell r="G116">
            <v>-120.45831767996395</v>
          </cell>
          <cell r="I116" t="str">
            <v>MS Est.</v>
          </cell>
          <cell r="J116">
            <v>-1.5781525121147805E-2</v>
          </cell>
          <cell r="K116">
            <v>-7.0000000000000007E-2</v>
          </cell>
          <cell r="L116">
            <v>-0.59</v>
          </cell>
          <cell r="M116">
            <v>-0.35</v>
          </cell>
        </row>
        <row r="117">
          <cell r="A117" t="str">
            <v>Other Operating Expenses</v>
          </cell>
          <cell r="B117">
            <v>0.1287210309271713</v>
          </cell>
          <cell r="C117">
            <v>0.14260560872785277</v>
          </cell>
          <cell r="D117">
            <v>0.11997295045879695</v>
          </cell>
          <cell r="F117">
            <v>-138.84577800681475</v>
          </cell>
          <cell r="G117">
            <v>87.480804683743443</v>
          </cell>
          <cell r="I117" t="str">
            <v>MS/C</v>
          </cell>
          <cell r="J117">
            <v>9.7218474878852199E-2</v>
          </cell>
          <cell r="K117">
            <v>-3.2000000000000008E-2</v>
          </cell>
          <cell r="L117">
            <v>-1.5000000000000013E-2</v>
          </cell>
          <cell r="M117">
            <v>-1.0000000000000009E-3</v>
          </cell>
        </row>
        <row r="118">
          <cell r="A118" t="str">
            <v>Operating Income</v>
          </cell>
          <cell r="B118">
            <v>1.8221202599182782E-2</v>
          </cell>
          <cell r="C118">
            <v>-8.4795773424491586E-2</v>
          </cell>
          <cell r="D118">
            <v>1.4627638389771777E-2</v>
          </cell>
          <cell r="F118">
            <v>1030.1697602367437</v>
          </cell>
          <cell r="G118">
            <v>35.935642094110044</v>
          </cell>
        </row>
        <row r="119">
          <cell r="A119" t="str">
            <v>Interest Expense</v>
          </cell>
          <cell r="B119">
            <v>2.0676050365587218E-2</v>
          </cell>
          <cell r="C119">
            <v>2.2905626388730099E-2</v>
          </cell>
          <cell r="D119">
            <v>2.0468421239228773E-2</v>
          </cell>
          <cell r="F119">
            <v>-22.295760231428805</v>
          </cell>
          <cell r="G119">
            <v>2.0762912635844537</v>
          </cell>
        </row>
        <row r="120">
          <cell r="A120" t="str">
            <v>Earnings b4 Taxes</v>
          </cell>
          <cell r="B120">
            <v>5.6698146463637996E-5</v>
          </cell>
          <cell r="C120">
            <v>5.6698146463637996E-5</v>
          </cell>
          <cell r="D120">
            <v>5.6698146463637996E-5</v>
          </cell>
          <cell r="F120">
            <v>0</v>
          </cell>
          <cell r="G120">
            <v>0</v>
          </cell>
        </row>
        <row r="121">
          <cell r="A121" t="str">
            <v>Net Income</v>
          </cell>
          <cell r="B121">
            <v>-1.5571584659782067E-3</v>
          </cell>
          <cell r="C121">
            <v>-6.6810020735004902E-2</v>
          </cell>
          <cell r="D121">
            <v>-3.6564382174707932E-3</v>
          </cell>
          <cell r="F121">
            <v>652.52862269026696</v>
          </cell>
          <cell r="G121">
            <v>20.992797514925869</v>
          </cell>
        </row>
        <row r="123">
          <cell r="A123" t="str">
            <v>EPS</v>
          </cell>
          <cell r="B123">
            <v>-6.6533490389486675E-3</v>
          </cell>
          <cell r="C123">
            <v>-0.25767632111798916</v>
          </cell>
          <cell r="D123">
            <v>-1.5781525121147805E-2</v>
          </cell>
          <cell r="F123">
            <v>0.25102297207904051</v>
          </cell>
          <cell r="G123">
            <v>9.1281760821991381E-3</v>
          </cell>
        </row>
        <row r="125">
          <cell r="A125" t="str">
            <v>EPS Upsides/Downsides</v>
          </cell>
        </row>
        <row r="126">
          <cell r="A126" t="str">
            <v>Reported Sales Variance</v>
          </cell>
          <cell r="B126">
            <v>7.3141706523534907E-4</v>
          </cell>
        </row>
        <row r="127">
          <cell r="A127" t="str">
            <v>Gross Margin</v>
          </cell>
          <cell r="B127">
            <v>9.0502516031737673E-2</v>
          </cell>
        </row>
        <row r="128">
          <cell r="A128" t="str">
            <v>SG&amp;A Expenses</v>
          </cell>
          <cell r="B128">
            <v>9.135785673203356E-2</v>
          </cell>
        </row>
        <row r="129">
          <cell r="A129" t="str">
            <v>Other Operating Expenses</v>
          </cell>
          <cell r="B129">
            <v>0.14148159111000269</v>
          </cell>
        </row>
        <row r="130">
          <cell r="A130" t="str">
            <v>Operating Margin</v>
          </cell>
          <cell r="B130">
            <v>0.3233419638737739</v>
          </cell>
        </row>
        <row r="131">
          <cell r="A131" t="str">
            <v>Interest Expense, Net</v>
          </cell>
          <cell r="B131">
            <v>-2.9209222303217691E-2</v>
          </cell>
        </row>
        <row r="132">
          <cell r="A132" t="str">
            <v>Other (Income)</v>
          </cell>
          <cell r="B132">
            <v>-1.1491989190871084E-3</v>
          </cell>
        </row>
        <row r="133">
          <cell r="A133" t="str">
            <v>Tax Rate</v>
          </cell>
          <cell r="B133">
            <v>0.11636249147294966</v>
          </cell>
        </row>
        <row r="134">
          <cell r="A134" t="str">
            <v>Shares</v>
          </cell>
          <cell r="B134">
            <v>0</v>
          </cell>
        </row>
        <row r="135">
          <cell r="A135" t="str">
            <v>Total</v>
          </cell>
          <cell r="B135">
            <v>0.40934603412441872</v>
          </cell>
        </row>
        <row r="137">
          <cell r="A137" t="str">
            <v>LTD</v>
          </cell>
        </row>
        <row r="138">
          <cell r="A138" t="str">
            <v>As a % of Sales</v>
          </cell>
          <cell r="B138" t="str">
            <v>4Q09</v>
          </cell>
          <cell r="C138" t="str">
            <v>4Q08</v>
          </cell>
          <cell r="D138" t="str">
            <v>MS Est.</v>
          </cell>
          <cell r="F138" t="str">
            <v>y/y∆ (bp)</v>
          </cell>
          <cell r="G138" t="str">
            <v>∆ vs MS
Est. (bp)</v>
          </cell>
          <cell r="J138" t="str">
            <v>FQ1</v>
          </cell>
          <cell r="K138" t="str">
            <v>FQ2</v>
          </cell>
          <cell r="L138" t="str">
            <v>FQ3</v>
          </cell>
          <cell r="M138" t="str">
            <v>FY1</v>
          </cell>
          <cell r="N138" t="str">
            <v>FY2</v>
          </cell>
        </row>
        <row r="139">
          <cell r="A139" t="str">
            <v>Gross Income</v>
          </cell>
          <cell r="B139">
            <v>0.35943311437115333</v>
          </cell>
          <cell r="C139">
            <v>0.31784386724838393</v>
          </cell>
          <cell r="D139">
            <v>0.35784386724838391</v>
          </cell>
          <cell r="F139">
            <v>415.89247122769399</v>
          </cell>
          <cell r="G139">
            <v>15.892471227694216</v>
          </cell>
          <cell r="I139" t="str">
            <v>Consensus</v>
          </cell>
          <cell r="J139">
            <v>0.98499999999999999</v>
          </cell>
          <cell r="K139">
            <v>7.5999999999999998E-2</v>
          </cell>
          <cell r="M139">
            <v>0.98299999999999998</v>
          </cell>
          <cell r="N139">
            <v>1.202</v>
          </cell>
          <cell r="O139" t="str">
            <v>Bloomberg 2/24</v>
          </cell>
        </row>
        <row r="140">
          <cell r="A140" t="str">
            <v>SG&amp;A Expense</v>
          </cell>
          <cell r="B140">
            <v>0.26366684338267576</v>
          </cell>
          <cell r="C140">
            <v>0.28004500251269832</v>
          </cell>
          <cell r="D140">
            <v>0.26902521392184064</v>
          </cell>
          <cell r="F140">
            <v>-163.78159130022553</v>
          </cell>
          <cell r="G140">
            <v>-53.583705391648806</v>
          </cell>
          <cell r="I140" t="str">
            <v>MS Est.</v>
          </cell>
          <cell r="J140">
            <v>0.225114276362679</v>
          </cell>
          <cell r="K140" t="str">
            <v>none</v>
          </cell>
          <cell r="M140">
            <v>1.1010266280936629</v>
          </cell>
          <cell r="N140">
            <v>1.2665067931582552</v>
          </cell>
        </row>
        <row r="141">
          <cell r="A141" t="str">
            <v>Operating Income</v>
          </cell>
          <cell r="B141">
            <v>9.5766270988477592E-2</v>
          </cell>
          <cell r="C141">
            <v>3.779886473568559E-2</v>
          </cell>
          <cell r="D141">
            <v>8.8818653326543262E-2</v>
          </cell>
          <cell r="F141">
            <v>579.67406252792</v>
          </cell>
          <cell r="G141">
            <v>69.476176619343306</v>
          </cell>
          <cell r="I141" t="str">
            <v>MS/C</v>
          </cell>
          <cell r="J141">
            <v>-0.75988572363732099</v>
          </cell>
          <cell r="K141" t="e">
            <v>#VALUE!</v>
          </cell>
          <cell r="L141">
            <v>0</v>
          </cell>
          <cell r="M141">
            <v>0</v>
          </cell>
          <cell r="N141">
            <v>0</v>
          </cell>
        </row>
        <row r="142">
          <cell r="A142" t="str">
            <v>Interest Expense</v>
          </cell>
          <cell r="B142">
            <v>3.1643210377647633E-2</v>
          </cell>
          <cell r="C142">
            <v>3.5762043127987642E-2</v>
          </cell>
          <cell r="D142">
            <v>3.1378458603900941E-2</v>
          </cell>
          <cell r="F142">
            <v>-41.188327503400082</v>
          </cell>
          <cell r="G142">
            <v>2.6475177374669228</v>
          </cell>
          <cell r="I142" t="str">
            <v>MGT Guid</v>
          </cell>
          <cell r="J142" t="str">
            <v>$0.00-$(0.04)</v>
          </cell>
        </row>
        <row r="143">
          <cell r="A143" t="str">
            <v>Other Expense (Income)</v>
          </cell>
          <cell r="B143">
            <v>-7.3910090208000262E-3</v>
          </cell>
          <cell r="C143">
            <v>1.628761729547883E-4</v>
          </cell>
          <cell r="D143">
            <v>-3.6241263266891016E-3</v>
          </cell>
          <cell r="F143">
            <v>-75.538851937548145</v>
          </cell>
          <cell r="G143">
            <v>-37.668826941109245</v>
          </cell>
        </row>
        <row r="144">
          <cell r="A144" t="str">
            <v>Tax Rate</v>
          </cell>
          <cell r="B144">
            <v>0.40006660295948787</v>
          </cell>
          <cell r="C144">
            <v>0.195484070522735</v>
          </cell>
          <cell r="D144">
            <v>0.38</v>
          </cell>
          <cell r="F144">
            <v>2045.8253243675288</v>
          </cell>
          <cell r="G144">
            <v>200.66602959487867</v>
          </cell>
        </row>
        <row r="145">
          <cell r="A145" t="str">
            <v>Net Income</v>
          </cell>
          <cell r="B145">
            <v>4.2903678730295505E-2</v>
          </cell>
          <cell r="C145">
            <v>1.5076189532220727E-3</v>
          </cell>
          <cell r="D145">
            <v>3.7859879050585479E-2</v>
          </cell>
          <cell r="F145">
            <v>413.9605977707343</v>
          </cell>
          <cell r="G145">
            <v>50.437996797100261</v>
          </cell>
        </row>
        <row r="147">
          <cell r="A147" t="str">
            <v>EPS</v>
          </cell>
          <cell r="B147">
            <v>0.24893510925268417</v>
          </cell>
          <cell r="C147">
            <v>8.04553257961238E-3</v>
          </cell>
          <cell r="D147">
            <v>0.225114276362679</v>
          </cell>
          <cell r="F147">
            <v>0.24088957667307179</v>
          </cell>
          <cell r="G147">
            <v>2.3820832890005167E-2</v>
          </cell>
        </row>
        <row r="149">
          <cell r="A149" t="str">
            <v>EPS Upsides/Downsides</v>
          </cell>
        </row>
        <row r="150">
          <cell r="A150" t="str">
            <v>Gross Margin</v>
          </cell>
          <cell r="B150">
            <v>5.555265989990261E-3</v>
          </cell>
        </row>
        <row r="151">
          <cell r="A151" t="str">
            <v>SG&amp;A</v>
          </cell>
          <cell r="B151">
            <v>1.8634632007562379E-2</v>
          </cell>
        </row>
        <row r="152">
          <cell r="A152" t="str">
            <v>Operating Margin</v>
          </cell>
          <cell r="B152">
            <v>2.418989799755264E-2</v>
          </cell>
        </row>
        <row r="153">
          <cell r="A153" t="str">
            <v>Interest Expense, Net</v>
          </cell>
          <cell r="B153">
            <v>-9.2361681188376816E-4</v>
          </cell>
        </row>
        <row r="154">
          <cell r="A154" t="str">
            <v>Other expense (income)</v>
          </cell>
          <cell r="B154">
            <v>1.3112471077827939E-2</v>
          </cell>
        </row>
        <row r="155">
          <cell r="A155" t="str">
            <v>Tax Rate</v>
          </cell>
          <cell r="B155">
            <v>-8.3263942709177457E-3</v>
          </cell>
        </row>
        <row r="156">
          <cell r="A156" t="str">
            <v>Shares</v>
          </cell>
          <cell r="B156">
            <v>-6.1742795380068938E-3</v>
          </cell>
        </row>
        <row r="157">
          <cell r="A157" t="str">
            <v>Total</v>
          </cell>
          <cell r="B157">
            <v>2.1878078454572167E-2</v>
          </cell>
        </row>
        <row r="159">
          <cell r="A159" t="str">
            <v>GPS</v>
          </cell>
          <cell r="J159" t="str">
            <v>4Q09</v>
          </cell>
          <cell r="K159" t="str">
            <v>1Q10</v>
          </cell>
        </row>
        <row r="160">
          <cell r="A160" t="str">
            <v>As a % of Sales</v>
          </cell>
          <cell r="B160" t="str">
            <v>4Q09</v>
          </cell>
          <cell r="C160" t="str">
            <v>4Q08</v>
          </cell>
          <cell r="D160" t="str">
            <v>MS Est.</v>
          </cell>
          <cell r="F160" t="str">
            <v>y/y∆ (bp)</v>
          </cell>
          <cell r="G160" t="str">
            <v>∆ vs MS
Est. (bp)</v>
          </cell>
          <cell r="J160" t="str">
            <v>FQ1</v>
          </cell>
          <cell r="K160" t="str">
            <v>FQ2</v>
          </cell>
          <cell r="L160" t="str">
            <v>FQ3</v>
          </cell>
          <cell r="M160" t="str">
            <v>FY1</v>
          </cell>
          <cell r="N160" t="str">
            <v>FY2</v>
          </cell>
        </row>
        <row r="161">
          <cell r="A161" t="str">
            <v>Gross Income</v>
          </cell>
          <cell r="B161">
            <v>0.3922743753062225</v>
          </cell>
          <cell r="C161">
            <v>0.34027437530622245</v>
          </cell>
          <cell r="D161">
            <v>0.42196995226060091</v>
          </cell>
          <cell r="F161">
            <v>520.00000000000045</v>
          </cell>
          <cell r="G161">
            <v>-296.95576954378413</v>
          </cell>
          <cell r="I161" t="str">
            <v>Consensus</v>
          </cell>
          <cell r="J161">
            <v>0.5</v>
          </cell>
          <cell r="K161">
            <v>0.35399999999999998</v>
          </cell>
          <cell r="M161">
            <v>1.5029999999999999</v>
          </cell>
          <cell r="N161">
            <v>1.6339999999999999</v>
          </cell>
        </row>
        <row r="162">
          <cell r="A162" t="str">
            <v>SG&amp;A Expense</v>
          </cell>
          <cell r="B162">
            <v>0.25777315041646254</v>
          </cell>
          <cell r="C162">
            <v>0.24277315041646252</v>
          </cell>
          <cell r="D162">
            <v>0.2828268744734625</v>
          </cell>
          <cell r="F162">
            <v>150.00000000000014</v>
          </cell>
          <cell r="G162">
            <v>-250.5372405699996</v>
          </cell>
          <cell r="I162" t="str">
            <v>MS Est.</v>
          </cell>
          <cell r="J162">
            <v>0.50455187729779205</v>
          </cell>
          <cell r="K162">
            <v>0.43607954545454547</v>
          </cell>
          <cell r="M162">
            <v>1.5717170524816499</v>
          </cell>
          <cell r="N162">
            <v>1.6307831306006146</v>
          </cell>
        </row>
        <row r="163">
          <cell r="A163" t="str">
            <v>Operating Income</v>
          </cell>
          <cell r="B163">
            <v>0.13450122488975996</v>
          </cell>
          <cell r="C163">
            <v>9.7501224889759916E-2</v>
          </cell>
          <cell r="D163">
            <v>0.13914307778713844</v>
          </cell>
          <cell r="F163">
            <v>370.00000000000045</v>
          </cell>
          <cell r="G163">
            <v>-46.418528973784788</v>
          </cell>
          <cell r="I163" t="str">
            <v>MS/C</v>
          </cell>
          <cell r="J163">
            <v>4.5518772977920507E-3</v>
          </cell>
          <cell r="K163">
            <v>8.2079545454545488E-2</v>
          </cell>
          <cell r="M163">
            <v>6.8717052481650054E-2</v>
          </cell>
          <cell r="N163">
            <v>-3.2168693993852582E-3</v>
          </cell>
        </row>
        <row r="164">
          <cell r="A164" t="str">
            <v>Interest Expense</v>
          </cell>
          <cell r="B164">
            <v>0</v>
          </cell>
          <cell r="C164">
            <v>0</v>
          </cell>
          <cell r="D164">
            <v>0</v>
          </cell>
          <cell r="F164">
            <v>0</v>
          </cell>
          <cell r="G164">
            <v>0</v>
          </cell>
          <cell r="I164" t="str">
            <v>Guidance</v>
          </cell>
          <cell r="J164" t="str">
            <v>$0.33-$0.35</v>
          </cell>
        </row>
        <row r="165">
          <cell r="A165" t="str">
            <v>Earnings b4 Taxes</v>
          </cell>
          <cell r="B165">
            <v>0.13450122488975996</v>
          </cell>
          <cell r="C165">
            <v>9.8236158745712884E-2</v>
          </cell>
          <cell r="D165">
            <v>0.13949061485667194</v>
          </cell>
          <cell r="F165">
            <v>362.6506614404708</v>
          </cell>
          <cell r="G165">
            <v>-49.893899669119776</v>
          </cell>
        </row>
        <row r="166">
          <cell r="A166" t="str">
            <v>Tax Rate</v>
          </cell>
          <cell r="B166">
            <v>0.39</v>
          </cell>
          <cell r="C166">
            <v>0.3940149625935162</v>
          </cell>
          <cell r="D166">
            <v>0.39</v>
          </cell>
          <cell r="F166">
            <v>-40.149625935161914</v>
          </cell>
          <cell r="G166">
            <v>0</v>
          </cell>
        </row>
        <row r="167">
          <cell r="A167" t="str">
            <v>Net Income</v>
          </cell>
          <cell r="B167">
            <v>0.39</v>
          </cell>
          <cell r="C167">
            <v>0.3940149625935162</v>
          </cell>
          <cell r="D167">
            <v>8.5089275062569872E-2</v>
          </cell>
          <cell r="F167">
            <v>-40.149625935161914</v>
          </cell>
          <cell r="G167">
            <v>3049.1072493743018</v>
          </cell>
        </row>
        <row r="169">
          <cell r="A169" t="str">
            <v>EPS</v>
          </cell>
          <cell r="B169">
            <v>0.50455187729779205</v>
          </cell>
          <cell r="C169">
            <v>0.34219263456090654</v>
          </cell>
          <cell r="D169">
            <v>0.43995659234339185</v>
          </cell>
          <cell r="F169">
            <v>0.16235924273688551</v>
          </cell>
          <cell r="G169">
            <v>6.4595284954400201E-2</v>
          </cell>
        </row>
        <row r="171">
          <cell r="A171" t="str">
            <v>EPS Upsides/Downsides</v>
          </cell>
        </row>
        <row r="172">
          <cell r="A172" t="str">
            <v>Sales</v>
          </cell>
          <cell r="B172">
            <v>0</v>
          </cell>
        </row>
        <row r="173">
          <cell r="A173" t="str">
            <v>Gross Margin</v>
          </cell>
          <cell r="B173">
            <v>0</v>
          </cell>
        </row>
        <row r="174">
          <cell r="A174" t="str">
            <v>SG&amp;A Expenses</v>
          </cell>
          <cell r="B174">
            <v>0</v>
          </cell>
        </row>
        <row r="175">
          <cell r="A175" t="str">
            <v>Operating Margin</v>
          </cell>
          <cell r="B175" t="e">
            <v>#REF!</v>
          </cell>
        </row>
        <row r="176">
          <cell r="A176" t="str">
            <v>Interest Expense</v>
          </cell>
          <cell r="B176">
            <v>0</v>
          </cell>
        </row>
        <row r="177">
          <cell r="A177" t="str">
            <v>Interest Income</v>
          </cell>
          <cell r="B177">
            <v>0</v>
          </cell>
        </row>
        <row r="178">
          <cell r="A178" t="str">
            <v>Tax Rate</v>
          </cell>
          <cell r="B178">
            <v>0</v>
          </cell>
        </row>
        <row r="179">
          <cell r="A179" t="str">
            <v>Shares</v>
          </cell>
          <cell r="B179">
            <v>0</v>
          </cell>
        </row>
        <row r="180">
          <cell r="A180" t="str">
            <v>Total</v>
          </cell>
          <cell r="B180">
            <v>0</v>
          </cell>
        </row>
        <row r="182">
          <cell r="A182" t="str">
            <v>ROST</v>
          </cell>
        </row>
        <row r="183">
          <cell r="A183" t="str">
            <v>As a % of Sales</v>
          </cell>
          <cell r="B183" t="str">
            <v>2Q09</v>
          </cell>
          <cell r="C183" t="str">
            <v>2Q08</v>
          </cell>
          <cell r="D183" t="str">
            <v>MS Est.</v>
          </cell>
          <cell r="F183" t="str">
            <v>y/y∆ (bp)</v>
          </cell>
          <cell r="G183" t="str">
            <v>∆ vs MS
Est. (bp)</v>
          </cell>
          <cell r="J183" t="str">
            <v>FQ1</v>
          </cell>
          <cell r="K183" t="str">
            <v>FQ2</v>
          </cell>
          <cell r="L183" t="str">
            <v>FY1</v>
          </cell>
          <cell r="M183" t="str">
            <v>FY2</v>
          </cell>
        </row>
        <row r="184">
          <cell r="A184" t="str">
            <v>Gross Income</v>
          </cell>
          <cell r="B184">
            <v>0</v>
          </cell>
          <cell r="C184">
            <v>0</v>
          </cell>
          <cell r="D184">
            <v>0</v>
          </cell>
          <cell r="F184">
            <v>0</v>
          </cell>
          <cell r="G184">
            <v>0</v>
          </cell>
          <cell r="I184" t="str">
            <v>Consensus</v>
          </cell>
          <cell r="J184">
            <v>0.82</v>
          </cell>
          <cell r="K184">
            <v>0.56000000000000005</v>
          </cell>
          <cell r="L184">
            <v>3</v>
          </cell>
          <cell r="M184">
            <v>3.27</v>
          </cell>
          <cell r="N184" t="str">
            <v>Bloomberg</v>
          </cell>
          <cell r="O184">
            <v>40045</v>
          </cell>
        </row>
        <row r="185">
          <cell r="A185" t="str">
            <v>SG&amp;A Expense</v>
          </cell>
          <cell r="B185">
            <v>0</v>
          </cell>
          <cell r="C185">
            <v>0</v>
          </cell>
          <cell r="D185">
            <v>0</v>
          </cell>
          <cell r="F185">
            <v>0</v>
          </cell>
          <cell r="G185">
            <v>0</v>
          </cell>
          <cell r="I185" t="str">
            <v>MS Est.</v>
          </cell>
          <cell r="J185">
            <v>0</v>
          </cell>
          <cell r="K185">
            <v>0.56000000000000005</v>
          </cell>
          <cell r="L185">
            <v>3.03</v>
          </cell>
          <cell r="M185">
            <v>3.43</v>
          </cell>
        </row>
        <row r="186">
          <cell r="A186" t="str">
            <v>Operating Income</v>
          </cell>
          <cell r="B186">
            <v>0</v>
          </cell>
          <cell r="C186">
            <v>0</v>
          </cell>
          <cell r="D186">
            <v>0</v>
          </cell>
          <cell r="F186">
            <v>0</v>
          </cell>
          <cell r="G186">
            <v>0</v>
          </cell>
          <cell r="I186" t="str">
            <v>MS/C</v>
          </cell>
          <cell r="J186">
            <v>-0.82</v>
          </cell>
          <cell r="K186">
            <v>0</v>
          </cell>
          <cell r="L186">
            <v>2.9999999999999805E-2</v>
          </cell>
          <cell r="M186">
            <v>0.16000000000000014</v>
          </cell>
        </row>
        <row r="187">
          <cell r="A187" t="str">
            <v>Interest Expense</v>
          </cell>
          <cell r="B187">
            <v>0</v>
          </cell>
          <cell r="C187">
            <v>0</v>
          </cell>
          <cell r="D187">
            <v>0</v>
          </cell>
          <cell r="F187">
            <v>0</v>
          </cell>
          <cell r="G187">
            <v>0</v>
          </cell>
          <cell r="I187" t="str">
            <v>Guidance</v>
          </cell>
          <cell r="J187" t="str">
            <v>0.81-0.82</v>
          </cell>
        </row>
        <row r="188">
          <cell r="A188" t="str">
            <v>Earnings b4 Taxes</v>
          </cell>
          <cell r="B188">
            <v>0</v>
          </cell>
          <cell r="C188">
            <v>0</v>
          </cell>
          <cell r="D188">
            <v>0</v>
          </cell>
          <cell r="F188">
            <v>0</v>
          </cell>
          <cell r="G188">
            <v>0</v>
          </cell>
          <cell r="I188" t="str">
            <v>N Guidance</v>
          </cell>
        </row>
        <row r="189">
          <cell r="A189" t="str">
            <v>Tax Rate</v>
          </cell>
          <cell r="B189">
            <v>0</v>
          </cell>
          <cell r="C189">
            <v>0</v>
          </cell>
          <cell r="D189">
            <v>0</v>
          </cell>
          <cell r="F189">
            <v>0</v>
          </cell>
          <cell r="G189">
            <v>0</v>
          </cell>
        </row>
        <row r="190">
          <cell r="A190" t="str">
            <v>Net Income</v>
          </cell>
          <cell r="B190">
            <v>0</v>
          </cell>
          <cell r="C190">
            <v>0</v>
          </cell>
          <cell r="D190">
            <v>0</v>
          </cell>
          <cell r="F190">
            <v>0</v>
          </cell>
          <cell r="G190">
            <v>0</v>
          </cell>
        </row>
        <row r="192">
          <cell r="A192" t="str">
            <v>EPS</v>
          </cell>
          <cell r="B192">
            <v>0</v>
          </cell>
          <cell r="C192">
            <v>0</v>
          </cell>
          <cell r="D192">
            <v>0</v>
          </cell>
          <cell r="F192">
            <v>0</v>
          </cell>
          <cell r="G192">
            <v>0</v>
          </cell>
        </row>
        <row r="194">
          <cell r="A194" t="str">
            <v>EPS Upsides/Downsides</v>
          </cell>
        </row>
        <row r="195">
          <cell r="A195" t="str">
            <v>Gross Margin</v>
          </cell>
          <cell r="B195">
            <v>-9.3079415940881156E-3</v>
          </cell>
        </row>
        <row r="196">
          <cell r="A196" t="str">
            <v>SG&amp;A</v>
          </cell>
          <cell r="B196">
            <v>-4.1553199556378624E-3</v>
          </cell>
        </row>
        <row r="197">
          <cell r="A197" t="str">
            <v>Interest Expense, Net</v>
          </cell>
          <cell r="B197">
            <v>1.4972157034199365E-3</v>
          </cell>
        </row>
        <row r="198">
          <cell r="A198" t="str">
            <v>Tax Rate</v>
          </cell>
          <cell r="B198">
            <v>6.994656953981741E-3</v>
          </cell>
        </row>
        <row r="199">
          <cell r="A199" t="str">
            <v>Shares</v>
          </cell>
          <cell r="B199">
            <v>4.7205651805766191E-3</v>
          </cell>
        </row>
        <row r="200">
          <cell r="A200" t="str">
            <v>Total</v>
          </cell>
          <cell r="B200">
            <v>-2.508237117476806E-4</v>
          </cell>
        </row>
        <row r="202">
          <cell r="A202" t="str">
            <v>TJX</v>
          </cell>
        </row>
        <row r="203">
          <cell r="A203" t="str">
            <v>As a % of Sales</v>
          </cell>
          <cell r="B203" t="str">
            <v>3Q09</v>
          </cell>
          <cell r="C203" t="str">
            <v>3Q08</v>
          </cell>
          <cell r="D203" t="str">
            <v>MS Est.</v>
          </cell>
          <cell r="F203" t="str">
            <v>y/y∆ (bp)</v>
          </cell>
          <cell r="G203" t="str">
            <v>∆ vs MS
Est. (bp)</v>
          </cell>
          <cell r="J203" t="str">
            <v>FQ1</v>
          </cell>
          <cell r="K203" t="str">
            <v>FQ2</v>
          </cell>
          <cell r="L203" t="str">
            <v>FY1</v>
          </cell>
          <cell r="M203" t="str">
            <v>FY2</v>
          </cell>
        </row>
        <row r="204">
          <cell r="A204" t="str">
            <v>Gross Income</v>
          </cell>
          <cell r="B204">
            <v>0</v>
          </cell>
          <cell r="C204">
            <v>0</v>
          </cell>
          <cell r="D204">
            <v>0</v>
          </cell>
          <cell r="F204">
            <v>0</v>
          </cell>
          <cell r="G204">
            <v>0</v>
          </cell>
          <cell r="I204" t="str">
            <v>Consensus</v>
          </cell>
          <cell r="J204">
            <v>0.78400000000000003</v>
          </cell>
          <cell r="K204">
            <v>0.70599999999999996</v>
          </cell>
          <cell r="L204">
            <v>2.5819999999999999</v>
          </cell>
          <cell r="M204">
            <v>2.8839999999999999</v>
          </cell>
          <cell r="N204" t="str">
            <v>Bloomberg</v>
          </cell>
          <cell r="O204">
            <v>40133</v>
          </cell>
        </row>
        <row r="205">
          <cell r="A205" t="str">
            <v>SG&amp;A Expense</v>
          </cell>
          <cell r="B205">
            <v>0</v>
          </cell>
          <cell r="C205">
            <v>0</v>
          </cell>
          <cell r="D205">
            <v>0</v>
          </cell>
          <cell r="F205">
            <v>0</v>
          </cell>
          <cell r="G205">
            <v>0</v>
          </cell>
          <cell r="I205" t="str">
            <v>MS Est.</v>
          </cell>
          <cell r="J205">
            <v>0</v>
          </cell>
          <cell r="K205">
            <v>0.81</v>
          </cell>
          <cell r="L205">
            <v>2.7</v>
          </cell>
          <cell r="M205">
            <v>3.13</v>
          </cell>
        </row>
        <row r="206">
          <cell r="A206" t="str">
            <v>Operating Income</v>
          </cell>
          <cell r="B206">
            <v>0</v>
          </cell>
          <cell r="C206">
            <v>0</v>
          </cell>
          <cell r="D206">
            <v>0</v>
          </cell>
          <cell r="F206">
            <v>0</v>
          </cell>
          <cell r="G206">
            <v>0</v>
          </cell>
          <cell r="I206" t="str">
            <v>MS/C</v>
          </cell>
          <cell r="J206">
            <v>-0.78400000000000003</v>
          </cell>
          <cell r="K206">
            <v>0.10400000000000009</v>
          </cell>
          <cell r="L206">
            <v>0.11800000000000033</v>
          </cell>
          <cell r="M206">
            <v>0.246</v>
          </cell>
        </row>
        <row r="207">
          <cell r="A207" t="str">
            <v>Interest Expense</v>
          </cell>
          <cell r="B207">
            <v>0</v>
          </cell>
          <cell r="C207">
            <v>0</v>
          </cell>
          <cell r="D207">
            <v>0</v>
          </cell>
          <cell r="F207">
            <v>0</v>
          </cell>
          <cell r="G207">
            <v>0</v>
          </cell>
          <cell r="I207" t="str">
            <v>Mgt</v>
          </cell>
        </row>
        <row r="208">
          <cell r="A208" t="str">
            <v>Earnings b4 Taxes</v>
          </cell>
          <cell r="B208">
            <v>0</v>
          </cell>
          <cell r="C208">
            <v>0</v>
          </cell>
          <cell r="D208">
            <v>0</v>
          </cell>
          <cell r="F208">
            <v>0</v>
          </cell>
          <cell r="G208">
            <v>0</v>
          </cell>
          <cell r="I208" t="str">
            <v>New Guide</v>
          </cell>
        </row>
        <row r="209">
          <cell r="A209" t="str">
            <v>Tax Rate</v>
          </cell>
          <cell r="B209">
            <v>0</v>
          </cell>
          <cell r="C209">
            <v>0</v>
          </cell>
          <cell r="D209">
            <v>0</v>
          </cell>
          <cell r="F209">
            <v>0</v>
          </cell>
          <cell r="G209">
            <v>0</v>
          </cell>
        </row>
        <row r="210">
          <cell r="A210" t="str">
            <v>Net Income</v>
          </cell>
          <cell r="B210">
            <v>0</v>
          </cell>
          <cell r="C210">
            <v>0</v>
          </cell>
          <cell r="D210">
            <v>0</v>
          </cell>
          <cell r="F210">
            <v>0</v>
          </cell>
          <cell r="G210">
            <v>0</v>
          </cell>
        </row>
        <row r="212">
          <cell r="A212" t="str">
            <v>EPS</v>
          </cell>
          <cell r="B212">
            <v>0</v>
          </cell>
          <cell r="C212">
            <v>0</v>
          </cell>
          <cell r="D212">
            <v>0</v>
          </cell>
          <cell r="F212">
            <v>0</v>
          </cell>
          <cell r="G212">
            <v>0</v>
          </cell>
        </row>
        <row r="214">
          <cell r="A214" t="str">
            <v>EPS Upsides/Downsides</v>
          </cell>
        </row>
        <row r="215">
          <cell r="A215" t="str">
            <v>Reported Sales Variance</v>
          </cell>
          <cell r="B215">
            <v>-9.2385306540772958E-3</v>
          </cell>
        </row>
        <row r="216">
          <cell r="A216" t="str">
            <v>Gross Margin</v>
          </cell>
          <cell r="B216">
            <v>0.12327703340832144</v>
          </cell>
        </row>
        <row r="217">
          <cell r="A217" t="str">
            <v>SG&amp;A</v>
          </cell>
          <cell r="B217">
            <v>-9.2623490996430774E-2</v>
          </cell>
        </row>
        <row r="218">
          <cell r="A218" t="str">
            <v>Interest Expense, Net</v>
          </cell>
          <cell r="B218">
            <v>-1.7995738165169045E-3</v>
          </cell>
        </row>
        <row r="219">
          <cell r="A219" t="str">
            <v>Tax Rate</v>
          </cell>
          <cell r="B219">
            <v>1.0237504860645822E-2</v>
          </cell>
        </row>
        <row r="220">
          <cell r="A220" t="str">
            <v>Shares</v>
          </cell>
          <cell r="B220">
            <v>4.3935790474023406E-3</v>
          </cell>
        </row>
        <row r="221">
          <cell r="A221" t="str">
            <v>Total</v>
          </cell>
          <cell r="B221">
            <v>3.4246521849344624E-2</v>
          </cell>
        </row>
        <row r="223">
          <cell r="A223" t="str">
            <v>URBN</v>
          </cell>
        </row>
        <row r="224">
          <cell r="A224" t="str">
            <v>As a % of Sales</v>
          </cell>
          <cell r="B224" t="str">
            <v>4Q09</v>
          </cell>
          <cell r="C224" t="str">
            <v>4Q08</v>
          </cell>
          <cell r="D224" t="str">
            <v>MS Estimate</v>
          </cell>
          <cell r="F224" t="str">
            <v>y/y∆ (bp)</v>
          </cell>
          <cell r="G224" t="str">
            <v>∆ vs 
Est. (bp)</v>
          </cell>
          <cell r="J224" t="str">
            <v>FQ1</v>
          </cell>
          <cell r="K224" t="str">
            <v>FQ2</v>
          </cell>
          <cell r="L224" t="str">
            <v>FY1</v>
          </cell>
          <cell r="M224" t="str">
            <v>FY2</v>
          </cell>
        </row>
        <row r="225">
          <cell r="A225" t="str">
            <v>Gross Income</v>
          </cell>
          <cell r="B225">
            <v>0.41744081917711845</v>
          </cell>
          <cell r="C225">
            <v>0.34028633398808855</v>
          </cell>
          <cell r="D225">
            <v>0.39338633398808853</v>
          </cell>
          <cell r="F225">
            <v>771.54485189029901</v>
          </cell>
          <cell r="G225">
            <v>240.54485189029919</v>
          </cell>
          <cell r="I225" t="str">
            <v>Consensus</v>
          </cell>
          <cell r="J225">
            <v>0.40300000000000002</v>
          </cell>
          <cell r="K225">
            <v>0.25900000000000001</v>
          </cell>
          <cell r="L225">
            <v>1.234</v>
          </cell>
          <cell r="M225">
            <v>1.5580000000000001</v>
          </cell>
          <cell r="N225" t="str">
            <v>updated 3/3/2010</v>
          </cell>
        </row>
        <row r="226">
          <cell r="A226" t="str">
            <v>SG&amp;A Expense</v>
          </cell>
          <cell r="B226">
            <v>0.21580375637433241</v>
          </cell>
          <cell r="C226">
            <v>0.21590779368522153</v>
          </cell>
          <cell r="D226">
            <v>0.21140779368522153</v>
          </cell>
          <cell r="F226">
            <v>-1.0403731088912127</v>
          </cell>
          <cell r="G226">
            <v>43.959626891108826</v>
          </cell>
          <cell r="I226" t="str">
            <v>MS Est.</v>
          </cell>
          <cell r="J226">
            <v>0.40309878685263067</v>
          </cell>
          <cell r="K226">
            <v>0.38</v>
          </cell>
          <cell r="L226">
            <v>1.21</v>
          </cell>
          <cell r="M226">
            <v>1.5</v>
          </cell>
          <cell r="N226" t="str">
            <v>updated 3/3/2010</v>
          </cell>
        </row>
        <row r="227">
          <cell r="A227" t="str">
            <v>Operating Income</v>
          </cell>
          <cell r="B227">
            <v>0.20163706280278604</v>
          </cell>
          <cell r="C227">
            <v>0.12437854030286699</v>
          </cell>
          <cell r="D227">
            <v>0.18197854030286698</v>
          </cell>
          <cell r="F227">
            <v>772.58522499919047</v>
          </cell>
          <cell r="G227">
            <v>196.58522499919061</v>
          </cell>
          <cell r="I227" t="str">
            <v>MS/C</v>
          </cell>
          <cell r="J227">
            <v>9.8786852630650124E-5</v>
          </cell>
          <cell r="K227">
            <v>-0.25900000000000001</v>
          </cell>
          <cell r="L227">
            <v>-1.234</v>
          </cell>
          <cell r="M227">
            <v>-1.5580000000000001</v>
          </cell>
        </row>
        <row r="228">
          <cell r="A228" t="str">
            <v>Other Expenses (Income)</v>
          </cell>
          <cell r="B228">
            <v>-9.7707194478099143E-4</v>
          </cell>
          <cell r="C228">
            <v>-5.8120997169725901E-3</v>
          </cell>
          <cell r="D228">
            <v>-5.8120997169725901E-3</v>
          </cell>
          <cell r="F228">
            <v>48.350277721915987</v>
          </cell>
          <cell r="G228">
            <v>48.350277721915987</v>
          </cell>
          <cell r="I228" t="str">
            <v>Guidance</v>
          </cell>
          <cell r="J228" t="str">
            <v>NA</v>
          </cell>
          <cell r="K228" t="str">
            <v>NA</v>
          </cell>
          <cell r="L228" t="str">
            <v>NA</v>
          </cell>
          <cell r="M228" t="str">
            <v>NA</v>
          </cell>
        </row>
        <row r="229">
          <cell r="A229" t="str">
            <v>Income Before Taxes</v>
          </cell>
          <cell r="B229">
            <v>0.20261413474756704</v>
          </cell>
          <cell r="C229">
            <v>0.1301906400198396</v>
          </cell>
          <cell r="D229">
            <v>0.18779064001983956</v>
          </cell>
          <cell r="F229">
            <v>724.23494727727439</v>
          </cell>
          <cell r="G229">
            <v>148.23494727727481</v>
          </cell>
        </row>
        <row r="230">
          <cell r="A230" t="str">
            <v>Tax Rate</v>
          </cell>
          <cell r="B230">
            <v>0.34856630072880074</v>
          </cell>
          <cell r="C230">
            <v>0.38704703161141057</v>
          </cell>
          <cell r="D230">
            <v>0.374</v>
          </cell>
          <cell r="F230">
            <v>-384.80730882609839</v>
          </cell>
          <cell r="G230">
            <v>-254.33699271199262</v>
          </cell>
        </row>
        <row r="231">
          <cell r="A231" t="str">
            <v>Net Income</v>
          </cell>
          <cell r="B231">
            <v>0.13198967532324082</v>
          </cell>
          <cell r="C231">
            <v>7.9800739256570954E-2</v>
          </cell>
          <cell r="D231">
            <v>0.11755694065241959</v>
          </cell>
          <cell r="F231">
            <v>521.88936066669874</v>
          </cell>
          <cell r="G231">
            <v>144.32734670821233</v>
          </cell>
        </row>
        <row r="233">
          <cell r="A233" t="str">
            <v>EPS</v>
          </cell>
          <cell r="B233">
            <v>0.45049458331518716</v>
          </cell>
          <cell r="C233">
            <v>0.2383991529512581</v>
          </cell>
          <cell r="D233">
            <v>0.40309878685263067</v>
          </cell>
          <cell r="F233">
            <v>0.21209543036392906</v>
          </cell>
          <cell r="G233">
            <v>4.7395796462556483E-2</v>
          </cell>
        </row>
        <row r="235">
          <cell r="A235" t="str">
            <v>EPS Upsides/Downsides</v>
          </cell>
        </row>
        <row r="236">
          <cell r="A236" t="str">
            <v>Sales</v>
          </cell>
          <cell r="B236" t="e">
            <v>#REF!</v>
          </cell>
        </row>
        <row r="237">
          <cell r="A237" t="str">
            <v>Gross Margin</v>
          </cell>
          <cell r="B237">
            <v>5.3483017340296916E-2</v>
          </cell>
        </row>
        <row r="238">
          <cell r="A238" t="str">
            <v>SG&amp;A</v>
          </cell>
          <cell r="B238">
            <v>-9.7740336939839308E-3</v>
          </cell>
        </row>
        <row r="239">
          <cell r="A239" t="str">
            <v>Other Expenses (Income)</v>
          </cell>
          <cell r="B239">
            <v>-1.0750256018734979E-2</v>
          </cell>
        </row>
        <row r="240">
          <cell r="A240" t="str">
            <v>Tax Rate</v>
          </cell>
          <cell r="B240">
            <v>1.7588503278478228E-2</v>
          </cell>
        </row>
        <row r="241">
          <cell r="A241" t="str">
            <v>Shares</v>
          </cell>
          <cell r="B241">
            <v>-2.0935642207525196E-3</v>
          </cell>
        </row>
        <row r="242">
          <cell r="A242" t="str">
            <v>Total</v>
          </cell>
          <cell r="B242">
            <v>4.8453666685303709E-2</v>
          </cell>
        </row>
        <row r="243">
          <cell r="A243" t="str">
            <v>AEO</v>
          </cell>
        </row>
        <row r="244">
          <cell r="A244" t="str">
            <v>AEO</v>
          </cell>
          <cell r="B244" t="str">
            <v>3Q09</v>
          </cell>
          <cell r="C244" t="str">
            <v>3Q08</v>
          </cell>
          <cell r="D244" t="str">
            <v>MS Estimate</v>
          </cell>
          <cell r="F244" t="str">
            <v>y/y∆ (bp)</v>
          </cell>
          <cell r="G244" t="str">
            <v>∆ vs 
Est. (bp)</v>
          </cell>
          <cell r="J244" t="str">
            <v>FQ1</v>
          </cell>
          <cell r="K244" t="str">
            <v>FQ2</v>
          </cell>
          <cell r="M244" t="str">
            <v>FY1</v>
          </cell>
          <cell r="N244" t="str">
            <v>FY2</v>
          </cell>
        </row>
        <row r="245">
          <cell r="A245" t="str">
            <v>As a % of Sales</v>
          </cell>
          <cell r="B245" t="str">
            <v>4Q09</v>
          </cell>
          <cell r="C245" t="str">
            <v>4Q08</v>
          </cell>
          <cell r="D245" t="str">
            <v>MS Estimate</v>
          </cell>
          <cell r="F245" t="str">
            <v>y/y∆ (bp)</v>
          </cell>
          <cell r="G245" t="str">
            <v>∆ vs 
Est. (bp)</v>
          </cell>
          <cell r="I245" t="str">
            <v>Consensus</v>
          </cell>
          <cell r="J245" t="str">
            <v>FQ1</v>
          </cell>
          <cell r="K245" t="str">
            <v>FQ2</v>
          </cell>
          <cell r="M245" t="str">
            <v>FY1</v>
          </cell>
          <cell r="N245" t="str">
            <v>FY2</v>
          </cell>
          <cell r="O245" t="str">
            <v>updated 11/23/2009</v>
          </cell>
        </row>
        <row r="246">
          <cell r="A246" t="str">
            <v>Gross Income</v>
          </cell>
          <cell r="B246">
            <v>0.38593867923135189</v>
          </cell>
          <cell r="C246">
            <v>0.34406978028044605</v>
          </cell>
          <cell r="D246">
            <v>0.38593867923135189</v>
          </cell>
          <cell r="F246">
            <v>418.68898950905844</v>
          </cell>
          <cell r="G246">
            <v>0</v>
          </cell>
          <cell r="I246" t="str">
            <v>Consensus</v>
          </cell>
          <cell r="J246">
            <v>0.20516677394692481</v>
          </cell>
          <cell r="K246">
            <v>0.34</v>
          </cell>
          <cell r="M246">
            <v>0.77</v>
          </cell>
          <cell r="N246">
            <v>0.97</v>
          </cell>
        </row>
        <row r="247">
          <cell r="A247" t="str">
            <v>SG&amp;A</v>
          </cell>
          <cell r="B247">
            <v>0.26707126698025407</v>
          </cell>
          <cell r="C247">
            <v>0.27777851385668545</v>
          </cell>
          <cell r="D247">
            <v>0.26707126698025407</v>
          </cell>
          <cell r="F247">
            <v>-107.07246876431375</v>
          </cell>
          <cell r="G247">
            <v>0</v>
          </cell>
          <cell r="I247" t="str">
            <v>MS Est.</v>
          </cell>
          <cell r="J247">
            <v>-4.8332260530751792E-3</v>
          </cell>
          <cell r="K247">
            <v>1.8000000000000016E-2</v>
          </cell>
          <cell r="M247">
            <v>2.200000000000002E-2</v>
          </cell>
          <cell r="N247">
            <v>-6.2000000000000055E-2</v>
          </cell>
        </row>
        <row r="248">
          <cell r="A248" t="str">
            <v>Operating Income</v>
          </cell>
          <cell r="B248">
            <v>0.11886741225109779</v>
          </cell>
          <cell r="C248">
            <v>6.6291266423760653E-2</v>
          </cell>
          <cell r="D248">
            <v>0.11886741225109779</v>
          </cell>
          <cell r="F248">
            <v>525.76145827337132</v>
          </cell>
          <cell r="G248">
            <v>0</v>
          </cell>
          <cell r="I248" t="str">
            <v>MS/C</v>
          </cell>
          <cell r="J248" t="str">
            <v>0.20-0.21 op.</v>
          </cell>
        </row>
        <row r="249">
          <cell r="A249" t="str">
            <v>Interest and Other Income, net</v>
          </cell>
          <cell r="B249">
            <v>-4.7111590699647102E-4</v>
          </cell>
          <cell r="C249">
            <v>3.207463840123661E-3</v>
          </cell>
          <cell r="D249">
            <v>-4.7111590699647102E-4</v>
          </cell>
          <cell r="F249">
            <v>-36.78579747120132</v>
          </cell>
          <cell r="G249">
            <v>0</v>
          </cell>
          <cell r="I249" t="str">
            <v>M Guidance</v>
          </cell>
        </row>
        <row r="250">
          <cell r="A250" t="str">
            <v>Income Before Taxes</v>
          </cell>
          <cell r="B250">
            <v>0.11839629634410131</v>
          </cell>
          <cell r="C250">
            <v>6.9498730263884312E-2</v>
          </cell>
          <cell r="D250">
            <v>0.11839629634410131</v>
          </cell>
          <cell r="F250">
            <v>488.97566080217001</v>
          </cell>
          <cell r="G250">
            <v>0</v>
          </cell>
        </row>
        <row r="251">
          <cell r="A251" t="str">
            <v>Tax Rate</v>
          </cell>
          <cell r="B251">
            <v>0.38</v>
          </cell>
          <cell r="C251">
            <v>0.3856064818492333</v>
          </cell>
          <cell r="D251">
            <v>0.38</v>
          </cell>
          <cell r="F251">
            <v>-56.064818492332911</v>
          </cell>
          <cell r="G251">
            <v>0</v>
          </cell>
        </row>
        <row r="252">
          <cell r="A252" t="str">
            <v>Net Income</v>
          </cell>
          <cell r="B252">
            <v>7.340570373334282E-2</v>
          </cell>
          <cell r="C252">
            <v>4.2699569393839044E-2</v>
          </cell>
          <cell r="D252">
            <v>7.340570373334282E-2</v>
          </cell>
          <cell r="F252">
            <v>307.06134339503774</v>
          </cell>
          <cell r="G252">
            <v>0</v>
          </cell>
        </row>
        <row r="253">
          <cell r="A253" t="str">
            <v>EPS</v>
          </cell>
          <cell r="B253">
            <v>0.20516677394692481</v>
          </cell>
          <cell r="C253">
            <v>0.30139292156616848</v>
          </cell>
          <cell r="D253">
            <v>0.20516677394692481</v>
          </cell>
          <cell r="F253">
            <v>-9.6226147619243668E-2</v>
          </cell>
          <cell r="G253">
            <v>0</v>
          </cell>
        </row>
        <row r="254">
          <cell r="A254" t="str">
            <v>EPS</v>
          </cell>
          <cell r="B254">
            <v>0.33751528617009335</v>
          </cell>
          <cell r="C254">
            <v>0.18721951927964575</v>
          </cell>
          <cell r="D254">
            <v>0.33751528617009335</v>
          </cell>
          <cell r="F254">
            <v>0.1502957668904476</v>
          </cell>
          <cell r="G254">
            <v>0</v>
          </cell>
        </row>
        <row r="255">
          <cell r="A255" t="str">
            <v>EPS Upsides/Downsides</v>
          </cell>
        </row>
        <row r="256">
          <cell r="A256" t="str">
            <v>EPS Upsides/Downsides</v>
          </cell>
          <cell r="B256">
            <v>0</v>
          </cell>
        </row>
        <row r="257">
          <cell r="A257" t="str">
            <v>Gross Margin</v>
          </cell>
          <cell r="B257">
            <v>0</v>
          </cell>
        </row>
        <row r="258">
          <cell r="A258" t="str">
            <v>SG&amp;A</v>
          </cell>
          <cell r="B258">
            <v>0</v>
          </cell>
        </row>
        <row r="259">
          <cell r="A259" t="str">
            <v>Interest and Other Income, net</v>
          </cell>
          <cell r="B259">
            <v>0</v>
          </cell>
        </row>
        <row r="260">
          <cell r="A260" t="str">
            <v>Tax Rate</v>
          </cell>
          <cell r="B260">
            <v>0</v>
          </cell>
        </row>
        <row r="261">
          <cell r="A261" t="str">
            <v>Shares</v>
          </cell>
          <cell r="B261">
            <v>0</v>
          </cell>
        </row>
        <row r="262">
          <cell r="A262" t="str">
            <v>Total</v>
          </cell>
          <cell r="B262">
            <v>0</v>
          </cell>
        </row>
        <row r="263">
          <cell r="A263" t="str">
            <v>ANF</v>
          </cell>
          <cell r="I263" t="str">
            <v>From Bloomberg</v>
          </cell>
        </row>
        <row r="264">
          <cell r="A264" t="str">
            <v>ANF</v>
          </cell>
          <cell r="B264" t="str">
            <v>3Q09</v>
          </cell>
          <cell r="C264" t="str">
            <v>3Q08</v>
          </cell>
          <cell r="D264" t="str">
            <v>MS Est.</v>
          </cell>
          <cell r="F264" t="str">
            <v>y/y∆ (bp)</v>
          </cell>
          <cell r="G264" t="str">
            <v>∆ vs MS
Est. (bp)</v>
          </cell>
          <cell r="I264" t="str">
            <v>From Bloomberg</v>
          </cell>
          <cell r="J264" t="str">
            <v>FQ1</v>
          </cell>
          <cell r="K264" t="str">
            <v>FQ2</v>
          </cell>
          <cell r="M264" t="str">
            <v>FY1</v>
          </cell>
          <cell r="N264" t="str">
            <v>FY2</v>
          </cell>
          <cell r="O264" t="str">
            <v>FY3</v>
          </cell>
        </row>
        <row r="265">
          <cell r="A265" t="str">
            <v>As a % of Sales</v>
          </cell>
          <cell r="B265" t="str">
            <v>4Q09</v>
          </cell>
          <cell r="C265" t="str">
            <v>4Q08</v>
          </cell>
          <cell r="D265" t="str">
            <v>MS Est.</v>
          </cell>
          <cell r="F265" t="str">
            <v>y/y∆ (bp)</v>
          </cell>
          <cell r="G265" t="str">
            <v>∆ vs MS
Est. (bp)</v>
          </cell>
          <cell r="I265" t="str">
            <v>Consensus</v>
          </cell>
          <cell r="J265" t="str">
            <v>FQ1</v>
          </cell>
          <cell r="K265" t="str">
            <v>FQ2</v>
          </cell>
          <cell r="M265" t="str">
            <v>FY1</v>
          </cell>
          <cell r="N265" t="str">
            <v>FY2</v>
          </cell>
          <cell r="O265" t="str">
            <v>FY3</v>
          </cell>
          <cell r="P265">
            <v>40129</v>
          </cell>
        </row>
        <row r="266">
          <cell r="A266" t="str">
            <v>Gross Income</v>
          </cell>
          <cell r="B266">
            <v>0.63520055214206117</v>
          </cell>
          <cell r="C266">
            <v>0.64625120691184512</v>
          </cell>
          <cell r="D266">
            <v>0.6389308385648651</v>
          </cell>
          <cell r="F266">
            <v>-110.50654769783952</v>
          </cell>
          <cell r="G266">
            <v>-37.302864228039297</v>
          </cell>
          <cell r="I266" t="str">
            <v>Consensus</v>
          </cell>
          <cell r="J266">
            <v>0.86899999999999999</v>
          </cell>
          <cell r="K266">
            <v>-0.30550645974206669</v>
          </cell>
          <cell r="M266">
            <v>0.89300000000000002</v>
          </cell>
          <cell r="N266">
            <v>1.6679999999999999</v>
          </cell>
          <cell r="O266">
            <v>2.238</v>
          </cell>
          <cell r="P266">
            <v>40225</v>
          </cell>
        </row>
        <row r="267">
          <cell r="A267" t="str">
            <v>SG&amp;A Expense</v>
          </cell>
          <cell r="B267">
            <v>0.50553157028219287</v>
          </cell>
          <cell r="C267">
            <v>0.49192146483158294</v>
          </cell>
          <cell r="D267">
            <v>0.50634691694515288</v>
          </cell>
          <cell r="F267">
            <v>136.10105450609922</v>
          </cell>
          <cell r="G267">
            <v>-8.1534666296001479</v>
          </cell>
          <cell r="I267" t="str">
            <v>MS Est.</v>
          </cell>
          <cell r="J267">
            <v>0.91479700159346322</v>
          </cell>
          <cell r="K267">
            <v>-1.3135064597420667</v>
          </cell>
        </row>
        <row r="268">
          <cell r="A268" t="str">
            <v>Other Operating Expense</v>
          </cell>
          <cell r="B268">
            <v>-7.7650319287258102E-3</v>
          </cell>
          <cell r="C268">
            <v>-5.5372656653843921E-3</v>
          </cell>
          <cell r="D268">
            <v>-6.4792049741721819E-3</v>
          </cell>
          <cell r="F268">
            <v>-22.277662633414181</v>
          </cell>
          <cell r="G268">
            <v>-12.858269545536283</v>
          </cell>
          <cell r="I268" t="str">
            <v>MS/C</v>
          </cell>
          <cell r="J268">
            <v>4.5797001593463227E-2</v>
          </cell>
        </row>
        <row r="269">
          <cell r="A269" t="str">
            <v>Operating Income</v>
          </cell>
          <cell r="B269">
            <v>0.13743401378859399</v>
          </cell>
          <cell r="C269">
            <v>0.15986700774564663</v>
          </cell>
          <cell r="D269">
            <v>0.1390631265938844</v>
          </cell>
          <cell r="F269">
            <v>-224.32993957052645</v>
          </cell>
          <cell r="G269">
            <v>-16.291128052904057</v>
          </cell>
          <cell r="I269" t="str">
            <v>Guidance</v>
          </cell>
        </row>
        <row r="270">
          <cell r="A270" t="str">
            <v>Interest Expense (Income)</v>
          </cell>
          <cell r="B270">
            <v>1.1677462710645722E-3</v>
          </cell>
          <cell r="C270">
            <v>-1.4467648645149055E-3</v>
          </cell>
          <cell r="D270">
            <v>4.1688385501705005E-4</v>
          </cell>
          <cell r="F270">
            <v>26.145111355794779</v>
          </cell>
          <cell r="G270">
            <v>7.5086241604752209</v>
          </cell>
          <cell r="I270" t="str">
            <v>P Guidance</v>
          </cell>
        </row>
        <row r="271">
          <cell r="A271" t="str">
            <v>Earnings Before Taxes</v>
          </cell>
          <cell r="B271">
            <v>0.13626626751752943</v>
          </cell>
          <cell r="C271">
            <v>0.16131377261016155</v>
          </cell>
          <cell r="D271">
            <v>0.13864624273886736</v>
          </cell>
          <cell r="F271">
            <v>-250.47505092632122</v>
          </cell>
          <cell r="G271">
            <v>-23.799752213379264</v>
          </cell>
          <cell r="I271" t="str">
            <v>Consensus Comp</v>
          </cell>
        </row>
        <row r="272">
          <cell r="A272" t="str">
            <v>Tax Rate</v>
          </cell>
          <cell r="B272">
            <v>0.36083845574860479</v>
          </cell>
          <cell r="C272">
            <v>0.44367265418599672</v>
          </cell>
          <cell r="D272">
            <v>0.38500000000000001</v>
          </cell>
          <cell r="F272">
            <v>-828.34198437391922</v>
          </cell>
          <cell r="G272">
            <v>-241.61544251395216</v>
          </cell>
          <cell r="I272" t="str">
            <v>Consensus Comp</v>
          </cell>
        </row>
        <row r="273">
          <cell r="A273" t="str">
            <v>Net Income</v>
          </cell>
          <cell r="B273">
            <v>5.0704547372784445E-2</v>
          </cell>
          <cell r="C273">
            <v>6.974548561442645E-2</v>
          </cell>
          <cell r="D273">
            <v>7.2438837812268814E-2</v>
          </cell>
          <cell r="F273">
            <v>-190.40938241642004</v>
          </cell>
          <cell r="G273">
            <v>-217.34290439484369</v>
          </cell>
          <cell r="I273" t="str">
            <v>MS Est.</v>
          </cell>
        </row>
        <row r="274">
          <cell r="A274" t="str">
            <v>EPS</v>
          </cell>
          <cell r="B274">
            <v>0.29675419812915488</v>
          </cell>
          <cell r="C274">
            <v>0.71954597662320108</v>
          </cell>
          <cell r="D274">
            <v>0.20607553553155786</v>
          </cell>
          <cell r="F274">
            <v>-0.4227917784940462</v>
          </cell>
          <cell r="G274">
            <v>9.0678662597597021E-2</v>
          </cell>
        </row>
        <row r="275">
          <cell r="A275" t="str">
            <v>EPS</v>
          </cell>
          <cell r="B275">
            <v>0.91479700159346322</v>
          </cell>
          <cell r="C275">
            <v>0.9973146910195102</v>
          </cell>
          <cell r="D275">
            <v>0.91348144252652552</v>
          </cell>
          <cell r="F275">
            <v>-8.2517689426046981E-2</v>
          </cell>
          <cell r="G275">
            <v>1.3155590669376993E-3</v>
          </cell>
        </row>
        <row r="276">
          <cell r="A276" t="str">
            <v>EPS Upsides/Downsides</v>
          </cell>
        </row>
        <row r="277">
          <cell r="A277" t="str">
            <v>EPS Upsides/Downsides</v>
          </cell>
          <cell r="B277">
            <v>3.9594538117740255E-3</v>
          </cell>
          <cell r="I277" t="str">
            <v>running tally</v>
          </cell>
        </row>
        <row r="278">
          <cell r="A278" t="str">
            <v>Gross Margin</v>
          </cell>
          <cell r="B278">
            <v>-9.3823838608346158E-2</v>
          </cell>
          <cell r="I278">
            <v>-9.3823838608346158E-2</v>
          </cell>
        </row>
        <row r="279">
          <cell r="A279" t="str">
            <v>Stores and Distribution</v>
          </cell>
          <cell r="B279">
            <v>7.3388432416435279E-2</v>
          </cell>
          <cell r="I279">
            <v>-2.0435406191910879E-2</v>
          </cell>
        </row>
        <row r="280">
          <cell r="A280" t="str">
            <v>Marketing, General and Administrative Expenses</v>
          </cell>
          <cell r="B280">
            <v>-1.3406211970566307E-2</v>
          </cell>
          <cell r="I280">
            <v>-3.3841618162477188E-2</v>
          </cell>
        </row>
        <row r="281">
          <cell r="A281" t="str">
            <v>Other Operating Expense (Income)</v>
          </cell>
          <cell r="B281">
            <v>7.9346580895232471E-3</v>
          </cell>
          <cell r="I281">
            <v>-2.5906960072953941E-2</v>
          </cell>
        </row>
        <row r="282">
          <cell r="A282" t="str">
            <v>Operating Margin</v>
          </cell>
          <cell r="B282">
            <v>-1.1770010098571454E-2</v>
          </cell>
        </row>
        <row r="283">
          <cell r="A283" t="str">
            <v>Interest Expense, Net</v>
          </cell>
          <cell r="B283">
            <v>-4.9958905404242308E-3</v>
          </cell>
          <cell r="I283">
            <v>-3.090285061337817E-2</v>
          </cell>
        </row>
        <row r="284">
          <cell r="A284" t="str">
            <v>Tax Rate</v>
          </cell>
          <cell r="B284">
            <v>3.4581098368381503E-2</v>
          </cell>
          <cell r="I284">
            <v>3.6782477550033332E-3</v>
          </cell>
        </row>
        <row r="285">
          <cell r="A285" t="str">
            <v>Shares</v>
          </cell>
          <cell r="B285">
            <v>-3.5496818885781822E-3</v>
          </cell>
          <cell r="I285">
            <v>1.28565866425151E-4</v>
          </cell>
        </row>
        <row r="286">
          <cell r="A286" t="str">
            <v>Total</v>
          </cell>
          <cell r="B286">
            <v>1.28565866425151E-4</v>
          </cell>
        </row>
        <row r="287">
          <cell r="A287" t="str">
            <v>ARO</v>
          </cell>
        </row>
        <row r="288">
          <cell r="A288" t="str">
            <v>ARO</v>
          </cell>
          <cell r="B288" t="str">
            <v>3Q09</v>
          </cell>
          <cell r="C288" t="str">
            <v>3Q08</v>
          </cell>
          <cell r="D288" t="str">
            <v>MS Est.</v>
          </cell>
          <cell r="F288" t="str">
            <v>y/y∆ (bp)</v>
          </cell>
          <cell r="G288" t="str">
            <v>∆ vs MS
Est. (bp)</v>
          </cell>
          <cell r="J288" t="str">
            <v>FQ1</v>
          </cell>
          <cell r="K288" t="str">
            <v>FQ2</v>
          </cell>
          <cell r="L288" t="str">
            <v>FQ3</v>
          </cell>
          <cell r="M288" t="str">
            <v>FY1</v>
          </cell>
          <cell r="N288" t="str">
            <v>FY2</v>
          </cell>
        </row>
        <row r="289">
          <cell r="A289" t="str">
            <v>As a % of Sales</v>
          </cell>
          <cell r="B289" t="str">
            <v>3Q09</v>
          </cell>
          <cell r="C289" t="str">
            <v>3Q08</v>
          </cell>
          <cell r="D289" t="str">
            <v>MS Est.</v>
          </cell>
          <cell r="F289" t="str">
            <v>y/y∆ (bp)</v>
          </cell>
          <cell r="G289" t="str">
            <v>∆ vs MS
Est. (bp)</v>
          </cell>
          <cell r="I289" t="str">
            <v>Consensus</v>
          </cell>
          <cell r="J289" t="str">
            <v>FQ1</v>
          </cell>
          <cell r="K289" t="str">
            <v>FQ2</v>
          </cell>
          <cell r="L289" t="str">
            <v>FQ3</v>
          </cell>
          <cell r="M289" t="str">
            <v>FY1</v>
          </cell>
          <cell r="N289" t="str">
            <v>FY2</v>
          </cell>
        </row>
        <row r="290">
          <cell r="A290" t="str">
            <v>Gross Income</v>
          </cell>
          <cell r="B290">
            <v>0.39257147284965077</v>
          </cell>
          <cell r="C290">
            <v>0.35982922472756235</v>
          </cell>
          <cell r="D290">
            <v>0.39528365206998789</v>
          </cell>
          <cell r="F290">
            <v>327.42248122088426</v>
          </cell>
          <cell r="G290">
            <v>-27.121792203371186</v>
          </cell>
          <cell r="I290" t="str">
            <v>Consensus</v>
          </cell>
          <cell r="J290">
            <v>0.30712970000000001</v>
          </cell>
          <cell r="K290">
            <v>0.59615390000000001</v>
          </cell>
          <cell r="M290">
            <v>2.1453759999999997</v>
          </cell>
          <cell r="N290">
            <v>2.394126</v>
          </cell>
          <cell r="O290" t="str">
            <v>linked to working2</v>
          </cell>
        </row>
        <row r="291">
          <cell r="A291" t="str">
            <v>SG&amp;A Expense</v>
          </cell>
          <cell r="B291">
            <v>0.20646029325265305</v>
          </cell>
          <cell r="C291">
            <v>0.21385080398392656</v>
          </cell>
          <cell r="D291">
            <v>0.2117429985550526</v>
          </cell>
          <cell r="F291">
            <v>-73.905107312735026</v>
          </cell>
          <cell r="G291">
            <v>-52.827053023995482</v>
          </cell>
          <cell r="I291" t="str">
            <v>MS Est.</v>
          </cell>
          <cell r="J291">
            <v>0.92113662102337024</v>
          </cell>
          <cell r="K291">
            <v>1.3135602997739202</v>
          </cell>
          <cell r="M291">
            <v>3.2066781689519406</v>
          </cell>
          <cell r="N291">
            <v>3.5479305986742777</v>
          </cell>
          <cell r="O291" t="str">
            <v>linked to working2</v>
          </cell>
        </row>
        <row r="292">
          <cell r="A292" t="str">
            <v>Operating Income</v>
          </cell>
          <cell r="B292">
            <v>0.18611117959699769</v>
          </cell>
          <cell r="C292">
            <v>0.14597842074363579</v>
          </cell>
          <cell r="D292">
            <v>0.18354065351493529</v>
          </cell>
          <cell r="F292">
            <v>401.32758853361901</v>
          </cell>
          <cell r="G292">
            <v>25.705260820624019</v>
          </cell>
          <cell r="I292" t="str">
            <v>MS/C</v>
          </cell>
          <cell r="J292">
            <v>0.61400692102337029</v>
          </cell>
          <cell r="K292">
            <v>0.71740639977392018</v>
          </cell>
          <cell r="M292">
            <v>1.0613021689519408</v>
          </cell>
          <cell r="N292">
            <v>1.1538045986742778</v>
          </cell>
        </row>
        <row r="293">
          <cell r="A293" t="str">
            <v>Interest Expense (Income), Net</v>
          </cell>
          <cell r="B293">
            <v>-4.7548772713344299E-5</v>
          </cell>
          <cell r="C293">
            <v>-4.3565120519794122E-4</v>
          </cell>
          <cell r="D293">
            <v>-2.9837499988074993E-4</v>
          </cell>
          <cell r="F293">
            <v>3.8810243248459693</v>
          </cell>
          <cell r="G293">
            <v>2.5082622716740564</v>
          </cell>
          <cell r="I293" t="str">
            <v>M Guidance</v>
          </cell>
          <cell r="J293" t="str">
            <v>$0.61-$0.62</v>
          </cell>
        </row>
        <row r="294">
          <cell r="A294" t="str">
            <v>Income Before Taxes</v>
          </cell>
          <cell r="B294">
            <v>0.18615872836971104</v>
          </cell>
          <cell r="C294">
            <v>0.14641407194883371</v>
          </cell>
          <cell r="D294">
            <v>0.18383902851481601</v>
          </cell>
          <cell r="F294">
            <v>397.44656420877322</v>
          </cell>
          <cell r="G294">
            <v>23.196998548950244</v>
          </cell>
        </row>
        <row r="295">
          <cell r="A295" t="str">
            <v>Tax Provision (Benefit)</v>
          </cell>
          <cell r="B295">
            <v>0.40752828546562242</v>
          </cell>
          <cell r="C295">
            <v>0.39575215721835749</v>
          </cell>
          <cell r="D295">
            <v>0.39900000000000002</v>
          </cell>
          <cell r="F295">
            <v>117.76128247264927</v>
          </cell>
          <cell r="G295">
            <v>85.282854656223989</v>
          </cell>
        </row>
        <row r="296">
          <cell r="A296" t="str">
            <v>Net Income (Pre-Extraordinary)</v>
          </cell>
          <cell r="B296">
            <v>0.11029378097274217</v>
          </cell>
          <cell r="C296">
            <v>8.8470387127958974E-2</v>
          </cell>
          <cell r="D296">
            <v>0.11048725613740441</v>
          </cell>
          <cell r="F296">
            <v>218.23393844783197</v>
          </cell>
          <cell r="G296">
            <v>-1.9347516466224068</v>
          </cell>
        </row>
        <row r="297">
          <cell r="A297" t="str">
            <v>Diluted EPS (Pre-Extraordinary)</v>
          </cell>
          <cell r="B297">
            <v>0.92113662102337024</v>
          </cell>
          <cell r="C297">
            <v>0.6304289980190988</v>
          </cell>
          <cell r="D297">
            <v>0.92709190651576245</v>
          </cell>
          <cell r="F297">
            <v>0.29070762300427144</v>
          </cell>
          <cell r="G297">
            <v>-5.9552854923922149E-3</v>
          </cell>
        </row>
        <row r="298">
          <cell r="A298" t="str">
            <v>EPS Upsides/Downsides</v>
          </cell>
        </row>
        <row r="299">
          <cell r="A299" t="str">
            <v>EPS Upsides/Downsides</v>
          </cell>
          <cell r="B299">
            <v>-1.3419303182105114E-2</v>
          </cell>
        </row>
        <row r="300">
          <cell r="A300" t="str">
            <v>SG&amp;A</v>
          </cell>
          <cell r="B300">
            <v>-1.3419303182105114E-2</v>
          </cell>
        </row>
        <row r="301">
          <cell r="A301" t="str">
            <v>Operating Income</v>
          </cell>
          <cell r="B301">
            <v>2.613773586311971E-2</v>
          </cell>
        </row>
        <row r="302">
          <cell r="A302" t="str">
            <v>Tax Rate</v>
          </cell>
          <cell r="B302">
            <v>-1.2410206745309426E-3</v>
          </cell>
        </row>
        <row r="303">
          <cell r="A303" t="str">
            <v>Shares</v>
          </cell>
          <cell r="B303">
            <v>-1.3259225485726153E-2</v>
          </cell>
        </row>
        <row r="304">
          <cell r="A304" t="str">
            <v>EPS</v>
          </cell>
          <cell r="B304">
            <v>-4.3937840004031337E-3</v>
          </cell>
        </row>
        <row r="305">
          <cell r="A305" t="str">
            <v>Total</v>
          </cell>
          <cell r="B305">
            <v>-6.1755974796456337E-3</v>
          </cell>
        </row>
        <row r="306">
          <cell r="A306" t="str">
            <v>TGT</v>
          </cell>
        </row>
        <row r="307">
          <cell r="A307" t="str">
            <v>TGT</v>
          </cell>
          <cell r="B307" t="str">
            <v>4Q07</v>
          </cell>
          <cell r="C307" t="str">
            <v>4Q06</v>
          </cell>
          <cell r="D307" t="str">
            <v>MS Est.</v>
          </cell>
          <cell r="F307" t="str">
            <v>y/y∆ (bp)</v>
          </cell>
          <cell r="G307" t="str">
            <v>∆ vs MS
Est. (bp)</v>
          </cell>
        </row>
        <row r="308">
          <cell r="A308" t="str">
            <v>As a % of Sales</v>
          </cell>
          <cell r="B308" t="str">
            <v>4Q07</v>
          </cell>
          <cell r="C308" t="str">
            <v>4Q06</v>
          </cell>
          <cell r="D308" t="str">
            <v>MS Est.</v>
          </cell>
          <cell r="F308" t="str">
            <v>y/y∆ (bp)</v>
          </cell>
          <cell r="G308" t="str">
            <v>∆ vs MS
Est. (bp)</v>
          </cell>
        </row>
        <row r="309">
          <cell r="A309" t="str">
            <v>Gross Income</v>
          </cell>
          <cell r="B309">
            <v>0.30149999999999999</v>
          </cell>
          <cell r="C309">
            <v>0.30722922829415122</v>
          </cell>
          <cell r="D309">
            <v>0.30149999999999999</v>
          </cell>
          <cell r="F309">
            <v>-57.29228294151234</v>
          </cell>
          <cell r="G309">
            <v>0</v>
          </cell>
        </row>
        <row r="310">
          <cell r="A310" t="str">
            <v>SG&amp;A Expense</v>
          </cell>
          <cell r="B310">
            <v>0.20180000000000001</v>
          </cell>
          <cell r="C310">
            <v>0.19731174425242617</v>
          </cell>
          <cell r="D310">
            <v>0.20180000000000001</v>
          </cell>
          <cell r="F310">
            <v>44.882557475738324</v>
          </cell>
          <cell r="G310">
            <v>0</v>
          </cell>
        </row>
        <row r="311">
          <cell r="A311" t="str">
            <v>Operating Income</v>
          </cell>
          <cell r="B311">
            <v>7.8299999999999981E-2</v>
          </cell>
          <cell r="C311">
            <v>8.9054958742020865E-2</v>
          </cell>
          <cell r="D311">
            <v>7.8299999999999981E-2</v>
          </cell>
          <cell r="F311">
            <v>-107.54958742020884</v>
          </cell>
          <cell r="G311">
            <v>0</v>
          </cell>
        </row>
        <row r="312">
          <cell r="A312" t="str">
            <v>Interest Expense (Income)</v>
          </cell>
          <cell r="B312">
            <v>8.9523397104446754E-3</v>
          </cell>
          <cell r="C312">
            <v>7.8883180237687475E-3</v>
          </cell>
          <cell r="D312">
            <v>8.9523397104446754E-3</v>
          </cell>
          <cell r="F312">
            <v>10.64021686675928</v>
          </cell>
          <cell r="G312">
            <v>0</v>
          </cell>
        </row>
        <row r="313">
          <cell r="A313" t="str">
            <v>Earnings Before Taxes</v>
          </cell>
          <cell r="B313">
            <v>8.2896011892450883E-2</v>
          </cell>
          <cell r="C313">
            <v>9.367377653225388E-2</v>
          </cell>
          <cell r="D313">
            <v>6.0257749178857754E-2</v>
          </cell>
          <cell r="F313">
            <v>-18.254847645429173</v>
          </cell>
          <cell r="G313">
            <v>-20.000000000000018</v>
          </cell>
        </row>
        <row r="314">
          <cell r="A314" t="str">
            <v>Tax Rate</v>
          </cell>
          <cell r="B314">
            <v>0.38100000000000001</v>
          </cell>
          <cell r="C314">
            <v>0.38282548476454292</v>
          </cell>
          <cell r="D314">
            <v>0.38300000000000001</v>
          </cell>
          <cell r="F314">
            <v>-18.254847645429173</v>
          </cell>
          <cell r="G314">
            <v>-20.000000000000018</v>
          </cell>
        </row>
        <row r="315">
          <cell r="A315" t="str">
            <v>Net Income</v>
          </cell>
          <cell r="B315">
            <v>5.1312631361427101E-2</v>
          </cell>
          <cell r="C315">
            <v>5.781306762156832E-2</v>
          </cell>
          <cell r="D315">
            <v>3.7179031243355233E-2</v>
          </cell>
          <cell r="F315">
            <v>-65.004362601412197</v>
          </cell>
          <cell r="G315">
            <v>141.33600118071868</v>
          </cell>
        </row>
        <row r="316">
          <cell r="A316" t="str">
            <v>EPS</v>
          </cell>
          <cell r="B316">
            <v>1.1961704077679793</v>
          </cell>
          <cell r="C316">
            <v>1.287266004159926</v>
          </cell>
          <cell r="D316">
            <v>1.1961704077679793</v>
          </cell>
          <cell r="F316">
            <v>-9.1095596391946643E-2</v>
          </cell>
          <cell r="G316">
            <v>0</v>
          </cell>
        </row>
        <row r="317">
          <cell r="A317" t="str">
            <v>EPS</v>
          </cell>
          <cell r="B317">
            <v>1.1961704077679793</v>
          </cell>
          <cell r="C317">
            <v>1.287266004159926</v>
          </cell>
          <cell r="D317">
            <v>1.1961704077679793</v>
          </cell>
          <cell r="F317">
            <v>-9.1095596391946643E-2</v>
          </cell>
          <cell r="G317">
            <v>0</v>
          </cell>
        </row>
        <row r="318">
          <cell r="A318" t="str">
            <v>EPS Upsides/Downsides</v>
          </cell>
        </row>
        <row r="319">
          <cell r="A319" t="str">
            <v>EPS Upsides/Downsides</v>
          </cell>
          <cell r="B319">
            <v>2.2495220971553489E-4</v>
          </cell>
        </row>
        <row r="320">
          <cell r="A320" t="str">
            <v>Gross Income</v>
          </cell>
          <cell r="B320">
            <v>2.2495220971553489E-4</v>
          </cell>
        </row>
        <row r="321">
          <cell r="A321" t="str">
            <v>SG&amp;A Expense</v>
          </cell>
          <cell r="B321">
            <v>1.5056502792900478E-4</v>
          </cell>
        </row>
        <row r="322">
          <cell r="A322" t="str">
            <v>Operating Income</v>
          </cell>
          <cell r="B322">
            <v>5.8420424612691138E-5</v>
          </cell>
        </row>
        <row r="323">
          <cell r="A323" t="str">
            <v>Interest Expense (Income)</v>
          </cell>
          <cell r="B323">
            <v>6.6794315090834546E-6</v>
          </cell>
        </row>
        <row r="324">
          <cell r="A324" t="str">
            <v>Earnings Before Taxes</v>
          </cell>
        </row>
        <row r="325">
          <cell r="A325" t="str">
            <v>Tax Rate</v>
          </cell>
          <cell r="B325">
            <v>6.6794315090834546E-6</v>
          </cell>
        </row>
        <row r="326">
          <cell r="A326" t="str">
            <v>Total</v>
          </cell>
          <cell r="B326">
            <v>6.6794315090834546E-6</v>
          </cell>
        </row>
        <row r="327">
          <cell r="A327" t="str">
            <v>shares</v>
          </cell>
          <cell r="B327">
            <v>829.63621578113214</v>
          </cell>
        </row>
        <row r="328">
          <cell r="A328" t="str">
            <v>shares</v>
          </cell>
          <cell r="B328">
            <v>829.63621578113214</v>
          </cell>
        </row>
      </sheetData>
      <sheetData sheetId="2"/>
      <sheetData sheetId="3"/>
      <sheetData sheetId="4"/>
      <sheetData sheetId="5">
        <row r="1">
          <cell r="A1" t="str">
            <v>COH</v>
          </cell>
        </row>
        <row r="2">
          <cell r="B2" t="str">
            <v>3Q10</v>
          </cell>
          <cell r="C2" t="str">
            <v>MS Estimate</v>
          </cell>
          <cell r="D2" t="str">
            <v>FC Consensus</v>
          </cell>
          <cell r="E2" t="str">
            <v>Management Guidance</v>
          </cell>
          <cell r="F2" t="str">
            <v>3Q09</v>
          </cell>
          <cell r="H2" t="str">
            <v>y/y∆ (bp)</v>
          </cell>
          <cell r="I2" t="str">
            <v>∆ vs 
Est. (bp)</v>
          </cell>
        </row>
        <row r="3">
          <cell r="A3" t="str">
            <v>Sales</v>
          </cell>
          <cell r="B3">
            <v>0</v>
          </cell>
          <cell r="C3">
            <v>0</v>
          </cell>
          <cell r="D3">
            <v>659.173</v>
          </cell>
          <cell r="E3">
            <v>655</v>
          </cell>
          <cell r="F3">
            <v>0</v>
          </cell>
          <cell r="H3">
            <v>0</v>
          </cell>
          <cell r="I3">
            <v>0</v>
          </cell>
        </row>
        <row r="4">
          <cell r="A4" t="str">
            <v>EPS</v>
          </cell>
          <cell r="B4">
            <v>1.9105951722867136</v>
          </cell>
          <cell r="C4">
            <v>0.43855628046027123</v>
          </cell>
          <cell r="D4">
            <v>0.36</v>
          </cell>
          <cell r="F4">
            <v>0</v>
          </cell>
          <cell r="H4" t="e">
            <v>#DIV/0!</v>
          </cell>
          <cell r="I4">
            <v>1.4720388918264424</v>
          </cell>
        </row>
        <row r="5">
          <cell r="A5" t="str">
            <v>Operating Margin</v>
          </cell>
          <cell r="B5">
            <v>0</v>
          </cell>
          <cell r="C5">
            <v>0</v>
          </cell>
          <cell r="F5">
            <v>0</v>
          </cell>
          <cell r="H5">
            <v>0</v>
          </cell>
          <cell r="I5">
            <v>0</v>
          </cell>
        </row>
        <row r="6">
          <cell r="A6" t="str">
            <v>SG&amp;A Ratio</v>
          </cell>
          <cell r="B6">
            <v>0</v>
          </cell>
          <cell r="C6">
            <v>0</v>
          </cell>
          <cell r="F6">
            <v>0</v>
          </cell>
          <cell r="H6">
            <v>0</v>
          </cell>
          <cell r="I6">
            <v>0</v>
          </cell>
        </row>
        <row r="7">
          <cell r="A7" t="str">
            <v>Gross Margin</v>
          </cell>
          <cell r="B7">
            <v>-1.2409999999999997</v>
          </cell>
          <cell r="C7">
            <v>0</v>
          </cell>
          <cell r="F7">
            <v>0</v>
          </cell>
          <cell r="H7">
            <v>-12409.999999999996</v>
          </cell>
          <cell r="I7">
            <v>-12409.999999999996</v>
          </cell>
        </row>
        <row r="17">
          <cell r="B17" t="str">
            <v>Floating rate note, no commission after</v>
          </cell>
          <cell r="D17" t="str">
            <v>50K</v>
          </cell>
        </row>
        <row r="18">
          <cell r="B18" t="str">
            <v>Floating Rate Taxable MARS</v>
          </cell>
          <cell r="D18" t="str">
            <v>250K</v>
          </cell>
        </row>
      </sheetData>
      <sheetData sheetId="6">
        <row r="1">
          <cell r="A1" t="str">
            <v>TJX</v>
          </cell>
        </row>
        <row r="2">
          <cell r="A2" t="str">
            <v>FY08</v>
          </cell>
          <cell r="B2" t="str">
            <v>MS Estimate</v>
          </cell>
          <cell r="C2" t="str">
            <v>FC Consensus</v>
          </cell>
          <cell r="D2" t="str">
            <v>Management Guidance</v>
          </cell>
        </row>
        <row r="3">
          <cell r="A3" t="str">
            <v>Sales</v>
          </cell>
          <cell r="B3">
            <v>18626.920587592856</v>
          </cell>
          <cell r="C3">
            <v>18779.7</v>
          </cell>
          <cell r="D3">
            <v>18800</v>
          </cell>
        </row>
        <row r="4">
          <cell r="A4" t="str">
            <v>EPS</v>
          </cell>
          <cell r="B4">
            <v>1.859054126788775</v>
          </cell>
          <cell r="C4">
            <v>1.86</v>
          </cell>
          <cell r="D4">
            <v>1.84</v>
          </cell>
        </row>
        <row r="25">
          <cell r="A25" t="str">
            <v>Segment Profit Margin</v>
          </cell>
        </row>
        <row r="26">
          <cell r="B26" t="str">
            <v>1Q10</v>
          </cell>
          <cell r="C26" t="str">
            <v>1Q09</v>
          </cell>
          <cell r="D26" t="str">
            <v xml:space="preserve">y/y ∆ bps </v>
          </cell>
        </row>
        <row r="27">
          <cell r="A27" t="str">
            <v>Marmaxx</v>
          </cell>
          <cell r="B27">
            <v>0.14292234211059399</v>
          </cell>
          <cell r="C27">
            <v>0.11253751732714293</v>
          </cell>
          <cell r="D27">
            <v>303.84824783451057</v>
          </cell>
        </row>
        <row r="28">
          <cell r="A28" t="str">
            <v>Winners/HomeSense</v>
          </cell>
          <cell r="B28">
            <v>9.7944497097286837E-2</v>
          </cell>
          <cell r="C28">
            <v>4.6515850334361418E-2</v>
          </cell>
          <cell r="D28">
            <v>514.28646762925416</v>
          </cell>
        </row>
        <row r="29">
          <cell r="A29" t="str">
            <v>TK Maxx</v>
          </cell>
          <cell r="B29">
            <v>1.1338405403307196E-2</v>
          </cell>
          <cell r="C29">
            <v>2.2098094327688129E-2</v>
          </cell>
          <cell r="D29">
            <v>-107.59688924380933</v>
          </cell>
        </row>
        <row r="30">
          <cell r="A30" t="str">
            <v>HomeGoods</v>
          </cell>
          <cell r="B30">
            <v>8.8813479222594902E-2</v>
          </cell>
          <cell r="C30">
            <v>3.9737684839051282E-2</v>
          </cell>
          <cell r="D30">
            <v>490.75794383543621</v>
          </cell>
        </row>
        <row r="31">
          <cell r="A31" t="str">
            <v>AJ Wright</v>
          </cell>
          <cell r="B31">
            <v>4.6295989667847801E-2</v>
          </cell>
          <cell r="C31">
            <v>2.4599484932606441E-2</v>
          </cell>
          <cell r="D31">
            <v>216.96504735241359</v>
          </cell>
        </row>
        <row r="33">
          <cell r="A33" t="str">
            <v>Total (Pre-Corp. Expenses)</v>
          </cell>
          <cell r="B33">
            <v>0.11543015704050999</v>
          </cell>
          <cell r="C33">
            <v>8.7197167623898078E-2</v>
          </cell>
          <cell r="D33">
            <v>282.32989416611912</v>
          </cell>
        </row>
        <row r="46">
          <cell r="A46" t="str">
            <v>KSS Guidance</v>
          </cell>
        </row>
        <row r="47">
          <cell r="A47" t="str">
            <v>3Q09</v>
          </cell>
          <cell r="B47" t="str">
            <v>KSS</v>
          </cell>
          <cell r="C47" t="str">
            <v>MS Estimate</v>
          </cell>
        </row>
        <row r="48">
          <cell r="A48" t="str">
            <v>EPS</v>
          </cell>
          <cell r="B48" t="str">
            <v>$0.40-$0.44</v>
          </cell>
          <cell r="C48">
            <v>0.49</v>
          </cell>
        </row>
        <row r="49">
          <cell r="A49" t="str">
            <v>SSS</v>
          </cell>
          <cell r="B49" t="str">
            <v>(5)%-(3)%</v>
          </cell>
          <cell r="C49">
            <v>-1.2999999999999999E-2</v>
          </cell>
        </row>
        <row r="50">
          <cell r="A50" t="str">
            <v>Gross Margin</v>
          </cell>
          <cell r="B50" t="str">
            <v>+10-20 bps</v>
          </cell>
          <cell r="C50" t="str">
            <v>+30 bps</v>
          </cell>
        </row>
        <row r="51">
          <cell r="A51" t="str">
            <v>SG&amp;A</v>
          </cell>
          <cell r="B51" t="str">
            <v>+3-4%</v>
          </cell>
          <cell r="C51" t="str">
            <v>+2.8%</v>
          </cell>
        </row>
        <row r="53">
          <cell r="A53" t="str">
            <v>4Q09</v>
          </cell>
          <cell r="B53" t="str">
            <v>KSS</v>
          </cell>
          <cell r="C53" t="str">
            <v>MS Estimate</v>
          </cell>
        </row>
        <row r="54">
          <cell r="A54" t="str">
            <v>EPS</v>
          </cell>
          <cell r="B54" t="str">
            <v>$0.99-$1.06</v>
          </cell>
          <cell r="C54">
            <v>1.19</v>
          </cell>
        </row>
        <row r="55">
          <cell r="A55" t="str">
            <v>SSS</v>
          </cell>
          <cell r="B55" t="str">
            <v>(5)%-(3)%</v>
          </cell>
          <cell r="C55">
            <v>1.4999999999999999E-2</v>
          </cell>
        </row>
        <row r="56">
          <cell r="A56" t="str">
            <v>Gross Margin</v>
          </cell>
          <cell r="B56" t="str">
            <v>+20-30 bps</v>
          </cell>
          <cell r="C56" t="str">
            <v>+30 bps</v>
          </cell>
        </row>
        <row r="57">
          <cell r="A57" t="str">
            <v>SG&amp;A</v>
          </cell>
          <cell r="B57" t="str">
            <v>+3-4%</v>
          </cell>
          <cell r="C57" t="str">
            <v>+2.4%</v>
          </cell>
        </row>
        <row r="72">
          <cell r="B72" t="str">
            <v>1Q07</v>
          </cell>
          <cell r="C72" t="str">
            <v>2Q07</v>
          </cell>
          <cell r="D72" t="str">
            <v>3Q07</v>
          </cell>
          <cell r="E72" t="str">
            <v>4Q07</v>
          </cell>
        </row>
        <row r="73">
          <cell r="A73" t="str">
            <v>Comp Growth</v>
          </cell>
          <cell r="B73">
            <v>0.02</v>
          </cell>
          <cell r="C73">
            <v>0</v>
          </cell>
          <cell r="D73">
            <v>0.01</v>
          </cell>
          <cell r="E73">
            <v>0.04</v>
          </cell>
        </row>
        <row r="74">
          <cell r="A74" t="str">
            <v>Y/Y Operating Margin Expansion</v>
          </cell>
          <cell r="B74">
            <v>-4.8252690757108478</v>
          </cell>
          <cell r="C74">
            <v>0</v>
          </cell>
          <cell r="D74">
            <v>6.3212983778726528</v>
          </cell>
          <cell r="E74">
            <v>-35.848527742219083</v>
          </cell>
        </row>
      </sheetData>
      <sheetData sheetId="7"/>
      <sheetData sheetId="8"/>
      <sheetData sheetId="9">
        <row r="1">
          <cell r="A1" t="str">
            <v>FD</v>
          </cell>
        </row>
        <row r="2">
          <cell r="A2" t="str">
            <v>FY07</v>
          </cell>
          <cell r="B2" t="str">
            <v>MS Estimate</v>
          </cell>
          <cell r="C2" t="str">
            <v>FC Consensus</v>
          </cell>
          <cell r="D2" t="str">
            <v>Management Guidance</v>
          </cell>
        </row>
        <row r="3">
          <cell r="A3" t="str">
            <v>Sales</v>
          </cell>
          <cell r="B3">
            <v>18626.920587592856</v>
          </cell>
          <cell r="C3">
            <v>18779.7</v>
          </cell>
          <cell r="D3">
            <v>18800</v>
          </cell>
        </row>
        <row r="4">
          <cell r="A4" t="str">
            <v>EPS</v>
          </cell>
          <cell r="B4">
            <v>2.5210916050242727</v>
          </cell>
          <cell r="C4">
            <v>2.84</v>
          </cell>
          <cell r="D4">
            <v>1.84</v>
          </cell>
        </row>
        <row r="26">
          <cell r="A26" t="str">
            <v>FD</v>
          </cell>
        </row>
        <row r="27">
          <cell r="B27" t="str">
            <v>+ or- from 0</v>
          </cell>
          <cell r="C27" t="str">
            <v>N +1</v>
          </cell>
        </row>
        <row r="28">
          <cell r="A28" t="str">
            <v>Management Guidance</v>
          </cell>
          <cell r="B28">
            <v>2.4500000000000002</v>
          </cell>
          <cell r="C28">
            <v>0.15</v>
          </cell>
        </row>
        <row r="30">
          <cell r="B30" t="str">
            <v>Actual</v>
          </cell>
          <cell r="C30" t="str">
            <v>Axis</v>
          </cell>
        </row>
        <row r="31">
          <cell r="A31" t="str">
            <v>Morgan Stanley Estimate</v>
          </cell>
          <cell r="B31">
            <v>2.9</v>
          </cell>
          <cell r="C31">
            <v>50</v>
          </cell>
        </row>
        <row r="32">
          <cell r="A32" t="str">
            <v>Consensus</v>
          </cell>
          <cell r="B32">
            <v>2.84</v>
          </cell>
          <cell r="C32">
            <v>50</v>
          </cell>
        </row>
        <row r="50">
          <cell r="B50" t="str">
            <v>1Q06</v>
          </cell>
          <cell r="C50" t="str">
            <v>2Q06</v>
          </cell>
          <cell r="D50" t="str">
            <v>3Q06</v>
          </cell>
          <cell r="E50" t="str">
            <v>4Q06</v>
          </cell>
        </row>
        <row r="51">
          <cell r="A51" t="str">
            <v>FD Legacy Comp Growth</v>
          </cell>
          <cell r="B51">
            <v>0</v>
          </cell>
          <cell r="C51">
            <v>4.5999999999999999E-2</v>
          </cell>
          <cell r="D51">
            <v>5.8999999999999997E-2</v>
          </cell>
          <cell r="E51">
            <v>6.0999999999999999E-2</v>
          </cell>
        </row>
        <row r="52">
          <cell r="A52" t="str">
            <v>Operating Margin Expansion</v>
          </cell>
          <cell r="B52">
            <v>0</v>
          </cell>
          <cell r="C52">
            <v>0</v>
          </cell>
          <cell r="D52">
            <v>0</v>
          </cell>
          <cell r="E52">
            <v>0</v>
          </cell>
        </row>
      </sheetData>
      <sheetData sheetId="10">
        <row r="1">
          <cell r="A1" t="str">
            <v>LTD</v>
          </cell>
        </row>
        <row r="2">
          <cell r="A2" t="str">
            <v>FY08</v>
          </cell>
          <cell r="B2" t="str">
            <v>MS Estimate</v>
          </cell>
          <cell r="C2" t="str">
            <v>FC Consensus</v>
          </cell>
          <cell r="D2" t="str">
            <v>Management Guidance</v>
          </cell>
        </row>
        <row r="3">
          <cell r="A3" t="str">
            <v>Sales</v>
          </cell>
          <cell r="B3">
            <v>9042.7010000000009</v>
          </cell>
          <cell r="C3">
            <v>9635.4</v>
          </cell>
          <cell r="D3">
            <v>0</v>
          </cell>
        </row>
        <row r="4">
          <cell r="A4" t="str">
            <v>EPS</v>
          </cell>
          <cell r="B4">
            <v>0</v>
          </cell>
          <cell r="C4">
            <v>0</v>
          </cell>
          <cell r="D4">
            <v>0</v>
          </cell>
        </row>
        <row r="25">
          <cell r="A25" t="str">
            <v>Segment Profit Margin</v>
          </cell>
        </row>
        <row r="26">
          <cell r="F26" t="str">
            <v>bps ∆</v>
          </cell>
        </row>
        <row r="27">
          <cell r="B27" t="str">
            <v>1Q10</v>
          </cell>
          <cell r="C27" t="str">
            <v>1Q09</v>
          </cell>
          <cell r="D27" t="str">
            <v>MS Est.</v>
          </cell>
          <cell r="F27" t="str">
            <v>1Q09</v>
          </cell>
          <cell r="G27" t="str">
            <v>MS Est.</v>
          </cell>
        </row>
        <row r="28">
          <cell r="A28" t="str">
            <v>Victoria's Secret</v>
          </cell>
          <cell r="B28">
            <v>0.13238659563759983</v>
          </cell>
          <cell r="C28">
            <v>7.7521804896170138E-2</v>
          </cell>
          <cell r="D28">
            <v>0.14252180489617014</v>
          </cell>
          <cell r="F28">
            <v>548.64790741429692</v>
          </cell>
          <cell r="G28">
            <v>-101.3520925857031</v>
          </cell>
        </row>
        <row r="29">
          <cell r="A29" t="str">
            <v>Bath &amp; Body Works</v>
          </cell>
          <cell r="B29">
            <v>8.7683705624808289E-2</v>
          </cell>
          <cell r="C29">
            <v>9.8268193902651124E-3</v>
          </cell>
          <cell r="D29">
            <v>2.2326819390265113E-2</v>
          </cell>
          <cell r="F29">
            <v>778.56886234543174</v>
          </cell>
          <cell r="G29">
            <v>653.56886234543174</v>
          </cell>
        </row>
        <row r="30">
          <cell r="A30" t="str">
            <v>Apparel Total</v>
          </cell>
          <cell r="B30" t="str">
            <v>NA</v>
          </cell>
          <cell r="C30" t="str">
            <v>NA</v>
          </cell>
          <cell r="D30" t="str">
            <v>NA</v>
          </cell>
          <cell r="F30" t="str">
            <v>NA</v>
          </cell>
          <cell r="G30" t="str">
            <v>NA</v>
          </cell>
        </row>
        <row r="31">
          <cell r="A31" t="str">
            <v>Other</v>
          </cell>
          <cell r="B31">
            <v>-8.4426574604243854E-2</v>
          </cell>
          <cell r="C31">
            <v>-0.13145813191874914</v>
          </cell>
          <cell r="D31">
            <v>-7.6458131918749145E-2</v>
          </cell>
          <cell r="F31">
            <v>470.31557314505284</v>
          </cell>
          <cell r="G31">
            <v>-79.684426854947091</v>
          </cell>
        </row>
        <row r="32">
          <cell r="A32" t="str">
            <v>Total</v>
          </cell>
          <cell r="B32">
            <v>9.5766270988477564E-2</v>
          </cell>
          <cell r="C32">
            <v>3.779886473568559E-2</v>
          </cell>
          <cell r="D32">
            <v>8.881865332654329E-2</v>
          </cell>
          <cell r="F32">
            <v>579.67406252791977</v>
          </cell>
          <cell r="G32">
            <v>69.476176619342738</v>
          </cell>
        </row>
        <row r="37">
          <cell r="A37" t="str">
            <v>TJX</v>
          </cell>
        </row>
        <row r="38">
          <cell r="B38" t="str">
            <v>+ or- from 0</v>
          </cell>
          <cell r="C38" t="str">
            <v>N +1</v>
          </cell>
        </row>
        <row r="39">
          <cell r="A39" t="str">
            <v>Management Guidance</v>
          </cell>
          <cell r="B39">
            <v>1.75</v>
          </cell>
          <cell r="C39">
            <v>0.05</v>
          </cell>
        </row>
        <row r="41">
          <cell r="B41" t="str">
            <v>Actual</v>
          </cell>
          <cell r="C41" t="str">
            <v>Axis</v>
          </cell>
        </row>
        <row r="42">
          <cell r="A42" t="str">
            <v>Morgan Stanley Estimate</v>
          </cell>
          <cell r="B42">
            <v>1.98</v>
          </cell>
          <cell r="C42">
            <v>50</v>
          </cell>
        </row>
        <row r="43">
          <cell r="A43" t="str">
            <v>Consensus</v>
          </cell>
          <cell r="B43">
            <v>1.9</v>
          </cell>
          <cell r="C43">
            <v>50</v>
          </cell>
        </row>
        <row r="58">
          <cell r="X58" t="str">
            <v>2/24/12010</v>
          </cell>
        </row>
        <row r="60">
          <cell r="X60" t="str">
            <v>LTD Guidance</v>
          </cell>
        </row>
        <row r="61">
          <cell r="Y61" t="str">
            <v>1Q10 (Mgmt Guidance)</v>
          </cell>
          <cell r="Z61" t="str">
            <v>FY10 (Mgmt Guidance)</v>
          </cell>
          <cell r="AA61" t="str">
            <v>FY10 (MS estimate)</v>
          </cell>
        </row>
        <row r="62">
          <cell r="X62" t="str">
            <v>Comps</v>
          </cell>
          <cell r="Y62" t="str">
            <v>+2 to +4%</v>
          </cell>
          <cell r="Z62" t="str">
            <v>flat to +LSD</v>
          </cell>
          <cell r="AA62">
            <v>-1.2E-2</v>
          </cell>
        </row>
        <row r="63">
          <cell r="X63" t="str">
            <v>Gross margin rate</v>
          </cell>
          <cell r="Y63" t="str">
            <v>Up from 31.8% LY</v>
          </cell>
          <cell r="Z63" t="str">
            <v>Up from 35.1% LY</v>
          </cell>
          <cell r="AA63">
            <v>0.35899999999999999</v>
          </cell>
        </row>
        <row r="64">
          <cell r="X64" t="str">
            <v>SG&amp;A expense</v>
          </cell>
          <cell r="Y64" t="str">
            <v>About flat as % of sales</v>
          </cell>
          <cell r="Z64" t="str">
            <v>About flat as % of sales</v>
          </cell>
          <cell r="AA64" t="str">
            <v>Flat y/y as % of sales</v>
          </cell>
        </row>
        <row r="65">
          <cell r="X65" t="str">
            <v>Interest expense</v>
          </cell>
          <cell r="Y65" t="str">
            <v>Approx. $61 million</v>
          </cell>
          <cell r="Z65" t="str">
            <v>Approx. $215 million</v>
          </cell>
          <cell r="AA65" t="str">
            <v>$244 million</v>
          </cell>
        </row>
        <row r="66">
          <cell r="X66" t="str">
            <v>Interest income and other income</v>
          </cell>
          <cell r="Y66" t="str">
            <v>About $7 million</v>
          </cell>
          <cell r="Z66" t="str">
            <v>About $40 million</v>
          </cell>
          <cell r="AA66" t="str">
            <v>$14 million</v>
          </cell>
        </row>
        <row r="67">
          <cell r="X67" t="str">
            <v xml:space="preserve">Tax rate </v>
          </cell>
          <cell r="Y67" t="str">
            <v xml:space="preserve">About 38% </v>
          </cell>
          <cell r="Z67" t="str">
            <v xml:space="preserve">About 38% </v>
          </cell>
          <cell r="AA67">
            <v>0.39</v>
          </cell>
        </row>
        <row r="68">
          <cell r="X68" t="str">
            <v>Weighted avg. shares outstanding</v>
          </cell>
          <cell r="Y68" t="str">
            <v>Approx. 330 million</v>
          </cell>
          <cell r="Z68" t="str">
            <v>Approx. 330 million</v>
          </cell>
          <cell r="AA68" t="str">
            <v>318 million</v>
          </cell>
        </row>
        <row r="69">
          <cell r="X69" t="str">
            <v>Earnings per share</v>
          </cell>
          <cell r="Y69" t="str">
            <v>$0.05 - $0.10</v>
          </cell>
          <cell r="Z69" t="str">
            <v>$1.40 - $1.60</v>
          </cell>
          <cell r="AA69">
            <v>1.41</v>
          </cell>
        </row>
        <row r="70">
          <cell r="X70" t="str">
            <v>Capital expenditures</v>
          </cell>
          <cell r="Y70" t="str">
            <v>N/A</v>
          </cell>
          <cell r="Z70" t="str">
            <v>$250 - $300 million</v>
          </cell>
          <cell r="AA70" t="str">
            <v>$225 million</v>
          </cell>
        </row>
        <row r="71">
          <cell r="X71" t="str">
            <v>Depreciation and amortization</v>
          </cell>
          <cell r="Y71" t="str">
            <v>N/A</v>
          </cell>
          <cell r="Z71" t="str">
            <v>About $350 million</v>
          </cell>
          <cell r="AA71" t="str">
            <v>$340 million</v>
          </cell>
        </row>
        <row r="72">
          <cell r="X72" t="str">
            <v>Free cash flow</v>
          </cell>
          <cell r="Y72" t="str">
            <v>N/A</v>
          </cell>
          <cell r="Z72" t="str">
            <v>$500 - $600 million</v>
          </cell>
          <cell r="AA72" t="str">
            <v>$529 million</v>
          </cell>
        </row>
      </sheetData>
      <sheetData sheetId="1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_Template"/>
      <sheetName val="ImportantDisclosures"/>
      <sheetName val="Variance"/>
      <sheetName val="Disclosures"/>
      <sheetName val="SG&amp;A"/>
      <sheetName val="Productivity"/>
      <sheetName val="LBO"/>
      <sheetName val="LEASES (LBO)"/>
      <sheetName val="Divisional Comps"/>
      <sheetName val="Div Profits"/>
      <sheetName val="Income"/>
      <sheetName val="Balance Sheet"/>
      <sheetName val="__FDSCACHE__"/>
      <sheetName val="Cash Flow"/>
      <sheetName val="Monthly Div Comps"/>
      <sheetName val="RNOA - ROE"/>
      <sheetName val="LEASES NEW"/>
      <sheetName val="P Map"/>
      <sheetName val="VALUATION"/>
      <sheetName val="Chart1"/>
      <sheetName val="DCF"/>
      <sheetName val="LINKED DATA"/>
      <sheetName val="Debt"/>
      <sheetName val="GPS.N"/>
      <sheetName val="ModPubIndexInternal"/>
    </sheetNames>
    <sheetDataSet>
      <sheetData sheetId="0" refreshError="1"/>
      <sheetData sheetId="1" refreshError="1"/>
      <sheetData sheetId="2" refreshError="1"/>
      <sheetData sheetId="3" refreshError="1"/>
      <sheetData sheetId="4" refreshError="1"/>
      <sheetData sheetId="5" refreshError="1"/>
      <sheetData sheetId="6">
        <row r="2">
          <cell r="A2" t="str">
            <v>Gap Inc. - LBO Valuation</v>
          </cell>
        </row>
        <row r="3">
          <cell r="A3" t="str">
            <v>($ Millions Except For Price and Share Data)</v>
          </cell>
        </row>
        <row r="4">
          <cell r="A4" t="str">
            <v>LBO Assumptions</v>
          </cell>
        </row>
        <row r="5">
          <cell r="A5" t="str">
            <v>Current Share Price</v>
          </cell>
          <cell r="C5">
            <v>18.809999999999999</v>
          </cell>
          <cell r="E5" t="str">
            <v>Purchase Price Assumptions</v>
          </cell>
          <cell r="J5" t="str">
            <v>Exit Multiple</v>
          </cell>
          <cell r="L5" t="str">
            <v>3-yr. Equity Value</v>
          </cell>
          <cell r="N5" t="str">
            <v>5-yr. Equity Value</v>
          </cell>
        </row>
        <row r="6">
          <cell r="A6" t="str">
            <v>Shares Outstanding</v>
          </cell>
          <cell r="C6">
            <v>796.6579803627875</v>
          </cell>
          <cell r="E6" t="str">
            <v>Takeout EV/EBITDAR Multiple</v>
          </cell>
          <cell r="H6">
            <v>7</v>
          </cell>
          <cell r="J6">
            <v>8</v>
          </cell>
          <cell r="L6">
            <v>18129.98555373713</v>
          </cell>
          <cell r="N6">
            <v>22513.296119099938</v>
          </cell>
        </row>
        <row r="7">
          <cell r="A7" t="str">
            <v>Current Market Capitalization</v>
          </cell>
          <cell r="C7">
            <v>14985.136610624031</v>
          </cell>
          <cell r="J7">
            <v>7.5</v>
          </cell>
          <cell r="L7">
            <v>16302.609436142644</v>
          </cell>
          <cell r="N7">
            <v>20569.506029838547</v>
          </cell>
        </row>
        <row r="8">
          <cell r="A8" t="str">
            <v>Debt Outstanding</v>
          </cell>
          <cell r="C8">
            <v>188</v>
          </cell>
          <cell r="E8" t="str">
            <v>FY07 EBITDAR</v>
          </cell>
          <cell r="H8">
            <v>2785.0193120525587</v>
          </cell>
          <cell r="J8">
            <v>7</v>
          </cell>
          <cell r="L8">
            <v>14475.233318548162</v>
          </cell>
          <cell r="N8">
            <v>18625.715940577153</v>
          </cell>
        </row>
        <row r="9">
          <cell r="A9" t="str">
            <v>Cash</v>
          </cell>
          <cell r="C9">
            <v>1584.2873899290494</v>
          </cell>
          <cell r="E9" t="str">
            <v>Purchase EV (Lease Adjusted)</v>
          </cell>
          <cell r="H9">
            <v>19495.135184367911</v>
          </cell>
          <cell r="J9">
            <v>6.5</v>
          </cell>
          <cell r="L9">
            <v>12647.857200953677</v>
          </cell>
          <cell r="N9">
            <v>16681.925851315758</v>
          </cell>
        </row>
        <row r="10">
          <cell r="A10" t="str">
            <v>Enterprise Value</v>
          </cell>
          <cell r="C10">
            <v>13588.849220694981</v>
          </cell>
          <cell r="E10" t="str">
            <v>Implied Equity Price</v>
          </cell>
          <cell r="H10">
            <v>20.433314096093191</v>
          </cell>
          <cell r="J10">
            <v>6</v>
          </cell>
          <cell r="L10">
            <v>10820.481083359195</v>
          </cell>
          <cell r="N10">
            <v>14738.135762054368</v>
          </cell>
        </row>
        <row r="11">
          <cell r="A11" t="str">
            <v>FY07 EBITDA</v>
          </cell>
          <cell r="C11">
            <v>1833.2231290991631</v>
          </cell>
          <cell r="E11" t="str">
            <v>Implied Premium/Discount</v>
          </cell>
          <cell r="H11">
            <v>8.6300589903944402E-2</v>
          </cell>
        </row>
        <row r="12">
          <cell r="A12" t="str">
            <v>EV/FY07 EBITDA</v>
          </cell>
          <cell r="C12">
            <v>7.4125451533946531</v>
          </cell>
          <cell r="H12">
            <v>70</v>
          </cell>
          <cell r="J12" t="str">
            <v>Exit Multiple</v>
          </cell>
          <cell r="L12" t="str">
            <v>3-yr. IRR</v>
          </cell>
          <cell r="N12" t="str">
            <v>5-yr. IRR</v>
          </cell>
        </row>
        <row r="13">
          <cell r="E13" t="str">
            <v>Debt Financing %</v>
          </cell>
          <cell r="H13">
            <v>0.7</v>
          </cell>
          <cell r="J13">
            <v>8</v>
          </cell>
          <cell r="L13">
            <v>0.45808659552301623</v>
          </cell>
          <cell r="N13">
            <v>0.30941802683893993</v>
          </cell>
        </row>
        <row r="14">
          <cell r="A14" t="str">
            <v>Operating Lease Liabilities</v>
          </cell>
          <cell r="C14">
            <v>4613.0598343848833</v>
          </cell>
          <cell r="E14" t="str">
            <v>Existing Lease Debt</v>
          </cell>
          <cell r="H14">
            <v>4613.0598343848833</v>
          </cell>
          <cell r="J14">
            <v>7.5</v>
          </cell>
          <cell r="L14">
            <v>0.40735352797905833</v>
          </cell>
          <cell r="N14">
            <v>0.28598312979656759</v>
          </cell>
        </row>
        <row r="15">
          <cell r="A15" t="str">
            <v>Enterprise Value (Lease Adjusted)</v>
          </cell>
          <cell r="C15">
            <v>18201.909055079865</v>
          </cell>
          <cell r="E15" t="str">
            <v>New Debt Issued</v>
          </cell>
          <cell r="H15">
            <v>9033.5347946726542</v>
          </cell>
          <cell r="J15">
            <v>7</v>
          </cell>
          <cell r="L15">
            <v>0.35267258750613761</v>
          </cell>
          <cell r="N15">
            <v>0.26070389295170515</v>
          </cell>
        </row>
        <row r="16">
          <cell r="A16" t="str">
            <v>FY07 EBITDAR</v>
          </cell>
          <cell r="C16">
            <v>2785.0193120525587</v>
          </cell>
          <cell r="E16" t="str">
            <v>Total Leverage</v>
          </cell>
          <cell r="H16">
            <v>4.9000000000000004</v>
          </cell>
          <cell r="J16">
            <v>6.5</v>
          </cell>
          <cell r="L16">
            <v>0.29317256574035344</v>
          </cell>
          <cell r="N16">
            <v>0.23321766237059949</v>
          </cell>
        </row>
        <row r="17">
          <cell r="A17" t="str">
            <v>EV/FY07 EBITDAR</v>
          </cell>
          <cell r="C17">
            <v>6.5356491340324174</v>
          </cell>
          <cell r="J17">
            <v>6</v>
          </cell>
          <cell r="L17">
            <v>0.22762678290804073</v>
          </cell>
          <cell r="N17">
            <v>0.20303706900630614</v>
          </cell>
        </row>
        <row r="18">
          <cell r="E18" t="str">
            <v>Bank/Senior/Lease Debt Leverage</v>
          </cell>
          <cell r="H18">
            <v>3</v>
          </cell>
        </row>
        <row r="19">
          <cell r="E19" t="str">
            <v>Bank/Senior/Lease Debt</v>
          </cell>
          <cell r="H19">
            <v>3741.9981017727932</v>
          </cell>
        </row>
        <row r="20">
          <cell r="E20" t="str">
            <v>Interest Rate Assumption</v>
          </cell>
          <cell r="H20">
            <v>0.08</v>
          </cell>
        </row>
        <row r="21">
          <cell r="E21" t="str">
            <v>Bonds/Sub Debt Leverage</v>
          </cell>
          <cell r="H21">
            <v>1.9</v>
          </cell>
        </row>
        <row r="22">
          <cell r="E22" t="str">
            <v>Bonds/Sub Debt</v>
          </cell>
          <cell r="H22">
            <v>5291.536692899861</v>
          </cell>
        </row>
        <row r="23">
          <cell r="E23" t="str">
            <v>Interest Rate Assumption</v>
          </cell>
          <cell r="H23">
            <v>0.1</v>
          </cell>
        </row>
        <row r="25">
          <cell r="E25" t="str">
            <v>Equity Investment</v>
          </cell>
          <cell r="H25">
            <v>5848.5405553103737</v>
          </cell>
        </row>
        <row r="27">
          <cell r="B27">
            <v>1999</v>
          </cell>
          <cell r="C27">
            <v>2000</v>
          </cell>
          <cell r="D27">
            <v>2001</v>
          </cell>
          <cell r="E27">
            <v>2002</v>
          </cell>
          <cell r="F27">
            <v>2003</v>
          </cell>
          <cell r="G27">
            <v>2004</v>
          </cell>
          <cell r="H27">
            <v>2005</v>
          </cell>
          <cell r="I27">
            <v>2006</v>
          </cell>
          <cell r="J27">
            <v>2007</v>
          </cell>
          <cell r="K27">
            <v>2008</v>
          </cell>
          <cell r="L27">
            <v>2009</v>
          </cell>
          <cell r="M27">
            <v>2010</v>
          </cell>
          <cell r="N27">
            <v>2011</v>
          </cell>
          <cell r="O27">
            <v>2012</v>
          </cell>
        </row>
        <row r="28">
          <cell r="A28" t="str">
            <v>Financials</v>
          </cell>
        </row>
        <row r="29">
          <cell r="A29" t="str">
            <v>Revenue</v>
          </cell>
          <cell r="B29">
            <v>11635.397999999999</v>
          </cell>
          <cell r="C29">
            <v>13673.46</v>
          </cell>
          <cell r="D29">
            <v>13847.853999999999</v>
          </cell>
          <cell r="E29">
            <v>14454.708999999999</v>
          </cell>
          <cell r="F29">
            <v>15853.333999999999</v>
          </cell>
          <cell r="G29">
            <v>16268</v>
          </cell>
          <cell r="H29">
            <v>16023</v>
          </cell>
          <cell r="I29">
            <v>15936</v>
          </cell>
          <cell r="J29">
            <v>15872.405547592203</v>
          </cell>
          <cell r="K29">
            <v>16404.308216313719</v>
          </cell>
          <cell r="L29">
            <v>17060.480544966267</v>
          </cell>
          <cell r="M29">
            <v>17401.690155865592</v>
          </cell>
          <cell r="N29">
            <v>17749.723958982904</v>
          </cell>
          <cell r="O29">
            <v>18104.718438162563</v>
          </cell>
        </row>
        <row r="30">
          <cell r="A30" t="str">
            <v>Comp Growth</v>
          </cell>
          <cell r="B30">
            <v>7.0000000000000007E-2</v>
          </cell>
          <cell r="C30">
            <v>-0.05</v>
          </cell>
          <cell r="D30">
            <v>-0.13</v>
          </cell>
          <cell r="E30">
            <v>-0.03</v>
          </cell>
          <cell r="F30">
            <v>7.0000000000000007E-2</v>
          </cell>
          <cell r="G30">
            <v>0</v>
          </cell>
          <cell r="H30">
            <v>-0.05</v>
          </cell>
          <cell r="I30">
            <v>-7.0000000000000007E-2</v>
          </cell>
          <cell r="J30">
            <v>-4.3640909994815916E-2</v>
          </cell>
          <cell r="K30">
            <v>0.03</v>
          </cell>
          <cell r="L30">
            <v>0.04</v>
          </cell>
          <cell r="M30">
            <v>0.02</v>
          </cell>
          <cell r="N30">
            <v>0.02</v>
          </cell>
          <cell r="O30">
            <v>0.02</v>
          </cell>
        </row>
        <row r="31">
          <cell r="A31" t="str">
            <v>Stores</v>
          </cell>
          <cell r="B31">
            <v>3018</v>
          </cell>
          <cell r="C31">
            <v>2848</v>
          </cell>
          <cell r="D31">
            <v>3097</v>
          </cell>
          <cell r="E31">
            <v>3117</v>
          </cell>
          <cell r="F31">
            <v>3022</v>
          </cell>
          <cell r="G31">
            <v>2994</v>
          </cell>
          <cell r="H31">
            <v>3053</v>
          </cell>
          <cell r="I31">
            <v>3131</v>
          </cell>
          <cell r="J31">
            <v>3162</v>
          </cell>
          <cell r="K31">
            <v>3162</v>
          </cell>
          <cell r="L31">
            <v>3162</v>
          </cell>
          <cell r="M31">
            <v>3162</v>
          </cell>
          <cell r="N31">
            <v>3162</v>
          </cell>
          <cell r="O31">
            <v>3162</v>
          </cell>
        </row>
        <row r="32">
          <cell r="A32" t="str">
            <v>Sq. Ft.</v>
          </cell>
          <cell r="B32">
            <v>23.978100000000001</v>
          </cell>
          <cell r="C32">
            <v>31.4</v>
          </cell>
          <cell r="D32">
            <v>36.299999999999997</v>
          </cell>
          <cell r="E32">
            <v>37.299999999999997</v>
          </cell>
          <cell r="F32">
            <v>36.5</v>
          </cell>
          <cell r="G32">
            <v>36.6</v>
          </cell>
          <cell r="H32">
            <v>37.800000000000004</v>
          </cell>
          <cell r="I32">
            <v>38.900000000000006</v>
          </cell>
          <cell r="J32">
            <v>39.292207269358322</v>
          </cell>
          <cell r="K32">
            <v>39.292207269358322</v>
          </cell>
          <cell r="L32">
            <v>39.292207269358322</v>
          </cell>
          <cell r="M32">
            <v>39.292207269358322</v>
          </cell>
          <cell r="N32">
            <v>39.292207269358322</v>
          </cell>
          <cell r="O32">
            <v>39.292207269358322</v>
          </cell>
        </row>
        <row r="33">
          <cell r="A33" t="str">
            <v>Ave. Sq. Ft. Growth</v>
          </cell>
          <cell r="D33">
            <v>0.22250492523217624</v>
          </cell>
          <cell r="E33">
            <v>8.7149187592319155E-2</v>
          </cell>
          <cell r="F33">
            <v>2.7173913043478937E-3</v>
          </cell>
          <cell r="G33">
            <v>-9.4850948509485056E-3</v>
          </cell>
          <cell r="H33">
            <v>1.7783857729138264E-2</v>
          </cell>
          <cell r="I33">
            <v>3.0913978494623739E-2</v>
          </cell>
          <cell r="J33">
            <v>1.9455114333224444E-2</v>
          </cell>
          <cell r="K33">
            <v>5.0159380717726965E-3</v>
          </cell>
          <cell r="L33">
            <v>0</v>
          </cell>
          <cell r="M33">
            <v>0</v>
          </cell>
          <cell r="N33">
            <v>0</v>
          </cell>
          <cell r="O33">
            <v>0</v>
          </cell>
        </row>
        <row r="34">
          <cell r="A34" t="str">
            <v>Ave. Sq. Ft./New Store (000s)</v>
          </cell>
          <cell r="K34">
            <v>14.13955030802693</v>
          </cell>
          <cell r="L34">
            <v>14.494251453595837</v>
          </cell>
          <cell r="M34">
            <v>11.785029888959693</v>
          </cell>
          <cell r="N34">
            <v>11.785029888959693</v>
          </cell>
          <cell r="O34">
            <v>11.785029888959693</v>
          </cell>
        </row>
        <row r="36">
          <cell r="A36" t="str">
            <v>Gross Profit</v>
          </cell>
          <cell r="B36">
            <v>4860.1359999999995</v>
          </cell>
          <cell r="C36">
            <v>5074.018</v>
          </cell>
          <cell r="D36">
            <v>4143.4650000000001</v>
          </cell>
          <cell r="E36">
            <v>4913.1510000000007</v>
          </cell>
          <cell r="F36">
            <v>5967.0020000000004</v>
          </cell>
          <cell r="G36">
            <v>6382</v>
          </cell>
          <cell r="H36">
            <v>5870</v>
          </cell>
          <cell r="I36">
            <v>5652</v>
          </cell>
          <cell r="J36">
            <v>5628.2840956368282</v>
          </cell>
          <cell r="K36">
            <v>5925.5669036806485</v>
          </cell>
          <cell r="L36">
            <v>6247.9242281007919</v>
          </cell>
          <cell r="M36">
            <v>6416.4033832819978</v>
          </cell>
          <cell r="N36">
            <v>6544.7314509476391</v>
          </cell>
          <cell r="O36">
            <v>6675.6260799665934</v>
          </cell>
        </row>
        <row r="37">
          <cell r="A37" t="str">
            <v>SG&amp;A Expense</v>
          </cell>
          <cell r="B37">
            <v>3043.4319999999998</v>
          </cell>
          <cell r="C37">
            <v>3629.2569999999996</v>
          </cell>
          <cell r="D37">
            <v>3805.9680000000003</v>
          </cell>
          <cell r="E37">
            <v>3900.5220000000004</v>
          </cell>
          <cell r="F37">
            <v>4086.828</v>
          </cell>
          <cell r="G37">
            <v>4297</v>
          </cell>
          <cell r="H37">
            <v>4185</v>
          </cell>
          <cell r="I37">
            <v>4500</v>
          </cell>
          <cell r="J37">
            <v>4343.3721549933289</v>
          </cell>
          <cell r="K37">
            <v>4431.4867971782169</v>
          </cell>
          <cell r="L37">
            <v>4506.3446911378433</v>
          </cell>
          <cell r="M37">
            <v>4544.2467802175734</v>
          </cell>
          <cell r="N37">
            <v>4599.6188485966659</v>
          </cell>
          <cell r="O37">
            <v>4673.4996632837183</v>
          </cell>
        </row>
        <row r="38">
          <cell r="A38" t="str">
            <v>Cost Savings</v>
          </cell>
          <cell r="K38">
            <v>0</v>
          </cell>
          <cell r="L38">
            <v>0</v>
          </cell>
          <cell r="M38">
            <v>0</v>
          </cell>
          <cell r="N38">
            <v>0</v>
          </cell>
          <cell r="O38">
            <v>0</v>
          </cell>
        </row>
        <row r="39">
          <cell r="A39" t="str">
            <v>Rent Expense Reversal</v>
          </cell>
          <cell r="B39">
            <v>-561.99400000000003</v>
          </cell>
          <cell r="C39">
            <v>-705.76</v>
          </cell>
          <cell r="D39">
            <v>-788</v>
          </cell>
          <cell r="E39">
            <v>-816</v>
          </cell>
          <cell r="F39">
            <v>-808</v>
          </cell>
          <cell r="G39">
            <v>-819</v>
          </cell>
          <cell r="H39">
            <v>-866</v>
          </cell>
          <cell r="I39">
            <v>-924</v>
          </cell>
          <cell r="J39">
            <v>-951.7961829533956</v>
          </cell>
          <cell r="K39">
            <v>-1082.1956381355135</v>
          </cell>
          <cell r="L39">
            <v>-1082.1956381355135</v>
          </cell>
          <cell r="M39">
            <v>-1082.1956381355135</v>
          </cell>
          <cell r="N39">
            <v>-1082.1956381355135</v>
          </cell>
          <cell r="O39">
            <v>-1082.1956381355135</v>
          </cell>
        </row>
        <row r="40">
          <cell r="A40" t="str">
            <v>Depreciation from Leases</v>
          </cell>
          <cell r="B40">
            <v>373.00993703093354</v>
          </cell>
          <cell r="C40">
            <v>449.05037925727055</v>
          </cell>
          <cell r="D40">
            <v>464.3569156203896</v>
          </cell>
          <cell r="E40">
            <v>515.27789666609465</v>
          </cell>
          <cell r="F40">
            <v>548.29513095142738</v>
          </cell>
          <cell r="G40">
            <v>583.52067579265974</v>
          </cell>
          <cell r="H40">
            <v>641.30301610181789</v>
          </cell>
          <cell r="I40">
            <v>710.19999157678785</v>
          </cell>
          <cell r="J40">
            <v>729.14660503559469</v>
          </cell>
          <cell r="K40">
            <v>876.44018836970395</v>
          </cell>
          <cell r="L40">
            <v>861.12352162598143</v>
          </cell>
          <cell r="M40">
            <v>833.08194849373899</v>
          </cell>
          <cell r="N40">
            <v>795.01910362516833</v>
          </cell>
          <cell r="O40">
            <v>815.80309044354544</v>
          </cell>
        </row>
        <row r="41">
          <cell r="A41" t="str">
            <v>EBITR</v>
          </cell>
          <cell r="B41">
            <v>2005.6880629690663</v>
          </cell>
          <cell r="C41">
            <v>1701.4706207427303</v>
          </cell>
          <cell r="D41">
            <v>661.14008437961002</v>
          </cell>
          <cell r="E41">
            <v>1313.3511033339055</v>
          </cell>
          <cell r="F41">
            <v>2139.8788690485731</v>
          </cell>
          <cell r="G41">
            <v>2320.4793242073401</v>
          </cell>
          <cell r="H41">
            <v>1909.6969838981822</v>
          </cell>
          <cell r="I41">
            <v>1365.8000084232117</v>
          </cell>
          <cell r="J41">
            <v>1507.5615185613005</v>
          </cell>
          <cell r="K41">
            <v>1699.8355562682409</v>
          </cell>
          <cell r="L41">
            <v>1962.6516534724806</v>
          </cell>
          <cell r="M41">
            <v>2121.2702927061991</v>
          </cell>
          <cell r="N41">
            <v>2232.2891368613182</v>
          </cell>
          <cell r="O41">
            <v>2268.5189643748427</v>
          </cell>
        </row>
        <row r="42">
          <cell r="A42" t="str">
            <v>Reported/Non-Lease D&amp;A</v>
          </cell>
          <cell r="B42">
            <v>402</v>
          </cell>
          <cell r="C42">
            <v>544</v>
          </cell>
          <cell r="D42">
            <v>741</v>
          </cell>
          <cell r="E42">
            <v>706</v>
          </cell>
          <cell r="F42">
            <v>675</v>
          </cell>
          <cell r="G42">
            <v>615</v>
          </cell>
          <cell r="H42">
            <v>625</v>
          </cell>
          <cell r="I42">
            <v>530</v>
          </cell>
          <cell r="J42">
            <v>548.31118845566334</v>
          </cell>
          <cell r="K42">
            <v>615.29448778247161</v>
          </cell>
          <cell r="L42">
            <v>655.82371471425938</v>
          </cell>
          <cell r="M42">
            <v>700.39999398902978</v>
          </cell>
          <cell r="N42">
            <v>748.25790817061113</v>
          </cell>
          <cell r="O42">
            <v>803.25812370439689</v>
          </cell>
        </row>
        <row r="43">
          <cell r="A43" t="str">
            <v>Depreciation from Leases</v>
          </cell>
          <cell r="B43">
            <v>373.00993703093354</v>
          </cell>
          <cell r="C43">
            <v>449.05037925727055</v>
          </cell>
          <cell r="D43">
            <v>464.3569156203896</v>
          </cell>
          <cell r="E43">
            <v>515.27789666609465</v>
          </cell>
          <cell r="F43">
            <v>548.29513095142738</v>
          </cell>
          <cell r="G43">
            <v>583.52067579265974</v>
          </cell>
          <cell r="H43">
            <v>641.30301610181789</v>
          </cell>
          <cell r="I43">
            <v>710.19999157678785</v>
          </cell>
          <cell r="J43">
            <v>729.14660503559469</v>
          </cell>
          <cell r="K43">
            <v>876.44018836970395</v>
          </cell>
          <cell r="L43">
            <v>861.12352162598143</v>
          </cell>
          <cell r="M43">
            <v>833.08194849373899</v>
          </cell>
          <cell r="N43">
            <v>795.01910362516833</v>
          </cell>
          <cell r="O43">
            <v>815.80309044354544</v>
          </cell>
        </row>
        <row r="44">
          <cell r="A44" t="str">
            <v>EBITDAR</v>
          </cell>
          <cell r="B44">
            <v>2780.6979999999999</v>
          </cell>
          <cell r="C44">
            <v>2694.5210000000006</v>
          </cell>
          <cell r="D44">
            <v>1866.4969999999996</v>
          </cell>
          <cell r="E44">
            <v>2534.6289999999999</v>
          </cell>
          <cell r="F44">
            <v>3363.1740000000004</v>
          </cell>
          <cell r="G44">
            <v>3519</v>
          </cell>
          <cell r="H44">
            <v>3176</v>
          </cell>
          <cell r="I44">
            <v>2605.9999999999995</v>
          </cell>
          <cell r="J44">
            <v>2785.0193120525587</v>
          </cell>
          <cell r="K44">
            <v>3191.5702324204167</v>
          </cell>
          <cell r="L44">
            <v>3479.5988898127216</v>
          </cell>
          <cell r="M44">
            <v>3654.7522351889684</v>
          </cell>
          <cell r="N44">
            <v>3775.566148657098</v>
          </cell>
          <cell r="O44">
            <v>3887.580178522785</v>
          </cell>
        </row>
        <row r="45">
          <cell r="A45" t="str">
            <v>EBITDA</v>
          </cell>
          <cell r="B45">
            <v>2218.7039999999997</v>
          </cell>
          <cell r="C45">
            <v>1988.7610000000006</v>
          </cell>
          <cell r="D45">
            <v>1078.4969999999996</v>
          </cell>
          <cell r="E45">
            <v>1718.6289999999999</v>
          </cell>
          <cell r="F45">
            <v>2555.1740000000004</v>
          </cell>
          <cell r="G45">
            <v>2700</v>
          </cell>
          <cell r="H45">
            <v>2310</v>
          </cell>
          <cell r="I45">
            <v>1681.9999999999995</v>
          </cell>
          <cell r="J45">
            <v>1833.2231290991631</v>
          </cell>
          <cell r="K45">
            <v>2109.3745942849032</v>
          </cell>
          <cell r="L45">
            <v>2397.4032516772081</v>
          </cell>
          <cell r="M45">
            <v>2572.5565970534549</v>
          </cell>
          <cell r="N45">
            <v>2693.3705105215845</v>
          </cell>
          <cell r="O45">
            <v>2805.3845403872715</v>
          </cell>
        </row>
        <row r="47">
          <cell r="A47" t="str">
            <v>Reported Net Interest Expense</v>
          </cell>
          <cell r="B47">
            <v>31.754999999999999</v>
          </cell>
          <cell r="C47">
            <v>62.876000000000005</v>
          </cell>
          <cell r="D47">
            <v>95.875</v>
          </cell>
          <cell r="E47">
            <v>211.75399999999999</v>
          </cell>
          <cell r="F47">
            <v>196.3</v>
          </cell>
          <cell r="G47">
            <v>108</v>
          </cell>
          <cell r="H47">
            <v>-48</v>
          </cell>
          <cell r="I47">
            <v>-89</v>
          </cell>
          <cell r="J47">
            <v>-86.562093237156446</v>
          </cell>
          <cell r="K47">
            <v>828.51351743180965</v>
          </cell>
          <cell r="L47">
            <v>786.08679327375194</v>
          </cell>
          <cell r="M47">
            <v>710.66559455076106</v>
          </cell>
          <cell r="N47">
            <v>614.20914449039367</v>
          </cell>
          <cell r="O47">
            <v>507.54365122599398</v>
          </cell>
        </row>
        <row r="48">
          <cell r="A48" t="str">
            <v>Estimated Interest Expense on Leases</v>
          </cell>
          <cell r="B48">
            <v>252.3196020839157</v>
          </cell>
          <cell r="C48">
            <v>297.10468430336221</v>
          </cell>
          <cell r="D48">
            <v>295.33489127720406</v>
          </cell>
          <cell r="E48">
            <v>310.30513848035076</v>
          </cell>
          <cell r="F48">
            <v>307.5546878670703</v>
          </cell>
          <cell r="G48">
            <v>304.0515882565648</v>
          </cell>
          <cell r="H48">
            <v>320.651427628558</v>
          </cell>
          <cell r="I48">
            <v>343.78455941218658</v>
          </cell>
          <cell r="J48">
            <v>356.99395755553684</v>
          </cell>
          <cell r="K48">
            <v>342.54339346091484</v>
          </cell>
          <cell r="L48">
            <v>341.9753273743529</v>
          </cell>
          <cell r="M48">
            <v>341.3028293494566</v>
          </cell>
          <cell r="N48">
            <v>340.52962467722563</v>
          </cell>
          <cell r="O48">
            <v>339.65796170852423</v>
          </cell>
        </row>
        <row r="49">
          <cell r="A49" t="str">
            <v>Taxes @ 35%</v>
          </cell>
          <cell r="B49">
            <v>635.71656130980284</v>
          </cell>
          <cell r="C49">
            <v>490.24972775377853</v>
          </cell>
          <cell r="D49">
            <v>259.31286758584218</v>
          </cell>
          <cell r="E49">
            <v>320.06393769874427</v>
          </cell>
          <cell r="F49">
            <v>636.5065634135259</v>
          </cell>
          <cell r="G49">
            <v>738.99970758277141</v>
          </cell>
          <cell r="H49">
            <v>654.56164469436851</v>
          </cell>
          <cell r="I49">
            <v>448.50540715385898</v>
          </cell>
          <cell r="J49">
            <v>456.08171050965143</v>
          </cell>
          <cell r="K49">
            <v>185.07252588143072</v>
          </cell>
          <cell r="L49">
            <v>292.1063364885315</v>
          </cell>
          <cell r="M49">
            <v>374.25565408209349</v>
          </cell>
          <cell r="N49">
            <v>447.14262869279463</v>
          </cell>
          <cell r="O49">
            <v>497.46107300411353</v>
          </cell>
        </row>
        <row r="50">
          <cell r="A50" t="str">
            <v>Net Income (Ex-Rent Expense)</v>
          </cell>
          <cell r="B50">
            <v>1085.8968995753478</v>
          </cell>
          <cell r="C50">
            <v>851.24020868558955</v>
          </cell>
          <cell r="D50">
            <v>10.617325516563824</v>
          </cell>
          <cell r="E50">
            <v>471.22802715481043</v>
          </cell>
          <cell r="F50">
            <v>999.51761776797684</v>
          </cell>
          <cell r="G50">
            <v>1169.4280283680039</v>
          </cell>
          <cell r="H50">
            <v>982.48391157525566</v>
          </cell>
          <cell r="I50">
            <v>662.51004185716613</v>
          </cell>
          <cell r="J50">
            <v>781.04794373326877</v>
          </cell>
          <cell r="K50">
            <v>343.70611949408567</v>
          </cell>
          <cell r="L50">
            <v>542.48319633584424</v>
          </cell>
          <cell r="M50">
            <v>695.04621472388794</v>
          </cell>
          <cell r="N50">
            <v>830.40773900090426</v>
          </cell>
          <cell r="O50">
            <v>923.85627843621091</v>
          </cell>
        </row>
        <row r="52">
          <cell r="A52" t="str">
            <v>Reported Capex</v>
          </cell>
          <cell r="B52">
            <v>-1238.722</v>
          </cell>
          <cell r="C52">
            <v>-1882.125</v>
          </cell>
          <cell r="D52">
            <v>-957.05399999999997</v>
          </cell>
          <cell r="E52">
            <v>-308</v>
          </cell>
          <cell r="F52">
            <v>-261</v>
          </cell>
          <cell r="G52">
            <v>-442</v>
          </cell>
          <cell r="H52">
            <v>-600</v>
          </cell>
          <cell r="I52">
            <v>-572</v>
          </cell>
          <cell r="J52">
            <v>-703.67161615587293</v>
          </cell>
          <cell r="K52">
            <v>-400</v>
          </cell>
          <cell r="L52">
            <v>-400</v>
          </cell>
          <cell r="M52">
            <v>-400</v>
          </cell>
          <cell r="N52">
            <v>-400</v>
          </cell>
          <cell r="O52">
            <v>-400</v>
          </cell>
        </row>
        <row r="53">
          <cell r="A53" t="str">
            <v>Capex Implied by Leases</v>
          </cell>
          <cell r="B53">
            <v>-1061.6266207879953</v>
          </cell>
          <cell r="C53">
            <v>-1063.6904694520522</v>
          </cell>
          <cell r="D53">
            <v>-368.3480323611733</v>
          </cell>
          <cell r="E53">
            <v>-736.10978798559631</v>
          </cell>
          <cell r="F53">
            <v>-470.95554003959944</v>
          </cell>
          <cell r="G53">
            <v>-476.14466193624366</v>
          </cell>
          <cell r="H53">
            <v>-686.8459109926298</v>
          </cell>
          <cell r="I53">
            <v>-799.6203603224443</v>
          </cell>
          <cell r="J53">
            <v>-710.52049222847268</v>
          </cell>
          <cell r="K53">
            <v>-725.21167564702841</v>
          </cell>
          <cell r="L53">
            <v>-725.21167564702841</v>
          </cell>
          <cell r="M53">
            <v>-725.21167564702841</v>
          </cell>
          <cell r="N53">
            <v>-725.21167564702841</v>
          </cell>
          <cell r="O53">
            <v>-725.21167564702841</v>
          </cell>
        </row>
        <row r="54">
          <cell r="A54" t="str">
            <v>Total Capex</v>
          </cell>
          <cell r="B54">
            <v>-2300.3486207879951</v>
          </cell>
          <cell r="C54">
            <v>-2945.8154694520522</v>
          </cell>
          <cell r="D54">
            <v>-1325.4020323611733</v>
          </cell>
          <cell r="E54">
            <v>-1044.1097879855963</v>
          </cell>
          <cell r="F54">
            <v>-731.95554003959944</v>
          </cell>
          <cell r="G54">
            <v>-918.14466193624366</v>
          </cell>
          <cell r="H54">
            <v>-1286.8459109926298</v>
          </cell>
          <cell r="I54">
            <v>-1371.6203603224444</v>
          </cell>
          <cell r="J54">
            <v>-1414.1921083843456</v>
          </cell>
          <cell r="K54">
            <v>-1125.2116756470284</v>
          </cell>
          <cell r="L54">
            <v>-1125.2116756470284</v>
          </cell>
          <cell r="M54">
            <v>-1125.2116756470284</v>
          </cell>
          <cell r="N54">
            <v>-1125.2116756470284</v>
          </cell>
          <cell r="O54">
            <v>-1125.2116756470284</v>
          </cell>
        </row>
        <row r="55">
          <cell r="A55" t="str">
            <v>% of Revenue</v>
          </cell>
          <cell r="B55">
            <v>0.19770261582697859</v>
          </cell>
          <cell r="C55">
            <v>0.21544038373989116</v>
          </cell>
          <cell r="D55">
            <v>9.5711727778266101E-2</v>
          </cell>
          <cell r="E55">
            <v>7.2233193209603627E-2</v>
          </cell>
          <cell r="F55">
            <v>4.6170448439400789E-2</v>
          </cell>
          <cell r="G55">
            <v>5.6438693258928183E-2</v>
          </cell>
          <cell r="H55">
            <v>8.0312420332810941E-2</v>
          </cell>
          <cell r="I55">
            <v>8.6070554739109212E-2</v>
          </cell>
          <cell r="J55">
            <v>8.9097528672890697E-2</v>
          </cell>
          <cell r="K55">
            <v>6.8592449057256227E-2</v>
          </cell>
          <cell r="L55">
            <v>6.5954277939669445E-2</v>
          </cell>
          <cell r="M55">
            <v>6.4661056803597503E-2</v>
          </cell>
          <cell r="N55">
            <v>6.3393192944703428E-2</v>
          </cell>
          <cell r="O55">
            <v>6.2150189161473947E-2</v>
          </cell>
        </row>
        <row r="56">
          <cell r="A56" t="str">
            <v>∆ Working Capital</v>
          </cell>
          <cell r="B56">
            <v>-299.65600000000006</v>
          </cell>
          <cell r="C56">
            <v>-268.66700000000009</v>
          </cell>
          <cell r="D56">
            <v>437.911</v>
          </cell>
          <cell r="E56">
            <v>-99</v>
          </cell>
          <cell r="F56">
            <v>274</v>
          </cell>
          <cell r="G56">
            <v>-122</v>
          </cell>
          <cell r="H56">
            <v>-112.6</v>
          </cell>
          <cell r="I56">
            <v>-79</v>
          </cell>
          <cell r="J56">
            <v>302.76837939102734</v>
          </cell>
          <cell r="K56">
            <v>-82.0215410815686</v>
          </cell>
          <cell r="L56">
            <v>-85.302402724831339</v>
          </cell>
          <cell r="M56">
            <v>-87.008450779327958</v>
          </cell>
          <cell r="N56">
            <v>-88.748619794914518</v>
          </cell>
          <cell r="O56">
            <v>-90.52359219081282</v>
          </cell>
        </row>
        <row r="57">
          <cell r="A57" t="str">
            <v>% of Revenue</v>
          </cell>
          <cell r="B57">
            <v>-2.5753824665043695E-2</v>
          </cell>
          <cell r="C57">
            <v>-1.9648794087231768E-2</v>
          </cell>
          <cell r="D57">
            <v>3.1623022599747225E-2</v>
          </cell>
          <cell r="E57">
            <v>-6.8489791112363455E-3</v>
          </cell>
          <cell r="F57">
            <v>1.7283430728198879E-2</v>
          </cell>
          <cell r="G57">
            <v>-7.49938529628719E-3</v>
          </cell>
          <cell r="H57">
            <v>-7.0273981152093861E-3</v>
          </cell>
          <cell r="I57">
            <v>-4.9573293172690764E-3</v>
          </cell>
          <cell r="J57">
            <v>1.9075141350389475E-2</v>
          </cell>
          <cell r="K57">
            <v>-5.0000000000000001E-3</v>
          </cell>
          <cell r="L57">
            <v>-5.0000000000000001E-3</v>
          </cell>
          <cell r="M57">
            <v>-5.0000000000000001E-3</v>
          </cell>
          <cell r="N57">
            <v>-5.0000000000000001E-3</v>
          </cell>
          <cell r="O57">
            <v>-5.0000000000000001E-3</v>
          </cell>
        </row>
        <row r="58">
          <cell r="A58" t="str">
            <v>Free Cash Flow</v>
          </cell>
          <cell r="B58">
            <v>-739.09778418171379</v>
          </cell>
          <cell r="C58">
            <v>-1370.1918815091924</v>
          </cell>
          <cell r="D58">
            <v>328.48320877578016</v>
          </cell>
          <cell r="E58">
            <v>549.39613583530854</v>
          </cell>
          <cell r="F58">
            <v>1764.8572086798049</v>
          </cell>
          <cell r="G58">
            <v>1327.8040422244198</v>
          </cell>
          <cell r="H58">
            <v>849.34101668444362</v>
          </cell>
          <cell r="I58">
            <v>452.08967311150946</v>
          </cell>
          <cell r="J58">
            <v>947.08200823120865</v>
          </cell>
          <cell r="K58">
            <v>628.20757891766448</v>
          </cell>
          <cell r="L58">
            <v>848.91635430422548</v>
          </cell>
          <cell r="M58">
            <v>1016.3080307803006</v>
          </cell>
          <cell r="N58">
            <v>1159.7244553547412</v>
          </cell>
          <cell r="O58">
            <v>1327.1822247463122</v>
          </cell>
        </row>
        <row r="60">
          <cell r="A60" t="str">
            <v>Beginning Cash</v>
          </cell>
          <cell r="B60">
            <v>565.25299999999925</v>
          </cell>
          <cell r="C60">
            <v>450.35199999999878</v>
          </cell>
          <cell r="D60">
            <v>408.7939999999985</v>
          </cell>
          <cell r="E60">
            <v>1035.7299999999987</v>
          </cell>
          <cell r="F60">
            <v>3027.3</v>
          </cell>
          <cell r="G60">
            <v>2260.92</v>
          </cell>
          <cell r="H60">
            <v>2244.7634414565282</v>
          </cell>
          <cell r="I60">
            <v>2035.3224414565286</v>
          </cell>
          <cell r="J60">
            <v>2030.3224414565279</v>
          </cell>
          <cell r="K60">
            <v>0</v>
          </cell>
          <cell r="L60">
            <v>-207.11201776170356</v>
          </cell>
          <cell r="M60">
            <v>-207.11201776170401</v>
          </cell>
          <cell r="N60">
            <v>-207.11201776170458</v>
          </cell>
          <cell r="O60">
            <v>-207.11201776170458</v>
          </cell>
        </row>
        <row r="61">
          <cell r="A61" t="str">
            <v>Net Cash Flow Impact of Leases</v>
          </cell>
          <cell r="B61">
            <v>1.1368683772161603E-13</v>
          </cell>
          <cell r="C61">
            <v>0</v>
          </cell>
          <cell r="D61">
            <v>4.5474735088646412E-13</v>
          </cell>
          <cell r="E61">
            <v>-2.8421709430404007E-13</v>
          </cell>
          <cell r="F61">
            <v>-1.7053025658242404E-13</v>
          </cell>
          <cell r="G61">
            <v>6.8212102632969618E-13</v>
          </cell>
          <cell r="H61">
            <v>0</v>
          </cell>
          <cell r="I61">
            <v>-5.6843418860808015E-13</v>
          </cell>
          <cell r="J61">
            <v>2.2737367544323206E-13</v>
          </cell>
          <cell r="K61">
            <v>-207.11201776170356</v>
          </cell>
          <cell r="L61">
            <v>-4.5474735088646412E-13</v>
          </cell>
          <cell r="M61">
            <v>-5.6843418860808015E-13</v>
          </cell>
          <cell r="N61">
            <v>0</v>
          </cell>
          <cell r="O61">
            <v>0</v>
          </cell>
        </row>
        <row r="62">
          <cell r="A62" t="str">
            <v>Reported Changes in Cash</v>
          </cell>
          <cell r="B62">
            <v>-114.90100000000059</v>
          </cell>
          <cell r="C62">
            <v>-41.558000000000249</v>
          </cell>
          <cell r="D62">
            <v>626.93599999999969</v>
          </cell>
          <cell r="E62">
            <v>1991.570000000002</v>
          </cell>
          <cell r="F62">
            <v>-766.38000000000011</v>
          </cell>
          <cell r="G62">
            <v>-16.156558543472556</v>
          </cell>
          <cell r="H62">
            <v>-209.44099999999966</v>
          </cell>
          <cell r="I62">
            <v>-5</v>
          </cell>
          <cell r="J62">
            <v>-446.03505152747766</v>
          </cell>
          <cell r="K62">
            <v>0</v>
          </cell>
          <cell r="L62">
            <v>0</v>
          </cell>
          <cell r="M62">
            <v>0</v>
          </cell>
          <cell r="N62">
            <v>0</v>
          </cell>
          <cell r="O62">
            <v>0</v>
          </cell>
        </row>
        <row r="63">
          <cell r="A63" t="str">
            <v>Ending Cash</v>
          </cell>
          <cell r="B63">
            <v>450.35199999999878</v>
          </cell>
          <cell r="C63">
            <v>408.7939999999985</v>
          </cell>
          <cell r="D63">
            <v>1035.7299999999987</v>
          </cell>
          <cell r="E63">
            <v>3027.3</v>
          </cell>
          <cell r="F63">
            <v>2260.92</v>
          </cell>
          <cell r="G63">
            <v>2244.7634414565282</v>
          </cell>
          <cell r="H63">
            <v>2035.3224414565286</v>
          </cell>
          <cell r="I63">
            <v>2030.3224414565279</v>
          </cell>
          <cell r="J63">
            <v>0</v>
          </cell>
          <cell r="K63">
            <v>-207.11201776170356</v>
          </cell>
          <cell r="L63">
            <v>-207.11201776170401</v>
          </cell>
          <cell r="M63">
            <v>-207.11201776170458</v>
          </cell>
          <cell r="N63">
            <v>-207.11201776170458</v>
          </cell>
          <cell r="O63">
            <v>-207.11201776170458</v>
          </cell>
        </row>
        <row r="65">
          <cell r="A65" t="str">
            <v>Debt Outstanding</v>
          </cell>
          <cell r="B65">
            <v>953.88599999999997</v>
          </cell>
          <cell r="C65">
            <v>1810.15</v>
          </cell>
          <cell r="D65">
            <v>2003.2859999999998</v>
          </cell>
          <cell r="E65">
            <v>3395.7730000000001</v>
          </cell>
          <cell r="F65">
            <v>2769.7779999999998</v>
          </cell>
          <cell r="G65">
            <v>1886</v>
          </cell>
          <cell r="H65">
            <v>513</v>
          </cell>
          <cell r="I65">
            <v>513</v>
          </cell>
          <cell r="J65">
            <v>0</v>
          </cell>
          <cell r="K65">
            <v>0</v>
          </cell>
          <cell r="L65">
            <v>0</v>
          </cell>
          <cell r="M65">
            <v>0</v>
          </cell>
          <cell r="N65">
            <v>0</v>
          </cell>
          <cell r="O65">
            <v>0</v>
          </cell>
        </row>
        <row r="66">
          <cell r="A66" t="str">
            <v>New Debt Issued</v>
          </cell>
          <cell r="J66">
            <v>9033.5347946726542</v>
          </cell>
          <cell r="K66">
            <v>0</v>
          </cell>
          <cell r="L66">
            <v>0</v>
          </cell>
          <cell r="M66">
            <v>0</v>
          </cell>
          <cell r="N66">
            <v>0</v>
          </cell>
          <cell r="O66">
            <v>0</v>
          </cell>
        </row>
        <row r="67">
          <cell r="A67" t="str">
            <v>Less: Debt Repayments</v>
          </cell>
          <cell r="K67">
            <v>-628.20757891766448</v>
          </cell>
          <cell r="L67">
            <v>-848.91635430422548</v>
          </cell>
          <cell r="M67">
            <v>-1016.3080307803006</v>
          </cell>
          <cell r="N67">
            <v>-1159.7244553547412</v>
          </cell>
          <cell r="O67">
            <v>-1327.1822247463122</v>
          </cell>
        </row>
        <row r="68">
          <cell r="A68" t="str">
            <v>Total Non-Lease Debt</v>
          </cell>
          <cell r="B68">
            <v>953.88599999999997</v>
          </cell>
          <cell r="C68">
            <v>1810.15</v>
          </cell>
          <cell r="D68">
            <v>2003.2859999999998</v>
          </cell>
          <cell r="E68">
            <v>3395.7730000000001</v>
          </cell>
          <cell r="F68">
            <v>2769.7779999999998</v>
          </cell>
          <cell r="G68">
            <v>1886</v>
          </cell>
          <cell r="H68">
            <v>513</v>
          </cell>
          <cell r="I68">
            <v>513</v>
          </cell>
          <cell r="J68">
            <v>9033.5347946726542</v>
          </cell>
          <cell r="K68">
            <v>8405.3272157549891</v>
          </cell>
          <cell r="L68">
            <v>7556.4108614507641</v>
          </cell>
          <cell r="M68">
            <v>6540.1028306704638</v>
          </cell>
          <cell r="N68">
            <v>5380.3783753157222</v>
          </cell>
          <cell r="O68">
            <v>4053.1961505694098</v>
          </cell>
        </row>
        <row r="69">
          <cell r="A69" t="str">
            <v>Operating Lease Liabilities</v>
          </cell>
          <cell r="B69">
            <v>3443.599827239233</v>
          </cell>
          <cell r="C69">
            <v>4098.6349809946478</v>
          </cell>
          <cell r="D69">
            <v>3974.3179046330256</v>
          </cell>
          <cell r="E69">
            <v>4204.7328310989724</v>
          </cell>
          <cell r="F69">
            <v>4175.243059005642</v>
          </cell>
          <cell r="G69">
            <v>4136.4393091984512</v>
          </cell>
          <cell r="H69">
            <v>4277.9366478196389</v>
          </cell>
          <cell r="I69">
            <v>4497.3415675542692</v>
          </cell>
          <cell r="J69">
            <v>4613.0598343848833</v>
          </cell>
          <cell r="K69">
            <v>4391.5072475956094</v>
          </cell>
          <cell r="L69">
            <v>4376.4986124814768</v>
          </cell>
          <cell r="M69">
            <v>4360.8174793424478</v>
          </cell>
          <cell r="N69">
            <v>4344.3631415311884</v>
          </cell>
          <cell r="O69">
            <v>4327.0371407512275</v>
          </cell>
        </row>
        <row r="70">
          <cell r="A70" t="str">
            <v>Total Debt Outstanding</v>
          </cell>
          <cell r="B70">
            <v>4397.485827239233</v>
          </cell>
          <cell r="C70">
            <v>5908.7849809946474</v>
          </cell>
          <cell r="D70">
            <v>5977.6039046330252</v>
          </cell>
          <cell r="E70">
            <v>7600.5058310989725</v>
          </cell>
          <cell r="F70">
            <v>6945.0210590056413</v>
          </cell>
          <cell r="G70">
            <v>6022.4393091984512</v>
          </cell>
          <cell r="H70">
            <v>4790.9366478196389</v>
          </cell>
          <cell r="I70">
            <v>5010.3415675542692</v>
          </cell>
          <cell r="J70">
            <v>13646.594629057538</v>
          </cell>
          <cell r="K70">
            <v>12796.834463350599</v>
          </cell>
          <cell r="L70">
            <v>11932.909473932241</v>
          </cell>
          <cell r="M70">
            <v>10900.920310012913</v>
          </cell>
          <cell r="N70">
            <v>9724.7415168469106</v>
          </cell>
          <cell r="O70">
            <v>8380.2332913206374</v>
          </cell>
        </row>
        <row r="72">
          <cell r="A72" t="str">
            <v>Book Value of Equity</v>
          </cell>
          <cell r="B72">
            <v>2233.045000000001</v>
          </cell>
          <cell r="C72">
            <v>2928.239</v>
          </cell>
          <cell r="D72">
            <v>3009.5810000000001</v>
          </cell>
          <cell r="E72">
            <v>3658.2120000000004</v>
          </cell>
          <cell r="F72">
            <v>4648</v>
          </cell>
          <cell r="G72">
            <v>4936</v>
          </cell>
          <cell r="H72">
            <v>5425</v>
          </cell>
          <cell r="I72">
            <v>5174</v>
          </cell>
          <cell r="J72">
            <v>5848.5405553103737</v>
          </cell>
          <cell r="K72">
            <v>6192.246674804459</v>
          </cell>
          <cell r="L72">
            <v>6734.7298711403037</v>
          </cell>
          <cell r="M72">
            <v>7429.7760858641914</v>
          </cell>
          <cell r="N72">
            <v>8260.1838248650965</v>
          </cell>
          <cell r="O72">
            <v>9184.0401033013077</v>
          </cell>
        </row>
        <row r="74">
          <cell r="A74" t="str">
            <v>% of Sales</v>
          </cell>
        </row>
        <row r="75">
          <cell r="A75" t="str">
            <v>Gross Margin</v>
          </cell>
          <cell r="B75">
            <v>0.41770260028922085</v>
          </cell>
          <cell r="C75">
            <v>0.37108515328234409</v>
          </cell>
          <cell r="D75">
            <v>0.29921350990557816</v>
          </cell>
          <cell r="E75">
            <v>0.33989968251868657</v>
          </cell>
          <cell r="F75">
            <v>0.37638783110227797</v>
          </cell>
          <cell r="G75">
            <v>0.39230390951561345</v>
          </cell>
          <cell r="H75">
            <v>0.36634837421207017</v>
          </cell>
          <cell r="I75">
            <v>0.35466867469879521</v>
          </cell>
          <cell r="J75">
            <v>0.35459553240123848</v>
          </cell>
          <cell r="K75">
            <v>0.36122016396813394</v>
          </cell>
          <cell r="L75">
            <v>0.3662220540408081</v>
          </cell>
          <cell r="M75">
            <v>0.36872299907714534</v>
          </cell>
          <cell r="N75">
            <v>0.3687229990771454</v>
          </cell>
          <cell r="O75">
            <v>0.36872299907714545</v>
          </cell>
        </row>
        <row r="76">
          <cell r="A76" t="str">
            <v>SG&amp;A Ratio (Net of Cost Savings)</v>
          </cell>
          <cell r="B76">
            <v>0.26156664344442709</v>
          </cell>
          <cell r="C76">
            <v>0.26542345536535739</v>
          </cell>
          <cell r="D76">
            <v>0.27484171915735106</v>
          </cell>
          <cell r="E76">
            <v>0.26984438081735168</v>
          </cell>
          <cell r="F76">
            <v>0.25778981254037797</v>
          </cell>
          <cell r="G76">
            <v>0.26413818539463979</v>
          </cell>
          <cell r="H76">
            <v>0.26118704362478934</v>
          </cell>
          <cell r="I76">
            <v>0.28237951807228917</v>
          </cell>
          <cell r="J76">
            <v>0.27364296747396338</v>
          </cell>
          <cell r="K76">
            <v>0.27014164442309135</v>
          </cell>
          <cell r="L76">
            <v>0.2641393763358823</v>
          </cell>
          <cell r="M76">
            <v>0.26113824229227772</v>
          </cell>
          <cell r="N76">
            <v>0.25913748626320798</v>
          </cell>
          <cell r="O76">
            <v>0.25813710824867314</v>
          </cell>
        </row>
        <row r="77">
          <cell r="A77" t="str">
            <v>Lease Adjustments</v>
          </cell>
          <cell r="B77">
            <v>-1.6242165757378173E-2</v>
          </cell>
          <cell r="C77">
            <v>-1.8774298585927003E-2</v>
          </cell>
          <cell r="D77">
            <v>-2.3371353018280697E-2</v>
          </cell>
          <cell r="E77">
            <v>-2.08044384244543E-2</v>
          </cell>
          <cell r="F77">
            <v>-1.6381719394076517E-2</v>
          </cell>
          <cell r="G77">
            <v>-1.4475001488034192E-2</v>
          </cell>
          <cell r="H77">
            <v>-1.4023402852036579E-2</v>
          </cell>
          <cell r="I77">
            <v>-1.3416165187199557E-2</v>
          </cell>
          <cell r="J77">
            <v>-1.4027462771802487E-2</v>
          </cell>
          <cell r="K77">
            <v>-1.2542769073382219E-2</v>
          </cell>
          <cell r="L77">
            <v>-1.2958141239155183E-2</v>
          </cell>
          <cell r="M77">
            <v>-1.4315488174452164E-2</v>
          </cell>
          <cell r="N77">
            <v>-1.6179211303452911E-2</v>
          </cell>
          <cell r="O77">
            <v>-1.4713984567163701E-2</v>
          </cell>
        </row>
        <row r="78">
          <cell r="A78" t="str">
            <v>Operating Margin</v>
          </cell>
          <cell r="B78">
            <v>0.17237812260217197</v>
          </cell>
          <cell r="C78">
            <v>0.1244359965029137</v>
          </cell>
          <cell r="D78">
            <v>4.7743143766507797E-2</v>
          </cell>
          <cell r="E78">
            <v>9.0859740125789151E-2</v>
          </cell>
          <cell r="F78">
            <v>0.13497973795597654</v>
          </cell>
          <cell r="G78">
            <v>0.14264072560900787</v>
          </cell>
          <cell r="H78">
            <v>0.11918473343931738</v>
          </cell>
          <cell r="I78">
            <v>8.5705321813705548E-2</v>
          </cell>
          <cell r="J78">
            <v>9.498002769907761E-2</v>
          </cell>
          <cell r="K78">
            <v>0.10362128861842479</v>
          </cell>
          <cell r="L78">
            <v>0.115040818944081</v>
          </cell>
          <cell r="M78">
            <v>0.12190024495931977</v>
          </cell>
          <cell r="N78">
            <v>0.12576472411739034</v>
          </cell>
          <cell r="O78">
            <v>0.125299875395636</v>
          </cell>
        </row>
        <row r="79">
          <cell r="A79" t="str">
            <v>D&amp;A (Non-lease and Lease Related)</v>
          </cell>
          <cell r="B79">
            <v>6.660794388218895E-2</v>
          </cell>
          <cell r="C79">
            <v>7.262612237555606E-2</v>
          </cell>
          <cell r="D79">
            <v>8.7042867120088768E-2</v>
          </cell>
          <cell r="E79">
            <v>8.4489967709906494E-2</v>
          </cell>
          <cell r="F79">
            <v>7.716327246694149E-2</v>
          </cell>
          <cell r="G79">
            <v>7.3673510928980807E-2</v>
          </cell>
          <cell r="H79">
            <v>7.9030332403533535E-2</v>
          </cell>
          <cell r="I79">
            <v>7.7823794652157871E-2</v>
          </cell>
          <cell r="J79">
            <v>8.0482935599200639E-2</v>
          </cell>
          <cell r="K79">
            <v>9.0935543058663013E-2</v>
          </cell>
          <cell r="L79">
            <v>8.8915856287988287E-2</v>
          </cell>
          <cell r="M79">
            <v>8.8122586297508437E-2</v>
          </cell>
          <cell r="N79">
            <v>8.6946535921464119E-2</v>
          </cell>
          <cell r="O79">
            <v>8.9427583183793485E-2</v>
          </cell>
        </row>
        <row r="80">
          <cell r="A80" t="str">
            <v>EBITDAR Margin</v>
          </cell>
          <cell r="B80">
            <v>0.23898606648436091</v>
          </cell>
          <cell r="C80">
            <v>0.19706211887846975</v>
          </cell>
          <cell r="D80">
            <v>0.13478601088659656</v>
          </cell>
          <cell r="E80">
            <v>0.17534970783569562</v>
          </cell>
          <cell r="F80">
            <v>0.21214301042291803</v>
          </cell>
          <cell r="G80">
            <v>0.2163142365379887</v>
          </cell>
          <cell r="H80">
            <v>0.1982150658428509</v>
          </cell>
          <cell r="I80">
            <v>0.16352911646586343</v>
          </cell>
          <cell r="J80">
            <v>0.17546296329827824</v>
          </cell>
          <cell r="K80">
            <v>0.19455683167708782</v>
          </cell>
          <cell r="L80">
            <v>0.20395667523206931</v>
          </cell>
          <cell r="M80">
            <v>0.21002283125682825</v>
          </cell>
          <cell r="N80">
            <v>0.21271126003885446</v>
          </cell>
          <cell r="O80">
            <v>0.21472745857942949</v>
          </cell>
        </row>
        <row r="81">
          <cell r="A81" t="str">
            <v>EBITDA Margin</v>
          </cell>
          <cell r="B81">
            <v>0.19068569893354742</v>
          </cell>
          <cell r="C81">
            <v>0.14544679985899697</v>
          </cell>
          <cell r="D81">
            <v>7.7881886969634398E-2</v>
          </cell>
          <cell r="E81">
            <v>0.11889751637338393</v>
          </cell>
          <cell r="F81">
            <v>0.1611758132390323</v>
          </cell>
          <cell r="G81">
            <v>0.16597000245881485</v>
          </cell>
          <cell r="H81">
            <v>0.14416775884665792</v>
          </cell>
          <cell r="I81">
            <v>0.10554718875502005</v>
          </cell>
          <cell r="J81">
            <v>0.11549749806999214</v>
          </cell>
          <cell r="K81">
            <v>0.12858662288405293</v>
          </cell>
          <cell r="L81">
            <v>0.14052378216184347</v>
          </cell>
          <cell r="M81">
            <v>0.14783372040366566</v>
          </cell>
          <cell r="N81">
            <v>0.15174154351614605</v>
          </cell>
          <cell r="O81">
            <v>0.15495322669442124</v>
          </cell>
        </row>
        <row r="83">
          <cell r="A83" t="str">
            <v>Credit Ratios</v>
          </cell>
        </row>
        <row r="84">
          <cell r="A84" t="str">
            <v>Adjusted Leverage Ratio</v>
          </cell>
          <cell r="B84">
            <v>1.5814323695846271</v>
          </cell>
          <cell r="C84">
            <v>2.1928888217960245</v>
          </cell>
          <cell r="D84">
            <v>3.2025788975996354</v>
          </cell>
          <cell r="E84">
            <v>2.99866601033089</v>
          </cell>
          <cell r="F84">
            <v>2.0650198470271359</v>
          </cell>
          <cell r="G84">
            <v>1.7114064533101594</v>
          </cell>
          <cell r="H84">
            <v>1.5084813122857805</v>
          </cell>
          <cell r="I84">
            <v>1.9226176391228973</v>
          </cell>
          <cell r="J84">
            <v>4.9000000000000004</v>
          </cell>
          <cell r="K84">
            <v>4.0095731979696279</v>
          </cell>
          <cell r="L84">
            <v>3.4293922523278226</v>
          </cell>
          <cell r="M84">
            <v>2.9826701260500856</v>
          </cell>
          <cell r="N84">
            <v>2.5757041815585269</v>
          </cell>
          <cell r="O84">
            <v>2.1556425607934302</v>
          </cell>
        </row>
        <row r="85">
          <cell r="A85" t="str">
            <v>EBITDAR/Interest Expense</v>
          </cell>
          <cell r="B85">
            <v>87.567249252086285</v>
          </cell>
          <cell r="C85">
            <v>42.854523188498</v>
          </cell>
          <cell r="D85">
            <v>19.468026075619292</v>
          </cell>
          <cell r="E85">
            <v>11.969686523040886</v>
          </cell>
          <cell r="F85">
            <v>17.132827305145188</v>
          </cell>
          <cell r="G85">
            <v>32.583333333333336</v>
          </cell>
          <cell r="H85">
            <v>-66.166666666666671</v>
          </cell>
          <cell r="I85">
            <v>-29.280898876404489</v>
          </cell>
          <cell r="J85">
            <v>-32.173659484208265</v>
          </cell>
          <cell r="K85">
            <v>3.8521643464713864</v>
          </cell>
          <cell r="L85">
            <v>4.4264818078440396</v>
          </cell>
          <cell r="M85">
            <v>5.1427172825205885</v>
          </cell>
          <cell r="N85">
            <v>6.1470366934860063</v>
          </cell>
          <cell r="O85">
            <v>7.659597690035457</v>
          </cell>
        </row>
        <row r="86">
          <cell r="A86" t="str">
            <v>(EBITDAR-Capex)/Interest Expense</v>
          </cell>
          <cell r="B86">
            <v>15.126732143347656</v>
          </cell>
          <cell r="C86">
            <v>-3.9966675591966969</v>
          </cell>
          <cell r="D86">
            <v>5.6437545516435605</v>
          </cell>
          <cell r="E86">
            <v>7.0389188020741225</v>
          </cell>
          <cell r="F86">
            <v>13.404067549467147</v>
          </cell>
          <cell r="G86">
            <v>24.081993870960705</v>
          </cell>
          <cell r="H86">
            <v>-39.357376854320215</v>
          </cell>
          <cell r="I86">
            <v>-13.869434153680395</v>
          </cell>
          <cell r="J86">
            <v>-15.836345360925153</v>
          </cell>
          <cell r="K86">
            <v>2.4940553331931108</v>
          </cell>
          <cell r="L86">
            <v>2.9950728524016634</v>
          </cell>
          <cell r="M86">
            <v>3.5593964009766919</v>
          </cell>
          <cell r="N86">
            <v>4.3150684042795477</v>
          </cell>
          <cell r="O86">
            <v>5.4426225137544995</v>
          </cell>
        </row>
        <row r="87">
          <cell r="A87" t="str">
            <v>Net Debt/EBITDAR</v>
          </cell>
          <cell r="B87">
            <v>1.4194759111702293</v>
          </cell>
          <cell r="C87">
            <v>2.0411757714987742</v>
          </cell>
          <cell r="D87">
            <v>2.6476731034837062</v>
          </cell>
          <cell r="E87">
            <v>1.8042900286783481</v>
          </cell>
          <cell r="F87">
            <v>1.3927620334260555</v>
          </cell>
          <cell r="G87">
            <v>1.0735083454793757</v>
          </cell>
          <cell r="H87">
            <v>0.86763671484984584</v>
          </cell>
          <cell r="I87">
            <v>1.1435223047190106</v>
          </cell>
          <cell r="J87">
            <v>4.9000000000000004</v>
          </cell>
          <cell r="K87">
            <v>4.0744666525011404</v>
          </cell>
          <cell r="L87">
            <v>3.4889140605362541</v>
          </cell>
          <cell r="M87">
            <v>3.0393393622756149</v>
          </cell>
          <cell r="N87">
            <v>2.6305600653139662</v>
          </cell>
          <cell r="O87">
            <v>2.2089178652889903</v>
          </cell>
        </row>
        <row r="88">
          <cell r="A88" t="str">
            <v>Debt/Cap Ratio</v>
          </cell>
          <cell r="B88">
            <v>0.66321776367793794</v>
          </cell>
          <cell r="C88">
            <v>0.66863969065857243</v>
          </cell>
          <cell r="D88">
            <v>0.66512528317420994</v>
          </cell>
          <cell r="E88">
            <v>0.67507738848421617</v>
          </cell>
          <cell r="F88">
            <v>0.59906913164887587</v>
          </cell>
          <cell r="G88">
            <v>0.54957089593435537</v>
          </cell>
          <cell r="H88">
            <v>0.46896694967682245</v>
          </cell>
          <cell r="I88">
            <v>0.49196519326457389</v>
          </cell>
          <cell r="J88">
            <v>0.7</v>
          </cell>
          <cell r="K88">
            <v>0.67390488092853096</v>
          </cell>
          <cell r="L88">
            <v>0.63922969869685298</v>
          </cell>
          <cell r="M88">
            <v>0.59468118802429792</v>
          </cell>
          <cell r="N88">
            <v>0.54071625720305616</v>
          </cell>
          <cell r="O88">
            <v>0.47711813082382359</v>
          </cell>
        </row>
        <row r="89">
          <cell r="A89" t="str">
            <v>FCF/Debt</v>
          </cell>
          <cell r="B89">
            <v>-0.1680728064212372</v>
          </cell>
          <cell r="C89">
            <v>-0.23189063164700621</v>
          </cell>
          <cell r="D89">
            <v>5.4952321033045474E-2</v>
          </cell>
          <cell r="E89">
            <v>7.2284154245016913E-2</v>
          </cell>
          <cell r="F89">
            <v>0.25411833796980449</v>
          </cell>
          <cell r="G89">
            <v>0.22047611840544099</v>
          </cell>
          <cell r="H89">
            <v>0.17728078643473186</v>
          </cell>
          <cell r="I89">
            <v>9.0231307988886469E-2</v>
          </cell>
          <cell r="J89">
            <v>6.9400611212895397E-2</v>
          </cell>
          <cell r="K89">
            <v>4.9090857642709609E-2</v>
          </cell>
          <cell r="L89">
            <v>7.1140768825801115E-2</v>
          </cell>
          <cell r="M89">
            <v>9.3231397155227588E-2</v>
          </cell>
          <cell r="N89">
            <v>0.11925504172482757</v>
          </cell>
          <cell r="O89">
            <v>0.15837055826606494</v>
          </cell>
        </row>
        <row r="91">
          <cell r="A91" t="str">
            <v>Historical Valuation</v>
          </cell>
        </row>
        <row r="92">
          <cell r="A92" t="str">
            <v>Average Annual Stock Price</v>
          </cell>
          <cell r="B92">
            <v>39.920790513833992</v>
          </cell>
          <cell r="C92">
            <v>32.540395256916995</v>
          </cell>
          <cell r="D92">
            <v>22.2519758064516</v>
          </cell>
          <cell r="E92">
            <v>13.12814229249012</v>
          </cell>
          <cell r="F92">
            <v>17.245375494071162</v>
          </cell>
          <cell r="G92">
            <v>20.918300395256932</v>
          </cell>
          <cell r="H92">
            <v>19.604980237154148</v>
          </cell>
        </row>
        <row r="93">
          <cell r="A93" t="str">
            <v>% Change</v>
          </cell>
          <cell r="C93">
            <v>-0.18487597970685032</v>
          </cell>
          <cell r="D93">
            <v>-0.31617377014738079</v>
          </cell>
          <cell r="E93">
            <v>-0.4100235230040189</v>
          </cell>
          <cell r="F93">
            <v>0.31361887385515952</v>
          </cell>
          <cell r="G93">
            <v>0.21298027998569791</v>
          </cell>
          <cell r="H93">
            <v>-6.2783310942440052E-2</v>
          </cell>
        </row>
        <row r="94">
          <cell r="A94" t="str">
            <v>Shares Outstanding</v>
          </cell>
          <cell r="B94">
            <v>895.02917600000001</v>
          </cell>
          <cell r="C94">
            <v>878.25879175</v>
          </cell>
          <cell r="D94">
            <v>871.63937850000002</v>
          </cell>
          <cell r="E94">
            <v>923.89904899999999</v>
          </cell>
          <cell r="F94">
            <v>987.97424924999996</v>
          </cell>
          <cell r="G94">
            <v>991.12157300000001</v>
          </cell>
          <cell r="H94">
            <v>902.30899999999997</v>
          </cell>
        </row>
        <row r="95">
          <cell r="A95" t="str">
            <v>Average Cash Balance</v>
          </cell>
          <cell r="B95">
            <v>507.80249999999899</v>
          </cell>
          <cell r="C95">
            <v>429.5729999999985</v>
          </cell>
          <cell r="D95">
            <v>722.26199999999835</v>
          </cell>
          <cell r="E95">
            <v>2031.5149999999992</v>
          </cell>
          <cell r="F95">
            <v>2644.11</v>
          </cell>
          <cell r="G95">
            <v>2252.8417207282637</v>
          </cell>
          <cell r="H95">
            <v>2140.0429414565274</v>
          </cell>
        </row>
        <row r="96">
          <cell r="A96" t="str">
            <v>Average Debt Balance</v>
          </cell>
          <cell r="B96">
            <v>770.51549999999997</v>
          </cell>
          <cell r="C96">
            <v>1382.018</v>
          </cell>
          <cell r="D96">
            <v>1906.7179999999998</v>
          </cell>
          <cell r="E96">
            <v>2699.5295000000001</v>
          </cell>
          <cell r="F96">
            <v>3082.7754999999997</v>
          </cell>
          <cell r="G96">
            <v>2327.8890000000001</v>
          </cell>
          <cell r="H96">
            <v>1199.5</v>
          </cell>
        </row>
        <row r="97">
          <cell r="A97" t="str">
            <v>Average Operating Leases</v>
          </cell>
          <cell r="B97">
            <v>3067.6237158032773</v>
          </cell>
          <cell r="C97">
            <v>3771.1174041169406</v>
          </cell>
          <cell r="D97">
            <v>4036.4764428138369</v>
          </cell>
          <cell r="E97">
            <v>4089.5253678659992</v>
          </cell>
          <cell r="F97">
            <v>4189.9879450523076</v>
          </cell>
          <cell r="G97">
            <v>4155.8411841020461</v>
          </cell>
          <cell r="H97">
            <v>4207.187978509045</v>
          </cell>
        </row>
        <row r="98">
          <cell r="A98" t="str">
            <v>Average EV/EBITDAR (Adjusted)</v>
          </cell>
          <cell r="B98">
            <v>17.605146497535831</v>
          </cell>
          <cell r="C98">
            <v>12.359321239479774</v>
          </cell>
          <cell r="D98">
            <v>13.18867954523707</v>
          </cell>
          <cell r="E98">
            <v>6.6623628337852612</v>
          </cell>
          <cell r="F98">
            <v>6.442319175826646</v>
          </cell>
          <cell r="G98">
            <v>7.093909421883307</v>
          </cell>
          <cell r="H98">
            <v>6.5983611932804909</v>
          </cell>
        </row>
        <row r="100">
          <cell r="A100" t="str">
            <v>Lease Adjustments</v>
          </cell>
        </row>
        <row r="101">
          <cell r="A101" t="str">
            <v>Rent Expense Reversal</v>
          </cell>
          <cell r="B101">
            <v>-561.99400000000003</v>
          </cell>
          <cell r="C101">
            <v>-705.76</v>
          </cell>
          <cell r="D101">
            <v>-788</v>
          </cell>
          <cell r="E101">
            <v>-816</v>
          </cell>
          <cell r="F101">
            <v>-808</v>
          </cell>
          <cell r="G101">
            <v>-819</v>
          </cell>
          <cell r="H101">
            <v>-866</v>
          </cell>
          <cell r="I101">
            <v>-924</v>
          </cell>
          <cell r="J101">
            <v>-951.7961829533956</v>
          </cell>
          <cell r="K101">
            <v>-1082.1956381355135</v>
          </cell>
          <cell r="L101">
            <v>-1082.1956381355135</v>
          </cell>
          <cell r="M101">
            <v>-1082.1956381355135</v>
          </cell>
          <cell r="N101">
            <v>-1082.1956381355135</v>
          </cell>
          <cell r="O101">
            <v>-1082.1956381355135</v>
          </cell>
        </row>
        <row r="102">
          <cell r="A102" t="str">
            <v>Depreciation from Leases</v>
          </cell>
          <cell r="B102">
            <v>373.00993703093354</v>
          </cell>
          <cell r="C102">
            <v>449.05037925727055</v>
          </cell>
          <cell r="D102">
            <v>464.3569156203896</v>
          </cell>
          <cell r="E102">
            <v>515.27789666609465</v>
          </cell>
          <cell r="F102">
            <v>548.29513095142738</v>
          </cell>
          <cell r="G102">
            <v>583.52067579265974</v>
          </cell>
          <cell r="H102">
            <v>641.30301610181789</v>
          </cell>
          <cell r="I102">
            <v>710.19999157678785</v>
          </cell>
          <cell r="J102">
            <v>729.14660503559469</v>
          </cell>
          <cell r="K102">
            <v>876.44018836970395</v>
          </cell>
          <cell r="L102">
            <v>861.12352162598143</v>
          </cell>
          <cell r="M102">
            <v>833.08194849373899</v>
          </cell>
          <cell r="N102">
            <v>795.01910362516833</v>
          </cell>
          <cell r="O102">
            <v>815.80309044354544</v>
          </cell>
        </row>
        <row r="103">
          <cell r="A103" t="str">
            <v>Estimated Interest Expense on Leases</v>
          </cell>
          <cell r="B103">
            <v>252.3196020839157</v>
          </cell>
          <cell r="C103">
            <v>297.10468430336221</v>
          </cell>
          <cell r="D103">
            <v>295.33489127720406</v>
          </cell>
          <cell r="E103">
            <v>310.30513848035076</v>
          </cell>
          <cell r="F103">
            <v>307.5546878670703</v>
          </cell>
          <cell r="G103">
            <v>304.0515882565648</v>
          </cell>
          <cell r="H103">
            <v>320.651427628558</v>
          </cell>
          <cell r="I103">
            <v>343.78455941218658</v>
          </cell>
          <cell r="J103">
            <v>356.99395755553684</v>
          </cell>
          <cell r="K103">
            <v>342.54339346091484</v>
          </cell>
          <cell r="L103">
            <v>341.9753273743529</v>
          </cell>
          <cell r="M103">
            <v>341.3028293494566</v>
          </cell>
          <cell r="N103">
            <v>340.52962467722563</v>
          </cell>
          <cell r="O103">
            <v>339.65796170852423</v>
          </cell>
        </row>
        <row r="104">
          <cell r="A104" t="str">
            <v>Capex Implied by Leases</v>
          </cell>
          <cell r="B104">
            <v>-1061.6266207879953</v>
          </cell>
          <cell r="C104">
            <v>-1063.6904694520522</v>
          </cell>
          <cell r="D104">
            <v>-368.3480323611733</v>
          </cell>
          <cell r="E104">
            <v>-736.10978798559631</v>
          </cell>
          <cell r="F104">
            <v>-470.95554003959944</v>
          </cell>
          <cell r="G104">
            <v>-476.14466193624366</v>
          </cell>
          <cell r="H104">
            <v>-686.8459109926298</v>
          </cell>
          <cell r="I104">
            <v>-799.6203603224443</v>
          </cell>
          <cell r="J104">
            <v>-710.52049222847268</v>
          </cell>
          <cell r="K104">
            <v>-725.21167564702841</v>
          </cell>
          <cell r="L104">
            <v>-725.21167564702841</v>
          </cell>
          <cell r="M104">
            <v>-725.21167564702841</v>
          </cell>
          <cell r="N104">
            <v>-725.21167564702841</v>
          </cell>
          <cell r="O104">
            <v>-725.21167564702841</v>
          </cell>
        </row>
        <row r="105">
          <cell r="A105" t="str">
            <v>Operating Lease Liabilities</v>
          </cell>
          <cell r="B105">
            <v>3443.599827239233</v>
          </cell>
          <cell r="C105">
            <v>4098.6349809946478</v>
          </cell>
          <cell r="D105">
            <v>3974.3179046330256</v>
          </cell>
          <cell r="E105">
            <v>4204.7328310989724</v>
          </cell>
          <cell r="F105">
            <v>4175.243059005642</v>
          </cell>
          <cell r="G105">
            <v>4136.4393091984512</v>
          </cell>
          <cell r="H105">
            <v>4277.9366478196389</v>
          </cell>
          <cell r="I105">
            <v>4497.3415675542692</v>
          </cell>
          <cell r="J105">
            <v>4613.0598343848833</v>
          </cell>
          <cell r="K105">
            <v>4391.5072475956094</v>
          </cell>
          <cell r="L105">
            <v>4376.4986124814768</v>
          </cell>
          <cell r="M105">
            <v>4360.8174793424478</v>
          </cell>
          <cell r="N105">
            <v>4344.3631415311884</v>
          </cell>
          <cell r="O105">
            <v>4327.0371407512275</v>
          </cell>
        </row>
        <row r="107">
          <cell r="A107" t="str">
            <v>Rent Expense Reversal</v>
          </cell>
          <cell r="B107">
            <v>0</v>
          </cell>
          <cell r="C107">
            <v>0</v>
          </cell>
          <cell r="D107">
            <v>0</v>
          </cell>
          <cell r="E107">
            <v>0</v>
          </cell>
          <cell r="F107">
            <v>0</v>
          </cell>
          <cell r="G107">
            <v>0</v>
          </cell>
          <cell r="H107">
            <v>0</v>
          </cell>
          <cell r="I107">
            <v>0</v>
          </cell>
          <cell r="J107">
            <v>0</v>
          </cell>
          <cell r="K107">
            <v>0</v>
          </cell>
          <cell r="L107">
            <v>0</v>
          </cell>
          <cell r="M107">
            <v>0</v>
          </cell>
          <cell r="N107">
            <v>0</v>
          </cell>
          <cell r="O107">
            <v>0</v>
          </cell>
        </row>
        <row r="108">
          <cell r="A108" t="str">
            <v>Depreciation from Leases</v>
          </cell>
          <cell r="B108">
            <v>0</v>
          </cell>
          <cell r="C108">
            <v>0</v>
          </cell>
          <cell r="D108">
            <v>0</v>
          </cell>
          <cell r="E108">
            <v>0</v>
          </cell>
          <cell r="F108">
            <v>0</v>
          </cell>
          <cell r="G108">
            <v>0</v>
          </cell>
          <cell r="H108">
            <v>0</v>
          </cell>
          <cell r="I108">
            <v>0</v>
          </cell>
          <cell r="J108">
            <v>0</v>
          </cell>
          <cell r="K108">
            <v>0</v>
          </cell>
          <cell r="L108">
            <v>0</v>
          </cell>
          <cell r="M108">
            <v>0</v>
          </cell>
          <cell r="N108">
            <v>0</v>
          </cell>
          <cell r="O108">
            <v>0</v>
          </cell>
        </row>
        <row r="109">
          <cell r="A109" t="str">
            <v>Estimated Interest Expense on Leases</v>
          </cell>
          <cell r="B109">
            <v>0</v>
          </cell>
          <cell r="C109">
            <v>0</v>
          </cell>
          <cell r="D109">
            <v>0</v>
          </cell>
          <cell r="E109">
            <v>0</v>
          </cell>
          <cell r="F109">
            <v>0</v>
          </cell>
          <cell r="G109">
            <v>0</v>
          </cell>
          <cell r="H109">
            <v>0</v>
          </cell>
          <cell r="I109">
            <v>0</v>
          </cell>
          <cell r="J109">
            <v>0</v>
          </cell>
          <cell r="K109">
            <v>0</v>
          </cell>
          <cell r="L109">
            <v>0</v>
          </cell>
          <cell r="M109">
            <v>0</v>
          </cell>
          <cell r="N109">
            <v>0</v>
          </cell>
          <cell r="O109">
            <v>0</v>
          </cell>
        </row>
        <row r="110">
          <cell r="A110" t="str">
            <v>Capex Implied by Leases</v>
          </cell>
          <cell r="B110">
            <v>0</v>
          </cell>
          <cell r="C110">
            <v>0</v>
          </cell>
          <cell r="D110">
            <v>0</v>
          </cell>
          <cell r="E110">
            <v>0</v>
          </cell>
          <cell r="F110">
            <v>0</v>
          </cell>
          <cell r="G110">
            <v>0</v>
          </cell>
          <cell r="H110">
            <v>0</v>
          </cell>
          <cell r="I110">
            <v>0</v>
          </cell>
          <cell r="J110">
            <v>0</v>
          </cell>
          <cell r="K110">
            <v>0</v>
          </cell>
          <cell r="L110">
            <v>0</v>
          </cell>
          <cell r="M110">
            <v>0</v>
          </cell>
          <cell r="N110">
            <v>0</v>
          </cell>
          <cell r="O110">
            <v>0</v>
          </cell>
        </row>
        <row r="111">
          <cell r="A111" t="str">
            <v>Operating Lease Liabilities</v>
          </cell>
          <cell r="B111">
            <v>0</v>
          </cell>
          <cell r="C111">
            <v>0</v>
          </cell>
          <cell r="D111">
            <v>0</v>
          </cell>
          <cell r="E111">
            <v>0</v>
          </cell>
          <cell r="F111">
            <v>0</v>
          </cell>
          <cell r="G111">
            <v>0</v>
          </cell>
          <cell r="H111">
            <v>0</v>
          </cell>
          <cell r="I111">
            <v>0</v>
          </cell>
          <cell r="J111">
            <v>0</v>
          </cell>
          <cell r="K111">
            <v>0</v>
          </cell>
          <cell r="L111">
            <v>0</v>
          </cell>
          <cell r="M111">
            <v>0</v>
          </cell>
          <cell r="N111">
            <v>0</v>
          </cell>
          <cell r="O111">
            <v>0</v>
          </cell>
        </row>
        <row r="113">
          <cell r="A113" t="str">
            <v>Capex Estimate</v>
          </cell>
        </row>
        <row r="114">
          <cell r="A114" t="str">
            <v>New Store Capex</v>
          </cell>
          <cell r="C114">
            <v>270</v>
          </cell>
        </row>
        <row r="115">
          <cell r="A115" t="str">
            <v>New Stores</v>
          </cell>
          <cell r="C115">
            <v>175</v>
          </cell>
        </row>
        <row r="116">
          <cell r="A116" t="str">
            <v>Ave. Sq. Ft./Store</v>
          </cell>
          <cell r="C116">
            <v>1.2381264330167049E-2</v>
          </cell>
        </row>
        <row r="117">
          <cell r="A117" t="str">
            <v>Capex/Store</v>
          </cell>
          <cell r="C117">
            <v>1.5428571428571429</v>
          </cell>
        </row>
        <row r="118">
          <cell r="A118" t="str">
            <v>Capex/Sq. Ft.</v>
          </cell>
          <cell r="C118">
            <v>124.61224489795917</v>
          </cell>
        </row>
        <row r="120">
          <cell r="A120" t="str">
            <v>Control Box-DO NOT DELETE</v>
          </cell>
          <cell r="C120">
            <v>1</v>
          </cell>
        </row>
      </sheetData>
      <sheetData sheetId="7" refreshError="1"/>
      <sheetData sheetId="8">
        <row r="1">
          <cell r="A1" t="str">
            <v>LTM Revenue Contribution</v>
          </cell>
          <cell r="O1" t="str">
            <v>Q1</v>
          </cell>
          <cell r="P1" t="str">
            <v>Q2</v>
          </cell>
          <cell r="Q1" t="str">
            <v>Q3</v>
          </cell>
          <cell r="R1" t="str">
            <v>Q4</v>
          </cell>
          <cell r="S1" t="str">
            <v>FY</v>
          </cell>
        </row>
        <row r="2">
          <cell r="A2" t="str">
            <v>Gap North America</v>
          </cell>
          <cell r="B2">
            <v>0.33284920434453147</v>
          </cell>
          <cell r="O2">
            <v>0.22212262459662963</v>
          </cell>
          <cell r="P2">
            <v>0.22427393330942991</v>
          </cell>
          <cell r="Q2">
            <v>0.24937253495876657</v>
          </cell>
          <cell r="R2">
            <v>0.30423090713517392</v>
          </cell>
          <cell r="S2">
            <v>1</v>
          </cell>
        </row>
        <row r="3">
          <cell r="A3" t="str">
            <v>Gap International</v>
          </cell>
          <cell r="B3">
            <v>8.8279868653700425E-2</v>
          </cell>
          <cell r="O3">
            <v>0.23458038422649141</v>
          </cell>
          <cell r="P3">
            <v>0.23963599595551061</v>
          </cell>
          <cell r="Q3">
            <v>0.22345803842264914</v>
          </cell>
          <cell r="R3">
            <v>0.30232558139534882</v>
          </cell>
          <cell r="S3">
            <v>1</v>
          </cell>
        </row>
        <row r="4">
          <cell r="A4" t="str">
            <v xml:space="preserve">Banana Republic </v>
          </cell>
          <cell r="B4">
            <v>0.14725940894165193</v>
          </cell>
          <cell r="O4">
            <v>0.22278314310798947</v>
          </cell>
          <cell r="P4">
            <v>0.23266022827041263</v>
          </cell>
          <cell r="Q4">
            <v>0.23595258999122037</v>
          </cell>
          <cell r="R4">
            <v>0.3086040386303775</v>
          </cell>
          <cell r="S4">
            <v>1</v>
          </cell>
        </row>
        <row r="5">
          <cell r="A5" t="str">
            <v>Old Navy</v>
          </cell>
          <cell r="B5">
            <v>0.43091689820661783</v>
          </cell>
          <cell r="O5">
            <v>0.22825847239579505</v>
          </cell>
          <cell r="P5">
            <v>0.23259575093729323</v>
          </cell>
          <cell r="Q5">
            <v>0.24391678306255973</v>
          </cell>
          <cell r="R5">
            <v>0.29522899360435201</v>
          </cell>
          <cell r="S5">
            <v>1</v>
          </cell>
        </row>
        <row r="6">
          <cell r="A6" t="str">
            <v>Other (Inc. Forthe and Towne)</v>
          </cell>
          <cell r="B6">
            <v>8.2091437231624148E-4</v>
          </cell>
          <cell r="O6">
            <v>0</v>
          </cell>
          <cell r="P6">
            <v>0</v>
          </cell>
          <cell r="Q6">
            <v>0.25</v>
          </cell>
          <cell r="R6">
            <v>0.75</v>
          </cell>
          <cell r="S6">
            <v>1</v>
          </cell>
        </row>
        <row r="8">
          <cell r="A8" t="str">
            <v>Consolidated</v>
          </cell>
        </row>
        <row r="9">
          <cell r="B9" t="str">
            <v>January</v>
          </cell>
          <cell r="C9" t="str">
            <v>February</v>
          </cell>
          <cell r="D9" t="str">
            <v>March</v>
          </cell>
          <cell r="E9" t="str">
            <v>April</v>
          </cell>
          <cell r="F9" t="str">
            <v>May</v>
          </cell>
          <cell r="G9" t="str">
            <v>June</v>
          </cell>
          <cell r="H9" t="str">
            <v>July</v>
          </cell>
          <cell r="I9" t="str">
            <v>August</v>
          </cell>
          <cell r="J9" t="str">
            <v>September</v>
          </cell>
          <cell r="K9" t="str">
            <v>October</v>
          </cell>
          <cell r="L9" t="str">
            <v>November</v>
          </cell>
          <cell r="M9" t="str">
            <v>December</v>
          </cell>
          <cell r="O9" t="str">
            <v>Q1</v>
          </cell>
          <cell r="P9" t="str">
            <v>Q2</v>
          </cell>
          <cell r="Q9" t="str">
            <v>Q3</v>
          </cell>
          <cell r="R9" t="str">
            <v>Q4</v>
          </cell>
          <cell r="S9" t="str">
            <v>FY</v>
          </cell>
          <cell r="V9" t="str">
            <v>Q1</v>
          </cell>
          <cell r="W9" t="str">
            <v>Q2</v>
          </cell>
          <cell r="X9" t="str">
            <v>Q3</v>
          </cell>
          <cell r="Y9" t="str">
            <v>Q4</v>
          </cell>
          <cell r="Z9" t="str">
            <v>FY</v>
          </cell>
          <cell r="AB9" t="str">
            <v>Consolidated</v>
          </cell>
        </row>
        <row r="10">
          <cell r="A10" t="str">
            <v>2003</v>
          </cell>
          <cell r="B10">
            <v>16</v>
          </cell>
          <cell r="C10">
            <v>8</v>
          </cell>
          <cell r="D10">
            <v>9</v>
          </cell>
          <cell r="E10">
            <v>20</v>
          </cell>
          <cell r="F10">
            <v>10</v>
          </cell>
          <cell r="G10">
            <v>10</v>
          </cell>
          <cell r="H10">
            <v>9</v>
          </cell>
          <cell r="I10">
            <v>4</v>
          </cell>
          <cell r="J10">
            <v>13</v>
          </cell>
          <cell r="K10">
            <v>1</v>
          </cell>
          <cell r="L10">
            <v>6</v>
          </cell>
          <cell r="M10">
            <v>1</v>
          </cell>
          <cell r="O10">
            <v>12</v>
          </cell>
          <cell r="P10">
            <v>10</v>
          </cell>
          <cell r="Q10">
            <v>6</v>
          </cell>
          <cell r="R10">
            <v>3</v>
          </cell>
          <cell r="S10">
            <v>7.0000000000000009</v>
          </cell>
          <cell r="U10" t="str">
            <v>2-yr. Average</v>
          </cell>
          <cell r="V10">
            <v>1.5000000000000004</v>
          </cell>
          <cell r="W10">
            <v>-1.5</v>
          </cell>
          <cell r="X10">
            <v>-4</v>
          </cell>
          <cell r="Y10">
            <v>-4.5</v>
          </cell>
          <cell r="Z10">
            <v>-2.5</v>
          </cell>
        </row>
        <row r="11">
          <cell r="A11" t="str">
            <v>2004</v>
          </cell>
          <cell r="B11">
            <v>3</v>
          </cell>
          <cell r="C11">
            <v>12</v>
          </cell>
          <cell r="D11">
            <v>8</v>
          </cell>
          <cell r="E11">
            <v>3</v>
          </cell>
          <cell r="F11">
            <v>6</v>
          </cell>
          <cell r="G11">
            <v>-2</v>
          </cell>
          <cell r="H11">
            <v>-5</v>
          </cell>
          <cell r="I11">
            <v>-1</v>
          </cell>
          <cell r="J11">
            <v>-3</v>
          </cell>
          <cell r="K11">
            <v>3</v>
          </cell>
          <cell r="L11">
            <v>-4</v>
          </cell>
          <cell r="M11">
            <v>-1</v>
          </cell>
          <cell r="O11">
            <v>7.0000000000000009</v>
          </cell>
          <cell r="P11">
            <v>0</v>
          </cell>
          <cell r="Q11">
            <v>-1</v>
          </cell>
          <cell r="R11">
            <v>-3</v>
          </cell>
          <cell r="S11">
            <v>0</v>
          </cell>
          <cell r="U11" t="str">
            <v>1-yr. Average</v>
          </cell>
          <cell r="V11">
            <v>-4</v>
          </cell>
          <cell r="W11">
            <v>-3</v>
          </cell>
          <cell r="X11">
            <v>-7.0000000000000009</v>
          </cell>
          <cell r="Y11">
            <v>-6</v>
          </cell>
          <cell r="Z11">
            <v>-5</v>
          </cell>
        </row>
        <row r="12">
          <cell r="A12" t="str">
            <v>2005</v>
          </cell>
          <cell r="B12">
            <v>-7</v>
          </cell>
          <cell r="C12">
            <v>-3</v>
          </cell>
          <cell r="D12">
            <v>-4</v>
          </cell>
          <cell r="E12">
            <v>-5</v>
          </cell>
          <cell r="F12">
            <v>-8</v>
          </cell>
          <cell r="G12">
            <v>0</v>
          </cell>
          <cell r="H12">
            <v>-4</v>
          </cell>
          <cell r="I12">
            <v>-9</v>
          </cell>
          <cell r="J12">
            <v>-6</v>
          </cell>
          <cell r="K12">
            <v>-5</v>
          </cell>
          <cell r="L12">
            <v>-4</v>
          </cell>
          <cell r="M12">
            <v>-9</v>
          </cell>
          <cell r="O12">
            <v>-4</v>
          </cell>
          <cell r="P12">
            <v>-3</v>
          </cell>
          <cell r="Q12">
            <v>-7.0000000000000009</v>
          </cell>
          <cell r="R12">
            <v>-6</v>
          </cell>
          <cell r="S12">
            <v>-5</v>
          </cell>
          <cell r="U12" t="str">
            <v>2006 Reported</v>
          </cell>
          <cell r="V12">
            <v>-9</v>
          </cell>
          <cell r="W12">
            <v>-5</v>
          </cell>
        </row>
        <row r="13">
          <cell r="A13" t="str">
            <v>2006</v>
          </cell>
          <cell r="B13">
            <v>1</v>
          </cell>
          <cell r="C13">
            <v>-11</v>
          </cell>
          <cell r="D13">
            <v>-13</v>
          </cell>
          <cell r="E13">
            <v>-3</v>
          </cell>
          <cell r="F13">
            <v>-6</v>
          </cell>
          <cell r="G13">
            <v>-6</v>
          </cell>
          <cell r="H13">
            <v>-4</v>
          </cell>
          <cell r="I13">
            <v>-7</v>
          </cell>
          <cell r="J13">
            <v>-3</v>
          </cell>
          <cell r="K13">
            <v>-7</v>
          </cell>
          <cell r="L13">
            <v>-8</v>
          </cell>
          <cell r="M13">
            <v>-8</v>
          </cell>
          <cell r="O13">
            <v>-9</v>
          </cell>
          <cell r="P13">
            <v>-5</v>
          </cell>
          <cell r="Q13">
            <v>-5.3302358421266973</v>
          </cell>
          <cell r="R13">
            <v>-6.2280060439115283</v>
          </cell>
          <cell r="S13">
            <v>-6.4466697776656323</v>
          </cell>
        </row>
        <row r="14">
          <cell r="A14" t="str">
            <v>2007</v>
          </cell>
          <cell r="B14">
            <v>0</v>
          </cell>
          <cell r="C14">
            <v>-4</v>
          </cell>
          <cell r="D14">
            <v>6</v>
          </cell>
          <cell r="E14">
            <v>-16</v>
          </cell>
          <cell r="F14">
            <v>-3</v>
          </cell>
          <cell r="G14">
            <v>-5</v>
          </cell>
          <cell r="H14">
            <v>-7</v>
          </cell>
          <cell r="I14">
            <v>-1</v>
          </cell>
          <cell r="J14">
            <v>-7</v>
          </cell>
          <cell r="K14">
            <v>-8</v>
          </cell>
          <cell r="L14">
            <v>0</v>
          </cell>
          <cell r="M14">
            <v>-6</v>
          </cell>
          <cell r="S14">
            <v>3.9280752715332157</v>
          </cell>
        </row>
        <row r="15">
          <cell r="A15" t="str">
            <v>3-yr. Total</v>
          </cell>
          <cell r="B15">
            <v>-6</v>
          </cell>
          <cell r="C15">
            <v>-18</v>
          </cell>
          <cell r="D15">
            <v>-11</v>
          </cell>
          <cell r="E15">
            <v>-24</v>
          </cell>
          <cell r="F15">
            <v>-17</v>
          </cell>
          <cell r="G15">
            <v>-11</v>
          </cell>
          <cell r="H15">
            <v>-15</v>
          </cell>
          <cell r="I15">
            <v>-17</v>
          </cell>
          <cell r="J15">
            <v>-16</v>
          </cell>
          <cell r="K15">
            <v>-20</v>
          </cell>
          <cell r="L15">
            <v>-12</v>
          </cell>
          <cell r="M15">
            <v>-23</v>
          </cell>
          <cell r="O15">
            <v>-5.9999999999999991</v>
          </cell>
          <cell r="P15">
            <v>-8</v>
          </cell>
          <cell r="Q15">
            <v>-13.330235842126697</v>
          </cell>
          <cell r="R15">
            <v>-15.228006043911527</v>
          </cell>
          <cell r="S15">
            <v>-7.518594506132418</v>
          </cell>
        </row>
        <row r="16">
          <cell r="A16" t="str">
            <v>2-yr. Ave</v>
          </cell>
          <cell r="B16">
            <v>-3</v>
          </cell>
          <cell r="C16">
            <v>-7</v>
          </cell>
          <cell r="D16">
            <v>-8.5</v>
          </cell>
          <cell r="E16">
            <v>-4</v>
          </cell>
          <cell r="F16">
            <v>-7</v>
          </cell>
          <cell r="G16">
            <v>-3</v>
          </cell>
          <cell r="H16">
            <v>-4</v>
          </cell>
          <cell r="I16">
            <v>-8</v>
          </cell>
          <cell r="J16">
            <v>-4.5</v>
          </cell>
          <cell r="K16">
            <v>-6</v>
          </cell>
          <cell r="L16">
            <v>-6</v>
          </cell>
          <cell r="M16">
            <v>-8.5</v>
          </cell>
          <cell r="O16">
            <v>-6.5</v>
          </cell>
          <cell r="P16">
            <v>-4</v>
          </cell>
          <cell r="Q16">
            <v>-6.1651179210633487</v>
          </cell>
          <cell r="R16">
            <v>-6.1140030219557637</v>
          </cell>
          <cell r="S16">
            <v>-5.7233348888328166</v>
          </cell>
        </row>
        <row r="17">
          <cell r="A17" t="str">
            <v>Estimated Comp</v>
          </cell>
        </row>
        <row r="19">
          <cell r="A19" t="str">
            <v>Gap North America</v>
          </cell>
        </row>
        <row r="20">
          <cell r="B20" t="str">
            <v>January</v>
          </cell>
          <cell r="C20" t="str">
            <v>February</v>
          </cell>
          <cell r="D20" t="str">
            <v>March</v>
          </cell>
          <cell r="E20" t="str">
            <v>April</v>
          </cell>
          <cell r="F20" t="str">
            <v>May</v>
          </cell>
          <cell r="G20" t="str">
            <v>June</v>
          </cell>
          <cell r="H20" t="str">
            <v>July</v>
          </cell>
          <cell r="I20" t="str">
            <v>August</v>
          </cell>
          <cell r="J20" t="str">
            <v>September</v>
          </cell>
          <cell r="K20" t="str">
            <v>October</v>
          </cell>
          <cell r="L20" t="str">
            <v>November</v>
          </cell>
          <cell r="M20" t="str">
            <v>December</v>
          </cell>
          <cell r="O20" t="str">
            <v>Q1</v>
          </cell>
          <cell r="P20" t="str">
            <v>Q2</v>
          </cell>
          <cell r="Q20" t="str">
            <v>Q3</v>
          </cell>
          <cell r="R20" t="str">
            <v>Q4</v>
          </cell>
          <cell r="S20" t="str">
            <v>FY</v>
          </cell>
          <cell r="V20" t="str">
            <v>Q1</v>
          </cell>
          <cell r="W20" t="str">
            <v>Q2</v>
          </cell>
          <cell r="X20" t="str">
            <v>Q3</v>
          </cell>
          <cell r="Y20" t="str">
            <v>Q4</v>
          </cell>
          <cell r="Z20" t="str">
            <v>FY</v>
          </cell>
        </row>
        <row r="21">
          <cell r="A21" t="str">
            <v>2003</v>
          </cell>
          <cell r="B21">
            <v>8</v>
          </cell>
          <cell r="C21">
            <v>11</v>
          </cell>
          <cell r="D21">
            <v>5</v>
          </cell>
          <cell r="E21">
            <v>23</v>
          </cell>
          <cell r="F21">
            <v>8</v>
          </cell>
          <cell r="G21">
            <v>8</v>
          </cell>
          <cell r="H21">
            <v>12</v>
          </cell>
          <cell r="I21">
            <v>1</v>
          </cell>
          <cell r="J21">
            <v>12</v>
          </cell>
          <cell r="K21">
            <v>1</v>
          </cell>
          <cell r="L21">
            <v>4</v>
          </cell>
          <cell r="M21">
            <v>-1</v>
          </cell>
          <cell r="O21">
            <v>13</v>
          </cell>
          <cell r="P21">
            <v>9</v>
          </cell>
          <cell r="Q21">
            <v>5</v>
          </cell>
          <cell r="R21">
            <v>2</v>
          </cell>
          <cell r="S21">
            <v>6</v>
          </cell>
          <cell r="U21" t="str">
            <v>2-yr. Average</v>
          </cell>
          <cell r="V21">
            <v>0</v>
          </cell>
          <cell r="W21">
            <v>-1.5</v>
          </cell>
          <cell r="X21">
            <v>-2</v>
          </cell>
          <cell r="Y21">
            <v>-4</v>
          </cell>
          <cell r="Z21">
            <v>-2</v>
          </cell>
        </row>
        <row r="22">
          <cell r="A22" t="str">
            <v>2004</v>
          </cell>
          <cell r="B22">
            <v>5</v>
          </cell>
          <cell r="C22">
            <v>4</v>
          </cell>
          <cell r="D22">
            <v>5</v>
          </cell>
          <cell r="E22">
            <v>2</v>
          </cell>
          <cell r="F22">
            <v>10</v>
          </cell>
          <cell r="G22">
            <v>-3</v>
          </cell>
          <cell r="H22">
            <v>-3</v>
          </cell>
          <cell r="I22">
            <v>-1</v>
          </cell>
          <cell r="J22">
            <v>-2</v>
          </cell>
          <cell r="K22">
            <v>5</v>
          </cell>
          <cell r="L22">
            <v>-1</v>
          </cell>
          <cell r="M22">
            <v>1</v>
          </cell>
          <cell r="O22">
            <v>4</v>
          </cell>
          <cell r="P22">
            <v>1</v>
          </cell>
          <cell r="Q22">
            <v>0</v>
          </cell>
          <cell r="R22">
            <v>-1</v>
          </cell>
          <cell r="S22">
            <v>1</v>
          </cell>
          <cell r="U22" t="str">
            <v>1-yr. Average</v>
          </cell>
          <cell r="V22">
            <v>-4</v>
          </cell>
          <cell r="W22">
            <v>-4</v>
          </cell>
          <cell r="X22">
            <v>-4</v>
          </cell>
          <cell r="Y22">
            <v>-7.0000000000000009</v>
          </cell>
          <cell r="Z22">
            <v>-5</v>
          </cell>
        </row>
        <row r="23">
          <cell r="A23" t="str">
            <v>2005</v>
          </cell>
          <cell r="B23">
            <v>-6</v>
          </cell>
          <cell r="C23">
            <v>-2</v>
          </cell>
          <cell r="D23">
            <v>-1</v>
          </cell>
          <cell r="E23">
            <v>-9</v>
          </cell>
          <cell r="F23">
            <v>-9</v>
          </cell>
          <cell r="G23">
            <v>3</v>
          </cell>
          <cell r="H23">
            <v>-8</v>
          </cell>
          <cell r="I23">
            <v>-7</v>
          </cell>
          <cell r="J23">
            <v>-3</v>
          </cell>
          <cell r="K23">
            <v>-3</v>
          </cell>
          <cell r="L23">
            <v>-5</v>
          </cell>
          <cell r="M23">
            <v>-10</v>
          </cell>
          <cell r="O23">
            <v>-4</v>
          </cell>
          <cell r="P23">
            <v>-4</v>
          </cell>
          <cell r="Q23">
            <v>-4</v>
          </cell>
          <cell r="R23">
            <v>-7.0000000000000009</v>
          </cell>
          <cell r="S23">
            <v>-5</v>
          </cell>
          <cell r="U23" t="str">
            <v>2006 Reported</v>
          </cell>
          <cell r="V23">
            <v>-8</v>
          </cell>
          <cell r="W23">
            <v>-6</v>
          </cell>
        </row>
        <row r="24">
          <cell r="A24" t="str">
            <v>2006</v>
          </cell>
          <cell r="B24">
            <v>3</v>
          </cell>
          <cell r="C24">
            <v>-7</v>
          </cell>
          <cell r="D24">
            <v>-13</v>
          </cell>
          <cell r="E24">
            <v>-2</v>
          </cell>
          <cell r="F24">
            <v>-5</v>
          </cell>
          <cell r="G24">
            <v>-4</v>
          </cell>
          <cell r="H24">
            <v>-13</v>
          </cell>
          <cell r="I24">
            <v>-11</v>
          </cell>
          <cell r="J24">
            <v>-5</v>
          </cell>
          <cell r="K24">
            <v>-4</v>
          </cell>
          <cell r="L24">
            <v>-7</v>
          </cell>
          <cell r="M24">
            <v>-9</v>
          </cell>
          <cell r="O24">
            <v>-8</v>
          </cell>
          <cell r="P24">
            <v>-6</v>
          </cell>
          <cell r="Q24">
            <v>-6.5076530612244898</v>
          </cell>
          <cell r="R24">
            <v>-7.8453244868339205</v>
          </cell>
          <cell r="S24">
            <v>-7.132244722538621</v>
          </cell>
        </row>
        <row r="25">
          <cell r="A25" t="str">
            <v>2007</v>
          </cell>
          <cell r="B25">
            <v>-6</v>
          </cell>
          <cell r="C25">
            <v>-5</v>
          </cell>
          <cell r="D25">
            <v>4</v>
          </cell>
          <cell r="E25">
            <v>-14</v>
          </cell>
          <cell r="F25">
            <v>-7</v>
          </cell>
          <cell r="G25">
            <v>-9</v>
          </cell>
          <cell r="H25">
            <v>2</v>
          </cell>
          <cell r="I25">
            <v>2</v>
          </cell>
          <cell r="J25">
            <v>-10</v>
          </cell>
          <cell r="K25">
            <v>-7</v>
          </cell>
          <cell r="L25">
            <v>1</v>
          </cell>
          <cell r="M25">
            <v>-9</v>
          </cell>
          <cell r="S25">
            <v>7</v>
          </cell>
        </row>
        <row r="26">
          <cell r="A26" t="str">
            <v>3-yr. Total</v>
          </cell>
          <cell r="B26">
            <v>-9</v>
          </cell>
          <cell r="C26">
            <v>-14</v>
          </cell>
          <cell r="D26">
            <v>-10</v>
          </cell>
          <cell r="E26">
            <v>-25</v>
          </cell>
          <cell r="F26">
            <v>-21</v>
          </cell>
          <cell r="G26">
            <v>-10</v>
          </cell>
          <cell r="H26">
            <v>-19</v>
          </cell>
          <cell r="I26">
            <v>-16</v>
          </cell>
          <cell r="J26">
            <v>-18</v>
          </cell>
          <cell r="K26">
            <v>-14</v>
          </cell>
          <cell r="L26">
            <v>-11</v>
          </cell>
          <cell r="M26">
            <v>-28</v>
          </cell>
          <cell r="O26">
            <v>-8</v>
          </cell>
          <cell r="P26">
            <v>-9</v>
          </cell>
          <cell r="Q26">
            <v>-10.50765306122449</v>
          </cell>
          <cell r="R26">
            <v>-15.84532448683392</v>
          </cell>
          <cell r="S26">
            <v>-5.132244722538621</v>
          </cell>
        </row>
        <row r="27">
          <cell r="A27" t="str">
            <v>2-yr. Ave</v>
          </cell>
          <cell r="B27">
            <v>-1.5</v>
          </cell>
          <cell r="C27">
            <v>-4.5</v>
          </cell>
          <cell r="D27">
            <v>-7</v>
          </cell>
          <cell r="E27">
            <v>-5.5</v>
          </cell>
          <cell r="F27">
            <v>-7</v>
          </cell>
          <cell r="G27">
            <v>-0.5</v>
          </cell>
          <cell r="H27">
            <v>-10.5</v>
          </cell>
          <cell r="I27">
            <v>-9</v>
          </cell>
          <cell r="J27">
            <v>-4</v>
          </cell>
          <cell r="K27">
            <v>-3.5</v>
          </cell>
          <cell r="L27">
            <v>-6</v>
          </cell>
          <cell r="M27">
            <v>-9.5</v>
          </cell>
          <cell r="O27">
            <v>-6</v>
          </cell>
          <cell r="P27">
            <v>-5</v>
          </cell>
          <cell r="Q27">
            <v>-5.2538265306122449</v>
          </cell>
          <cell r="R27">
            <v>-7.4226622434169602</v>
          </cell>
          <cell r="S27">
            <v>-6.0661223612693105</v>
          </cell>
        </row>
        <row r="29">
          <cell r="A29" t="str">
            <v>Banana Republic</v>
          </cell>
        </row>
        <row r="30">
          <cell r="B30" t="str">
            <v>January</v>
          </cell>
          <cell r="C30" t="str">
            <v>February</v>
          </cell>
          <cell r="D30" t="str">
            <v>March</v>
          </cell>
          <cell r="E30" t="str">
            <v>April</v>
          </cell>
          <cell r="F30" t="str">
            <v>May</v>
          </cell>
          <cell r="G30" t="str">
            <v>June</v>
          </cell>
          <cell r="H30" t="str">
            <v>July</v>
          </cell>
          <cell r="I30" t="str">
            <v>August</v>
          </cell>
          <cell r="J30" t="str">
            <v>September</v>
          </cell>
          <cell r="K30" t="str">
            <v>October</v>
          </cell>
          <cell r="L30" t="str">
            <v>November</v>
          </cell>
          <cell r="M30" t="str">
            <v>December</v>
          </cell>
          <cell r="O30" t="str">
            <v>Q1</v>
          </cell>
          <cell r="P30" t="str">
            <v>Q2</v>
          </cell>
          <cell r="Q30" t="str">
            <v>Q3</v>
          </cell>
          <cell r="R30" t="str">
            <v>Q4</v>
          </cell>
          <cell r="S30" t="str">
            <v>FY</v>
          </cell>
          <cell r="V30" t="str">
            <v>Q1</v>
          </cell>
          <cell r="W30" t="str">
            <v>Q2</v>
          </cell>
          <cell r="X30" t="str">
            <v>Q3</v>
          </cell>
          <cell r="Y30" t="str">
            <v>Q4</v>
          </cell>
          <cell r="Z30" t="str">
            <v>FY</v>
          </cell>
        </row>
        <row r="31">
          <cell r="A31" t="str">
            <v>2003</v>
          </cell>
          <cell r="B31">
            <v>11</v>
          </cell>
          <cell r="C31">
            <v>-3</v>
          </cell>
          <cell r="D31">
            <v>-5</v>
          </cell>
          <cell r="E31">
            <v>11</v>
          </cell>
          <cell r="F31">
            <v>2</v>
          </cell>
          <cell r="G31">
            <v>7</v>
          </cell>
          <cell r="H31">
            <v>5</v>
          </cell>
          <cell r="I31">
            <v>8</v>
          </cell>
          <cell r="J31">
            <v>12</v>
          </cell>
          <cell r="K31">
            <v>11</v>
          </cell>
          <cell r="L31">
            <v>14</v>
          </cell>
          <cell r="M31">
            <v>10</v>
          </cell>
          <cell r="O31">
            <v>1</v>
          </cell>
          <cell r="P31">
            <v>5</v>
          </cell>
          <cell r="Q31">
            <v>11</v>
          </cell>
          <cell r="R31">
            <v>9</v>
          </cell>
          <cell r="S31">
            <v>7.0000000000000009</v>
          </cell>
          <cell r="U31" t="str">
            <v>2-yr. Average</v>
          </cell>
          <cell r="V31">
            <v>8.5</v>
          </cell>
          <cell r="W31">
            <v>0.5</v>
          </cell>
          <cell r="X31">
            <v>-2.0000000000000004</v>
          </cell>
          <cell r="Y31">
            <v>-3</v>
          </cell>
          <cell r="Z31">
            <v>0.5</v>
          </cell>
        </row>
        <row r="32">
          <cell r="A32" t="str">
            <v>2004</v>
          </cell>
          <cell r="B32">
            <v>-1</v>
          </cell>
          <cell r="C32">
            <v>30</v>
          </cell>
          <cell r="D32">
            <v>25</v>
          </cell>
          <cell r="E32">
            <v>12</v>
          </cell>
          <cell r="F32">
            <v>8</v>
          </cell>
          <cell r="G32">
            <v>11</v>
          </cell>
          <cell r="H32">
            <v>-10</v>
          </cell>
          <cell r="I32">
            <v>0</v>
          </cell>
          <cell r="J32">
            <v>6</v>
          </cell>
          <cell r="K32">
            <v>3</v>
          </cell>
          <cell r="L32">
            <v>-3</v>
          </cell>
          <cell r="M32">
            <v>-2</v>
          </cell>
          <cell r="O32">
            <v>21</v>
          </cell>
          <cell r="P32">
            <v>4</v>
          </cell>
          <cell r="Q32">
            <v>3</v>
          </cell>
          <cell r="R32">
            <v>-1</v>
          </cell>
          <cell r="S32">
            <v>6</v>
          </cell>
          <cell r="U32" t="str">
            <v>1-yr. Average</v>
          </cell>
          <cell r="V32">
            <v>-4</v>
          </cell>
          <cell r="W32">
            <v>-3</v>
          </cell>
          <cell r="X32">
            <v>-7.0000000000000009</v>
          </cell>
          <cell r="Y32">
            <v>-5</v>
          </cell>
          <cell r="Z32">
            <v>-5</v>
          </cell>
        </row>
        <row r="33">
          <cell r="A33" t="str">
            <v>2005</v>
          </cell>
          <cell r="B33">
            <v>7</v>
          </cell>
          <cell r="C33">
            <v>-6</v>
          </cell>
          <cell r="D33">
            <v>-1</v>
          </cell>
          <cell r="E33">
            <v>-6</v>
          </cell>
          <cell r="F33">
            <v>-7</v>
          </cell>
          <cell r="G33">
            <v>-6</v>
          </cell>
          <cell r="H33">
            <v>7</v>
          </cell>
          <cell r="I33">
            <v>-6</v>
          </cell>
          <cell r="J33">
            <v>-7</v>
          </cell>
          <cell r="K33">
            <v>-8</v>
          </cell>
          <cell r="L33">
            <v>-5</v>
          </cell>
          <cell r="M33">
            <v>-5</v>
          </cell>
          <cell r="O33">
            <v>-4</v>
          </cell>
          <cell r="P33">
            <v>-3</v>
          </cell>
          <cell r="Q33">
            <v>-7.0000000000000009</v>
          </cell>
          <cell r="R33">
            <v>-5</v>
          </cell>
          <cell r="S33">
            <v>-5</v>
          </cell>
          <cell r="U33" t="str">
            <v>2006 Reported</v>
          </cell>
          <cell r="V33">
            <v>-5</v>
          </cell>
          <cell r="W33">
            <v>-1</v>
          </cell>
        </row>
        <row r="34">
          <cell r="A34" t="str">
            <v>2006</v>
          </cell>
          <cell r="B34">
            <v>-6</v>
          </cell>
          <cell r="C34">
            <v>-11</v>
          </cell>
          <cell r="D34">
            <v>-7</v>
          </cell>
          <cell r="E34">
            <v>1</v>
          </cell>
          <cell r="F34">
            <v>3</v>
          </cell>
          <cell r="G34">
            <v>-4</v>
          </cell>
          <cell r="H34">
            <v>0</v>
          </cell>
          <cell r="I34">
            <v>2</v>
          </cell>
          <cell r="J34">
            <v>3</v>
          </cell>
          <cell r="K34">
            <v>2</v>
          </cell>
          <cell r="L34">
            <v>-1</v>
          </cell>
          <cell r="M34">
            <v>2</v>
          </cell>
          <cell r="O34">
            <v>-5</v>
          </cell>
          <cell r="P34">
            <v>-1</v>
          </cell>
          <cell r="Q34">
            <v>2.3647959183673466</v>
          </cell>
          <cell r="R34">
            <v>3.4256686709516897</v>
          </cell>
          <cell r="S34">
            <v>0.2685789647943313</v>
          </cell>
        </row>
        <row r="35">
          <cell r="A35" t="str">
            <v>2007</v>
          </cell>
          <cell r="B35">
            <v>14</v>
          </cell>
          <cell r="C35">
            <v>0</v>
          </cell>
          <cell r="D35">
            <v>8</v>
          </cell>
          <cell r="E35">
            <v>-13</v>
          </cell>
          <cell r="F35">
            <v>3</v>
          </cell>
          <cell r="G35">
            <v>6</v>
          </cell>
          <cell r="H35">
            <v>1</v>
          </cell>
          <cell r="I35">
            <v>7</v>
          </cell>
          <cell r="J35">
            <v>-2</v>
          </cell>
          <cell r="K35">
            <v>-2</v>
          </cell>
          <cell r="L35">
            <v>4</v>
          </cell>
          <cell r="M35">
            <v>-1</v>
          </cell>
          <cell r="S35">
            <v>5</v>
          </cell>
        </row>
        <row r="36">
          <cell r="A36" t="str">
            <v>3-yr. Total</v>
          </cell>
          <cell r="B36">
            <v>15</v>
          </cell>
          <cell r="C36">
            <v>-17</v>
          </cell>
          <cell r="D36">
            <v>0</v>
          </cell>
          <cell r="E36">
            <v>-18</v>
          </cell>
          <cell r="F36">
            <v>-1</v>
          </cell>
          <cell r="G36">
            <v>-4</v>
          </cell>
          <cell r="H36">
            <v>8</v>
          </cell>
          <cell r="I36">
            <v>3</v>
          </cell>
          <cell r="J36">
            <v>-6</v>
          </cell>
          <cell r="K36">
            <v>-8</v>
          </cell>
          <cell r="L36">
            <v>-2</v>
          </cell>
          <cell r="M36">
            <v>-4</v>
          </cell>
          <cell r="O36">
            <v>12</v>
          </cell>
          <cell r="P36">
            <v>0</v>
          </cell>
          <cell r="Q36">
            <v>-1.6352040816326543</v>
          </cell>
          <cell r="R36">
            <v>-2.5743313290483103</v>
          </cell>
          <cell r="S36">
            <v>0.2685789647943313</v>
          </cell>
        </row>
        <row r="37">
          <cell r="A37" t="str">
            <v>2-yr. Ave</v>
          </cell>
          <cell r="B37">
            <v>0.5</v>
          </cell>
          <cell r="C37">
            <v>-8.5</v>
          </cell>
          <cell r="D37">
            <v>-4</v>
          </cell>
          <cell r="E37">
            <v>-2.5</v>
          </cell>
          <cell r="F37">
            <v>-2</v>
          </cell>
          <cell r="G37">
            <v>-5</v>
          </cell>
          <cell r="H37">
            <v>3.5</v>
          </cell>
          <cell r="I37">
            <v>-2</v>
          </cell>
          <cell r="J37">
            <v>-2</v>
          </cell>
          <cell r="K37">
            <v>-3</v>
          </cell>
          <cell r="L37">
            <v>-3</v>
          </cell>
          <cell r="M37">
            <v>-1.5</v>
          </cell>
          <cell r="O37">
            <v>-4.5</v>
          </cell>
          <cell r="P37">
            <v>-2</v>
          </cell>
          <cell r="Q37">
            <v>-2.3176020408163271</v>
          </cell>
          <cell r="R37">
            <v>-0.78716566452415515</v>
          </cell>
          <cell r="S37">
            <v>-2.3657105176028344</v>
          </cell>
        </row>
        <row r="38">
          <cell r="AB38" t="str">
            <v>Gap NA</v>
          </cell>
          <cell r="AM38" t="str">
            <v>Gap NA</v>
          </cell>
        </row>
        <row r="39">
          <cell r="A39" t="str">
            <v>Old Navy</v>
          </cell>
          <cell r="AN39" t="str">
            <v>August</v>
          </cell>
          <cell r="AO39" t="str">
            <v>September</v>
          </cell>
          <cell r="AP39" t="str">
            <v>October</v>
          </cell>
        </row>
        <row r="40">
          <cell r="B40" t="str">
            <v>January</v>
          </cell>
          <cell r="C40" t="str">
            <v>February</v>
          </cell>
          <cell r="D40" t="str">
            <v>March</v>
          </cell>
          <cell r="E40" t="str">
            <v>April</v>
          </cell>
          <cell r="F40" t="str">
            <v>May</v>
          </cell>
          <cell r="G40" t="str">
            <v>June</v>
          </cell>
          <cell r="H40" t="str">
            <v>July</v>
          </cell>
          <cell r="I40" t="str">
            <v>August</v>
          </cell>
          <cell r="J40" t="str">
            <v>September</v>
          </cell>
          <cell r="K40" t="str">
            <v>October</v>
          </cell>
          <cell r="L40" t="str">
            <v>November</v>
          </cell>
          <cell r="M40" t="str">
            <v>December</v>
          </cell>
          <cell r="O40" t="str">
            <v>Q1</v>
          </cell>
          <cell r="P40" t="str">
            <v>Q2</v>
          </cell>
          <cell r="Q40" t="str">
            <v>Q3</v>
          </cell>
          <cell r="R40" t="str">
            <v>Q4</v>
          </cell>
          <cell r="S40" t="str">
            <v>FY</v>
          </cell>
          <cell r="V40" t="str">
            <v>Q1</v>
          </cell>
          <cell r="W40" t="str">
            <v>Q2</v>
          </cell>
          <cell r="X40" t="str">
            <v>Q3</v>
          </cell>
          <cell r="Y40" t="str">
            <v>Q4</v>
          </cell>
          <cell r="Z40" t="str">
            <v>FY</v>
          </cell>
          <cell r="AM40" t="str">
            <v>Reported Comp Growth</v>
          </cell>
          <cell r="AN40">
            <v>-11</v>
          </cell>
          <cell r="AO40">
            <v>-5</v>
          </cell>
          <cell r="AP40">
            <v>-4</v>
          </cell>
        </row>
        <row r="41">
          <cell r="A41" t="str">
            <v>2003</v>
          </cell>
          <cell r="B41">
            <v>27</v>
          </cell>
          <cell r="C41">
            <v>8</v>
          </cell>
          <cell r="D41">
            <v>17</v>
          </cell>
          <cell r="E41">
            <v>20</v>
          </cell>
          <cell r="F41">
            <v>13</v>
          </cell>
          <cell r="G41">
            <v>11</v>
          </cell>
          <cell r="H41">
            <v>9</v>
          </cell>
          <cell r="I41">
            <v>6</v>
          </cell>
          <cell r="J41">
            <v>16</v>
          </cell>
          <cell r="K41">
            <v>-4</v>
          </cell>
          <cell r="L41">
            <v>7</v>
          </cell>
          <cell r="M41">
            <v>2</v>
          </cell>
          <cell r="O41">
            <v>16</v>
          </cell>
          <cell r="P41">
            <v>11</v>
          </cell>
          <cell r="Q41">
            <v>6</v>
          </cell>
          <cell r="R41">
            <v>4</v>
          </cell>
          <cell r="S41">
            <v>8</v>
          </cell>
          <cell r="U41" t="str">
            <v>2-yr. Average</v>
          </cell>
          <cell r="V41">
            <v>2.5</v>
          </cell>
          <cell r="W41">
            <v>-2</v>
          </cell>
          <cell r="X41">
            <v>-4.5</v>
          </cell>
          <cell r="Y41">
            <v>-5</v>
          </cell>
          <cell r="Z41">
            <v>-3</v>
          </cell>
          <cell r="AM41" t="str">
            <v>2-yr. average</v>
          </cell>
          <cell r="AN41">
            <v>-4</v>
          </cell>
          <cell r="AO41">
            <v>-2.5</v>
          </cell>
          <cell r="AP41">
            <v>1</v>
          </cell>
        </row>
        <row r="42">
          <cell r="A42" t="str">
            <v>2004</v>
          </cell>
          <cell r="B42">
            <v>3</v>
          </cell>
          <cell r="C42">
            <v>16</v>
          </cell>
          <cell r="D42">
            <v>11</v>
          </cell>
          <cell r="E42">
            <v>3</v>
          </cell>
          <cell r="F42">
            <v>4</v>
          </cell>
          <cell r="G42">
            <v>-2</v>
          </cell>
          <cell r="H42">
            <v>-2</v>
          </cell>
          <cell r="I42">
            <v>-1</v>
          </cell>
          <cell r="J42">
            <v>-6</v>
          </cell>
          <cell r="K42">
            <v>4</v>
          </cell>
          <cell r="L42">
            <v>-5</v>
          </cell>
          <cell r="M42">
            <v>-1</v>
          </cell>
          <cell r="O42">
            <v>9</v>
          </cell>
          <cell r="P42">
            <v>0</v>
          </cell>
          <cell r="Q42">
            <v>-1</v>
          </cell>
          <cell r="R42">
            <v>-4</v>
          </cell>
          <cell r="S42">
            <v>0</v>
          </cell>
          <cell r="U42" t="str">
            <v>1-yr. Average</v>
          </cell>
          <cell r="V42">
            <v>-4</v>
          </cell>
          <cell r="W42">
            <v>-4</v>
          </cell>
          <cell r="X42">
            <v>-8</v>
          </cell>
          <cell r="Y42">
            <v>-6</v>
          </cell>
          <cell r="Z42">
            <v>-6</v>
          </cell>
          <cell r="AM42" t="str">
            <v>1-yr. average</v>
          </cell>
          <cell r="AN42">
            <v>-7</v>
          </cell>
          <cell r="AO42">
            <v>-3</v>
          </cell>
          <cell r="AP42">
            <v>-3</v>
          </cell>
        </row>
        <row r="43">
          <cell r="A43" t="str">
            <v>2005</v>
          </cell>
          <cell r="B43">
            <v>-13</v>
          </cell>
          <cell r="C43">
            <v>-1</v>
          </cell>
          <cell r="D43">
            <v>-9</v>
          </cell>
          <cell r="E43">
            <v>0</v>
          </cell>
          <cell r="F43">
            <v>-8</v>
          </cell>
          <cell r="G43">
            <v>0</v>
          </cell>
          <cell r="H43">
            <v>-5</v>
          </cell>
          <cell r="I43">
            <v>-11</v>
          </cell>
          <cell r="J43">
            <v>-7</v>
          </cell>
          <cell r="K43">
            <v>-6</v>
          </cell>
          <cell r="L43">
            <v>-2</v>
          </cell>
          <cell r="M43">
            <v>-10</v>
          </cell>
          <cell r="O43">
            <v>-4</v>
          </cell>
          <cell r="P43">
            <v>-4</v>
          </cell>
          <cell r="Q43">
            <v>-8</v>
          </cell>
          <cell r="R43">
            <v>-6</v>
          </cell>
          <cell r="S43">
            <v>-6</v>
          </cell>
          <cell r="U43" t="str">
            <v>2006 Reported</v>
          </cell>
          <cell r="V43">
            <v>-11</v>
          </cell>
          <cell r="W43">
            <v>-5</v>
          </cell>
        </row>
        <row r="44">
          <cell r="A44" t="str">
            <v>2006</v>
          </cell>
          <cell r="B44">
            <v>0</v>
          </cell>
          <cell r="C44">
            <v>-14</v>
          </cell>
          <cell r="D44">
            <v>-15</v>
          </cell>
          <cell r="E44">
            <v>-6</v>
          </cell>
          <cell r="F44">
            <v>-8</v>
          </cell>
          <cell r="G44">
            <v>-6</v>
          </cell>
          <cell r="H44">
            <v>0</v>
          </cell>
          <cell r="I44">
            <v>-8</v>
          </cell>
          <cell r="J44">
            <v>-3</v>
          </cell>
          <cell r="K44">
            <v>-11</v>
          </cell>
          <cell r="L44">
            <v>-10</v>
          </cell>
          <cell r="M44">
            <v>-10</v>
          </cell>
          <cell r="O44">
            <v>-11</v>
          </cell>
          <cell r="P44">
            <v>-5</v>
          </cell>
          <cell r="Q44">
            <v>-7.1632653061224492</v>
          </cell>
          <cell r="R44">
            <v>-8.2776280323450138</v>
          </cell>
          <cell r="S44">
            <v>-7.8648583741536324</v>
          </cell>
        </row>
        <row r="45">
          <cell r="A45" t="str">
            <v>2007</v>
          </cell>
          <cell r="B45">
            <v>-1</v>
          </cell>
          <cell r="C45">
            <v>-6</v>
          </cell>
          <cell r="D45">
            <v>10</v>
          </cell>
          <cell r="E45">
            <v>-20</v>
          </cell>
          <cell r="F45">
            <v>-3</v>
          </cell>
          <cell r="G45">
            <v>-7</v>
          </cell>
          <cell r="H45">
            <v>-18</v>
          </cell>
          <cell r="I45">
            <v>-4</v>
          </cell>
          <cell r="J45">
            <v>-8</v>
          </cell>
          <cell r="K45">
            <v>-11</v>
          </cell>
          <cell r="L45">
            <v>-3</v>
          </cell>
          <cell r="M45">
            <v>-8</v>
          </cell>
          <cell r="S45">
            <v>2</v>
          </cell>
        </row>
        <row r="46">
          <cell r="A46" t="str">
            <v>3-yr. Total</v>
          </cell>
          <cell r="B46">
            <v>-14</v>
          </cell>
          <cell r="C46">
            <v>-21</v>
          </cell>
          <cell r="D46">
            <v>-14</v>
          </cell>
          <cell r="E46">
            <v>-26</v>
          </cell>
          <cell r="F46">
            <v>-19</v>
          </cell>
          <cell r="G46">
            <v>-13</v>
          </cell>
          <cell r="H46">
            <v>-23</v>
          </cell>
          <cell r="I46">
            <v>-23</v>
          </cell>
          <cell r="J46">
            <v>-18</v>
          </cell>
          <cell r="K46">
            <v>-28</v>
          </cell>
          <cell r="L46">
            <v>-15</v>
          </cell>
          <cell r="M46">
            <v>-28</v>
          </cell>
          <cell r="O46">
            <v>-6</v>
          </cell>
          <cell r="P46">
            <v>-9</v>
          </cell>
          <cell r="Q46">
            <v>-16.163265306122447</v>
          </cell>
          <cell r="R46">
            <v>-18.277628032345014</v>
          </cell>
          <cell r="S46">
            <v>-11.864858374153632</v>
          </cell>
        </row>
        <row r="47">
          <cell r="A47" t="str">
            <v>2-yr. Ave</v>
          </cell>
          <cell r="B47">
            <v>-6.5</v>
          </cell>
          <cell r="C47">
            <v>-7.5</v>
          </cell>
          <cell r="D47">
            <v>-12</v>
          </cell>
          <cell r="E47">
            <v>-3</v>
          </cell>
          <cell r="F47">
            <v>-8</v>
          </cell>
          <cell r="G47">
            <v>-3</v>
          </cell>
          <cell r="H47">
            <v>-2.5</v>
          </cell>
          <cell r="I47">
            <v>-9.5</v>
          </cell>
          <cell r="J47">
            <v>-5</v>
          </cell>
          <cell r="K47">
            <v>-8.5</v>
          </cell>
          <cell r="L47">
            <v>-6</v>
          </cell>
          <cell r="M47">
            <v>-10</v>
          </cell>
          <cell r="O47">
            <v>-7.5</v>
          </cell>
          <cell r="P47">
            <v>-4.5</v>
          </cell>
          <cell r="Q47">
            <v>-7.5816326530612246</v>
          </cell>
          <cell r="R47">
            <v>-7.1388140161725069</v>
          </cell>
          <cell r="S47">
            <v>-6.9324291870768162</v>
          </cell>
        </row>
        <row r="49">
          <cell r="A49" t="str">
            <v>International</v>
          </cell>
        </row>
        <row r="50">
          <cell r="B50" t="str">
            <v>January</v>
          </cell>
          <cell r="C50" t="str">
            <v>February</v>
          </cell>
          <cell r="D50" t="str">
            <v>March</v>
          </cell>
          <cell r="E50" t="str">
            <v>April</v>
          </cell>
          <cell r="F50" t="str">
            <v>May</v>
          </cell>
          <cell r="G50" t="str">
            <v>June</v>
          </cell>
          <cell r="H50" t="str">
            <v>July</v>
          </cell>
          <cell r="I50" t="str">
            <v>August</v>
          </cell>
          <cell r="J50" t="str">
            <v>September</v>
          </cell>
          <cell r="K50" t="str">
            <v>October</v>
          </cell>
          <cell r="L50" t="str">
            <v>November</v>
          </cell>
          <cell r="M50" t="str">
            <v>December</v>
          </cell>
          <cell r="O50" t="str">
            <v>Q1</v>
          </cell>
          <cell r="P50" t="str">
            <v>Q2</v>
          </cell>
          <cell r="Q50" t="str">
            <v>Q3</v>
          </cell>
          <cell r="R50" t="str">
            <v>Q4</v>
          </cell>
          <cell r="S50" t="str">
            <v>FY</v>
          </cell>
          <cell r="V50" t="str">
            <v>Q1</v>
          </cell>
          <cell r="W50" t="str">
            <v>Q2</v>
          </cell>
          <cell r="X50" t="str">
            <v>Q3</v>
          </cell>
          <cell r="Y50" t="str">
            <v>Q4</v>
          </cell>
          <cell r="Z50" t="str">
            <v>FY</v>
          </cell>
        </row>
        <row r="51">
          <cell r="A51" t="str">
            <v>2003</v>
          </cell>
          <cell r="B51">
            <v>17</v>
          </cell>
          <cell r="C51">
            <v>17</v>
          </cell>
          <cell r="D51">
            <v>6</v>
          </cell>
          <cell r="E51">
            <v>19</v>
          </cell>
          <cell r="F51">
            <v>17</v>
          </cell>
          <cell r="G51">
            <v>13</v>
          </cell>
          <cell r="H51">
            <v>7</v>
          </cell>
          <cell r="I51">
            <v>4</v>
          </cell>
          <cell r="J51">
            <v>3</v>
          </cell>
          <cell r="K51">
            <v>7</v>
          </cell>
          <cell r="L51">
            <v>1</v>
          </cell>
          <cell r="M51">
            <v>-3</v>
          </cell>
          <cell r="O51">
            <v>13</v>
          </cell>
          <cell r="P51">
            <v>12</v>
          </cell>
          <cell r="Q51">
            <v>5</v>
          </cell>
          <cell r="R51">
            <v>-2</v>
          </cell>
          <cell r="S51">
            <v>6</v>
          </cell>
          <cell r="U51" t="str">
            <v>2-yr. Average</v>
          </cell>
          <cell r="V51">
            <v>-5.5</v>
          </cell>
          <cell r="W51">
            <v>-4.5</v>
          </cell>
          <cell r="X51">
            <v>-10</v>
          </cell>
          <cell r="Y51">
            <v>-3.5000000000000004</v>
          </cell>
          <cell r="Z51">
            <v>-5.5</v>
          </cell>
        </row>
        <row r="52">
          <cell r="A52" t="str">
            <v>2004</v>
          </cell>
          <cell r="B52">
            <v>-2</v>
          </cell>
          <cell r="C52">
            <v>-1</v>
          </cell>
          <cell r="D52">
            <v>-6</v>
          </cell>
          <cell r="E52">
            <v>-5</v>
          </cell>
          <cell r="F52">
            <v>-3</v>
          </cell>
          <cell r="G52">
            <v>-11</v>
          </cell>
          <cell r="H52">
            <v>-14</v>
          </cell>
          <cell r="I52">
            <v>-10</v>
          </cell>
          <cell r="J52">
            <v>-10</v>
          </cell>
          <cell r="K52">
            <v>-9</v>
          </cell>
          <cell r="L52">
            <v>-5</v>
          </cell>
          <cell r="M52">
            <v>-8</v>
          </cell>
          <cell r="O52">
            <v>-5</v>
          </cell>
          <cell r="P52">
            <v>-10</v>
          </cell>
          <cell r="Q52">
            <v>-10</v>
          </cell>
          <cell r="R52">
            <v>-7.0000000000000009</v>
          </cell>
          <cell r="S52">
            <v>-8</v>
          </cell>
          <cell r="U52" t="str">
            <v>1-yr. Average</v>
          </cell>
          <cell r="V52">
            <v>-6</v>
          </cell>
          <cell r="W52">
            <v>1</v>
          </cell>
          <cell r="X52">
            <v>-10</v>
          </cell>
          <cell r="Y52">
            <v>0</v>
          </cell>
          <cell r="Z52">
            <v>-3</v>
          </cell>
        </row>
        <row r="53">
          <cell r="A53" t="str">
            <v>2005</v>
          </cell>
          <cell r="B53">
            <v>-8</v>
          </cell>
          <cell r="C53">
            <v>-8</v>
          </cell>
          <cell r="D53">
            <v>1</v>
          </cell>
          <cell r="E53">
            <v>-12</v>
          </cell>
          <cell r="F53">
            <v>-2</v>
          </cell>
          <cell r="G53">
            <v>1</v>
          </cell>
          <cell r="H53">
            <v>4</v>
          </cell>
          <cell r="I53">
            <v>-6</v>
          </cell>
          <cell r="J53">
            <v>-13</v>
          </cell>
          <cell r="K53">
            <v>-9</v>
          </cell>
          <cell r="L53">
            <v>0</v>
          </cell>
          <cell r="M53">
            <v>-3</v>
          </cell>
          <cell r="O53">
            <v>-6</v>
          </cell>
          <cell r="P53">
            <v>1</v>
          </cell>
          <cell r="Q53">
            <v>-10</v>
          </cell>
          <cell r="R53">
            <v>0</v>
          </cell>
          <cell r="S53">
            <v>-3</v>
          </cell>
          <cell r="U53" t="str">
            <v>2006 Reported</v>
          </cell>
          <cell r="V53">
            <v>-11</v>
          </cell>
          <cell r="W53">
            <v>-11</v>
          </cell>
        </row>
        <row r="54">
          <cell r="A54" t="str">
            <v>2006</v>
          </cell>
          <cell r="B54">
            <v>7</v>
          </cell>
          <cell r="C54">
            <v>-14</v>
          </cell>
          <cell r="D54">
            <v>-16</v>
          </cell>
          <cell r="E54">
            <v>-3</v>
          </cell>
          <cell r="F54">
            <v>-13</v>
          </cell>
          <cell r="G54">
            <v>-14</v>
          </cell>
          <cell r="H54">
            <v>-6</v>
          </cell>
          <cell r="I54">
            <v>0</v>
          </cell>
          <cell r="J54">
            <v>-6</v>
          </cell>
          <cell r="K54">
            <v>-8</v>
          </cell>
          <cell r="L54">
            <v>-8</v>
          </cell>
          <cell r="M54">
            <v>-8</v>
          </cell>
          <cell r="O54">
            <v>-11</v>
          </cell>
          <cell r="P54">
            <v>-11</v>
          </cell>
          <cell r="Q54">
            <v>-4.8214285714285712</v>
          </cell>
          <cell r="R54">
            <v>-6.2776280323450138</v>
          </cell>
          <cell r="S54">
            <v>-8.1916546976308116</v>
          </cell>
        </row>
        <row r="55">
          <cell r="A55" t="str">
            <v>2007</v>
          </cell>
          <cell r="B55">
            <v>1</v>
          </cell>
          <cell r="C55">
            <v>2</v>
          </cell>
          <cell r="D55">
            <v>5</v>
          </cell>
          <cell r="E55">
            <v>-5</v>
          </cell>
          <cell r="F55">
            <v>0</v>
          </cell>
          <cell r="G55">
            <v>0</v>
          </cell>
          <cell r="H55">
            <v>11</v>
          </cell>
          <cell r="I55">
            <v>-7</v>
          </cell>
          <cell r="J55">
            <v>-2</v>
          </cell>
          <cell r="K55">
            <v>-6</v>
          </cell>
          <cell r="L55">
            <v>1</v>
          </cell>
          <cell r="M55">
            <v>-1</v>
          </cell>
          <cell r="S55">
            <v>0</v>
          </cell>
        </row>
        <row r="56">
          <cell r="A56" t="str">
            <v>3-yr. Total</v>
          </cell>
          <cell r="B56">
            <v>0</v>
          </cell>
          <cell r="C56">
            <v>-20</v>
          </cell>
          <cell r="D56">
            <v>-10</v>
          </cell>
          <cell r="E56">
            <v>-20</v>
          </cell>
          <cell r="F56">
            <v>-15</v>
          </cell>
          <cell r="G56">
            <v>-13</v>
          </cell>
          <cell r="H56">
            <v>9</v>
          </cell>
          <cell r="I56">
            <v>-13</v>
          </cell>
          <cell r="J56">
            <v>-21</v>
          </cell>
          <cell r="K56">
            <v>-23</v>
          </cell>
          <cell r="L56">
            <v>-7</v>
          </cell>
          <cell r="M56">
            <v>-12</v>
          </cell>
          <cell r="O56">
            <v>-22</v>
          </cell>
          <cell r="P56">
            <v>-20</v>
          </cell>
          <cell r="Q56">
            <v>-24.821428571428569</v>
          </cell>
          <cell r="R56">
            <v>-13.277628032345014</v>
          </cell>
          <cell r="S56">
            <v>-11.191654697630812</v>
          </cell>
        </row>
        <row r="57">
          <cell r="A57" t="str">
            <v>2-yr. Ave</v>
          </cell>
          <cell r="B57">
            <v>-0.5</v>
          </cell>
          <cell r="C57">
            <v>-11</v>
          </cell>
          <cell r="D57">
            <v>-7.5</v>
          </cell>
          <cell r="E57">
            <v>-7.5</v>
          </cell>
          <cell r="F57">
            <v>-7.5</v>
          </cell>
          <cell r="G57">
            <v>-6.5</v>
          </cell>
          <cell r="H57">
            <v>-1</v>
          </cell>
          <cell r="I57">
            <v>-3</v>
          </cell>
          <cell r="J57">
            <v>-9.5</v>
          </cell>
          <cell r="K57">
            <v>-8.5</v>
          </cell>
          <cell r="L57">
            <v>-4</v>
          </cell>
          <cell r="M57">
            <v>-5.5</v>
          </cell>
          <cell r="O57">
            <v>-8.5</v>
          </cell>
          <cell r="P57">
            <v>-5</v>
          </cell>
          <cell r="Q57">
            <v>-7.4107142857142856</v>
          </cell>
          <cell r="R57">
            <v>-3.1388140161725069</v>
          </cell>
          <cell r="S57">
            <v>-5.5958273488154058</v>
          </cell>
        </row>
        <row r="59">
          <cell r="B59" t="str">
            <v>January</v>
          </cell>
          <cell r="C59" t="str">
            <v>February</v>
          </cell>
          <cell r="D59" t="str">
            <v>March</v>
          </cell>
          <cell r="E59" t="str">
            <v>April</v>
          </cell>
          <cell r="F59" t="str">
            <v>May</v>
          </cell>
          <cell r="G59" t="str">
            <v>June</v>
          </cell>
          <cell r="H59" t="str">
            <v>July</v>
          </cell>
          <cell r="I59" t="str">
            <v>August</v>
          </cell>
          <cell r="J59" t="str">
            <v>September</v>
          </cell>
          <cell r="K59" t="str">
            <v>October</v>
          </cell>
          <cell r="L59" t="str">
            <v>November</v>
          </cell>
          <cell r="M59" t="str">
            <v>December</v>
          </cell>
        </row>
        <row r="60">
          <cell r="A60" t="str">
            <v>Monthly Revenue Contribution</v>
          </cell>
          <cell r="B60">
            <v>0.19137466307277629</v>
          </cell>
          <cell r="C60">
            <v>0.25401840912213214</v>
          </cell>
          <cell r="D60">
            <v>0.40939689517790906</v>
          </cell>
          <cell r="E60">
            <v>0.3365846956999588</v>
          </cell>
          <cell r="F60">
            <v>0.31897711978465682</v>
          </cell>
          <cell r="G60">
            <v>0.40646029609690443</v>
          </cell>
          <cell r="H60">
            <v>0.27456258411843876</v>
          </cell>
          <cell r="I60">
            <v>0.30612244897959184</v>
          </cell>
          <cell r="J60">
            <v>0.36479591836734693</v>
          </cell>
          <cell r="K60">
            <v>0.32908163265306123</v>
          </cell>
          <cell r="L60">
            <v>0.29027576197387517</v>
          </cell>
          <cell r="M60">
            <v>0.51834957495334855</v>
          </cell>
        </row>
        <row r="66">
          <cell r="AB66" t="str">
            <v>Banana Republic</v>
          </cell>
        </row>
        <row r="94">
          <cell r="AB94" t="str">
            <v>Old Navy</v>
          </cell>
        </row>
        <row r="122">
          <cell r="AB122" t="str">
            <v>International</v>
          </cell>
        </row>
      </sheetData>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1">
          <cell r="A1" t="str">
            <v>Gap, Inc.</v>
          </cell>
        </row>
        <row r="2">
          <cell r="A2" t="str">
            <v>Linked Data -- Add Rows at Bottom</v>
          </cell>
        </row>
        <row r="4">
          <cell r="B4">
            <v>1995</v>
          </cell>
          <cell r="C4">
            <v>1996</v>
          </cell>
          <cell r="D4">
            <v>1997</v>
          </cell>
          <cell r="E4">
            <v>1998</v>
          </cell>
          <cell r="F4">
            <v>1999</v>
          </cell>
          <cell r="G4">
            <v>2000</v>
          </cell>
          <cell r="H4">
            <v>2001</v>
          </cell>
          <cell r="I4">
            <v>2002</v>
          </cell>
          <cell r="J4">
            <v>2003</v>
          </cell>
          <cell r="K4">
            <v>2004</v>
          </cell>
          <cell r="L4">
            <v>2005</v>
          </cell>
          <cell r="M4" t="str">
            <v>2006E</v>
          </cell>
          <cell r="N4" t="str">
            <v>2007E</v>
          </cell>
          <cell r="O4" t="str">
            <v>2008E</v>
          </cell>
          <cell r="P4" t="str">
            <v>2009E</v>
          </cell>
          <cell r="Q4" t="str">
            <v>2010E</v>
          </cell>
          <cell r="R4" t="str">
            <v>2011E</v>
          </cell>
          <cell r="S4" t="str">
            <v>2012E</v>
          </cell>
        </row>
        <row r="5">
          <cell r="A5" t="str">
            <v>Sales</v>
          </cell>
          <cell r="G5">
            <v>13673.46</v>
          </cell>
          <cell r="H5">
            <v>13847.853999999999</v>
          </cell>
          <cell r="I5">
            <v>14454.708999999999</v>
          </cell>
          <cell r="J5">
            <v>15853.333999999999</v>
          </cell>
          <cell r="K5">
            <v>16268</v>
          </cell>
          <cell r="L5">
            <v>16023</v>
          </cell>
          <cell r="M5">
            <v>15936</v>
          </cell>
          <cell r="N5">
            <v>15872.405547592203</v>
          </cell>
          <cell r="O5">
            <v>15721.177868068427</v>
          </cell>
          <cell r="P5">
            <v>16578.730300944364</v>
          </cell>
          <cell r="Q5">
            <v>17066.831940290947</v>
          </cell>
          <cell r="R5">
            <v>17472.45960445028</v>
          </cell>
          <cell r="S5">
            <v>17712.650925680973</v>
          </cell>
        </row>
        <row r="6">
          <cell r="A6" t="str">
            <v>Sales per Share</v>
          </cell>
          <cell r="G6">
            <v>15.568827922296741</v>
          </cell>
          <cell r="H6">
            <v>15.887136746656289</v>
          </cell>
          <cell r="I6">
            <v>15.645333779318566</v>
          </cell>
          <cell r="J6">
            <v>16.046302838393537</v>
          </cell>
          <cell r="K6">
            <v>16.41372808661486</v>
          </cell>
          <cell r="L6">
            <v>17.75777477560348</v>
          </cell>
          <cell r="M6">
            <v>19.013206697931796</v>
          </cell>
          <cell r="N6">
            <v>19.923738842563431</v>
          </cell>
          <cell r="O6">
            <v>21.489290384363546</v>
          </cell>
          <cell r="P6">
            <v>24.346618538058166</v>
          </cell>
          <cell r="Q6">
            <v>26.919648452662098</v>
          </cell>
          <cell r="R6">
            <v>29.461582418334139</v>
          </cell>
          <cell r="S6">
            <v>32.136005279538544</v>
          </cell>
        </row>
        <row r="7">
          <cell r="A7" t="str">
            <v>EPS</v>
          </cell>
          <cell r="G7">
            <v>0.9991326113018667</v>
          </cell>
          <cell r="H7">
            <v>-8.9291514265843579E-3</v>
          </cell>
          <cell r="I7">
            <v>0.54276168001554059</v>
          </cell>
          <cell r="J7">
            <v>1.0911215558688308</v>
          </cell>
          <cell r="K7">
            <v>1.2093808409682627</v>
          </cell>
          <cell r="L7">
            <v>1.2407711770579701</v>
          </cell>
          <cell r="M7">
            <v>0.92823009607121842</v>
          </cell>
          <cell r="N7">
            <v>0.99964076194296025</v>
          </cell>
          <cell r="O7">
            <v>1.2595272010498042</v>
          </cell>
          <cell r="P7">
            <v>1.5741166708543561</v>
          </cell>
          <cell r="Q7">
            <v>1.8141941388828433</v>
          </cell>
          <cell r="R7">
            <v>2.0193345434067398</v>
          </cell>
          <cell r="S7">
            <v>2.2212995070420871</v>
          </cell>
        </row>
        <row r="8">
          <cell r="A8" t="str">
            <v>Diluted Shares Outstanding</v>
          </cell>
          <cell r="G8">
            <v>878.25879175</v>
          </cell>
          <cell r="H8">
            <v>871.63937850000002</v>
          </cell>
          <cell r="I8">
            <v>923.89904899999999</v>
          </cell>
          <cell r="J8">
            <v>987.97424924999996</v>
          </cell>
          <cell r="K8">
            <v>991.12157300000001</v>
          </cell>
          <cell r="L8">
            <v>902.30899999999997</v>
          </cell>
          <cell r="M8">
            <v>838.15424999999993</v>
          </cell>
          <cell r="N8">
            <v>796.6579803627875</v>
          </cell>
          <cell r="O8">
            <v>731.58199209350232</v>
          </cell>
          <cell r="P8">
            <v>680.94590938896965</v>
          </cell>
          <cell r="Q8">
            <v>633.99163515462624</v>
          </cell>
          <cell r="R8">
            <v>593.05910172622134</v>
          </cell>
          <cell r="S8">
            <v>551.17774507458375</v>
          </cell>
        </row>
        <row r="9">
          <cell r="A9" t="str">
            <v>EBITDA</v>
          </cell>
          <cell r="G9">
            <v>2035.1259999999997</v>
          </cell>
          <cell r="H9">
            <v>1147.9829999999997</v>
          </cell>
          <cell r="I9">
            <v>1705.6290000000004</v>
          </cell>
          <cell r="J9">
            <v>2555.1740000000004</v>
          </cell>
          <cell r="K9">
            <v>2705</v>
          </cell>
          <cell r="L9">
            <v>2310</v>
          </cell>
          <cell r="M9">
            <v>1682</v>
          </cell>
          <cell r="N9">
            <v>1833.2231290991626</v>
          </cell>
          <cell r="O9">
            <v>2021.5331698144346</v>
          </cell>
          <cell r="P9">
            <v>2329.7058853298586</v>
          </cell>
          <cell r="Q9">
            <v>2523.0532612373227</v>
          </cell>
          <cell r="R9">
            <v>2651.2979894027958</v>
          </cell>
          <cell r="S9">
            <v>2744.632414246194</v>
          </cell>
        </row>
        <row r="10">
          <cell r="A10" t="str">
            <v>EBITDAR</v>
          </cell>
          <cell r="G10">
            <v>2823.1259999999997</v>
          </cell>
          <cell r="H10">
            <v>1963.9829999999997</v>
          </cell>
          <cell r="I10">
            <v>2513.6290000000004</v>
          </cell>
          <cell r="J10">
            <v>3374.1740000000004</v>
          </cell>
          <cell r="K10">
            <v>3571</v>
          </cell>
          <cell r="L10">
            <v>3234</v>
          </cell>
          <cell r="M10">
            <v>2633.7961829533956</v>
          </cell>
          <cell r="N10">
            <v>2822.8909853396135</v>
          </cell>
          <cell r="O10">
            <v>3052.5252064075594</v>
          </cell>
          <cell r="P10">
            <v>3386.8809649599807</v>
          </cell>
          <cell r="Q10">
            <v>3607.0457116560392</v>
          </cell>
          <cell r="R10">
            <v>3762.7570296267913</v>
          </cell>
          <cell r="S10">
            <v>3884.2224963342278</v>
          </cell>
        </row>
        <row r="11">
          <cell r="A11" t="str">
            <v>Free Cash Flow</v>
          </cell>
          <cell r="H11">
            <v>377.74199999999962</v>
          </cell>
          <cell r="I11">
            <v>935.45700000000033</v>
          </cell>
          <cell r="J11">
            <v>1898.62</v>
          </cell>
          <cell r="K11">
            <v>1177.8434414565274</v>
          </cell>
          <cell r="L11">
            <v>950.35900000000015</v>
          </cell>
          <cell r="M11">
            <v>678</v>
          </cell>
          <cell r="N11">
            <v>870.77974218861436</v>
          </cell>
          <cell r="O11">
            <v>917.08663627759233</v>
          </cell>
          <cell r="P11">
            <v>1081.4103761696515</v>
          </cell>
          <cell r="Q11">
            <v>1195.2646014317365</v>
          </cell>
          <cell r="R11">
            <v>1297.2061399792333</v>
          </cell>
          <cell r="S11">
            <v>1366.2601499178591</v>
          </cell>
        </row>
        <row r="12">
          <cell r="A12" t="str">
            <v>Free Cash Flow per Share</v>
          </cell>
          <cell r="H12">
            <v>0.43336958989858165</v>
          </cell>
          <cell r="I12">
            <v>1.0125099717469244</v>
          </cell>
          <cell r="J12">
            <v>1.921730248983005</v>
          </cell>
          <cell r="K12">
            <v>1.1883945154087847</v>
          </cell>
          <cell r="L12">
            <v>1.0532522672388285</v>
          </cell>
          <cell r="M12">
            <v>0.80892031508520068</v>
          </cell>
          <cell r="N12">
            <v>1.0930408828542366</v>
          </cell>
          <cell r="O12">
            <v>1.2535664439378122</v>
          </cell>
          <cell r="P12">
            <v>1.5881002606213304</v>
          </cell>
          <cell r="Q12">
            <v>1.8853002707838877</v>
          </cell>
          <cell r="R12">
            <v>2.1873134333550337</v>
          </cell>
          <cell r="S12">
            <v>2.478801370568728</v>
          </cell>
        </row>
        <row r="13">
          <cell r="A13" t="str">
            <v>Net Debt</v>
          </cell>
          <cell r="G13">
            <v>1401.3560000000016</v>
          </cell>
          <cell r="H13">
            <v>967.55600000000163</v>
          </cell>
          <cell r="I13">
            <v>55.472999999999956</v>
          </cell>
          <cell r="J13">
            <v>-564.14200000000028</v>
          </cell>
          <cell r="K13">
            <v>-1175.7634414565273</v>
          </cell>
          <cell r="L13">
            <v>-2474.3224414565275</v>
          </cell>
          <cell r="M13">
            <v>-2087.322441456527</v>
          </cell>
          <cell r="N13">
            <v>-1948.4133863038073</v>
          </cell>
          <cell r="O13">
            <v>-1631.3937851114783</v>
          </cell>
          <cell r="P13">
            <v>-1281.2825520888805</v>
          </cell>
          <cell r="Q13">
            <v>-1260.9899975680441</v>
          </cell>
          <cell r="R13">
            <v>-1256.5560429603624</v>
          </cell>
          <cell r="S13">
            <v>-1174.3922046513712</v>
          </cell>
        </row>
        <row r="14">
          <cell r="A14" t="str">
            <v>Adjusted Net Debt</v>
          </cell>
          <cell r="G14">
            <v>5499.9909809946494</v>
          </cell>
          <cell r="H14">
            <v>4941.8739046330275</v>
          </cell>
          <cell r="I14">
            <v>4211.2058310989723</v>
          </cell>
          <cell r="J14">
            <v>2260.1010590056417</v>
          </cell>
          <cell r="K14">
            <v>1945.6758677419239</v>
          </cell>
          <cell r="L14">
            <v>1748.6142063631114</v>
          </cell>
          <cell r="M14">
            <v>2366.0191260977422</v>
          </cell>
          <cell r="N14">
            <v>2621.646448081076</v>
          </cell>
          <cell r="O14">
            <v>3105.8529747104062</v>
          </cell>
          <cell r="P14">
            <v>3632.6412045113725</v>
          </cell>
          <cell r="Q14">
            <v>3751.4192617171025</v>
          </cell>
          <cell r="R14">
            <v>3851.3291152335864</v>
          </cell>
          <cell r="S14">
            <v>4026.2281723031042</v>
          </cell>
        </row>
        <row r="15">
          <cell r="A15" t="str">
            <v>Book Value</v>
          </cell>
          <cell r="G15">
            <v>2928.239</v>
          </cell>
          <cell r="H15">
            <v>3009.5810000000001</v>
          </cell>
          <cell r="I15">
            <v>3658.2120000000004</v>
          </cell>
          <cell r="J15">
            <v>4648</v>
          </cell>
          <cell r="K15">
            <v>4936</v>
          </cell>
          <cell r="L15">
            <v>5425</v>
          </cell>
          <cell r="M15">
            <v>5174</v>
          </cell>
          <cell r="N15">
            <v>4577.5569967817046</v>
          </cell>
          <cell r="O15">
            <v>4264.8981781517523</v>
          </cell>
          <cell r="P15">
            <v>3905.2648768787581</v>
          </cell>
          <cell r="Q15">
            <v>3839.8916295244585</v>
          </cell>
          <cell r="R15">
            <v>3735.8362653350723</v>
          </cell>
          <cell r="S15">
            <v>3511.7431305349637</v>
          </cell>
        </row>
        <row r="16">
          <cell r="A16" t="str">
            <v>Book Value per Share</v>
          </cell>
          <cell r="G16">
            <v>3.3341414028605993</v>
          </cell>
          <cell r="H16">
            <v>3.4527822792714731</v>
          </cell>
          <cell r="I16">
            <v>3.9595364926065644</v>
          </cell>
          <cell r="J16">
            <v>4.7045760590708028</v>
          </cell>
          <cell r="K16">
            <v>4.9802164885376783</v>
          </cell>
          <cell r="L16">
            <v>6.0123527527709468</v>
          </cell>
          <cell r="M16">
            <v>6.1730880682165612</v>
          </cell>
          <cell r="N16">
            <v>5.7459500935359307</v>
          </cell>
          <cell r="O16">
            <v>5.8296926718320075</v>
          </cell>
          <cell r="P16">
            <v>5.7350588688946722</v>
          </cell>
          <cell r="Q16">
            <v>6.0566913135816609</v>
          </cell>
          <cell r="R16">
            <v>6.299264701378239</v>
          </cell>
          <cell r="S16">
            <v>6.3713442023312554</v>
          </cell>
        </row>
        <row r="17">
          <cell r="A17" t="str">
            <v>Accumulated Charges/(Gains)</v>
          </cell>
        </row>
        <row r="18">
          <cell r="A18" t="str">
            <v>Capitalized Leases</v>
          </cell>
        </row>
        <row r="19">
          <cell r="A19" t="str">
            <v>Adjusted Invested Capital</v>
          </cell>
          <cell r="G19">
            <v>8039.8890479965985</v>
          </cell>
          <cell r="H19">
            <v>7581.5142971515397</v>
          </cell>
          <cell r="I19">
            <v>7493.2482507722971</v>
          </cell>
          <cell r="J19">
            <v>6500.8290964469415</v>
          </cell>
          <cell r="K19">
            <v>6429.8319335512278</v>
          </cell>
          <cell r="L19">
            <v>6659.3998837476711</v>
          </cell>
          <cell r="M19">
            <v>6941.3148453394688</v>
          </cell>
          <cell r="N19">
            <v>6513.1753173399775</v>
          </cell>
          <cell r="O19">
            <v>6581.2803747869411</v>
          </cell>
          <cell r="P19">
            <v>6642.1176421850332</v>
          </cell>
          <cell r="Q19">
            <v>6606.1695921000801</v>
          </cell>
          <cell r="R19">
            <v>6528.9436422833287</v>
          </cell>
          <cell r="S19">
            <v>6381.0484842771639</v>
          </cell>
        </row>
        <row r="20">
          <cell r="A20" t="str">
            <v>Adjusted NOPAT Margin</v>
          </cell>
          <cell r="G20">
            <v>7.9298474169689173E-2</v>
          </cell>
          <cell r="H20">
            <v>1.4406328235613901E-2</v>
          </cell>
          <cell r="I20">
            <v>5.5287697442777436E-2</v>
          </cell>
          <cell r="J20">
            <v>8.3236381270928333E-2</v>
          </cell>
          <cell r="K20">
            <v>8.8110414640900553E-2</v>
          </cell>
          <cell r="L20">
            <v>7.387100505980039E-2</v>
          </cell>
          <cell r="M20">
            <v>5.3240734469807836E-2</v>
          </cell>
          <cell r="N20">
            <v>5.8896878432124301E-2</v>
          </cell>
          <cell r="O20">
            <v>6.4421779343880992E-2</v>
          </cell>
          <cell r="P20">
            <v>7.1230489792081131E-2</v>
          </cell>
          <cell r="Q20">
            <v>7.582816911789525E-2</v>
          </cell>
          <cell r="R20">
            <v>7.826483223669857E-2</v>
          </cell>
          <cell r="S20">
            <v>7.781723069620336E-2</v>
          </cell>
        </row>
        <row r="21">
          <cell r="A21" t="str">
            <v>Operating Asset Turnover</v>
          </cell>
          <cell r="H21">
            <v>1.722393669530881</v>
          </cell>
          <cell r="I21">
            <v>1.9065775857476044</v>
          </cell>
          <cell r="J21">
            <v>2.1155836581399514</v>
          </cell>
          <cell r="K21">
            <v>2.5021909950456571</v>
          </cell>
          <cell r="L21">
            <v>2.4916821951312209</v>
          </cell>
          <cell r="M21">
            <v>2.3930084209077096</v>
          </cell>
          <cell r="N21">
            <v>2.2865506928435786</v>
          </cell>
          <cell r="O21">
            <v>2.4137501452193457</v>
          </cell>
          <cell r="P21">
            <v>2.5190736994670395</v>
          </cell>
          <cell r="Q21">
            <v>2.5694865492741457</v>
          </cell>
          <cell r="R21">
            <v>2.6448699750827687</v>
          </cell>
          <cell r="S21">
            <v>2.7129428428465392</v>
          </cell>
        </row>
        <row r="22">
          <cell r="A22" t="str">
            <v>Adjusted RNOA</v>
          </cell>
          <cell r="H22">
            <v>2.4813368554205368E-2</v>
          </cell>
          <cell r="I22">
            <v>0.10541028471199461</v>
          </cell>
          <cell r="J22">
            <v>0.1760935279794823</v>
          </cell>
          <cell r="K22">
            <v>0.22046908608420035</v>
          </cell>
          <cell r="L22">
            <v>0.18406306804395295</v>
          </cell>
          <cell r="M22">
            <v>0.12740552592156151</v>
          </cell>
          <cell r="N22">
            <v>0.13467069818529784</v>
          </cell>
          <cell r="O22">
            <v>0.15549807924658141</v>
          </cell>
          <cell r="P22">
            <v>0.17943485343538701</v>
          </cell>
          <cell r="Q22">
            <v>0.19483946060451701</v>
          </cell>
          <cell r="R22">
            <v>0.20700030488773405</v>
          </cell>
          <cell r="S22">
            <v>0.2111136990674029</v>
          </cell>
        </row>
        <row r="23">
          <cell r="A23" t="str">
            <v>Adjusted WACC</v>
          </cell>
          <cell r="G23">
            <v>8.9146373330549894E-2</v>
          </cell>
          <cell r="H23">
            <v>6.8715459088805705E-2</v>
          </cell>
          <cell r="I23">
            <v>7.1849975440961236E-2</v>
          </cell>
          <cell r="J23">
            <v>6.9557239021171252E-2</v>
          </cell>
          <cell r="K23">
            <v>7.2264452640878898E-2</v>
          </cell>
          <cell r="L23">
            <v>7.3038686682246501E-2</v>
          </cell>
          <cell r="M23">
            <v>7.5811046492423942E-2</v>
          </cell>
          <cell r="N23">
            <v>7.6534525694860689E-2</v>
          </cell>
          <cell r="O23">
            <v>7.6367612640694957E-2</v>
          </cell>
          <cell r="P23">
            <v>7.8757986995389995E-2</v>
          </cell>
          <cell r="Q23">
            <v>8.085973686267757E-2</v>
          </cell>
          <cell r="R23">
            <v>8.2833351680450223E-2</v>
          </cell>
          <cell r="S23">
            <v>8.8497767040888534E-2</v>
          </cell>
        </row>
        <row r="24">
          <cell r="A24" t="str">
            <v>Adjusted ROE</v>
          </cell>
          <cell r="G24">
            <v>0.47289202130002639</v>
          </cell>
          <cell r="H24">
            <v>-3.9857863311941015E-3</v>
          </cell>
          <cell r="I24">
            <v>0.18434050101470814</v>
          </cell>
          <cell r="J24">
            <v>0.29984241852488658</v>
          </cell>
          <cell r="K24">
            <v>0.30049746719610798</v>
          </cell>
          <cell r="L24">
            <v>0.24986749050907989</v>
          </cell>
          <cell r="M24">
            <v>0.17181120857478188</v>
          </cell>
          <cell r="N24">
            <v>0.20351098475872051</v>
          </cell>
          <cell r="O24">
            <v>0.28535013533423037</v>
          </cell>
          <cell r="P24">
            <v>0.41632177173996637</v>
          </cell>
          <cell r="Q24">
            <v>0.55558113535035558</v>
          </cell>
          <cell r="R24">
            <v>0.67770859939452321</v>
          </cell>
          <cell r="S24">
            <v>0.85511807567172382</v>
          </cell>
        </row>
        <row r="26">
          <cell r="A26" t="str">
            <v>Closing price</v>
          </cell>
          <cell r="G26">
            <v>32.6</v>
          </cell>
          <cell r="H26">
            <v>14.4</v>
          </cell>
          <cell r="I26">
            <v>14.63</v>
          </cell>
          <cell r="J26">
            <v>18.579999999999998</v>
          </cell>
          <cell r="K26">
            <v>22.01</v>
          </cell>
          <cell r="L26">
            <v>18.09</v>
          </cell>
          <cell r="M26">
            <v>19.5</v>
          </cell>
        </row>
        <row r="27">
          <cell r="A27" t="str">
            <v>Common shares outstanding</v>
          </cell>
          <cell r="G27">
            <v>854</v>
          </cell>
          <cell r="H27">
            <v>865.73</v>
          </cell>
          <cell r="I27">
            <v>887.32</v>
          </cell>
          <cell r="J27">
            <v>897.2</v>
          </cell>
          <cell r="K27">
            <v>860.56</v>
          </cell>
          <cell r="L27">
            <v>856.99</v>
          </cell>
          <cell r="M27">
            <v>814</v>
          </cell>
        </row>
        <row r="28">
          <cell r="A28" t="str">
            <v>Market value</v>
          </cell>
          <cell r="G28">
            <v>27840.400000000001</v>
          </cell>
          <cell r="H28">
            <v>12466.512000000001</v>
          </cell>
          <cell r="I28">
            <v>12981.491600000001</v>
          </cell>
          <cell r="J28">
            <v>16669.975999999999</v>
          </cell>
          <cell r="K28">
            <v>18940.925599999999</v>
          </cell>
          <cell r="L28">
            <v>15502.9491</v>
          </cell>
          <cell r="M28">
            <v>15873</v>
          </cell>
          <cell r="N28" t="str">
            <v>√</v>
          </cell>
        </row>
        <row r="30">
          <cell r="A30" t="str">
            <v>Total debt</v>
          </cell>
          <cell r="G30">
            <v>1810.15</v>
          </cell>
          <cell r="H30">
            <v>2003.2859999999998</v>
          </cell>
          <cell r="I30">
            <v>3395.7730000000001</v>
          </cell>
          <cell r="J30">
            <v>2769.7779999999998</v>
          </cell>
          <cell r="K30">
            <v>1886</v>
          </cell>
          <cell r="L30">
            <v>513</v>
          </cell>
          <cell r="M30">
            <v>513</v>
          </cell>
          <cell r="N30" t="str">
            <v>√</v>
          </cell>
        </row>
        <row r="31">
          <cell r="A31" t="str">
            <v>Cash &amp; cash equiv.</v>
          </cell>
          <cell r="G31">
            <v>408.79399999999839</v>
          </cell>
          <cell r="H31">
            <v>1035.7299999999982</v>
          </cell>
          <cell r="I31">
            <v>3389.3</v>
          </cell>
          <cell r="J31">
            <v>4684.92</v>
          </cell>
          <cell r="K31">
            <v>4076.7634414565273</v>
          </cell>
          <cell r="L31">
            <v>3042.3224414565275</v>
          </cell>
          <cell r="M31">
            <v>2644.322441456527</v>
          </cell>
          <cell r="N31" t="str">
            <v>√</v>
          </cell>
        </row>
        <row r="32">
          <cell r="A32" t="str">
            <v>Enterprise value</v>
          </cell>
          <cell r="G32">
            <v>29241.756000000005</v>
          </cell>
          <cell r="H32">
            <v>13434.068000000003</v>
          </cell>
          <cell r="I32">
            <v>12987.964600000003</v>
          </cell>
          <cell r="J32">
            <v>14754.833999999997</v>
          </cell>
          <cell r="K32">
            <v>16750.16215854347</v>
          </cell>
          <cell r="L32">
            <v>12973.626658543471</v>
          </cell>
          <cell r="M32">
            <v>13741.677558543473</v>
          </cell>
        </row>
        <row r="34">
          <cell r="A34" t="str">
            <v>EV/EBITDA</v>
          </cell>
          <cell r="G34">
            <v>14.36852361966778</v>
          </cell>
          <cell r="H34">
            <v>11.702323118025273</v>
          </cell>
          <cell r="I34">
            <v>7.6147653446323913</v>
          </cell>
          <cell r="J34">
            <v>5.7744928525415471</v>
          </cell>
          <cell r="K34">
            <v>6.1922965465964763</v>
          </cell>
          <cell r="L34">
            <v>5.6162885967720655</v>
          </cell>
          <cell r="M34">
            <v>8.1698439705965953</v>
          </cell>
        </row>
        <row r="36">
          <cell r="A36" t="str">
            <v>1-Yr Fwd P/E</v>
          </cell>
        </row>
      </sheetData>
      <sheetData sheetId="22" refreshError="1"/>
      <sheetData sheetId="23" refreshError="1"/>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ative Risk Reward Chart"/>
      <sheetName val="LIZ Drivers"/>
      <sheetName val="UA Driver"/>
      <sheetName val="UA Drivers"/>
      <sheetName val="Sheet1"/>
      <sheetName val="MW-Cache"/>
      <sheetName val="__FDSCACHE__"/>
      <sheetName val="Scenario Inputs2"/>
      <sheetName val="Scenario Inputs"/>
      <sheetName val="LIZ"/>
      <sheetName val="R5010 (2)"/>
    </sheetNames>
    <sheetDataSet>
      <sheetData sheetId="0"/>
      <sheetData sheetId="1"/>
      <sheetData sheetId="2"/>
      <sheetData sheetId="3"/>
      <sheetData sheetId="4"/>
      <sheetData sheetId="5"/>
      <sheetData sheetId="6"/>
      <sheetData sheetId="7"/>
      <sheetData sheetId="8">
        <row r="1">
          <cell r="B1">
            <v>39782</v>
          </cell>
          <cell r="C1" t="str">
            <v>Bear</v>
          </cell>
          <cell r="D1" t="str">
            <v>Base</v>
          </cell>
          <cell r="E1" t="str">
            <v>Bull</v>
          </cell>
          <cell r="G1" t="str">
            <v>SOTP</v>
          </cell>
          <cell r="K1" t="str">
            <v>P/E as of today</v>
          </cell>
        </row>
        <row r="2">
          <cell r="A2" t="str">
            <v>LIZ.N</v>
          </cell>
          <cell r="B2" t="str">
            <v>LIZ</v>
          </cell>
          <cell r="K2" t="str">
            <v>LIZ</v>
          </cell>
          <cell r="L2" t="e">
            <v>#VALUE!</v>
          </cell>
        </row>
        <row r="3">
          <cell r="B3" t="str">
            <v>Current Price</v>
          </cell>
          <cell r="D3" t="str">
            <v>#Calc</v>
          </cell>
          <cell r="K3" t="str">
            <v>JNY</v>
          </cell>
          <cell r="L3" t="e">
            <v>#VALUE!</v>
          </cell>
        </row>
        <row r="4">
          <cell r="B4" t="str">
            <v>Net Debt</v>
          </cell>
          <cell r="D4">
            <v>798.01300000000015</v>
          </cell>
          <cell r="K4" t="str">
            <v>WRC</v>
          </cell>
          <cell r="L4" t="e">
            <v>#VALUE!</v>
          </cell>
        </row>
        <row r="5">
          <cell r="B5" t="str">
            <v>Shares</v>
          </cell>
          <cell r="D5">
            <v>93.703999999999994</v>
          </cell>
          <cell r="K5" t="str">
            <v>PVH</v>
          </cell>
          <cell r="L5" t="e">
            <v>#VALUE!</v>
          </cell>
        </row>
        <row r="7">
          <cell r="B7" t="str">
            <v>Revenue</v>
          </cell>
          <cell r="C7">
            <v>-6.6357108530112452E-2</v>
          </cell>
          <cell r="D7">
            <v>-3.3845973767718252E-2</v>
          </cell>
          <cell r="E7">
            <v>-1.4128768261478464E-2</v>
          </cell>
          <cell r="K7" t="str">
            <v>GES</v>
          </cell>
          <cell r="L7" t="e">
            <v>#VALUE!</v>
          </cell>
        </row>
        <row r="8">
          <cell r="B8" t="str">
            <v>Gross Margin</v>
          </cell>
          <cell r="C8">
            <v>-128.72476703079562</v>
          </cell>
          <cell r="D8">
            <v>-90.996036928954197</v>
          </cell>
          <cell r="E8">
            <v>-39.295245448067732</v>
          </cell>
          <cell r="K8" t="str">
            <v>UA</v>
          </cell>
          <cell r="L8" t="e">
            <v>#VALUE!</v>
          </cell>
        </row>
        <row r="9">
          <cell r="B9" t="str">
            <v>Expense Ratio</v>
          </cell>
          <cell r="C9">
            <v>-16.156522960027452</v>
          </cell>
          <cell r="D9">
            <v>-39.565286944746589</v>
          </cell>
          <cell r="E9">
            <v>-82.030885314070545</v>
          </cell>
          <cell r="G9" t="e">
            <v>#VALUE!</v>
          </cell>
          <cell r="K9" t="str">
            <v>RL</v>
          </cell>
          <cell r="L9" t="e">
            <v>#VALUE!</v>
          </cell>
        </row>
        <row r="10">
          <cell r="B10" t="str">
            <v>Operating Margin</v>
          </cell>
          <cell r="C10">
            <v>-112.56824407076829</v>
          </cell>
          <cell r="D10">
            <v>-51.430749984207672</v>
          </cell>
          <cell r="E10">
            <v>42.735639866002749</v>
          </cell>
        </row>
        <row r="12">
          <cell r="B12" t="str">
            <v>P/E Valuation</v>
          </cell>
          <cell r="J12" t="str">
            <v>Liz Claiborne: Base Case Assumptions</v>
          </cell>
        </row>
        <row r="13">
          <cell r="B13" t="str">
            <v>EPS</v>
          </cell>
          <cell r="C13">
            <v>0.39172173589738984</v>
          </cell>
          <cell r="D13">
            <v>0.59632293685253845</v>
          </cell>
          <cell r="E13">
            <v>0.94772161341348582</v>
          </cell>
          <cell r="J13">
            <v>0.59632293685253845</v>
          </cell>
        </row>
        <row r="14">
          <cell r="B14" t="str">
            <v>P/E</v>
          </cell>
          <cell r="C14">
            <v>7</v>
          </cell>
          <cell r="D14">
            <v>9</v>
          </cell>
          <cell r="E14">
            <v>11</v>
          </cell>
        </row>
        <row r="15">
          <cell r="B15" t="str">
            <v>Scenario Price</v>
          </cell>
          <cell r="C15">
            <v>2.7420521512817291</v>
          </cell>
          <cell r="D15">
            <v>5.3669064316728461</v>
          </cell>
          <cell r="E15">
            <v>10.424937747548345</v>
          </cell>
        </row>
        <row r="16">
          <cell r="B16" t="str">
            <v>Ups/Downs</v>
          </cell>
          <cell r="C16" t="e">
            <v>#VALUE!</v>
          </cell>
          <cell r="D16" t="e">
            <v>#VALUE!</v>
          </cell>
          <cell r="E16" t="e">
            <v>#VALUE!</v>
          </cell>
        </row>
        <row r="18">
          <cell r="B18" t="str">
            <v>EBITDA Valuation</v>
          </cell>
        </row>
        <row r="19">
          <cell r="B19" t="str">
            <v>EBITDA</v>
          </cell>
          <cell r="C19">
            <v>286.15685640708614</v>
          </cell>
          <cell r="D19">
            <v>317.84754729244861</v>
          </cell>
          <cell r="E19">
            <v>365.73937752847428</v>
          </cell>
          <cell r="J19">
            <v>317.84754729244861</v>
          </cell>
        </row>
        <row r="20">
          <cell r="B20" t="str">
            <v>EV/EBITDA</v>
          </cell>
          <cell r="C20">
            <v>11</v>
          </cell>
          <cell r="D20">
            <v>0</v>
          </cell>
          <cell r="E20">
            <v>9</v>
          </cell>
          <cell r="G20">
            <v>3.7973007645817578</v>
          </cell>
        </row>
        <row r="21">
          <cell r="B21" t="str">
            <v>EV</v>
          </cell>
          <cell r="C21">
            <v>3147.7254204779474</v>
          </cell>
          <cell r="D21">
            <v>0</v>
          </cell>
          <cell r="E21">
            <v>3291.6543977562687</v>
          </cell>
        </row>
        <row r="22">
          <cell r="B22" t="str">
            <v>Implied Equity</v>
          </cell>
          <cell r="C22">
            <v>25.075903061533634</v>
          </cell>
          <cell r="D22">
            <v>-8.516317339708019</v>
          </cell>
          <cell r="E22">
            <v>26.611899147915448</v>
          </cell>
        </row>
        <row r="23">
          <cell r="B23" t="str">
            <v>Ups/Downs</v>
          </cell>
          <cell r="C23" t="e">
            <v>#VALUE!</v>
          </cell>
          <cell r="D23" t="e">
            <v>#VALUE!</v>
          </cell>
          <cell r="E23" t="e">
            <v>#VALUE!</v>
          </cell>
        </row>
        <row r="25">
          <cell r="B25" t="str">
            <v>Residual Income</v>
          </cell>
        </row>
        <row r="26">
          <cell r="B26" t="str">
            <v>Val-Cur</v>
          </cell>
          <cell r="J26">
            <v>23.757622379140592</v>
          </cell>
        </row>
        <row r="28">
          <cell r="B28" t="str">
            <v>FCF Valuation</v>
          </cell>
        </row>
        <row r="29">
          <cell r="B29" t="str">
            <v>FCF Per Share</v>
          </cell>
          <cell r="C29">
            <v>1.6651496506062415</v>
          </cell>
          <cell r="D29">
            <v>1.7526412115393128</v>
          </cell>
          <cell r="E29">
            <v>2.0397844788766752</v>
          </cell>
          <cell r="J29">
            <v>1.7526412115393128</v>
          </cell>
        </row>
        <row r="30">
          <cell r="B30" t="str">
            <v>Yield</v>
          </cell>
          <cell r="C30">
            <v>0.11971761675992125</v>
          </cell>
          <cell r="D30">
            <v>-1.1129962159385136</v>
          </cell>
          <cell r="E30">
            <v>0.11014895708475064</v>
          </cell>
        </row>
        <row r="32">
          <cell r="C32" t="str">
            <v>Trough</v>
          </cell>
          <cell r="D32" t="str">
            <v>5-Yr.</v>
          </cell>
          <cell r="E32" t="str">
            <v>Peak</v>
          </cell>
          <cell r="G32" t="str">
            <v>New Trough</v>
          </cell>
        </row>
        <row r="33">
          <cell r="B33" t="str">
            <v>P/E</v>
          </cell>
          <cell r="C33">
            <v>4.1204470316534083</v>
          </cell>
          <cell r="D33">
            <v>12.532633475042442</v>
          </cell>
          <cell r="E33">
            <v>20.621219484196743</v>
          </cell>
          <cell r="G33">
            <v>3.1204470316534083</v>
          </cell>
        </row>
        <row r="34">
          <cell r="B34" t="str">
            <v>EV/EBITDA</v>
          </cell>
          <cell r="C34">
            <v>299.1585</v>
          </cell>
          <cell r="D34">
            <v>323.00270076643244</v>
          </cell>
          <cell r="E34">
            <v>315.34630000000004</v>
          </cell>
          <cell r="G34">
            <v>298.6585</v>
          </cell>
        </row>
        <row r="36">
          <cell r="B36" t="str">
            <v>Recession</v>
          </cell>
          <cell r="C36" t="str">
            <v>Trough</v>
          </cell>
          <cell r="D36" t="str">
            <v>Mean</v>
          </cell>
          <cell r="E36" t="str">
            <v>Peak</v>
          </cell>
          <cell r="G36" t="str">
            <v>Average</v>
          </cell>
        </row>
        <row r="37">
          <cell r="B37" t="str">
            <v>P/E</v>
          </cell>
          <cell r="C37">
            <v>38.83488257972796</v>
          </cell>
          <cell r="D37">
            <v>0</v>
          </cell>
          <cell r="E37">
            <v>119.38721139465103</v>
          </cell>
          <cell r="G37">
            <v>19.41744128986398</v>
          </cell>
        </row>
        <row r="38">
          <cell r="B38" t="str">
            <v>EV/EBITDA</v>
          </cell>
          <cell r="C38">
            <v>11.594471180832928</v>
          </cell>
          <cell r="D38">
            <v>0</v>
          </cell>
          <cell r="E38">
            <v>11.010880043757094</v>
          </cell>
          <cell r="G38">
            <v>5.7972355904164639</v>
          </cell>
        </row>
        <row r="40">
          <cell r="B40" t="str">
            <v>Price Targets</v>
          </cell>
          <cell r="C40">
            <v>2.5</v>
          </cell>
          <cell r="D40">
            <v>5</v>
          </cell>
          <cell r="E40">
            <v>10.5</v>
          </cell>
          <cell r="O40">
            <v>2.5</v>
          </cell>
          <cell r="P40">
            <v>5</v>
          </cell>
          <cell r="Q40">
            <v>10.5</v>
          </cell>
        </row>
        <row r="41">
          <cell r="B41" t="str">
            <v>Ups/Downs</v>
          </cell>
          <cell r="C41" t="e">
            <v>#VALUE!</v>
          </cell>
          <cell r="D41" t="e">
            <v>#VALUE!</v>
          </cell>
          <cell r="E41" t="e">
            <v>#VALUE!</v>
          </cell>
        </row>
        <row r="42">
          <cell r="C42">
            <v>6.3820813881384062</v>
          </cell>
          <cell r="D42">
            <v>8.3847185660685462</v>
          </cell>
          <cell r="E42">
            <v>11.079202849644105</v>
          </cell>
        </row>
        <row r="43">
          <cell r="A43" t="str">
            <v>JNY.N</v>
          </cell>
          <cell r="B43" t="str">
            <v>JNY</v>
          </cell>
        </row>
        <row r="44">
          <cell r="B44" t="str">
            <v>Current Price</v>
          </cell>
          <cell r="D44" t="str">
            <v>#Calc</v>
          </cell>
        </row>
        <row r="45">
          <cell r="B45" t="str">
            <v>Net Debt</v>
          </cell>
          <cell r="D45">
            <v>582.83067580048032</v>
          </cell>
        </row>
        <row r="46">
          <cell r="B46" t="str">
            <v>Shares</v>
          </cell>
          <cell r="D46">
            <v>83</v>
          </cell>
        </row>
        <row r="48">
          <cell r="B48" t="str">
            <v>Revenue</v>
          </cell>
          <cell r="C48">
            <v>-2.307901574014426E-2</v>
          </cell>
          <cell r="D48">
            <v>1.7273526849326259E-5</v>
          </cell>
          <cell r="E48">
            <v>3.4790577670898548E-2</v>
          </cell>
          <cell r="G48" t="e">
            <v>#VALUE!</v>
          </cell>
        </row>
        <row r="49">
          <cell r="B49" t="str">
            <v>Gross Margin</v>
          </cell>
          <cell r="C49">
            <v>-117.78645744805694</v>
          </cell>
          <cell r="D49">
            <v>-59.059756967107525</v>
          </cell>
          <cell r="E49">
            <v>28.286142070195751</v>
          </cell>
        </row>
        <row r="50">
          <cell r="B50" t="str">
            <v>Expense Ratio</v>
          </cell>
          <cell r="C50">
            <v>-17.859818164190354</v>
          </cell>
          <cell r="D50">
            <v>-16.397089142762276</v>
          </cell>
          <cell r="E50">
            <v>-45.122434328145332</v>
          </cell>
        </row>
        <row r="51">
          <cell r="B51" t="str">
            <v>Operating Margin</v>
          </cell>
          <cell r="C51">
            <v>-99.926639283867488</v>
          </cell>
          <cell r="D51">
            <v>-42.662667824345732</v>
          </cell>
          <cell r="E51">
            <v>73.408576398340188</v>
          </cell>
        </row>
        <row r="53">
          <cell r="B53" t="str">
            <v>P/E Valuation</v>
          </cell>
          <cell r="J53" t="str">
            <v>Jones New York: Base Case Assumptions</v>
          </cell>
        </row>
        <row r="54">
          <cell r="B54" t="str">
            <v>EPS</v>
          </cell>
          <cell r="C54">
            <v>0.61728823323972237</v>
          </cell>
          <cell r="D54">
            <v>0.79672999545315148</v>
          </cell>
          <cell r="E54">
            <v>1.1656862274518387</v>
          </cell>
          <cell r="J54">
            <v>0.79672999545315148</v>
          </cell>
        </row>
        <row r="55">
          <cell r="B55" t="str">
            <v>P/E</v>
          </cell>
          <cell r="C55">
            <v>7</v>
          </cell>
          <cell r="D55">
            <v>9</v>
          </cell>
          <cell r="E55">
            <v>11</v>
          </cell>
        </row>
        <row r="56">
          <cell r="B56" t="str">
            <v>Scenario Price</v>
          </cell>
          <cell r="C56">
            <v>4.3210176326780569</v>
          </cell>
          <cell r="D56">
            <v>7.1705699590783638</v>
          </cell>
          <cell r="E56">
            <v>12.822548501970225</v>
          </cell>
        </row>
        <row r="57">
          <cell r="B57" t="str">
            <v>Ups/Downs</v>
          </cell>
          <cell r="C57" t="e">
            <v>#VALUE!</v>
          </cell>
          <cell r="D57" t="e">
            <v>#VALUE!</v>
          </cell>
          <cell r="E57" t="e">
            <v>#VALUE!</v>
          </cell>
        </row>
        <row r="59">
          <cell r="B59" t="str">
            <v>EBITDA Valuation</v>
          </cell>
        </row>
        <row r="60">
          <cell r="B60" t="str">
            <v>EBITDA</v>
          </cell>
          <cell r="C60">
            <v>221.06983294688666</v>
          </cell>
          <cell r="D60">
            <v>245.04954641820538</v>
          </cell>
          <cell r="E60">
            <v>294.16843447832446</v>
          </cell>
          <cell r="J60">
            <v>245.04954641820538</v>
          </cell>
        </row>
        <row r="61">
          <cell r="B61" t="str">
            <v>EV/EBITDA</v>
          </cell>
          <cell r="C61">
            <v>11</v>
          </cell>
          <cell r="D61">
            <v>0</v>
          </cell>
          <cell r="E61">
            <v>9</v>
          </cell>
          <cell r="G61">
            <v>4.3145065738565203</v>
          </cell>
        </row>
        <row r="62">
          <cell r="B62" t="str">
            <v>EV</v>
          </cell>
          <cell r="C62">
            <v>2431.7681624157531</v>
          </cell>
          <cell r="D62">
            <v>0</v>
          </cell>
          <cell r="E62">
            <v>2647.51591030492</v>
          </cell>
        </row>
        <row r="63">
          <cell r="B63" t="str">
            <v>Implied Equity</v>
          </cell>
          <cell r="C63">
            <v>22.276355260424975</v>
          </cell>
          <cell r="D63">
            <v>-7.022056334945546</v>
          </cell>
          <cell r="E63">
            <v>24.875725716920964</v>
          </cell>
        </row>
        <row r="64">
          <cell r="B64" t="str">
            <v>Ups/Downs</v>
          </cell>
          <cell r="C64" t="e">
            <v>#VALUE!</v>
          </cell>
          <cell r="D64" t="e">
            <v>#VALUE!</v>
          </cell>
          <cell r="E64" t="e">
            <v>#VALUE!</v>
          </cell>
        </row>
        <row r="66">
          <cell r="B66" t="str">
            <v>Residual Income</v>
          </cell>
        </row>
        <row r="67">
          <cell r="B67" t="str">
            <v>Val-Cur</v>
          </cell>
          <cell r="J67">
            <v>11.026665131182027</v>
          </cell>
        </row>
        <row r="69">
          <cell r="B69" t="str">
            <v>FCF Valuation</v>
          </cell>
        </row>
        <row r="70">
          <cell r="B70" t="str">
            <v>FCF Per Share</v>
          </cell>
          <cell r="C70">
            <v>1.4983974074057604</v>
          </cell>
          <cell r="D70">
            <v>1.6912537539147832</v>
          </cell>
          <cell r="E70">
            <v>2.0737124321978539</v>
          </cell>
          <cell r="J70">
            <v>1.6912537539147832</v>
          </cell>
        </row>
        <row r="71">
          <cell r="B71" t="str">
            <v>Yield</v>
          </cell>
          <cell r="C71">
            <v>0.11267258713316833</v>
          </cell>
          <cell r="D71">
            <v>22.775738775349954</v>
          </cell>
          <cell r="E71">
            <v>0.11001630579463952</v>
          </cell>
        </row>
        <row r="73">
          <cell r="C73" t="str">
            <v>Trough</v>
          </cell>
          <cell r="D73" t="str">
            <v>5-Yr.</v>
          </cell>
          <cell r="E73" t="str">
            <v>Peak</v>
          </cell>
          <cell r="G73" t="str">
            <v>New Trough</v>
          </cell>
        </row>
        <row r="74">
          <cell r="B74" t="str">
            <v>P/E</v>
          </cell>
          <cell r="C74">
            <v>6.4271182083309695</v>
          </cell>
          <cell r="D74">
            <v>12.392891578887301</v>
          </cell>
          <cell r="E74">
            <v>24.731174680467745</v>
          </cell>
          <cell r="G74">
            <v>5.4271182083309695</v>
          </cell>
          <cell r="J74">
            <v>9.4100048936091358</v>
          </cell>
        </row>
        <row r="75">
          <cell r="B75" t="str">
            <v>EV/EBITDA</v>
          </cell>
          <cell r="C75">
            <v>239.84399999999999</v>
          </cell>
          <cell r="D75">
            <v>255.64028263804386</v>
          </cell>
          <cell r="E75">
            <v>253.69650000000001</v>
          </cell>
          <cell r="G75">
            <v>239.34399999999999</v>
          </cell>
        </row>
        <row r="77">
          <cell r="B77" t="str">
            <v>Recession</v>
          </cell>
          <cell r="C77" t="str">
            <v>Trough</v>
          </cell>
          <cell r="D77" t="str">
            <v>Mean</v>
          </cell>
          <cell r="E77" t="str">
            <v>Peak</v>
          </cell>
          <cell r="G77" t="str">
            <v>Average</v>
          </cell>
        </row>
        <row r="78">
          <cell r="B78" t="str">
            <v>P/E</v>
          </cell>
          <cell r="C78">
            <v>32.655768648507156</v>
          </cell>
          <cell r="D78">
            <v>0</v>
          </cell>
          <cell r="E78">
            <v>132.64806136481181</v>
          </cell>
          <cell r="G78">
            <v>16.327884324253578</v>
          </cell>
        </row>
        <row r="79">
          <cell r="B79" t="str">
            <v>EV/EBITDA</v>
          </cell>
          <cell r="C79">
            <v>11.977090922263137</v>
          </cell>
          <cell r="D79">
            <v>0</v>
          </cell>
          <cell r="E79">
            <v>10.060946589376625</v>
          </cell>
          <cell r="G79">
            <v>5.9885454611315687</v>
          </cell>
        </row>
        <row r="81">
          <cell r="B81" t="str">
            <v>Price Targets</v>
          </cell>
          <cell r="C81">
            <v>4</v>
          </cell>
          <cell r="D81">
            <v>7</v>
          </cell>
          <cell r="E81">
            <v>13</v>
          </cell>
          <cell r="O81">
            <v>4</v>
          </cell>
          <cell r="P81">
            <v>7</v>
          </cell>
          <cell r="Q81">
            <v>13</v>
          </cell>
        </row>
        <row r="82">
          <cell r="B82" t="str">
            <v>Ups/Downs</v>
          </cell>
          <cell r="C82" t="e">
            <v>#VALUE!</v>
          </cell>
          <cell r="D82" t="e">
            <v>#VALUE!</v>
          </cell>
          <cell r="E82" t="e">
            <v>#VALUE!</v>
          </cell>
        </row>
        <row r="84">
          <cell r="A84" t="str">
            <v>WRC.N</v>
          </cell>
          <cell r="B84" t="str">
            <v>WRC</v>
          </cell>
        </row>
        <row r="85">
          <cell r="B85" t="str">
            <v>Current Price</v>
          </cell>
          <cell r="D85" t="str">
            <v>#Calc</v>
          </cell>
        </row>
        <row r="86">
          <cell r="B86" t="str">
            <v>Net Debt</v>
          </cell>
          <cell r="D86">
            <v>146.34019599656796</v>
          </cell>
        </row>
        <row r="87">
          <cell r="B87" t="str">
            <v>Shares</v>
          </cell>
          <cell r="D87">
            <v>46.780639000000001</v>
          </cell>
        </row>
        <row r="89">
          <cell r="B89" t="str">
            <v>Revenue</v>
          </cell>
          <cell r="C89">
            <v>-0.11976989950304207</v>
          </cell>
          <cell r="D89">
            <v>-2.5755049553264464E-2</v>
          </cell>
          <cell r="E89">
            <v>2.641037255466161E-3</v>
          </cell>
        </row>
        <row r="90">
          <cell r="B90" t="str">
            <v>Gross Margin</v>
          </cell>
          <cell r="C90">
            <v>-119.65735385759734</v>
          </cell>
          <cell r="D90">
            <v>-57.860654104995859</v>
          </cell>
          <cell r="E90">
            <v>-14.807151827720411</v>
          </cell>
        </row>
        <row r="91">
          <cell r="B91" t="str">
            <v>Expense Ratio</v>
          </cell>
          <cell r="C91">
            <v>77.998922105267937</v>
          </cell>
          <cell r="D91">
            <v>34.705478862581685</v>
          </cell>
          <cell r="E91">
            <v>31.128711896627472</v>
          </cell>
        </row>
        <row r="92">
          <cell r="B92" t="str">
            <v>Operating Margin</v>
          </cell>
          <cell r="C92">
            <v>-179.68581022683421</v>
          </cell>
          <cell r="D92">
            <v>-68.16021575468082</v>
          </cell>
          <cell r="E92">
            <v>-19.916157281824887</v>
          </cell>
        </row>
        <row r="94">
          <cell r="B94" t="str">
            <v>P/E Valuation</v>
          </cell>
          <cell r="J94" t="str">
            <v>Warnaco: Base Case Assumptions</v>
          </cell>
        </row>
        <row r="95">
          <cell r="B95" t="str">
            <v>EPS</v>
          </cell>
          <cell r="C95">
            <v>1.87</v>
          </cell>
          <cell r="D95">
            <v>2.4700000000000002</v>
          </cell>
          <cell r="E95">
            <v>2.74</v>
          </cell>
          <cell r="G95" t="e">
            <v>#VALUE!</v>
          </cell>
          <cell r="J95">
            <v>2.4618117734226126</v>
          </cell>
        </row>
        <row r="96">
          <cell r="B96" t="str">
            <v>P/E</v>
          </cell>
          <cell r="C96">
            <v>7</v>
          </cell>
          <cell r="D96">
            <v>9</v>
          </cell>
          <cell r="E96">
            <v>11</v>
          </cell>
        </row>
        <row r="97">
          <cell r="B97" t="str">
            <v>Scenario Price</v>
          </cell>
          <cell r="C97">
            <v>13.09</v>
          </cell>
          <cell r="D97">
            <v>22.23</v>
          </cell>
          <cell r="E97">
            <v>30.14</v>
          </cell>
        </row>
        <row r="98">
          <cell r="B98" t="str">
            <v>Ups/Downs</v>
          </cell>
          <cell r="C98" t="e">
            <v>#VALUE!</v>
          </cell>
          <cell r="D98" t="e">
            <v>#VALUE!</v>
          </cell>
          <cell r="E98" t="e">
            <v>#VALUE!</v>
          </cell>
        </row>
        <row r="100">
          <cell r="B100" t="str">
            <v>EBITDA Valuation</v>
          </cell>
        </row>
        <row r="101">
          <cell r="B101" t="str">
            <v>EBITDA</v>
          </cell>
          <cell r="C101">
            <v>273.64127016791991</v>
          </cell>
          <cell r="D101">
            <v>319.82543010478742</v>
          </cell>
          <cell r="E101">
            <v>339.57970290961413</v>
          </cell>
          <cell r="J101">
            <v>267.61990748481674</v>
          </cell>
        </row>
        <row r="102">
          <cell r="B102" t="str">
            <v>EV/EBITDA</v>
          </cell>
          <cell r="C102">
            <v>14</v>
          </cell>
          <cell r="D102">
            <v>0</v>
          </cell>
          <cell r="E102">
            <v>9</v>
          </cell>
          <cell r="G102">
            <v>4.8720627293441439</v>
          </cell>
        </row>
        <row r="103">
          <cell r="B103" t="str">
            <v>EV</v>
          </cell>
          <cell r="C103">
            <v>3830.9777823508789</v>
          </cell>
          <cell r="D103">
            <v>0</v>
          </cell>
          <cell r="E103">
            <v>3056.2173261865273</v>
          </cell>
        </row>
        <row r="104">
          <cell r="B104" t="str">
            <v>Implied Equity</v>
          </cell>
          <cell r="C104">
            <v>78.764156820395527</v>
          </cell>
          <cell r="D104">
            <v>-3.1282213993820811</v>
          </cell>
          <cell r="E104">
            <v>62.202594756988233</v>
          </cell>
        </row>
        <row r="105">
          <cell r="B105" t="str">
            <v>Ups/Downs</v>
          </cell>
          <cell r="C105" t="e">
            <v>#VALUE!</v>
          </cell>
          <cell r="D105" t="e">
            <v>#VALUE!</v>
          </cell>
          <cell r="E105" t="e">
            <v>#VALUE!</v>
          </cell>
        </row>
        <row r="107">
          <cell r="B107" t="str">
            <v>Residual Income</v>
          </cell>
        </row>
        <row r="108">
          <cell r="B108" t="str">
            <v>Val-Cur</v>
          </cell>
          <cell r="J108">
            <v>47.247361694811161</v>
          </cell>
        </row>
        <row r="110">
          <cell r="B110" t="str">
            <v>FCF Valuation</v>
          </cell>
        </row>
        <row r="111">
          <cell r="B111" t="str">
            <v>FCF Per Share</v>
          </cell>
          <cell r="C111">
            <v>3.979414945933359</v>
          </cell>
          <cell r="D111">
            <v>3.8835532092131673</v>
          </cell>
          <cell r="E111">
            <v>3.935765790688011</v>
          </cell>
          <cell r="J111">
            <v>3.4887129180590786</v>
          </cell>
        </row>
        <row r="112">
          <cell r="B112" t="str">
            <v>Yield</v>
          </cell>
          <cell r="C112">
            <v>8.6646376901905423E-2</v>
          </cell>
          <cell r="D112">
            <v>0.40661692195380583</v>
          </cell>
          <cell r="E112">
            <v>8.5242694361047575E-2</v>
          </cell>
        </row>
        <row r="114">
          <cell r="C114" t="str">
            <v>Trough</v>
          </cell>
          <cell r="D114" t="str">
            <v>5-Yr.</v>
          </cell>
          <cell r="E114" t="str">
            <v>Peak</v>
          </cell>
        </row>
        <row r="115">
          <cell r="B115" t="str">
            <v>P/E</v>
          </cell>
          <cell r="C115">
            <v>5.8995804573471604</v>
          </cell>
          <cell r="D115">
            <v>15.225137406424947</v>
          </cell>
          <cell r="E115">
            <v>19.74418957856701</v>
          </cell>
          <cell r="G115">
            <v>4.8995804573471604</v>
          </cell>
          <cell r="J115">
            <v>10.562358931886054</v>
          </cell>
        </row>
        <row r="116">
          <cell r="B116" t="str">
            <v>EV/EBITDA</v>
          </cell>
          <cell r="C116">
            <v>274.86070000000001</v>
          </cell>
          <cell r="D116">
            <v>271.92733993753131</v>
          </cell>
          <cell r="E116">
            <v>268.14100000000002</v>
          </cell>
          <cell r="G116">
            <v>274.36070000000001</v>
          </cell>
        </row>
        <row r="118">
          <cell r="B118" t="str">
            <v>Recession</v>
          </cell>
          <cell r="C118" t="str">
            <v>Trough</v>
          </cell>
          <cell r="D118" t="str">
            <v>Mean</v>
          </cell>
          <cell r="E118" t="str">
            <v>Peak</v>
          </cell>
          <cell r="G118" t="str">
            <v>Average</v>
          </cell>
        </row>
        <row r="119">
          <cell r="B119" t="str">
            <v>P/E</v>
          </cell>
          <cell r="C119">
            <v>33.220998804772435</v>
          </cell>
          <cell r="D119">
            <v>0</v>
          </cell>
          <cell r="E119">
            <v>134.16903974985749</v>
          </cell>
          <cell r="G119">
            <v>16.610499402386218</v>
          </cell>
        </row>
        <row r="120">
          <cell r="B120" t="str">
            <v>EV/EBITDA</v>
          </cell>
          <cell r="C120" t="str">
            <v>-</v>
          </cell>
          <cell r="D120">
            <v>0</v>
          </cell>
          <cell r="E120" t="str">
            <v>-</v>
          </cell>
          <cell r="G120">
            <v>0</v>
          </cell>
        </row>
        <row r="122">
          <cell r="B122" t="str">
            <v>Price Targets</v>
          </cell>
          <cell r="C122">
            <v>13.3143286066726</v>
          </cell>
          <cell r="D122">
            <v>22</v>
          </cell>
          <cell r="E122">
            <v>30.153107432493702</v>
          </cell>
          <cell r="O122">
            <v>13.3143286066726</v>
          </cell>
          <cell r="P122">
            <v>22</v>
          </cell>
          <cell r="Q122">
            <v>30.153107432493702</v>
          </cell>
        </row>
        <row r="123">
          <cell r="B123" t="str">
            <v>Ups/Downs</v>
          </cell>
          <cell r="C123" t="e">
            <v>#VALUE!</v>
          </cell>
          <cell r="D123" t="e">
            <v>#VALUE!</v>
          </cell>
          <cell r="E123" t="e">
            <v>#VALUE!</v>
          </cell>
        </row>
        <row r="124">
          <cell r="C124">
            <v>7.1199618217500529</v>
          </cell>
          <cell r="D124">
            <v>8.9068825910931171</v>
          </cell>
          <cell r="E124">
            <v>11.004783734486752</v>
          </cell>
        </row>
        <row r="125">
          <cell r="A125" t="str">
            <v>PVH.N</v>
          </cell>
          <cell r="B125" t="str">
            <v>PVH</v>
          </cell>
        </row>
        <row r="126">
          <cell r="B126" t="str">
            <v>Current Price</v>
          </cell>
          <cell r="D126" t="str">
            <v>#Calc</v>
          </cell>
        </row>
        <row r="127">
          <cell r="B127" t="str">
            <v>Net Debt</v>
          </cell>
          <cell r="D127">
            <v>202.00699999999949</v>
          </cell>
        </row>
        <row r="128">
          <cell r="B128" t="str">
            <v>Shares</v>
          </cell>
          <cell r="D128">
            <v>52.293999999999997</v>
          </cell>
        </row>
        <row r="130">
          <cell r="B130" t="str">
            <v>Revenue</v>
          </cell>
          <cell r="C130">
            <v>-6.8117249220791765E-2</v>
          </cell>
          <cell r="D130">
            <v>-3.1739824302132846E-2</v>
          </cell>
          <cell r="E130">
            <v>-1.1084924771722404E-2</v>
          </cell>
          <cell r="H130">
            <v>-7.6285701523983507E-2</v>
          </cell>
          <cell r="I130">
            <v>-3.4224458929715929E-2</v>
          </cell>
          <cell r="J130">
            <v>-5.6435284573952416E-4</v>
          </cell>
          <cell r="L130">
            <v>-7.3434977884946129E-2</v>
          </cell>
          <cell r="M130">
            <v>-1.8574336102211375E-2</v>
          </cell>
          <cell r="N130">
            <v>-1.4657847626209475E-2</v>
          </cell>
        </row>
        <row r="131">
          <cell r="B131" t="str">
            <v>Gross Margin</v>
          </cell>
          <cell r="C131">
            <v>-115.21074728246039</v>
          </cell>
          <cell r="D131">
            <v>-74.588543265898807</v>
          </cell>
          <cell r="E131">
            <v>-42.450498013919535</v>
          </cell>
          <cell r="H131">
            <v>-166.11433040271356</v>
          </cell>
          <cell r="I131">
            <v>-96.33603105782818</v>
          </cell>
          <cell r="J131">
            <v>-128.25676583740182</v>
          </cell>
        </row>
        <row r="132">
          <cell r="B132" t="str">
            <v>Expense Ratio</v>
          </cell>
          <cell r="C132">
            <v>71.983136258124134</v>
          </cell>
          <cell r="D132">
            <v>50.455743705470901</v>
          </cell>
          <cell r="E132">
            <v>31.931965238854442</v>
          </cell>
        </row>
        <row r="133">
          <cell r="B133" t="str">
            <v>Operating Margin</v>
          </cell>
          <cell r="C133">
            <v>-187.19388354058384</v>
          </cell>
          <cell r="D133">
            <v>-125.04428697136902</v>
          </cell>
          <cell r="E133">
            <v>-61.293027348627291</v>
          </cell>
        </row>
        <row r="135">
          <cell r="B135" t="str">
            <v>P/E Valuation</v>
          </cell>
          <cell r="J135" t="str">
            <v>Phillips-Van Heusen: Base Case Assumptions</v>
          </cell>
        </row>
        <row r="136">
          <cell r="B136" t="str">
            <v>EPS</v>
          </cell>
          <cell r="C136">
            <v>2.6975367948907065</v>
          </cell>
          <cell r="D136">
            <v>3.0202804920565067</v>
          </cell>
          <cell r="E136">
            <v>3.3219712718979792</v>
          </cell>
          <cell r="J136">
            <v>2.5625646500915376</v>
          </cell>
        </row>
        <row r="137">
          <cell r="B137" t="str">
            <v>P/E</v>
          </cell>
          <cell r="C137">
            <v>5</v>
          </cell>
          <cell r="D137">
            <v>8</v>
          </cell>
          <cell r="E137">
            <v>11</v>
          </cell>
        </row>
        <row r="138">
          <cell r="B138" t="str">
            <v>Scenario Price</v>
          </cell>
          <cell r="C138">
            <v>13.487683974453532</v>
          </cell>
          <cell r="D138">
            <v>24.162243936452054</v>
          </cell>
          <cell r="E138">
            <v>36.541683990877772</v>
          </cell>
        </row>
        <row r="139">
          <cell r="B139" t="str">
            <v>Ups/Downs</v>
          </cell>
          <cell r="C139" t="e">
            <v>#VALUE!</v>
          </cell>
          <cell r="D139" t="e">
            <v>#VALUE!</v>
          </cell>
          <cell r="E139" t="e">
            <v>#VALUE!</v>
          </cell>
        </row>
        <row r="141">
          <cell r="B141" t="str">
            <v>EBITDA Valuation</v>
          </cell>
        </row>
        <row r="142">
          <cell r="B142" t="str">
            <v>EBITDA</v>
          </cell>
          <cell r="C142">
            <v>302.38773729897332</v>
          </cell>
          <cell r="D142">
            <v>329.01846757906344</v>
          </cell>
          <cell r="E142">
            <v>353.74714620418871</v>
          </cell>
          <cell r="J142">
            <v>296.11657850148913</v>
          </cell>
        </row>
        <row r="143">
          <cell r="B143" t="str">
            <v>EV/EBITDA</v>
          </cell>
          <cell r="C143">
            <v>11</v>
          </cell>
          <cell r="D143">
            <v>0</v>
          </cell>
          <cell r="E143">
            <v>8</v>
          </cell>
          <cell r="G143">
            <v>4.5459145076988214</v>
          </cell>
        </row>
        <row r="144">
          <cell r="B144" t="str">
            <v>EV</v>
          </cell>
          <cell r="C144">
            <v>3326.2651102887066</v>
          </cell>
          <cell r="D144">
            <v>0</v>
          </cell>
          <cell r="E144">
            <v>2829.9771696335097</v>
          </cell>
        </row>
        <row r="145">
          <cell r="B145" t="str">
            <v>Implied Equity</v>
          </cell>
          <cell r="C145">
            <v>59.744102770656426</v>
          </cell>
          <cell r="D145">
            <v>-3.8629097028339676</v>
          </cell>
          <cell r="E145">
            <v>50.253760845097148</v>
          </cell>
        </row>
        <row r="146">
          <cell r="B146" t="str">
            <v>Ups/Downs</v>
          </cell>
          <cell r="C146" t="e">
            <v>#VALUE!</v>
          </cell>
          <cell r="D146" t="e">
            <v>#VALUE!</v>
          </cell>
          <cell r="E146" t="e">
            <v>#VALUE!</v>
          </cell>
        </row>
        <row r="148">
          <cell r="B148" t="str">
            <v>Residual Income</v>
          </cell>
        </row>
        <row r="149">
          <cell r="B149" t="str">
            <v>Val-Cur</v>
          </cell>
          <cell r="J149">
            <v>28.280014890537061</v>
          </cell>
        </row>
        <row r="151">
          <cell r="B151" t="str">
            <v>FCF Valuation</v>
          </cell>
        </row>
        <row r="152">
          <cell r="B152" t="str">
            <v>FCF Per Share</v>
          </cell>
          <cell r="C152">
            <v>3.1023693610209668</v>
          </cell>
          <cell r="D152">
            <v>3.5516863295785646</v>
          </cell>
          <cell r="E152">
            <v>3.943845867944578</v>
          </cell>
          <cell r="J152">
            <v>3.28539002263462</v>
          </cell>
        </row>
        <row r="153">
          <cell r="B153" t="str">
            <v>Yield</v>
          </cell>
          <cell r="C153">
            <v>8.4727397730142831E-2</v>
          </cell>
          <cell r="D153">
            <v>0.34993131190446175</v>
          </cell>
          <cell r="E153">
            <v>9.0876793716481663E-2</v>
          </cell>
        </row>
        <row r="155">
          <cell r="C155" t="str">
            <v>Trough</v>
          </cell>
          <cell r="D155" t="str">
            <v>5-Yr.</v>
          </cell>
          <cell r="E155" t="str">
            <v>Peak</v>
          </cell>
        </row>
        <row r="156">
          <cell r="B156" t="str">
            <v>P/E</v>
          </cell>
          <cell r="C156">
            <v>5.2061818093456127</v>
          </cell>
          <cell r="D156">
            <v>15.259176673924259</v>
          </cell>
          <cell r="E156">
            <v>20.669431279620856</v>
          </cell>
          <cell r="J156">
            <v>10.232679241634935</v>
          </cell>
        </row>
        <row r="157">
          <cell r="B157" t="str">
            <v>EV/EBITDA</v>
          </cell>
          <cell r="C157">
            <v>295.50900000000001</v>
          </cell>
          <cell r="D157">
            <v>328.76022298543529</v>
          </cell>
          <cell r="E157">
            <v>326.46520000000004</v>
          </cell>
        </row>
        <row r="159">
          <cell r="B159" t="str">
            <v>Recession</v>
          </cell>
          <cell r="C159" t="str">
            <v>Trough</v>
          </cell>
          <cell r="D159" t="str">
            <v>Mean</v>
          </cell>
          <cell r="E159" t="str">
            <v>Peak</v>
          </cell>
          <cell r="G159" t="str">
            <v>Average</v>
          </cell>
          <cell r="O159">
            <v>11</v>
          </cell>
          <cell r="P159">
            <v>22</v>
          </cell>
          <cell r="Q159">
            <v>31</v>
          </cell>
        </row>
        <row r="160">
          <cell r="B160" t="str">
            <v>P/E</v>
          </cell>
          <cell r="C160">
            <v>27.942809263417701</v>
          </cell>
          <cell r="D160">
            <v>0</v>
          </cell>
          <cell r="E160">
            <v>133.11565080531253</v>
          </cell>
          <cell r="G160">
            <v>13.97140463170885</v>
          </cell>
        </row>
        <row r="161">
          <cell r="B161" t="str">
            <v>EV/EBITDA</v>
          </cell>
          <cell r="C161">
            <v>10.881526792662877</v>
          </cell>
          <cell r="D161">
            <v>0</v>
          </cell>
          <cell r="E161">
            <v>9.0106642080704216</v>
          </cell>
          <cell r="G161">
            <v>5.4407633963314384</v>
          </cell>
        </row>
        <row r="163">
          <cell r="B163" t="str">
            <v>Price Targets</v>
          </cell>
          <cell r="C163">
            <v>11</v>
          </cell>
          <cell r="D163">
            <v>22</v>
          </cell>
          <cell r="E163">
            <v>31</v>
          </cell>
        </row>
        <row r="164">
          <cell r="B164" t="str">
            <v>Ups/Downs</v>
          </cell>
          <cell r="C164" t="e">
            <v>#VALUE!</v>
          </cell>
          <cell r="D164" t="e">
            <v>#VALUE!</v>
          </cell>
          <cell r="E164" t="e">
            <v>#VALUE!</v>
          </cell>
        </row>
        <row r="165">
          <cell r="C165">
            <v>4.077794238371335</v>
          </cell>
          <cell r="D165">
            <v>7.284091678856031</v>
          </cell>
          <cell r="E165">
            <v>9.3318085746986075</v>
          </cell>
        </row>
        <row r="166">
          <cell r="A166" t="str">
            <v>GES.N</v>
          </cell>
          <cell r="B166" t="str">
            <v>GES</v>
          </cell>
        </row>
        <row r="167">
          <cell r="B167" t="str">
            <v>Current Price</v>
          </cell>
          <cell r="D167" t="str">
            <v>#Calc</v>
          </cell>
        </row>
        <row r="168">
          <cell r="B168" t="str">
            <v>Net Debt</v>
          </cell>
          <cell r="D168">
            <v>-235.60499999999982</v>
          </cell>
        </row>
        <row r="169">
          <cell r="B169" t="str">
            <v>Shares</v>
          </cell>
          <cell r="D169">
            <v>93.893000000000001</v>
          </cell>
        </row>
        <row r="171">
          <cell r="B171" t="str">
            <v>Revenue</v>
          </cell>
          <cell r="C171">
            <v>5.0019061343269389E-3</v>
          </cell>
          <cell r="D171">
            <v>6.2067972955618389E-2</v>
          </cell>
          <cell r="E171">
            <v>8.6505074929410508E-2</v>
          </cell>
        </row>
        <row r="172">
          <cell r="B172" t="str">
            <v>Gross Margin</v>
          </cell>
          <cell r="C172">
            <v>-132.46959365692589</v>
          </cell>
          <cell r="D172">
            <v>-92.045492314125624</v>
          </cell>
          <cell r="E172">
            <v>-56.354346649143963</v>
          </cell>
        </row>
        <row r="173">
          <cell r="B173" t="str">
            <v>Expense Ratio</v>
          </cell>
          <cell r="C173">
            <v>43.820169861799044</v>
          </cell>
          <cell r="D173">
            <v>20.392820435544689</v>
          </cell>
          <cell r="E173">
            <v>9.2980880347370842E-2</v>
          </cell>
        </row>
        <row r="174">
          <cell r="B174" t="str">
            <v>Operating Margin</v>
          </cell>
          <cell r="C174">
            <v>-176.28976351872521</v>
          </cell>
          <cell r="D174">
            <v>-112.43831274967059</v>
          </cell>
          <cell r="E174">
            <v>-56.447327529490224</v>
          </cell>
        </row>
        <row r="176">
          <cell r="B176" t="str">
            <v>P/E Valuation</v>
          </cell>
          <cell r="J176" t="str">
            <v>Guess?: Base Case Assumptions</v>
          </cell>
        </row>
        <row r="177">
          <cell r="B177" t="str">
            <v>EPS</v>
          </cell>
          <cell r="C177">
            <v>2.2579131220645636</v>
          </cell>
          <cell r="D177">
            <v>2.5106239184555692</v>
          </cell>
          <cell r="E177">
            <v>2.6827665053331833</v>
          </cell>
          <cell r="J177">
            <v>2.5106239184555692</v>
          </cell>
        </row>
        <row r="178">
          <cell r="B178" t="str">
            <v>P/E</v>
          </cell>
          <cell r="C178">
            <v>6</v>
          </cell>
          <cell r="D178">
            <v>9</v>
          </cell>
          <cell r="E178">
            <v>12</v>
          </cell>
        </row>
        <row r="179">
          <cell r="B179" t="str">
            <v>Scenario Price</v>
          </cell>
          <cell r="C179">
            <v>13.547478732387383</v>
          </cell>
          <cell r="D179">
            <v>22.595615266100122</v>
          </cell>
          <cell r="E179">
            <v>32.193198063998196</v>
          </cell>
        </row>
        <row r="180">
          <cell r="B180" t="str">
            <v>Ups/Downs</v>
          </cell>
          <cell r="C180" t="e">
            <v>#VALUE!</v>
          </cell>
          <cell r="D180" t="e">
            <v>#VALUE!</v>
          </cell>
          <cell r="E180" t="e">
            <v>#VALUE!</v>
          </cell>
        </row>
        <row r="182">
          <cell r="B182" t="str">
            <v>EBITDA Valuation</v>
          </cell>
        </row>
        <row r="183">
          <cell r="B183" t="str">
            <v>EBITDA</v>
          </cell>
          <cell r="C183">
            <v>395.95327325664459</v>
          </cell>
          <cell r="D183">
            <v>432.95762994659856</v>
          </cell>
          <cell r="E183">
            <v>458.02811179010723</v>
          </cell>
          <cell r="J183">
            <v>432.95762994659856</v>
          </cell>
        </row>
        <row r="184">
          <cell r="B184" t="str">
            <v>EV/EBITDA</v>
          </cell>
          <cell r="C184">
            <v>12</v>
          </cell>
          <cell r="D184">
            <v>0</v>
          </cell>
          <cell r="E184">
            <v>9</v>
          </cell>
          <cell r="G184">
            <v>4.642892656853105</v>
          </cell>
        </row>
        <row r="185">
          <cell r="B185" t="str">
            <v>EV</v>
          </cell>
          <cell r="C185">
            <v>4751.4392790797356</v>
          </cell>
          <cell r="D185">
            <v>0</v>
          </cell>
          <cell r="E185">
            <v>4122.2530061109646</v>
          </cell>
        </row>
        <row r="186">
          <cell r="B186" t="str">
            <v>Implied Equity</v>
          </cell>
          <cell r="C186">
            <v>53.114122235733603</v>
          </cell>
          <cell r="D186">
            <v>2.5092924925180773</v>
          </cell>
          <cell r="E186">
            <v>46.413023400157243</v>
          </cell>
        </row>
        <row r="187">
          <cell r="B187" t="str">
            <v>Ups/Downs</v>
          </cell>
          <cell r="C187" t="e">
            <v>#VALUE!</v>
          </cell>
          <cell r="D187" t="e">
            <v>#VALUE!</v>
          </cell>
          <cell r="E187" t="e">
            <v>#VALUE!</v>
          </cell>
        </row>
        <row r="189">
          <cell r="B189" t="str">
            <v>Residual Income</v>
          </cell>
        </row>
        <row r="190">
          <cell r="B190" t="str">
            <v>Val-Cur</v>
          </cell>
          <cell r="J190">
            <v>44.100114552712384</v>
          </cell>
        </row>
        <row r="192">
          <cell r="B192" t="str">
            <v>FCF Valuation</v>
          </cell>
        </row>
        <row r="193">
          <cell r="B193" t="str">
            <v>FCF Per Share</v>
          </cell>
          <cell r="C193">
            <v>1.9620268022792264</v>
          </cell>
          <cell r="D193">
            <v>2.0333858335373303</v>
          </cell>
          <cell r="E193">
            <v>2.1215188246551513</v>
          </cell>
          <cell r="J193">
            <v>2.0333858335373303</v>
          </cell>
        </row>
        <row r="194">
          <cell r="B194" t="str">
            <v>Yield</v>
          </cell>
          <cell r="C194">
            <v>5.8865276974596217E-2</v>
          </cell>
          <cell r="D194">
            <v>0.16199110174697171</v>
          </cell>
          <cell r="E194">
            <v>5.3978394715806746E-2</v>
          </cell>
        </row>
        <row r="196">
          <cell r="C196" t="str">
            <v>Trough</v>
          </cell>
          <cell r="D196" t="str">
            <v>5-Yr.</v>
          </cell>
          <cell r="E196" t="str">
            <v>Peak</v>
          </cell>
          <cell r="O196">
            <v>10</v>
          </cell>
          <cell r="P196">
            <v>22</v>
          </cell>
          <cell r="Q196">
            <v>28</v>
          </cell>
        </row>
        <row r="197">
          <cell r="B197" t="str">
            <v>P/E</v>
          </cell>
          <cell r="C197">
            <v>2.7960526315789473</v>
          </cell>
          <cell r="D197">
            <v>21.424835061443098</v>
          </cell>
          <cell r="E197">
            <v>48.75</v>
          </cell>
          <cell r="J197">
            <v>12.110443846511023</v>
          </cell>
        </row>
        <row r="198">
          <cell r="B198" t="str">
            <v>EV/EBITDA</v>
          </cell>
          <cell r="C198">
            <v>418.6037</v>
          </cell>
          <cell r="D198">
            <v>418.89366514622878</v>
          </cell>
          <cell r="E198">
            <v>412.87130000000002</v>
          </cell>
        </row>
        <row r="200">
          <cell r="B200" t="str">
            <v>Recession</v>
          </cell>
          <cell r="C200" t="str">
            <v>Trough</v>
          </cell>
          <cell r="D200" t="str">
            <v>Mean</v>
          </cell>
          <cell r="E200" t="str">
            <v>Peak</v>
          </cell>
          <cell r="G200" t="str">
            <v>Average</v>
          </cell>
        </row>
        <row r="201">
          <cell r="B201" t="str">
            <v>P/E</v>
          </cell>
          <cell r="C201">
            <v>13.053715703642743</v>
          </cell>
          <cell r="D201">
            <v>0</v>
          </cell>
          <cell r="E201">
            <v>309.44987810540982</v>
          </cell>
          <cell r="G201">
            <v>6.5268578518213713</v>
          </cell>
        </row>
        <row r="202">
          <cell r="B202" t="str">
            <v>EV/EBITDA</v>
          </cell>
          <cell r="C202">
            <v>11.247450128851238</v>
          </cell>
          <cell r="D202">
            <v>0</v>
          </cell>
          <cell r="E202">
            <v>11.620803986217455</v>
          </cell>
          <cell r="G202">
            <v>5.6237250644256189</v>
          </cell>
        </row>
        <row r="204">
          <cell r="B204" t="str">
            <v>Price Targets</v>
          </cell>
          <cell r="C204">
            <v>10</v>
          </cell>
          <cell r="D204">
            <v>22</v>
          </cell>
          <cell r="E204">
            <v>28</v>
          </cell>
        </row>
        <row r="205">
          <cell r="B205" t="str">
            <v>Ups/Downs</v>
          </cell>
          <cell r="C205" t="e">
            <v>#VALUE!</v>
          </cell>
          <cell r="D205" t="e">
            <v>#VALUE!</v>
          </cell>
          <cell r="E205" t="e">
            <v>#VALUE!</v>
          </cell>
        </row>
        <row r="206">
          <cell r="C206">
            <v>4.4288683662267392</v>
          </cell>
          <cell r="D206">
            <v>8.762762052204728</v>
          </cell>
          <cell r="E206">
            <v>10.436987320490857</v>
          </cell>
        </row>
        <row r="207">
          <cell r="A207" t="str">
            <v>UA.N</v>
          </cell>
          <cell r="B207" t="str">
            <v>UA</v>
          </cell>
        </row>
        <row r="208">
          <cell r="B208" t="str">
            <v>Current Price</v>
          </cell>
          <cell r="D208" t="str">
            <v>#Calc</v>
          </cell>
        </row>
        <row r="209">
          <cell r="B209" t="str">
            <v>Net Debt</v>
          </cell>
          <cell r="D209">
            <v>-2.5880000000000081</v>
          </cell>
        </row>
        <row r="210">
          <cell r="B210" t="str">
            <v>Shares</v>
          </cell>
          <cell r="D210">
            <v>49.933999999999997</v>
          </cell>
        </row>
        <row r="212">
          <cell r="B212" t="str">
            <v>Revenue</v>
          </cell>
          <cell r="C212">
            <v>0.14236773121139379</v>
          </cell>
          <cell r="D212">
            <v>0.18755186841098626</v>
          </cell>
          <cell r="E212">
            <v>0.22117037202345236</v>
          </cell>
        </row>
        <row r="213">
          <cell r="B213" t="str">
            <v>Gross Margin</v>
          </cell>
          <cell r="C213">
            <v>-166.35202649946334</v>
          </cell>
          <cell r="D213">
            <v>-81.868290295997738</v>
          </cell>
          <cell r="E213">
            <v>-11.871325705416492</v>
          </cell>
        </row>
        <row r="214">
          <cell r="B214" t="str">
            <v>Expense Ratio</v>
          </cell>
          <cell r="C214">
            <v>31.875640145483942</v>
          </cell>
          <cell r="D214">
            <v>-18.306369319854298</v>
          </cell>
          <cell r="E214">
            <v>-146.78806714331915</v>
          </cell>
        </row>
        <row r="215">
          <cell r="B215" t="str">
            <v>Operating Margin</v>
          </cell>
          <cell r="C215">
            <v>-198.22766664494756</v>
          </cell>
          <cell r="D215">
            <v>-63.561920976143718</v>
          </cell>
          <cell r="E215">
            <v>134.91674143790212</v>
          </cell>
        </row>
        <row r="217">
          <cell r="B217" t="str">
            <v>P/E Valuation</v>
          </cell>
          <cell r="J217" t="str">
            <v>Under Armour: Base Case Assumptions</v>
          </cell>
        </row>
        <row r="218">
          <cell r="B218" t="str">
            <v>EPS</v>
          </cell>
          <cell r="C218">
            <v>0.99906466248783032</v>
          </cell>
          <cell r="D218">
            <v>1.2018850185316137</v>
          </cell>
          <cell r="E218">
            <v>1.5504235836780593</v>
          </cell>
          <cell r="J218">
            <v>1.2018850185316137</v>
          </cell>
        </row>
        <row r="219">
          <cell r="B219" t="str">
            <v>P/E</v>
          </cell>
          <cell r="C219">
            <v>14</v>
          </cell>
          <cell r="D219">
            <v>18</v>
          </cell>
          <cell r="E219">
            <v>20</v>
          </cell>
        </row>
        <row r="220">
          <cell r="B220" t="str">
            <v>Scenario Price</v>
          </cell>
          <cell r="C220">
            <v>13.986905274829624</v>
          </cell>
          <cell r="D220">
            <v>21.633930333569047</v>
          </cell>
          <cell r="E220">
            <v>31.008471673561186</v>
          </cell>
        </row>
        <row r="221">
          <cell r="B221" t="str">
            <v>Ups/Downs</v>
          </cell>
          <cell r="C221" t="e">
            <v>#VALUE!</v>
          </cell>
          <cell r="D221" t="e">
            <v>#VALUE!</v>
          </cell>
          <cell r="E221" t="e">
            <v>#VALUE!</v>
          </cell>
        </row>
        <row r="223">
          <cell r="B223" t="str">
            <v>EBITDA Valuation</v>
          </cell>
        </row>
        <row r="224">
          <cell r="B224" t="str">
            <v>EBITDA</v>
          </cell>
          <cell r="C224">
            <v>119.58353719373952</v>
          </cell>
          <cell r="D224">
            <v>137.30870701109214</v>
          </cell>
          <cell r="E224">
            <v>167.54865976843155</v>
          </cell>
          <cell r="J224">
            <v>137.30870701109214</v>
          </cell>
        </row>
        <row r="225">
          <cell r="B225" t="str">
            <v>EV/EBITDA</v>
          </cell>
          <cell r="C225">
            <v>20</v>
          </cell>
          <cell r="D225">
            <v>0</v>
          </cell>
          <cell r="E225">
            <v>18</v>
          </cell>
          <cell r="I225" t="str">
            <v>LULU</v>
          </cell>
          <cell r="J225">
            <v>5.9734860572920985</v>
          </cell>
        </row>
        <row r="226">
          <cell r="B226" t="str">
            <v>EV</v>
          </cell>
          <cell r="C226">
            <v>2391.6707438747903</v>
          </cell>
          <cell r="D226">
            <v>0</v>
          </cell>
          <cell r="E226">
            <v>3015.8758758317681</v>
          </cell>
          <cell r="I226" t="str">
            <v>JCG</v>
          </cell>
          <cell r="J226">
            <v>0</v>
          </cell>
        </row>
        <row r="227">
          <cell r="B227" t="str">
            <v>Implied Equity</v>
          </cell>
          <cell r="C227">
            <v>47.948466853742751</v>
          </cell>
          <cell r="D227">
            <v>5.1828413505827856E-2</v>
          </cell>
          <cell r="E227">
            <v>60.449070289417399</v>
          </cell>
          <cell r="I227" t="str">
            <v>HIBB</v>
          </cell>
          <cell r="J227">
            <v>3.6649423212155883</v>
          </cell>
        </row>
        <row r="228">
          <cell r="B228" t="str">
            <v>Ups/Downs</v>
          </cell>
          <cell r="C228" t="e">
            <v>#VALUE!</v>
          </cell>
          <cell r="D228" t="e">
            <v>#VALUE!</v>
          </cell>
          <cell r="E228" t="e">
            <v>#VALUE!</v>
          </cell>
        </row>
        <row r="230">
          <cell r="B230" t="str">
            <v>Residual Income</v>
          </cell>
        </row>
        <row r="231">
          <cell r="B231" t="str">
            <v>Val-Cur</v>
          </cell>
          <cell r="J231">
            <v>28.532794139999851</v>
          </cell>
        </row>
        <row r="233">
          <cell r="B233" t="str">
            <v>FCF Valuation</v>
          </cell>
        </row>
        <row r="234">
          <cell r="B234" t="str">
            <v>FCF Per Share</v>
          </cell>
          <cell r="C234">
            <v>0.4343387735004669</v>
          </cell>
          <cell r="D234">
            <v>0.42456773940421655</v>
          </cell>
          <cell r="E234">
            <v>0.60593286020249848</v>
          </cell>
          <cell r="J234">
            <v>0.42456773940421655</v>
          </cell>
        </row>
        <row r="235">
          <cell r="B235" t="str">
            <v>Yield</v>
          </cell>
          <cell r="C235">
            <v>1.4025548198816596E-2</v>
          </cell>
          <cell r="D235">
            <v>3.9156364723598631E-2</v>
          </cell>
          <cell r="E235">
            <v>1.325058266813635E-2</v>
          </cell>
        </row>
        <row r="237">
          <cell r="C237" t="str">
            <v>Trough</v>
          </cell>
          <cell r="D237" t="str">
            <v>5-Yr.</v>
          </cell>
          <cell r="E237" t="str">
            <v>Peak</v>
          </cell>
          <cell r="O237">
            <v>14</v>
          </cell>
          <cell r="P237">
            <v>22</v>
          </cell>
          <cell r="Q237">
            <v>31</v>
          </cell>
        </row>
        <row r="238">
          <cell r="B238" t="str">
            <v>P/E</v>
          </cell>
          <cell r="C238">
            <v>12.428356703450484</v>
          </cell>
          <cell r="D238">
            <v>44.41327296284517</v>
          </cell>
          <cell r="E238">
            <v>87.068181818181827</v>
          </cell>
          <cell r="J238">
            <v>28.420814833147826</v>
          </cell>
        </row>
        <row r="239">
          <cell r="B239" t="str">
            <v>EV/EBITDA</v>
          </cell>
          <cell r="C239">
            <v>140.03810000000001</v>
          </cell>
          <cell r="D239">
            <v>117.12529688969684</v>
          </cell>
          <cell r="E239">
            <v>118.35556000000001</v>
          </cell>
        </row>
        <row r="241">
          <cell r="B241" t="str">
            <v>Price Targets</v>
          </cell>
          <cell r="C241">
            <v>14</v>
          </cell>
          <cell r="D241">
            <v>22</v>
          </cell>
          <cell r="E241">
            <v>31</v>
          </cell>
        </row>
        <row r="242">
          <cell r="B242" t="str">
            <v>Ups/Downs</v>
          </cell>
          <cell r="C242" t="e">
            <v>#VALUE!</v>
          </cell>
          <cell r="D242" t="e">
            <v>#VALUE!</v>
          </cell>
          <cell r="E242" t="e">
            <v>#VALUE!</v>
          </cell>
        </row>
        <row r="243">
          <cell r="C243">
            <v>14.013106984624766</v>
          </cell>
          <cell r="D243">
            <v>18.304579606856397</v>
          </cell>
          <cell r="E243">
            <v>19.994535897382903</v>
          </cell>
        </row>
        <row r="244">
          <cell r="A244" t="str">
            <v>RL.N</v>
          </cell>
          <cell r="B244" t="str">
            <v>RL</v>
          </cell>
        </row>
        <row r="245">
          <cell r="B245" t="str">
            <v>Current Price</v>
          </cell>
          <cell r="D245" t="str">
            <v>#Calc</v>
          </cell>
        </row>
        <row r="246">
          <cell r="B246" t="str">
            <v>Net Debt</v>
          </cell>
          <cell r="D246">
            <v>-240.9999999999996</v>
          </cell>
        </row>
        <row r="247">
          <cell r="B247" t="str">
            <v>Shares</v>
          </cell>
          <cell r="D247">
            <v>102.1</v>
          </cell>
        </row>
        <row r="249">
          <cell r="B249" t="str">
            <v>Revenue</v>
          </cell>
          <cell r="C249">
            <v>-1.2219431833004668E-2</v>
          </cell>
          <cell r="D249">
            <v>9.7264391571743047E-3</v>
          </cell>
          <cell r="E249">
            <v>4.8279300510463141E-2</v>
          </cell>
        </row>
        <row r="250">
          <cell r="B250" t="str">
            <v>Gross Margin</v>
          </cell>
          <cell r="C250">
            <v>-52.400778001017166</v>
          </cell>
          <cell r="D250">
            <v>39.903577506641419</v>
          </cell>
          <cell r="E250">
            <v>72.31350123189317</v>
          </cell>
        </row>
        <row r="251">
          <cell r="B251" t="str">
            <v>Expense Ratio</v>
          </cell>
          <cell r="C251">
            <v>162.99489485176565</v>
          </cell>
          <cell r="D251">
            <v>139.69425994722619</v>
          </cell>
          <cell r="E251">
            <v>121.14643072228759</v>
          </cell>
        </row>
        <row r="252">
          <cell r="B252" t="str">
            <v>Operating Margin</v>
          </cell>
          <cell r="C252">
            <v>-191.34202325536199</v>
          </cell>
          <cell r="D252">
            <v>-74.157682659594656</v>
          </cell>
          <cell r="E252">
            <v>-20.585567856334919</v>
          </cell>
        </row>
        <row r="254">
          <cell r="B254" t="str">
            <v>P/E Valuation</v>
          </cell>
          <cell r="J254" t="str">
            <v>Ralph Lauren: Base Case Assumptions</v>
          </cell>
        </row>
        <row r="255">
          <cell r="B255" t="str">
            <v>EPS</v>
          </cell>
          <cell r="C255">
            <v>3.3923540743442406</v>
          </cell>
          <cell r="D255">
            <v>3.8195556979500398</v>
          </cell>
          <cell r="E255">
            <v>4.1322311197207835</v>
          </cell>
          <cell r="J255">
            <v>3.8195556979500398</v>
          </cell>
        </row>
        <row r="256">
          <cell r="B256" t="str">
            <v>P/E</v>
          </cell>
          <cell r="C256">
            <v>8</v>
          </cell>
          <cell r="D256">
            <v>11</v>
          </cell>
          <cell r="E256">
            <v>15</v>
          </cell>
          <cell r="G256" t="e">
            <v>#VALUE!</v>
          </cell>
        </row>
        <row r="257">
          <cell r="B257" t="str">
            <v>Scenario Price</v>
          </cell>
          <cell r="C257">
            <v>27.138832594753925</v>
          </cell>
          <cell r="D257">
            <v>42.015112677450439</v>
          </cell>
          <cell r="E257">
            <v>61.983466795811751</v>
          </cell>
        </row>
        <row r="258">
          <cell r="B258" t="str">
            <v>Ups/Downs</v>
          </cell>
          <cell r="C258" t="e">
            <v>#VALUE!</v>
          </cell>
          <cell r="D258" t="e">
            <v>#VALUE!</v>
          </cell>
          <cell r="E258" t="e">
            <v>#VALUE!</v>
          </cell>
        </row>
        <row r="260">
          <cell r="B260" t="str">
            <v>EBITDA Valuation</v>
          </cell>
        </row>
        <row r="261">
          <cell r="B261" t="str">
            <v>EBITDA</v>
          </cell>
          <cell r="C261">
            <v>772.82752298635683</v>
          </cell>
          <cell r="D261">
            <v>843.29338043227006</v>
          </cell>
          <cell r="E261">
            <v>895.18188415629652</v>
          </cell>
          <cell r="J261">
            <v>843.29338043227006</v>
          </cell>
        </row>
        <row r="262">
          <cell r="B262" t="str">
            <v>EV/EBITDA</v>
          </cell>
          <cell r="C262">
            <v>15</v>
          </cell>
          <cell r="D262">
            <v>0</v>
          </cell>
          <cell r="E262">
            <v>11</v>
          </cell>
          <cell r="G262">
            <v>6.2532186038063315</v>
          </cell>
        </row>
        <row r="263">
          <cell r="B263" t="str">
            <v>EV</v>
          </cell>
          <cell r="C263">
            <v>11592.412844795352</v>
          </cell>
          <cell r="D263">
            <v>0</v>
          </cell>
          <cell r="E263">
            <v>9847.000725719261</v>
          </cell>
        </row>
        <row r="264">
          <cell r="B264" t="str">
            <v>Implied Equity</v>
          </cell>
          <cell r="C264">
            <v>115.9002237492199</v>
          </cell>
          <cell r="D264">
            <v>2.360430950048968</v>
          </cell>
          <cell r="E264">
            <v>98.805100153959472</v>
          </cell>
        </row>
        <row r="265">
          <cell r="B265" t="str">
            <v>Ups/Downs</v>
          </cell>
          <cell r="C265" t="e">
            <v>#VALUE!</v>
          </cell>
          <cell r="D265" t="e">
            <v>#VALUE!</v>
          </cell>
          <cell r="E265" t="e">
            <v>#VALUE!</v>
          </cell>
        </row>
        <row r="267">
          <cell r="B267" t="str">
            <v>Residual Income</v>
          </cell>
        </row>
        <row r="268">
          <cell r="B268" t="str">
            <v>Val-Cur</v>
          </cell>
          <cell r="J268">
            <v>58.077356023997737</v>
          </cell>
        </row>
        <row r="270">
          <cell r="B270" t="str">
            <v>FCF Valuation</v>
          </cell>
        </row>
        <row r="271">
          <cell r="B271" t="str">
            <v>FCF Per Share</v>
          </cell>
          <cell r="C271">
            <v>5.3375916719245931</v>
          </cell>
          <cell r="D271">
            <v>5.6935077768655109</v>
          </cell>
          <cell r="E271">
            <v>5.7274157838770998</v>
          </cell>
          <cell r="J271">
            <v>5.6935077768655109</v>
          </cell>
        </row>
        <row r="272">
          <cell r="B272" t="str">
            <v>Yield</v>
          </cell>
          <cell r="C272">
            <v>7.4631248392592789E-2</v>
          </cell>
          <cell r="D272">
            <v>0.25660565759637294</v>
          </cell>
          <cell r="E272">
            <v>7.1241580076601946E-2</v>
          </cell>
        </row>
        <row r="273">
          <cell r="O273">
            <v>25.684165401014301</v>
          </cell>
          <cell r="P273">
            <v>43</v>
          </cell>
          <cell r="Q273">
            <v>71.837292762706198</v>
          </cell>
        </row>
        <row r="274">
          <cell r="C274" t="str">
            <v>Trough</v>
          </cell>
          <cell r="D274" t="str">
            <v>5-Yr.</v>
          </cell>
          <cell r="E274" t="str">
            <v>Peak</v>
          </cell>
        </row>
        <row r="275">
          <cell r="B275" t="str">
            <v>P/E</v>
          </cell>
          <cell r="C275">
            <v>7.8445747800586503</v>
          </cell>
          <cell r="D275">
            <v>16.682633413664135</v>
          </cell>
          <cell r="E275">
            <v>26.298497977869165</v>
          </cell>
          <cell r="J275">
            <v>12.263604096861393</v>
          </cell>
        </row>
        <row r="276">
          <cell r="B276" t="str">
            <v>EV/EBITDA</v>
          </cell>
          <cell r="C276">
            <v>860.82420000000002</v>
          </cell>
          <cell r="D276">
            <v>862.34718055699659</v>
          </cell>
          <cell r="E276">
            <v>821.79550000000006</v>
          </cell>
        </row>
        <row r="278">
          <cell r="B278" t="str">
            <v>Recession</v>
          </cell>
          <cell r="C278" t="str">
            <v>Trough</v>
          </cell>
          <cell r="D278" t="str">
            <v>Mean</v>
          </cell>
          <cell r="E278" t="str">
            <v>Peak</v>
          </cell>
          <cell r="G278" t="str">
            <v>Average</v>
          </cell>
        </row>
        <row r="279">
          <cell r="B279" t="str">
            <v>P/E</v>
          </cell>
          <cell r="C279">
            <v>33.450534727436931</v>
          </cell>
          <cell r="D279">
            <v>0</v>
          </cell>
          <cell r="E279">
            <v>170.30555199737367</v>
          </cell>
          <cell r="G279">
            <v>16.725267363718466</v>
          </cell>
        </row>
        <row r="280">
          <cell r="B280" t="str">
            <v>EV/EBITDA</v>
          </cell>
          <cell r="C280">
            <v>13.227056805898966</v>
          </cell>
          <cell r="D280">
            <v>0</v>
          </cell>
          <cell r="E280">
            <v>10.280584766378455</v>
          </cell>
          <cell r="G280">
            <v>6.6135284029494832</v>
          </cell>
        </row>
        <row r="283">
          <cell r="B283" t="str">
            <v>Price Targets</v>
          </cell>
          <cell r="C283">
            <v>25.684165401014301</v>
          </cell>
          <cell r="D283">
            <v>43</v>
          </cell>
          <cell r="E283">
            <v>71.837292762706198</v>
          </cell>
        </row>
        <row r="284">
          <cell r="B284" t="str">
            <v>Ups/Downs</v>
          </cell>
          <cell r="C284" t="e">
            <v>#VALUE!</v>
          </cell>
          <cell r="D284" t="e">
            <v>#VALUE!</v>
          </cell>
          <cell r="E284" t="e">
            <v>#VALUE!</v>
          </cell>
        </row>
        <row r="285">
          <cell r="C285">
            <v>7.571192404489552</v>
          </cell>
          <cell r="D285">
            <v>11.257853897268248</v>
          </cell>
          <cell r="E285">
            <v>17.384626048593397</v>
          </cell>
        </row>
      </sheetData>
      <sheetData sheetId="9">
        <row r="1">
          <cell r="R1" t="str">
            <v>SmartCharts</v>
          </cell>
          <cell r="BN1" t="str">
            <v>.</v>
          </cell>
        </row>
        <row r="2">
          <cell r="BN2" t="str">
            <v>.</v>
          </cell>
        </row>
        <row r="3">
          <cell r="BN3" t="str">
            <v>.</v>
          </cell>
        </row>
        <row r="9">
          <cell r="D9" t="str">
            <v>Input values in white cells:</v>
          </cell>
        </row>
        <row r="10">
          <cell r="AF10">
            <v>6130.6740333953476</v>
          </cell>
        </row>
        <row r="11">
          <cell r="C11" t="str">
            <v>Base case:</v>
          </cell>
          <cell r="D11">
            <v>22</v>
          </cell>
          <cell r="AF11">
            <v>0.1</v>
          </cell>
        </row>
        <row r="13">
          <cell r="C13" t="str">
            <v>Current price:</v>
          </cell>
          <cell r="D13">
            <v>14.15</v>
          </cell>
          <cell r="AE13">
            <v>-4.9399999999999977</v>
          </cell>
        </row>
        <row r="14">
          <cell r="AE14">
            <v>6170.7696480537052</v>
          </cell>
        </row>
        <row r="15">
          <cell r="C15" t="str">
            <v>Price target:</v>
          </cell>
          <cell r="D15">
            <v>22</v>
          </cell>
        </row>
        <row r="17">
          <cell r="AE17" t="str">
            <v>Bear</v>
          </cell>
          <cell r="AG17" t="str">
            <v>Base</v>
          </cell>
          <cell r="AJ17" t="str">
            <v>Bull</v>
          </cell>
        </row>
        <row r="18">
          <cell r="E18" t="str">
            <v>Input your Bull/Bear data below:</v>
          </cell>
          <cell r="AD18">
            <v>6165.9792177678301</v>
          </cell>
          <cell r="AE18">
            <v>6165.9792177678301</v>
          </cell>
          <cell r="AG18">
            <v>40</v>
          </cell>
          <cell r="AJ18">
            <v>6130.6740333953476</v>
          </cell>
          <cell r="AL18">
            <v>6130.6740333953476</v>
          </cell>
        </row>
        <row r="19">
          <cell r="E19" t="str">
            <v>(Input "to Bear" values as negatives)</v>
          </cell>
          <cell r="AE19" t="str">
            <v>bear_labels</v>
          </cell>
          <cell r="AF19" t="str">
            <v>-bear</v>
          </cell>
          <cell r="AG19" t="str">
            <v>-space1</v>
          </cell>
          <cell r="AH19" t="str">
            <v>+space1</v>
          </cell>
          <cell r="AI19" t="str">
            <v>+bull</v>
          </cell>
          <cell r="AJ19" t="str">
            <v>bull_labels</v>
          </cell>
        </row>
        <row r="20">
          <cell r="D20" t="str">
            <v>to Bear</v>
          </cell>
          <cell r="E20" t="str">
            <v>to Bull</v>
          </cell>
        </row>
        <row r="21">
          <cell r="C21" t="str">
            <v>Global Expansion</v>
          </cell>
          <cell r="D21">
            <v>6170.7696480537052</v>
          </cell>
          <cell r="E21">
            <v>6125.839446330172</v>
          </cell>
          <cell r="AE21">
            <v>-613.06740333953474</v>
          </cell>
          <cell r="AF21">
            <v>6170.7696480537052</v>
          </cell>
          <cell r="AG21">
            <v>0</v>
          </cell>
          <cell r="AH21">
            <v>0</v>
          </cell>
          <cell r="AI21">
            <v>6125.839446330172</v>
          </cell>
          <cell r="AJ21">
            <v>613.06740333953474</v>
          </cell>
          <cell r="AK21">
            <v>6738.9068496697064</v>
          </cell>
        </row>
        <row r="22">
          <cell r="C22" t="str">
            <v>Margin Strength</v>
          </cell>
          <cell r="D22">
            <v>0.14956971412449871</v>
          </cell>
          <cell r="E22">
            <v>-0.10541293482405914</v>
          </cell>
          <cell r="AE22">
            <v>-613.06740333953474</v>
          </cell>
          <cell r="AF22">
            <v>0.14956971412449871</v>
          </cell>
          <cell r="AG22">
            <v>6170.7696480537052</v>
          </cell>
          <cell r="AH22">
            <v>6125.839446330172</v>
          </cell>
          <cell r="AI22">
            <v>-0.10541293482405914</v>
          </cell>
          <cell r="AJ22">
            <v>613.06740333953474</v>
          </cell>
          <cell r="AK22">
            <v>6738.8014367348824</v>
          </cell>
        </row>
        <row r="23">
          <cell r="C23" t="str">
            <v>Multiple</v>
          </cell>
          <cell r="D23">
            <v>-4.9399999999999977</v>
          </cell>
          <cell r="E23">
            <v>4.9400000000000013</v>
          </cell>
          <cell r="AE23">
            <v>-613.06740333953474</v>
          </cell>
          <cell r="AF23">
            <v>-4.9399999999999977</v>
          </cell>
          <cell r="AG23">
            <v>6170.9192177678297</v>
          </cell>
          <cell r="AH23">
            <v>6125.734033395348</v>
          </cell>
          <cell r="AI23">
            <v>4.9400000000000013</v>
          </cell>
          <cell r="AJ23">
            <v>613.06740333953474</v>
          </cell>
          <cell r="AK23">
            <v>6743.741436734882</v>
          </cell>
          <cell r="AN23" t="str">
            <v/>
          </cell>
        </row>
        <row r="24">
          <cell r="AE24">
            <v>-613.06740333953474</v>
          </cell>
          <cell r="AF24">
            <v>0</v>
          </cell>
          <cell r="AG24">
            <v>6165.9792177678301</v>
          </cell>
          <cell r="AH24">
            <v>6130.6740333953476</v>
          </cell>
          <cell r="AI24">
            <v>0</v>
          </cell>
          <cell r="AJ24" t="str">
            <v/>
          </cell>
          <cell r="AK24">
            <v>6130.6740333953476</v>
          </cell>
          <cell r="AN24" t="str">
            <v/>
          </cell>
        </row>
        <row r="25">
          <cell r="AE25">
            <v>-613.06740333953474</v>
          </cell>
          <cell r="AF25">
            <v>0</v>
          </cell>
          <cell r="AG25">
            <v>6165.9792177678301</v>
          </cell>
          <cell r="AH25">
            <v>6130.6740333953476</v>
          </cell>
          <cell r="AI25">
            <v>0</v>
          </cell>
          <cell r="AJ25" t="str">
            <v/>
          </cell>
          <cell r="AK25">
            <v>6130.6740333953476</v>
          </cell>
          <cell r="AN25" t="str">
            <v>Current
14.15</v>
          </cell>
        </row>
        <row r="26">
          <cell r="AE26">
            <v>-613.06740333953474</v>
          </cell>
          <cell r="AF26">
            <v>0</v>
          </cell>
          <cell r="AG26">
            <v>6165.9792177678301</v>
          </cell>
          <cell r="AH26">
            <v>6130.6740333953476</v>
          </cell>
          <cell r="AI26">
            <v>0</v>
          </cell>
          <cell r="AJ26" t="str">
            <v/>
          </cell>
          <cell r="AK26">
            <v>6130.6740333953476</v>
          </cell>
          <cell r="AN26" t="str">
            <v/>
          </cell>
        </row>
        <row r="27">
          <cell r="D27">
            <v>6187.9792177678301</v>
          </cell>
          <cell r="E27">
            <v>6152.6740333953476</v>
          </cell>
          <cell r="AG27">
            <v>0</v>
          </cell>
          <cell r="AH27">
            <v>6130.6740333953476</v>
          </cell>
          <cell r="AN27" t="str">
            <v/>
          </cell>
        </row>
        <row r="28">
          <cell r="D28" t="str">
            <v>BEAR</v>
          </cell>
          <cell r="E28" t="str">
            <v>BULL</v>
          </cell>
          <cell r="AN28" t="str">
            <v/>
          </cell>
        </row>
        <row r="30">
          <cell r="C30" t="str">
            <v>Select currency here:</v>
          </cell>
          <cell r="AE30" t="str">
            <v>-space1</v>
          </cell>
          <cell r="AF30" t="str">
            <v>-bear</v>
          </cell>
          <cell r="AG30" t="str">
            <v>bear_labels</v>
          </cell>
          <cell r="AH30" t="str">
            <v>+space1</v>
          </cell>
          <cell r="AI30" t="str">
            <v>+bull</v>
          </cell>
          <cell r="AJ30" t="str">
            <v>bull_labels</v>
          </cell>
          <cell r="AK30" t="str">
            <v>Bear 6187.98</v>
          </cell>
          <cell r="AL30" t="str">
            <v>Target  22.00</v>
          </cell>
          <cell r="AM30" t="str">
            <v>Bull 6152.67</v>
          </cell>
          <cell r="AN30" t="str">
            <v>Current
14.15</v>
          </cell>
          <cell r="AP30" t="str">
            <v/>
          </cell>
        </row>
        <row r="32">
          <cell r="E32" t="str">
            <v/>
          </cell>
          <cell r="AD32" t="str">
            <v>Global Expansion</v>
          </cell>
          <cell r="AE32">
            <v>0</v>
          </cell>
          <cell r="AF32">
            <v>6170.7696480537052</v>
          </cell>
          <cell r="AH32">
            <v>0</v>
          </cell>
          <cell r="AI32">
            <v>6125.839446330172</v>
          </cell>
          <cell r="AJ32">
            <v>613.06740333953474</v>
          </cell>
          <cell r="AK32">
            <v>6165.9792177678301</v>
          </cell>
          <cell r="AL32">
            <v>0</v>
          </cell>
          <cell r="AM32">
            <v>6130.6740333953476</v>
          </cell>
          <cell r="AN32">
            <v>-7.85</v>
          </cell>
          <cell r="AP32">
            <v>0</v>
          </cell>
        </row>
        <row r="33">
          <cell r="D33" t="str">
            <v>other currency</v>
          </cell>
          <cell r="AD33" t="str">
            <v>Margin Strength</v>
          </cell>
          <cell r="AE33">
            <v>6170.7696480537052</v>
          </cell>
          <cell r="AF33">
            <v>0.14956971412449871</v>
          </cell>
          <cell r="AH33">
            <v>6125.839446330172</v>
          </cell>
          <cell r="AI33">
            <v>-0.10541293482405914</v>
          </cell>
          <cell r="AJ33">
            <v>613.06740333953474</v>
          </cell>
          <cell r="AK33">
            <v>6165.9792177678301</v>
          </cell>
          <cell r="AL33">
            <v>0</v>
          </cell>
          <cell r="AM33">
            <v>6130.6740333953476</v>
          </cell>
          <cell r="AN33">
            <v>-7.85</v>
          </cell>
        </row>
        <row r="34">
          <cell r="AD34" t="str">
            <v>Multiple</v>
          </cell>
          <cell r="AE34">
            <v>6170.9192177678297</v>
          </cell>
          <cell r="AF34">
            <v>-4.9399999999999977</v>
          </cell>
          <cell r="AH34">
            <v>6125.734033395348</v>
          </cell>
          <cell r="AI34">
            <v>4.9400000000000013</v>
          </cell>
          <cell r="AJ34">
            <v>613.06740333953474</v>
          </cell>
          <cell r="AK34">
            <v>6165.9792177678301</v>
          </cell>
          <cell r="AL34">
            <v>0</v>
          </cell>
          <cell r="AM34">
            <v>6130.6740333953476</v>
          </cell>
          <cell r="AN34">
            <v>-7.85</v>
          </cell>
        </row>
        <row r="35">
          <cell r="AD35" t="str">
            <v/>
          </cell>
          <cell r="AE35">
            <v>6165.9792177678301</v>
          </cell>
          <cell r="AF35" t="str">
            <v/>
          </cell>
          <cell r="AH35">
            <v>6130.6740333953476</v>
          </cell>
          <cell r="AI35">
            <v>0</v>
          </cell>
          <cell r="AJ35" t="str">
            <v/>
          </cell>
          <cell r="AK35">
            <v>6165.9792177678301</v>
          </cell>
          <cell r="AL35">
            <v>0</v>
          </cell>
          <cell r="AM35">
            <v>6130.6740333953476</v>
          </cell>
          <cell r="AN35">
            <v>-7.85</v>
          </cell>
        </row>
        <row r="36">
          <cell r="AD36" t="str">
            <v/>
          </cell>
          <cell r="AE36">
            <v>6165.9792177678301</v>
          </cell>
          <cell r="AF36" t="str">
            <v/>
          </cell>
          <cell r="AH36">
            <v>6130.6740333953476</v>
          </cell>
          <cell r="AI36">
            <v>0</v>
          </cell>
          <cell r="AJ36" t="str">
            <v/>
          </cell>
          <cell r="AK36">
            <v>6165.9792177678301</v>
          </cell>
          <cell r="AL36">
            <v>0</v>
          </cell>
          <cell r="AM36">
            <v>6130.6740333953476</v>
          </cell>
          <cell r="AN36">
            <v>-7.85</v>
          </cell>
        </row>
        <row r="37">
          <cell r="AD37" t="str">
            <v/>
          </cell>
          <cell r="AE37">
            <v>6165.9792177678301</v>
          </cell>
          <cell r="AF37" t="str">
            <v/>
          </cell>
          <cell r="AH37">
            <v>6130.6740333953476</v>
          </cell>
          <cell r="AI37">
            <v>0</v>
          </cell>
          <cell r="AJ37" t="str">
            <v/>
          </cell>
          <cell r="AK37">
            <v>6165.9792177678301</v>
          </cell>
          <cell r="AL37">
            <v>0</v>
          </cell>
          <cell r="AM37">
            <v>6130.6740333953476</v>
          </cell>
          <cell r="AN37">
            <v>-7.85</v>
          </cell>
        </row>
        <row r="38">
          <cell r="H38" t="str">
            <v>click here for link to SmartChart FAQ</v>
          </cell>
          <cell r="AK38">
            <v>6165.9792177678301</v>
          </cell>
          <cell r="AL38">
            <v>0</v>
          </cell>
          <cell r="AM38">
            <v>6130.6740333953476</v>
          </cell>
          <cell r="AN38">
            <v>-7.85</v>
          </cell>
        </row>
        <row r="39">
          <cell r="AK39">
            <v>6165.9792177678301</v>
          </cell>
          <cell r="AL39">
            <v>0</v>
          </cell>
          <cell r="AM39">
            <v>6130.6740333953476</v>
          </cell>
          <cell r="AN39">
            <v>-7.85</v>
          </cell>
        </row>
        <row r="40">
          <cell r="G40" t="str">
            <v>Do not change the width of the exhibit or font sizes (they are optimized for export to Word).</v>
          </cell>
        </row>
        <row r="41">
          <cell r="AC41">
            <v>1</v>
          </cell>
          <cell r="AD41" t="str">
            <v>U.S. Dollars</v>
          </cell>
          <cell r="AE41">
            <v>1</v>
          </cell>
          <cell r="AG41" t="str">
            <v>All values are in U.S. Dollars</v>
          </cell>
        </row>
        <row r="42">
          <cell r="G42" t="str">
            <v>Do not delete any rows or columns (some gray cells are used for calculations).</v>
          </cell>
          <cell r="AC42">
            <v>2</v>
          </cell>
          <cell r="AD42" t="str">
            <v>Euros</v>
          </cell>
        </row>
        <row r="43">
          <cell r="AC43">
            <v>3</v>
          </cell>
          <cell r="AD43" t="str">
            <v>Japanese Yen</v>
          </cell>
        </row>
        <row r="44">
          <cell r="G44" t="str">
            <v>You can move the worksheet into another workbook (please use MOVE; do not COPY)</v>
          </cell>
          <cell r="AC44">
            <v>4</v>
          </cell>
          <cell r="AD44" t="str">
            <v>Other (input below)</v>
          </cell>
        </row>
        <row r="46">
          <cell r="G46" t="str">
            <v>Color palette may be affected after moving the worksheet to another workbook. See instructions in FAQ on the intranet</v>
          </cell>
        </row>
        <row r="49">
          <cell r="L49" t="str">
            <v>Bear</v>
          </cell>
          <cell r="M49" t="str">
            <v>Base</v>
          </cell>
          <cell r="N49" t="str">
            <v>Bull</v>
          </cell>
          <cell r="AK49" t="str">
            <v>s</v>
          </cell>
        </row>
        <row r="50">
          <cell r="J50" t="str">
            <v>Revenues</v>
          </cell>
          <cell r="L50">
            <v>212.3175238670191</v>
          </cell>
          <cell r="M50">
            <v>2022.5584557033394</v>
          </cell>
          <cell r="N50">
            <v>225.49813096701911</v>
          </cell>
        </row>
        <row r="51">
          <cell r="J51" t="str">
            <v>Gross Margin</v>
          </cell>
          <cell r="L51">
            <v>-23.812190517260888</v>
          </cell>
          <cell r="M51">
            <v>-23.812726947840115</v>
          </cell>
          <cell r="N51">
            <v>-23.813105010484797</v>
          </cell>
        </row>
        <row r="52">
          <cell r="J52" t="str">
            <v>Gross Profit</v>
          </cell>
          <cell r="L52">
            <v>-5055.7453284745443</v>
          </cell>
          <cell r="M52">
            <v>-48162.632241708801</v>
          </cell>
          <cell r="N52">
            <v>-5369.8106723856799</v>
          </cell>
        </row>
        <row r="53">
          <cell r="J53" t="str">
            <v>Expense Ratio</v>
          </cell>
          <cell r="L53">
            <v>6.6772102905653528</v>
          </cell>
          <cell r="M53">
            <v>0.90403084684786683</v>
          </cell>
          <cell r="N53">
            <v>7.2977144793772037</v>
          </cell>
        </row>
        <row r="54">
          <cell r="J54" t="str">
            <v>Expenses</v>
          </cell>
          <cell r="L54">
            <v>1417.6887552322148</v>
          </cell>
          <cell r="M54">
            <v>1828.4552335088038</v>
          </cell>
          <cell r="N54">
            <v>1645.6209754305123</v>
          </cell>
        </row>
        <row r="55">
          <cell r="J55" t="str">
            <v>Operating Margin</v>
          </cell>
          <cell r="L55">
            <v>2</v>
          </cell>
          <cell r="M55">
            <v>2</v>
          </cell>
          <cell r="N55">
            <v>2</v>
          </cell>
        </row>
        <row r="56">
          <cell r="J56" t="str">
            <v>Operating Profit</v>
          </cell>
          <cell r="L56">
            <v>-6473.4340837067593</v>
          </cell>
          <cell r="M56">
            <v>-49991.087475217602</v>
          </cell>
          <cell r="N56">
            <v>-7015.4316478161927</v>
          </cell>
        </row>
        <row r="57">
          <cell r="J57" t="str">
            <v>Other Expenses</v>
          </cell>
          <cell r="L57">
            <v>21</v>
          </cell>
          <cell r="M57">
            <v>21</v>
          </cell>
          <cell r="N57">
            <v>21</v>
          </cell>
        </row>
        <row r="58">
          <cell r="J58" t="str">
            <v>PBT</v>
          </cell>
          <cell r="L58">
            <v>-6494.4340837067593</v>
          </cell>
          <cell r="M58">
            <v>-50012.087475217602</v>
          </cell>
          <cell r="N58">
            <v>-7036.4316478161927</v>
          </cell>
        </row>
        <row r="59">
          <cell r="J59" t="str">
            <v>Taxes</v>
          </cell>
          <cell r="L59">
            <v>-1883.3858842749623</v>
          </cell>
          <cell r="M59">
            <v>-14503.505367813121</v>
          </cell>
          <cell r="N59">
            <v>-2040.5651778666981</v>
          </cell>
        </row>
        <row r="60">
          <cell r="J60" t="str">
            <v>Net Income</v>
          </cell>
          <cell r="L60">
            <v>-4611.048199431797</v>
          </cell>
          <cell r="M60">
            <v>-35508.58210740448</v>
          </cell>
          <cell r="N60">
            <v>-4995.8664699494948</v>
          </cell>
        </row>
        <row r="61">
          <cell r="J61" t="str">
            <v>EPS</v>
          </cell>
          <cell r="L61">
            <v>1.87</v>
          </cell>
          <cell r="M61">
            <v>2.4700000000000002</v>
          </cell>
          <cell r="N61">
            <v>2.74</v>
          </cell>
        </row>
        <row r="62">
          <cell r="L62">
            <v>-101.34818620303524</v>
          </cell>
          <cell r="M62">
            <v>-768.52777903632079</v>
          </cell>
          <cell r="N62">
            <v>-110.52020819742835</v>
          </cell>
        </row>
        <row r="63">
          <cell r="J63" t="str">
            <v>Tax Rate</v>
          </cell>
          <cell r="L63">
            <v>0.29000000000000031</v>
          </cell>
          <cell r="M63">
            <v>0.29000000000000031</v>
          </cell>
          <cell r="N63">
            <v>0.29000000000000031</v>
          </cell>
        </row>
        <row r="64">
          <cell r="J64" t="str">
            <v>Shares</v>
          </cell>
          <cell r="L64">
            <v>46.352354977810265</v>
          </cell>
          <cell r="M64">
            <v>46.352354977810265</v>
          </cell>
          <cell r="N64">
            <v>46.352354977810265</v>
          </cell>
        </row>
        <row r="66">
          <cell r="J66" t="str">
            <v>Revenues</v>
          </cell>
          <cell r="L66">
            <v>685.6410720059672</v>
          </cell>
          <cell r="M66">
            <v>0</v>
          </cell>
          <cell r="N66">
            <v>680.64882737001915</v>
          </cell>
        </row>
        <row r="67">
          <cell r="J67" t="str">
            <v>Gross Margin</v>
          </cell>
          <cell r="L67">
            <v>1.6618857124944302E-2</v>
          </cell>
          <cell r="M67">
            <v>0</v>
          </cell>
          <cell r="N67">
            <v>-1.1712548313784349E-2</v>
          </cell>
        </row>
        <row r="68">
          <cell r="J68" t="str">
            <v>Expenses</v>
          </cell>
          <cell r="L68">
            <v>-178.85565820979414</v>
          </cell>
          <cell r="M68">
            <v>0</v>
          </cell>
          <cell r="N68">
            <v>-198.0791530264415</v>
          </cell>
        </row>
        <row r="69">
          <cell r="J69" t="str">
            <v>Operating Profit</v>
          </cell>
          <cell r="L69">
            <v>506.80203265329806</v>
          </cell>
          <cell r="M69">
            <v>0</v>
          </cell>
          <cell r="N69">
            <v>482.55796179526385</v>
          </cell>
        </row>
        <row r="70">
          <cell r="J70" t="str">
            <v>Other</v>
          </cell>
          <cell r="L70">
            <v>-507.40203265329808</v>
          </cell>
          <cell r="M70">
            <v>0</v>
          </cell>
          <cell r="N70">
            <v>-482.28796179526387</v>
          </cell>
        </row>
        <row r="71">
          <cell r="J71" t="str">
            <v>TOTAL</v>
          </cell>
          <cell r="L71">
            <v>-0.60000000000002274</v>
          </cell>
          <cell r="M71">
            <v>0</v>
          </cell>
          <cell r="N71">
            <v>0.26999999999998181</v>
          </cell>
        </row>
        <row r="72">
          <cell r="L72">
            <v>-0.60000000000000009</v>
          </cell>
          <cell r="N72">
            <v>0.27</v>
          </cell>
        </row>
        <row r="74">
          <cell r="J74" t="str">
            <v>Multiple</v>
          </cell>
          <cell r="L74">
            <v>7</v>
          </cell>
          <cell r="M74">
            <v>9</v>
          </cell>
          <cell r="N74">
            <v>11</v>
          </cell>
        </row>
        <row r="75">
          <cell r="J75" t="str">
            <v>Target</v>
          </cell>
          <cell r="L75">
            <v>13.3143286066726</v>
          </cell>
          <cell r="M75">
            <v>22</v>
          </cell>
          <cell r="N75">
            <v>30.153107432493702</v>
          </cell>
        </row>
        <row r="77">
          <cell r="J77" t="str">
            <v>Drivers</v>
          </cell>
        </row>
        <row r="78">
          <cell r="J78" t="str">
            <v>Revenues</v>
          </cell>
          <cell r="L78">
            <v>6170.7696480537052</v>
          </cell>
          <cell r="N78">
            <v>6125.839446330172</v>
          </cell>
        </row>
        <row r="79">
          <cell r="J79" t="str">
            <v>Gross Margin</v>
          </cell>
          <cell r="L79">
            <v>0.14956971412449871</v>
          </cell>
          <cell r="N79">
            <v>-0.10541293482405914</v>
          </cell>
        </row>
        <row r="80">
          <cell r="J80" t="str">
            <v>Expenses</v>
          </cell>
          <cell r="L80">
            <v>-1609.7009238881474</v>
          </cell>
          <cell r="N80">
            <v>-1782.7123772379734</v>
          </cell>
        </row>
        <row r="81">
          <cell r="J81" t="str">
            <v>Operating Profit</v>
          </cell>
          <cell r="L81">
            <v>4561.2182938796823</v>
          </cell>
          <cell r="N81">
            <v>4343.0216561573743</v>
          </cell>
        </row>
        <row r="82">
          <cell r="J82" t="str">
            <v>Other</v>
          </cell>
          <cell r="L82">
            <v>-4566.6182938796828</v>
          </cell>
          <cell r="N82">
            <v>-4340.5916561573749</v>
          </cell>
        </row>
        <row r="83">
          <cell r="J83" t="str">
            <v>TOTAL</v>
          </cell>
          <cell r="L83">
            <v>-5.4000000000005457</v>
          </cell>
          <cell r="N83">
            <v>2.4299999999993815</v>
          </cell>
        </row>
        <row r="84">
          <cell r="J84" t="str">
            <v>Multiple</v>
          </cell>
          <cell r="L84">
            <v>-4.9399999999999977</v>
          </cell>
          <cell r="N84">
            <v>4.9400000000000013</v>
          </cell>
        </row>
        <row r="85">
          <cell r="J85" t="str">
            <v>TOTAL</v>
          </cell>
          <cell r="L85">
            <v>-10.340000000000543</v>
          </cell>
          <cell r="N85">
            <v>7.3699999999993828</v>
          </cell>
        </row>
        <row r="86">
          <cell r="J86" t="str">
            <v>Check</v>
          </cell>
          <cell r="L86">
            <v>-8.6856713933274001</v>
          </cell>
          <cell r="N86">
            <v>8.1531074324937016</v>
          </cell>
        </row>
      </sheetData>
      <sheetData sheetId="10"/>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000"/>
      <sheetName val="traffic"/>
      <sheetName val="SGA core info"/>
      <sheetName val="Sensitivity 2"/>
      <sheetName val="Sensitivity 2 summary table"/>
      <sheetName val="2 year comp"/>
      <sheetName val="Sensitivity 1 scrap "/>
      <sheetName val="Overlaps Summary"/>
      <sheetName val="Merchandise margins at Gap"/>
      <sheetName val="operating margins at Gap"/>
    </sheetNames>
    <sheetDataSet>
      <sheetData sheetId="0">
        <row r="1">
          <cell r="N1" t="str">
            <v>SmartCharts</v>
          </cell>
          <cell r="AW1" t="str">
            <v>.</v>
          </cell>
        </row>
        <row r="2">
          <cell r="AW2" t="str">
            <v>.</v>
          </cell>
        </row>
        <row r="3">
          <cell r="AW3" t="str">
            <v>.</v>
          </cell>
        </row>
        <row r="4">
          <cell r="AW4" t="str">
            <v>.</v>
          </cell>
        </row>
        <row r="5">
          <cell r="C5" t="str">
            <v>Define value axis here:</v>
          </cell>
        </row>
        <row r="6">
          <cell r="C6" t="str">
            <v>Gap, Inc. SG&amp;A per Sqaure Foot</v>
          </cell>
        </row>
        <row r="10">
          <cell r="C10" t="str">
            <v>Input your data here:</v>
          </cell>
          <cell r="AW10" t="str">
            <v>.</v>
          </cell>
        </row>
        <row r="11">
          <cell r="C11" t="str">
            <v>Q104</v>
          </cell>
          <cell r="D11">
            <v>113.55540448674371</v>
          </cell>
        </row>
        <row r="12">
          <cell r="C12" t="str">
            <v>Q204</v>
          </cell>
          <cell r="D12">
            <v>116.44808743169398</v>
          </cell>
          <cell r="AW12" t="str">
            <v>.</v>
          </cell>
        </row>
        <row r="13">
          <cell r="C13" t="str">
            <v>Q304</v>
          </cell>
          <cell r="D13">
            <v>117.67918088737201</v>
          </cell>
          <cell r="AW13" t="str">
            <v>.</v>
          </cell>
        </row>
        <row r="14">
          <cell r="C14" t="str">
            <v>Q404</v>
          </cell>
          <cell r="D14">
            <v>117.21691678035471</v>
          </cell>
          <cell r="AW14" t="str">
            <v>.</v>
          </cell>
        </row>
        <row r="15">
          <cell r="C15" t="str">
            <v>Q105</v>
          </cell>
          <cell r="D15">
            <v>117.46766507828454</v>
          </cell>
          <cell r="AW15" t="str">
            <v>.</v>
          </cell>
        </row>
        <row r="16">
          <cell r="C16" t="str">
            <v>Q205</v>
          </cell>
          <cell r="D16">
            <v>116.88346883468836</v>
          </cell>
          <cell r="AW16" t="str">
            <v>.</v>
          </cell>
        </row>
        <row r="17">
          <cell r="C17" t="str">
            <v>Q305</v>
          </cell>
          <cell r="D17">
            <v>113.89784946236558</v>
          </cell>
          <cell r="AW17" t="str">
            <v>.</v>
          </cell>
        </row>
        <row r="18">
          <cell r="C18" t="str">
            <v>Q405</v>
          </cell>
          <cell r="D18">
            <v>111.6</v>
          </cell>
          <cell r="AW18" t="str">
            <v>.</v>
          </cell>
        </row>
        <row r="19">
          <cell r="C19" t="str">
            <v>Q106</v>
          </cell>
          <cell r="D19">
            <v>110.34391534391536</v>
          </cell>
          <cell r="AW19" t="str">
            <v>.</v>
          </cell>
        </row>
        <row r="20">
          <cell r="C20" t="str">
            <v>Q206</v>
          </cell>
          <cell r="D20">
            <v>111.0761154855643</v>
          </cell>
          <cell r="AW20" t="str">
            <v>.</v>
          </cell>
        </row>
        <row r="21">
          <cell r="C21" t="str">
            <v>Q306</v>
          </cell>
          <cell r="D21">
            <v>114.17374265186153</v>
          </cell>
          <cell r="AW21" t="str">
            <v>.</v>
          </cell>
        </row>
        <row r="22">
          <cell r="C22" t="str">
            <v>Q406</v>
          </cell>
          <cell r="D22">
            <v>116.05962410887879</v>
          </cell>
          <cell r="AW22" t="str">
            <v>.</v>
          </cell>
        </row>
        <row r="23">
          <cell r="C23" t="str">
            <v>Q107</v>
          </cell>
          <cell r="D23">
            <v>116.37709137709138</v>
          </cell>
          <cell r="AW23" t="str">
            <v>.</v>
          </cell>
        </row>
        <row r="24">
          <cell r="C24" t="str">
            <v>Q207</v>
          </cell>
          <cell r="D24">
            <v>114.25463851567497</v>
          </cell>
          <cell r="AW24" t="str">
            <v>.</v>
          </cell>
        </row>
        <row r="25">
          <cell r="C25" t="str">
            <v>Q307</v>
          </cell>
          <cell r="D25">
            <v>111.47040101845958</v>
          </cell>
          <cell r="AW25" t="str">
            <v>.</v>
          </cell>
        </row>
        <row r="26">
          <cell r="C26" t="str">
            <v>Q407</v>
          </cell>
          <cell r="D26">
            <v>110.20925808497147</v>
          </cell>
          <cell r="AW26" t="str">
            <v>.</v>
          </cell>
        </row>
        <row r="27">
          <cell r="C27" t="str">
            <v>Q108</v>
          </cell>
          <cell r="D27">
            <v>107.58686039166139</v>
          </cell>
          <cell r="AW27" t="str">
            <v>.</v>
          </cell>
        </row>
        <row r="28">
          <cell r="C28" t="str">
            <v>Q208</v>
          </cell>
          <cell r="D28">
            <v>105.94833018273472</v>
          </cell>
          <cell r="AW28" t="str">
            <v>.</v>
          </cell>
        </row>
        <row r="29">
          <cell r="C29" t="str">
            <v>Q308</v>
          </cell>
          <cell r="D29">
            <v>103.60201511335012</v>
          </cell>
          <cell r="AW29" t="str">
            <v>.</v>
          </cell>
        </row>
        <row r="30">
          <cell r="C30" t="str">
            <v>Q408</v>
          </cell>
          <cell r="D30">
            <v>98.273471959672349</v>
          </cell>
          <cell r="AW30" t="str">
            <v>.</v>
          </cell>
        </row>
        <row r="31">
          <cell r="C31" t="str">
            <v>Q109</v>
          </cell>
          <cell r="D31">
            <v>96.616161616161619</v>
          </cell>
          <cell r="AW31" t="str">
            <v>.</v>
          </cell>
        </row>
        <row r="32">
          <cell r="C32" t="str">
            <v>Q209</v>
          </cell>
          <cell r="D32">
            <v>95.423514538558791</v>
          </cell>
          <cell r="AW32" t="str">
            <v>.</v>
          </cell>
        </row>
        <row r="33">
          <cell r="C33" t="str">
            <v>Q309E</v>
          </cell>
          <cell r="D33">
            <v>96.496514758303874</v>
          </cell>
          <cell r="AW33" t="str">
            <v>.</v>
          </cell>
        </row>
        <row r="34">
          <cell r="C34" t="str">
            <v>Q409E</v>
          </cell>
          <cell r="D34">
            <v>98.614359976164863</v>
          </cell>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
      <sheetData sheetId="2"/>
      <sheetData sheetId="3"/>
      <sheetData sheetId="4"/>
      <sheetData sheetId="5"/>
      <sheetData sheetId="6"/>
      <sheetData sheetId="7"/>
      <sheetData sheetId="8"/>
      <sheetData sheetId="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MS vs Street"/>
      <sheetName val="Quarterly Data -ModelLinked"/>
      <sheetName val="Summary Cheat Sheet"/>
      <sheetName val="Coverage Universe Comp"/>
      <sheetName val="EBITDA"/>
      <sheetName val="__FDSCACHE__"/>
      <sheetName val="MS vs Consensus Estimates"/>
      <sheetName val="Revenue Growth"/>
      <sheetName val="Operating Margin"/>
      <sheetName val="EPS"/>
      <sheetName val="EPS Growth"/>
      <sheetName val="Relative Risk Reward Chart"/>
      <sheetName val="Earnings Snapshot"/>
      <sheetName val="For 2010 report - Q data"/>
      <sheetName val="For 2010 Report - misc calc"/>
      <sheetName val="GPS Report"/>
      <sheetName val="CHSG&amp;A Growth less Sales Growth"/>
    </sheetNames>
    <sheetDataSet>
      <sheetData sheetId="0"/>
      <sheetData sheetId="1"/>
      <sheetData sheetId="2"/>
      <sheetData sheetId="3"/>
      <sheetData sheetId="4">
        <row r="1">
          <cell r="C1" t="str">
            <v>KSS.N</v>
          </cell>
          <cell r="D1" t="str">
            <v>JCP.N</v>
          </cell>
          <cell r="E1" t="str">
            <v>M.N</v>
          </cell>
          <cell r="F1" t="str">
            <v>JWN.N</v>
          </cell>
          <cell r="G1" t="str">
            <v>SKS.N</v>
          </cell>
          <cell r="H1" t="str">
            <v>ROST.O</v>
          </cell>
          <cell r="I1" t="str">
            <v>TJX.N</v>
          </cell>
          <cell r="M1" t="str">
            <v>ANF.N</v>
          </cell>
          <cell r="N1" t="str">
            <v>ARO.N</v>
          </cell>
          <cell r="O1" t="str">
            <v>AEO.N</v>
          </cell>
          <cell r="P1" t="str">
            <v>COH.N</v>
          </cell>
          <cell r="Q1" t="str">
            <v>GPS.N</v>
          </cell>
          <cell r="R1" t="str">
            <v>LTD.N</v>
          </cell>
          <cell r="S1" t="str">
            <v>URBN.O</v>
          </cell>
        </row>
        <row r="2">
          <cell r="C2" t="str">
            <v>Base Case - Dept Stores</v>
          </cell>
          <cell r="M2" t="str">
            <v>Base Case - Specialty</v>
          </cell>
        </row>
        <row r="3">
          <cell r="B3">
            <v>40284</v>
          </cell>
          <cell r="C3" t="str">
            <v>KSS</v>
          </cell>
          <cell r="D3" t="str">
            <v>JCP</v>
          </cell>
          <cell r="E3" t="str">
            <v>M</v>
          </cell>
          <cell r="F3" t="str">
            <v>JWN</v>
          </cell>
          <cell r="G3" t="str">
            <v>SKS</v>
          </cell>
          <cell r="H3" t="str">
            <v>ROST</v>
          </cell>
          <cell r="I3" t="str">
            <v>TJX</v>
          </cell>
          <cell r="J3" t="str">
            <v>Average</v>
          </cell>
          <cell r="K3" t="str">
            <v>Total</v>
          </cell>
          <cell r="M3" t="str">
            <v>ANF</v>
          </cell>
          <cell r="N3" t="str">
            <v>ARO</v>
          </cell>
          <cell r="O3" t="str">
            <v>AEO</v>
          </cell>
          <cell r="P3" t="str">
            <v>COH</v>
          </cell>
          <cell r="Q3" t="str">
            <v>GPS</v>
          </cell>
          <cell r="R3" t="str">
            <v>LTD</v>
          </cell>
          <cell r="S3" t="str">
            <v>URBN</v>
          </cell>
          <cell r="T3" t="str">
            <v>Average</v>
          </cell>
          <cell r="U3" t="str">
            <v>Total</v>
          </cell>
        </row>
        <row r="4">
          <cell r="B4" t="str">
            <v>Current Price</v>
          </cell>
          <cell r="C4" t="str">
            <v>#Calc</v>
          </cell>
          <cell r="D4" t="str">
            <v>#Calc</v>
          </cell>
          <cell r="E4" t="str">
            <v>#Calc</v>
          </cell>
          <cell r="F4" t="str">
            <v>#Calc</v>
          </cell>
          <cell r="G4" t="str">
            <v>#Calc</v>
          </cell>
          <cell r="H4" t="str">
            <v>#Calc</v>
          </cell>
          <cell r="I4" t="str">
            <v>#Calc</v>
          </cell>
          <cell r="M4" t="str">
            <v>#Calc</v>
          </cell>
          <cell r="N4" t="str">
            <v>#Calc</v>
          </cell>
          <cell r="O4" t="str">
            <v>#Calc</v>
          </cell>
          <cell r="P4" t="str">
            <v>#Calc</v>
          </cell>
          <cell r="Q4" t="str">
            <v>#Calc</v>
          </cell>
          <cell r="R4" t="str">
            <v>#Calc</v>
          </cell>
          <cell r="S4" t="str">
            <v>#Calc</v>
          </cell>
        </row>
        <row r="5">
          <cell r="B5" t="str">
            <v>Market Cap ($M)</v>
          </cell>
          <cell r="C5" t="e">
            <v>#VALUE!</v>
          </cell>
          <cell r="D5" t="e">
            <v>#VALUE!</v>
          </cell>
          <cell r="E5" t="e">
            <v>#VALUE!</v>
          </cell>
          <cell r="F5" t="e">
            <v>#VALUE!</v>
          </cell>
          <cell r="G5" t="e">
            <v>#VALUE!</v>
          </cell>
          <cell r="H5" t="e">
            <v>#VALUE!</v>
          </cell>
          <cell r="I5" t="e">
            <v>#VALUE!</v>
          </cell>
          <cell r="J5" t="e">
            <v>#VALUE!</v>
          </cell>
          <cell r="K5" t="e">
            <v>#VALUE!</v>
          </cell>
          <cell r="M5" t="e">
            <v>#VALUE!</v>
          </cell>
          <cell r="N5" t="e">
            <v>#VALUE!</v>
          </cell>
          <cell r="O5" t="e">
            <v>#VALUE!</v>
          </cell>
          <cell r="P5" t="e">
            <v>#VALUE!</v>
          </cell>
          <cell r="Q5" t="e">
            <v>#VALUE!</v>
          </cell>
          <cell r="R5" t="e">
            <v>#VALUE!</v>
          </cell>
          <cell r="S5" t="e">
            <v>#VALUE!</v>
          </cell>
          <cell r="T5" t="e">
            <v>#VALUE!</v>
          </cell>
          <cell r="U5" t="e">
            <v>#VALUE!</v>
          </cell>
        </row>
        <row r="6">
          <cell r="B6" t="str">
            <v>Shares Outstanding (Last Reported)</v>
          </cell>
          <cell r="C6">
            <v>307</v>
          </cell>
          <cell r="D6">
            <v>232.85</v>
          </cell>
          <cell r="E6">
            <v>422.35</v>
          </cell>
          <cell r="F6">
            <v>219.65</v>
          </cell>
          <cell r="G6">
            <v>146.84450000000001</v>
          </cell>
          <cell r="H6">
            <v>125.05625000000001</v>
          </cell>
          <cell r="I6">
            <v>427.38150000000002</v>
          </cell>
          <cell r="M6">
            <v>88.354749999999996</v>
          </cell>
          <cell r="N6">
            <v>101.02475</v>
          </cell>
          <cell r="O6">
            <v>209.096</v>
          </cell>
          <cell r="P6">
            <v>321.38099999999997</v>
          </cell>
          <cell r="Q6">
            <v>698.5</v>
          </cell>
          <cell r="R6">
            <v>326.76499999999999</v>
          </cell>
          <cell r="S6">
            <v>171.22537274999999</v>
          </cell>
        </row>
        <row r="7">
          <cell r="B7" t="str">
            <v>EV ($M)</v>
          </cell>
          <cell r="C7" t="e">
            <v>#VALUE!</v>
          </cell>
          <cell r="D7" t="e">
            <v>#VALUE!</v>
          </cell>
          <cell r="E7" t="e">
            <v>#VALUE!</v>
          </cell>
          <cell r="F7" t="e">
            <v>#VALUE!</v>
          </cell>
          <cell r="G7" t="e">
            <v>#VALUE!</v>
          </cell>
          <cell r="H7" t="e">
            <v>#VALUE!</v>
          </cell>
          <cell r="I7" t="e">
            <v>#VALUE!</v>
          </cell>
          <cell r="J7" t="e">
            <v>#VALUE!</v>
          </cell>
          <cell r="K7" t="e">
            <v>#VALUE!</v>
          </cell>
          <cell r="M7" t="e">
            <v>#VALUE!</v>
          </cell>
          <cell r="N7" t="e">
            <v>#VALUE!</v>
          </cell>
          <cell r="O7" t="e">
            <v>#VALUE!</v>
          </cell>
          <cell r="P7" t="e">
            <v>#VALUE!</v>
          </cell>
          <cell r="Q7" t="e">
            <v>#VALUE!</v>
          </cell>
          <cell r="R7" t="e">
            <v>#VALUE!</v>
          </cell>
          <cell r="S7" t="e">
            <v>#VALUE!</v>
          </cell>
          <cell r="T7" t="e">
            <v>#VALUE!</v>
          </cell>
          <cell r="U7" t="e">
            <v>#VALUE!</v>
          </cell>
        </row>
        <row r="9">
          <cell r="B9" t="str">
            <v>P/E (CY2010)</v>
          </cell>
          <cell r="C9" t="e">
            <v>#VALUE!</v>
          </cell>
          <cell r="D9" t="e">
            <v>#VALUE!</v>
          </cell>
          <cell r="E9" t="e">
            <v>#VALUE!</v>
          </cell>
          <cell r="F9" t="e">
            <v>#VALUE!</v>
          </cell>
          <cell r="G9" t="e">
            <v>#VALUE!</v>
          </cell>
          <cell r="H9" t="e">
            <v>#VALUE!</v>
          </cell>
          <cell r="I9" t="e">
            <v>#VALUE!</v>
          </cell>
          <cell r="J9" t="e">
            <v>#VALUE!</v>
          </cell>
          <cell r="M9" t="e">
            <v>#VALUE!</v>
          </cell>
          <cell r="N9" t="e">
            <v>#VALUE!</v>
          </cell>
          <cell r="O9" t="e">
            <v>#VALUE!</v>
          </cell>
          <cell r="P9" t="e">
            <v>#VALUE!</v>
          </cell>
          <cell r="Q9" t="e">
            <v>#VALUE!</v>
          </cell>
          <cell r="R9" t="e">
            <v>#VALUE!</v>
          </cell>
          <cell r="S9" t="e">
            <v>#VALUE!</v>
          </cell>
          <cell r="T9" t="e">
            <v>#VALUE!</v>
          </cell>
        </row>
        <row r="10">
          <cell r="B10" t="str">
            <v>EV/EBITDA (CY2009)</v>
          </cell>
          <cell r="C10" t="e">
            <v>#VALUE!</v>
          </cell>
          <cell r="D10" t="e">
            <v>#VALUE!</v>
          </cell>
          <cell r="E10" t="e">
            <v>#VALUE!</v>
          </cell>
          <cell r="F10" t="e">
            <v>#VALUE!</v>
          </cell>
          <cell r="G10" t="e">
            <v>#VALUE!</v>
          </cell>
          <cell r="H10" t="e">
            <v>#VALUE!</v>
          </cell>
          <cell r="I10" t="e">
            <v>#VALUE!</v>
          </cell>
          <cell r="J10" t="e">
            <v>#VALUE!</v>
          </cell>
          <cell r="M10" t="e">
            <v>#VALUE!</v>
          </cell>
          <cell r="N10" t="e">
            <v>#VALUE!</v>
          </cell>
          <cell r="O10" t="e">
            <v>#VALUE!</v>
          </cell>
          <cell r="P10" t="e">
            <v>#VALUE!</v>
          </cell>
          <cell r="Q10" t="e">
            <v>#VALUE!</v>
          </cell>
          <cell r="R10" t="e">
            <v>#VALUE!</v>
          </cell>
          <cell r="S10" t="e">
            <v>#VALUE!</v>
          </cell>
          <cell r="T10" t="e">
            <v>#VALUE!</v>
          </cell>
        </row>
        <row r="11">
          <cell r="D11" t="str">
            <v xml:space="preserve"> </v>
          </cell>
        </row>
        <row r="12">
          <cell r="B12" t="str">
            <v>Targets</v>
          </cell>
        </row>
        <row r="13">
          <cell r="A13" t="str">
            <v>mscalc:targetPrice</v>
          </cell>
          <cell r="B13" t="str">
            <v>Price</v>
          </cell>
          <cell r="C13">
            <v>68</v>
          </cell>
          <cell r="D13">
            <v>24</v>
          </cell>
          <cell r="E13">
            <v>19</v>
          </cell>
          <cell r="F13" t="str">
            <v>NA</v>
          </cell>
          <cell r="G13" t="str">
            <v>NA</v>
          </cell>
          <cell r="H13" t="str">
            <v>NA</v>
          </cell>
          <cell r="I13" t="str">
            <v>NA</v>
          </cell>
          <cell r="M13" t="str">
            <v>NA</v>
          </cell>
          <cell r="N13" t="str">
            <v>NA</v>
          </cell>
          <cell r="O13" t="str">
            <v>NA</v>
          </cell>
          <cell r="P13">
            <v>42</v>
          </cell>
          <cell r="Q13">
            <v>16</v>
          </cell>
          <cell r="R13" t="str">
            <v>NA</v>
          </cell>
          <cell r="S13" t="str">
            <v>NA</v>
          </cell>
        </row>
        <row r="14">
          <cell r="A14" t="str">
            <v>mstag:met_12monthIntrinsicValueEstimate</v>
          </cell>
          <cell r="B14" t="str">
            <v>Upside/Downside</v>
          </cell>
          <cell r="C14" t="str">
            <v>NA</v>
          </cell>
          <cell r="D14" t="str">
            <v>NA</v>
          </cell>
          <cell r="E14" t="str">
            <v>NA</v>
          </cell>
          <cell r="F14" t="str">
            <v>NA</v>
          </cell>
          <cell r="G14" t="str">
            <v>NA</v>
          </cell>
          <cell r="H14" t="str">
            <v>NA</v>
          </cell>
          <cell r="I14" t="str">
            <v>NA</v>
          </cell>
          <cell r="J14" t="e">
            <v>#DIV/0!</v>
          </cell>
          <cell r="M14" t="str">
            <v>NA</v>
          </cell>
          <cell r="N14" t="str">
            <v>NA</v>
          </cell>
          <cell r="O14" t="str">
            <v>NA</v>
          </cell>
          <cell r="P14" t="str">
            <v>NA</v>
          </cell>
          <cell r="Q14" t="str">
            <v>NA</v>
          </cell>
          <cell r="R14" t="str">
            <v>NA</v>
          </cell>
          <cell r="S14" t="str">
            <v>NA</v>
          </cell>
          <cell r="T14" t="e">
            <v>#DIV/0!</v>
          </cell>
        </row>
        <row r="15">
          <cell r="B15" t="str">
            <v>P/E (FY2)</v>
          </cell>
          <cell r="C15">
            <v>14.870279459655178</v>
          </cell>
          <cell r="D15">
            <v>12.352957473773571</v>
          </cell>
          <cell r="E15">
            <v>9.1099989074795964</v>
          </cell>
          <cell r="F15" t="str">
            <v>NA</v>
          </cell>
          <cell r="G15" t="str">
            <v>NA</v>
          </cell>
          <cell r="H15" t="str">
            <v>NA</v>
          </cell>
          <cell r="I15" t="str">
            <v>NA</v>
          </cell>
          <cell r="J15">
            <v>12.111078613636115</v>
          </cell>
          <cell r="M15" t="str">
            <v>NA</v>
          </cell>
          <cell r="N15" t="str">
            <v>NA</v>
          </cell>
          <cell r="O15" t="str">
            <v>NA</v>
          </cell>
          <cell r="P15">
            <v>17.331798540137708</v>
          </cell>
          <cell r="Q15">
            <v>9.0673458792338248</v>
          </cell>
          <cell r="R15" t="str">
            <v>NA</v>
          </cell>
          <cell r="S15" t="str">
            <v>NA</v>
          </cell>
          <cell r="T15">
            <v>13.199572209685766</v>
          </cell>
        </row>
        <row r="16">
          <cell r="B16" t="str">
            <v>EV/EBITDA</v>
          </cell>
          <cell r="C16">
            <v>6.8730446650247607</v>
          </cell>
          <cell r="D16">
            <v>4.1445790823667163</v>
          </cell>
          <cell r="E16">
            <v>4.9543727752284275</v>
          </cell>
          <cell r="F16" t="str">
            <v>NA</v>
          </cell>
          <cell r="G16" t="str">
            <v>NA</v>
          </cell>
          <cell r="H16" t="str">
            <v>NA</v>
          </cell>
          <cell r="I16" t="str">
            <v>NA</v>
          </cell>
          <cell r="J16">
            <v>5.3239988408733012</v>
          </cell>
          <cell r="M16" t="str">
            <v>NA</v>
          </cell>
          <cell r="N16" t="str">
            <v>NA</v>
          </cell>
          <cell r="O16" t="str">
            <v>NA</v>
          </cell>
          <cell r="P16">
            <v>9.3913558314434322</v>
          </cell>
          <cell r="Q16">
            <v>3.6693619326464884</v>
          </cell>
          <cell r="R16" t="str">
            <v>NA</v>
          </cell>
          <cell r="S16" t="str">
            <v>NA</v>
          </cell>
          <cell r="T16">
            <v>6.5303588820449603</v>
          </cell>
        </row>
        <row r="18">
          <cell r="B18" t="str">
            <v>FY Reference</v>
          </cell>
        </row>
        <row r="19">
          <cell r="B19" t="str">
            <v>FY(10)</v>
          </cell>
          <cell r="C19">
            <v>1999</v>
          </cell>
          <cell r="D19">
            <v>1999</v>
          </cell>
          <cell r="E19">
            <v>1999</v>
          </cell>
          <cell r="F19">
            <v>1999</v>
          </cell>
          <cell r="G19">
            <v>1999</v>
          </cell>
          <cell r="H19">
            <v>1999</v>
          </cell>
          <cell r="I19">
            <v>2000</v>
          </cell>
          <cell r="M19">
            <v>1999</v>
          </cell>
          <cell r="N19">
            <v>1999</v>
          </cell>
          <cell r="O19">
            <v>1999</v>
          </cell>
          <cell r="P19">
            <v>1999</v>
          </cell>
          <cell r="Q19">
            <v>1999</v>
          </cell>
          <cell r="R19">
            <v>1999</v>
          </cell>
          <cell r="S19">
            <v>1999</v>
          </cell>
        </row>
        <row r="20">
          <cell r="B20" t="str">
            <v>FY(9)</v>
          </cell>
          <cell r="C20">
            <v>2000</v>
          </cell>
          <cell r="D20">
            <v>2000</v>
          </cell>
          <cell r="E20">
            <v>2000</v>
          </cell>
          <cell r="F20">
            <v>2000</v>
          </cell>
          <cell r="G20">
            <v>2000</v>
          </cell>
          <cell r="H20">
            <v>2000</v>
          </cell>
          <cell r="I20">
            <v>2001</v>
          </cell>
          <cell r="M20">
            <v>2000</v>
          </cell>
          <cell r="N20">
            <v>2000</v>
          </cell>
          <cell r="O20">
            <v>2000</v>
          </cell>
          <cell r="P20">
            <v>2000</v>
          </cell>
          <cell r="Q20">
            <v>2000</v>
          </cell>
          <cell r="R20">
            <v>2000</v>
          </cell>
          <cell r="S20">
            <v>2000</v>
          </cell>
        </row>
        <row r="21">
          <cell r="B21" t="str">
            <v>FY(8)</v>
          </cell>
          <cell r="C21">
            <v>2001</v>
          </cell>
          <cell r="D21">
            <v>2001</v>
          </cell>
          <cell r="E21">
            <v>2001</v>
          </cell>
          <cell r="F21">
            <v>2001</v>
          </cell>
          <cell r="G21">
            <v>2001</v>
          </cell>
          <cell r="H21">
            <v>2001</v>
          </cell>
          <cell r="I21">
            <v>2002</v>
          </cell>
          <cell r="M21">
            <v>2001</v>
          </cell>
          <cell r="N21">
            <v>2001</v>
          </cell>
          <cell r="O21">
            <v>2001</v>
          </cell>
          <cell r="P21">
            <v>2001</v>
          </cell>
          <cell r="Q21">
            <v>2001</v>
          </cell>
          <cell r="R21">
            <v>2001</v>
          </cell>
          <cell r="S21">
            <v>2001</v>
          </cell>
        </row>
        <row r="22">
          <cell r="B22" t="str">
            <v>FY(7)</v>
          </cell>
          <cell r="C22">
            <v>2002</v>
          </cell>
          <cell r="D22">
            <v>2002</v>
          </cell>
          <cell r="E22">
            <v>2002</v>
          </cell>
          <cell r="F22">
            <v>2002</v>
          </cell>
          <cell r="G22">
            <v>2002</v>
          </cell>
          <cell r="H22">
            <v>2002</v>
          </cell>
          <cell r="I22">
            <v>2003</v>
          </cell>
          <cell r="M22">
            <v>2002</v>
          </cell>
          <cell r="N22">
            <v>2002</v>
          </cell>
          <cell r="O22">
            <v>2002</v>
          </cell>
          <cell r="P22">
            <v>2002</v>
          </cell>
          <cell r="Q22">
            <v>2002</v>
          </cell>
          <cell r="R22">
            <v>2002</v>
          </cell>
          <cell r="S22">
            <v>2002</v>
          </cell>
        </row>
        <row r="23">
          <cell r="B23" t="str">
            <v>FY(6)</v>
          </cell>
          <cell r="C23">
            <v>2003</v>
          </cell>
          <cell r="D23">
            <v>2003</v>
          </cell>
          <cell r="E23">
            <v>2003</v>
          </cell>
          <cell r="F23">
            <v>2003</v>
          </cell>
          <cell r="G23">
            <v>2003</v>
          </cell>
          <cell r="H23">
            <v>2003</v>
          </cell>
          <cell r="I23">
            <v>2004</v>
          </cell>
          <cell r="M23">
            <v>2003</v>
          </cell>
          <cell r="N23">
            <v>2003</v>
          </cell>
          <cell r="O23">
            <v>2003</v>
          </cell>
          <cell r="P23">
            <v>2003</v>
          </cell>
          <cell r="Q23">
            <v>2003</v>
          </cell>
          <cell r="R23">
            <v>2003</v>
          </cell>
          <cell r="S23">
            <v>2003</v>
          </cell>
        </row>
        <row r="24">
          <cell r="B24" t="str">
            <v>FY(5)</v>
          </cell>
          <cell r="C24">
            <v>2004</v>
          </cell>
          <cell r="D24">
            <v>2004</v>
          </cell>
          <cell r="E24">
            <v>2004</v>
          </cell>
          <cell r="F24">
            <v>2004</v>
          </cell>
          <cell r="G24">
            <v>2004</v>
          </cell>
          <cell r="H24">
            <v>2004</v>
          </cell>
          <cell r="I24">
            <v>2005</v>
          </cell>
          <cell r="M24">
            <v>2004</v>
          </cell>
          <cell r="N24">
            <v>2004</v>
          </cell>
          <cell r="O24">
            <v>2004</v>
          </cell>
          <cell r="P24">
            <v>2004</v>
          </cell>
          <cell r="Q24">
            <v>2004</v>
          </cell>
          <cell r="R24">
            <v>2004</v>
          </cell>
          <cell r="S24">
            <v>2004</v>
          </cell>
        </row>
        <row r="25">
          <cell r="B25" t="str">
            <v>FY(4)</v>
          </cell>
          <cell r="C25">
            <v>2005</v>
          </cell>
          <cell r="D25">
            <v>2005</v>
          </cell>
          <cell r="E25">
            <v>2005</v>
          </cell>
          <cell r="F25">
            <v>2005</v>
          </cell>
          <cell r="G25">
            <v>2005</v>
          </cell>
          <cell r="H25">
            <v>2005</v>
          </cell>
          <cell r="I25">
            <v>2006</v>
          </cell>
          <cell r="M25">
            <v>2005</v>
          </cell>
          <cell r="N25">
            <v>2005</v>
          </cell>
          <cell r="O25">
            <v>2005</v>
          </cell>
          <cell r="P25">
            <v>2005</v>
          </cell>
          <cell r="Q25">
            <v>2005</v>
          </cell>
          <cell r="R25">
            <v>2005</v>
          </cell>
          <cell r="S25">
            <v>2005</v>
          </cell>
        </row>
        <row r="26">
          <cell r="B26" t="str">
            <v>FY(3)</v>
          </cell>
          <cell r="C26">
            <v>2006</v>
          </cell>
          <cell r="D26">
            <v>2006</v>
          </cell>
          <cell r="E26">
            <v>2006</v>
          </cell>
          <cell r="F26">
            <v>2006</v>
          </cell>
          <cell r="G26">
            <v>2006</v>
          </cell>
          <cell r="H26">
            <v>2006</v>
          </cell>
          <cell r="I26">
            <v>2007</v>
          </cell>
          <cell r="M26">
            <v>2006</v>
          </cell>
          <cell r="N26">
            <v>2006</v>
          </cell>
          <cell r="O26">
            <v>2006</v>
          </cell>
          <cell r="P26">
            <v>2006</v>
          </cell>
          <cell r="Q26">
            <v>2006</v>
          </cell>
          <cell r="R26">
            <v>2006</v>
          </cell>
          <cell r="S26">
            <v>2006</v>
          </cell>
        </row>
        <row r="27">
          <cell r="B27" t="str">
            <v>FY(2)</v>
          </cell>
          <cell r="C27">
            <v>2007</v>
          </cell>
          <cell r="D27">
            <v>2007</v>
          </cell>
          <cell r="E27">
            <v>2007</v>
          </cell>
          <cell r="F27">
            <v>2007</v>
          </cell>
          <cell r="G27">
            <v>2007</v>
          </cell>
          <cell r="H27">
            <v>2007</v>
          </cell>
          <cell r="I27">
            <v>2008</v>
          </cell>
          <cell r="M27">
            <v>2007</v>
          </cell>
          <cell r="N27">
            <v>2007</v>
          </cell>
          <cell r="O27">
            <v>2007</v>
          </cell>
          <cell r="P27">
            <v>2007</v>
          </cell>
          <cell r="Q27">
            <v>2007</v>
          </cell>
          <cell r="R27">
            <v>2007</v>
          </cell>
          <cell r="S27">
            <v>2007</v>
          </cell>
        </row>
        <row r="28">
          <cell r="B28" t="str">
            <v>FY(1)</v>
          </cell>
          <cell r="C28">
            <v>2008</v>
          </cell>
          <cell r="D28">
            <v>2008</v>
          </cell>
          <cell r="E28">
            <v>2008</v>
          </cell>
          <cell r="F28">
            <v>2008</v>
          </cell>
          <cell r="G28">
            <v>2008</v>
          </cell>
          <cell r="H28">
            <v>2008</v>
          </cell>
          <cell r="I28">
            <v>2009</v>
          </cell>
          <cell r="M28">
            <v>2008</v>
          </cell>
          <cell r="N28">
            <v>2008</v>
          </cell>
          <cell r="O28">
            <v>2008</v>
          </cell>
          <cell r="P28">
            <v>2008</v>
          </cell>
          <cell r="Q28">
            <v>2008</v>
          </cell>
          <cell r="R28">
            <v>2008</v>
          </cell>
          <cell r="S28">
            <v>2008</v>
          </cell>
        </row>
        <row r="29">
          <cell r="A29" t="str">
            <v>mscalc:lastActualYearCalc</v>
          </cell>
          <cell r="B29" t="str">
            <v>FY0</v>
          </cell>
          <cell r="C29">
            <v>2009</v>
          </cell>
          <cell r="D29">
            <v>2009</v>
          </cell>
          <cell r="E29">
            <v>2009</v>
          </cell>
          <cell r="F29">
            <v>2009</v>
          </cell>
          <cell r="G29">
            <v>2009</v>
          </cell>
          <cell r="H29">
            <v>2009</v>
          </cell>
          <cell r="I29">
            <v>2010</v>
          </cell>
          <cell r="M29">
            <v>2009</v>
          </cell>
          <cell r="N29">
            <v>2009</v>
          </cell>
          <cell r="O29">
            <v>2009</v>
          </cell>
          <cell r="P29">
            <v>2009</v>
          </cell>
          <cell r="Q29">
            <v>2009</v>
          </cell>
          <cell r="R29">
            <v>2009</v>
          </cell>
          <cell r="S29">
            <v>2009</v>
          </cell>
        </row>
        <row r="30">
          <cell r="B30" t="str">
            <v>FY1</v>
          </cell>
          <cell r="C30">
            <v>2010</v>
          </cell>
          <cell r="D30">
            <v>2010</v>
          </cell>
          <cell r="E30">
            <v>2010</v>
          </cell>
          <cell r="F30">
            <v>2010</v>
          </cell>
          <cell r="G30">
            <v>2010</v>
          </cell>
          <cell r="H30">
            <v>2010</v>
          </cell>
          <cell r="I30">
            <v>2011</v>
          </cell>
          <cell r="M30">
            <v>2010</v>
          </cell>
          <cell r="N30">
            <v>2010</v>
          </cell>
          <cell r="O30">
            <v>2010</v>
          </cell>
          <cell r="P30">
            <v>2010</v>
          </cell>
          <cell r="Q30">
            <v>2010</v>
          </cell>
          <cell r="R30">
            <v>2010</v>
          </cell>
          <cell r="S30">
            <v>2010</v>
          </cell>
        </row>
        <row r="31">
          <cell r="B31" t="str">
            <v>FY2</v>
          </cell>
          <cell r="C31">
            <v>2011</v>
          </cell>
          <cell r="D31">
            <v>2011</v>
          </cell>
          <cell r="E31">
            <v>2011</v>
          </cell>
          <cell r="F31">
            <v>2011</v>
          </cell>
          <cell r="G31">
            <v>2011</v>
          </cell>
          <cell r="H31">
            <v>2011</v>
          </cell>
          <cell r="I31">
            <v>2012</v>
          </cell>
          <cell r="M31">
            <v>2011</v>
          </cell>
          <cell r="N31">
            <v>2011</v>
          </cell>
          <cell r="O31">
            <v>2011</v>
          </cell>
          <cell r="P31">
            <v>2011</v>
          </cell>
          <cell r="Q31">
            <v>2011</v>
          </cell>
          <cell r="R31">
            <v>2011</v>
          </cell>
          <cell r="S31">
            <v>2011</v>
          </cell>
        </row>
        <row r="32">
          <cell r="B32" t="str">
            <v>FQ(3)</v>
          </cell>
          <cell r="C32" t="str">
            <v>2009Q1</v>
          </cell>
          <cell r="D32" t="str">
            <v>2009Q1</v>
          </cell>
          <cell r="E32" t="str">
            <v>2009Q1</v>
          </cell>
          <cell r="F32" t="str">
            <v>2009Q1</v>
          </cell>
          <cell r="G32" t="str">
            <v>2009Q1</v>
          </cell>
          <cell r="H32" t="str">
            <v>2009Q1</v>
          </cell>
          <cell r="I32" t="str">
            <v>2010Q1</v>
          </cell>
          <cell r="M32" t="str">
            <v>2009Q1</v>
          </cell>
          <cell r="N32" t="str">
            <v>2009Q1</v>
          </cell>
          <cell r="O32" t="str">
            <v>2009Q1</v>
          </cell>
          <cell r="P32" t="str">
            <v>2009Q3</v>
          </cell>
          <cell r="Q32" t="str">
            <v>2009Q1</v>
          </cell>
          <cell r="R32" t="str">
            <v>2009Q1</v>
          </cell>
          <cell r="S32" t="str">
            <v>2009Q1</v>
          </cell>
        </row>
        <row r="33">
          <cell r="B33" t="str">
            <v>FQ(2)</v>
          </cell>
          <cell r="C33" t="str">
            <v>2009Q2</v>
          </cell>
          <cell r="D33" t="str">
            <v>2009Q2</v>
          </cell>
          <cell r="E33" t="str">
            <v>2009Q2</v>
          </cell>
          <cell r="F33" t="str">
            <v>2009Q2</v>
          </cell>
          <cell r="G33" t="str">
            <v>2009Q2</v>
          </cell>
          <cell r="H33" t="str">
            <v>2009Q2</v>
          </cell>
          <cell r="I33" t="str">
            <v>2010Q2</v>
          </cell>
          <cell r="M33" t="str">
            <v>2009Q2</v>
          </cell>
          <cell r="N33" t="str">
            <v>2009Q2</v>
          </cell>
          <cell r="O33" t="str">
            <v>2009Q2</v>
          </cell>
          <cell r="P33" t="str">
            <v>2009Q4</v>
          </cell>
          <cell r="Q33" t="str">
            <v>2009Q2</v>
          </cell>
          <cell r="R33" t="str">
            <v>2009Q2</v>
          </cell>
          <cell r="S33" t="str">
            <v>2009Q2</v>
          </cell>
        </row>
        <row r="34">
          <cell r="B34" t="str">
            <v>FQ(1)</v>
          </cell>
          <cell r="C34" t="str">
            <v>2009Q3</v>
          </cell>
          <cell r="D34" t="str">
            <v>2009Q3</v>
          </cell>
          <cell r="E34" t="str">
            <v>2009Q3</v>
          </cell>
          <cell r="F34" t="str">
            <v>2009Q3</v>
          </cell>
          <cell r="G34" t="str">
            <v>2009Q3</v>
          </cell>
          <cell r="H34" t="str">
            <v>2009Q3</v>
          </cell>
          <cell r="I34" t="str">
            <v>2010Q3</v>
          </cell>
          <cell r="M34" t="str">
            <v>2009Q3</v>
          </cell>
          <cell r="N34" t="str">
            <v>2009Q3</v>
          </cell>
          <cell r="O34" t="str">
            <v>2009Q3</v>
          </cell>
          <cell r="P34" t="str">
            <v>2010Q1</v>
          </cell>
          <cell r="Q34" t="str">
            <v>2009Q3</v>
          </cell>
          <cell r="R34" t="str">
            <v>2009Q3</v>
          </cell>
          <cell r="S34" t="str">
            <v>2009Q3</v>
          </cell>
        </row>
        <row r="35">
          <cell r="A35" t="str">
            <v>mscalc:lastActualPeriodCalc</v>
          </cell>
          <cell r="B35" t="str">
            <v>Last Reported Q</v>
          </cell>
          <cell r="C35" t="str">
            <v>2009FY</v>
          </cell>
          <cell r="D35" t="str">
            <v>2009FY</v>
          </cell>
          <cell r="E35" t="str">
            <v>2009FY</v>
          </cell>
          <cell r="F35" t="str">
            <v>2009FY</v>
          </cell>
          <cell r="G35" t="str">
            <v>2009FY</v>
          </cell>
          <cell r="H35" t="str">
            <v>2009FY</v>
          </cell>
          <cell r="I35" t="str">
            <v>2010FY</v>
          </cell>
          <cell r="M35" t="str">
            <v>2009FY</v>
          </cell>
          <cell r="N35" t="str">
            <v>2009FY</v>
          </cell>
          <cell r="O35" t="str">
            <v>2009FY</v>
          </cell>
          <cell r="P35" t="str">
            <v>2010Q2</v>
          </cell>
          <cell r="Q35" t="str">
            <v>2009FY</v>
          </cell>
          <cell r="R35" t="str">
            <v>2009FY</v>
          </cell>
          <cell r="S35" t="str">
            <v>2009FY</v>
          </cell>
        </row>
        <row r="36">
          <cell r="C36" t="str">
            <v>2009Q4</v>
          </cell>
          <cell r="D36" t="str">
            <v>2009Q4</v>
          </cell>
          <cell r="E36" t="str">
            <v>2009Q4</v>
          </cell>
          <cell r="F36" t="str">
            <v>2009Q4</v>
          </cell>
          <cell r="G36" t="str">
            <v>2009Q4</v>
          </cell>
          <cell r="H36" t="str">
            <v>2009Q4</v>
          </cell>
          <cell r="I36" t="str">
            <v>2010Q4</v>
          </cell>
          <cell r="M36" t="str">
            <v>2009Q4</v>
          </cell>
          <cell r="N36" t="str">
            <v>2009Q4</v>
          </cell>
          <cell r="O36" t="str">
            <v>2009Q4</v>
          </cell>
          <cell r="P36" t="str">
            <v>2010Q2</v>
          </cell>
          <cell r="Q36" t="str">
            <v>2009Q4</v>
          </cell>
          <cell r="R36" t="str">
            <v>2009Q4</v>
          </cell>
          <cell r="S36" t="str">
            <v>2009Q4</v>
          </cell>
        </row>
        <row r="38">
          <cell r="A38" t="str">
            <v>mstag:numberOfStores</v>
          </cell>
          <cell r="B38" t="str">
            <v>Number of Stores</v>
          </cell>
        </row>
        <row r="39">
          <cell r="B39" t="str">
            <v>FY(5)</v>
          </cell>
          <cell r="C39">
            <v>542</v>
          </cell>
          <cell r="D39">
            <v>1017</v>
          </cell>
          <cell r="E39">
            <v>459</v>
          </cell>
          <cell r="F39">
            <v>181</v>
          </cell>
          <cell r="G39">
            <v>386</v>
          </cell>
          <cell r="H39">
            <v>649</v>
          </cell>
          <cell r="I39">
            <v>2224</v>
          </cell>
          <cell r="J39">
            <v>779.71428571428567</v>
          </cell>
          <cell r="K39">
            <v>5458</v>
          </cell>
          <cell r="M39">
            <v>788</v>
          </cell>
          <cell r="N39">
            <v>561</v>
          </cell>
          <cell r="O39">
            <v>846</v>
          </cell>
          <cell r="P39">
            <v>350</v>
          </cell>
          <cell r="Q39">
            <v>2994</v>
          </cell>
          <cell r="R39">
            <v>3779</v>
          </cell>
          <cell r="S39">
            <v>142</v>
          </cell>
          <cell r="T39">
            <v>1351.4285714285713</v>
          </cell>
          <cell r="U39">
            <v>9460</v>
          </cell>
        </row>
        <row r="40">
          <cell r="B40" t="str">
            <v>FY(4)</v>
          </cell>
          <cell r="C40">
            <v>637</v>
          </cell>
          <cell r="D40">
            <v>1019</v>
          </cell>
          <cell r="E40">
            <v>868</v>
          </cell>
          <cell r="F40">
            <v>187</v>
          </cell>
          <cell r="G40">
            <v>163</v>
          </cell>
          <cell r="H40">
            <v>734</v>
          </cell>
          <cell r="I40">
            <v>2381</v>
          </cell>
          <cell r="J40">
            <v>855.57142857142856</v>
          </cell>
          <cell r="K40">
            <v>5989</v>
          </cell>
          <cell r="M40">
            <v>851</v>
          </cell>
          <cell r="N40">
            <v>671</v>
          </cell>
          <cell r="O40">
            <v>869</v>
          </cell>
          <cell r="P40">
            <v>378</v>
          </cell>
          <cell r="Q40">
            <v>3053</v>
          </cell>
          <cell r="R40">
            <v>3590</v>
          </cell>
          <cell r="S40">
            <v>175</v>
          </cell>
          <cell r="T40">
            <v>1369.5714285714287</v>
          </cell>
          <cell r="U40">
            <v>9587</v>
          </cell>
        </row>
        <row r="41">
          <cell r="B41" t="str">
            <v>FY(3)</v>
          </cell>
          <cell r="C41">
            <v>732</v>
          </cell>
          <cell r="D41">
            <v>1033</v>
          </cell>
          <cell r="E41">
            <v>858</v>
          </cell>
          <cell r="F41">
            <v>191</v>
          </cell>
          <cell r="G41">
            <v>166</v>
          </cell>
          <cell r="H41">
            <v>797</v>
          </cell>
          <cell r="I41">
            <v>2466</v>
          </cell>
          <cell r="J41">
            <v>891.85714285714289</v>
          </cell>
          <cell r="K41">
            <v>6243</v>
          </cell>
          <cell r="M41">
            <v>930</v>
          </cell>
          <cell r="N41">
            <v>742</v>
          </cell>
          <cell r="O41">
            <v>911</v>
          </cell>
          <cell r="P41">
            <v>422</v>
          </cell>
          <cell r="Q41">
            <v>3131</v>
          </cell>
          <cell r="R41">
            <v>3766</v>
          </cell>
          <cell r="S41">
            <v>207</v>
          </cell>
          <cell r="T41">
            <v>1444.1428571428571</v>
          </cell>
          <cell r="U41">
            <v>10109</v>
          </cell>
        </row>
        <row r="42">
          <cell r="B42" t="str">
            <v>FY(2)</v>
          </cell>
          <cell r="C42">
            <v>817</v>
          </cell>
          <cell r="D42">
            <v>1067</v>
          </cell>
          <cell r="E42">
            <v>853</v>
          </cell>
          <cell r="F42">
            <v>156</v>
          </cell>
          <cell r="G42">
            <v>177</v>
          </cell>
          <cell r="H42">
            <v>890</v>
          </cell>
          <cell r="I42">
            <v>2563</v>
          </cell>
          <cell r="J42">
            <v>931.85714285714289</v>
          </cell>
          <cell r="K42">
            <v>6523</v>
          </cell>
          <cell r="M42">
            <v>1035</v>
          </cell>
          <cell r="N42">
            <v>828</v>
          </cell>
          <cell r="O42">
            <v>987</v>
          </cell>
          <cell r="P42">
            <v>489</v>
          </cell>
          <cell r="Q42">
            <v>3167</v>
          </cell>
          <cell r="R42">
            <v>2926</v>
          </cell>
          <cell r="S42">
            <v>245</v>
          </cell>
          <cell r="T42">
            <v>1382.4285714285713</v>
          </cell>
          <cell r="U42">
            <v>9677</v>
          </cell>
        </row>
        <row r="43">
          <cell r="B43" t="str">
            <v>FY(1)</v>
          </cell>
          <cell r="C43">
            <v>929</v>
          </cell>
          <cell r="D43">
            <v>1093</v>
          </cell>
          <cell r="E43">
            <v>847</v>
          </cell>
          <cell r="F43">
            <v>169</v>
          </cell>
          <cell r="G43">
            <v>181</v>
          </cell>
          <cell r="H43">
            <v>956</v>
          </cell>
          <cell r="I43">
            <v>2652</v>
          </cell>
          <cell r="J43">
            <v>975.28571428571433</v>
          </cell>
          <cell r="K43">
            <v>6827</v>
          </cell>
          <cell r="M43">
            <v>1097</v>
          </cell>
          <cell r="N43">
            <v>914</v>
          </cell>
          <cell r="O43">
            <v>1098</v>
          </cell>
          <cell r="P43">
            <v>548</v>
          </cell>
          <cell r="Q43">
            <v>3149</v>
          </cell>
          <cell r="R43">
            <v>3014</v>
          </cell>
          <cell r="S43">
            <v>294</v>
          </cell>
          <cell r="T43">
            <v>1444.8571428571429</v>
          </cell>
          <cell r="U43">
            <v>10114</v>
          </cell>
        </row>
        <row r="44">
          <cell r="B44" t="str">
            <v>FY0</v>
          </cell>
          <cell r="C44">
            <v>1004</v>
          </cell>
          <cell r="D44">
            <v>1108</v>
          </cell>
          <cell r="E44">
            <v>850</v>
          </cell>
          <cell r="F44">
            <v>184</v>
          </cell>
          <cell r="G44">
            <v>108</v>
          </cell>
          <cell r="H44">
            <v>1005</v>
          </cell>
          <cell r="I44">
            <v>2743</v>
          </cell>
          <cell r="J44">
            <v>1000.2857142857143</v>
          </cell>
          <cell r="K44">
            <v>7002</v>
          </cell>
          <cell r="M44">
            <v>1096</v>
          </cell>
          <cell r="N44">
            <v>953</v>
          </cell>
          <cell r="O44">
            <v>1103</v>
          </cell>
          <cell r="P44">
            <v>624</v>
          </cell>
          <cell r="Q44">
            <v>3095</v>
          </cell>
          <cell r="R44">
            <v>2971</v>
          </cell>
          <cell r="S44">
            <v>327</v>
          </cell>
          <cell r="T44">
            <v>1452.7142857142858</v>
          </cell>
          <cell r="U44">
            <v>10169</v>
          </cell>
        </row>
        <row r="45">
          <cell r="B45" t="str">
            <v>FY1</v>
          </cell>
          <cell r="C45">
            <v>1058</v>
          </cell>
          <cell r="D45">
            <v>1110</v>
          </cell>
          <cell r="E45">
            <v>852</v>
          </cell>
          <cell r="F45">
            <v>203</v>
          </cell>
          <cell r="G45">
            <v>110</v>
          </cell>
          <cell r="H45">
            <v>1051</v>
          </cell>
          <cell r="I45">
            <v>2871</v>
          </cell>
          <cell r="J45">
            <v>1036.4285714285713</v>
          </cell>
          <cell r="K45">
            <v>7255</v>
          </cell>
          <cell r="M45">
            <v>1135</v>
          </cell>
          <cell r="N45">
            <v>1005</v>
          </cell>
          <cell r="O45">
            <v>1093.00001</v>
          </cell>
          <cell r="P45">
            <v>680</v>
          </cell>
          <cell r="Q45">
            <v>3050</v>
          </cell>
          <cell r="R45">
            <v>2945</v>
          </cell>
          <cell r="S45">
            <v>377</v>
          </cell>
          <cell r="T45">
            <v>1469.2857157142857</v>
          </cell>
          <cell r="U45">
            <v>10285.00001</v>
          </cell>
        </row>
        <row r="46">
          <cell r="B46" t="str">
            <v>FY2</v>
          </cell>
          <cell r="C46">
            <v>1088</v>
          </cell>
          <cell r="D46">
            <v>1115</v>
          </cell>
          <cell r="E46">
            <v>852</v>
          </cell>
          <cell r="F46">
            <v>219</v>
          </cell>
          <cell r="G46">
            <v>115</v>
          </cell>
          <cell r="H46">
            <v>1106</v>
          </cell>
          <cell r="I46">
            <v>3000.1950000000002</v>
          </cell>
          <cell r="J46">
            <v>1070.7421428571429</v>
          </cell>
          <cell r="K46">
            <v>7495.1949999999997</v>
          </cell>
          <cell r="M46">
            <v>1209</v>
          </cell>
          <cell r="N46">
            <v>1093</v>
          </cell>
          <cell r="O46">
            <v>1183.00001</v>
          </cell>
          <cell r="P46">
            <v>721</v>
          </cell>
          <cell r="Q46">
            <v>3073</v>
          </cell>
          <cell r="R46">
            <v>2977</v>
          </cell>
          <cell r="S46">
            <v>428</v>
          </cell>
          <cell r="T46">
            <v>1526.2857157142857</v>
          </cell>
          <cell r="U46">
            <v>10684.00001</v>
          </cell>
        </row>
        <row r="48">
          <cell r="A48" t="str">
            <v>mstag:floorspace</v>
          </cell>
          <cell r="B48" t="str">
            <v>Avg Selling Sq Ft (in thousands)</v>
          </cell>
        </row>
        <row r="49">
          <cell r="B49" t="str">
            <v>FY(5)</v>
          </cell>
          <cell r="C49">
            <v>49200.978000000003</v>
          </cell>
          <cell r="D49">
            <v>101300</v>
          </cell>
          <cell r="E49">
            <v>156400</v>
          </cell>
          <cell r="F49">
            <v>19304.5</v>
          </cell>
          <cell r="G49">
            <v>7500</v>
          </cell>
          <cell r="H49">
            <v>15253</v>
          </cell>
          <cell r="I49">
            <v>65507.999999999993</v>
          </cell>
          <cell r="J49">
            <v>59209.496857142854</v>
          </cell>
          <cell r="K49">
            <v>414466.478</v>
          </cell>
          <cell r="M49">
            <v>5590</v>
          </cell>
          <cell r="N49">
            <v>1978.4060000000002</v>
          </cell>
          <cell r="O49">
            <v>4540.0950000000003</v>
          </cell>
          <cell r="P49">
            <v>782.26300000000003</v>
          </cell>
          <cell r="Q49">
            <v>36600</v>
          </cell>
          <cell r="R49">
            <v>10311</v>
          </cell>
          <cell r="S49">
            <v>1749.8590000000002</v>
          </cell>
          <cell r="T49">
            <v>8793.0889999999999</v>
          </cell>
          <cell r="U49">
            <v>61551.623</v>
          </cell>
        </row>
        <row r="50">
          <cell r="B50" t="str">
            <v>FY(4)</v>
          </cell>
          <cell r="C50">
            <v>56625</v>
          </cell>
          <cell r="D50">
            <v>101400</v>
          </cell>
          <cell r="E50">
            <v>156400</v>
          </cell>
          <cell r="F50">
            <v>19770.5</v>
          </cell>
          <cell r="G50">
            <v>7500</v>
          </cell>
          <cell r="H50">
            <v>17319</v>
          </cell>
          <cell r="I50">
            <v>70575</v>
          </cell>
          <cell r="J50">
            <v>61369.928571428572</v>
          </cell>
          <cell r="K50">
            <v>429589.5</v>
          </cell>
          <cell r="M50">
            <v>6025</v>
          </cell>
          <cell r="N50">
            <v>2373.4749999999999</v>
          </cell>
          <cell r="O50">
            <v>4772.4870000000001</v>
          </cell>
          <cell r="P50">
            <v>904.83600000000001</v>
          </cell>
          <cell r="Q50">
            <v>37800</v>
          </cell>
          <cell r="R50">
            <v>10311</v>
          </cell>
          <cell r="S50">
            <v>2113.5439999999999</v>
          </cell>
          <cell r="T50">
            <v>9185.7631428571422</v>
          </cell>
          <cell r="U50">
            <v>64300.341999999997</v>
          </cell>
        </row>
        <row r="51">
          <cell r="B51" t="str">
            <v>FY(3)</v>
          </cell>
          <cell r="C51">
            <v>62357</v>
          </cell>
          <cell r="D51">
            <v>103100</v>
          </cell>
          <cell r="E51">
            <v>156400</v>
          </cell>
          <cell r="F51">
            <v>20120</v>
          </cell>
          <cell r="G51">
            <v>7500</v>
          </cell>
          <cell r="H51">
            <v>18642</v>
          </cell>
          <cell r="I51">
            <v>73987</v>
          </cell>
          <cell r="J51">
            <v>63158</v>
          </cell>
          <cell r="K51">
            <v>442106</v>
          </cell>
          <cell r="M51">
            <v>6693</v>
          </cell>
          <cell r="N51">
            <v>2626</v>
          </cell>
          <cell r="O51">
            <v>5173.0650000000005</v>
          </cell>
          <cell r="P51">
            <v>1038.7150000000001</v>
          </cell>
          <cell r="Q51">
            <v>39000</v>
          </cell>
          <cell r="R51">
            <v>10311</v>
          </cell>
          <cell r="S51">
            <v>2497.6379999999999</v>
          </cell>
          <cell r="T51">
            <v>9619.9168571428581</v>
          </cell>
          <cell r="U51">
            <v>67339.418000000005</v>
          </cell>
        </row>
        <row r="52">
          <cell r="B52" t="str">
            <v>FY(2)</v>
          </cell>
          <cell r="C52">
            <v>69889</v>
          </cell>
          <cell r="D52">
            <v>106600</v>
          </cell>
          <cell r="E52">
            <v>154961</v>
          </cell>
          <cell r="F52">
            <v>20336</v>
          </cell>
          <cell r="G52">
            <v>7539</v>
          </cell>
          <cell r="H52">
            <v>21100</v>
          </cell>
          <cell r="I52">
            <v>76420</v>
          </cell>
          <cell r="J52">
            <v>65263.571428571428</v>
          </cell>
          <cell r="K52">
            <v>456845</v>
          </cell>
          <cell r="M52">
            <v>7337</v>
          </cell>
          <cell r="N52">
            <v>2935.2140000000004</v>
          </cell>
          <cell r="O52">
            <v>5709.9319999999998</v>
          </cell>
          <cell r="P52">
            <v>1223.971</v>
          </cell>
          <cell r="Q52">
            <v>39600</v>
          </cell>
          <cell r="R52">
            <v>10311</v>
          </cell>
          <cell r="S52">
            <v>2886.54</v>
          </cell>
          <cell r="T52">
            <v>10000.522428571427</v>
          </cell>
          <cell r="U52">
            <v>70003.656999999992</v>
          </cell>
        </row>
        <row r="53">
          <cell r="B53" t="str">
            <v>FY(1)</v>
          </cell>
          <cell r="C53">
            <v>74992</v>
          </cell>
          <cell r="D53">
            <v>109197.56326148099</v>
          </cell>
          <cell r="E53">
            <v>154091</v>
          </cell>
          <cell r="F53">
            <v>21189</v>
          </cell>
          <cell r="G53">
            <v>7519.0955555555602</v>
          </cell>
          <cell r="H53">
            <v>22500</v>
          </cell>
          <cell r="I53">
            <v>79073.679282091311</v>
          </cell>
          <cell r="J53">
            <v>66937.476871303981</v>
          </cell>
          <cell r="K53">
            <v>468562.33809912787</v>
          </cell>
          <cell r="M53">
            <v>7760</v>
          </cell>
          <cell r="N53">
            <v>3284.614</v>
          </cell>
          <cell r="O53">
            <v>6328.1669999999995</v>
          </cell>
          <cell r="P53">
            <v>1466.11089781022</v>
          </cell>
          <cell r="Q53">
            <v>39500</v>
          </cell>
          <cell r="R53">
            <v>10898.300000000001</v>
          </cell>
          <cell r="S53">
            <v>3360.65564146934</v>
          </cell>
          <cell r="T53">
            <v>10371.121077039936</v>
          </cell>
          <cell r="U53">
            <v>72597.847539279552</v>
          </cell>
        </row>
        <row r="54">
          <cell r="B54" t="str">
            <v>FY0</v>
          </cell>
          <cell r="C54">
            <v>78396</v>
          </cell>
          <cell r="D54">
            <v>110696.15745079701</v>
          </cell>
          <cell r="E54">
            <v>154400</v>
          </cell>
          <cell r="F54">
            <v>22324.5</v>
          </cell>
          <cell r="G54">
            <v>7493.0555555555602</v>
          </cell>
          <cell r="H54">
            <v>23700</v>
          </cell>
          <cell r="I54">
            <v>81786.991806476799</v>
          </cell>
          <cell r="J54">
            <v>68399.529258975628</v>
          </cell>
          <cell r="K54">
            <v>478796.70481282938</v>
          </cell>
          <cell r="M54">
            <v>7847</v>
          </cell>
          <cell r="N54">
            <v>3428.3760000000002</v>
          </cell>
          <cell r="O54">
            <v>6403.8589999999995</v>
          </cell>
          <cell r="P54">
            <v>1690.6890000000001</v>
          </cell>
          <cell r="Q54">
            <v>38800</v>
          </cell>
          <cell r="R54">
            <v>10933</v>
          </cell>
          <cell r="S54">
            <v>3725.8392204614397</v>
          </cell>
          <cell r="T54">
            <v>10404.10903149449</v>
          </cell>
          <cell r="U54">
            <v>72828.763220461435</v>
          </cell>
        </row>
        <row r="55">
          <cell r="B55" t="str">
            <v>FY1</v>
          </cell>
          <cell r="C55">
            <v>80394.312948484498</v>
          </cell>
          <cell r="D55">
            <v>110895.97000937199</v>
          </cell>
          <cell r="E55">
            <v>154944.94117647098</v>
          </cell>
          <cell r="F55">
            <v>23264.098000000002</v>
          </cell>
          <cell r="G55">
            <v>7551.3888888888896</v>
          </cell>
          <cell r="H55">
            <v>24784.776119402999</v>
          </cell>
          <cell r="I55">
            <v>85603.5193133047</v>
          </cell>
          <cell r="J55">
            <v>69634.143779417718</v>
          </cell>
          <cell r="K55">
            <v>487439.00645592407</v>
          </cell>
          <cell r="M55">
            <v>8152.8011747302498</v>
          </cell>
          <cell r="N55">
            <v>3618.09221262458</v>
          </cell>
          <cell r="O55">
            <v>6280.8787298091502</v>
          </cell>
          <cell r="P55">
            <v>1842.77425430213</v>
          </cell>
          <cell r="Q55">
            <v>37816.534659180201</v>
          </cell>
          <cell r="R55">
            <v>10859.0659181791</v>
          </cell>
          <cell r="S55">
            <v>4200.5989247116004</v>
          </cell>
          <cell r="T55">
            <v>10395.820839076714</v>
          </cell>
          <cell r="U55">
            <v>72770.745873537002</v>
          </cell>
        </row>
        <row r="56">
          <cell r="B56" t="str">
            <v>FY2</v>
          </cell>
          <cell r="C56">
            <v>83743.799999999988</v>
          </cell>
          <cell r="D56">
            <v>111395.50140581101</v>
          </cell>
          <cell r="E56">
            <v>154854.22437271001</v>
          </cell>
          <cell r="F56">
            <v>24215.196</v>
          </cell>
          <cell r="G56">
            <v>7861.1111111111095</v>
          </cell>
          <cell r="H56">
            <v>26081.791044776099</v>
          </cell>
          <cell r="I56">
            <v>89455.677682403402</v>
          </cell>
          <cell r="J56">
            <v>71086.757373830231</v>
          </cell>
          <cell r="K56">
            <v>497607.3016168116</v>
          </cell>
          <cell r="M56">
            <v>8723.3097210784999</v>
          </cell>
          <cell r="N56">
            <v>3975.45267116279</v>
          </cell>
          <cell r="O56">
            <v>6672.4837929733894</v>
          </cell>
          <cell r="P56">
            <v>1947.45216540507</v>
          </cell>
          <cell r="Q56">
            <v>36516.200309858395</v>
          </cell>
          <cell r="R56">
            <v>11000.1225990071</v>
          </cell>
          <cell r="S56">
            <v>4686.6820919247102</v>
          </cell>
          <cell r="T56">
            <v>10503.100478772851</v>
          </cell>
          <cell r="U56">
            <v>73521.70335140996</v>
          </cell>
        </row>
        <row r="58">
          <cell r="B58" t="str">
            <v>Square Footage Growth</v>
          </cell>
        </row>
        <row r="59">
          <cell r="B59" t="str">
            <v>FY(4)</v>
          </cell>
          <cell r="C59">
            <v>0.15089175666386145</v>
          </cell>
          <cell r="D59">
            <v>9.8716683119448589E-4</v>
          </cell>
          <cell r="E59">
            <v>0</v>
          </cell>
          <cell r="F59">
            <v>2.4139449351187503E-2</v>
          </cell>
          <cell r="G59">
            <v>0</v>
          </cell>
          <cell r="H59">
            <v>0.13544876417753882</v>
          </cell>
          <cell r="I59">
            <v>7.7349331379373609E-2</v>
          </cell>
          <cell r="J59">
            <v>3.6487925568735591E-2</v>
          </cell>
          <cell r="K59">
            <v>3.6487925568735591E-2</v>
          </cell>
          <cell r="M59">
            <v>7.7817531305903298E-2</v>
          </cell>
          <cell r="N59">
            <v>0.19969055896514654</v>
          </cell>
          <cell r="O59">
            <v>5.1186594113118655E-2</v>
          </cell>
          <cell r="P59">
            <v>0.15669026912943607</v>
          </cell>
          <cell r="Q59">
            <v>3.2786885245901676E-2</v>
          </cell>
          <cell r="R59">
            <v>0</v>
          </cell>
          <cell r="S59">
            <v>0.20783674570351085</v>
          </cell>
          <cell r="T59">
            <v>4.4657132761551921E-2</v>
          </cell>
          <cell r="U59">
            <v>4.4657132761551921E-2</v>
          </cell>
        </row>
        <row r="60">
          <cell r="B60" t="str">
            <v>FY(3)</v>
          </cell>
          <cell r="C60">
            <v>0.10122737306843277</v>
          </cell>
          <cell r="D60">
            <v>1.6765285996055201E-2</v>
          </cell>
          <cell r="E60">
            <v>0</v>
          </cell>
          <cell r="F60">
            <v>1.7677853367390917E-2</v>
          </cell>
          <cell r="G60">
            <v>0</v>
          </cell>
          <cell r="H60">
            <v>7.6390091806686211E-2</v>
          </cell>
          <cell r="I60">
            <v>4.8345731491321375E-2</v>
          </cell>
          <cell r="J60">
            <v>2.9135954207446968E-2</v>
          </cell>
          <cell r="K60">
            <v>2.9135954207446968E-2</v>
          </cell>
          <cell r="M60">
            <v>0.11087136929460573</v>
          </cell>
          <cell r="N60">
            <v>0.10639463234287283</v>
          </cell>
          <cell r="O60">
            <v>8.3934854091797462E-2</v>
          </cell>
          <cell r="P60">
            <v>0.14795940921890827</v>
          </cell>
          <cell r="Q60">
            <v>3.1746031746031855E-2</v>
          </cell>
          <cell r="R60">
            <v>0</v>
          </cell>
          <cell r="S60">
            <v>0.18172983387145014</v>
          </cell>
          <cell r="T60">
            <v>4.7263761054334941E-2</v>
          </cell>
          <cell r="U60">
            <v>4.7263761054334719E-2</v>
          </cell>
        </row>
        <row r="61">
          <cell r="B61" t="str">
            <v>FY(2)</v>
          </cell>
          <cell r="C61">
            <v>0.1207883637763203</v>
          </cell>
          <cell r="D61">
            <v>3.3947623666343407E-2</v>
          </cell>
          <cell r="E61">
            <v>-9.200767263427112E-3</v>
          </cell>
          <cell r="F61">
            <v>1.0735586481113391E-2</v>
          </cell>
          <cell r="G61">
            <v>5.2000000000000934E-3</v>
          </cell>
          <cell r="H61">
            <v>0.13185280549297285</v>
          </cell>
          <cell r="I61">
            <v>3.2884155324583997E-2</v>
          </cell>
          <cell r="J61">
            <v>3.3338158722116429E-2</v>
          </cell>
          <cell r="K61">
            <v>3.3338158722116429E-2</v>
          </cell>
          <cell r="M61">
            <v>9.6219931271477765E-2</v>
          </cell>
          <cell r="N61">
            <v>0.1177509520182789</v>
          </cell>
          <cell r="O61">
            <v>0.1037812206109916</v>
          </cell>
          <cell r="P61">
            <v>0.17835113577834139</v>
          </cell>
          <cell r="Q61">
            <v>1.538461538461533E-2</v>
          </cell>
          <cell r="R61">
            <v>0</v>
          </cell>
          <cell r="S61">
            <v>0.15570791283604746</v>
          </cell>
          <cell r="T61">
            <v>3.9564330656970847E-2</v>
          </cell>
          <cell r="U61">
            <v>3.956433065697107E-2</v>
          </cell>
        </row>
        <row r="62">
          <cell r="B62" t="str">
            <v>FY(1)</v>
          </cell>
          <cell r="C62">
            <v>7.3015782168867727E-2</v>
          </cell>
          <cell r="D62">
            <v>2.4367385192129332E-2</v>
          </cell>
          <cell r="E62">
            <v>-5.614315860119623E-3</v>
          </cell>
          <cell r="F62">
            <v>4.1945318646734897E-2</v>
          </cell>
          <cell r="G62">
            <v>-2.6401969020347638E-3</v>
          </cell>
          <cell r="H62">
            <v>6.6350710900473953E-2</v>
          </cell>
          <cell r="I62">
            <v>3.4724931720639951E-2</v>
          </cell>
          <cell r="J62">
            <v>2.5648388620052476E-2</v>
          </cell>
          <cell r="K62">
            <v>2.5648388620052476E-2</v>
          </cell>
          <cell r="M62">
            <v>5.7652991685975152E-2</v>
          </cell>
          <cell r="N62">
            <v>0.11903731721094246</v>
          </cell>
          <cell r="O62">
            <v>0.10827361867006458</v>
          </cell>
          <cell r="P62">
            <v>0.19783140107912689</v>
          </cell>
          <cell r="Q62">
            <v>-2.525252525252486E-3</v>
          </cell>
          <cell r="R62">
            <v>5.6958587915818093E-2</v>
          </cell>
          <cell r="S62">
            <v>0.16425050110836503</v>
          </cell>
          <cell r="T62">
            <v>3.7057928834768772E-2</v>
          </cell>
          <cell r="U62">
            <v>3.7057928834768772E-2</v>
          </cell>
        </row>
        <row r="63">
          <cell r="B63" t="str">
            <v>FY0</v>
          </cell>
          <cell r="C63">
            <v>4.5391508427565563E-2</v>
          </cell>
          <cell r="D63">
            <v>1.3723696248858053E-2</v>
          </cell>
          <cell r="E63">
            <v>2.0053085514404323E-3</v>
          </cell>
          <cell r="F63">
            <v>5.3589126433526868E-2</v>
          </cell>
          <cell r="G63">
            <v>-3.4631824808716294E-3</v>
          </cell>
          <cell r="H63">
            <v>5.3333333333333233E-2</v>
          </cell>
          <cell r="I63">
            <v>3.4313725490196179E-2</v>
          </cell>
          <cell r="J63">
            <v>2.1842060023903098E-2</v>
          </cell>
          <cell r="K63">
            <v>2.1842060023903098E-2</v>
          </cell>
          <cell r="M63">
            <v>1.1211340206185527E-2</v>
          </cell>
          <cell r="N63">
            <v>4.3768308848467496E-2</v>
          </cell>
          <cell r="O63">
            <v>1.196112555183837E-2</v>
          </cell>
          <cell r="P63">
            <v>0.15317947811806687</v>
          </cell>
          <cell r="Q63">
            <v>-1.7721518987341756E-2</v>
          </cell>
          <cell r="R63">
            <v>3.1839828230089129E-3</v>
          </cell>
          <cell r="S63">
            <v>0.10866438515325982</v>
          </cell>
          <cell r="T63">
            <v>3.1807510691959084E-3</v>
          </cell>
          <cell r="U63">
            <v>3.1807510691959084E-3</v>
          </cell>
        </row>
        <row r="64">
          <cell r="B64" t="str">
            <v>FY1</v>
          </cell>
          <cell r="C64">
            <v>2.5489986076898008E-2</v>
          </cell>
          <cell r="D64">
            <v>1.8050541516203555E-3</v>
          </cell>
          <cell r="E64">
            <v>3.5294117647084455E-3</v>
          </cell>
          <cell r="F64">
            <v>4.2088199063808895E-2</v>
          </cell>
          <cell r="G64">
            <v>7.7849860982386332E-3</v>
          </cell>
          <cell r="H64">
            <v>4.5771144278607512E-2</v>
          </cell>
          <cell r="I64">
            <v>4.6664236237695444E-2</v>
          </cell>
          <cell r="J64">
            <v>1.8050044113133712E-2</v>
          </cell>
          <cell r="K64">
            <v>1.8050044113133934E-2</v>
          </cell>
          <cell r="M64">
            <v>3.897045682811906E-2</v>
          </cell>
          <cell r="N64">
            <v>5.5337049560660656E-2</v>
          </cell>
          <cell r="O64">
            <v>-1.9204087752533128E-2</v>
          </cell>
          <cell r="P64">
            <v>8.9954600936144935E-2</v>
          </cell>
          <cell r="Q64">
            <v>-2.5347044866489643E-2</v>
          </cell>
          <cell r="R64">
            <v>-6.7624697540382694E-3</v>
          </cell>
          <cell r="S64">
            <v>0.12742356182276771</v>
          </cell>
          <cell r="T64">
            <v>-7.9662683202252893E-4</v>
          </cell>
          <cell r="U64">
            <v>-7.9662683202252893E-4</v>
          </cell>
        </row>
        <row r="65">
          <cell r="A65" t="str">
            <v>mstag:comparableStoreSalesGrowth</v>
          </cell>
          <cell r="B65" t="str">
            <v>FY2</v>
          </cell>
          <cell r="C65">
            <v>4.16632337372147E-2</v>
          </cell>
          <cell r="D65">
            <v>4.5045045045082333E-3</v>
          </cell>
          <cell r="E65">
            <v>-5.8547767401873063E-4</v>
          </cell>
          <cell r="F65">
            <v>4.0882651027346784E-2</v>
          </cell>
          <cell r="G65">
            <v>4.1015265771564779E-2</v>
          </cell>
          <cell r="H65">
            <v>5.2331113225497994E-2</v>
          </cell>
          <cell r="I65">
            <v>4.4999999999999929E-2</v>
          </cell>
          <cell r="J65">
            <v>2.0860651335270264E-2</v>
          </cell>
          <cell r="K65">
            <v>2.0860651335270264E-2</v>
          </cell>
          <cell r="M65">
            <v>6.997699736828511E-2</v>
          </cell>
          <cell r="N65">
            <v>9.877041201196457E-2</v>
          </cell>
          <cell r="O65">
            <v>6.2348769974760909E-2</v>
          </cell>
          <cell r="P65">
            <v>5.6804522235189392E-2</v>
          </cell>
          <cell r="Q65">
            <v>-3.4385338610240401E-2</v>
          </cell>
          <cell r="R65">
            <v>1.2989761908697606E-2</v>
          </cell>
          <cell r="S65">
            <v>0.11571758597411974</v>
          </cell>
          <cell r="T65">
            <v>1.0319496782099646E-2</v>
          </cell>
          <cell r="U65">
            <v>1.0319496782099646E-2</v>
          </cell>
        </row>
        <row r="66">
          <cell r="B66" t="str">
            <v>4-Yr. Compounded</v>
          </cell>
          <cell r="C66">
            <v>6.5577468319250709E-2</v>
          </cell>
          <cell r="D66">
            <v>1.8390348330118655E-2</v>
          </cell>
          <cell r="E66">
            <v>-2.3340200577479653E-3</v>
          </cell>
          <cell r="F66">
            <v>3.696610404122036E-2</v>
          </cell>
          <cell r="G66">
            <v>1.7085791092168456E-3</v>
          </cell>
          <cell r="H66">
            <v>7.3799318905135358E-2</v>
          </cell>
          <cell r="I66">
            <v>3.7132038387335253E-2</v>
          </cell>
          <cell r="J66">
            <v>2.4704085493136851E-2</v>
          </cell>
          <cell r="K66">
            <v>2.4704085493136851E-2</v>
          </cell>
          <cell r="M66">
            <v>5.0561561442880043E-2</v>
          </cell>
          <cell r="N66">
            <v>8.3418450725379456E-2</v>
          </cell>
          <cell r="O66">
            <v>4.9707060147659243E-2</v>
          </cell>
          <cell r="P66">
            <v>0.15410130787375076</v>
          </cell>
          <cell r="Q66">
            <v>-7.6742053354557083E-3</v>
          </cell>
          <cell r="R66">
            <v>1.3031431848396169E-2</v>
          </cell>
          <cell r="S66">
            <v>0.13879468332198019</v>
          </cell>
          <cell r="T66">
            <v>1.9581312682365848E-2</v>
          </cell>
          <cell r="U66">
            <v>1.9581312682365848E-2</v>
          </cell>
        </row>
        <row r="67">
          <cell r="B67" t="str">
            <v>FY(4)</v>
          </cell>
          <cell r="C67">
            <v>5.4574854495884903E-3</v>
          </cell>
          <cell r="D67">
            <v>4.9000000000000002E-2</v>
          </cell>
          <cell r="E67">
            <v>2.5999999999999999E-2</v>
          </cell>
          <cell r="F67">
            <v>9.6205540192385405E-2</v>
          </cell>
          <cell r="G67">
            <v>5.2999999999999999E-2</v>
          </cell>
          <cell r="H67">
            <v>-0.01</v>
          </cell>
          <cell r="I67">
            <v>0.05</v>
          </cell>
          <cell r="J67">
            <v>3.8523289377424837E-2</v>
          </cell>
          <cell r="M67">
            <v>0.02</v>
          </cell>
          <cell r="N67">
            <v>8.6999999999999994E-2</v>
          </cell>
          <cell r="O67">
            <v>0.214</v>
          </cell>
          <cell r="P67">
            <v>0.182</v>
          </cell>
          <cell r="Q67">
            <v>0</v>
          </cell>
          <cell r="R67">
            <v>0.04</v>
          </cell>
          <cell r="S67">
            <v>0.216</v>
          </cell>
          <cell r="T67">
            <v>0.10842857142857143</v>
          </cell>
        </row>
        <row r="68">
          <cell r="A68" t="str">
            <v>mstag:comparableStoreSalesGrowth</v>
          </cell>
          <cell r="B68" t="str">
            <v>Comp Store Sales</v>
          </cell>
          <cell r="C68">
            <v>3.68908761248153E-2</v>
          </cell>
          <cell r="D68">
            <v>2.9000000000000001E-2</v>
          </cell>
          <cell r="E68">
            <v>1.2999999999999999E-2</v>
          </cell>
          <cell r="F68">
            <v>6.01637300954651E-2</v>
          </cell>
          <cell r="G68">
            <v>0.04</v>
          </cell>
          <cell r="H68">
            <v>0.06</v>
          </cell>
          <cell r="I68">
            <v>0.02</v>
          </cell>
          <cell r="J68">
            <v>3.700780088861149E-2</v>
          </cell>
          <cell r="M68">
            <v>0.26</v>
          </cell>
          <cell r="N68">
            <v>3.5000000000000003E-2</v>
          </cell>
          <cell r="O68">
            <v>0.155</v>
          </cell>
          <cell r="P68">
            <v>0.20699999999999999</v>
          </cell>
          <cell r="Q68">
            <v>-0.05</v>
          </cell>
          <cell r="R68">
            <v>-0.01</v>
          </cell>
          <cell r="S68">
            <v>0.109</v>
          </cell>
          <cell r="T68">
            <v>0.10085714285714285</v>
          </cell>
          <cell r="W68">
            <v>5.2356020942408377E-2</v>
          </cell>
        </row>
        <row r="69">
          <cell r="B69" t="str">
            <v>FY(5)</v>
          </cell>
          <cell r="C69">
            <v>5.4574854495884903E-3</v>
          </cell>
          <cell r="D69">
            <v>4.9000000000000002E-2</v>
          </cell>
          <cell r="E69">
            <v>2.5999999999999999E-2</v>
          </cell>
          <cell r="F69">
            <v>9.6205540192385405E-2</v>
          </cell>
          <cell r="G69">
            <v>5.2999999999999999E-2</v>
          </cell>
          <cell r="H69">
            <v>-0.01</v>
          </cell>
          <cell r="I69">
            <v>0.05</v>
          </cell>
          <cell r="J69">
            <v>3.8523289377424837E-2</v>
          </cell>
          <cell r="M69">
            <v>0.02</v>
          </cell>
          <cell r="N69">
            <v>8.6999999999999994E-2</v>
          </cell>
          <cell r="O69">
            <v>0.214</v>
          </cell>
          <cell r="P69">
            <v>0.16900000000000001</v>
          </cell>
          <cell r="Q69">
            <v>0</v>
          </cell>
          <cell r="R69">
            <v>0.04</v>
          </cell>
          <cell r="S69">
            <v>0.216</v>
          </cell>
          <cell r="T69">
            <v>0.10657142857142857</v>
          </cell>
        </row>
        <row r="70">
          <cell r="B70" t="str">
            <v>FY(4)</v>
          </cell>
          <cell r="C70">
            <v>3.68908761248153E-2</v>
          </cell>
          <cell r="D70">
            <v>2.9000000000000001E-2</v>
          </cell>
          <cell r="E70">
            <v>1.2999999999999999E-2</v>
          </cell>
          <cell r="F70">
            <v>6.01637300954651E-2</v>
          </cell>
          <cell r="G70">
            <v>0.04</v>
          </cell>
          <cell r="H70">
            <v>0.06</v>
          </cell>
          <cell r="I70">
            <v>0.02</v>
          </cell>
          <cell r="J70">
            <v>3.700780088861149E-2</v>
          </cell>
          <cell r="M70">
            <v>0.26</v>
          </cell>
          <cell r="N70">
            <v>3.5000000000000003E-2</v>
          </cell>
          <cell r="O70">
            <v>0.155</v>
          </cell>
          <cell r="P70">
            <v>0.182</v>
          </cell>
          <cell r="Q70">
            <v>-0.05</v>
          </cell>
          <cell r="R70">
            <v>-0.01</v>
          </cell>
          <cell r="S70">
            <v>0.109</v>
          </cell>
          <cell r="T70">
            <v>9.7285714285714295E-2</v>
          </cell>
        </row>
        <row r="71">
          <cell r="B71" t="str">
            <v>FY(3)</v>
          </cell>
          <cell r="C71">
            <v>5.8999999999999997E-2</v>
          </cell>
          <cell r="D71">
            <v>3.6999999999999998E-2</v>
          </cell>
          <cell r="E71">
            <v>4.3999999999999997E-2</v>
          </cell>
          <cell r="F71">
            <v>7.4999999999999997E-2</v>
          </cell>
          <cell r="G71">
            <v>4.9000000000000002E-2</v>
          </cell>
          <cell r="H71">
            <v>0.04</v>
          </cell>
          <cell r="I71">
            <v>0.04</v>
          </cell>
          <cell r="J71">
            <v>4.9142857142857141E-2</v>
          </cell>
          <cell r="M71">
            <v>0.01</v>
          </cell>
          <cell r="N71">
            <v>2.0075199121431499E-2</v>
          </cell>
          <cell r="O71">
            <v>0.12</v>
          </cell>
          <cell r="P71">
            <v>0.20699999999999999</v>
          </cell>
          <cell r="Q71">
            <v>-7.0000000000000007E-2</v>
          </cell>
          <cell r="R71">
            <v>7.0000000000000007E-2</v>
          </cell>
          <cell r="S71">
            <v>-6.2E-2</v>
          </cell>
          <cell r="T71">
            <v>4.2153599874490209E-2</v>
          </cell>
        </row>
        <row r="72">
          <cell r="B72" t="str">
            <v>FY(2)</v>
          </cell>
          <cell r="C72">
            <v>-7.9988102247825297E-3</v>
          </cell>
          <cell r="D72">
            <v>-1.0999999999999999E-2</v>
          </cell>
          <cell r="E72">
            <v>-1.2999999999999999E-2</v>
          </cell>
          <cell r="F72">
            <v>3.9E-2</v>
          </cell>
          <cell r="G72">
            <v>0.117894805327276</v>
          </cell>
          <cell r="H72">
            <v>0.01</v>
          </cell>
          <cell r="I72">
            <v>0.04</v>
          </cell>
          <cell r="J72">
            <v>2.4985142157499068E-2</v>
          </cell>
          <cell r="M72">
            <v>-0.01</v>
          </cell>
          <cell r="N72">
            <v>3.3000000000000002E-2</v>
          </cell>
          <cell r="O72">
            <v>0.01</v>
          </cell>
          <cell r="P72">
            <v>0.223</v>
          </cell>
          <cell r="Q72">
            <v>-0.04</v>
          </cell>
          <cell r="R72">
            <v>-0.02</v>
          </cell>
          <cell r="S72">
            <v>5.5E-2</v>
          </cell>
          <cell r="T72">
            <v>3.5857142857142858E-2</v>
          </cell>
        </row>
        <row r="73">
          <cell r="B73" t="str">
            <v>FY(1)</v>
          </cell>
          <cell r="C73">
            <v>-6.9000000000000006E-2</v>
          </cell>
          <cell r="D73">
            <v>-8.5000000000000006E-2</v>
          </cell>
          <cell r="E73">
            <v>-4.4999999999999998E-2</v>
          </cell>
          <cell r="F73">
            <v>-9.0392473766734996E-2</v>
          </cell>
          <cell r="G73">
            <v>-6.0999999999999999E-2</v>
          </cell>
          <cell r="H73">
            <v>0.02</v>
          </cell>
          <cell r="I73">
            <v>-7.2019165762476399E-3</v>
          </cell>
          <cell r="J73">
            <v>-4.8227770048997518E-2</v>
          </cell>
          <cell r="M73">
            <v>-0.13</v>
          </cell>
          <cell r="N73">
            <v>0.08</v>
          </cell>
          <cell r="O73">
            <v>-9.97396193878715E-2</v>
          </cell>
          <cell r="P73">
            <v>9.8000000000000004E-2</v>
          </cell>
          <cell r="Q73">
            <v>-0.12</v>
          </cell>
          <cell r="R73">
            <v>-8.4306869759510406E-2</v>
          </cell>
          <cell r="S73">
            <v>7.8E-2</v>
          </cell>
          <cell r="T73">
            <v>-2.5435212735340273E-2</v>
          </cell>
        </row>
        <row r="74">
          <cell r="B74" t="str">
            <v>FY0</v>
          </cell>
          <cell r="C74">
            <v>6.5541130581591696E-3</v>
          </cell>
          <cell r="D74">
            <v>-6.3078925007644296E-2</v>
          </cell>
          <cell r="E74">
            <v>-5.2999999999999999E-2</v>
          </cell>
          <cell r="F74">
            <v>-3.4224630661177001E-2</v>
          </cell>
          <cell r="G74">
            <v>-0.14699999999999999</v>
          </cell>
          <cell r="H74">
            <v>6.1429424489502199E-2</v>
          </cell>
          <cell r="I74">
            <v>5.67421533164396E-2</v>
          </cell>
          <cell r="J74">
            <v>-2.4653980686388625E-2</v>
          </cell>
          <cell r="M74">
            <v>-0.23</v>
          </cell>
          <cell r="N74">
            <v>0.102299627147601</v>
          </cell>
          <cell r="O74">
            <v>-3.6220023152869797E-2</v>
          </cell>
          <cell r="P74">
            <v>-6.8000000000000005E-2</v>
          </cell>
          <cell r="Q74">
            <v>-2.9938719447770702E-2</v>
          </cell>
          <cell r="R74">
            <v>-3.8209678879894897E-2</v>
          </cell>
          <cell r="S74">
            <v>-2.3256719605994101E-2</v>
          </cell>
          <cell r="T74">
            <v>-4.6189359134132642E-2</v>
          </cell>
        </row>
        <row r="75">
          <cell r="B75" t="str">
            <v>FY1</v>
          </cell>
          <cell r="C75">
            <v>5.2404169492854501E-2</v>
          </cell>
          <cell r="D75">
            <v>1.86033499008923E-2</v>
          </cell>
          <cell r="E75">
            <v>4.3679773152782701E-2</v>
          </cell>
          <cell r="F75">
            <v>3.97315603069179E-2</v>
          </cell>
          <cell r="G75">
            <v>4.2591937598611899E-2</v>
          </cell>
          <cell r="H75">
            <v>5.2923780943401597E-2</v>
          </cell>
          <cell r="I75">
            <v>3.8739178634559598E-2</v>
          </cell>
          <cell r="J75">
            <v>4.1239107147145793E-2</v>
          </cell>
          <cell r="M75">
            <v>-4.3817488406315802E-2</v>
          </cell>
          <cell r="N75">
            <v>3.6299681250220303E-2</v>
          </cell>
          <cell r="O75">
            <v>3.3506756084832397E-2</v>
          </cell>
          <cell r="P75">
            <v>2.1792814193442801E-2</v>
          </cell>
          <cell r="Q75">
            <v>6.4617414056954703E-3</v>
          </cell>
          <cell r="R75">
            <v>6.9899914522689399E-2</v>
          </cell>
          <cell r="S75">
            <v>6.5643552140244005E-2</v>
          </cell>
          <cell r="T75">
            <v>2.7112424455829794E-2</v>
          </cell>
        </row>
        <row r="76">
          <cell r="B76" t="str">
            <v>FY2</v>
          </cell>
          <cell r="C76">
            <v>0.04</v>
          </cell>
          <cell r="D76">
            <v>0.02</v>
          </cell>
          <cell r="E76">
            <v>0.01</v>
          </cell>
          <cell r="F76">
            <v>0.02</v>
          </cell>
          <cell r="G76">
            <v>0.02</v>
          </cell>
          <cell r="H76">
            <v>0.02</v>
          </cell>
          <cell r="I76">
            <v>0.02</v>
          </cell>
          <cell r="J76">
            <v>2.1428571428571429E-2</v>
          </cell>
          <cell r="M76">
            <v>1.04505589012915E-2</v>
          </cell>
          <cell r="N76">
            <v>0.03</v>
          </cell>
          <cell r="O76">
            <v>0.04</v>
          </cell>
          <cell r="P76">
            <v>0.04</v>
          </cell>
          <cell r="Q76">
            <v>-3.10077885527596E-2</v>
          </cell>
          <cell r="R76">
            <v>1.82099005897415E-2</v>
          </cell>
          <cell r="S76">
            <v>5.1020186507036699E-2</v>
          </cell>
          <cell r="T76">
            <v>2.2667551063615732E-2</v>
          </cell>
        </row>
        <row r="77">
          <cell r="B77" t="str">
            <v>FQ(3)</v>
          </cell>
          <cell r="C77">
            <v>-4.2000000000000003E-2</v>
          </cell>
          <cell r="D77">
            <v>-7.4999999999999997E-2</v>
          </cell>
          <cell r="E77">
            <v>-0.09</v>
          </cell>
          <cell r="F77">
            <v>-0.13200000000000001</v>
          </cell>
          <cell r="G77">
            <v>-0.27600000000000002</v>
          </cell>
          <cell r="H77">
            <v>0.03</v>
          </cell>
          <cell r="I77">
            <v>-3.9548952924792102E-2</v>
          </cell>
          <cell r="J77">
            <v>-8.9221278989256012E-2</v>
          </cell>
          <cell r="M77">
            <v>-0.3</v>
          </cell>
          <cell r="N77">
            <v>0.11</v>
          </cell>
          <cell r="O77">
            <v>-0.1</v>
          </cell>
          <cell r="P77">
            <v>-4.2000000000000003E-2</v>
          </cell>
          <cell r="Q77">
            <v>-0.08</v>
          </cell>
          <cell r="R77">
            <v>-7.0000000000000007E-2</v>
          </cell>
          <cell r="S77">
            <v>-9.6000000000000002E-2</v>
          </cell>
          <cell r="T77">
            <v>-8.2571428571428587E-2</v>
          </cell>
        </row>
        <row r="78">
          <cell r="B78" t="str">
            <v>FQ(2)</v>
          </cell>
          <cell r="C78">
            <v>-2.3E-2</v>
          </cell>
          <cell r="D78">
            <v>-9.5000000000000001E-2</v>
          </cell>
          <cell r="E78">
            <v>-9.5000000000000001E-2</v>
          </cell>
          <cell r="F78">
            <v>-9.8000000000000004E-2</v>
          </cell>
          <cell r="G78">
            <v>-0.155</v>
          </cell>
          <cell r="H78">
            <v>0.03</v>
          </cell>
          <cell r="I78">
            <v>-5.3891204011856202E-3</v>
          </cell>
          <cell r="J78">
            <v>-6.3055588628740791E-2</v>
          </cell>
          <cell r="M78">
            <v>-0.3</v>
          </cell>
          <cell r="N78">
            <v>0.12</v>
          </cell>
          <cell r="O78">
            <v>-0.1</v>
          </cell>
          <cell r="P78">
            <v>-6.0999999999999999E-2</v>
          </cell>
          <cell r="Q78">
            <v>-0.08</v>
          </cell>
          <cell r="R78">
            <v>-0.09</v>
          </cell>
          <cell r="S78">
            <v>-0.06</v>
          </cell>
          <cell r="T78">
            <v>-8.1571428571428559E-2</v>
          </cell>
        </row>
        <row r="79">
          <cell r="A79" t="str">
            <v>mstag:revenueNet</v>
          </cell>
          <cell r="B79" t="str">
            <v>FQ(1)</v>
          </cell>
          <cell r="C79">
            <v>2.4E-2</v>
          </cell>
          <cell r="D79">
            <v>-4.5999999999999999E-2</v>
          </cell>
          <cell r="E79">
            <v>-3.5999999999999997E-2</v>
          </cell>
          <cell r="F79">
            <v>-1.2E-2</v>
          </cell>
          <cell r="G79">
            <v>-0.10100000000000001</v>
          </cell>
          <cell r="H79">
            <v>0.08</v>
          </cell>
          <cell r="I79">
            <v>7.6835872094774701E-2</v>
          </cell>
          <cell r="J79">
            <v>-2.0234468436036118E-3</v>
          </cell>
          <cell r="M79">
            <v>-0.22</v>
          </cell>
          <cell r="N79">
            <v>0.1</v>
          </cell>
          <cell r="O79">
            <v>-0.04</v>
          </cell>
          <cell r="P79">
            <v>-1.0999999999999999E-2</v>
          </cell>
          <cell r="Q79">
            <v>0</v>
          </cell>
          <cell r="R79">
            <v>-0.02</v>
          </cell>
          <cell r="S79">
            <v>-0.02</v>
          </cell>
          <cell r="T79">
            <v>-3.0142857142857141E-2</v>
          </cell>
        </row>
        <row r="80">
          <cell r="B80" t="str">
            <v>Last Reported Q</v>
          </cell>
          <cell r="C80">
            <v>6.5541130581591696E-3</v>
          </cell>
          <cell r="D80">
            <v>-6.3078925007644296E-2</v>
          </cell>
          <cell r="E80">
            <v>-5.2999999999999999E-2</v>
          </cell>
          <cell r="F80">
            <v>-3.4224630661177001E-2</v>
          </cell>
          <cell r="G80">
            <v>-0.14699999999999999</v>
          </cell>
          <cell r="H80">
            <v>6.1429424489502199E-2</v>
          </cell>
          <cell r="I80">
            <v>5.67421533164396E-2</v>
          </cell>
          <cell r="J80">
            <v>-2.4653980686388625E-2</v>
          </cell>
          <cell r="K80">
            <v>29178.162</v>
          </cell>
          <cell r="M80">
            <v>-0.23</v>
          </cell>
          <cell r="N80">
            <v>0.102299627147601</v>
          </cell>
          <cell r="O80">
            <v>-3.6220023152869797E-2</v>
          </cell>
          <cell r="P80">
            <v>3.2000000000000001E-2</v>
          </cell>
          <cell r="Q80">
            <v>-2.9938719447770702E-2</v>
          </cell>
          <cell r="R80">
            <v>-3.8209678879894897E-2</v>
          </cell>
          <cell r="S80">
            <v>-2.3256719605994101E-2</v>
          </cell>
          <cell r="T80">
            <v>-3.1903644848418358E-2</v>
          </cell>
          <cell r="U80">
            <v>11475.175999999999</v>
          </cell>
        </row>
        <row r="81">
          <cell r="B81" t="str">
            <v>FY(9)</v>
          </cell>
          <cell r="C81">
            <v>4556.9799999999996</v>
          </cell>
          <cell r="D81">
            <v>31743</v>
          </cell>
          <cell r="E81">
            <v>16029</v>
          </cell>
          <cell r="F81">
            <v>5149</v>
          </cell>
          <cell r="G81" t="str">
            <v>NA</v>
          </cell>
          <cell r="H81">
            <v>2468.6379999999999</v>
          </cell>
          <cell r="I81">
            <v>8795.3469999999998</v>
          </cell>
          <cell r="K81">
            <v>68741.964999999997</v>
          </cell>
          <cell r="M81">
            <v>1030.8579999999999</v>
          </cell>
          <cell r="N81" t="str">
            <v>NA</v>
          </cell>
          <cell r="O81">
            <v>832.10400000000004</v>
          </cell>
          <cell r="P81">
            <v>549</v>
          </cell>
          <cell r="Q81" t="str">
            <v>NA</v>
          </cell>
          <cell r="R81">
            <v>9766</v>
          </cell>
          <cell r="S81">
            <v>278.113</v>
          </cell>
          <cell r="U81">
            <v>12456.074999999999</v>
          </cell>
        </row>
        <row r="82">
          <cell r="A82" t="str">
            <v>mstag:revenueNet</v>
          </cell>
          <cell r="B82" t="str">
            <v>Revenue</v>
          </cell>
          <cell r="C82">
            <v>6152.2</v>
          </cell>
          <cell r="D82">
            <v>31846</v>
          </cell>
          <cell r="E82">
            <v>16638</v>
          </cell>
          <cell r="F82">
            <v>5528.5370000000003</v>
          </cell>
          <cell r="G82" t="str">
            <v>NA</v>
          </cell>
          <cell r="H82">
            <v>2709.0390000000002</v>
          </cell>
          <cell r="I82">
            <v>9579.0059999999994</v>
          </cell>
          <cell r="K82">
            <v>72452.781999999992</v>
          </cell>
          <cell r="M82">
            <v>1237.604</v>
          </cell>
          <cell r="N82" t="str">
            <v>NA</v>
          </cell>
          <cell r="O82">
            <v>1058.454</v>
          </cell>
          <cell r="P82">
            <v>600.49099999999999</v>
          </cell>
          <cell r="Q82">
            <v>13673.38</v>
          </cell>
          <cell r="R82">
            <v>9080</v>
          </cell>
          <cell r="S82">
            <v>295.33300000000003</v>
          </cell>
          <cell r="U82">
            <v>25945.261999999999</v>
          </cell>
        </row>
        <row r="83">
          <cell r="B83" t="str">
            <v>FY(10)</v>
          </cell>
          <cell r="C83">
            <v>4556.9799999999996</v>
          </cell>
          <cell r="D83">
            <v>31743</v>
          </cell>
          <cell r="E83">
            <v>16029</v>
          </cell>
          <cell r="F83">
            <v>5149</v>
          </cell>
          <cell r="G83" t="str">
            <v>NA</v>
          </cell>
          <cell r="H83">
            <v>2468.6379999999999</v>
          </cell>
          <cell r="I83">
            <v>8795.3469999999998</v>
          </cell>
          <cell r="K83">
            <v>68741.964999999997</v>
          </cell>
          <cell r="M83">
            <v>1030.8579999999999</v>
          </cell>
          <cell r="N83">
            <v>232.10029573498414</v>
          </cell>
          <cell r="O83">
            <v>832.10400000000004</v>
          </cell>
          <cell r="P83">
            <v>507.78100000000001</v>
          </cell>
          <cell r="Q83">
            <v>11635</v>
          </cell>
          <cell r="R83">
            <v>9766</v>
          </cell>
          <cell r="S83">
            <v>278.113</v>
          </cell>
          <cell r="U83">
            <v>24281.956295734984</v>
          </cell>
        </row>
        <row r="84">
          <cell r="B84" t="str">
            <v>FY(9)</v>
          </cell>
          <cell r="C84">
            <v>6152.2</v>
          </cell>
          <cell r="D84">
            <v>31846</v>
          </cell>
          <cell r="E84">
            <v>16638</v>
          </cell>
          <cell r="F84">
            <v>5528.5370000000003</v>
          </cell>
          <cell r="G84" t="str">
            <v>NA</v>
          </cell>
          <cell r="H84">
            <v>2709.0390000000002</v>
          </cell>
          <cell r="I84">
            <v>9579.0059999999994</v>
          </cell>
          <cell r="K84">
            <v>72452.781999999992</v>
          </cell>
          <cell r="M84">
            <v>1237.604</v>
          </cell>
          <cell r="N84">
            <v>309.60581176788753</v>
          </cell>
          <cell r="O84">
            <v>1058.454</v>
          </cell>
          <cell r="P84">
            <v>549</v>
          </cell>
          <cell r="Q84">
            <v>13673.38</v>
          </cell>
          <cell r="R84">
            <v>9080</v>
          </cell>
          <cell r="S84">
            <v>295.33300000000003</v>
          </cell>
          <cell r="U84">
            <v>26203.376811767885</v>
          </cell>
        </row>
        <row r="85">
          <cell r="B85" t="str">
            <v>FY(8)</v>
          </cell>
          <cell r="C85">
            <v>7488.6459999999997</v>
          </cell>
          <cell r="D85">
            <v>17840</v>
          </cell>
          <cell r="E85">
            <v>15785</v>
          </cell>
          <cell r="F85">
            <v>5634.13</v>
          </cell>
          <cell r="G85" t="str">
            <v>NA</v>
          </cell>
          <cell r="H85">
            <v>2986.596</v>
          </cell>
          <cell r="I85">
            <v>10708.998</v>
          </cell>
          <cell r="K85">
            <v>60443.369999999995</v>
          </cell>
          <cell r="M85">
            <v>1364.8530000000001</v>
          </cell>
          <cell r="N85">
            <v>412.99283302035195</v>
          </cell>
          <cell r="O85">
            <v>1271.248</v>
          </cell>
          <cell r="P85">
            <v>600.49099999999999</v>
          </cell>
          <cell r="Q85">
            <v>13847.873</v>
          </cell>
          <cell r="R85">
            <v>8423</v>
          </cell>
          <cell r="S85">
            <v>348.95800000000003</v>
          </cell>
          <cell r="U85">
            <v>26269.41583302035</v>
          </cell>
        </row>
        <row r="86">
          <cell r="B86" t="str">
            <v>FY(7)</v>
          </cell>
          <cell r="C86">
            <v>9120.2870000000003</v>
          </cell>
          <cell r="D86">
            <v>17384</v>
          </cell>
          <cell r="E86">
            <v>15571</v>
          </cell>
          <cell r="F86">
            <v>5944.6559999999999</v>
          </cell>
          <cell r="G86" t="str">
            <v>NA</v>
          </cell>
          <cell r="H86">
            <v>3531.3490000000002</v>
          </cell>
          <cell r="I86">
            <v>11981.207</v>
          </cell>
          <cell r="K86">
            <v>63532.499000000003</v>
          </cell>
          <cell r="M86">
            <v>1595.7570000000001</v>
          </cell>
          <cell r="N86">
            <v>550.904</v>
          </cell>
          <cell r="O86">
            <v>1382.923</v>
          </cell>
          <cell r="P86">
            <v>719.4</v>
          </cell>
          <cell r="Q86">
            <v>14455.105</v>
          </cell>
          <cell r="R86">
            <v>8444.6380000000008</v>
          </cell>
          <cell r="S86">
            <v>422.75400000000002</v>
          </cell>
          <cell r="U86">
            <v>27571.481</v>
          </cell>
        </row>
        <row r="87">
          <cell r="B87" t="str">
            <v>FY(6)</v>
          </cell>
          <cell r="C87">
            <v>10282.093999999999</v>
          </cell>
          <cell r="D87">
            <v>17513</v>
          </cell>
          <cell r="E87">
            <v>15412</v>
          </cell>
          <cell r="F87">
            <v>6448.5720000000001</v>
          </cell>
          <cell r="G87">
            <v>2441.989</v>
          </cell>
          <cell r="H87">
            <v>3920.5830000000001</v>
          </cell>
          <cell r="I87">
            <v>13327.938</v>
          </cell>
          <cell r="K87">
            <v>69346.175999999992</v>
          </cell>
          <cell r="M87">
            <v>1707.809</v>
          </cell>
          <cell r="N87">
            <v>734.86800000000005</v>
          </cell>
          <cell r="O87">
            <v>1435.4359999999999</v>
          </cell>
          <cell r="P87">
            <v>926.40599999999995</v>
          </cell>
          <cell r="Q87">
            <v>15853.771000000001</v>
          </cell>
          <cell r="R87">
            <v>8933.973</v>
          </cell>
          <cell r="S87">
            <v>548.36099999999999</v>
          </cell>
          <cell r="U87">
            <v>30140.624</v>
          </cell>
        </row>
        <row r="88">
          <cell r="B88" t="str">
            <v>FY(5)</v>
          </cell>
          <cell r="C88">
            <v>11700.7</v>
          </cell>
          <cell r="D88">
            <v>18096</v>
          </cell>
          <cell r="E88">
            <v>15776</v>
          </cell>
          <cell r="F88">
            <v>7131.4129999999996</v>
          </cell>
          <cell r="G88">
            <v>2766.9769999999999</v>
          </cell>
          <cell r="H88">
            <v>4239.99</v>
          </cell>
          <cell r="I88">
            <v>14913.483</v>
          </cell>
          <cell r="K88">
            <v>74624.562999999995</v>
          </cell>
          <cell r="M88">
            <v>2021.2539999999999</v>
          </cell>
          <cell r="N88">
            <v>964.21199999999999</v>
          </cell>
          <cell r="O88">
            <v>1881.241</v>
          </cell>
          <cell r="P88">
            <v>1272.3</v>
          </cell>
          <cell r="Q88">
            <v>16267</v>
          </cell>
          <cell r="R88">
            <v>9408.3119999999999</v>
          </cell>
          <cell r="S88">
            <v>827.75</v>
          </cell>
          <cell r="U88">
            <v>32642.069000000003</v>
          </cell>
        </row>
        <row r="89">
          <cell r="B89" t="str">
            <v>FY(4)</v>
          </cell>
          <cell r="C89">
            <v>13402.2</v>
          </cell>
          <cell r="D89">
            <v>18781</v>
          </cell>
          <cell r="E89">
            <v>22390</v>
          </cell>
          <cell r="F89">
            <v>7722.6120000000001</v>
          </cell>
          <cell r="G89">
            <v>2778.3330000000001</v>
          </cell>
          <cell r="H89">
            <v>4944.1790000000001</v>
          </cell>
          <cell r="I89">
            <v>15955.942999999999</v>
          </cell>
          <cell r="K89">
            <v>85974.266999999993</v>
          </cell>
          <cell r="M89">
            <v>2768.1640000000002</v>
          </cell>
          <cell r="N89">
            <v>1204.347</v>
          </cell>
          <cell r="O89">
            <v>2321.962</v>
          </cell>
          <cell r="P89">
            <v>1651.704</v>
          </cell>
          <cell r="Q89">
            <v>16023</v>
          </cell>
          <cell r="R89">
            <v>9669.5</v>
          </cell>
          <cell r="S89">
            <v>1092.107</v>
          </cell>
          <cell r="U89">
            <v>34730.784</v>
          </cell>
        </row>
        <row r="90">
          <cell r="B90" t="str">
            <v>FY(3)</v>
          </cell>
          <cell r="C90">
            <v>15585.300999999999</v>
          </cell>
          <cell r="D90">
            <v>19903.088</v>
          </cell>
          <cell r="E90">
            <v>26970</v>
          </cell>
          <cell r="F90">
            <v>8560.6980000000003</v>
          </cell>
          <cell r="G90">
            <v>2940.0030000000002</v>
          </cell>
          <cell r="H90">
            <v>5570.21</v>
          </cell>
          <cell r="I90">
            <v>17404.636999999999</v>
          </cell>
          <cell r="K90">
            <v>96933.937000000005</v>
          </cell>
          <cell r="M90">
            <v>3284.1759999999999</v>
          </cell>
          <cell r="N90">
            <v>1413.2080000000001</v>
          </cell>
          <cell r="O90">
            <v>2794.4090000000001</v>
          </cell>
          <cell r="P90">
            <v>2035.085</v>
          </cell>
          <cell r="Q90">
            <v>15923</v>
          </cell>
          <cell r="R90">
            <v>10670.652</v>
          </cell>
          <cell r="S90">
            <v>1224.7170000000001</v>
          </cell>
          <cell r="U90">
            <v>37345.246999999996</v>
          </cell>
        </row>
        <row r="91">
          <cell r="B91" t="str">
            <v>FY(2)</v>
          </cell>
          <cell r="C91">
            <v>16473.7</v>
          </cell>
          <cell r="D91">
            <v>19860.93</v>
          </cell>
          <cell r="E91">
            <v>26313</v>
          </cell>
          <cell r="F91">
            <v>8827.8140000000003</v>
          </cell>
          <cell r="G91">
            <v>3264.6329999999998</v>
          </cell>
          <cell r="H91">
            <v>5975.2120000000004</v>
          </cell>
          <cell r="I91">
            <v>18336.725999999999</v>
          </cell>
          <cell r="K91">
            <v>99052.014999999999</v>
          </cell>
          <cell r="M91">
            <v>3699.6559999999999</v>
          </cell>
          <cell r="N91">
            <v>1583.183</v>
          </cell>
          <cell r="O91">
            <v>3055.4189999999999</v>
          </cell>
          <cell r="P91">
            <v>2612.4560000000001</v>
          </cell>
          <cell r="Q91">
            <v>15763</v>
          </cell>
          <cell r="R91">
            <v>10086.293</v>
          </cell>
          <cell r="S91">
            <v>1507.7239999999999</v>
          </cell>
          <cell r="U91">
            <v>38307.731</v>
          </cell>
        </row>
        <row r="92">
          <cell r="B92" t="str">
            <v>FY(1)</v>
          </cell>
          <cell r="C92">
            <v>16388.900000000001</v>
          </cell>
          <cell r="D92">
            <v>18486.4729787059</v>
          </cell>
          <cell r="E92">
            <v>24892</v>
          </cell>
          <cell r="F92">
            <v>8291</v>
          </cell>
          <cell r="G92">
            <v>3036.8879999999999</v>
          </cell>
          <cell r="H92">
            <v>6486.1390000000001</v>
          </cell>
          <cell r="I92">
            <v>18999.505000000001</v>
          </cell>
          <cell r="K92">
            <v>96580.904978705905</v>
          </cell>
          <cell r="M92">
            <v>3484.0569999999998</v>
          </cell>
          <cell r="N92">
            <v>1885.5309999999999</v>
          </cell>
          <cell r="O92">
            <v>2988.817</v>
          </cell>
          <cell r="P92">
            <v>3180.7570000000001</v>
          </cell>
          <cell r="Q92">
            <v>14526</v>
          </cell>
          <cell r="R92">
            <v>9042.7009999999991</v>
          </cell>
          <cell r="S92">
            <v>1834.6179999999999</v>
          </cell>
          <cell r="U92">
            <v>36942.481</v>
          </cell>
        </row>
        <row r="93">
          <cell r="B93" t="str">
            <v>FY0</v>
          </cell>
          <cell r="C93">
            <v>17177</v>
          </cell>
          <cell r="D93">
            <v>17557.479531695401</v>
          </cell>
          <cell r="E93">
            <v>23489</v>
          </cell>
          <cell r="F93">
            <v>8258</v>
          </cell>
          <cell r="G93">
            <v>2625.71</v>
          </cell>
          <cell r="H93">
            <v>7184.2129999999997</v>
          </cell>
          <cell r="I93">
            <v>20288.444</v>
          </cell>
          <cell r="K93">
            <v>96579.84653169541</v>
          </cell>
          <cell r="M93">
            <v>2928.625</v>
          </cell>
          <cell r="N93">
            <v>2230.105</v>
          </cell>
          <cell r="O93">
            <v>2990.558</v>
          </cell>
          <cell r="P93">
            <v>3230.4679999999998</v>
          </cell>
          <cell r="Q93">
            <v>14197</v>
          </cell>
          <cell r="R93">
            <v>8632.5365000000002</v>
          </cell>
          <cell r="S93">
            <v>1937.8150000000001</v>
          </cell>
          <cell r="U93">
            <v>36147.107500000006</v>
          </cell>
        </row>
        <row r="94">
          <cell r="B94" t="str">
            <v>FY1</v>
          </cell>
          <cell r="C94">
            <v>18498.109536433902</v>
          </cell>
          <cell r="D94">
            <v>17806.182108049401</v>
          </cell>
          <cell r="E94">
            <v>24544.575112720999</v>
          </cell>
          <cell r="F94">
            <v>8931.4666703660005</v>
          </cell>
          <cell r="G94">
            <v>2737.49293223829</v>
          </cell>
          <cell r="H94">
            <v>7803.8611769138997</v>
          </cell>
          <cell r="I94">
            <v>22056.154446994798</v>
          </cell>
          <cell r="K94">
            <v>102377.8419837173</v>
          </cell>
          <cell r="M94">
            <v>3162.7476001191799</v>
          </cell>
          <cell r="N94">
            <v>2430.26432838644</v>
          </cell>
          <cell r="O94">
            <v>2988.9123471029702</v>
          </cell>
          <cell r="P94">
            <v>3476.1003261498299</v>
          </cell>
          <cell r="Q94">
            <v>14057.709404797301</v>
          </cell>
          <cell r="R94">
            <v>9110.7464272638808</v>
          </cell>
          <cell r="S94">
            <v>2261.5106702375401</v>
          </cell>
          <cell r="U94">
            <v>37487.991104057146</v>
          </cell>
        </row>
        <row r="95">
          <cell r="B95" t="str">
            <v>FY2</v>
          </cell>
          <cell r="C95">
            <v>20039.552621656901</v>
          </cell>
          <cell r="D95">
            <v>18198.430040241499</v>
          </cell>
          <cell r="E95">
            <v>24750.731353234001</v>
          </cell>
          <cell r="F95">
            <v>9352.2268005773403</v>
          </cell>
          <cell r="G95">
            <v>2932.27969354073</v>
          </cell>
          <cell r="H95">
            <v>8161.2515621648599</v>
          </cell>
          <cell r="I95">
            <v>23509.655025051801</v>
          </cell>
          <cell r="K95">
            <v>106944.12709646713</v>
          </cell>
          <cell r="M95">
            <v>3416.94856393808</v>
          </cell>
          <cell r="N95">
            <v>2750.6661824206799</v>
          </cell>
          <cell r="O95">
            <v>3305.3180742735199</v>
          </cell>
          <cell r="P95">
            <v>3717.3890173600098</v>
          </cell>
          <cell r="Q95">
            <v>13508.772793591699</v>
          </cell>
          <cell r="R95">
            <v>9454.1724434505995</v>
          </cell>
          <cell r="S95">
            <v>2580.1207421026002</v>
          </cell>
          <cell r="U95">
            <v>38733.387817137183</v>
          </cell>
        </row>
        <row r="96">
          <cell r="B96" t="str">
            <v>FQ(3)</v>
          </cell>
          <cell r="C96">
            <v>3638</v>
          </cell>
          <cell r="D96">
            <v>3884.4351206486299</v>
          </cell>
          <cell r="E96">
            <v>5199</v>
          </cell>
          <cell r="F96">
            <v>1706</v>
          </cell>
          <cell r="G96">
            <v>621.26599999999996</v>
          </cell>
          <cell r="H96">
            <v>1691.5989999999999</v>
          </cell>
          <cell r="I96">
            <v>4354.2240000000002</v>
          </cell>
          <cell r="K96">
            <v>21094.524120648632</v>
          </cell>
          <cell r="M96">
            <v>601.72900000000004</v>
          </cell>
          <cell r="N96">
            <v>408.024</v>
          </cell>
          <cell r="O96">
            <v>612</v>
          </cell>
          <cell r="P96">
            <v>739.93899999999996</v>
          </cell>
          <cell r="Q96">
            <v>3127</v>
          </cell>
          <cell r="R96">
            <v>1725.2370000000001</v>
          </cell>
          <cell r="S96">
            <v>384.79599999999999</v>
          </cell>
          <cell r="U96">
            <v>7598.7250000000004</v>
          </cell>
        </row>
        <row r="97">
          <cell r="B97" t="str">
            <v>FQ(2)</v>
          </cell>
          <cell r="C97">
            <v>3806</v>
          </cell>
          <cell r="D97">
            <v>3942.65022008711</v>
          </cell>
          <cell r="E97">
            <v>5164</v>
          </cell>
          <cell r="F97">
            <v>2145</v>
          </cell>
          <cell r="G97">
            <v>561.69600000000003</v>
          </cell>
          <cell r="H97">
            <v>1768.636</v>
          </cell>
          <cell r="I97">
            <v>4747.5280000000002</v>
          </cell>
          <cell r="K97">
            <v>22135.510220087112</v>
          </cell>
          <cell r="M97">
            <v>637.221</v>
          </cell>
          <cell r="N97">
            <v>453.02</v>
          </cell>
          <cell r="O97">
            <v>657.596</v>
          </cell>
          <cell r="P97">
            <v>777.74400000000003</v>
          </cell>
          <cell r="Q97">
            <v>3245</v>
          </cell>
          <cell r="R97">
            <v>2066.61</v>
          </cell>
          <cell r="S97">
            <v>458.62599999999998</v>
          </cell>
          <cell r="U97">
            <v>8295.8170000000009</v>
          </cell>
        </row>
        <row r="98">
          <cell r="B98" t="str">
            <v>FQ(1)</v>
          </cell>
          <cell r="C98">
            <v>4051</v>
          </cell>
          <cell r="D98">
            <v>4180.3941909596297</v>
          </cell>
          <cell r="E98">
            <v>5277</v>
          </cell>
          <cell r="F98">
            <v>1868</v>
          </cell>
          <cell r="G98">
            <v>631.43399999999997</v>
          </cell>
          <cell r="H98">
            <v>1744.1389999999999</v>
          </cell>
          <cell r="I98">
            <v>5244.9459999999999</v>
          </cell>
          <cell r="K98">
            <v>22996.913190959629</v>
          </cell>
          <cell r="M98">
            <v>753.68399999999997</v>
          </cell>
          <cell r="N98">
            <v>567.83799999999997</v>
          </cell>
          <cell r="O98">
            <v>748.96199999999999</v>
          </cell>
          <cell r="P98">
            <v>761.43700000000001</v>
          </cell>
          <cell r="Q98">
            <v>3589</v>
          </cell>
          <cell r="R98">
            <v>1777.2895000000001</v>
          </cell>
          <cell r="S98">
            <v>505.9</v>
          </cell>
          <cell r="U98">
            <v>8704.1105000000007</v>
          </cell>
        </row>
        <row r="99">
          <cell r="B99" t="str">
            <v>Last Reported Q</v>
          </cell>
          <cell r="C99">
            <v>17177</v>
          </cell>
          <cell r="D99">
            <v>17557.479531695401</v>
          </cell>
          <cell r="E99">
            <v>23489</v>
          </cell>
          <cell r="F99">
            <v>8258</v>
          </cell>
          <cell r="G99">
            <v>2625.71</v>
          </cell>
          <cell r="H99">
            <v>7184.2129999999997</v>
          </cell>
          <cell r="I99">
            <v>20288.444</v>
          </cell>
          <cell r="K99">
            <v>96579.84653169541</v>
          </cell>
          <cell r="M99">
            <v>2928.625</v>
          </cell>
          <cell r="N99">
            <v>2230.105</v>
          </cell>
          <cell r="O99">
            <v>2990.558</v>
          </cell>
          <cell r="P99">
            <v>1065.0050000000001</v>
          </cell>
          <cell r="Q99">
            <v>14197</v>
          </cell>
          <cell r="R99">
            <v>8632.5365000000002</v>
          </cell>
          <cell r="S99">
            <v>1937.8150000000001</v>
          </cell>
          <cell r="U99">
            <v>33981.644500000002</v>
          </cell>
          <cell r="AA99" t="str">
            <v>Avg</v>
          </cell>
        </row>
        <row r="100">
          <cell r="B100" t="str">
            <v>LTM</v>
          </cell>
          <cell r="C100">
            <v>28672</v>
          </cell>
          <cell r="D100">
            <v>29564.959063390772</v>
          </cell>
          <cell r="E100">
            <v>39129</v>
          </cell>
          <cell r="F100">
            <v>13977</v>
          </cell>
          <cell r="G100">
            <v>4440.1059999999998</v>
          </cell>
          <cell r="H100">
            <v>12388.587</v>
          </cell>
          <cell r="I100">
            <v>34635.142</v>
          </cell>
          <cell r="K100">
            <v>162806.79406339076</v>
          </cell>
          <cell r="M100">
            <v>4921.259</v>
          </cell>
          <cell r="N100">
            <v>3658.9870000000001</v>
          </cell>
          <cell r="O100">
            <v>5009.116</v>
          </cell>
          <cell r="P100">
            <v>3344.125</v>
          </cell>
          <cell r="Q100">
            <v>24158</v>
          </cell>
          <cell r="R100">
            <v>14201.673000000001</v>
          </cell>
          <cell r="S100">
            <v>3287.1370000000002</v>
          </cell>
          <cell r="U100">
            <v>58580.297000000006</v>
          </cell>
          <cell r="X100" t="str">
            <v>% Chg Sales</v>
          </cell>
          <cell r="Y100" t="str">
            <v>GM</v>
          </cell>
          <cell r="Z100" t="str">
            <v>SG&amp;A</v>
          </cell>
          <cell r="AA100" t="str">
            <v>% Chg EPS</v>
          </cell>
          <cell r="AB100" t="str">
            <v>Y/Y Stock Return</v>
          </cell>
        </row>
        <row r="101">
          <cell r="B101" t="str">
            <v>FY1</v>
          </cell>
          <cell r="C101">
            <v>4.3222849199793689E-2</v>
          </cell>
          <cell r="D101">
            <v>-5.2735424999238778E-2</v>
          </cell>
          <cell r="E101">
            <v>-6.3459608302113168E-2</v>
          </cell>
          <cell r="F101">
            <v>-2.5871558510100034E-2</v>
          </cell>
          <cell r="G101">
            <v>-0.15055978898799161</v>
          </cell>
          <cell r="H101">
            <v>9.870750403746964E-2</v>
          </cell>
          <cell r="I101">
            <v>5.1592050593949557E-2</v>
          </cell>
          <cell r="K101">
            <v>-9.2860793391353891E-3</v>
          </cell>
          <cell r="M101">
            <v>-0.16119630832569265</v>
          </cell>
          <cell r="N101">
            <v>0.15716657972563697</v>
          </cell>
          <cell r="O101">
            <v>-1.2369922577250447E-2</v>
          </cell>
          <cell r="P101">
            <v>8.0404128485095816E-2</v>
          </cell>
          <cell r="Q101">
            <v>-1.7904211109190493E-2</v>
          </cell>
          <cell r="R101">
            <v>-6.1916819776748011E-2</v>
          </cell>
          <cell r="S101">
            <v>5.6907951718232486E-2</v>
          </cell>
          <cell r="U101">
            <v>-2.070623056639842E-2</v>
          </cell>
          <cell r="W101" t="str">
            <v>Dept Stores</v>
          </cell>
          <cell r="X101">
            <v>-3.5409089577638664E-2</v>
          </cell>
          <cell r="Y101">
            <v>157.63350500292728</v>
          </cell>
          <cell r="Z101">
            <v>140.95424200297856</v>
          </cell>
          <cell r="AA101">
            <v>-0.27193440625115911</v>
          </cell>
          <cell r="AB101">
            <v>0.55000000000000004</v>
          </cell>
        </row>
        <row r="102">
          <cell r="B102" t="str">
            <v>Revenue Growth</v>
          </cell>
          <cell r="C102">
            <v>6.2837928325937487E-2</v>
          </cell>
          <cell r="D102">
            <v>-2.2980410921283889E-3</v>
          </cell>
          <cell r="E102">
            <v>-1.7603372549021334E-2</v>
          </cell>
          <cell r="F102">
            <v>1.0432109608290219E-2</v>
          </cell>
          <cell r="G102">
            <v>1.6315182620068924E-2</v>
          </cell>
          <cell r="H102">
            <v>4.2812256217959366E-2</v>
          </cell>
          <cell r="I102">
            <v>6.590000000000007E-2</v>
          </cell>
          <cell r="K102">
            <v>2.4788718789983566E-2</v>
          </cell>
          <cell r="M102">
            <v>0.11024888457662718</v>
          </cell>
          <cell r="N102">
            <v>0.10712689289907362</v>
          </cell>
          <cell r="O102">
            <v>7.1732264728360029E-2</v>
          </cell>
          <cell r="P102">
            <v>7.0465151392704151E-2</v>
          </cell>
          <cell r="Q102">
            <v>-1.1298021641825362E-2</v>
          </cell>
          <cell r="R102">
            <v>7.6674865314052543E-3</v>
          </cell>
          <cell r="S102">
            <v>0.16454681980554886</v>
          </cell>
          <cell r="U102">
            <v>3.4225307407317107E-2</v>
          </cell>
          <cell r="W102" t="str">
            <v>Off-Price</v>
          </cell>
          <cell r="X102">
            <v>6.358301225388252E-2</v>
          </cell>
          <cell r="Y102">
            <v>182.45939169460684</v>
          </cell>
          <cell r="Z102">
            <v>-27.013836931441965</v>
          </cell>
          <cell r="AA102">
            <v>0.40811766300825936</v>
          </cell>
          <cell r="AB102">
            <v>0.61</v>
          </cell>
        </row>
        <row r="103">
          <cell r="B103" t="str">
            <v>FY(5)</v>
          </cell>
          <cell r="C103">
            <v>0.13796858888860597</v>
          </cell>
          <cell r="D103">
            <v>3.3289556329583636E-2</v>
          </cell>
          <cell r="E103">
            <v>2.361796003114458E-2</v>
          </cell>
          <cell r="F103">
            <v>0.10589026531765477</v>
          </cell>
          <cell r="G103">
            <v>0.13308331855712696</v>
          </cell>
          <cell r="H103">
            <v>8.1469261076732691E-2</v>
          </cell>
          <cell r="I103">
            <v>0.11896401378817933</v>
          </cell>
          <cell r="K103">
            <v>7.6116482616143122E-2</v>
          </cell>
          <cell r="M103">
            <v>0.18353633222450516</v>
          </cell>
          <cell r="N103">
            <v>0.31208870164437674</v>
          </cell>
          <cell r="O103">
            <v>0.31057114354105653</v>
          </cell>
          <cell r="P103">
            <v>0.37337193411959779</v>
          </cell>
          <cell r="Q103">
            <v>2.6065028944848523E-2</v>
          </cell>
          <cell r="R103">
            <v>5.3093847496517022E-2</v>
          </cell>
          <cell r="S103">
            <v>0.50949830494874737</v>
          </cell>
          <cell r="U103">
            <v>8.2992475537334798E-2</v>
          </cell>
          <cell r="W103" t="str">
            <v>Specialty</v>
          </cell>
          <cell r="X103">
            <v>-2.070623056639842E-2</v>
          </cell>
          <cell r="Y103">
            <v>78.241077287845656</v>
          </cell>
          <cell r="Z103">
            <v>115.90085133750428</v>
          </cell>
          <cell r="AA103">
            <v>-1.7056810027645159E-2</v>
          </cell>
          <cell r="AB103">
            <v>0.76</v>
          </cell>
        </row>
        <row r="104">
          <cell r="B104" t="str">
            <v>FY(4)</v>
          </cell>
          <cell r="C104">
            <v>0.14541865016622935</v>
          </cell>
          <cell r="D104">
            <v>3.7853669319186656E-2</v>
          </cell>
          <cell r="E104">
            <v>0.41924442190669375</v>
          </cell>
          <cell r="F104">
            <v>8.2900681814389365E-2</v>
          </cell>
          <cell r="G104">
            <v>4.1041179597807176E-3</v>
          </cell>
          <cell r="H104">
            <v>0.16608270302524297</v>
          </cell>
          <cell r="I104">
            <v>6.990050546877602E-2</v>
          </cell>
          <cell r="K104">
            <v>0.15209072648103805</v>
          </cell>
          <cell r="M104">
            <v>0.36952802567119236</v>
          </cell>
          <cell r="N104">
            <v>0.24904792721932512</v>
          </cell>
          <cell r="O104">
            <v>0.23427141977024735</v>
          </cell>
          <cell r="P104">
            <v>0.29820325394954028</v>
          </cell>
          <cell r="Q104">
            <v>-1.4999692629249384E-2</v>
          </cell>
          <cell r="R104">
            <v>2.7761409272991866E-2</v>
          </cell>
          <cell r="S104">
            <v>0.31936816671700385</v>
          </cell>
          <cell r="U104">
            <v>6.3988437742717785E-2</v>
          </cell>
        </row>
        <row r="105">
          <cell r="A105" t="str">
            <v>mstag:costOfSalesWithoutDepreciation</v>
          </cell>
          <cell r="B105" t="str">
            <v>FY(3)</v>
          </cell>
          <cell r="C105">
            <v>0.16289124173643121</v>
          </cell>
          <cell r="D105">
            <v>5.9745913423140395E-2</v>
          </cell>
          <cell r="E105">
            <v>0.20455560518088434</v>
          </cell>
          <cell r="F105">
            <v>0.10852364459071628</v>
          </cell>
          <cell r="G105">
            <v>5.8189569068934466E-2</v>
          </cell>
          <cell r="H105">
            <v>0.12661980887018864</v>
          </cell>
          <cell r="I105">
            <v>9.07933802470966E-2</v>
          </cell>
          <cell r="K105">
            <v>0.12747616679302443</v>
          </cell>
          <cell r="M105">
            <v>0.18640947573915412</v>
          </cell>
          <cell r="N105">
            <v>0.17342260992886604</v>
          </cell>
          <cell r="O105">
            <v>0.20346887675164371</v>
          </cell>
          <cell r="P105">
            <v>0.23211241239350389</v>
          </cell>
          <cell r="Q105">
            <v>-6.2410285215003247E-3</v>
          </cell>
          <cell r="R105">
            <v>0.10353710119447745</v>
          </cell>
          <cell r="S105">
            <v>0.12142583098542548</v>
          </cell>
          <cell r="U105">
            <v>7.5277972417783445E-2</v>
          </cell>
        </row>
        <row r="106">
          <cell r="B106" t="str">
            <v>FY(2)</v>
          </cell>
          <cell r="C106">
            <v>5.7002363958193802E-2</v>
          </cell>
          <cell r="D106">
            <v>-2.1181637743851178E-3</v>
          </cell>
          <cell r="E106">
            <v>-2.4360400444938812E-2</v>
          </cell>
          <cell r="F106">
            <v>3.1202595863094373E-2</v>
          </cell>
          <cell r="G106">
            <v>0.11041825467525013</v>
          </cell>
          <cell r="H106">
            <v>7.270856933580605E-2</v>
          </cell>
          <cell r="I106">
            <v>5.3554061483729987E-2</v>
          </cell>
          <cell r="K106">
            <v>2.1850737373846574E-2</v>
          </cell>
          <cell r="M106">
            <v>0.12650966330671687</v>
          </cell>
          <cell r="N106">
            <v>0.12027599617324558</v>
          </cell>
          <cell r="O106">
            <v>9.3404365645830545E-2</v>
          </cell>
          <cell r="P106">
            <v>0.283708542886415</v>
          </cell>
          <cell r="Q106">
            <v>-1.0048357721534895E-2</v>
          </cell>
          <cell r="R106">
            <v>-5.476319535113694E-2</v>
          </cell>
          <cell r="S106">
            <v>0.23107950653089637</v>
          </cell>
          <cell r="U106">
            <v>2.577259697867329E-2</v>
          </cell>
        </row>
        <row r="107">
          <cell r="B107" t="str">
            <v>FY(1)</v>
          </cell>
          <cell r="C107">
            <v>-5.147598900064887E-3</v>
          </cell>
          <cell r="D107">
            <v>-6.9204061506389691E-2</v>
          </cell>
          <cell r="E107">
            <v>-5.4003724394785846E-2</v>
          </cell>
          <cell r="F107">
            <v>-6.0809391770148324E-2</v>
          </cell>
          <cell r="G107">
            <v>-6.9761287103328296E-2</v>
          </cell>
          <cell r="H107">
            <v>8.5507761063540411E-2</v>
          </cell>
          <cell r="I107">
            <v>3.6144893041429649E-2</v>
          </cell>
          <cell r="K107">
            <v>-2.4947599716109714E-2</v>
          </cell>
          <cell r="M107">
            <v>-5.8275418038866378E-2</v>
          </cell>
          <cell r="N107">
            <v>0.1909747641302364</v>
          </cell>
          <cell r="O107">
            <v>-2.1797992353912776E-2</v>
          </cell>
          <cell r="P107">
            <v>0.21753514700343279</v>
          </cell>
          <cell r="Q107">
            <v>-7.8474909598426734E-2</v>
          </cell>
          <cell r="R107">
            <v>-0.10346635775899038</v>
          </cell>
          <cell r="S107">
            <v>0.21681289148411786</v>
          </cell>
          <cell r="U107">
            <v>-3.5639020228057872E-2</v>
          </cell>
          <cell r="X107" t="str">
            <v>2010 vs. 2009</v>
          </cell>
          <cell r="Y107" t="str">
            <v>2008 vs. 2007</v>
          </cell>
          <cell r="AE107" t="str">
            <v>2009 vs. 2008</v>
          </cell>
          <cell r="AL107" t="str">
            <v>2008 vs. 2007</v>
          </cell>
        </row>
        <row r="108">
          <cell r="B108" t="str">
            <v>FY0</v>
          </cell>
          <cell r="C108">
            <v>4.8087425025474362E-2</v>
          </cell>
          <cell r="D108">
            <v>-5.0252606220807183E-2</v>
          </cell>
          <cell r="E108">
            <v>-5.6363490278000916E-2</v>
          </cell>
          <cell r="F108">
            <v>-3.9802195151369402E-3</v>
          </cell>
          <cell r="G108">
            <v>-0.13539452228728877</v>
          </cell>
          <cell r="H108">
            <v>0.10762550725477826</v>
          </cell>
          <cell r="I108">
            <v>6.7840662164619481E-2</v>
          </cell>
          <cell r="K108">
            <v>-1.095917470150809E-5</v>
          </cell>
          <cell r="L108" t="str">
            <v>GM</v>
          </cell>
          <cell r="M108">
            <v>-0.1594210427670959</v>
          </cell>
          <cell r="N108">
            <v>0.1827463987598188</v>
          </cell>
          <cell r="O108">
            <v>5.8250471674914372E-4</v>
          </cell>
          <cell r="P108">
            <v>1.5628669527411265E-2</v>
          </cell>
          <cell r="Q108">
            <v>-2.2649043095139709E-2</v>
          </cell>
          <cell r="R108">
            <v>-4.5358626808516544E-2</v>
          </cell>
          <cell r="S108">
            <v>5.6249856918443086E-2</v>
          </cell>
          <cell r="T108" t="str">
            <v>SG&amp;A</v>
          </cell>
          <cell r="U108">
            <v>-2.1530051000093753E-2</v>
          </cell>
          <cell r="V108" t="str">
            <v>Y/Y Stock Return</v>
          </cell>
          <cell r="X108" t="str">
            <v>% Chg Sales</v>
          </cell>
          <cell r="Y108" t="str">
            <v>GM</v>
          </cell>
          <cell r="Z108" t="str">
            <v>SG&amp;A</v>
          </cell>
          <cell r="AA108" t="str">
            <v>% Chg NI</v>
          </cell>
          <cell r="AB108" t="str">
            <v>Y/Y Stock Return</v>
          </cell>
          <cell r="AC108" t="str">
            <v>Y/Y Stock Return</v>
          </cell>
          <cell r="AE108" t="str">
            <v>% Chg Sales</v>
          </cell>
          <cell r="AF108" t="str">
            <v>GM</v>
          </cell>
          <cell r="AG108" t="str">
            <v>SG&amp;A</v>
          </cell>
          <cell r="AH108" t="str">
            <v>% Chg NI</v>
          </cell>
          <cell r="AI108" t="str">
            <v>Y/Y Stock Return</v>
          </cell>
          <cell r="AL108" t="str">
            <v>% Chg Sales</v>
          </cell>
          <cell r="AM108" t="str">
            <v>GM</v>
          </cell>
          <cell r="AN108" t="str">
            <v>SG&amp;A</v>
          </cell>
          <cell r="AO108" t="str">
            <v>% Chg NI</v>
          </cell>
          <cell r="AP108" t="str">
            <v>Y/Y Stock Return</v>
          </cell>
        </row>
        <row r="109">
          <cell r="A109" t="str">
            <v>mstag:costOfSalesWithDepreciation</v>
          </cell>
          <cell r="B109" t="str">
            <v>FY1</v>
          </cell>
          <cell r="C109">
            <v>7.6911540806537948E-2</v>
          </cell>
          <cell r="D109">
            <v>1.4165050052032502E-2</v>
          </cell>
          <cell r="E109">
            <v>4.4939125238239175E-2</v>
          </cell>
          <cell r="F109">
            <v>8.1553241749334093E-2</v>
          </cell>
          <cell r="G109">
            <v>4.2572459349391245E-2</v>
          </cell>
          <cell r="H109">
            <v>8.6251364890475912E-2</v>
          </cell>
          <cell r="I109">
            <v>8.7128931474232285E-2</v>
          </cell>
          <cell r="K109">
            <v>6.003318145798775E-2</v>
          </cell>
          <cell r="L109">
            <v>57.00435109266364</v>
          </cell>
          <cell r="M109">
            <v>7.9942840110693636E-2</v>
          </cell>
          <cell r="N109">
            <v>8.975332030843397E-2</v>
          </cell>
          <cell r="O109">
            <v>-5.5028288935698999E-4</v>
          </cell>
          <cell r="P109">
            <v>7.6036142797213824E-2</v>
          </cell>
          <cell r="Q109">
            <v>-9.811269648707488E-3</v>
          </cell>
          <cell r="R109">
            <v>5.5396224187859611E-2</v>
          </cell>
          <cell r="S109">
            <v>0.16704157529874619</v>
          </cell>
          <cell r="T109">
            <v>137.26157467508881</v>
          </cell>
          <cell r="U109">
            <v>3.709518400765921E-2</v>
          </cell>
          <cell r="V109">
            <v>0.55000000000000004</v>
          </cell>
          <cell r="W109" t="str">
            <v>Dept Stores</v>
          </cell>
          <cell r="X109">
            <v>4.9620645014408327E-2</v>
          </cell>
          <cell r="Y109">
            <v>48.304398643647801</v>
          </cell>
          <cell r="Z109">
            <v>-60.114503171233572</v>
          </cell>
          <cell r="AA109">
            <v>0.30030313020429822</v>
          </cell>
          <cell r="AB109">
            <v>0.55000000000000004</v>
          </cell>
          <cell r="AC109">
            <v>0.55000000000000004</v>
          </cell>
          <cell r="AD109" t="str">
            <v>Dept Stores</v>
          </cell>
          <cell r="AE109">
            <v>-2.31697200211336E-2</v>
          </cell>
          <cell r="AF109">
            <v>114.94818829006145</v>
          </cell>
          <cell r="AG109">
            <v>141.27383060223303</v>
          </cell>
          <cell r="AH109">
            <v>-6.0407618341568714E-2</v>
          </cell>
          <cell r="AI109">
            <v>0.55000000000000004</v>
          </cell>
          <cell r="AK109" t="str">
            <v>Dept Stores</v>
          </cell>
          <cell r="AL109">
            <v>-4.7807622171526565E-2</v>
          </cell>
          <cell r="AM109">
            <v>-108.66064553076941</v>
          </cell>
          <cell r="AN109">
            <v>179.20699165687495</v>
          </cell>
          <cell r="AO109">
            <v>-0.37489659665696418</v>
          </cell>
          <cell r="AP109">
            <v>0.55000000000000004</v>
          </cell>
        </row>
        <row r="110">
          <cell r="B110" t="str">
            <v>FY2</v>
          </cell>
          <cell r="C110">
            <v>8.3329763086707365E-2</v>
          </cell>
          <cell r="D110">
            <v>2.2028749892138766E-2</v>
          </cell>
          <cell r="E110">
            <v>8.3992588816970137E-3</v>
          </cell>
          <cell r="F110">
            <v>4.7109858407398342E-2</v>
          </cell>
          <cell r="G110">
            <v>7.115516500828889E-2</v>
          </cell>
          <cell r="H110">
            <v>4.5796609799803267E-2</v>
          </cell>
          <cell r="I110">
            <v>6.5900000000002068E-2</v>
          </cell>
          <cell r="K110">
            <v>4.4602279402178313E-2</v>
          </cell>
          <cell r="L110" t="e">
            <v>#REF!</v>
          </cell>
          <cell r="M110">
            <v>8.0373458763930872E-2</v>
          </cell>
          <cell r="N110">
            <v>0.13183827384199343</v>
          </cell>
          <cell r="O110">
            <v>0.10585982137523331</v>
          </cell>
          <cell r="P110">
            <v>6.9413615422726949E-2</v>
          </cell>
          <cell r="Q110">
            <v>-3.9048794892450389E-2</v>
          </cell>
          <cell r="R110">
            <v>3.769460811235148E-2</v>
          </cell>
          <cell r="S110">
            <v>0.14088373583998814</v>
          </cell>
          <cell r="T110" t="e">
            <v>#REF!</v>
          </cell>
          <cell r="U110">
            <v>3.3221217686035365E-2</v>
          </cell>
          <cell r="V110">
            <v>0.76</v>
          </cell>
          <cell r="W110" t="str">
            <v>Specialty</v>
          </cell>
          <cell r="X110">
            <v>3.709518400765921E-2</v>
          </cell>
          <cell r="Y110">
            <v>94.718936271333448</v>
          </cell>
          <cell r="Z110">
            <v>-64.14043276116</v>
          </cell>
          <cell r="AA110">
            <v>0.15150826686137386</v>
          </cell>
          <cell r="AB110">
            <v>0.76</v>
          </cell>
          <cell r="AC110">
            <v>0.76</v>
          </cell>
          <cell r="AD110" t="str">
            <v>Specialty</v>
          </cell>
          <cell r="AE110">
            <v>-2.1530051000093753E-2</v>
          </cell>
          <cell r="AF110">
            <v>40.030898769839546</v>
          </cell>
          <cell r="AG110">
            <v>144.76387005440017</v>
          </cell>
          <cell r="AH110">
            <v>-3.4655015148206236E-2</v>
          </cell>
          <cell r="AI110">
            <v>0.76</v>
          </cell>
          <cell r="AK110" t="str">
            <v>Specialty</v>
          </cell>
          <cell r="AL110">
            <v>-3.5639020228057872E-2</v>
          </cell>
          <cell r="AM110">
            <v>0</v>
          </cell>
          <cell r="AN110">
            <v>62.129127811416666</v>
          </cell>
          <cell r="AO110">
            <v>-7.2139784257026163E-2</v>
          </cell>
          <cell r="AP110">
            <v>0.76</v>
          </cell>
        </row>
        <row r="111">
          <cell r="B111" t="str">
            <v>10-Yr. Compounded</v>
          </cell>
          <cell r="C111">
            <v>0.14189722963753648</v>
          </cell>
          <cell r="D111">
            <v>-5.749986698751286E-2</v>
          </cell>
          <cell r="E111">
            <v>3.8952780979517598E-2</v>
          </cell>
          <cell r="F111">
            <v>4.8371481992315113E-2</v>
          </cell>
          <cell r="G111" t="str">
            <v>NA</v>
          </cell>
          <cell r="H111">
            <v>0.11273610285110758</v>
          </cell>
          <cell r="I111">
            <v>8.7175298300664394E-2</v>
          </cell>
          <cell r="K111">
            <v>3.458566556673115E-2</v>
          </cell>
          <cell r="L111" t="e">
            <v>#REF!</v>
          </cell>
          <cell r="M111">
            <v>0.11006009826696972</v>
          </cell>
          <cell r="N111">
            <v>0.25390594587671522</v>
          </cell>
          <cell r="O111">
            <v>0.1364686551863461</v>
          </cell>
          <cell r="P111">
            <v>0.20325839306934901</v>
          </cell>
          <cell r="Q111">
            <v>2.0100638670918158E-2</v>
          </cell>
          <cell r="R111">
            <v>-1.226107165265633E-2</v>
          </cell>
          <cell r="S111">
            <v>0.21425276852939179</v>
          </cell>
          <cell r="T111" t="e">
            <v>#REF!</v>
          </cell>
          <cell r="U111">
            <v>4.0588417934013465E-2</v>
          </cell>
          <cell r="V111">
            <v>0.61</v>
          </cell>
          <cell r="W111" t="str">
            <v>Off-Price</v>
          </cell>
          <cell r="X111">
            <v>8.6899444196777198E-2</v>
          </cell>
          <cell r="Y111">
            <v>53.999551334442401</v>
          </cell>
          <cell r="Z111">
            <v>-26.34788368614624</v>
          </cell>
          <cell r="AA111">
            <v>0.16785798184105638</v>
          </cell>
          <cell r="AB111">
            <v>0.61</v>
          </cell>
          <cell r="AC111">
            <v>0.61</v>
          </cell>
          <cell r="AD111" t="str">
            <v>Off-Price</v>
          </cell>
          <cell r="AE111">
            <v>7.7965971744720308E-2</v>
          </cell>
          <cell r="AF111">
            <v>219.75066107665336</v>
          </cell>
          <cell r="AG111">
            <v>-20.315851925331586</v>
          </cell>
          <cell r="AH111">
            <v>0.39582196945041037</v>
          </cell>
          <cell r="AI111">
            <v>0.61</v>
          </cell>
          <cell r="AK111" t="str">
            <v>Off-Price</v>
          </cell>
          <cell r="AL111">
            <v>4.8276941147184615E-2</v>
          </cell>
          <cell r="AM111">
            <v>-216.83583107443198</v>
          </cell>
          <cell r="AN111">
            <v>17.44038581543747</v>
          </cell>
          <cell r="AO111">
            <v>1.9813150853928985E-2</v>
          </cell>
          <cell r="AP111">
            <v>0.61</v>
          </cell>
        </row>
        <row r="112">
          <cell r="B112" t="str">
            <v>5-Yr. Compounded</v>
          </cell>
          <cell r="C112">
            <v>6.6572177277572031E-2</v>
          </cell>
          <cell r="D112">
            <v>-1.0603386337421306E-2</v>
          </cell>
          <cell r="E112">
            <v>1.8545149635570857E-2</v>
          </cell>
          <cell r="F112">
            <v>2.9512711519935175E-2</v>
          </cell>
          <cell r="G112">
            <v>-2.9573372874684978E-3</v>
          </cell>
          <cell r="H112">
            <v>9.5577412654757277E-2</v>
          </cell>
          <cell r="I112">
            <v>6.6894468863567313E-2</v>
          </cell>
          <cell r="K112">
            <v>3.554147519379014E-2</v>
          </cell>
          <cell r="M112">
            <v>2.7009695794492306E-2</v>
          </cell>
          <cell r="N112">
            <v>0.150748388636057</v>
          </cell>
          <cell r="O112">
            <v>5.1796240644010894E-2</v>
          </cell>
          <cell r="P112">
            <v>0.1604649194425094</v>
          </cell>
          <cell r="Q112">
            <v>-2.5831357941118904E-2</v>
          </cell>
          <cell r="R112">
            <v>-1.1833814857948877E-2</v>
          </cell>
          <cell r="S112">
            <v>0.15671585931487209</v>
          </cell>
          <cell r="U112">
            <v>1.5396158985442998E-2</v>
          </cell>
        </row>
        <row r="113">
          <cell r="B113" t="str">
            <v>FY2</v>
          </cell>
          <cell r="C113">
            <v>6867.7744825180016</v>
          </cell>
          <cell r="D113">
            <v>7056.233101154201</v>
          </cell>
          <cell r="E113">
            <v>9364.9520392895975</v>
          </cell>
          <cell r="F113">
            <v>2869.9035458410099</v>
          </cell>
          <cell r="G113">
            <v>972.76116919244009</v>
          </cell>
          <cell r="H113">
            <v>1872.43915372229</v>
          </cell>
          <cell r="I113">
            <v>5542.9003991096997</v>
          </cell>
          <cell r="K113">
            <v>34546.963890827239</v>
          </cell>
          <cell r="M113">
            <v>2161.51789129181</v>
          </cell>
          <cell r="N113">
            <v>889.90785494402007</v>
          </cell>
          <cell r="O113">
            <v>1256.3330848648402</v>
          </cell>
          <cell r="P113">
            <v>2702.2788492776199</v>
          </cell>
          <cell r="Q113">
            <v>5740.2146486659603</v>
          </cell>
          <cell r="R113">
            <v>3045.5004101906898</v>
          </cell>
          <cell r="S113">
            <v>913.91993482507019</v>
          </cell>
          <cell r="U113">
            <v>16709.67267406001</v>
          </cell>
        </row>
        <row r="114">
          <cell r="A114" t="str">
            <v>mstag:costOfSalesWithoutDepreciation</v>
          </cell>
          <cell r="B114" t="str">
            <v>Gross Profit</v>
          </cell>
          <cell r="C114">
            <v>1822</v>
          </cell>
          <cell r="D114">
            <v>1996</v>
          </cell>
          <cell r="E114">
            <v>3122</v>
          </cell>
          <cell r="F114">
            <v>736</v>
          </cell>
          <cell r="G114">
            <v>173.73799999999994</v>
          </cell>
          <cell r="H114">
            <v>412.76600000000008</v>
          </cell>
          <cell r="I114">
            <v>1219.3129999999992</v>
          </cell>
          <cell r="K114">
            <v>9481.8169999999991</v>
          </cell>
          <cell r="M114">
            <v>642.61400000000003</v>
          </cell>
          <cell r="N114">
            <v>243.51700000000005</v>
          </cell>
          <cell r="O114">
            <v>311.62400000000002</v>
          </cell>
          <cell r="P114">
            <v>558.19299999999998</v>
          </cell>
          <cell r="Q114">
            <v>1389</v>
          </cell>
          <cell r="R114">
            <v>1024.6599999999999</v>
          </cell>
          <cell r="S114">
            <v>172.892</v>
          </cell>
          <cell r="U114">
            <v>4342.5</v>
          </cell>
        </row>
        <row r="115">
          <cell r="B115" t="str">
            <v>FY(5)</v>
          </cell>
          <cell r="C115">
            <v>4113.6750000000011</v>
          </cell>
          <cell r="D115">
            <v>6774</v>
          </cell>
          <cell r="E115">
            <v>6430</v>
          </cell>
          <cell r="F115">
            <v>2572.0249999999996</v>
          </cell>
          <cell r="G115">
            <v>1085.6799999999998</v>
          </cell>
          <cell r="H115">
            <v>953.38599999999997</v>
          </cell>
          <cell r="I115">
            <v>3566.2219999999998</v>
          </cell>
          <cell r="K115">
            <v>25494.988000000005</v>
          </cell>
          <cell r="M115">
            <v>1341.2249999999999</v>
          </cell>
          <cell r="N115">
            <v>324.60699999999997</v>
          </cell>
          <cell r="O115">
            <v>877.80799999999999</v>
          </cell>
          <cell r="P115">
            <v>955.01900000000001</v>
          </cell>
          <cell r="Q115">
            <v>6381</v>
          </cell>
          <cell r="R115">
            <v>3455.0739999999996</v>
          </cell>
          <cell r="S115">
            <v>338.75</v>
          </cell>
          <cell r="U115">
            <v>13673.483</v>
          </cell>
        </row>
        <row r="116">
          <cell r="B116" t="str">
            <v>FY(4)</v>
          </cell>
          <cell r="C116">
            <v>4760.6000000000004</v>
          </cell>
          <cell r="D116">
            <v>7190</v>
          </cell>
          <cell r="E116">
            <v>9118</v>
          </cell>
          <cell r="F116">
            <v>2834.5889999999999</v>
          </cell>
          <cell r="G116">
            <v>1023.5</v>
          </cell>
          <cell r="H116">
            <v>1091.5880000000002</v>
          </cell>
          <cell r="I116">
            <v>3748.271999999999</v>
          </cell>
          <cell r="K116">
            <v>29766.548999999999</v>
          </cell>
          <cell r="M116">
            <v>1854.1850000000002</v>
          </cell>
          <cell r="N116">
            <v>362.47500000000002</v>
          </cell>
          <cell r="O116">
            <v>1075.961</v>
          </cell>
          <cell r="P116">
            <v>1267.5509999999999</v>
          </cell>
          <cell r="Q116">
            <v>5870</v>
          </cell>
          <cell r="R116">
            <v>3450.1480000000001</v>
          </cell>
          <cell r="S116">
            <v>448.60599999999999</v>
          </cell>
          <cell r="U116">
            <v>14328.925999999999</v>
          </cell>
        </row>
        <row r="117">
          <cell r="B117" t="str">
            <v>FY(3)</v>
          </cell>
          <cell r="C117">
            <v>5667.5829999999987</v>
          </cell>
          <cell r="D117">
            <v>7809</v>
          </cell>
          <cell r="E117">
            <v>10951</v>
          </cell>
          <cell r="F117">
            <v>3206.7490000000007</v>
          </cell>
          <cell r="G117">
            <v>1135.7090000000001</v>
          </cell>
          <cell r="H117">
            <v>1252.683</v>
          </cell>
          <cell r="I117">
            <v>4190.9339999999993</v>
          </cell>
          <cell r="K117">
            <v>34213.657999999996</v>
          </cell>
          <cell r="M117">
            <v>2200.6669999999999</v>
          </cell>
          <cell r="N117">
            <v>448.01700000000005</v>
          </cell>
          <cell r="O117">
            <v>1340.4290000000001</v>
          </cell>
          <cell r="P117">
            <v>1581.571412546203</v>
          </cell>
          <cell r="Q117">
            <v>5657</v>
          </cell>
          <cell r="R117">
            <v>4013.5119999999997</v>
          </cell>
          <cell r="S117">
            <v>451.92100000000005</v>
          </cell>
          <cell r="U117">
            <v>15693.117412546204</v>
          </cell>
        </row>
        <row r="118">
          <cell r="A118" t="str">
            <v>mstag:costOfSalesWithDepreciation</v>
          </cell>
          <cell r="B118" t="str">
            <v>FY(2)</v>
          </cell>
          <cell r="C118">
            <v>6014.1</v>
          </cell>
          <cell r="D118">
            <v>7665</v>
          </cell>
          <cell r="E118">
            <v>10636</v>
          </cell>
          <cell r="F118">
            <v>3301.6360000000004</v>
          </cell>
          <cell r="G118">
            <v>1273.6319999999998</v>
          </cell>
          <cell r="H118">
            <v>1356.9920000000002</v>
          </cell>
          <cell r="I118">
            <v>4491.1141962548991</v>
          </cell>
          <cell r="K118">
            <v>34738.474196254901</v>
          </cell>
          <cell r="M118">
            <v>2488.1660000000002</v>
          </cell>
          <cell r="N118">
            <v>545.50299999999993</v>
          </cell>
          <cell r="O118">
            <v>1423.1379999999999</v>
          </cell>
          <cell r="P118">
            <v>2022.9860000000001</v>
          </cell>
          <cell r="Q118">
            <v>5694</v>
          </cell>
          <cell r="R118">
            <v>3463.5389999999998</v>
          </cell>
          <cell r="S118">
            <v>576.77199999999993</v>
          </cell>
          <cell r="U118">
            <v>16214.103999999999</v>
          </cell>
        </row>
        <row r="119">
          <cell r="B119" t="str">
            <v>FY(1)</v>
          </cell>
          <cell r="C119">
            <v>6055.2870000000021</v>
          </cell>
          <cell r="D119">
            <v>6916</v>
          </cell>
          <cell r="E119">
            <v>9883</v>
          </cell>
          <cell r="F119">
            <v>2861.5169999999998</v>
          </cell>
          <cell r="G119">
            <v>974.39399999999978</v>
          </cell>
          <cell r="H119">
            <v>1529.5630000000001</v>
          </cell>
          <cell r="I119">
            <v>4577.4170000000013</v>
          </cell>
          <cell r="K119">
            <v>32797.178000000007</v>
          </cell>
          <cell r="M119">
            <v>2331.0949999999998</v>
          </cell>
          <cell r="N119">
            <v>654.18200000000002</v>
          </cell>
          <cell r="O119">
            <v>1174.0509999999999</v>
          </cell>
          <cell r="P119">
            <v>2407.1030000000001</v>
          </cell>
          <cell r="Q119">
            <v>5447</v>
          </cell>
          <cell r="R119">
            <v>3006.3959999999988</v>
          </cell>
          <cell r="S119">
            <v>713.47799999999984</v>
          </cell>
          <cell r="U119">
            <v>15733.304999999998</v>
          </cell>
        </row>
        <row r="120">
          <cell r="B120" t="str">
            <v>FY0</v>
          </cell>
          <cell r="C120">
            <v>6497</v>
          </cell>
          <cell r="D120">
            <v>6910</v>
          </cell>
          <cell r="E120">
            <v>9516</v>
          </cell>
          <cell r="F120">
            <v>2930</v>
          </cell>
          <cell r="G120">
            <v>957.61300000000006</v>
          </cell>
          <cell r="H120">
            <v>1856.9349999999995</v>
          </cell>
          <cell r="I120">
            <v>5320.0149999999994</v>
          </cell>
          <cell r="K120">
            <v>33987.563000000002</v>
          </cell>
          <cell r="M120">
            <v>1883.596</v>
          </cell>
          <cell r="N120">
            <v>849.54700000000003</v>
          </cell>
          <cell r="O120">
            <v>1158.087</v>
          </cell>
          <cell r="P120">
            <v>2322.6099999999997</v>
          </cell>
          <cell r="Q120">
            <v>5724</v>
          </cell>
          <cell r="R120">
            <v>3028.0910000000003</v>
          </cell>
          <cell r="S120">
            <v>786.14499999999998</v>
          </cell>
          <cell r="U120">
            <v>15752.076000000001</v>
          </cell>
        </row>
        <row r="121">
          <cell r="B121" t="str">
            <v>FY1</v>
          </cell>
          <cell r="C121">
            <v>7101.2509991962015</v>
          </cell>
          <cell r="D121">
            <v>7052.195963943901</v>
          </cell>
          <cell r="E121">
            <v>9999.5034685626979</v>
          </cell>
          <cell r="F121">
            <v>3248.4832725953502</v>
          </cell>
          <cell r="G121">
            <v>1042.28930686739</v>
          </cell>
          <cell r="H121">
            <v>2065.3716729641901</v>
          </cell>
          <cell r="I121">
            <v>5885.310704664098</v>
          </cell>
          <cell r="J121">
            <v>0.33274507332440401</v>
          </cell>
          <cell r="K121">
            <v>36394.405388793828</v>
          </cell>
          <cell r="M121">
            <v>2032.8679729421399</v>
          </cell>
          <cell r="N121">
            <v>929.96868914735001</v>
          </cell>
          <cell r="O121">
            <v>1266.9787359654401</v>
          </cell>
          <cell r="P121">
            <v>2515.6925399197899</v>
          </cell>
          <cell r="Q121">
            <v>5761.9927510824509</v>
          </cell>
          <cell r="R121">
            <v>3280.7318835615306</v>
          </cell>
          <cell r="S121">
            <v>934.6473444801602</v>
          </cell>
          <cell r="T121">
            <v>0.45872835288662239</v>
          </cell>
          <cell r="U121">
            <v>16722.87991709886</v>
          </cell>
        </row>
        <row r="122">
          <cell r="B122" t="str">
            <v>FY2</v>
          </cell>
          <cell r="C122">
            <v>7753.115220443502</v>
          </cell>
          <cell r="D122">
            <v>7243.9438851044997</v>
          </cell>
          <cell r="E122">
            <v>10108.242618236802</v>
          </cell>
          <cell r="F122">
            <v>3410.8710864067007</v>
          </cell>
          <cell r="G122">
            <v>1152.43096073528</v>
          </cell>
          <cell r="H122">
            <v>2159.9586935625002</v>
          </cell>
          <cell r="I122">
            <v>6237.8881975639015</v>
          </cell>
          <cell r="J122">
            <v>0.33578685815822862</v>
          </cell>
          <cell r="K122">
            <v>38066.45066205319</v>
          </cell>
          <cell r="M122">
            <v>2223.0728258744202</v>
          </cell>
          <cell r="N122">
            <v>1021.1927511121598</v>
          </cell>
          <cell r="O122">
            <v>1425.8441936296099</v>
          </cell>
          <cell r="P122">
            <v>2690.3158544076095</v>
          </cell>
          <cell r="Q122">
            <v>5577.5201963543695</v>
          </cell>
          <cell r="R122">
            <v>3451.6686484513293</v>
          </cell>
          <cell r="S122">
            <v>1074.0643162897602</v>
          </cell>
          <cell r="T122">
            <v>0.48614174132266724</v>
          </cell>
          <cell r="U122">
            <v>17463.678786119261</v>
          </cell>
        </row>
        <row r="123">
          <cell r="B123" t="str">
            <v>FQ(3)</v>
          </cell>
          <cell r="C123">
            <v>1368</v>
          </cell>
          <cell r="D123">
            <v>1574</v>
          </cell>
          <cell r="E123">
            <v>1980</v>
          </cell>
          <cell r="F123">
            <v>599</v>
          </cell>
          <cell r="G123">
            <v>238.40799999999996</v>
          </cell>
          <cell r="H123">
            <v>422.88999999999987</v>
          </cell>
          <cell r="I123">
            <v>1080.8780000000002</v>
          </cell>
          <cell r="J123">
            <v>0.3337732364602749</v>
          </cell>
          <cell r="K123">
            <v>7263.1760000000013</v>
          </cell>
          <cell r="M123">
            <v>381.45200000000006</v>
          </cell>
          <cell r="N123">
            <v>150.29000000000002</v>
          </cell>
          <cell r="O123">
            <v>220.93900000000002</v>
          </cell>
          <cell r="P123">
            <v>525.06299999999999</v>
          </cell>
          <cell r="Q123">
            <v>1239</v>
          </cell>
          <cell r="R123">
            <v>548.35599999999999</v>
          </cell>
          <cell r="S123">
            <v>143.30499999999998</v>
          </cell>
          <cell r="T123">
            <v>0.47718374728426216</v>
          </cell>
          <cell r="U123">
            <v>3208.4050000000002</v>
          </cell>
        </row>
        <row r="124">
          <cell r="B124" t="str">
            <v>FQ(2)</v>
          </cell>
          <cell r="C124">
            <v>1520</v>
          </cell>
          <cell r="D124">
            <v>1520</v>
          </cell>
          <cell r="E124">
            <v>2143</v>
          </cell>
          <cell r="F124">
            <v>727</v>
          </cell>
          <cell r="G124">
            <v>168.17600000000004</v>
          </cell>
          <cell r="H124">
            <v>457.5</v>
          </cell>
          <cell r="I124">
            <v>1213.2260000000001</v>
          </cell>
          <cell r="J124">
            <v>0.34123040841955765</v>
          </cell>
          <cell r="K124">
            <v>7748.902</v>
          </cell>
          <cell r="M124">
            <v>424.51499999999999</v>
          </cell>
          <cell r="N124">
            <v>165.69200000000001</v>
          </cell>
          <cell r="O124">
            <v>248.83300000000003</v>
          </cell>
          <cell r="P124">
            <v>547.31799999999998</v>
          </cell>
          <cell r="Q124">
            <v>1288</v>
          </cell>
          <cell r="R124">
            <v>668.00900000000001</v>
          </cell>
          <cell r="S124">
            <v>187.09099999999995</v>
          </cell>
          <cell r="T124">
            <v>0.47674238848644357</v>
          </cell>
          <cell r="U124">
            <v>3529.4580000000001</v>
          </cell>
        </row>
        <row r="125">
          <cell r="B125" t="str">
            <v>FQ(1)</v>
          </cell>
          <cell r="C125">
            <v>1539</v>
          </cell>
          <cell r="D125">
            <v>1695.9999999999995</v>
          </cell>
          <cell r="E125">
            <v>2121</v>
          </cell>
          <cell r="F125">
            <v>658</v>
          </cell>
          <cell r="G125">
            <v>254.63499999999999</v>
          </cell>
          <cell r="H125">
            <v>459.28699999999981</v>
          </cell>
          <cell r="I125">
            <v>1442.7669999999998</v>
          </cell>
          <cell r="J125">
            <v>0.34162562690306364</v>
          </cell>
          <cell r="K125">
            <v>8170.6890000000003</v>
          </cell>
          <cell r="M125">
            <v>483.08699999999999</v>
          </cell>
          <cell r="N125">
            <v>222.91699999999997</v>
          </cell>
          <cell r="O125">
            <v>300.12799999999999</v>
          </cell>
          <cell r="P125">
            <v>550.178</v>
          </cell>
          <cell r="Q125">
            <v>1524</v>
          </cell>
          <cell r="R125">
            <v>562.74800000000005</v>
          </cell>
          <cell r="S125">
            <v>210.08799999999997</v>
          </cell>
          <cell r="T125">
            <v>0.47485611668511796</v>
          </cell>
          <cell r="U125">
            <v>3853.1459999999997</v>
          </cell>
        </row>
        <row r="126">
          <cell r="B126" t="str">
            <v>Last Reported Q</v>
          </cell>
          <cell r="C126">
            <v>6497</v>
          </cell>
          <cell r="D126">
            <v>6910</v>
          </cell>
          <cell r="E126">
            <v>9516</v>
          </cell>
          <cell r="F126">
            <v>2930</v>
          </cell>
          <cell r="G126">
            <v>957.61300000000006</v>
          </cell>
          <cell r="H126">
            <v>1856.9349999999995</v>
          </cell>
          <cell r="I126">
            <v>5320.0149999999994</v>
          </cell>
          <cell r="J126">
            <v>0.32606283340050934</v>
          </cell>
          <cell r="K126">
            <v>33987.563000000002</v>
          </cell>
          <cell r="M126">
            <v>1883.596</v>
          </cell>
          <cell r="N126">
            <v>849.54700000000003</v>
          </cell>
          <cell r="O126">
            <v>1158.087</v>
          </cell>
          <cell r="P126">
            <v>770.93900000000008</v>
          </cell>
          <cell r="Q126">
            <v>5724</v>
          </cell>
          <cell r="R126">
            <v>3028.0910000000003</v>
          </cell>
          <cell r="S126">
            <v>786.14499999999998</v>
          </cell>
          <cell r="T126">
            <v>0.46031035398215553</v>
          </cell>
          <cell r="U126">
            <v>14200.405000000001</v>
          </cell>
        </row>
        <row r="127">
          <cell r="B127" t="str">
            <v>LTM</v>
          </cell>
          <cell r="C127">
            <v>10924</v>
          </cell>
          <cell r="D127">
            <v>11700</v>
          </cell>
          <cell r="E127">
            <v>15760</v>
          </cell>
          <cell r="F127">
            <v>4914</v>
          </cell>
          <cell r="G127">
            <v>1618.8320000000001</v>
          </cell>
          <cell r="H127">
            <v>3196.6119999999992</v>
          </cell>
          <cell r="I127">
            <v>9056.8859999999986</v>
          </cell>
          <cell r="J127">
            <v>0.34253549494913577</v>
          </cell>
          <cell r="K127">
            <v>57170.33</v>
          </cell>
          <cell r="M127">
            <v>3172.65</v>
          </cell>
          <cell r="N127">
            <v>1388.4459999999999</v>
          </cell>
          <cell r="O127">
            <v>1927.9870000000001</v>
          </cell>
          <cell r="P127">
            <v>2393.4979999999996</v>
          </cell>
          <cell r="Q127">
            <v>9775</v>
          </cell>
          <cell r="R127">
            <v>4807.2040000000006</v>
          </cell>
          <cell r="S127">
            <v>1326.6289999999999</v>
          </cell>
          <cell r="T127">
            <v>0.4681344617109402</v>
          </cell>
          <cell r="U127">
            <v>24791.414000000001</v>
          </cell>
        </row>
        <row r="128">
          <cell r="B128" t="str">
            <v>FY2</v>
          </cell>
          <cell r="C128">
            <v>0.37793932721135309</v>
          </cell>
          <cell r="D128">
            <v>0.40387478302889063</v>
          </cell>
          <cell r="E128">
            <v>0.40891438601937197</v>
          </cell>
          <cell r="F128">
            <v>0.3516713781024392</v>
          </cell>
          <cell r="G128">
            <v>0.37153492972519664</v>
          </cell>
          <cell r="H128">
            <v>0.2519609544743126</v>
          </cell>
          <cell r="I128">
            <v>0.26027414700690904</v>
          </cell>
          <cell r="J128">
            <v>0.34659570079549618</v>
          </cell>
          <cell r="K128">
            <v>0.35233383234608834</v>
          </cell>
          <cell r="M128">
            <v>0.65560315511496348</v>
          </cell>
          <cell r="N128">
            <v>0.36839869294545086</v>
          </cell>
          <cell r="O128">
            <v>0.39712283400869647</v>
          </cell>
          <cell r="P128">
            <v>0.72327915689366484</v>
          </cell>
          <cell r="Q128">
            <v>0.40697041666330491</v>
          </cell>
          <cell r="R128">
            <v>0.35628857516161133</v>
          </cell>
          <cell r="S128">
            <v>0.40473278102974558</v>
          </cell>
          <cell r="T128">
            <v>0.47319937311677679</v>
          </cell>
          <cell r="U128">
            <v>0.44531795350216397</v>
          </cell>
        </row>
        <row r="129">
          <cell r="B129" t="str">
            <v>Gross Margin</v>
          </cell>
          <cell r="C129">
            <v>0.34804202483285579</v>
          </cell>
          <cell r="D129">
            <v>0.34657460701020493</v>
          </cell>
          <cell r="E129">
            <v>0.39349634484497104</v>
          </cell>
          <cell r="F129">
            <v>0.31986093003042154</v>
          </cell>
          <cell r="G129">
            <v>0.20794369872113266</v>
          </cell>
          <cell r="H129">
            <v>0.23802730158144345</v>
          </cell>
          <cell r="I129">
            <v>0.22663705094307168</v>
          </cell>
          <cell r="J129">
            <v>0.29722599399487154</v>
          </cell>
          <cell r="K129">
            <v>0.32495497751431268</v>
          </cell>
          <cell r="M129">
            <v>0.6439308385648651</v>
          </cell>
          <cell r="N129">
            <v>0.35291449341103193</v>
          </cell>
          <cell r="O129">
            <v>0.34406978028044605</v>
          </cell>
          <cell r="P129">
            <v>0.74175613165738463</v>
          </cell>
          <cell r="Q129">
            <v>0.34027437530622245</v>
          </cell>
          <cell r="R129">
            <v>0.3425693941564012</v>
          </cell>
          <cell r="S129">
            <v>0.34028633398808844</v>
          </cell>
          <cell r="T129">
            <v>0.44368590676634856</v>
          </cell>
          <cell r="U129">
            <v>1.0309375029018297E-2</v>
          </cell>
        </row>
        <row r="130">
          <cell r="B130" t="str">
            <v>FY(5)</v>
          </cell>
          <cell r="C130">
            <v>0.35157511943729869</v>
          </cell>
          <cell r="D130">
            <v>0.37433687002652521</v>
          </cell>
          <cell r="E130">
            <v>0.40758113590263689</v>
          </cell>
          <cell r="F130">
            <v>0.36066134439275915</v>
          </cell>
          <cell r="G130">
            <v>0.39237044615838867</v>
          </cell>
          <cell r="H130">
            <v>0.22485571899933726</v>
          </cell>
          <cell r="I130">
            <v>0.23912737219065458</v>
          </cell>
          <cell r="J130">
            <v>0.33578685815822862</v>
          </cell>
          <cell r="K130">
            <v>0.34164338087983182</v>
          </cell>
          <cell r="M130">
            <v>0.66356083896432605</v>
          </cell>
          <cell r="N130">
            <v>0.33665521690250688</v>
          </cell>
          <cell r="O130">
            <v>0.46661113594696269</v>
          </cell>
          <cell r="P130">
            <v>0.75062406665094716</v>
          </cell>
          <cell r="Q130">
            <v>0.39226655191491977</v>
          </cell>
          <cell r="R130">
            <v>0.3672363331488156</v>
          </cell>
          <cell r="S130">
            <v>0.40924192086982786</v>
          </cell>
          <cell r="T130">
            <v>0.48374229491404369</v>
          </cell>
          <cell r="U130">
            <v>0.41889143117735578</v>
          </cell>
        </row>
        <row r="131">
          <cell r="B131" t="str">
            <v>FY(4)</v>
          </cell>
          <cell r="C131">
            <v>0.35521033860112522</v>
          </cell>
          <cell r="D131">
            <v>0.3828337149246579</v>
          </cell>
          <cell r="E131">
            <v>0.4072353729343457</v>
          </cell>
          <cell r="F131">
            <v>0.36705055232607825</v>
          </cell>
          <cell r="G131">
            <v>0.36838636693297744</v>
          </cell>
          <cell r="H131">
            <v>0.22078245953473774</v>
          </cell>
          <cell r="I131">
            <v>0.23491384996800246</v>
          </cell>
          <cell r="J131">
            <v>0.3337732364602749</v>
          </cell>
          <cell r="K131">
            <v>0.34622626093456549</v>
          </cell>
          <cell r="M131">
            <v>0.66982483696775197</v>
          </cell>
          <cell r="N131">
            <v>0.30097222810369439</v>
          </cell>
          <cell r="O131">
            <v>0.46338441369841538</v>
          </cell>
          <cell r="P131">
            <v>0.76742019151131191</v>
          </cell>
          <cell r="Q131">
            <v>0.36634837421207017</v>
          </cell>
          <cell r="R131">
            <v>0.35680728062464451</v>
          </cell>
          <cell r="S131">
            <v>0.41077110576161496</v>
          </cell>
          <cell r="T131">
            <v>0.47650406155421482</v>
          </cell>
          <cell r="U131">
            <v>0.41257133728970818</v>
          </cell>
        </row>
        <row r="132">
          <cell r="B132" t="str">
            <v>FY(3)</v>
          </cell>
          <cell r="C132">
            <v>0.3636492487376406</v>
          </cell>
          <cell r="D132">
            <v>0.39235117686260546</v>
          </cell>
          <cell r="E132">
            <v>0.40604375231738971</v>
          </cell>
          <cell r="F132">
            <v>0.37458966546886718</v>
          </cell>
          <cell r="G132">
            <v>0.38629518405253327</v>
          </cell>
          <cell r="H132">
            <v>0.2248897258810709</v>
          </cell>
          <cell r="I132">
            <v>0.24079410561679623</v>
          </cell>
          <cell r="J132">
            <v>0.34123040841955765</v>
          </cell>
          <cell r="K132">
            <v>0.35295851028933234</v>
          </cell>
          <cell r="M132">
            <v>0.67008193227159563</v>
          </cell>
          <cell r="N132">
            <v>0.31702127358463866</v>
          </cell>
          <cell r="O132">
            <v>0.47968246595255026</v>
          </cell>
          <cell r="P132">
            <v>0.77715250839458938</v>
          </cell>
          <cell r="Q132">
            <v>0.35527224769201782</v>
          </cell>
          <cell r="R132">
            <v>0.37612621984111183</v>
          </cell>
          <cell r="S132">
            <v>0.36900034865197429</v>
          </cell>
          <cell r="T132">
            <v>0.47776242805549679</v>
          </cell>
          <cell r="U132">
            <v>0.42021726118309527</v>
          </cell>
        </row>
        <row r="133">
          <cell r="B133" t="str">
            <v>FY(2)</v>
          </cell>
          <cell r="C133">
            <v>0.36507281302925271</v>
          </cell>
          <cell r="D133">
            <v>0.38593358921258974</v>
          </cell>
          <cell r="E133">
            <v>0.40421084634971305</v>
          </cell>
          <cell r="F133">
            <v>0.37400380207376371</v>
          </cell>
          <cell r="G133">
            <v>0.39013022290713839</v>
          </cell>
          <cell r="H133">
            <v>0.22710357389829852</v>
          </cell>
          <cell r="I133">
            <v>0.24492454085068946</v>
          </cell>
          <cell r="J133">
            <v>0.34162562690306364</v>
          </cell>
          <cell r="K133">
            <v>0.35070941460660748</v>
          </cell>
          <cell r="M133">
            <v>0.67253982532430046</v>
          </cell>
          <cell r="N133">
            <v>0.34456092567946972</v>
          </cell>
          <cell r="O133">
            <v>0.46577507045678512</v>
          </cell>
          <cell r="P133">
            <v>0.77436175001607688</v>
          </cell>
          <cell r="Q133">
            <v>0.36122565501490833</v>
          </cell>
          <cell r="R133">
            <v>0.34339067881529911</v>
          </cell>
          <cell r="S133">
            <v>0.38254481589468625</v>
          </cell>
          <cell r="T133">
            <v>0.47777124588593223</v>
          </cell>
          <cell r="U133">
            <v>0.42325931546298057</v>
          </cell>
        </row>
        <row r="134">
          <cell r="B134" t="str">
            <v>FY(1)</v>
          </cell>
          <cell r="C134">
            <v>0.36947488849160109</v>
          </cell>
          <cell r="D134">
            <v>0.37411138446832803</v>
          </cell>
          <cell r="E134">
            <v>0.39703519202956772</v>
          </cell>
          <cell r="F134">
            <v>0.34513532746351461</v>
          </cell>
          <cell r="G134">
            <v>0.32085279404442962</v>
          </cell>
          <cell r="H134">
            <v>0.23582026225463254</v>
          </cell>
          <cell r="I134">
            <v>0.24092296088766529</v>
          </cell>
          <cell r="J134">
            <v>0.32619325851996273</v>
          </cell>
          <cell r="K134">
            <v>0.33958242581420323</v>
          </cell>
          <cell r="M134">
            <v>0.66907487449258152</v>
          </cell>
          <cell r="N134">
            <v>0.34694841930469456</v>
          </cell>
          <cell r="O134">
            <v>0.3928146152808954</v>
          </cell>
          <cell r="P134">
            <v>0.75677047948019927</v>
          </cell>
          <cell r="Q134">
            <v>0.37498278948093072</v>
          </cell>
          <cell r="R134">
            <v>0.33246659377546589</v>
          </cell>
          <cell r="S134">
            <v>0.38889730723235022</v>
          </cell>
          <cell r="T134">
            <v>0.46599358272101676</v>
          </cell>
          <cell r="U134">
            <v>0.42588652884466527</v>
          </cell>
        </row>
        <row r="135">
          <cell r="B135" t="str">
            <v>FY0</v>
          </cell>
          <cell r="C135">
            <v>0.37823834196891193</v>
          </cell>
          <cell r="D135">
            <v>0.39356446279921992</v>
          </cell>
          <cell r="E135">
            <v>0.4051258035676274</v>
          </cell>
          <cell r="F135">
            <v>0.3548074594332768</v>
          </cell>
          <cell r="G135">
            <v>0.36470630800811971</v>
          </cell>
          <cell r="H135">
            <v>0.25847437986596439</v>
          </cell>
          <cell r="I135">
            <v>0.26221897549166412</v>
          </cell>
          <cell r="J135">
            <v>0.34530510444782631</v>
          </cell>
          <cell r="K135">
            <v>0.3519115449085542</v>
          </cell>
          <cell r="M135">
            <v>0.6431673566946946</v>
          </cell>
          <cell r="N135">
            <v>0.38094484340423435</v>
          </cell>
          <cell r="O135">
            <v>0.38724779790259878</v>
          </cell>
          <cell r="P135">
            <v>0.71897013064360948</v>
          </cell>
          <cell r="Q135">
            <v>0.40318377121927168</v>
          </cell>
          <cell r="R135">
            <v>0.35077650699768259</v>
          </cell>
          <cell r="S135">
            <v>0.40568630132391376</v>
          </cell>
          <cell r="T135">
            <v>0.46999667259800076</v>
          </cell>
          <cell r="U135">
            <v>0.43577694287156998</v>
          </cell>
        </row>
        <row r="136">
          <cell r="A136" t="str">
            <v>Gross Margin Y/Y bps</v>
          </cell>
          <cell r="B136" t="str">
            <v>FY1</v>
          </cell>
          <cell r="C136">
            <v>0.38389063407855639</v>
          </cell>
          <cell r="D136">
            <v>0.39605323146481297</v>
          </cell>
          <cell r="E136">
            <v>0.40740177504153008</v>
          </cell>
          <cell r="F136">
            <v>0.36371218664159571</v>
          </cell>
          <cell r="G136">
            <v>0.38074593530189327</v>
          </cell>
          <cell r="H136">
            <v>0.26466022730826666</v>
          </cell>
          <cell r="I136">
            <v>0.26683303831625033</v>
          </cell>
          <cell r="J136">
            <v>0.351899575450415</v>
          </cell>
          <cell r="K136">
            <v>0.35549103872088045</v>
          </cell>
          <cell r="M136">
            <v>0.64275377929795485</v>
          </cell>
          <cell r="N136">
            <v>0.38266153944036096</v>
          </cell>
          <cell r="O136">
            <v>0.42389290445183864</v>
          </cell>
          <cell r="P136">
            <v>0.72371114291347305</v>
          </cell>
          <cell r="Q136">
            <v>0.40988133878454813</v>
          </cell>
          <cell r="R136">
            <v>0.36009474193507907</v>
          </cell>
          <cell r="S136">
            <v>0.41328451675268396</v>
          </cell>
          <cell r="T136">
            <v>0.47946856622513412</v>
          </cell>
          <cell r="U136">
            <v>0.44608631790058828</v>
          </cell>
        </row>
        <row r="137">
          <cell r="B137" t="str">
            <v>FY2</v>
          </cell>
          <cell r="C137">
            <v>0.38689063407855973</v>
          </cell>
          <cell r="D137">
            <v>0.39805323146481542</v>
          </cell>
          <cell r="E137">
            <v>0.40840177504152941</v>
          </cell>
          <cell r="F137">
            <v>0.36471218664159616</v>
          </cell>
          <cell r="G137">
            <v>0.39301536046301189</v>
          </cell>
          <cell r="H137">
            <v>0.26466022730826688</v>
          </cell>
          <cell r="I137">
            <v>0.26533303831625055</v>
          </cell>
          <cell r="J137">
            <v>0.35443806475914713</v>
          </cell>
          <cell r="K137">
            <v>0.35594708840548112</v>
          </cell>
          <cell r="M137">
            <v>0.65060178234357102</v>
          </cell>
          <cell r="N137">
            <v>0.37125288326098349</v>
          </cell>
          <cell r="O137">
            <v>0.43137881486428442</v>
          </cell>
          <cell r="P137">
            <v>0.72371114291347427</v>
          </cell>
          <cell r="Q137">
            <v>0.41288133878454431</v>
          </cell>
          <cell r="R137">
            <v>0.36509474193507874</v>
          </cell>
          <cell r="S137">
            <v>0.41628451675268513</v>
          </cell>
          <cell r="T137">
            <v>0.48160074583637452</v>
          </cell>
          <cell r="U137">
            <v>0.45086886973497936</v>
          </cell>
        </row>
        <row r="138">
          <cell r="B138" t="str">
            <v>FQ(3)</v>
          </cell>
          <cell r="C138">
            <v>0.3760307861462342</v>
          </cell>
          <cell r="D138">
            <v>0.4052069222711514</v>
          </cell>
          <cell r="E138">
            <v>0.38084246970571262</v>
          </cell>
          <cell r="F138">
            <v>0.35111371629542792</v>
          </cell>
          <cell r="G138">
            <v>0.38374544880936662</v>
          </cell>
          <cell r="H138">
            <v>0.24999423622265082</v>
          </cell>
          <cell r="I138">
            <v>0.24823665479773208</v>
          </cell>
          <cell r="J138">
            <v>0.34216717632118215</v>
          </cell>
          <cell r="K138">
            <v>0.34431570764330982</v>
          </cell>
          <cell r="M138">
            <v>0.63392656827242833</v>
          </cell>
          <cell r="N138">
            <v>0.36833617630335475</v>
          </cell>
          <cell r="O138">
            <v>0.36101143790849677</v>
          </cell>
          <cell r="P138">
            <v>0.7096030889032745</v>
          </cell>
          <cell r="Q138">
            <v>0.39622641509433965</v>
          </cell>
          <cell r="R138">
            <v>0.31784386724838382</v>
          </cell>
          <cell r="S138">
            <v>0.37241811245439138</v>
          </cell>
          <cell r="T138">
            <v>0.45133795231209556</v>
          </cell>
          <cell r="U138">
            <v>0.42222938716692604</v>
          </cell>
        </row>
        <row r="139">
          <cell r="B139" t="str">
            <v>FQ(2)</v>
          </cell>
          <cell r="C139">
            <v>0.39936941671045717</v>
          </cell>
          <cell r="D139">
            <v>0.3855274790180136</v>
          </cell>
          <cell r="E139">
            <v>0.41498838109992253</v>
          </cell>
          <cell r="F139">
            <v>0.33892773892773892</v>
          </cell>
          <cell r="G139">
            <v>0.29940750868797361</v>
          </cell>
          <cell r="H139">
            <v>0.25867391594426442</v>
          </cell>
          <cell r="I139">
            <v>0.25554899307597556</v>
          </cell>
          <cell r="J139">
            <v>0.33606334763776363</v>
          </cell>
          <cell r="K139">
            <v>0.35006656376812012</v>
          </cell>
          <cell r="M139">
            <v>0.66619744170389861</v>
          </cell>
          <cell r="N139">
            <v>0.36574985651847602</v>
          </cell>
          <cell r="O139">
            <v>0.37839798295610072</v>
          </cell>
          <cell r="P139">
            <v>0.70372513320578489</v>
          </cell>
          <cell r="Q139">
            <v>0.39691833590138675</v>
          </cell>
          <cell r="R139">
            <v>0.32323902429582746</v>
          </cell>
          <cell r="S139">
            <v>0.40793805846157866</v>
          </cell>
          <cell r="T139">
            <v>0.46316654757757902</v>
          </cell>
          <cell r="U139">
            <v>0.4254503203240862</v>
          </cell>
        </row>
        <row r="140">
          <cell r="A140" t="str">
            <v>mstag:sellingGeneralAndAdministrativeExpenses</v>
          </cell>
          <cell r="B140" t="str">
            <v>FQ(1)</v>
          </cell>
          <cell r="C140">
            <v>0.37990619600098741</v>
          </cell>
          <cell r="D140">
            <v>0.40570336732064843</v>
          </cell>
          <cell r="E140">
            <v>0.40193291642978968</v>
          </cell>
          <cell r="F140">
            <v>0.35224839400428265</v>
          </cell>
          <cell r="G140">
            <v>0.40326463256650735</v>
          </cell>
          <cell r="H140">
            <v>0.26333164959902844</v>
          </cell>
          <cell r="I140">
            <v>0.27507756991206389</v>
          </cell>
          <cell r="J140">
            <v>0.35449496083332965</v>
          </cell>
          <cell r="K140">
            <v>0.35529503164850834</v>
          </cell>
          <cell r="M140">
            <v>0.64096756730937632</v>
          </cell>
          <cell r="N140">
            <v>0.39257147284965077</v>
          </cell>
          <cell r="O140">
            <v>0.40072527044095696</v>
          </cell>
          <cell r="P140">
            <v>0.72255222690780718</v>
          </cell>
          <cell r="Q140">
            <v>0.42463081638339373</v>
          </cell>
          <cell r="R140">
            <v>0.31663271515417157</v>
          </cell>
          <cell r="S140">
            <v>0.41527574619490015</v>
          </cell>
          <cell r="T140">
            <v>0.47333654503432243</v>
          </cell>
          <cell r="U140">
            <v>0.44268119068571099</v>
          </cell>
        </row>
        <row r="141">
          <cell r="B141" t="str">
            <v>Last Reported Q</v>
          </cell>
          <cell r="C141">
            <v>0.37823834196891193</v>
          </cell>
          <cell r="D141">
            <v>0.39356446279921992</v>
          </cell>
          <cell r="E141">
            <v>0.4051258035676274</v>
          </cell>
          <cell r="F141">
            <v>0.3548074594332768</v>
          </cell>
          <cell r="G141">
            <v>0.36470630800811971</v>
          </cell>
          <cell r="H141">
            <v>0.25847437986596439</v>
          </cell>
          <cell r="I141">
            <v>0.26221897549166412</v>
          </cell>
          <cell r="J141">
            <v>0.34530510444782631</v>
          </cell>
          <cell r="K141">
            <v>0.3519115449085542</v>
          </cell>
          <cell r="M141">
            <v>0.6431673566946946</v>
          </cell>
          <cell r="N141">
            <v>0.38094484340423435</v>
          </cell>
          <cell r="O141">
            <v>0.38724779790259878</v>
          </cell>
          <cell r="P141">
            <v>0.72388298646485227</v>
          </cell>
          <cell r="Q141">
            <v>0.40318377121927168</v>
          </cell>
          <cell r="R141">
            <v>0.35077650699768259</v>
          </cell>
          <cell r="S141">
            <v>0.40568630132391376</v>
          </cell>
          <cell r="T141">
            <v>0.47069850914389255</v>
          </cell>
          <cell r="U141">
            <v>0.41788457294937564</v>
          </cell>
        </row>
        <row r="142">
          <cell r="B142" t="str">
            <v>LTM</v>
          </cell>
          <cell r="C142">
            <v>0.38099888392857145</v>
          </cell>
          <cell r="D142">
            <v>0.39573875190944169</v>
          </cell>
          <cell r="E142">
            <v>0.40277032380076161</v>
          </cell>
          <cell r="F142">
            <v>0.35157759175788794</v>
          </cell>
          <cell r="G142">
            <v>0.36459309755217562</v>
          </cell>
          <cell r="H142">
            <v>0.25802878084482106</v>
          </cell>
          <cell r="I142">
            <v>0.26149412062465338</v>
          </cell>
          <cell r="J142">
            <v>0.34502879291690175</v>
          </cell>
          <cell r="K142">
            <v>0.35115444861434991</v>
          </cell>
          <cell r="M142">
            <v>0.64468259036965947</v>
          </cell>
          <cell r="N142">
            <v>0.37946185651930436</v>
          </cell>
          <cell r="O142">
            <v>0.38489565823590433</v>
          </cell>
          <cell r="P142">
            <v>0.71573221694763189</v>
          </cell>
          <cell r="Q142">
            <v>0.4046278665452438</v>
          </cell>
          <cell r="R142">
            <v>0.33849561245354687</v>
          </cell>
          <cell r="S142">
            <v>0.40358190121068876</v>
          </cell>
          <cell r="T142">
            <v>0.46735395746885416</v>
          </cell>
          <cell r="U142">
            <v>0.42320396566101393</v>
          </cell>
        </row>
        <row r="143">
          <cell r="B143" t="str">
            <v>FY0</v>
          </cell>
          <cell r="C143">
            <v>3936.0219999999999</v>
          </cell>
          <cell r="D143">
            <v>5805</v>
          </cell>
          <cell r="E143">
            <v>8458</v>
          </cell>
          <cell r="F143">
            <v>2387.9659999999999</v>
          </cell>
          <cell r="G143">
            <v>763.44408199055204</v>
          </cell>
          <cell r="H143">
            <v>1038.6748406189799</v>
          </cell>
          <cell r="I143">
            <v>3142.6860000000001</v>
          </cell>
          <cell r="J143">
            <v>3647.3989889442191</v>
          </cell>
          <cell r="K143">
            <v>25531.792922609533</v>
          </cell>
          <cell r="M143">
            <v>1899.1166546239299</v>
          </cell>
          <cell r="N143">
            <v>405.88299999999998</v>
          </cell>
          <cell r="O143">
            <v>734.04100000000005</v>
          </cell>
          <cell r="P143">
            <v>1322.3320000000001</v>
          </cell>
          <cell r="Q143">
            <v>3899</v>
          </cell>
          <cell r="R143">
            <v>2288.8490000000002</v>
          </cell>
          <cell r="S143">
            <v>414.04300000000001</v>
          </cell>
          <cell r="T143">
            <v>1566.1806649462758</v>
          </cell>
          <cell r="U143">
            <v>10963.26465462393</v>
          </cell>
        </row>
        <row r="144">
          <cell r="B144" t="str">
            <v>Gross Margin Y/Y bps</v>
          </cell>
          <cell r="C144">
            <v>4113.7056954443497</v>
          </cell>
          <cell r="D144">
            <v>6287.7702622184797</v>
          </cell>
          <cell r="E144">
            <v>8138.20603779462</v>
          </cell>
          <cell r="F144">
            <v>2407.8401552619498</v>
          </cell>
          <cell r="G144">
            <v>662.84608804704499</v>
          </cell>
          <cell r="H144">
            <v>1126.7119614783401</v>
          </cell>
          <cell r="I144">
            <v>3237.4964959774902</v>
          </cell>
          <cell r="J144">
            <v>3710.6538137460398</v>
          </cell>
          <cell r="K144">
            <v>25974.576696222277</v>
          </cell>
          <cell r="M144">
            <v>1786.39824222727</v>
          </cell>
          <cell r="N144">
            <v>463.14226890431502</v>
          </cell>
          <cell r="O144">
            <v>740.46848990890896</v>
          </cell>
          <cell r="P144">
            <v>1438.1228808739399</v>
          </cell>
          <cell r="Q144">
            <v>3932.69367470526</v>
          </cell>
          <cell r="R144">
            <v>2141.0715781598301</v>
          </cell>
          <cell r="S144">
            <v>446.30350135266099</v>
          </cell>
          <cell r="T144">
            <v>1564.0286623045977</v>
          </cell>
          <cell r="U144">
            <v>10948.200636132184</v>
          </cell>
        </row>
        <row r="145">
          <cell r="B145" t="str">
            <v>FY(1)</v>
          </cell>
          <cell r="C145">
            <v>44.020754623483867</v>
          </cell>
          <cell r="D145">
            <v>-118.22204744261711</v>
          </cell>
          <cell r="E145">
            <v>-71.756543201453297</v>
          </cell>
          <cell r="F145">
            <v>-288.68474610249109</v>
          </cell>
          <cell r="G145">
            <v>-692.77428862708769</v>
          </cell>
          <cell r="H145">
            <v>87.166883563340178</v>
          </cell>
          <cell r="I145">
            <v>-40.015799630241652</v>
          </cell>
          <cell r="J145">
            <v>-154.32368383100953</v>
          </cell>
          <cell r="K145">
            <v>-111.26988792404258</v>
          </cell>
          <cell r="M145">
            <v>-34.64950831718938</v>
          </cell>
          <cell r="N145">
            <v>23.874936252248347</v>
          </cell>
          <cell r="O145">
            <v>-729.60455175889729</v>
          </cell>
          <cell r="P145">
            <v>-175.91270535877612</v>
          </cell>
          <cell r="Q145">
            <v>137.57134466022393</v>
          </cell>
          <cell r="R145">
            <v>-109.2408503983322</v>
          </cell>
          <cell r="S145">
            <v>63.524913376639681</v>
          </cell>
          <cell r="T145">
            <v>-117.77663164915472</v>
          </cell>
          <cell r="U145">
            <v>26.27213381684701</v>
          </cell>
        </row>
        <row r="146">
          <cell r="A146" t="str">
            <v>Gross Margin Y/Y bps</v>
          </cell>
          <cell r="B146" t="str">
            <v>FY0</v>
          </cell>
          <cell r="C146">
            <v>87.634534773108342</v>
          </cell>
          <cell r="D146">
            <v>194.53078330891881</v>
          </cell>
          <cell r="E146">
            <v>80.906115380596773</v>
          </cell>
          <cell r="F146">
            <v>96.72131969762188</v>
          </cell>
          <cell r="G146">
            <v>438.53513963690085</v>
          </cell>
          <cell r="H146">
            <v>226.54117611331847</v>
          </cell>
          <cell r="I146">
            <v>212.96014603998825</v>
          </cell>
          <cell r="J146">
            <v>191.11845927863621</v>
          </cell>
          <cell r="K146">
            <v>123.2911909435097</v>
          </cell>
          <cell r="M146">
            <v>-259.07517797886914</v>
          </cell>
          <cell r="N146">
            <v>339.96424099539792</v>
          </cell>
          <cell r="O146">
            <v>-55.668173782966178</v>
          </cell>
          <cell r="P146">
            <v>-378.00348836589779</v>
          </cell>
          <cell r="Q146">
            <v>282.0098173834096</v>
          </cell>
          <cell r="R146">
            <v>183.09913222216701</v>
          </cell>
          <cell r="S146">
            <v>167.88994091563535</v>
          </cell>
          <cell r="T146">
            <v>40.030898769839546</v>
          </cell>
          <cell r="U146">
            <v>98.904140269047147</v>
          </cell>
        </row>
        <row r="147">
          <cell r="B147" t="str">
            <v>FY1</v>
          </cell>
          <cell r="C147">
            <v>56.522921096444634</v>
          </cell>
          <cell r="D147">
            <v>24.887686655930551</v>
          </cell>
          <cell r="E147">
            <v>22.759714739026826</v>
          </cell>
          <cell r="F147">
            <v>89.047272083189185</v>
          </cell>
          <cell r="G147">
            <v>160.39627293773563</v>
          </cell>
          <cell r="H147">
            <v>61.858474423022727</v>
          </cell>
          <cell r="I147">
            <v>46.140628245862068</v>
          </cell>
          <cell r="J147">
            <v>65.94471002588736</v>
          </cell>
          <cell r="K147">
            <v>35.794938123262511</v>
          </cell>
          <cell r="M147">
            <v>-4.1357739673975047</v>
          </cell>
          <cell r="N147">
            <v>17.166960361266192</v>
          </cell>
          <cell r="O147">
            <v>366.45106549239858</v>
          </cell>
          <cell r="P147">
            <v>47.410122698635647</v>
          </cell>
          <cell r="Q147">
            <v>66.975675652764522</v>
          </cell>
          <cell r="R147">
            <v>93.18234937396474</v>
          </cell>
          <cell r="S147">
            <v>75.982154287702059</v>
          </cell>
          <cell r="T147">
            <v>94.718936271333448</v>
          </cell>
          <cell r="U147">
            <v>103.09375029018297</v>
          </cell>
        </row>
        <row r="148">
          <cell r="B148" t="str">
            <v>FY2</v>
          </cell>
          <cell r="C148">
            <v>30.000000000033332</v>
          </cell>
          <cell r="D148">
            <v>20.000000000024443</v>
          </cell>
          <cell r="E148">
            <v>9.9999999999933475</v>
          </cell>
          <cell r="F148">
            <v>10.00000000000445</v>
          </cell>
          <cell r="G148">
            <v>122.69425161118619</v>
          </cell>
          <cell r="H148">
            <v>2.2204460492503131E-12</v>
          </cell>
          <cell r="I148">
            <v>-14.999999999997794</v>
          </cell>
          <cell r="J148">
            <v>25.384893087320886</v>
          </cell>
          <cell r="K148">
            <v>4.5604968460066786</v>
          </cell>
          <cell r="M148">
            <v>78.4800304561617</v>
          </cell>
          <cell r="N148">
            <v>-114.08656179377475</v>
          </cell>
          <cell r="O148">
            <v>74.859104124457843</v>
          </cell>
          <cell r="P148">
            <v>1.2212453270876722E-11</v>
          </cell>
          <cell r="Q148">
            <v>29.999999999961723</v>
          </cell>
          <cell r="R148">
            <v>49.999999999996717</v>
          </cell>
          <cell r="S148">
            <v>30.000000000011685</v>
          </cell>
          <cell r="T148">
            <v>21.321796112403877</v>
          </cell>
          <cell r="U148">
            <v>47.825518343910801</v>
          </cell>
        </row>
        <row r="149">
          <cell r="B149" t="str">
            <v>Last Reported Q</v>
          </cell>
          <cell r="C149">
            <v>1027</v>
          </cell>
          <cell r="D149">
            <v>1586</v>
          </cell>
          <cell r="E149">
            <v>2033</v>
          </cell>
          <cell r="F149">
            <v>581</v>
          </cell>
          <cell r="G149">
            <v>162.55199999999999</v>
          </cell>
          <cell r="H149">
            <v>286.51100000000002</v>
          </cell>
          <cell r="I149">
            <v>864.09699999999998</v>
          </cell>
          <cell r="J149">
            <v>934.30857142857144</v>
          </cell>
          <cell r="K149">
            <v>6540.16</v>
          </cell>
          <cell r="M149">
            <v>448.09300000000002</v>
          </cell>
          <cell r="N149">
            <v>117.236</v>
          </cell>
          <cell r="O149">
            <v>193.26900000000001</v>
          </cell>
          <cell r="P149">
            <v>1322.3320000000001</v>
          </cell>
          <cell r="Q149">
            <v>1024</v>
          </cell>
          <cell r="R149">
            <v>503.863</v>
          </cell>
          <cell r="S149">
            <v>114.327</v>
          </cell>
          <cell r="T149">
            <v>531.87428571428575</v>
          </cell>
          <cell r="U149">
            <v>3723.12</v>
          </cell>
        </row>
        <row r="150">
          <cell r="A150" t="str">
            <v>mstag:sellingGeneralAndAdministrativeExpenses</v>
          </cell>
          <cell r="B150" t="str">
            <v>SG&amp;A</v>
          </cell>
          <cell r="C150">
            <v>4056</v>
          </cell>
          <cell r="D150">
            <v>6115</v>
          </cell>
          <cell r="E150">
            <v>8106</v>
          </cell>
          <cell r="F150">
            <v>2398</v>
          </cell>
          <cell r="G150">
            <v>667.96800000000007</v>
          </cell>
          <cell r="H150">
            <v>1100.011</v>
          </cell>
          <cell r="I150">
            <v>3229.5609999999997</v>
          </cell>
          <cell r="J150">
            <v>3667.5057142857145</v>
          </cell>
          <cell r="K150">
            <v>25672.54</v>
          </cell>
          <cell r="M150">
            <v>1803.8050000000001</v>
          </cell>
          <cell r="N150">
            <v>442.11900000000003</v>
          </cell>
          <cell r="O150">
            <v>733.92599999999993</v>
          </cell>
          <cell r="P150">
            <v>2317.0330000000004</v>
          </cell>
          <cell r="Q150">
            <v>3814</v>
          </cell>
          <cell r="R150">
            <v>2140.2979999999998</v>
          </cell>
          <cell r="S150">
            <v>429.86</v>
          </cell>
          <cell r="T150">
            <v>1668.7201428571429</v>
          </cell>
          <cell r="U150">
            <v>11681.041000000001</v>
          </cell>
        </row>
        <row r="151">
          <cell r="B151" t="str">
            <v>FY(5)</v>
          </cell>
          <cell r="C151">
            <v>2582.971</v>
          </cell>
          <cell r="D151">
            <v>5505</v>
          </cell>
          <cell r="E151">
            <v>4931</v>
          </cell>
          <cell r="F151">
            <v>2020.2329999999999</v>
          </cell>
          <cell r="G151">
            <v>796.57399999999996</v>
          </cell>
          <cell r="H151">
            <v>657.66800000000001</v>
          </cell>
          <cell r="I151">
            <v>2520.8139999999999</v>
          </cell>
          <cell r="J151">
            <v>2716.3228571428567</v>
          </cell>
          <cell r="K151">
            <v>19014.259999999998</v>
          </cell>
          <cell r="M151">
            <v>957.18</v>
          </cell>
          <cell r="N151">
            <v>183.977</v>
          </cell>
          <cell r="O151">
            <v>446.82900000000001</v>
          </cell>
          <cell r="P151">
            <v>578.82000000000005</v>
          </cell>
          <cell r="Q151">
            <v>4296</v>
          </cell>
          <cell r="R151">
            <v>2367.2660000000001</v>
          </cell>
          <cell r="S151">
            <v>190.38399999999999</v>
          </cell>
          <cell r="T151">
            <v>1288.6365714285714</v>
          </cell>
          <cell r="U151">
            <v>9020.4560000000001</v>
          </cell>
        </row>
        <row r="152">
          <cell r="B152" t="str">
            <v>FY(4)</v>
          </cell>
          <cell r="C152">
            <v>2963.5</v>
          </cell>
          <cell r="D152">
            <v>5614</v>
          </cell>
          <cell r="E152">
            <v>6980</v>
          </cell>
          <cell r="F152">
            <v>2100.6660000000002</v>
          </cell>
          <cell r="G152">
            <v>801.57593271205303</v>
          </cell>
          <cell r="H152">
            <v>766.14400000000001</v>
          </cell>
          <cell r="I152">
            <v>2689.3210009596</v>
          </cell>
          <cell r="J152">
            <v>3130.7438476673792</v>
          </cell>
          <cell r="K152">
            <v>21915.206933671656</v>
          </cell>
          <cell r="M152">
            <v>1268.431</v>
          </cell>
          <cell r="N152">
            <v>227.04400000000001</v>
          </cell>
          <cell r="O152">
            <v>542.29499999999996</v>
          </cell>
          <cell r="P152">
            <v>731.89099999999996</v>
          </cell>
          <cell r="Q152">
            <v>4185</v>
          </cell>
          <cell r="R152">
            <v>2493.951</v>
          </cell>
          <cell r="S152">
            <v>242.50700000000001</v>
          </cell>
          <cell r="T152">
            <v>1384.4455714285716</v>
          </cell>
          <cell r="U152">
            <v>9691.1190000000006</v>
          </cell>
        </row>
        <row r="153">
          <cell r="B153" t="str">
            <v>FY(3)</v>
          </cell>
          <cell r="C153">
            <v>3415.4940000000001</v>
          </cell>
          <cell r="D153">
            <v>5937</v>
          </cell>
          <cell r="E153">
            <v>8678</v>
          </cell>
          <cell r="F153">
            <v>2296.8629999999998</v>
          </cell>
          <cell r="G153">
            <v>749.86758829015298</v>
          </cell>
          <cell r="H153">
            <v>863.03300000000002</v>
          </cell>
          <cell r="I153">
            <v>2916.56</v>
          </cell>
          <cell r="J153">
            <v>3550.9739411843075</v>
          </cell>
          <cell r="K153">
            <v>24856.817588290152</v>
          </cell>
          <cell r="M153">
            <v>1512.6610000000001</v>
          </cell>
          <cell r="N153">
            <v>289.73599999999999</v>
          </cell>
          <cell r="O153">
            <v>665.60699999999997</v>
          </cell>
          <cell r="P153">
            <v>866.86556379972797</v>
          </cell>
          <cell r="Q153">
            <v>4477</v>
          </cell>
          <cell r="R153">
            <v>2837.4270000000001</v>
          </cell>
          <cell r="S153">
            <v>287.93200000000002</v>
          </cell>
          <cell r="T153">
            <v>1562.4612233999612</v>
          </cell>
          <cell r="U153">
            <v>10937.228563799728</v>
          </cell>
        </row>
        <row r="154">
          <cell r="B154" t="str">
            <v>FY(2)</v>
          </cell>
          <cell r="C154">
            <v>3696.9</v>
          </cell>
          <cell r="D154">
            <v>5829</v>
          </cell>
          <cell r="E154">
            <v>8554</v>
          </cell>
          <cell r="F154">
            <v>2359.7800000000002</v>
          </cell>
          <cell r="G154">
            <v>807.92702269720496</v>
          </cell>
          <cell r="H154">
            <v>935.90099999999995</v>
          </cell>
          <cell r="I154">
            <v>3033.4039100715199</v>
          </cell>
          <cell r="J154">
            <v>3602.4159903955324</v>
          </cell>
          <cell r="K154">
            <v>25216.911932768726</v>
          </cell>
          <cell r="M154">
            <v>1720.9580000000001</v>
          </cell>
          <cell r="N154">
            <v>345.80500000000001</v>
          </cell>
          <cell r="O154">
            <v>715.18</v>
          </cell>
          <cell r="P154">
            <v>1029.5889999999999</v>
          </cell>
          <cell r="Q154">
            <v>4345</v>
          </cell>
          <cell r="R154">
            <v>2602.4180000000001</v>
          </cell>
          <cell r="S154">
            <v>351.827</v>
          </cell>
          <cell r="T154">
            <v>1587.253857142857</v>
          </cell>
          <cell r="U154">
            <v>11110.776999999998</v>
          </cell>
        </row>
        <row r="155">
          <cell r="B155" t="str">
            <v>FY(1)</v>
          </cell>
          <cell r="C155">
            <v>3936.0219999999999</v>
          </cell>
          <cell r="D155">
            <v>5805</v>
          </cell>
          <cell r="E155">
            <v>8458</v>
          </cell>
          <cell r="F155">
            <v>2387.9659999999999</v>
          </cell>
          <cell r="G155">
            <v>763.44408199055204</v>
          </cell>
          <cell r="H155">
            <v>1038.6748406189799</v>
          </cell>
          <cell r="I155">
            <v>3142.6860000000001</v>
          </cell>
          <cell r="J155">
            <v>3647.3989889442191</v>
          </cell>
          <cell r="K155">
            <v>25531.792922609533</v>
          </cell>
          <cell r="M155">
            <v>1840.15625086369</v>
          </cell>
          <cell r="N155">
            <v>405.88299999999998</v>
          </cell>
          <cell r="O155">
            <v>734.04100000000005</v>
          </cell>
          <cell r="P155">
            <v>1227.874</v>
          </cell>
          <cell r="Q155">
            <v>3899</v>
          </cell>
          <cell r="R155">
            <v>2288.8490000000002</v>
          </cell>
          <cell r="S155">
            <v>414.04300000000001</v>
          </cell>
          <cell r="T155">
            <v>1544.2637501233842</v>
          </cell>
          <cell r="U155">
            <v>10809.846250863689</v>
          </cell>
        </row>
        <row r="156">
          <cell r="B156" t="str">
            <v>FY0</v>
          </cell>
          <cell r="C156">
            <v>4144</v>
          </cell>
          <cell r="D156">
            <v>6242</v>
          </cell>
          <cell r="E156">
            <v>8062</v>
          </cell>
          <cell r="F156">
            <v>2465</v>
          </cell>
          <cell r="G156">
            <v>663.38400000000001</v>
          </cell>
          <cell r="H156">
            <v>1130.8130000000001</v>
          </cell>
          <cell r="I156">
            <v>3328.944</v>
          </cell>
          <cell r="J156">
            <v>3719.4487142857142</v>
          </cell>
          <cell r="K156">
            <v>26036.141</v>
          </cell>
          <cell r="M156">
            <v>1746.019</v>
          </cell>
          <cell r="N156">
            <v>463.56200000000001</v>
          </cell>
          <cell r="O156">
            <v>756.25599999999997</v>
          </cell>
          <cell r="P156">
            <v>1322.3320000000001</v>
          </cell>
          <cell r="Q156">
            <v>3913</v>
          </cell>
          <cell r="R156">
            <v>2166.4029999999998</v>
          </cell>
          <cell r="S156">
            <v>447.161</v>
          </cell>
          <cell r="T156">
            <v>1544.9618571428571</v>
          </cell>
          <cell r="U156">
            <v>10814.733</v>
          </cell>
        </row>
        <row r="157">
          <cell r="B157" t="str">
            <v>FY1</v>
          </cell>
          <cell r="C157">
            <v>4394.4091829754097</v>
          </cell>
          <cell r="D157">
            <v>6246.8233738916697</v>
          </cell>
          <cell r="E157">
            <v>8248.0658741166299</v>
          </cell>
          <cell r="F157">
            <v>2590.3075410872998</v>
          </cell>
          <cell r="G157">
            <v>695.74853440064305</v>
          </cell>
          <cell r="H157">
            <v>1211.18901626811</v>
          </cell>
          <cell r="I157">
            <v>3551.2590335353202</v>
          </cell>
          <cell r="J157">
            <v>3848.2575080392967</v>
          </cell>
          <cell r="K157">
            <v>26937.802556275077</v>
          </cell>
          <cell r="M157">
            <v>1792.8121806045201</v>
          </cell>
          <cell r="N157">
            <v>504.30645509643699</v>
          </cell>
          <cell r="O157">
            <v>728.64913129426805</v>
          </cell>
          <cell r="P157">
            <v>1421.66648658546</v>
          </cell>
          <cell r="Q157">
            <v>3985.1203682867199</v>
          </cell>
          <cell r="R157">
            <v>2225.6272843379302</v>
          </cell>
          <cell r="S157">
            <v>506.13870145797398</v>
          </cell>
          <cell r="T157">
            <v>1594.9029439519013</v>
          </cell>
          <cell r="U157">
            <v>11164.320607663309</v>
          </cell>
        </row>
        <row r="158">
          <cell r="B158" t="str">
            <v>FY2</v>
          </cell>
          <cell r="C158">
            <v>4720.5151538554701</v>
          </cell>
          <cell r="D158">
            <v>6372.0902312446397</v>
          </cell>
          <cell r="E158">
            <v>8292.5927833133792</v>
          </cell>
          <cell r="F158">
            <v>2676.5791025920498</v>
          </cell>
          <cell r="G158">
            <v>736.52206639947497</v>
          </cell>
          <cell r="H158">
            <v>1266.65736703995</v>
          </cell>
          <cell r="I158">
            <v>3773.5321763327702</v>
          </cell>
          <cell r="J158">
            <v>3976.9269829682466</v>
          </cell>
          <cell r="K158">
            <v>27838.488880777728</v>
          </cell>
          <cell r="M158">
            <v>1906.1941041853299</v>
          </cell>
          <cell r="N158">
            <v>594.038263854913</v>
          </cell>
          <cell r="O158">
            <v>789.28825485253299</v>
          </cell>
          <cell r="P158">
            <v>1512.91471930996</v>
          </cell>
          <cell r="Q158">
            <v>3815.9974476101902</v>
          </cell>
          <cell r="R158">
            <v>2291.5018855364201</v>
          </cell>
          <cell r="S158">
            <v>564.28679678784999</v>
          </cell>
          <cell r="T158">
            <v>1639.1744960195995</v>
          </cell>
          <cell r="U158">
            <v>11474.221472137197</v>
          </cell>
        </row>
        <row r="159">
          <cell r="B159" t="str">
            <v>FQ(3)</v>
          </cell>
          <cell r="C159">
            <v>961</v>
          </cell>
          <cell r="D159">
            <v>1474</v>
          </cell>
          <cell r="E159">
            <v>1956</v>
          </cell>
          <cell r="F159">
            <v>539</v>
          </cell>
          <cell r="G159">
            <v>155.434</v>
          </cell>
          <cell r="H159">
            <v>272.02999999999997</v>
          </cell>
          <cell r="I159">
            <v>735.05700000000002</v>
          </cell>
          <cell r="J159">
            <v>870.36014285714282</v>
          </cell>
          <cell r="K159">
            <v>6092.5209999999997</v>
          </cell>
          <cell r="M159">
            <v>416.65499999999997</v>
          </cell>
          <cell r="N159">
            <v>94.146000000000001</v>
          </cell>
          <cell r="O159">
            <v>158.69200000000001</v>
          </cell>
          <cell r="P159">
            <v>326.32100000000003</v>
          </cell>
          <cell r="Q159">
            <v>886</v>
          </cell>
          <cell r="R159">
            <v>483.14400000000001</v>
          </cell>
          <cell r="S159">
            <v>97.185000000000002</v>
          </cell>
          <cell r="T159">
            <v>351.73471428571423</v>
          </cell>
          <cell r="U159">
            <v>2462.1429999999996</v>
          </cell>
        </row>
        <row r="160">
          <cell r="B160" t="str">
            <v>FQ(2)</v>
          </cell>
          <cell r="C160">
            <v>966</v>
          </cell>
          <cell r="D160">
            <v>1460</v>
          </cell>
          <cell r="E160">
            <v>1861</v>
          </cell>
          <cell r="F160">
            <v>608</v>
          </cell>
          <cell r="G160">
            <v>154.941</v>
          </cell>
          <cell r="H160">
            <v>286.15800000000002</v>
          </cell>
          <cell r="I160">
            <v>790.87599999999998</v>
          </cell>
          <cell r="J160">
            <v>875.28214285714296</v>
          </cell>
          <cell r="K160">
            <v>6126.9750000000004</v>
          </cell>
          <cell r="M160">
            <v>418.96199999999999</v>
          </cell>
          <cell r="N160">
            <v>100.682</v>
          </cell>
          <cell r="O160">
            <v>167.17500000000001</v>
          </cell>
          <cell r="P160">
            <v>327.63099999999997</v>
          </cell>
          <cell r="Q160">
            <v>913</v>
          </cell>
          <cell r="R160">
            <v>519.36599999999999</v>
          </cell>
          <cell r="S160">
            <v>108.65</v>
          </cell>
          <cell r="T160">
            <v>365.06657142857142</v>
          </cell>
          <cell r="U160">
            <v>2555.4659999999999</v>
          </cell>
        </row>
        <row r="161">
          <cell r="B161" t="str">
            <v>FQ(1)</v>
          </cell>
          <cell r="C161">
            <v>1027</v>
          </cell>
          <cell r="D161">
            <v>1586</v>
          </cell>
          <cell r="E161">
            <v>2033</v>
          </cell>
          <cell r="F161">
            <v>581</v>
          </cell>
          <cell r="G161">
            <v>162.55199999999999</v>
          </cell>
          <cell r="H161">
            <v>286.51100000000002</v>
          </cell>
          <cell r="I161">
            <v>864.09699999999998</v>
          </cell>
          <cell r="J161">
            <v>934.30857142857144</v>
          </cell>
          <cell r="K161">
            <v>6540.16</v>
          </cell>
          <cell r="M161">
            <v>437.22899999999998</v>
          </cell>
          <cell r="N161">
            <v>117.236</v>
          </cell>
          <cell r="O161">
            <v>193.26900000000001</v>
          </cell>
          <cell r="P161">
            <v>326.93099999999998</v>
          </cell>
          <cell r="Q161">
            <v>1024</v>
          </cell>
          <cell r="R161">
            <v>503.863</v>
          </cell>
          <cell r="S161">
            <v>114.327</v>
          </cell>
          <cell r="T161">
            <v>388.12214285714282</v>
          </cell>
          <cell r="U161">
            <v>2716.8549999999996</v>
          </cell>
        </row>
        <row r="162">
          <cell r="B162" t="str">
            <v>Last Reported Q</v>
          </cell>
          <cell r="C162">
            <v>4144</v>
          </cell>
          <cell r="D162">
            <v>6242</v>
          </cell>
          <cell r="E162">
            <v>8062</v>
          </cell>
          <cell r="F162">
            <v>2465</v>
          </cell>
          <cell r="G162">
            <v>663.38400000000001</v>
          </cell>
          <cell r="H162">
            <v>1130.8130000000001</v>
          </cell>
          <cell r="I162">
            <v>3328.944</v>
          </cell>
          <cell r="J162">
            <v>3719.4487142857142</v>
          </cell>
          <cell r="K162">
            <v>26036.141</v>
          </cell>
          <cell r="M162">
            <v>1746.019</v>
          </cell>
          <cell r="N162">
            <v>463.56200000000001</v>
          </cell>
          <cell r="O162">
            <v>756.25599999999997</v>
          </cell>
          <cell r="P162">
            <v>390.10199999999998</v>
          </cell>
          <cell r="Q162">
            <v>3913</v>
          </cell>
          <cell r="R162">
            <v>2166.4029999999998</v>
          </cell>
          <cell r="S162">
            <v>447.161</v>
          </cell>
          <cell r="T162">
            <v>1411.786142857143</v>
          </cell>
          <cell r="U162">
            <v>9882.5030000000006</v>
          </cell>
        </row>
        <row r="163">
          <cell r="B163" t="str">
            <v>LTM</v>
          </cell>
          <cell r="C163">
            <v>7098</v>
          </cell>
          <cell r="D163">
            <v>10762</v>
          </cell>
          <cell r="E163">
            <v>13912</v>
          </cell>
          <cell r="F163">
            <v>4193</v>
          </cell>
          <cell r="G163">
            <v>1136.3110000000001</v>
          </cell>
          <cell r="H163">
            <v>1975.5120000000002</v>
          </cell>
          <cell r="I163">
            <v>5718.9740000000002</v>
          </cell>
          <cell r="J163">
            <v>6399.399571428572</v>
          </cell>
          <cell r="K163">
            <v>44795.797000000006</v>
          </cell>
          <cell r="M163">
            <v>3018.8649999999998</v>
          </cell>
          <cell r="N163">
            <v>775.62599999999998</v>
          </cell>
          <cell r="O163">
            <v>1275.3919999999998</v>
          </cell>
          <cell r="P163">
            <v>1370.9850000000001</v>
          </cell>
          <cell r="Q163">
            <v>6736</v>
          </cell>
          <cell r="R163">
            <v>3672.7759999999998</v>
          </cell>
          <cell r="S163">
            <v>767.32300000000009</v>
          </cell>
          <cell r="T163">
            <v>2516.7095714285715</v>
          </cell>
          <cell r="U163">
            <v>17616.967000000001</v>
          </cell>
        </row>
        <row r="164">
          <cell r="B164" t="str">
            <v>Expense Ratio Y/Y bps</v>
          </cell>
        </row>
        <row r="165">
          <cell r="B165" t="str">
            <v>Expense Ratio</v>
          </cell>
          <cell r="C165">
            <v>157.51646442021732</v>
          </cell>
          <cell r="D165">
            <v>205.22599143587615</v>
          </cell>
          <cell r="E165">
            <v>147.01424492728543</v>
          </cell>
          <cell r="F165">
            <v>207.07126584412094</v>
          </cell>
          <cell r="G165">
            <v>42.49542357614655</v>
          </cell>
          <cell r="H165">
            <v>35.070234436621604</v>
          </cell>
          <cell r="I165">
            <v>-0.18946280574666519</v>
          </cell>
          <cell r="J165">
            <v>113.45773740493142</v>
          </cell>
          <cell r="K165">
            <v>97.851665616149333</v>
          </cell>
          <cell r="M165">
            <v>610.51345563298059</v>
          </cell>
          <cell r="N165">
            <v>-31.619890153258833</v>
          </cell>
          <cell r="O165">
            <v>115.26462868643839</v>
          </cell>
          <cell r="P165">
            <v>232.99399044565573</v>
          </cell>
          <cell r="Q165">
            <v>-72.302435491419232</v>
          </cell>
          <cell r="R165">
            <v>-48.996741320501137</v>
          </cell>
          <cell r="S165">
            <v>-76.662439658733987</v>
          </cell>
          <cell r="T165">
            <v>104.17008116302362</v>
          </cell>
          <cell r="U165">
            <v>38.080667608011986</v>
          </cell>
        </row>
        <row r="166">
          <cell r="B166" t="str">
            <v>FY(5)</v>
          </cell>
          <cell r="C166">
            <v>0.22075354465972119</v>
          </cell>
          <cell r="D166">
            <v>0.30421087533156499</v>
          </cell>
          <cell r="E166">
            <v>0.31256338742393508</v>
          </cell>
          <cell r="F166">
            <v>0.28328649595809413</v>
          </cell>
          <cell r="G166">
            <v>0.28788602145952064</v>
          </cell>
          <cell r="H166">
            <v>0.15511074318571508</v>
          </cell>
          <cell r="I166">
            <v>0.16902919324747948</v>
          </cell>
          <cell r="J166">
            <v>0.24754860875229007</v>
          </cell>
          <cell r="K166">
            <v>0.25479894602531877</v>
          </cell>
          <cell r="M166">
            <v>0.47355750440073341</v>
          </cell>
          <cell r="N166">
            <v>0.19080554898715221</v>
          </cell>
          <cell r="O166">
            <v>0.2375182127117153</v>
          </cell>
          <cell r="P166">
            <v>0.45493987267153979</v>
          </cell>
          <cell r="Q166">
            <v>0.26409294891498125</v>
          </cell>
          <cell r="R166">
            <v>0.25161431721226934</v>
          </cell>
          <cell r="S166">
            <v>0.23000181214134702</v>
          </cell>
          <cell r="T166">
            <v>0.30036145957710547</v>
          </cell>
          <cell r="U166">
            <v>0.27634449274646161</v>
          </cell>
        </row>
        <row r="167">
          <cell r="B167" t="str">
            <v>FY(4)</v>
          </cell>
          <cell r="C167">
            <v>0.22112041306651145</v>
          </cell>
          <cell r="D167">
            <v>0.2989191203876258</v>
          </cell>
          <cell r="E167">
            <v>0.311746315319339</v>
          </cell>
          <cell r="F167">
            <v>0.27201496074126219</v>
          </cell>
          <cell r="G167">
            <v>0.28850966846380655</v>
          </cell>
          <cell r="H167">
            <v>0.15495879093374249</v>
          </cell>
          <cell r="I167">
            <v>0.16854666633990859</v>
          </cell>
          <cell r="J167">
            <v>0.24511656217888514</v>
          </cell>
          <cell r="K167">
            <v>0.25490426029071767</v>
          </cell>
          <cell r="M167">
            <v>0.45822104470688874</v>
          </cell>
          <cell r="N167">
            <v>0.18852041811869835</v>
          </cell>
          <cell r="O167">
            <v>0.23355033372639172</v>
          </cell>
          <cell r="P167">
            <v>0.44311268847202645</v>
          </cell>
          <cell r="Q167">
            <v>0.26118704362478934</v>
          </cell>
          <cell r="R167">
            <v>0.25791933398831379</v>
          </cell>
          <cell r="S167">
            <v>0.22205424926312167</v>
          </cell>
          <cell r="T167">
            <v>0.29493787312860426</v>
          </cell>
          <cell r="U167">
            <v>0.2790354228686574</v>
          </cell>
        </row>
        <row r="168">
          <cell r="B168" t="str">
            <v>FY(3)</v>
          </cell>
          <cell r="C168">
            <v>0.21914841426546719</v>
          </cell>
          <cell r="D168">
            <v>0.29829542028855022</v>
          </cell>
          <cell r="E168">
            <v>0.32176492398961809</v>
          </cell>
          <cell r="F168">
            <v>0.2683032388246846</v>
          </cell>
          <cell r="G168">
            <v>0.2550567425577977</v>
          </cell>
          <cell r="H168">
            <v>0.15493724653110028</v>
          </cell>
          <cell r="I168">
            <v>0.16757373336772263</v>
          </cell>
          <cell r="J168">
            <v>0.24072567426070579</v>
          </cell>
          <cell r="K168">
            <v>0.25643049645543803</v>
          </cell>
          <cell r="M168">
            <v>0.46059072351786268</v>
          </cell>
          <cell r="N168">
            <v>0.20502006781733473</v>
          </cell>
          <cell r="O168">
            <v>0.23819240490565266</v>
          </cell>
          <cell r="P168">
            <v>0.42596037207277726</v>
          </cell>
          <cell r="Q168">
            <v>0.28116560949569802</v>
          </cell>
          <cell r="R168">
            <v>0.26590943083890284</v>
          </cell>
          <cell r="S168">
            <v>0.23510084370511716</v>
          </cell>
          <cell r="T168">
            <v>0.30170563605047784</v>
          </cell>
          <cell r="U168">
            <v>0.29286802049534522</v>
          </cell>
        </row>
        <row r="169">
          <cell r="B169" t="str">
            <v>FY(2)</v>
          </cell>
          <cell r="C169">
            <v>0.22441224497228915</v>
          </cell>
          <cell r="D169">
            <v>0.29349078819571894</v>
          </cell>
          <cell r="E169">
            <v>0.32508645916467144</v>
          </cell>
          <cell r="F169">
            <v>0.26731193022417554</v>
          </cell>
          <cell r="G169">
            <v>0.24747866688145498</v>
          </cell>
          <cell r="H169">
            <v>0.15663059319066835</v>
          </cell>
          <cell r="I169">
            <v>0.16542778193181926</v>
          </cell>
          <cell r="J169">
            <v>0.23997692350868541</v>
          </cell>
          <cell r="K169">
            <v>0.25458252346273547</v>
          </cell>
          <cell r="M169">
            <v>0.46516703174565421</v>
          </cell>
          <cell r="N169">
            <v>0.21842389666892584</v>
          </cell>
          <cell r="O169">
            <v>0.23406936986383864</v>
          </cell>
          <cell r="P169">
            <v>0.39410769023478287</v>
          </cell>
          <cell r="Q169">
            <v>0.27564549895324492</v>
          </cell>
          <cell r="R169">
            <v>0.25801530849837501</v>
          </cell>
          <cell r="S169">
            <v>0.23334973775041057</v>
          </cell>
          <cell r="T169">
            <v>0.29696836195931881</v>
          </cell>
          <cell r="U169">
            <v>0.29004007050169583</v>
          </cell>
        </row>
        <row r="170">
          <cell r="B170" t="str">
            <v>FY(1)</v>
          </cell>
          <cell r="C170">
            <v>0.24016389141431088</v>
          </cell>
          <cell r="D170">
            <v>0.31401338733930656</v>
          </cell>
          <cell r="E170">
            <v>0.33978788365739998</v>
          </cell>
          <cell r="F170">
            <v>0.28801905680858764</v>
          </cell>
          <cell r="G170">
            <v>0.2513902659533549</v>
          </cell>
          <cell r="H170">
            <v>0.16013761663433052</v>
          </cell>
          <cell r="I170">
            <v>0.16540883565124459</v>
          </cell>
          <cell r="J170">
            <v>0.25127441963693359</v>
          </cell>
          <cell r="K170">
            <v>0.2643565301882268</v>
          </cell>
          <cell r="M170">
            <v>0.528164794911131</v>
          </cell>
          <cell r="N170">
            <v>0.21526190765359995</v>
          </cell>
          <cell r="O170">
            <v>0.24559583273248248</v>
          </cell>
          <cell r="P170">
            <v>0.38603200433104445</v>
          </cell>
          <cell r="Q170">
            <v>0.26841525540410299</v>
          </cell>
          <cell r="R170">
            <v>0.25311563436632489</v>
          </cell>
          <cell r="S170">
            <v>0.22568349378453717</v>
          </cell>
          <cell r="T170">
            <v>0.30318127474046047</v>
          </cell>
          <cell r="U170">
            <v>0.29261289329386647</v>
          </cell>
        </row>
        <row r="171">
          <cell r="B171" t="str">
            <v>FY0</v>
          </cell>
          <cell r="C171">
            <v>0.2412528380974559</v>
          </cell>
          <cell r="D171">
            <v>0.35551799953585106</v>
          </cell>
          <cell r="E171">
            <v>0.34322448805824002</v>
          </cell>
          <cell r="F171">
            <v>0.2984984257689513</v>
          </cell>
          <cell r="G171">
            <v>0.25264937864425241</v>
          </cell>
          <cell r="H171">
            <v>0.15740248792734851</v>
          </cell>
          <cell r="I171">
            <v>0.16408079397316028</v>
          </cell>
          <cell r="J171">
            <v>0.25894663028646564</v>
          </cell>
          <cell r="K171">
            <v>0.26958151141248193</v>
          </cell>
          <cell r="M171">
            <v>0.59619070382858852</v>
          </cell>
          <cell r="N171">
            <v>0.20786554893155254</v>
          </cell>
          <cell r="O171">
            <v>0.25288123487322434</v>
          </cell>
          <cell r="P171">
            <v>0.40933140337561003</v>
          </cell>
          <cell r="Q171">
            <v>0.2756216101993379</v>
          </cell>
          <cell r="R171">
            <v>0.25095787315813839</v>
          </cell>
          <cell r="S171">
            <v>0.23075525785485199</v>
          </cell>
          <cell r="T171">
            <v>0.31765766174590049</v>
          </cell>
          <cell r="U171">
            <v>0.29918667766155282</v>
          </cell>
        </row>
        <row r="172">
          <cell r="B172" t="str">
            <v>FY1</v>
          </cell>
          <cell r="C172">
            <v>0.23755990709862407</v>
          </cell>
          <cell r="D172">
            <v>0.35082328912427285</v>
          </cell>
          <cell r="E172">
            <v>0.33604435343603933</v>
          </cell>
          <cell r="F172">
            <v>0.2900204005330686</v>
          </cell>
          <cell r="G172">
            <v>0.25415537194894949</v>
          </cell>
          <cell r="H172">
            <v>0.15520381370329353</v>
          </cell>
          <cell r="I172">
            <v>0.16100989145998601</v>
          </cell>
          <cell r="J172">
            <v>0.25497386104346204</v>
          </cell>
          <cell r="K172">
            <v>0.26312141410989504</v>
          </cell>
          <cell r="M172">
            <v>0.56685275187212625</v>
          </cell>
          <cell r="N172">
            <v>0.20751094817380147</v>
          </cell>
          <cell r="O172">
            <v>0.24378404137562537</v>
          </cell>
          <cell r="P172">
            <v>0.40898315733024737</v>
          </cell>
          <cell r="Q172">
            <v>0.2834829098776766</v>
          </cell>
          <cell r="R172">
            <v>0.2442859432107283</v>
          </cell>
          <cell r="S172">
            <v>0.22380557744828644</v>
          </cell>
          <cell r="T172">
            <v>0.31124361846978449</v>
          </cell>
          <cell r="U172">
            <v>0.29781058624011059</v>
          </cell>
        </row>
        <row r="173">
          <cell r="B173" t="str">
            <v>FY2</v>
          </cell>
          <cell r="C173">
            <v>0.23555990709862318</v>
          </cell>
          <cell r="D173">
            <v>0.35014505191680151</v>
          </cell>
          <cell r="E173">
            <v>0.33504435343603878</v>
          </cell>
          <cell r="F173">
            <v>0.28619698384846876</v>
          </cell>
          <cell r="G173">
            <v>0.25117728981375714</v>
          </cell>
          <cell r="H173">
            <v>0.15520381370329375</v>
          </cell>
          <cell r="I173">
            <v>0.16050989145998562</v>
          </cell>
          <cell r="J173">
            <v>0.25340532732528126</v>
          </cell>
          <cell r="K173">
            <v>0.26030872041871445</v>
          </cell>
          <cell r="M173">
            <v>0.55786444206476882</v>
          </cell>
          <cell r="N173">
            <v>0.21596159783087132</v>
          </cell>
          <cell r="O173">
            <v>0.23879343443399517</v>
          </cell>
          <cell r="P173">
            <v>0.4069831573302467</v>
          </cell>
          <cell r="Q173">
            <v>0.28248290987767782</v>
          </cell>
          <cell r="R173">
            <v>0.24237995437917609</v>
          </cell>
          <cell r="S173">
            <v>0.21870557744828625</v>
          </cell>
          <cell r="T173">
            <v>0.30902443905214605</v>
          </cell>
          <cell r="U173">
            <v>0.29623593800541625</v>
          </cell>
        </row>
        <row r="174">
          <cell r="B174" t="str">
            <v>FQ(3)</v>
          </cell>
          <cell r="C174">
            <v>0.26415612974161629</v>
          </cell>
          <cell r="D174">
            <v>0.37946315338480124</v>
          </cell>
          <cell r="E174">
            <v>0.37622619734564339</v>
          </cell>
          <cell r="F174">
            <v>0.31594372801875731</v>
          </cell>
          <cell r="G174">
            <v>0.25018912993790099</v>
          </cell>
          <cell r="H174">
            <v>0.16081234382380219</v>
          </cell>
          <cell r="I174">
            <v>0.16881469579883809</v>
          </cell>
          <cell r="J174">
            <v>0.27365791115019422</v>
          </cell>
          <cell r="K174">
            <v>0.28882002576376026</v>
          </cell>
          <cell r="M174">
            <v>0.69242964856272504</v>
          </cell>
          <cell r="N174">
            <v>0.23073642726898419</v>
          </cell>
          <cell r="O174">
            <v>0.25930065359477128</v>
          </cell>
          <cell r="P174">
            <v>0.44101067790723297</v>
          </cell>
          <cell r="Q174">
            <v>0.28333866325551649</v>
          </cell>
          <cell r="R174">
            <v>0.28004500251269826</v>
          </cell>
          <cell r="S174">
            <v>0.25256239669851038</v>
          </cell>
          <cell r="T174">
            <v>0.34848906711434841</v>
          </cell>
          <cell r="U174">
            <v>0.3240205429200293</v>
          </cell>
        </row>
        <row r="175">
          <cell r="B175" t="str">
            <v>FQ(2)</v>
          </cell>
          <cell r="C175">
            <v>0.25380977404098792</v>
          </cell>
          <cell r="D175">
            <v>0.37030928905677624</v>
          </cell>
          <cell r="E175">
            <v>0.3603795507358637</v>
          </cell>
          <cell r="F175">
            <v>0.28344988344988348</v>
          </cell>
          <cell r="G175">
            <v>0.27584494103572038</v>
          </cell>
          <cell r="H175">
            <v>0.1617958698115384</v>
          </cell>
          <cell r="I175">
            <v>0.16658690585921768</v>
          </cell>
          <cell r="J175">
            <v>0.26745374485571255</v>
          </cell>
          <cell r="K175">
            <v>0.27679393603676727</v>
          </cell>
          <cell r="M175">
            <v>0.65748303963617016</v>
          </cell>
          <cell r="N175">
            <v>0.22224625844333584</v>
          </cell>
          <cell r="O175">
            <v>0.254221436870054</v>
          </cell>
          <cell r="P175">
            <v>0.42125815178259163</v>
          </cell>
          <cell r="Q175">
            <v>0.28135593220338984</v>
          </cell>
          <cell r="R175">
            <v>0.25131301987312554</v>
          </cell>
          <cell r="S175">
            <v>0.23690327194707672</v>
          </cell>
          <cell r="T175">
            <v>0.33211158725082057</v>
          </cell>
          <cell r="U175">
            <v>0.30804271598565874</v>
          </cell>
        </row>
        <row r="176">
          <cell r="B176" t="str">
            <v>FQ(1)</v>
          </cell>
          <cell r="C176">
            <v>0.2535176499629721</v>
          </cell>
          <cell r="D176">
            <v>0.37939005929867253</v>
          </cell>
          <cell r="E176">
            <v>0.38525677468258479</v>
          </cell>
          <cell r="F176">
            <v>0.31102783725910066</v>
          </cell>
          <cell r="G176">
            <v>0.25743308089206474</v>
          </cell>
          <cell r="H176">
            <v>0.16427073759602878</v>
          </cell>
          <cell r="I176">
            <v>0.16474850265379282</v>
          </cell>
          <cell r="J176">
            <v>0.27366352033503094</v>
          </cell>
          <cell r="K176">
            <v>0.28439295072744886</v>
          </cell>
          <cell r="M176">
            <v>0.58012243858168677</v>
          </cell>
          <cell r="N176">
            <v>0.20646029325265305</v>
          </cell>
          <cell r="O176">
            <v>0.25804914000977353</v>
          </cell>
          <cell r="P176">
            <v>0.42936053803532004</v>
          </cell>
          <cell r="Q176">
            <v>0.2853162440791307</v>
          </cell>
          <cell r="R176">
            <v>0.28350080276736006</v>
          </cell>
          <cell r="S176">
            <v>0.22598734927851355</v>
          </cell>
          <cell r="T176">
            <v>0.32411382942920541</v>
          </cell>
          <cell r="U176">
            <v>0.31213470922732417</v>
          </cell>
        </row>
        <row r="177">
          <cell r="B177" t="str">
            <v>Last Reported Q</v>
          </cell>
          <cell r="C177">
            <v>0.2412528380974559</v>
          </cell>
          <cell r="D177">
            <v>0.35551799953585106</v>
          </cell>
          <cell r="E177">
            <v>0.34322448805824002</v>
          </cell>
          <cell r="F177">
            <v>0.2984984257689513</v>
          </cell>
          <cell r="G177">
            <v>0.25264937864425241</v>
          </cell>
          <cell r="H177">
            <v>0.15740248792734851</v>
          </cell>
          <cell r="I177">
            <v>0.16408079397316028</v>
          </cell>
          <cell r="J177">
            <v>0.25894663028646564</v>
          </cell>
          <cell r="K177">
            <v>0.26958151141248193</v>
          </cell>
          <cell r="M177">
            <v>0.59619070382858852</v>
          </cell>
          <cell r="N177">
            <v>0.20786554893155254</v>
          </cell>
          <cell r="O177">
            <v>0.25288123487322434</v>
          </cell>
          <cell r="P177">
            <v>0.3662912380693048</v>
          </cell>
          <cell r="Q177">
            <v>0.2756216101993379</v>
          </cell>
          <cell r="R177">
            <v>0.25095787315813839</v>
          </cell>
          <cell r="S177">
            <v>0.23075525785485199</v>
          </cell>
          <cell r="T177">
            <v>0.31150906670214262</v>
          </cell>
          <cell r="U177">
            <v>0.29081885663302726</v>
          </cell>
        </row>
        <row r="178">
          <cell r="B178" t="str">
            <v>LTM</v>
          </cell>
          <cell r="C178">
            <v>0.24755859375</v>
          </cell>
          <cell r="D178">
            <v>0.3640120041067873</v>
          </cell>
          <cell r="E178">
            <v>0.35554192542615454</v>
          </cell>
          <cell r="F178">
            <v>0.29999284538885312</v>
          </cell>
          <cell r="G178">
            <v>0.2559197911040863</v>
          </cell>
          <cell r="H178">
            <v>0.15946225344343146</v>
          </cell>
          <cell r="I178">
            <v>0.16512055876658455</v>
          </cell>
          <cell r="J178">
            <v>0.26394399599798529</v>
          </cell>
          <cell r="K178">
            <v>0.27514697563885587</v>
          </cell>
          <cell r="M178">
            <v>0.61343347301981055</v>
          </cell>
          <cell r="N178">
            <v>0.21197834263964316</v>
          </cell>
          <cell r="O178">
            <v>0.25461418741350766</v>
          </cell>
          <cell r="P178">
            <v>0.40996822786229586</v>
          </cell>
          <cell r="Q178">
            <v>0.27883102905869689</v>
          </cell>
          <cell r="R178">
            <v>0.25861572787938431</v>
          </cell>
          <cell r="S178">
            <v>0.23343201089580387</v>
          </cell>
          <cell r="T178">
            <v>0.32298185696702031</v>
          </cell>
          <cell r="U178">
            <v>0.30073195088102744</v>
          </cell>
        </row>
        <row r="179">
          <cell r="B179" t="str">
            <v>FY(1)</v>
          </cell>
          <cell r="C179">
            <v>1980.6181424947576</v>
          </cell>
          <cell r="D179">
            <v>1984.4633176922603</v>
          </cell>
          <cell r="E179">
            <v>2202.7236417983245</v>
          </cell>
          <cell r="F179">
            <v>1246.211643382778</v>
          </cell>
          <cell r="G179">
            <v>173.8130453674847</v>
          </cell>
          <cell r="H179">
            <v>482.08061137554455</v>
          </cell>
          <cell r="I179">
            <v>1671.8902989417663</v>
          </cell>
          <cell r="J179">
            <v>1391.6858144361308</v>
          </cell>
          <cell r="K179">
            <v>9741.8007010529163</v>
          </cell>
          <cell r="M179">
            <v>789.86515194133233</v>
          </cell>
          <cell r="N179">
            <v>215.33854842049243</v>
          </cell>
          <cell r="O179">
            <v>627.84877745647373</v>
          </cell>
          <cell r="P179">
            <v>1211.6714117526039</v>
          </cell>
          <cell r="Q179">
            <v>1644.5986291646034</v>
          </cell>
          <cell r="R179">
            <v>1068.359336648728</v>
          </cell>
          <cell r="S179">
            <v>255.22575446775724</v>
          </cell>
          <cell r="T179">
            <v>830.4153728359986</v>
          </cell>
          <cell r="U179">
            <v>5812.9076098519899</v>
          </cell>
        </row>
        <row r="180">
          <cell r="B180" t="str">
            <v>Expense Ratio Y/Y bps</v>
          </cell>
          <cell r="C180">
            <v>1705.1856268015219</v>
          </cell>
          <cell r="D180">
            <v>1232.8094973777047</v>
          </cell>
          <cell r="E180">
            <v>1553.8230857746548</v>
          </cell>
          <cell r="F180">
            <v>802.61653937056747</v>
          </cell>
          <cell r="G180">
            <v>-82.354512381842142</v>
          </cell>
          <cell r="H180">
            <v>551.23890722468843</v>
          </cell>
          <cell r="I180">
            <v>1684.3207963303021</v>
          </cell>
          <cell r="J180">
            <v>1063.9485629282283</v>
          </cell>
          <cell r="K180">
            <v>7447.6399404975982</v>
          </cell>
          <cell r="M180">
            <v>536.74816545626607</v>
          </cell>
          <cell r="N180">
            <v>272.88205450139014</v>
          </cell>
          <cell r="O180">
            <v>354.55073316454383</v>
          </cell>
          <cell r="P180">
            <v>1042.1427565666907</v>
          </cell>
          <cell r="Q180">
            <v>1921.1686440084529</v>
          </cell>
          <cell r="R180">
            <v>834.83801786001254</v>
          </cell>
          <cell r="S180">
            <v>323.59547798093331</v>
          </cell>
          <cell r="T180">
            <v>755.13226421975571</v>
          </cell>
          <cell r="U180">
            <v>5285.9258495382901</v>
          </cell>
        </row>
        <row r="181">
          <cell r="B181" t="str">
            <v>FY(1)</v>
          </cell>
          <cell r="C181">
            <v>157.51646442021732</v>
          </cell>
          <cell r="D181">
            <v>205.22599143587615</v>
          </cell>
          <cell r="E181">
            <v>147.01424492728543</v>
          </cell>
          <cell r="F181">
            <v>207.07126584412094</v>
          </cell>
          <cell r="G181">
            <v>39.115990718999186</v>
          </cell>
          <cell r="H181">
            <v>35.070234436621604</v>
          </cell>
          <cell r="I181">
            <v>-0.18946280574666519</v>
          </cell>
          <cell r="J181">
            <v>112.9749612824818</v>
          </cell>
          <cell r="K181">
            <v>97.740067254913356</v>
          </cell>
          <cell r="M181">
            <v>629.97763165476783</v>
          </cell>
          <cell r="N181">
            <v>-31.619890153258833</v>
          </cell>
          <cell r="O181">
            <v>115.26462868643839</v>
          </cell>
          <cell r="P181">
            <v>-80.75685903738416</v>
          </cell>
          <cell r="Q181">
            <v>-72.302435491419232</v>
          </cell>
          <cell r="R181">
            <v>-48.996741320501137</v>
          </cell>
          <cell r="S181">
            <v>-76.662439658733987</v>
          </cell>
          <cell r="T181">
            <v>62.129127811416666</v>
          </cell>
          <cell r="U181">
            <v>25.72822792170637</v>
          </cell>
        </row>
        <row r="182">
          <cell r="B182" t="str">
            <v>FY0</v>
          </cell>
          <cell r="C182">
            <v>10.8894668314502</v>
          </cell>
          <cell r="D182">
            <v>415.04612196544497</v>
          </cell>
          <cell r="E182">
            <v>34.36604400840038</v>
          </cell>
          <cell r="F182">
            <v>104.79368960363666</v>
          </cell>
          <cell r="G182">
            <v>12.591126908975125</v>
          </cell>
          <cell r="H182">
            <v>-27.351287069820039</v>
          </cell>
          <cell r="I182">
            <v>-13.280416780843129</v>
          </cell>
          <cell r="J182">
            <v>76.722106495320517</v>
          </cell>
          <cell r="K182">
            <v>52.249812242551322</v>
          </cell>
          <cell r="M182">
            <v>680.25908917457525</v>
          </cell>
          <cell r="N182">
            <v>-73.963587220474139</v>
          </cell>
          <cell r="O182">
            <v>72.854021407418585</v>
          </cell>
          <cell r="P182">
            <v>232.99399044565573</v>
          </cell>
          <cell r="Q182">
            <v>72.06354795234904</v>
          </cell>
          <cell r="R182">
            <v>-21.577612081865038</v>
          </cell>
          <cell r="S182">
            <v>50.717640703148156</v>
          </cell>
          <cell r="T182">
            <v>144.76387005440017</v>
          </cell>
          <cell r="U182">
            <v>65.737843676863534</v>
          </cell>
        </row>
        <row r="183">
          <cell r="B183" t="str">
            <v>FY1</v>
          </cell>
          <cell r="C183">
            <v>-36.929309988318337</v>
          </cell>
          <cell r="D183">
            <v>-46.947104115782068</v>
          </cell>
          <cell r="E183">
            <v>-71.801346222006842</v>
          </cell>
          <cell r="F183">
            <v>-84.780252358827028</v>
          </cell>
          <cell r="G183">
            <v>15.059933046970841</v>
          </cell>
          <cell r="H183">
            <v>-21.986742240549805</v>
          </cell>
          <cell r="I183">
            <v>-30.709025131742674</v>
          </cell>
          <cell r="J183">
            <v>-39.727692430036043</v>
          </cell>
          <cell r="K183">
            <v>-64.600973025868981</v>
          </cell>
          <cell r="M183">
            <v>-293.37951956462274</v>
          </cell>
          <cell r="N183">
            <v>-3.5460075775106681</v>
          </cell>
          <cell r="O183">
            <v>-90.971934975989655</v>
          </cell>
          <cell r="P183">
            <v>-3.4824604536265458</v>
          </cell>
          <cell r="Q183">
            <v>78.612996783387075</v>
          </cell>
          <cell r="R183">
            <v>-66.719299474100879</v>
          </cell>
          <cell r="S183">
            <v>-69.496804065655454</v>
          </cell>
          <cell r="T183">
            <v>-64.14043276116</v>
          </cell>
          <cell r="U183">
            <v>-13.760914214422382</v>
          </cell>
        </row>
        <row r="184">
          <cell r="B184" t="str">
            <v>FY2</v>
          </cell>
          <cell r="C184">
            <v>-20.0000000000089</v>
          </cell>
          <cell r="D184">
            <v>-6.7823720747134386</v>
          </cell>
          <cell r="E184">
            <v>-10.00000000000556</v>
          </cell>
          <cell r="F184">
            <v>-38.234166845998452</v>
          </cell>
          <cell r="G184">
            <v>-29.780821351923503</v>
          </cell>
          <cell r="H184">
            <v>2.2204460492503131E-12</v>
          </cell>
          <cell r="I184">
            <v>-5.0000000000038902</v>
          </cell>
          <cell r="J184">
            <v>-15.685337181807757</v>
          </cell>
          <cell r="K184">
            <v>-28.126936911805899</v>
          </cell>
          <cell r="M184">
            <v>-89.883098073574303</v>
          </cell>
          <cell r="N184">
            <v>84.506496570698474</v>
          </cell>
          <cell r="O184">
            <v>-49.906069416301989</v>
          </cell>
          <cell r="P184">
            <v>-20.000000000006679</v>
          </cell>
          <cell r="Q184">
            <v>-9.9999999999877964</v>
          </cell>
          <cell r="R184">
            <v>-19.059888315522134</v>
          </cell>
          <cell r="S184">
            <v>-51.000000000001876</v>
          </cell>
          <cell r="T184">
            <v>-22.191794176384395</v>
          </cell>
          <cell r="U184">
            <v>-15.746482346943314</v>
          </cell>
        </row>
        <row r="185">
          <cell r="B185" t="str">
            <v>FQ(1)</v>
          </cell>
          <cell r="C185">
            <v>399</v>
          </cell>
          <cell r="D185">
            <v>67.000000000000114</v>
          </cell>
          <cell r="E185">
            <v>282.00000000000017</v>
          </cell>
          <cell r="F185">
            <v>205.99999999999991</v>
          </cell>
          <cell r="G185">
            <v>-67.604999999999734</v>
          </cell>
          <cell r="H185">
            <v>171.34199999999998</v>
          </cell>
          <cell r="I185">
            <v>422.35000000000019</v>
          </cell>
          <cell r="J185">
            <v>211.44100000000009</v>
          </cell>
          <cell r="K185">
            <v>1480.0870000000007</v>
          </cell>
          <cell r="M185">
            <v>2.8660000000000005</v>
          </cell>
          <cell r="N185">
            <v>65.00999999999992</v>
          </cell>
          <cell r="O185">
            <v>46.316999999999979</v>
          </cell>
          <cell r="P185">
            <v>198.7420000000003</v>
          </cell>
          <cell r="Q185">
            <v>375.00000000000028</v>
          </cell>
          <cell r="R185">
            <v>148.643</v>
          </cell>
          <cell r="S185">
            <v>78.440999999999988</v>
          </cell>
          <cell r="T185">
            <v>130.71700000000007</v>
          </cell>
          <cell r="U185">
            <v>915.01900000000046</v>
          </cell>
        </row>
        <row r="186">
          <cell r="B186" t="str">
            <v>Operating Income</v>
          </cell>
          <cell r="C186">
            <v>338.99999999999983</v>
          </cell>
          <cell r="D186">
            <v>107.0000000000002</v>
          </cell>
          <cell r="E186">
            <v>88.000000000000256</v>
          </cell>
          <cell r="F186">
            <v>171.99999999999989</v>
          </cell>
          <cell r="G186">
            <v>15.793999999999976</v>
          </cell>
          <cell r="H186">
            <v>172.77600000000004</v>
          </cell>
          <cell r="I186">
            <v>578.6699999999995</v>
          </cell>
          <cell r="J186">
            <v>210.4628571428571</v>
          </cell>
          <cell r="K186">
            <v>1473.2399999999998</v>
          </cell>
          <cell r="M186">
            <v>40.445999999999977</v>
          </cell>
          <cell r="N186">
            <v>105.68100000000014</v>
          </cell>
          <cell r="O186">
            <v>70.301999999999992</v>
          </cell>
          <cell r="P186">
            <v>1042.1427565666907</v>
          </cell>
          <cell r="Q186">
            <v>499.99999999999989</v>
          </cell>
          <cell r="R186">
            <v>58.885000000000019</v>
          </cell>
          <cell r="S186">
            <v>95.76100000000018</v>
          </cell>
          <cell r="T186">
            <v>273.31682236667012</v>
          </cell>
          <cell r="U186">
            <v>1913.2177565666907</v>
          </cell>
        </row>
        <row r="187">
          <cell r="B187" t="str">
            <v>FY(10)</v>
          </cell>
          <cell r="C187">
            <v>485.50638863045646</v>
          </cell>
          <cell r="D187">
            <v>454.83386963538283</v>
          </cell>
          <cell r="E187">
            <v>1723.0596260973161</v>
          </cell>
          <cell r="F187">
            <v>738.45824411134856</v>
          </cell>
          <cell r="G187">
            <v>66.281727613653899</v>
          </cell>
          <cell r="H187">
            <v>287.05417646869847</v>
          </cell>
          <cell r="I187">
            <v>975.25368491205768</v>
          </cell>
          <cell r="J187">
            <v>867.71846902713219</v>
          </cell>
          <cell r="K187">
            <v>3470.8738761085287</v>
          </cell>
          <cell r="M187">
            <v>253.55646844534496</v>
          </cell>
          <cell r="N187">
            <v>394.35079233689953</v>
          </cell>
          <cell r="O187">
            <v>175.22153552145889</v>
          </cell>
          <cell r="P187">
            <v>26.474000000000014</v>
          </cell>
          <cell r="Q187">
            <v>1956.3945388687653</v>
          </cell>
          <cell r="R187">
            <v>1144.2814089708986</v>
          </cell>
          <cell r="S187">
            <v>39.337540426959102</v>
          </cell>
          <cell r="T187">
            <v>327.77419067293232</v>
          </cell>
          <cell r="U187">
            <v>1638.8709533646615</v>
          </cell>
        </row>
        <row r="188">
          <cell r="B188" t="str">
            <v>FY(9)</v>
          </cell>
          <cell r="C188">
            <v>693.91973802158805</v>
          </cell>
          <cell r="D188">
            <v>756.13092473995562</v>
          </cell>
          <cell r="E188">
            <v>1827.1086449770082</v>
          </cell>
          <cell r="F188">
            <v>266.29261150659278</v>
          </cell>
          <cell r="H188">
            <v>291.78555250618194</v>
          </cell>
          <cell r="I188">
            <v>1008.5619151459657</v>
          </cell>
          <cell r="J188">
            <v>807.29989781621543</v>
          </cell>
          <cell r="K188">
            <v>4843.7993868972926</v>
          </cell>
          <cell r="M188">
            <v>268.56767956932532</v>
          </cell>
          <cell r="O188">
            <v>166.83186574975571</v>
          </cell>
          <cell r="P188">
            <v>59.872573637159007</v>
          </cell>
          <cell r="R188">
            <v>1122.5496622628291</v>
          </cell>
          <cell r="S188">
            <v>24.391951260244909</v>
          </cell>
          <cell r="T188">
            <v>328.44274649586282</v>
          </cell>
          <cell r="U188">
            <v>1642.2137324793141</v>
          </cell>
        </row>
        <row r="189">
          <cell r="B189" t="str">
            <v>FY(8)</v>
          </cell>
          <cell r="C189">
            <v>912.830461606629</v>
          </cell>
          <cell r="D189">
            <v>799.96102171577115</v>
          </cell>
          <cell r="E189">
            <v>1432.933359721186</v>
          </cell>
          <cell r="F189">
            <v>290.62577110649232</v>
          </cell>
          <cell r="H189">
            <v>301.69612923432788</v>
          </cell>
          <cell r="I189">
            <v>1043.2810810232318</v>
          </cell>
          <cell r="J189">
            <v>796.88797073460637</v>
          </cell>
          <cell r="K189">
            <v>4781.3278244076382</v>
          </cell>
          <cell r="M189">
            <v>289.74730211917876</v>
          </cell>
          <cell r="O189">
            <v>159.35718223413812</v>
          </cell>
          <cell r="P189">
            <v>113.7959941939974</v>
          </cell>
          <cell r="Q189">
            <v>600.1907159357828</v>
          </cell>
          <cell r="R189">
            <v>966.11037711634867</v>
          </cell>
          <cell r="S189">
            <v>36.60963094345874</v>
          </cell>
          <cell r="T189">
            <v>360.96853375715074</v>
          </cell>
          <cell r="U189">
            <v>2165.8112025429045</v>
          </cell>
        </row>
        <row r="190">
          <cell r="B190" t="str">
            <v>FY(7)</v>
          </cell>
          <cell r="C190">
            <v>1156.5458318605124</v>
          </cell>
          <cell r="D190">
            <v>952.02102914901707</v>
          </cell>
          <cell r="E190">
            <v>1479.0339278923957</v>
          </cell>
          <cell r="F190">
            <v>365.97286870857812</v>
          </cell>
          <cell r="G190" t="str">
            <v>NA</v>
          </cell>
          <cell r="H190">
            <v>374.54772447620013</v>
          </cell>
          <cell r="I190">
            <v>1146.9885114400181</v>
          </cell>
          <cell r="J190">
            <v>912.51831558778701</v>
          </cell>
          <cell r="K190">
            <v>5475.1098935267219</v>
          </cell>
          <cell r="M190">
            <v>347.89566377000904</v>
          </cell>
          <cell r="N190" t="str">
            <v>NA</v>
          </cell>
          <cell r="O190">
            <v>169.11954156440302</v>
          </cell>
          <cell r="P190">
            <v>132.64145750097384</v>
          </cell>
          <cell r="Q190">
            <v>1262.4916241331193</v>
          </cell>
          <cell r="R190">
            <v>1071.3813754740067</v>
          </cell>
          <cell r="S190">
            <v>58.974819103510981</v>
          </cell>
          <cell r="T190">
            <v>507.08408025767045</v>
          </cell>
          <cell r="U190">
            <v>3042.5044815460228</v>
          </cell>
        </row>
        <row r="191">
          <cell r="B191" t="str">
            <v>FY(6)</v>
          </cell>
          <cell r="C191">
            <v>1110.9592223864277</v>
          </cell>
          <cell r="D191">
            <v>887.96830557822909</v>
          </cell>
          <cell r="E191">
            <v>1475.978670652361</v>
          </cell>
          <cell r="F191">
            <v>532.23532413226133</v>
          </cell>
          <cell r="G191" t="str">
            <v>NA</v>
          </cell>
          <cell r="H191">
            <v>421.06482424252988</v>
          </cell>
          <cell r="I191">
            <v>1219.1001386003595</v>
          </cell>
          <cell r="J191">
            <v>941.21774759869459</v>
          </cell>
          <cell r="K191">
            <v>5647.3064855921675</v>
          </cell>
          <cell r="M191">
            <v>369.2668365757271</v>
          </cell>
          <cell r="N191">
            <v>97.254885945739034</v>
          </cell>
          <cell r="O191">
            <v>158.77767171943319</v>
          </cell>
          <cell r="P191">
            <v>223.20367713801565</v>
          </cell>
          <cell r="Q191">
            <v>2114.0535915546652</v>
          </cell>
          <cell r="R191">
            <v>1185.4625330413942</v>
          </cell>
          <cell r="S191">
            <v>94.58352886198692</v>
          </cell>
          <cell r="T191">
            <v>606.08610354813743</v>
          </cell>
          <cell r="U191">
            <v>4242.6027248369619</v>
          </cell>
        </row>
        <row r="192">
          <cell r="B192" t="str">
            <v>FY(5)</v>
          </cell>
          <cell r="C192">
            <v>1327.2810663472981</v>
          </cell>
          <cell r="D192">
            <v>1363.3222942359873</v>
          </cell>
          <cell r="E192">
            <v>1534.031924074967</v>
          </cell>
          <cell r="F192">
            <v>779.85642988208429</v>
          </cell>
          <cell r="G192">
            <v>56.136268401386211</v>
          </cell>
          <cell r="H192">
            <v>336.38059571826591</v>
          </cell>
          <cell r="I192">
            <v>1301.661646187174</v>
          </cell>
          <cell r="J192">
            <v>956.95288926388037</v>
          </cell>
          <cell r="K192">
            <v>6698.6702248471629</v>
          </cell>
          <cell r="M192">
            <v>429.36043175478039</v>
          </cell>
          <cell r="N192">
            <v>151.96385778846152</v>
          </cell>
          <cell r="O192">
            <v>404.77580086465468</v>
          </cell>
          <cell r="P192">
            <v>397.9131168529151</v>
          </cell>
          <cell r="Q192">
            <v>2280.1902642154814</v>
          </cell>
          <cell r="R192">
            <v>1230.245379450329</v>
          </cell>
          <cell r="S192">
            <v>165.51726670602028</v>
          </cell>
          <cell r="T192">
            <v>722.85230251894893</v>
          </cell>
          <cell r="U192">
            <v>5059.9661176326426</v>
          </cell>
        </row>
        <row r="193">
          <cell r="B193" t="str">
            <v>FY(4)</v>
          </cell>
          <cell r="C193">
            <v>1565.4378204279326</v>
          </cell>
          <cell r="D193">
            <v>1738.7575625986995</v>
          </cell>
          <cell r="E193">
            <v>2215.3327716330614</v>
          </cell>
          <cell r="F193">
            <v>960.91185864544013</v>
          </cell>
          <cell r="G193">
            <v>-26.280904432310574</v>
          </cell>
          <cell r="H193">
            <v>369.61270424936185</v>
          </cell>
          <cell r="I193">
            <v>1321.0695433166463</v>
          </cell>
          <cell r="J193">
            <v>1163.5487652055474</v>
          </cell>
          <cell r="K193">
            <v>8144.8413564388311</v>
          </cell>
          <cell r="M193">
            <v>645.09067297176182</v>
          </cell>
          <cell r="N193">
            <v>148.87318131466253</v>
          </cell>
          <cell r="O193">
            <v>500.32993354617793</v>
          </cell>
          <cell r="P193">
            <v>574.46943808753178</v>
          </cell>
          <cell r="Q193">
            <v>1878.3884391216775</v>
          </cell>
          <cell r="R193">
            <v>1072.0481055115672</v>
          </cell>
          <cell r="S193">
            <v>219.24526081544155</v>
          </cell>
          <cell r="T193">
            <v>719.77786162411724</v>
          </cell>
          <cell r="U193">
            <v>5038.4450313688203</v>
          </cell>
        </row>
        <row r="194">
          <cell r="B194" t="str">
            <v>FY(3)</v>
          </cell>
          <cell r="C194">
            <v>1986.8854496897454</v>
          </cell>
          <cell r="D194">
            <v>2015.8491990278244</v>
          </cell>
          <cell r="E194">
            <v>2395.6367130314761</v>
          </cell>
          <cell r="F194">
            <v>1180.6253732754576</v>
          </cell>
          <cell r="G194">
            <v>105.98450218643146</v>
          </cell>
          <cell r="H194">
            <v>428.50716111120238</v>
          </cell>
          <cell r="I194">
            <v>1532.0897485636781</v>
          </cell>
          <cell r="J194">
            <v>1377.9397352694025</v>
          </cell>
          <cell r="K194">
            <v>9645.5781468858168</v>
          </cell>
          <cell r="M194">
            <v>751.22542850829609</v>
          </cell>
          <cell r="N194">
            <v>174.35257387578639</v>
          </cell>
          <cell r="O194">
            <v>624.34594845746699</v>
          </cell>
          <cell r="P194">
            <v>746.30143442651263</v>
          </cell>
          <cell r="Q194">
            <v>1451.1546513463388</v>
          </cell>
          <cell r="R194">
            <v>1270.23310915313</v>
          </cell>
          <cell r="S194">
            <v>182.36046176901246</v>
          </cell>
          <cell r="T194">
            <v>742.85337250522048</v>
          </cell>
          <cell r="U194">
            <v>5199.9736075365436</v>
          </cell>
        </row>
        <row r="195">
          <cell r="B195" t="str">
            <v>FY(2)</v>
          </cell>
          <cell r="C195">
            <v>1980.6181424947576</v>
          </cell>
          <cell r="D195">
            <v>1984.4633176922603</v>
          </cell>
          <cell r="E195">
            <v>2202.7236417983245</v>
          </cell>
          <cell r="F195">
            <v>1246.211643382778</v>
          </cell>
          <cell r="G195">
            <v>173.8130453674847</v>
          </cell>
          <cell r="H195">
            <v>482.08061137554455</v>
          </cell>
          <cell r="I195">
            <v>1671.8902989417663</v>
          </cell>
          <cell r="J195">
            <v>1391.6858144361308</v>
          </cell>
          <cell r="K195">
            <v>9741.8007010529163</v>
          </cell>
          <cell r="M195">
            <v>828.27815194133564</v>
          </cell>
          <cell r="N195">
            <v>215.33854842049243</v>
          </cell>
          <cell r="O195">
            <v>627.84877745647373</v>
          </cell>
          <cell r="P195">
            <v>1024.8933082993212</v>
          </cell>
          <cell r="Q195">
            <v>1644.5986291646034</v>
          </cell>
          <cell r="R195">
            <v>1068.359336648728</v>
          </cell>
          <cell r="S195">
            <v>255.22575446775724</v>
          </cell>
          <cell r="T195">
            <v>809.22035805695862</v>
          </cell>
          <cell r="U195">
            <v>5664.5425063987104</v>
          </cell>
        </row>
        <row r="196">
          <cell r="B196" t="str">
            <v>FY(1)</v>
          </cell>
          <cell r="C196">
            <v>1705.1856268015219</v>
          </cell>
          <cell r="D196">
            <v>1232.8094973777047</v>
          </cell>
          <cell r="E196">
            <v>1553.8230857746548</v>
          </cell>
          <cell r="F196">
            <v>798.68184271838584</v>
          </cell>
          <cell r="G196">
            <v>-78.277512381842001</v>
          </cell>
          <cell r="H196">
            <v>551.23890722468843</v>
          </cell>
          <cell r="I196">
            <v>1685.8577701460415</v>
          </cell>
          <cell r="J196">
            <v>1064.1884596658795</v>
          </cell>
          <cell r="K196">
            <v>7449.3192176611565</v>
          </cell>
          <cell r="M196">
            <v>565.02656921650953</v>
          </cell>
          <cell r="N196">
            <v>269.98135982676371</v>
          </cell>
          <cell r="O196">
            <v>354.04039646842591</v>
          </cell>
          <cell r="P196">
            <v>1211.6714117526039</v>
          </cell>
          <cell r="Q196">
            <v>1921.1686440084529</v>
          </cell>
          <cell r="R196">
            <v>834.83801786001254</v>
          </cell>
          <cell r="S196">
            <v>313.79271877126615</v>
          </cell>
          <cell r="T196">
            <v>781.50273112914783</v>
          </cell>
          <cell r="U196">
            <v>5470.5191179040348</v>
          </cell>
        </row>
        <row r="197">
          <cell r="B197" t="str">
            <v>FY0</v>
          </cell>
          <cell r="C197">
            <v>1917.1194702536768</v>
          </cell>
          <cell r="D197">
            <v>781.47518758588342</v>
          </cell>
          <cell r="E197">
            <v>1586.9995350025417</v>
          </cell>
          <cell r="F197">
            <v>853.57339587430897</v>
          </cell>
          <cell r="G197">
            <v>17.50706678990792</v>
          </cell>
          <cell r="H197">
            <v>781.03306781757033</v>
          </cell>
          <cell r="I197">
            <v>2201.0009309468269</v>
          </cell>
          <cell r="J197">
            <v>1162.6726648958168</v>
          </cell>
          <cell r="K197">
            <v>8138.7086542707166</v>
          </cell>
          <cell r="M197">
            <v>237.83213091594212</v>
          </cell>
          <cell r="N197">
            <v>403.73291383466682</v>
          </cell>
          <cell r="O197">
            <v>325.08544655232197</v>
          </cell>
          <cell r="P197">
            <v>1042.1427565666907</v>
          </cell>
          <cell r="Q197">
            <v>2237.9224510405411</v>
          </cell>
          <cell r="R197">
            <v>1023.0921257582751</v>
          </cell>
          <cell r="S197">
            <v>351.1769179604114</v>
          </cell>
          <cell r="T197">
            <v>802.99782037554985</v>
          </cell>
          <cell r="U197">
            <v>5620.9847426288488</v>
          </cell>
        </row>
        <row r="198">
          <cell r="B198" t="str">
            <v>FY1</v>
          </cell>
          <cell r="C198">
            <v>2251.8113812011547</v>
          </cell>
          <cell r="D198">
            <v>950.1012154893956</v>
          </cell>
          <cell r="E198">
            <v>1883.6398911998326</v>
          </cell>
          <cell r="F198">
            <v>1089.9505033320954</v>
          </cell>
          <cell r="G198">
            <v>73.509240114675933</v>
          </cell>
          <cell r="H198">
            <v>906.45911066223948</v>
          </cell>
          <cell r="I198">
            <v>2509.6654245613058</v>
          </cell>
          <cell r="J198">
            <v>1380.7338237943857</v>
          </cell>
          <cell r="K198">
            <v>9665.1367665606995</v>
          </cell>
          <cell r="M198">
            <v>349.32531972063566</v>
          </cell>
          <cell r="N198">
            <v>436.51131068441123</v>
          </cell>
          <cell r="O198">
            <v>451.53609929285483</v>
          </cell>
          <cell r="P198">
            <v>1133.0035071318157</v>
          </cell>
          <cell r="Q198">
            <v>2229.3598641723124</v>
          </cell>
          <cell r="R198">
            <v>1190.1195104238896</v>
          </cell>
          <cell r="S198">
            <v>442.80259153562491</v>
          </cell>
          <cell r="T198">
            <v>890.37974328022062</v>
          </cell>
          <cell r="U198">
            <v>6232.6582029615447</v>
          </cell>
        </row>
        <row r="199">
          <cell r="B199" t="str">
            <v>FY2</v>
          </cell>
          <cell r="C199">
            <v>2531.3005039312252</v>
          </cell>
          <cell r="D199">
            <v>1018.6683833273149</v>
          </cell>
          <cell r="E199">
            <v>1947.6346240361752</v>
          </cell>
          <cell r="F199">
            <v>1181.9016384231893</v>
          </cell>
          <cell r="G199">
            <v>122.76616566210181</v>
          </cell>
          <cell r="H199">
            <v>980.82856053693729</v>
          </cell>
          <cell r="I199">
            <v>2623.3346912949105</v>
          </cell>
          <cell r="J199">
            <v>1486.6335096016935</v>
          </cell>
          <cell r="K199">
            <v>10406.434567211854</v>
          </cell>
          <cell r="M199">
            <v>443.37392089506665</v>
          </cell>
          <cell r="N199">
            <v>431.7260319132667</v>
          </cell>
          <cell r="O199">
            <v>538.59539119682017</v>
          </cell>
          <cell r="P199">
            <v>1211.6901871378634</v>
          </cell>
          <cell r="Q199">
            <v>2165.2817026002863</v>
          </cell>
          <cell r="R199">
            <v>1262.8606520739111</v>
          </cell>
          <cell r="S199">
            <v>521.64599501463044</v>
          </cell>
          <cell r="T199">
            <v>939.31055440454918</v>
          </cell>
          <cell r="U199">
            <v>6575.1738808318441</v>
          </cell>
        </row>
        <row r="200">
          <cell r="B200" t="str">
            <v>FQ(3)</v>
          </cell>
          <cell r="C200">
            <v>250.99999999999989</v>
          </cell>
          <cell r="D200">
            <v>106.00000000000014</v>
          </cell>
          <cell r="E200">
            <v>23.999999999999979</v>
          </cell>
          <cell r="F200">
            <v>146.00000000000006</v>
          </cell>
          <cell r="G200">
            <v>2.3769999999999976</v>
          </cell>
          <cell r="H200">
            <v>150.86000000000007</v>
          </cell>
          <cell r="I200">
            <v>345.8210000000002</v>
          </cell>
          <cell r="J200">
            <v>146.57971428571432</v>
          </cell>
          <cell r="K200">
            <v>1026.0580000000002</v>
          </cell>
          <cell r="M200">
            <v>-33.879000000000005</v>
          </cell>
          <cell r="N200">
            <v>56.14400000000019</v>
          </cell>
          <cell r="O200">
            <v>27.352999999999973</v>
          </cell>
          <cell r="P200">
            <v>198.7420000000003</v>
          </cell>
          <cell r="Q200">
            <v>352.99999999999955</v>
          </cell>
          <cell r="R200">
            <v>65.212000000000018</v>
          </cell>
          <cell r="S200">
            <v>46.119999999999983</v>
          </cell>
          <cell r="T200">
            <v>101.81314285714286</v>
          </cell>
          <cell r="U200">
            <v>712.69200000000001</v>
          </cell>
        </row>
        <row r="201">
          <cell r="B201" t="str">
            <v>FQ(2)</v>
          </cell>
          <cell r="C201">
            <v>399</v>
          </cell>
          <cell r="D201">
            <v>67.000000000000114</v>
          </cell>
          <cell r="E201">
            <v>282.00000000000017</v>
          </cell>
          <cell r="F201">
            <v>205.99999999999991</v>
          </cell>
          <cell r="G201">
            <v>-67.604999999999734</v>
          </cell>
          <cell r="H201">
            <v>171.34199999999998</v>
          </cell>
          <cell r="I201">
            <v>422.35000000000019</v>
          </cell>
          <cell r="J201">
            <v>211.44100000000009</v>
          </cell>
          <cell r="K201">
            <v>1480.0870000000007</v>
          </cell>
          <cell r="M201">
            <v>8.8859999999999726</v>
          </cell>
          <cell r="N201">
            <v>65.00999999999992</v>
          </cell>
          <cell r="O201">
            <v>46.316999999999979</v>
          </cell>
          <cell r="P201">
            <v>219.68699999999981</v>
          </cell>
          <cell r="Q201">
            <v>375.00000000000028</v>
          </cell>
          <cell r="R201">
            <v>148.643</v>
          </cell>
          <cell r="S201">
            <v>78.440999999999988</v>
          </cell>
          <cell r="T201">
            <v>134.56914285714285</v>
          </cell>
          <cell r="U201">
            <v>941.98400000000004</v>
          </cell>
        </row>
        <row r="202">
          <cell r="B202" t="str">
            <v>FQ(1)</v>
          </cell>
          <cell r="C202">
            <v>338.99999999999983</v>
          </cell>
          <cell r="D202">
            <v>106.99999999999997</v>
          </cell>
          <cell r="E202">
            <v>88.000000000000256</v>
          </cell>
          <cell r="F202">
            <v>171.99999999999989</v>
          </cell>
          <cell r="G202">
            <v>15.793999999999976</v>
          </cell>
          <cell r="H202">
            <v>172.77600000000004</v>
          </cell>
          <cell r="I202">
            <v>578.6699999999995</v>
          </cell>
          <cell r="J202">
            <v>210.46285714285705</v>
          </cell>
          <cell r="K202">
            <v>1473.2399999999993</v>
          </cell>
          <cell r="M202">
            <v>45.396999999999963</v>
          </cell>
          <cell r="N202">
            <v>105.68100000000014</v>
          </cell>
          <cell r="O202">
            <v>70.301999999999992</v>
          </cell>
          <cell r="P202">
            <v>223.24699999999987</v>
          </cell>
          <cell r="Q202">
            <v>499.99999999999989</v>
          </cell>
          <cell r="R202">
            <v>58.885000000000019</v>
          </cell>
          <cell r="S202">
            <v>95.76100000000018</v>
          </cell>
          <cell r="T202">
            <v>157.03899999999999</v>
          </cell>
          <cell r="U202">
            <v>1099.2729999999999</v>
          </cell>
        </row>
        <row r="203">
          <cell r="B203" t="str">
            <v>Last Reported Q</v>
          </cell>
          <cell r="C203">
            <v>1917.1194702536768</v>
          </cell>
          <cell r="D203">
            <v>781.47518758588342</v>
          </cell>
          <cell r="E203">
            <v>1586.9995350025417</v>
          </cell>
          <cell r="F203">
            <v>853.57339587430897</v>
          </cell>
          <cell r="G203">
            <v>17.50706678990792</v>
          </cell>
          <cell r="H203">
            <v>781.03306781757033</v>
          </cell>
          <cell r="I203">
            <v>2201.0009309468269</v>
          </cell>
          <cell r="J203">
            <v>1162.6726648958168</v>
          </cell>
          <cell r="K203">
            <v>8138.7086542707166</v>
          </cell>
          <cell r="M203">
            <v>237.83213091594212</v>
          </cell>
          <cell r="N203">
            <v>403.73291383466682</v>
          </cell>
          <cell r="O203">
            <v>325.08544655232197</v>
          </cell>
          <cell r="P203">
            <v>380.83699999999959</v>
          </cell>
          <cell r="Q203">
            <v>2237.9224510405411</v>
          </cell>
          <cell r="R203">
            <v>1023.0921257582751</v>
          </cell>
          <cell r="S203">
            <v>351.1769179604114</v>
          </cell>
          <cell r="T203">
            <v>708.52556943745117</v>
          </cell>
          <cell r="U203">
            <v>4959.6789860621584</v>
          </cell>
        </row>
        <row r="204">
          <cell r="B204" t="str">
            <v>LTM</v>
          </cell>
          <cell r="C204">
            <v>3643.2917986624552</v>
          </cell>
          <cell r="D204">
            <v>2040.2485263565161</v>
          </cell>
          <cell r="E204">
            <v>5284.3343101031896</v>
          </cell>
          <cell r="F204">
            <v>1706.526191413946</v>
          </cell>
          <cell r="G204">
            <v>160.88197181609078</v>
          </cell>
          <cell r="H204">
            <v>1446.3537456975037</v>
          </cell>
          <cell r="I204">
            <v>3755.293062116757</v>
          </cell>
          <cell r="J204">
            <v>2576.7042294523512</v>
          </cell>
          <cell r="K204">
            <v>18036.929606166457</v>
          </cell>
          <cell r="M204">
            <v>676.34837726324224</v>
          </cell>
          <cell r="N204">
            <v>726.79863290245214</v>
          </cell>
          <cell r="O204">
            <v>579.50627913168728</v>
          </cell>
          <cell r="P204">
            <v>1195.8315056032586</v>
          </cell>
          <cell r="Q204">
            <v>3324.8616619452255</v>
          </cell>
          <cell r="R204">
            <v>2730.3149800887913</v>
          </cell>
          <cell r="S204">
            <v>662.80864971036158</v>
          </cell>
          <cell r="T204">
            <v>1413.7814409492883</v>
          </cell>
          <cell r="U204">
            <v>9896.4700866450185</v>
          </cell>
        </row>
        <row r="205">
          <cell r="B205" t="str">
            <v>FQ(1)</v>
          </cell>
          <cell r="C205">
            <v>0.104834471886495</v>
          </cell>
          <cell r="D205">
            <v>1.6993645456715101E-2</v>
          </cell>
          <cell r="E205">
            <v>5.4608830364058898E-2</v>
          </cell>
          <cell r="F205">
            <v>9.6037296037295994E-2</v>
          </cell>
          <cell r="G205">
            <v>-0.120358699367629</v>
          </cell>
          <cell r="H205">
            <v>9.6878046132726006E-2</v>
          </cell>
          <cell r="I205">
            <v>8.8962087216757899E-2</v>
          </cell>
          <cell r="J205">
            <v>4.8279382532345698E-2</v>
          </cell>
          <cell r="K205">
            <v>6.6864824225143879E-2</v>
          </cell>
          <cell r="M205">
            <v>4.4197088790501804E-3</v>
          </cell>
          <cell r="N205">
            <v>0.14350359807513999</v>
          </cell>
          <cell r="O205">
            <v>7.0433822590161704E-2</v>
          </cell>
          <cell r="P205">
            <v>0.26859241099604197</v>
          </cell>
          <cell r="Q205">
            <v>0.115562403697997</v>
          </cell>
          <cell r="R205">
            <v>7.1926004422701903E-2</v>
          </cell>
          <cell r="S205">
            <v>0.17103478651450199</v>
          </cell>
          <cell r="T205">
            <v>0.12078181931079925</v>
          </cell>
          <cell r="U205">
            <v>0.11065320313208579</v>
          </cell>
        </row>
        <row r="206">
          <cell r="B206" t="str">
            <v>Operating Margin</v>
          </cell>
          <cell r="C206">
            <v>8.3683041224388993E-2</v>
          </cell>
          <cell r="D206">
            <v>2.5601796602830601E-2</v>
          </cell>
          <cell r="E206">
            <v>1.6676141747204901E-2</v>
          </cell>
          <cell r="F206">
            <v>9.2077087794432494E-2</v>
          </cell>
          <cell r="G206">
            <v>2.50129071288527E-2</v>
          </cell>
          <cell r="H206">
            <v>9.9060912002999796E-2</v>
          </cell>
          <cell r="I206">
            <v>0.110329067258271</v>
          </cell>
          <cell r="J206">
            <v>6.4634421965568636E-2</v>
          </cell>
          <cell r="K206">
            <v>6.4065296636237681E-2</v>
          </cell>
          <cell r="M206">
            <v>5.2842888890921202E-2</v>
          </cell>
          <cell r="N206">
            <v>0.18611117959699799</v>
          </cell>
          <cell r="O206">
            <v>9.3865910420021306E-2</v>
          </cell>
          <cell r="P206">
            <v>0.32259807451016098</v>
          </cell>
          <cell r="Q206">
            <v>0.139314572304263</v>
          </cell>
          <cell r="R206">
            <v>3.3131912386811499E-2</v>
          </cell>
          <cell r="S206">
            <v>0.18928839691638699</v>
          </cell>
          <cell r="T206">
            <v>0.145307562146509</v>
          </cell>
          <cell r="U206">
            <v>0.17105426560082906</v>
          </cell>
        </row>
        <row r="207">
          <cell r="B207" t="str">
            <v>FY(10)</v>
          </cell>
          <cell r="C207">
            <v>0.10654125948116</v>
          </cell>
          <cell r="D207">
            <v>4.1285515537297798E-2</v>
          </cell>
          <cell r="E207">
            <v>0.107496389425249</v>
          </cell>
          <cell r="F207">
            <v>7.5295932389064305E-2</v>
          </cell>
          <cell r="G207" t="str">
            <v>NA</v>
          </cell>
          <cell r="H207">
            <v>0.11628038475819399</v>
          </cell>
          <cell r="I207">
            <v>0.11088291171594</v>
          </cell>
          <cell r="J207">
            <v>9.2963732217817521E-2</v>
          </cell>
          <cell r="K207">
            <v>5.049133925846503E-2</v>
          </cell>
          <cell r="M207">
            <v>0.24596643615836999</v>
          </cell>
          <cell r="N207" t="str">
            <v>NA</v>
          </cell>
          <cell r="O207">
            <v>0.210576485056506</v>
          </cell>
          <cell r="P207">
            <v>5.21366494610866E-2</v>
          </cell>
          <cell r="Q207" t="str">
            <v>NA</v>
          </cell>
          <cell r="R207">
            <v>0.117169916953809</v>
          </cell>
          <cell r="S207">
            <v>0.141444450374341</v>
          </cell>
          <cell r="T207">
            <v>0.15345878760082252</v>
          </cell>
          <cell r="U207">
            <v>6.7493365584078646E-2</v>
          </cell>
        </row>
        <row r="208">
          <cell r="B208" t="str">
            <v>FY(9)</v>
          </cell>
          <cell r="C208">
            <v>0.11279212932310199</v>
          </cell>
          <cell r="D208">
            <v>2.3743356300318898E-2</v>
          </cell>
          <cell r="E208">
            <v>0.10981540118866499</v>
          </cell>
          <cell r="F208">
            <v>4.8166922190552901E-2</v>
          </cell>
          <cell r="G208" t="str">
            <v>NA</v>
          </cell>
          <cell r="H208">
            <v>0.107708140232083</v>
          </cell>
          <cell r="I208">
            <v>0.105288786242118</v>
          </cell>
          <cell r="J208">
            <v>8.4585789246139964E-2</v>
          </cell>
          <cell r="K208">
            <v>6.6854567253156583E-2</v>
          </cell>
          <cell r="M208">
            <v>0.217006150246222</v>
          </cell>
          <cell r="N208" t="str">
            <v>NA</v>
          </cell>
          <cell r="O208">
            <v>0.15761843759838001</v>
          </cell>
          <cell r="P208">
            <v>0.109057511178796</v>
          </cell>
          <cell r="Q208">
            <v>0.119617483966938</v>
          </cell>
          <cell r="R208">
            <v>0.123628817429827</v>
          </cell>
          <cell r="S208">
            <v>8.2591350307093706E-2</v>
          </cell>
          <cell r="T208">
            <v>0.1349199584545428</v>
          </cell>
          <cell r="U208">
            <v>6.2671835934588374E-2</v>
          </cell>
        </row>
        <row r="209">
          <cell r="B209" t="str">
            <v>FY(8)</v>
          </cell>
          <cell r="C209">
            <v>0.121895261387256</v>
          </cell>
          <cell r="D209">
            <v>4.4840864445951298E-2</v>
          </cell>
          <cell r="E209">
            <v>9.0778166596210699E-2</v>
          </cell>
          <cell r="F209">
            <v>5.1583078684107803E-2</v>
          </cell>
          <cell r="G209" t="str">
            <v>NA</v>
          </cell>
          <cell r="H209">
            <v>0.101016719112437</v>
          </cell>
          <cell r="I209">
            <v>9.7420980097599405E-2</v>
          </cell>
          <cell r="J209">
            <v>8.4589178387260364E-2</v>
          </cell>
          <cell r="K209">
            <v>7.9104256172474144E-2</v>
          </cell>
          <cell r="M209">
            <v>0.21229194801138199</v>
          </cell>
          <cell r="N209" t="str">
            <v>NA</v>
          </cell>
          <cell r="O209">
            <v>0.125354912836943</v>
          </cell>
          <cell r="P209">
            <v>0.18950491213689699</v>
          </cell>
          <cell r="Q209">
            <v>4.3341725905182898E-2</v>
          </cell>
          <cell r="R209">
            <v>0.11469908311959499</v>
          </cell>
          <cell r="S209">
            <v>0.104911281424867</v>
          </cell>
          <cell r="T209">
            <v>0.13168397723914449</v>
          </cell>
          <cell r="U209">
            <v>8.2446112098941496E-2</v>
          </cell>
        </row>
        <row r="210">
          <cell r="B210" t="str">
            <v>FY(7)</v>
          </cell>
          <cell r="C210">
            <v>0.126810245320187</v>
          </cell>
          <cell r="D210">
            <v>5.4764210144329098E-2</v>
          </cell>
          <cell r="E210">
            <v>9.4986444537434697E-2</v>
          </cell>
          <cell r="F210">
            <v>6.1563338351046402E-2</v>
          </cell>
          <cell r="G210" t="str">
            <v>NA</v>
          </cell>
          <cell r="H210">
            <v>0.106063638704699</v>
          </cell>
          <cell r="I210">
            <v>9.5732300713944604E-2</v>
          </cell>
          <cell r="J210">
            <v>8.9986696295273463E-2</v>
          </cell>
          <cell r="K210">
            <v>8.6178097504502726E-2</v>
          </cell>
          <cell r="M210">
            <v>0.21801293290269699</v>
          </cell>
          <cell r="N210">
            <v>0.11287410012405499</v>
          </cell>
          <cell r="O210">
            <v>0.122291365147881</v>
          </cell>
          <cell r="P210">
            <v>0.18437789477477601</v>
          </cell>
          <cell r="Q210">
            <v>8.7338806887471199E-2</v>
          </cell>
          <cell r="R210">
            <v>0.12687120223199699</v>
          </cell>
          <cell r="S210">
            <v>0.13950150466586</v>
          </cell>
          <cell r="T210">
            <v>0.14160968667639101</v>
          </cell>
          <cell r="U210">
            <v>0.11034969363981655</v>
          </cell>
        </row>
        <row r="211">
          <cell r="B211" t="str">
            <v>FY(6)</v>
          </cell>
          <cell r="C211">
            <v>0.108047954277254</v>
          </cell>
          <cell r="D211">
            <v>5.0703380664547999E-2</v>
          </cell>
          <cell r="E211">
            <v>9.5768146292003697E-2</v>
          </cell>
          <cell r="F211">
            <v>8.2535377465315002E-2</v>
          </cell>
          <cell r="G211">
            <v>1.9157145659343199E-2</v>
          </cell>
          <cell r="H211">
            <v>0.107398523189671</v>
          </cell>
          <cell r="I211">
            <v>9.1469523537726499E-2</v>
          </cell>
          <cell r="J211">
            <v>7.929715015512305E-2</v>
          </cell>
          <cell r="K211">
            <v>8.1436451313366839E-2</v>
          </cell>
          <cell r="M211">
            <v>0.216222561525163</v>
          </cell>
          <cell r="N211">
            <v>0.13234334049889099</v>
          </cell>
          <cell r="O211">
            <v>0.110612853320826</v>
          </cell>
          <cell r="P211">
            <v>0.240935051303657</v>
          </cell>
          <cell r="Q211">
            <v>0.13334704983153001</v>
          </cell>
          <cell r="R211">
            <v>0.13269152851048399</v>
          </cell>
          <cell r="S211">
            <v>0.17248405496012101</v>
          </cell>
          <cell r="T211">
            <v>0.16266234856438172</v>
          </cell>
          <cell r="U211">
            <v>0.14076028169944199</v>
          </cell>
        </row>
        <row r="212">
          <cell r="A212">
            <v>2000</v>
          </cell>
          <cell r="B212" t="str">
            <v>FY(5)</v>
          </cell>
          <cell r="C212">
            <v>0.113436039411941</v>
          </cell>
          <cell r="D212">
            <v>7.5338323067859606E-2</v>
          </cell>
          <cell r="E212">
            <v>9.7238331901303696E-2</v>
          </cell>
          <cell r="F212">
            <v>0.109355106748422</v>
          </cell>
          <cell r="G212">
            <v>2.0287941822930301E-2</v>
          </cell>
          <cell r="H212">
            <v>7.93352332713676E-2</v>
          </cell>
          <cell r="I212">
            <v>8.7280861632871007E-2</v>
          </cell>
          <cell r="J212">
            <v>8.3181691122385035E-2</v>
          </cell>
          <cell r="K212">
            <v>8.9764950782320344E-2</v>
          </cell>
          <cell r="M212">
            <v>0.21242279879459999</v>
          </cell>
          <cell r="N212">
            <v>0.157604196782929</v>
          </cell>
          <cell r="O212">
            <v>0.21516424576365001</v>
          </cell>
          <cell r="P212">
            <v>0.31275101536816402</v>
          </cell>
          <cell r="Q212">
            <v>0.14017275860425901</v>
          </cell>
          <cell r="R212">
            <v>0.130761541438074</v>
          </cell>
          <cell r="S212">
            <v>0.19996045509637</v>
          </cell>
          <cell r="T212">
            <v>0.19554814454972089</v>
          </cell>
          <cell r="U212">
            <v>0.1550136456617576</v>
          </cell>
        </row>
        <row r="213">
          <cell r="A213">
            <v>2001</v>
          </cell>
          <cell r="B213" t="str">
            <v>FY(4)</v>
          </cell>
          <cell r="C213">
            <v>0.11680454107743</v>
          </cell>
          <cell r="D213">
            <v>9.2580669964256401E-2</v>
          </cell>
          <cell r="E213">
            <v>9.8942955410141198E-2</v>
          </cell>
          <cell r="F213">
            <v>0.124428348678587</v>
          </cell>
          <cell r="G213">
            <v>-9.4592348837632401E-3</v>
          </cell>
          <cell r="H213">
            <v>7.4757144563204897E-2</v>
          </cell>
          <cell r="I213">
            <v>8.2794827188631001E-2</v>
          </cell>
          <cell r="J213">
            <v>8.2978464571212468E-2</v>
          </cell>
          <cell r="K213">
            <v>9.473580456857901E-2</v>
          </cell>
          <cell r="M213">
            <v>0.233039181555631</v>
          </cell>
          <cell r="N213">
            <v>0.12361319562772401</v>
          </cell>
          <cell r="O213">
            <v>0.21547722725271901</v>
          </cell>
          <cell r="P213">
            <v>0.34780410902167203</v>
          </cell>
          <cell r="Q213">
            <v>0.117230758230149</v>
          </cell>
          <cell r="R213">
            <v>0.110869032060765</v>
          </cell>
          <cell r="S213">
            <v>0.20075437737826199</v>
          </cell>
          <cell r="T213">
            <v>0.19268398301813172</v>
          </cell>
          <cell r="U213">
            <v>0.14507144530249649</v>
          </cell>
        </row>
        <row r="214">
          <cell r="A214">
            <v>2002</v>
          </cell>
          <cell r="B214" t="str">
            <v>FY(3)</v>
          </cell>
          <cell r="C214">
            <v>0.12748457342528999</v>
          </cell>
          <cell r="D214">
            <v>0.10128323800949</v>
          </cell>
          <cell r="E214">
            <v>8.8825981202501902E-2</v>
          </cell>
          <cell r="F214">
            <v>0.13791227926454799</v>
          </cell>
          <cell r="G214">
            <v>3.6049113618738297E-2</v>
          </cell>
          <cell r="H214">
            <v>7.69283673526137E-2</v>
          </cell>
          <cell r="I214">
            <v>8.8027676105148195E-2</v>
          </cell>
          <cell r="J214">
            <v>9.3787318425475719E-2</v>
          </cell>
          <cell r="K214">
            <v>9.9506720199405665E-2</v>
          </cell>
          <cell r="M214">
            <v>0.22874091659773901</v>
          </cell>
          <cell r="N214">
            <v>0.123373610873832</v>
          </cell>
          <cell r="O214">
            <v>0.22342683138276001</v>
          </cell>
          <cell r="P214">
            <v>0.366717574168407</v>
          </cell>
          <cell r="Q214">
            <v>9.1135756537482807E-2</v>
          </cell>
          <cell r="R214">
            <v>0.119039877708797</v>
          </cell>
          <cell r="S214">
            <v>0.148900082034472</v>
          </cell>
          <cell r="T214">
            <v>0.18590494990049855</v>
          </cell>
          <cell r="U214">
            <v>0.13924057343994925</v>
          </cell>
        </row>
        <row r="215">
          <cell r="B215" t="str">
            <v>FY(2)</v>
          </cell>
          <cell r="C215">
            <v>0.120229101082013</v>
          </cell>
          <cell r="D215">
            <v>9.9917945317377396E-2</v>
          </cell>
          <cell r="E215">
            <v>8.3712371899757707E-2</v>
          </cell>
          <cell r="F215">
            <v>0.141168769910963</v>
          </cell>
          <cell r="G215">
            <v>5.3241220488638302E-2</v>
          </cell>
          <cell r="H215">
            <v>8.0680084886619E-2</v>
          </cell>
          <cell r="I215">
            <v>9.1177143561056995E-2</v>
          </cell>
          <cell r="J215">
            <v>9.5732376735203628E-2</v>
          </cell>
          <cell r="K215">
            <v>9.8350353610200822E-2</v>
          </cell>
          <cell r="M215">
            <v>0.22387977475239201</v>
          </cell>
          <cell r="N215">
            <v>0.13601620812028201</v>
          </cell>
          <cell r="O215">
            <v>0.20548696511230499</v>
          </cell>
          <cell r="P215">
            <v>0.39231026600996199</v>
          </cell>
          <cell r="Q215">
            <v>0.104332844583176</v>
          </cell>
          <cell r="R215">
            <v>0.10592190179769</v>
          </cell>
          <cell r="S215">
            <v>0.16927882985729301</v>
          </cell>
          <cell r="T215">
            <v>0.19103239860472856</v>
          </cell>
          <cell r="U215">
            <v>0.14786943414630094</v>
          </cell>
        </row>
        <row r="216">
          <cell r="B216" t="str">
            <v>FY(1)</v>
          </cell>
          <cell r="C216">
            <v>0.10404515414710699</v>
          </cell>
          <cell r="D216">
            <v>6.6687112181850305E-2</v>
          </cell>
          <cell r="E216">
            <v>6.2422589015533297E-2</v>
          </cell>
          <cell r="F216">
            <v>9.6331183538582305E-2</v>
          </cell>
          <cell r="G216">
            <v>-2.5775567746272501E-2</v>
          </cell>
          <cell r="H216">
            <v>8.4987217699881004E-2</v>
          </cell>
          <cell r="I216">
            <v>8.8731668016932094E-2</v>
          </cell>
          <cell r="J216">
            <v>6.8204193836230512E-2</v>
          </cell>
          <cell r="K216">
            <v>7.7130352208892403E-2</v>
          </cell>
          <cell r="M216">
            <v>0.162174892436177</v>
          </cell>
          <cell r="N216">
            <v>0.143185850472235</v>
          </cell>
          <cell r="O216">
            <v>0.11845502634267201</v>
          </cell>
          <cell r="P216">
            <v>0.380938063408366</v>
          </cell>
          <cell r="Q216">
            <v>0.13225723833184999</v>
          </cell>
          <cell r="R216">
            <v>9.2321754071047202E-2</v>
          </cell>
          <cell r="S216">
            <v>0.17103981252296999</v>
          </cell>
          <cell r="T216">
            <v>0.17148180536933103</v>
          </cell>
          <cell r="U216">
            <v>0.14808207163736606</v>
          </cell>
        </row>
        <row r="217">
          <cell r="B217" t="str">
            <v>FY0</v>
          </cell>
          <cell r="C217">
            <v>0.11160967981915799</v>
          </cell>
          <cell r="D217">
            <v>4.4509531460659599E-2</v>
          </cell>
          <cell r="E217">
            <v>6.7563520584211403E-2</v>
          </cell>
          <cell r="F217">
            <v>0.10336321093174</v>
          </cell>
          <cell r="G217">
            <v>6.6675553621336403E-3</v>
          </cell>
          <cell r="H217">
            <v>0.108715188123956</v>
          </cell>
          <cell r="I217">
            <v>0.10848544772318799</v>
          </cell>
          <cell r="J217">
            <v>7.8702019143578092E-2</v>
          </cell>
          <cell r="K217">
            <v>8.426922330633202E-2</v>
          </cell>
          <cell r="M217">
            <v>8.1209485992895E-2</v>
          </cell>
          <cell r="N217">
            <v>0.18103762550851499</v>
          </cell>
          <cell r="O217">
            <v>0.108703943060901</v>
          </cell>
          <cell r="P217">
            <v>0.32259807451016098</v>
          </cell>
          <cell r="Q217">
            <v>0.15763347545541601</v>
          </cell>
          <cell r="R217">
            <v>0.11851581812115999</v>
          </cell>
          <cell r="S217">
            <v>0.181223139443348</v>
          </cell>
          <cell r="T217">
            <v>0.16441736601319942</v>
          </cell>
          <cell r="U217">
            <v>0.15550303001779184</v>
          </cell>
        </row>
        <row r="218">
          <cell r="B218" t="str">
            <v>FY1</v>
          </cell>
          <cell r="C218">
            <v>0.12173197357092</v>
          </cell>
          <cell r="D218">
            <v>5.3357941063620601E-2</v>
          </cell>
          <cell r="E218">
            <v>7.6743634084078194E-2</v>
          </cell>
          <cell r="F218">
            <v>0.122034884477426</v>
          </cell>
          <cell r="G218">
            <v>2.6852759782130899E-2</v>
          </cell>
          <cell r="H218">
            <v>0.11615520703313</v>
          </cell>
          <cell r="I218">
            <v>0.11378526708237</v>
          </cell>
          <cell r="J218">
            <v>9.0094523870525106E-2</v>
          </cell>
          <cell r="K218">
            <v>9.4406529570118233E-2</v>
          </cell>
          <cell r="M218">
            <v>0.110449951715234</v>
          </cell>
          <cell r="N218">
            <v>0.17961474625858101</v>
          </cell>
          <cell r="O218">
            <v>0.151070371712476</v>
          </cell>
          <cell r="P218">
            <v>0.32594096856426003</v>
          </cell>
          <cell r="Q218">
            <v>0.15858628173175399</v>
          </cell>
          <cell r="R218">
            <v>0.13062810165174399</v>
          </cell>
          <cell r="S218">
            <v>0.195799470399631</v>
          </cell>
          <cell r="T218">
            <v>0.17886998457624004</v>
          </cell>
          <cell r="U218">
            <v>0.16625746057347451</v>
          </cell>
        </row>
        <row r="219">
          <cell r="B219" t="str">
            <v>FY2</v>
          </cell>
          <cell r="C219">
            <v>0.12631522029067799</v>
          </cell>
          <cell r="D219">
            <v>5.5975618834963901E-2</v>
          </cell>
          <cell r="E219">
            <v>7.8689982782334703E-2</v>
          </cell>
          <cell r="F219">
            <v>0.12637649445693799</v>
          </cell>
          <cell r="G219">
            <v>4.1867140413833298E-2</v>
          </cell>
          <cell r="H219">
            <v>0.12018114538755401</v>
          </cell>
          <cell r="I219">
            <v>0.111585418352566</v>
          </cell>
          <cell r="J219">
            <v>9.442728864555254E-2</v>
          </cell>
          <cell r="K219">
            <v>9.7307209378827392E-2</v>
          </cell>
          <cell r="M219">
            <v>0.12975727102665899</v>
          </cell>
          <cell r="N219">
            <v>0.156953262694106</v>
          </cell>
          <cell r="O219">
            <v>0.162948127561127</v>
          </cell>
          <cell r="P219">
            <v>0.32595194677751899</v>
          </cell>
          <cell r="Q219">
            <v>0.16028707682665699</v>
          </cell>
          <cell r="R219">
            <v>0.13357706976761999</v>
          </cell>
          <cell r="S219">
            <v>0.202178908336487</v>
          </cell>
          <cell r="T219">
            <v>0.18166480899859641</v>
          </cell>
          <cell r="U219">
            <v>0.16975468068720617</v>
          </cell>
        </row>
        <row r="220">
          <cell r="B220" t="str">
            <v>FQ(3)</v>
          </cell>
          <cell r="C220">
            <v>6.8993952721275398E-2</v>
          </cell>
          <cell r="D220">
            <v>2.72883950195312E-2</v>
          </cell>
          <cell r="E220">
            <v>4.6162723600692403E-3</v>
          </cell>
          <cell r="F220">
            <v>8.5580304806565102E-2</v>
          </cell>
          <cell r="G220">
            <v>3.82605840332482E-3</v>
          </cell>
          <cell r="H220">
            <v>8.9181892398848703E-2</v>
          </cell>
          <cell r="I220">
            <v>7.9421958998893996E-2</v>
          </cell>
          <cell r="J220">
            <v>5.1272690672644061E-2</v>
          </cell>
          <cell r="K220">
            <v>4.864096455229492E-2</v>
          </cell>
          <cell r="M220">
            <v>-5.6302754229894197E-2</v>
          </cell>
          <cell r="N220">
            <v>0.137599749034371</v>
          </cell>
          <cell r="O220">
            <v>4.4694444444444398E-2</v>
          </cell>
          <cell r="P220">
            <v>0.26859241099604197</v>
          </cell>
          <cell r="Q220">
            <v>0.11288775183882301</v>
          </cell>
          <cell r="R220">
            <v>3.7798864735685597E-2</v>
          </cell>
          <cell r="S220">
            <v>0.119855715755881</v>
          </cell>
          <cell r="T220">
            <v>9.5018026082193244E-2</v>
          </cell>
          <cell r="U220">
            <v>9.3790997831873113E-2</v>
          </cell>
        </row>
        <row r="221">
          <cell r="B221" t="str">
            <v>FQ(2)</v>
          </cell>
          <cell r="C221">
            <v>0.104834471886495</v>
          </cell>
          <cell r="D221">
            <v>1.6993645456715101E-2</v>
          </cell>
          <cell r="E221">
            <v>5.4608830364058898E-2</v>
          </cell>
          <cell r="F221">
            <v>9.6037296037295994E-2</v>
          </cell>
          <cell r="G221">
            <v>-0.120358699367629</v>
          </cell>
          <cell r="H221">
            <v>9.6878046132726006E-2</v>
          </cell>
          <cell r="I221">
            <v>8.8962087216757899E-2</v>
          </cell>
          <cell r="J221">
            <v>4.8279382532345698E-2</v>
          </cell>
          <cell r="K221">
            <v>6.6864824225143879E-2</v>
          </cell>
          <cell r="M221">
            <v>1.39449264854736E-2</v>
          </cell>
          <cell r="N221">
            <v>0.14350359807513999</v>
          </cell>
          <cell r="O221">
            <v>7.0433822590161704E-2</v>
          </cell>
          <cell r="P221">
            <v>0.28246698142319299</v>
          </cell>
          <cell r="Q221">
            <v>0.115562403697997</v>
          </cell>
          <cell r="R221">
            <v>7.1926004422701903E-2</v>
          </cell>
          <cell r="S221">
            <v>0.17103478651450199</v>
          </cell>
          <cell r="T221">
            <v>0.12412464617273845</v>
          </cell>
          <cell r="U221">
            <v>0.1135492742908866</v>
          </cell>
        </row>
        <row r="222">
          <cell r="B222" t="str">
            <v>FQ(1)</v>
          </cell>
          <cell r="C222">
            <v>8.3683041224388993E-2</v>
          </cell>
          <cell r="D222">
            <v>2.5595672348649401E-2</v>
          </cell>
          <cell r="E222">
            <v>1.6676141747204901E-2</v>
          </cell>
          <cell r="F222">
            <v>9.2077087794432494E-2</v>
          </cell>
          <cell r="G222">
            <v>2.50129071288527E-2</v>
          </cell>
          <cell r="H222">
            <v>9.9060912002999796E-2</v>
          </cell>
          <cell r="I222">
            <v>0.110329067258271</v>
          </cell>
          <cell r="J222">
            <v>6.4633547072114189E-2</v>
          </cell>
          <cell r="K222">
            <v>6.4062510814675261E-2</v>
          </cell>
          <cell r="M222">
            <v>6.0233466545661002E-2</v>
          </cell>
          <cell r="N222">
            <v>0.18611117959699799</v>
          </cell>
          <cell r="O222">
            <v>9.3865910420021306E-2</v>
          </cell>
          <cell r="P222">
            <v>0.29319168887248698</v>
          </cell>
          <cell r="Q222">
            <v>0.139314572304263</v>
          </cell>
          <cell r="R222">
            <v>3.3131912386811499E-2</v>
          </cell>
          <cell r="S222">
            <v>0.18928839691638699</v>
          </cell>
          <cell r="T222">
            <v>0.14216244672037553</v>
          </cell>
          <cell r="U222">
            <v>0.1262935483183491</v>
          </cell>
        </row>
        <row r="223">
          <cell r="B223" t="str">
            <v>Last Reported Q</v>
          </cell>
          <cell r="C223">
            <v>0.11160967981915799</v>
          </cell>
          <cell r="D223">
            <v>4.4509531460659599E-2</v>
          </cell>
          <cell r="E223">
            <v>6.7563520584211403E-2</v>
          </cell>
          <cell r="F223">
            <v>0.10336321093174</v>
          </cell>
          <cell r="G223">
            <v>6.6675553621336403E-3</v>
          </cell>
          <cell r="H223">
            <v>0.108715188123956</v>
          </cell>
          <cell r="I223">
            <v>0.10848544772318799</v>
          </cell>
          <cell r="J223">
            <v>7.8702019143578092E-2</v>
          </cell>
          <cell r="K223">
            <v>8.426922330633202E-2</v>
          </cell>
          <cell r="M223">
            <v>8.1209485992895E-2</v>
          </cell>
          <cell r="N223">
            <v>0.18103762550851499</v>
          </cell>
          <cell r="O223">
            <v>0.108703943060901</v>
          </cell>
          <cell r="P223">
            <v>0.35759174839554703</v>
          </cell>
          <cell r="Q223">
            <v>0.15763347545541601</v>
          </cell>
          <cell r="R223">
            <v>0.11851581812115999</v>
          </cell>
          <cell r="S223">
            <v>0.181223139443348</v>
          </cell>
          <cell r="T223">
            <v>0.16941646228254031</v>
          </cell>
          <cell r="U223">
            <v>0.14595170595884957</v>
          </cell>
        </row>
        <row r="224">
          <cell r="A224" t="str">
            <v>mscalc:ebitdaAsif</v>
          </cell>
          <cell r="B224" t="str">
            <v>LTM</v>
          </cell>
          <cell r="C224">
            <v>0.127067933826118</v>
          </cell>
          <cell r="D224">
            <v>6.9009009009008998E-2</v>
          </cell>
          <cell r="E224">
            <v>0.135049050834501</v>
          </cell>
          <cell r="F224">
            <v>0.12209531311540001</v>
          </cell>
          <cell r="G224">
            <v>3.6233813295468799E-2</v>
          </cell>
          <cell r="H224">
            <v>0.116748887156986</v>
          </cell>
          <cell r="I224">
            <v>0.108424358765925</v>
          </cell>
          <cell r="J224">
            <v>0.1020897665719154</v>
          </cell>
          <cell r="K224">
            <v>0.1107873274572532</v>
          </cell>
          <cell r="M224">
            <v>0.13743401378859399</v>
          </cell>
          <cell r="N224">
            <v>0.198633838519364</v>
          </cell>
          <cell r="O224">
            <v>0.115690329218107</v>
          </cell>
          <cell r="P224">
            <v>0.35759174839554703</v>
          </cell>
          <cell r="Q224">
            <v>0.137629839471199</v>
          </cell>
          <cell r="R224">
            <v>0.192253052164262</v>
          </cell>
          <cell r="S224">
            <v>0.20163706280278601</v>
          </cell>
          <cell r="T224">
            <v>0.19155284062283701</v>
          </cell>
          <cell r="U224">
            <v>0.16893854407472564</v>
          </cell>
        </row>
        <row r="225">
          <cell r="B225" t="str">
            <v>FY(2)</v>
          </cell>
          <cell r="C225">
            <v>2202.471</v>
          </cell>
          <cell r="D225">
            <v>2295</v>
          </cell>
          <cell r="E225">
            <v>3489</v>
          </cell>
          <cell r="F225">
            <v>1432.931</v>
          </cell>
          <cell r="G225">
            <v>194.42413565663199</v>
          </cell>
          <cell r="H225">
            <v>497.78500000000003</v>
          </cell>
          <cell r="I225">
            <v>1627.4839999999999</v>
          </cell>
          <cell r="J225">
            <v>1677.0135908080904</v>
          </cell>
          <cell r="K225">
            <v>11739.095135656633</v>
          </cell>
          <cell r="M225">
            <v>804.245</v>
          </cell>
          <cell r="N225">
            <v>188.31</v>
          </cell>
          <cell r="O225">
            <v>674.822</v>
          </cell>
          <cell r="P225">
            <v>1074.2840000000001</v>
          </cell>
          <cell r="Q225">
            <v>1710</v>
          </cell>
          <cell r="R225">
            <v>1492.085</v>
          </cell>
          <cell r="S225">
            <v>219.702</v>
          </cell>
          <cell r="T225">
            <v>880.49257142857152</v>
          </cell>
          <cell r="U225">
            <v>6163.4480000000003</v>
          </cell>
        </row>
        <row r="226">
          <cell r="B226" t="str">
            <v>Operating Margin Y/Y bps</v>
          </cell>
          <cell r="C226">
            <v>2256.6999999999998</v>
          </cell>
          <cell r="D226">
            <v>2308</v>
          </cell>
          <cell r="E226">
            <v>3355</v>
          </cell>
          <cell r="F226">
            <v>1481.8019999999999</v>
          </cell>
          <cell r="G226">
            <v>270.53497730279503</v>
          </cell>
          <cell r="H226">
            <v>541.79</v>
          </cell>
          <cell r="I226">
            <v>1827.10628618338</v>
          </cell>
          <cell r="J226">
            <v>1720.1333233551682</v>
          </cell>
          <cell r="K226">
            <v>12040.933263486177</v>
          </cell>
          <cell r="M226">
            <v>924.21299999999997</v>
          </cell>
          <cell r="N226">
            <v>236.45400000000001</v>
          </cell>
          <cell r="O226">
            <v>707.95799999999997</v>
          </cell>
          <cell r="P226">
            <v>1279.933</v>
          </cell>
          <cell r="Q226">
            <v>1896</v>
          </cell>
          <cell r="R226">
            <v>1213.1210000000001</v>
          </cell>
          <cell r="S226">
            <v>294.96199999999999</v>
          </cell>
          <cell r="T226">
            <v>936.09157142857134</v>
          </cell>
          <cell r="U226">
            <v>6552.6409999999996</v>
          </cell>
        </row>
        <row r="227">
          <cell r="B227" t="str">
            <v>FY(10)</v>
          </cell>
          <cell r="C227">
            <v>2077.9659999999999</v>
          </cell>
          <cell r="D227">
            <v>1597.80967741935</v>
          </cell>
          <cell r="E227">
            <v>2676</v>
          </cell>
          <cell r="F227">
            <v>1081.5509999999999</v>
          </cell>
          <cell r="G227">
            <v>20.883918009447999</v>
          </cell>
          <cell r="H227">
            <v>632.69015938101995</v>
          </cell>
          <cell r="I227">
            <v>1836.4380000000001</v>
          </cell>
          <cell r="J227">
            <v>1417.6198221156883</v>
          </cell>
          <cell r="K227">
            <v>9923.3387548098181</v>
          </cell>
          <cell r="M227">
            <v>696.773345376066</v>
          </cell>
          <cell r="N227">
            <v>294.072</v>
          </cell>
          <cell r="O227">
            <v>440.01</v>
          </cell>
          <cell r="P227">
            <v>1123.2919999999999</v>
          </cell>
          <cell r="Q227">
            <v>2116</v>
          </cell>
          <cell r="R227">
            <v>1060.547</v>
          </cell>
          <cell r="S227">
            <v>381.38400000000001</v>
          </cell>
          <cell r="T227">
            <v>873.15404933943807</v>
          </cell>
          <cell r="U227">
            <v>6112.0783453760669</v>
          </cell>
        </row>
        <row r="228">
          <cell r="B228" t="str">
            <v>FY(9)</v>
          </cell>
          <cell r="C228">
            <v>62.508698419419943</v>
          </cell>
          <cell r="D228">
            <v>1147.6229306386499</v>
          </cell>
          <cell r="E228">
            <v>23.190117634159929</v>
          </cell>
          <cell r="F228">
            <v>1067.8591081142599</v>
          </cell>
          <cell r="G228">
            <v>80.279486002775201</v>
          </cell>
          <cell r="H228">
            <v>-85.722445261109954</v>
          </cell>
          <cell r="I228">
            <v>-55.94125473822001</v>
          </cell>
          <cell r="J228">
            <v>-13.991220986437522</v>
          </cell>
          <cell r="K228">
            <v>163.63227994691553</v>
          </cell>
          <cell r="M228">
            <v>-289.60285912147998</v>
          </cell>
          <cell r="N228">
            <v>413.98299847029898</v>
          </cell>
          <cell r="O228">
            <v>-529.58047458125986</v>
          </cell>
          <cell r="P228">
            <v>569.20861717709397</v>
          </cell>
          <cell r="Q228">
            <v>2316.3087515114398</v>
          </cell>
          <cell r="R228">
            <v>64.589004760179918</v>
          </cell>
          <cell r="S228">
            <v>-588.53100067247294</v>
          </cell>
          <cell r="T228">
            <v>-154.78334248758779</v>
          </cell>
          <cell r="U228">
            <v>-48.215296494902724</v>
          </cell>
        </row>
        <row r="229">
          <cell r="A229">
            <v>2000</v>
          </cell>
          <cell r="B229" t="str">
            <v>FY(8)</v>
          </cell>
          <cell r="C229">
            <v>91.03132064154002</v>
          </cell>
          <cell r="D229">
            <v>210.97508145632401</v>
          </cell>
          <cell r="E229">
            <v>-190.37234592454294</v>
          </cell>
          <cell r="F229">
            <v>34.161564935549016</v>
          </cell>
          <cell r="G229">
            <v>120.232444262407</v>
          </cell>
          <cell r="H229">
            <v>-66.914211196460045</v>
          </cell>
          <cell r="I229">
            <v>-78.678061445185961</v>
          </cell>
          <cell r="J229">
            <v>3.3891411204012435E-2</v>
          </cell>
          <cell r="K229">
            <v>122.49688919317562</v>
          </cell>
          <cell r="M229">
            <v>-47.14202234840009</v>
          </cell>
          <cell r="N229">
            <v>424.20883851481801</v>
          </cell>
          <cell r="O229">
            <v>-322.63524761437014</v>
          </cell>
          <cell r="P229">
            <v>804.47400958100991</v>
          </cell>
          <cell r="Q229">
            <v>2331.5571745024199</v>
          </cell>
          <cell r="R229">
            <v>-89.297343102320013</v>
          </cell>
          <cell r="S229">
            <v>223.19931117773291</v>
          </cell>
          <cell r="T229">
            <v>113.71974153873052</v>
          </cell>
          <cell r="U229">
            <v>197.74276164353122</v>
          </cell>
        </row>
        <row r="230">
          <cell r="A230">
            <v>2001</v>
          </cell>
          <cell r="B230" t="str">
            <v>FY(7)</v>
          </cell>
          <cell r="C230">
            <v>49.149839329310083</v>
          </cell>
          <cell r="D230">
            <v>99.233456983777998</v>
          </cell>
          <cell r="E230">
            <v>42.082779412239979</v>
          </cell>
          <cell r="F230">
            <v>99.802596669385991</v>
          </cell>
          <cell r="G230">
            <v>-65.959999999999994</v>
          </cell>
          <cell r="H230">
            <v>50.469195922620003</v>
          </cell>
          <cell r="I230">
            <v>-16.886793836548009</v>
          </cell>
          <cell r="J230">
            <v>53.975179080130999</v>
          </cell>
          <cell r="K230">
            <v>70.738413320285829</v>
          </cell>
          <cell r="M230">
            <v>57.209848913150061</v>
          </cell>
          <cell r="N230">
            <v>128.65899999999999</v>
          </cell>
          <cell r="O230">
            <v>-30.635476890620016</v>
          </cell>
          <cell r="P230">
            <v>-51.270173621209835</v>
          </cell>
          <cell r="Q230">
            <v>439.97080982288298</v>
          </cell>
          <cell r="R230">
            <v>121.72119112402</v>
          </cell>
          <cell r="S230">
            <v>345.90223240993009</v>
          </cell>
          <cell r="T230">
            <v>147.14973862635887</v>
          </cell>
          <cell r="U230">
            <v>279.03581540875052</v>
          </cell>
        </row>
        <row r="231">
          <cell r="A231">
            <v>2002</v>
          </cell>
          <cell r="B231" t="str">
            <v>FY(6)</v>
          </cell>
          <cell r="C231">
            <v>-187.62291042933003</v>
          </cell>
          <cell r="D231">
            <v>-40.608294797810984</v>
          </cell>
          <cell r="E231">
            <v>7.8170175456900024</v>
          </cell>
          <cell r="F231">
            <v>209.720391142686</v>
          </cell>
          <cell r="G231">
            <v>35.716999999999999</v>
          </cell>
          <cell r="H231">
            <v>13.348844849720015</v>
          </cell>
          <cell r="I231">
            <v>-42.627771762181048</v>
          </cell>
          <cell r="J231">
            <v>-6.6621205752043409</v>
          </cell>
          <cell r="K231">
            <v>-47.416461911358873</v>
          </cell>
          <cell r="M231">
            <v>-17.903713775339892</v>
          </cell>
          <cell r="N231">
            <v>67.896000000000001</v>
          </cell>
          <cell r="O231">
            <v>-116.78511827054996</v>
          </cell>
          <cell r="P231">
            <v>565.57156528880989</v>
          </cell>
          <cell r="Q231">
            <v>460.0824294405881</v>
          </cell>
          <cell r="R231">
            <v>58.203262784869978</v>
          </cell>
          <cell r="S231">
            <v>329.82550294261006</v>
          </cell>
          <cell r="T231">
            <v>213.16565473516471</v>
          </cell>
          <cell r="U231">
            <v>304.10588059625445</v>
          </cell>
        </row>
        <row r="232">
          <cell r="B232" t="str">
            <v>FY(5)</v>
          </cell>
          <cell r="C232">
            <v>53.880851346869981</v>
          </cell>
          <cell r="D232">
            <v>246.34942403311607</v>
          </cell>
          <cell r="E232">
            <v>14.701856092999982</v>
          </cell>
          <cell r="F232">
            <v>268.19729283106994</v>
          </cell>
          <cell r="G232">
            <v>-31.690999999999999</v>
          </cell>
          <cell r="H232">
            <v>-280.63289918303394</v>
          </cell>
          <cell r="I232">
            <v>-41.886619048554927</v>
          </cell>
          <cell r="J232">
            <v>43.434984345411188</v>
          </cell>
          <cell r="K232">
            <v>83.28499468953504</v>
          </cell>
          <cell r="M232">
            <v>-37.997627305630111</v>
          </cell>
          <cell r="N232">
            <v>252.60856284038013</v>
          </cell>
          <cell r="O232">
            <v>1045.51392442824</v>
          </cell>
          <cell r="P232">
            <v>718.15964064507023</v>
          </cell>
          <cell r="Q232">
            <v>68.257087727290056</v>
          </cell>
          <cell r="R232">
            <v>-19.29987072409989</v>
          </cell>
          <cell r="S232">
            <v>274.76400136248998</v>
          </cell>
          <cell r="T232">
            <v>328.85795985339149</v>
          </cell>
          <cell r="U232">
            <v>142.53363962315606</v>
          </cell>
        </row>
        <row r="233">
          <cell r="B233" t="str">
            <v>FY(4)</v>
          </cell>
          <cell r="C233">
            <v>33.68501665489007</v>
          </cell>
          <cell r="D233">
            <v>172.42346896396796</v>
          </cell>
          <cell r="E233">
            <v>17.046235088375024</v>
          </cell>
          <cell r="F233">
            <v>150.73241930165003</v>
          </cell>
          <cell r="G233">
            <v>-297.4717670669354</v>
          </cell>
          <cell r="H233">
            <v>-45.780887081627029</v>
          </cell>
          <cell r="I233">
            <v>-44.860344442400056</v>
          </cell>
          <cell r="J233">
            <v>-2.0322655117256292</v>
          </cell>
          <cell r="K233">
            <v>49.708537862586667</v>
          </cell>
          <cell r="M233">
            <v>206.16382761031005</v>
          </cell>
          <cell r="N233">
            <v>-339.91001155204992</v>
          </cell>
          <cell r="O233">
            <v>3.1298148906899748</v>
          </cell>
          <cell r="P233">
            <v>350.53093653508006</v>
          </cell>
          <cell r="Q233">
            <v>-229.42000374110012</v>
          </cell>
          <cell r="R233">
            <v>-198.92509377309005</v>
          </cell>
          <cell r="S233">
            <v>7.9392228189198448</v>
          </cell>
          <cell r="T233">
            <v>-28.64161531589145</v>
          </cell>
          <cell r="U233">
            <v>-99.422003592611048</v>
          </cell>
        </row>
        <row r="234">
          <cell r="B234" t="str">
            <v>FY(3)</v>
          </cell>
          <cell r="C234">
            <v>106.80032347859984</v>
          </cell>
          <cell r="D234">
            <v>87.025680452336019</v>
          </cell>
          <cell r="E234">
            <v>-101.16974207639295</v>
          </cell>
          <cell r="F234">
            <v>134.83930585960994</v>
          </cell>
          <cell r="G234">
            <v>455.08348502501536</v>
          </cell>
          <cell r="H234">
            <v>21.712227894088027</v>
          </cell>
          <cell r="I234">
            <v>52.328489165171938</v>
          </cell>
          <cell r="J234">
            <v>108.08853854263261</v>
          </cell>
          <cell r="K234">
            <v>47.709156308266557</v>
          </cell>
          <cell r="M234">
            <v>-42.98264957891984</v>
          </cell>
          <cell r="N234">
            <v>-2.3958475389200542</v>
          </cell>
          <cell r="O234">
            <v>79.496041300410042</v>
          </cell>
          <cell r="P234">
            <v>189.13465146734976</v>
          </cell>
          <cell r="Q234">
            <v>-260.95001692666193</v>
          </cell>
          <cell r="R234">
            <v>81.708456480319995</v>
          </cell>
          <cell r="S234">
            <v>-518.54295343789988</v>
          </cell>
          <cell r="T234">
            <v>-67.790331176331705</v>
          </cell>
          <cell r="U234">
            <v>-58.30871862547243</v>
          </cell>
        </row>
        <row r="235">
          <cell r="B235" t="str">
            <v>FY(2)</v>
          </cell>
          <cell r="C235">
            <v>-72.55472343276989</v>
          </cell>
          <cell r="D235">
            <v>-13.652926921126074</v>
          </cell>
          <cell r="E235">
            <v>-51.136093027441959</v>
          </cell>
          <cell r="F235">
            <v>32.564906464150056</v>
          </cell>
          <cell r="G235">
            <v>171.92106869900005</v>
          </cell>
          <cell r="H235">
            <v>37.517175340053001</v>
          </cell>
          <cell r="I235">
            <v>31.494674559087997</v>
          </cell>
          <cell r="J235">
            <v>19.450583097279029</v>
          </cell>
          <cell r="K235">
            <v>-11.563665892048435</v>
          </cell>
          <cell r="M235">
            <v>-48.611418453470002</v>
          </cell>
          <cell r="N235">
            <v>126.42597246450005</v>
          </cell>
          <cell r="O235">
            <v>-179.39866270455019</v>
          </cell>
          <cell r="P235">
            <v>255.92691841554992</v>
          </cell>
          <cell r="Q235">
            <v>131.97088045693195</v>
          </cell>
          <cell r="R235">
            <v>-131.17975911106998</v>
          </cell>
          <cell r="S235">
            <v>203.78747822821009</v>
          </cell>
          <cell r="T235">
            <v>51.274487042300265</v>
          </cell>
          <cell r="U235">
            <v>86.288607063516878</v>
          </cell>
        </row>
        <row r="236">
          <cell r="B236" t="str">
            <v>FY(1)</v>
          </cell>
          <cell r="C236">
            <v>-161.83946934906004</v>
          </cell>
          <cell r="D236">
            <v>-332.30833135527092</v>
          </cell>
          <cell r="E236">
            <v>-212.89782884224408</v>
          </cell>
          <cell r="F236">
            <v>-448.37586372380696</v>
          </cell>
          <cell r="G236">
            <v>-790.16788234910803</v>
          </cell>
          <cell r="H236">
            <v>43.071328132620046</v>
          </cell>
          <cell r="I236">
            <v>-24.454755441249006</v>
          </cell>
          <cell r="J236">
            <v>-275.28182898973131</v>
          </cell>
          <cell r="K236">
            <v>-212.2000140130842</v>
          </cell>
          <cell r="M236">
            <v>-617.04882316215014</v>
          </cell>
          <cell r="N236">
            <v>71.696423519529986</v>
          </cell>
          <cell r="O236">
            <v>-870.31938769632984</v>
          </cell>
          <cell r="P236">
            <v>-113.72202601595993</v>
          </cell>
          <cell r="Q236">
            <v>279.24393748673992</v>
          </cell>
          <cell r="R236">
            <v>-136.00147726642794</v>
          </cell>
          <cell r="S236">
            <v>17.609826656769801</v>
          </cell>
          <cell r="T236">
            <v>-195.50593235397542</v>
          </cell>
          <cell r="U236">
            <v>2.1263749106512075</v>
          </cell>
        </row>
        <row r="237">
          <cell r="B237" t="str">
            <v>FY0</v>
          </cell>
          <cell r="C237">
            <v>75.645256720510005</v>
          </cell>
          <cell r="D237">
            <v>-221.77580721190708</v>
          </cell>
          <cell r="E237">
            <v>51.409315686781056</v>
          </cell>
          <cell r="F237">
            <v>70.320273931576978</v>
          </cell>
          <cell r="G237">
            <v>324.43123108406144</v>
          </cell>
          <cell r="H237">
            <v>237.27970424074999</v>
          </cell>
          <cell r="I237">
            <v>197.53779706255901</v>
          </cell>
          <cell r="J237">
            <v>104.97825307347591</v>
          </cell>
          <cell r="K237">
            <v>71.388710974396176</v>
          </cell>
          <cell r="M237">
            <v>-809.65406443281995</v>
          </cell>
          <cell r="N237">
            <v>378.51775036279986</v>
          </cell>
          <cell r="O237">
            <v>-97.510832817710025</v>
          </cell>
          <cell r="P237">
            <v>-583.39988898205024</v>
          </cell>
          <cell r="Q237">
            <v>253.76237123566014</v>
          </cell>
          <cell r="R237">
            <v>261.94064050112792</v>
          </cell>
          <cell r="S237">
            <v>101.83326920378016</v>
          </cell>
          <cell r="T237">
            <v>-70.644393561316008</v>
          </cell>
          <cell r="U237">
            <v>74.20958380425779</v>
          </cell>
        </row>
        <row r="238">
          <cell r="B238" t="str">
            <v>FY1</v>
          </cell>
          <cell r="C238">
            <v>101.22293751762004</v>
          </cell>
          <cell r="D238">
            <v>88.484096029610015</v>
          </cell>
          <cell r="E238">
            <v>91.801134998667905</v>
          </cell>
          <cell r="F238">
            <v>186.71673545685996</v>
          </cell>
          <cell r="G238">
            <v>201.85204419997257</v>
          </cell>
          <cell r="H238">
            <v>74.400189091739932</v>
          </cell>
          <cell r="I238">
            <v>52.998193591820012</v>
          </cell>
          <cell r="J238">
            <v>113.92504726947006</v>
          </cell>
          <cell r="K238">
            <v>101.37306263786213</v>
          </cell>
          <cell r="M238">
            <v>292.40465722339002</v>
          </cell>
          <cell r="N238">
            <v>-14.228792499339782</v>
          </cell>
          <cell r="O238">
            <v>423.66428651575001</v>
          </cell>
          <cell r="P238">
            <v>33.428940540990439</v>
          </cell>
          <cell r="Q238">
            <v>9.5280627633798076</v>
          </cell>
          <cell r="R238">
            <v>121.12283530583994</v>
          </cell>
          <cell r="S238">
            <v>145.76330956282996</v>
          </cell>
          <cell r="T238">
            <v>144.52618563040576</v>
          </cell>
          <cell r="U238">
            <v>107.54430555682676</v>
          </cell>
        </row>
        <row r="239">
          <cell r="B239" t="str">
            <v>FY2</v>
          </cell>
          <cell r="C239">
            <v>45.832467197579888</v>
          </cell>
          <cell r="D239">
            <v>26.176777713433005</v>
          </cell>
          <cell r="E239">
            <v>19.463486982565087</v>
          </cell>
          <cell r="F239">
            <v>43.416099795119955</v>
          </cell>
          <cell r="G239">
            <v>150.143806317024</v>
          </cell>
          <cell r="H239">
            <v>40.259383544240109</v>
          </cell>
          <cell r="I239">
            <v>-21.998487298039993</v>
          </cell>
          <cell r="J239">
            <v>43.327647750274579</v>
          </cell>
          <cell r="K239">
            <v>29.006798087091585</v>
          </cell>
          <cell r="M239">
            <v>193.07319311424988</v>
          </cell>
          <cell r="N239">
            <v>-226.61483564475006</v>
          </cell>
          <cell r="O239">
            <v>118.77755848651</v>
          </cell>
          <cell r="P239">
            <v>0.10978213258960867</v>
          </cell>
          <cell r="Q239">
            <v>17.007950949030072</v>
          </cell>
          <cell r="R239">
            <v>29.489681158759996</v>
          </cell>
          <cell r="S239">
            <v>63.794379368559973</v>
          </cell>
          <cell r="T239">
            <v>27.948244223564213</v>
          </cell>
          <cell r="U239">
            <v>34.972201137316581</v>
          </cell>
        </row>
        <row r="240">
          <cell r="B240" t="str">
            <v>FY1</v>
          </cell>
          <cell r="C240">
            <v>0.13117500179456759</v>
          </cell>
          <cell r="D240">
            <v>6.5535084047614267E-2</v>
          </cell>
          <cell r="E240">
            <v>0.10804999268238555</v>
          </cell>
          <cell r="F240">
            <v>0.13221807124923712</v>
          </cell>
          <cell r="G240">
            <v>3.1162078748501736E-2</v>
          </cell>
          <cell r="H240">
            <v>0.12228683052740648</v>
          </cell>
          <cell r="I240">
            <v>0.1153049316705531</v>
          </cell>
          <cell r="J240">
            <v>0.10081885581718085</v>
          </cell>
          <cell r="K240">
            <v>0.10694626695883833</v>
          </cell>
          <cell r="M240">
            <v>0.12962426004451924</v>
          </cell>
          <cell r="N240">
            <v>0.18973740063040617</v>
          </cell>
          <cell r="O240">
            <v>0.13377350142150843</v>
          </cell>
          <cell r="P240">
            <v>0.35011759997554609</v>
          </cell>
          <cell r="Q240">
            <v>0.16236654871799841</v>
          </cell>
          <cell r="R240">
            <v>0.13396830763081341</v>
          </cell>
          <cell r="S240">
            <v>0.21679103616775808</v>
          </cell>
          <cell r="T240">
            <v>0.18805409351264998</v>
          </cell>
          <cell r="U240">
            <v>0.1733366804761057</v>
          </cell>
        </row>
        <row r="241">
          <cell r="A241" t="str">
            <v>mscalc:ebitdaAsif</v>
          </cell>
          <cell r="B241" t="str">
            <v>EBITDA</v>
          </cell>
          <cell r="C241">
            <v>0.13801265994185535</v>
          </cell>
          <cell r="D241">
            <v>7.4867910171283802E-2</v>
          </cell>
          <cell r="E241">
            <v>0.1136629993270056</v>
          </cell>
          <cell r="F241">
            <v>0.14093185001476541</v>
          </cell>
          <cell r="G241">
            <v>4.5921397918058639E-2</v>
          </cell>
          <cell r="H241">
            <v>0.1175957634752702</v>
          </cell>
          <cell r="I241">
            <v>0.11813013251826068</v>
          </cell>
          <cell r="J241">
            <v>0.10701753048092852</v>
          </cell>
          <cell r="K241">
            <v>0.11299195340745029</v>
          </cell>
          <cell r="M241">
            <v>0.14313028905740297</v>
          </cell>
          <cell r="N241">
            <v>0.17561141951556042</v>
          </cell>
          <cell r="O241">
            <v>0.15127350142150642</v>
          </cell>
          <cell r="P241">
            <v>0.35199628077742695</v>
          </cell>
          <cell r="Q241">
            <v>0.16530301615151075</v>
          </cell>
          <cell r="R241">
            <v>0.14404459148537194</v>
          </cell>
          <cell r="S241">
            <v>0.22707900481134527</v>
          </cell>
          <cell r="T241">
            <v>0.19406258617430353</v>
          </cell>
          <cell r="U241">
            <v>0.18029940089007807</v>
          </cell>
        </row>
        <row r="242">
          <cell r="B242" t="str">
            <v>FY(2)</v>
          </cell>
          <cell r="C242">
            <v>2256.6999999999998</v>
          </cell>
          <cell r="D242">
            <v>2308</v>
          </cell>
          <cell r="E242">
            <v>3355</v>
          </cell>
          <cell r="F242">
            <v>1481.8019999999999</v>
          </cell>
          <cell r="G242">
            <v>270.53497730279503</v>
          </cell>
          <cell r="H242">
            <v>541.79</v>
          </cell>
          <cell r="I242">
            <v>1827.10628618338</v>
          </cell>
          <cell r="J242">
            <v>1720.1333233551682</v>
          </cell>
          <cell r="K242">
            <v>12040.933263486177</v>
          </cell>
          <cell r="M242">
            <v>962.62599999999998</v>
          </cell>
          <cell r="N242">
            <v>236.45400000000001</v>
          </cell>
          <cell r="O242">
            <v>707.95799999999997</v>
          </cell>
          <cell r="P242">
            <v>1074.2840000000001</v>
          </cell>
          <cell r="Q242">
            <v>1896</v>
          </cell>
          <cell r="R242">
            <v>1213.1210000000001</v>
          </cell>
          <cell r="S242">
            <v>294.96199999999999</v>
          </cell>
          <cell r="T242">
            <v>912.20071428571441</v>
          </cell>
          <cell r="U242">
            <v>6385.4050000000007</v>
          </cell>
        </row>
        <row r="243">
          <cell r="B243" t="str">
            <v>FY(1)</v>
          </cell>
          <cell r="C243">
            <v>2077.9659999999999</v>
          </cell>
          <cell r="D243">
            <v>1597.80967741935</v>
          </cell>
          <cell r="E243">
            <v>2676</v>
          </cell>
          <cell r="F243">
            <v>1081.5509999999999</v>
          </cell>
          <cell r="G243">
            <v>24.9609180094481</v>
          </cell>
          <cell r="H243">
            <v>632.69015938101995</v>
          </cell>
          <cell r="I243">
            <v>1836.4380000000001</v>
          </cell>
          <cell r="J243">
            <v>1418.2022506871167</v>
          </cell>
          <cell r="K243">
            <v>9927.4157548098174</v>
          </cell>
          <cell r="M243">
            <v>725.05174913631095</v>
          </cell>
          <cell r="N243">
            <v>294.072</v>
          </cell>
          <cell r="O243">
            <v>440.01</v>
          </cell>
          <cell r="P243">
            <v>1279.933</v>
          </cell>
          <cell r="Q243">
            <v>2116</v>
          </cell>
          <cell r="R243">
            <v>1060.547</v>
          </cell>
          <cell r="S243">
            <v>381.38400000000001</v>
          </cell>
          <cell r="T243">
            <v>899.57110701947306</v>
          </cell>
          <cell r="U243">
            <v>6296.9977491363115</v>
          </cell>
        </row>
        <row r="244">
          <cell r="B244" t="str">
            <v>FY0</v>
          </cell>
          <cell r="C244">
            <v>2301</v>
          </cell>
          <cell r="D244">
            <v>1158</v>
          </cell>
          <cell r="E244">
            <v>2664</v>
          </cell>
          <cell r="F244">
            <v>1147</v>
          </cell>
          <cell r="G244">
            <v>115.125</v>
          </cell>
          <cell r="H244">
            <v>885.16499999999996</v>
          </cell>
          <cell r="I244">
            <v>2426.2710000000002</v>
          </cell>
          <cell r="J244">
            <v>1528.0801428571431</v>
          </cell>
          <cell r="K244">
            <v>10696.561000000002</v>
          </cell>
          <cell r="M244">
            <v>387.79300000000001</v>
          </cell>
          <cell r="N244">
            <v>438.83600000000001</v>
          </cell>
          <cell r="O244">
            <v>401.83100000000002</v>
          </cell>
          <cell r="P244">
            <v>1123.2919999999999</v>
          </cell>
          <cell r="Q244">
            <v>2384</v>
          </cell>
          <cell r="R244">
            <v>1218.6880000000001</v>
          </cell>
          <cell r="S244">
            <v>430.70760552622602</v>
          </cell>
          <cell r="T244">
            <v>912.1639436466038</v>
          </cell>
          <cell r="U244">
            <v>6385.1476055262265</v>
          </cell>
        </row>
        <row r="245">
          <cell r="B245" t="str">
            <v>FY1</v>
          </cell>
          <cell r="C245">
            <v>2686.84181622079</v>
          </cell>
          <cell r="D245">
            <v>1347.8740241831399</v>
          </cell>
          <cell r="E245">
            <v>2960.5821133261602</v>
          </cell>
          <cell r="F245">
            <v>1374.02006461376</v>
          </cell>
          <cell r="G245">
            <v>161.96668774929</v>
          </cell>
          <cell r="H245">
            <v>1041.9889630135999</v>
          </cell>
          <cell r="I245">
            <v>2767.47676537285</v>
          </cell>
          <cell r="J245">
            <v>1762.9643477827988</v>
          </cell>
          <cell r="K245">
            <v>12340.750434479591</v>
          </cell>
          <cell r="M245">
            <v>506.856434846556</v>
          </cell>
          <cell r="N245">
            <v>482.94581708179197</v>
          </cell>
          <cell r="O245">
            <v>538.32960467117198</v>
          </cell>
          <cell r="P245">
            <v>1229.7363768574801</v>
          </cell>
          <cell r="Q245">
            <v>2324.7604263346402</v>
          </cell>
          <cell r="R245">
            <v>1405.9915882274099</v>
          </cell>
          <cell r="S245">
            <v>533.82068847242601</v>
          </cell>
          <cell r="T245">
            <v>1003.2058480702109</v>
          </cell>
          <cell r="U245">
            <v>7022.4409364914764</v>
          </cell>
        </row>
        <row r="246">
          <cell r="B246" t="str">
            <v>FY2</v>
          </cell>
          <cell r="C246">
            <v>3008.6000665880301</v>
          </cell>
          <cell r="D246">
            <v>1441.20570650286</v>
          </cell>
          <cell r="E246">
            <v>3034.9502716429602</v>
          </cell>
          <cell r="F246">
            <v>1490.9045633425301</v>
          </cell>
          <cell r="G246">
            <v>234.34480855729399</v>
          </cell>
          <cell r="H246">
            <v>1101.5944246275301</v>
          </cell>
          <cell r="I246">
            <v>2899.7095667612998</v>
          </cell>
          <cell r="J246">
            <v>1887.3299154317865</v>
          </cell>
          <cell r="K246">
            <v>13211.309408022506</v>
          </cell>
          <cell r="M246">
            <v>606.38347910348796</v>
          </cell>
          <cell r="N246">
            <v>494.18589722787698</v>
          </cell>
          <cell r="O246">
            <v>636.55593877707702</v>
          </cell>
          <cell r="P246">
            <v>1322.4822084172999</v>
          </cell>
          <cell r="Q246">
            <v>2344.0587649516701</v>
          </cell>
          <cell r="R246">
            <v>1533.4490512956399</v>
          </cell>
          <cell r="S246">
            <v>628.90968806985495</v>
          </cell>
          <cell r="T246">
            <v>1080.8607182632725</v>
          </cell>
          <cell r="U246">
            <v>7566.0250278429075</v>
          </cell>
        </row>
        <row r="247">
          <cell r="B247" t="str">
            <v>FQ(3)</v>
          </cell>
          <cell r="C247">
            <v>392</v>
          </cell>
          <cell r="D247">
            <v>226</v>
          </cell>
          <cell r="E247">
            <v>327</v>
          </cell>
          <cell r="F247">
            <v>223</v>
          </cell>
          <cell r="G247">
            <v>35.716999999999999</v>
          </cell>
          <cell r="H247">
            <v>188.416</v>
          </cell>
          <cell r="I247">
            <v>449.96800000000002</v>
          </cell>
          <cell r="J247">
            <v>263.15728571428571</v>
          </cell>
          <cell r="K247">
            <v>1842.1010000000001</v>
          </cell>
          <cell r="M247">
            <v>25.797000000000001</v>
          </cell>
          <cell r="N247">
            <v>67.896000000000001</v>
          </cell>
          <cell r="O247">
            <v>62.247</v>
          </cell>
          <cell r="P247">
            <v>229.47300000000001</v>
          </cell>
          <cell r="Q247">
            <v>496</v>
          </cell>
          <cell r="R247">
            <v>150.21199999999999</v>
          </cell>
          <cell r="S247">
            <v>68.209999999999994</v>
          </cell>
          <cell r="T247">
            <v>157.11928571428572</v>
          </cell>
          <cell r="U247">
            <v>1099.835</v>
          </cell>
        </row>
        <row r="248">
          <cell r="B248" t="str">
            <v>FQ(2)</v>
          </cell>
          <cell r="C248">
            <v>543</v>
          </cell>
          <cell r="D248">
            <v>188</v>
          </cell>
          <cell r="E248">
            <v>583</v>
          </cell>
          <cell r="F248">
            <v>284</v>
          </cell>
          <cell r="G248">
            <v>-31.690999999999999</v>
          </cell>
          <cell r="H248">
            <v>209.28800000000001</v>
          </cell>
          <cell r="I248">
            <v>527.60299999999995</v>
          </cell>
          <cell r="J248">
            <v>329.02857142857141</v>
          </cell>
          <cell r="K248">
            <v>2303.1999999999998</v>
          </cell>
          <cell r="M248">
            <v>67.600999999999999</v>
          </cell>
          <cell r="N248">
            <v>77.688999999999993</v>
          </cell>
          <cell r="O248">
            <v>81.658000000000001</v>
          </cell>
          <cell r="P248">
            <v>250.87799999999999</v>
          </cell>
          <cell r="Q248">
            <v>516</v>
          </cell>
          <cell r="R248">
            <v>236.643</v>
          </cell>
          <cell r="S248">
            <v>101.444</v>
          </cell>
          <cell r="T248">
            <v>190.27328571428572</v>
          </cell>
          <cell r="U248">
            <v>1331.913</v>
          </cell>
        </row>
        <row r="249">
          <cell r="B249" t="str">
            <v>FQ(1)</v>
          </cell>
          <cell r="C249">
            <v>489</v>
          </cell>
          <cell r="D249">
            <v>230</v>
          </cell>
          <cell r="E249">
            <v>389</v>
          </cell>
          <cell r="F249">
            <v>251</v>
          </cell>
          <cell r="G249">
            <v>48.911000000000001</v>
          </cell>
          <cell r="H249">
            <v>212.46199999999999</v>
          </cell>
          <cell r="I249">
            <v>688.21</v>
          </cell>
          <cell r="J249">
            <v>329.79757142857142</v>
          </cell>
          <cell r="K249">
            <v>2308.5830000000001</v>
          </cell>
          <cell r="M249">
            <v>105.699</v>
          </cell>
          <cell r="N249">
            <v>118.661</v>
          </cell>
          <cell r="O249">
            <v>106.85899999999999</v>
          </cell>
          <cell r="P249">
            <v>256.62700000000001</v>
          </cell>
          <cell r="Q249">
            <v>647</v>
          </cell>
          <cell r="R249">
            <v>147.88499999999999</v>
          </cell>
          <cell r="S249">
            <v>119.389</v>
          </cell>
          <cell r="T249">
            <v>214.58857142857141</v>
          </cell>
          <cell r="U249">
            <v>1502.12</v>
          </cell>
        </row>
        <row r="250">
          <cell r="B250" t="str">
            <v>Last Reported Q</v>
          </cell>
          <cell r="C250">
            <v>2301</v>
          </cell>
          <cell r="D250">
            <v>1158</v>
          </cell>
          <cell r="E250">
            <v>2664</v>
          </cell>
          <cell r="F250">
            <v>1147</v>
          </cell>
          <cell r="G250">
            <v>115.125</v>
          </cell>
          <cell r="H250">
            <v>885.16499999999996</v>
          </cell>
          <cell r="I250">
            <v>2426.2710000000002</v>
          </cell>
          <cell r="J250">
            <v>1528.0801428571431</v>
          </cell>
          <cell r="K250">
            <v>10696.561000000002</v>
          </cell>
          <cell r="M250">
            <v>387.79300000000001</v>
          </cell>
          <cell r="N250">
            <v>438.83600000000001</v>
          </cell>
          <cell r="O250">
            <v>401.83100000000002</v>
          </cell>
          <cell r="P250">
            <v>408.89</v>
          </cell>
          <cell r="Q250">
            <v>2384</v>
          </cell>
          <cell r="R250">
            <v>1218.6880000000001</v>
          </cell>
          <cell r="S250">
            <v>430.70760552622602</v>
          </cell>
          <cell r="T250">
            <v>810.10651507517525</v>
          </cell>
          <cell r="U250">
            <v>5670.7456055262264</v>
          </cell>
        </row>
        <row r="251">
          <cell r="B251" t="str">
            <v>LTM</v>
          </cell>
          <cell r="C251">
            <v>3725</v>
          </cell>
          <cell r="D251">
            <v>1802</v>
          </cell>
          <cell r="E251">
            <v>3963</v>
          </cell>
          <cell r="F251">
            <v>1905</v>
          </cell>
          <cell r="G251">
            <v>168.06200000000001</v>
          </cell>
          <cell r="H251">
            <v>1495.3309999999999</v>
          </cell>
          <cell r="I251">
            <v>4092.0520000000001</v>
          </cell>
          <cell r="J251">
            <v>2450.0635714285713</v>
          </cell>
          <cell r="K251">
            <v>17150.445</v>
          </cell>
          <cell r="M251">
            <v>586.89</v>
          </cell>
          <cell r="N251">
            <v>703.08199999999999</v>
          </cell>
          <cell r="O251">
            <v>652.59500000000003</v>
          </cell>
          <cell r="P251">
            <v>1145.8679999999999</v>
          </cell>
          <cell r="Q251">
            <v>4043</v>
          </cell>
          <cell r="R251">
            <v>1753.4280000000001</v>
          </cell>
          <cell r="S251">
            <v>719.75060552622608</v>
          </cell>
          <cell r="T251">
            <v>1372.0876579323178</v>
          </cell>
          <cell r="U251">
            <v>9604.613605526225</v>
          </cell>
        </row>
        <row r="252">
          <cell r="B252" t="str">
            <v>FY1</v>
          </cell>
          <cell r="C252">
            <v>7.9293440159680317E-2</v>
          </cell>
          <cell r="D252">
            <v>-0.28175242217070839</v>
          </cell>
          <cell r="E252">
            <v>-5.8706764560482072E-2</v>
          </cell>
          <cell r="F252">
            <v>-1.2659497227352157E-2</v>
          </cell>
          <cell r="G252">
            <v>2.8440816501221811</v>
          </cell>
          <cell r="H252">
            <v>0.37739008200740787</v>
          </cell>
          <cell r="I252">
            <v>0.25447263704823664</v>
          </cell>
          <cell r="J252">
            <v>3.1167021448063714E-2</v>
          </cell>
          <cell r="K252">
            <v>3.1167021448063714E-2</v>
          </cell>
          <cell r="M252">
            <v>-0.44755096954652773</v>
          </cell>
          <cell r="N252">
            <v>0.40776067925643722</v>
          </cell>
          <cell r="O252">
            <v>-0.10256876684475125</v>
          </cell>
          <cell r="P252">
            <v>8.7859867401067548E-2</v>
          </cell>
          <cell r="Q252">
            <v>9.4663871224688112E-2</v>
          </cell>
          <cell r="R252">
            <v>7.1548102236515865E-2</v>
          </cell>
          <cell r="S252">
            <v>0.10220319930856303</v>
          </cell>
          <cell r="T252">
            <v>2.8925996516275365E-2</v>
          </cell>
          <cell r="U252">
            <v>2.8925996516275365E-2</v>
          </cell>
        </row>
        <row r="253">
          <cell r="B253" t="str">
            <v>EBITDA Margin</v>
          </cell>
          <cell r="C253">
            <v>0.11823966128147112</v>
          </cell>
          <cell r="D253">
            <v>0.13978431130046953</v>
          </cell>
          <cell r="E253">
            <v>3.3430400435524144E-2</v>
          </cell>
          <cell r="F253">
            <v>7.7024231074919403E-2</v>
          </cell>
          <cell r="G253">
            <v>0.49767331916214141</v>
          </cell>
          <cell r="H253">
            <v>2.8087481082974541E-3</v>
          </cell>
          <cell r="I253">
            <v>9.2016676363640526E-2</v>
          </cell>
          <cell r="J253">
            <v>8.2720158998771387E-2</v>
          </cell>
          <cell r="K253">
            <v>8.2720158998771609E-2</v>
          </cell>
          <cell r="M253">
            <v>0.22592980450213873</v>
          </cell>
          <cell r="N253">
            <v>2.4701111113993424E-2</v>
          </cell>
          <cell r="O253">
            <v>0.21193428107274648</v>
          </cell>
          <cell r="P253">
            <v>7.6209113790322691E-2</v>
          </cell>
          <cell r="Q253">
            <v>6.5830701459941299E-3</v>
          </cell>
          <cell r="R253">
            <v>8.3458125413556905E-2</v>
          </cell>
          <cell r="S253">
            <v>0.21981119502112567</v>
          </cell>
          <cell r="T253">
            <v>7.5768860916895386E-2</v>
          </cell>
          <cell r="U253">
            <v>7.5768860916895386E-2</v>
          </cell>
        </row>
        <row r="254">
          <cell r="B254" t="str">
            <v>FY(2)</v>
          </cell>
          <cell r="C254">
            <v>0.13698804761528982</v>
          </cell>
          <cell r="D254">
            <v>0.11620805269441058</v>
          </cell>
          <cell r="E254">
            <v>0.12750351537262949</v>
          </cell>
          <cell r="F254">
            <v>0.16785605133955017</v>
          </cell>
          <cell r="G254">
            <v>8.2868419605755084E-2</v>
          </cell>
          <cell r="H254">
            <v>9.0672933445708689E-2</v>
          </cell>
          <cell r="I254">
            <v>9.9641903695533218E-2</v>
          </cell>
          <cell r="J254">
            <v>0.11739127482412529</v>
          </cell>
          <cell r="K254">
            <v>0.12156171950147786</v>
          </cell>
          <cell r="M254">
            <v>0.26019338014128879</v>
          </cell>
          <cell r="N254">
            <v>0.14935354914750854</v>
          </cell>
          <cell r="O254">
            <v>0.23170570059294651</v>
          </cell>
          <cell r="P254">
            <v>0.41121611234792088</v>
          </cell>
          <cell r="Q254">
            <v>0.12028167227050689</v>
          </cell>
          <cell r="R254">
            <v>0.12027421769325956</v>
          </cell>
          <cell r="S254">
            <v>0.19563394891903294</v>
          </cell>
          <cell r="T254">
            <v>0.21266551158749486</v>
          </cell>
          <cell r="U254">
            <v>0.16668711075578976</v>
          </cell>
        </row>
        <row r="255">
          <cell r="A255" t="str">
            <v>mscalc:netIncomeBeforeOperatingLeaseAdjustment</v>
          </cell>
          <cell r="B255" t="str">
            <v>FY(1)</v>
          </cell>
          <cell r="C255">
            <v>0.1267910598026713</v>
          </cell>
          <cell r="D255">
            <v>8.6431288394483163E-2</v>
          </cell>
          <cell r="E255">
            <v>0.10750441909047083</v>
          </cell>
          <cell r="F255">
            <v>0.13044879990350983</v>
          </cell>
          <cell r="G255">
            <v>8.2192422010453139E-3</v>
          </cell>
          <cell r="H255">
            <v>9.7544958469286569E-2</v>
          </cell>
          <cell r="I255">
            <v>9.6657149752059329E-2</v>
          </cell>
          <cell r="J255">
            <v>9.3370988230503743E-2</v>
          </cell>
          <cell r="K255">
            <v>0.10278859736299435</v>
          </cell>
          <cell r="M255">
            <v>0.20810559331730538</v>
          </cell>
          <cell r="N255">
            <v>0.15596243180303057</v>
          </cell>
          <cell r="O255">
            <v>0.14721878254841297</v>
          </cell>
          <cell r="P255">
            <v>0.40239886291219351</v>
          </cell>
          <cell r="Q255">
            <v>0.1456698334021754</v>
          </cell>
          <cell r="R255">
            <v>0.11728210409699492</v>
          </cell>
          <cell r="S255">
            <v>0.20788196779929119</v>
          </cell>
          <cell r="T255">
            <v>0.19778851083991483</v>
          </cell>
          <cell r="U255">
            <v>0.17045411078742415</v>
          </cell>
        </row>
        <row r="256">
          <cell r="B256" t="str">
            <v>FY0</v>
          </cell>
          <cell r="C256">
            <v>0.13395819991849567</v>
          </cell>
          <cell r="D256">
            <v>6.5954797094283174E-2</v>
          </cell>
          <cell r="E256">
            <v>0.1134147899016561</v>
          </cell>
          <cell r="F256">
            <v>0.1388956163720029</v>
          </cell>
          <cell r="G256">
            <v>4.3845283751823318E-2</v>
          </cell>
          <cell r="H256">
            <v>0.12320973779591446</v>
          </cell>
          <cell r="I256">
            <v>0.1195888161753558</v>
          </cell>
          <cell r="J256">
            <v>0.10555246300136163</v>
          </cell>
          <cell r="K256">
            <v>0.1107535514305215</v>
          </cell>
          <cell r="M256">
            <v>0.13241469973110248</v>
          </cell>
          <cell r="N256">
            <v>0.19677817860594007</v>
          </cell>
          <cell r="O256">
            <v>0.13436656302937447</v>
          </cell>
          <cell r="P256">
            <v>0.34771803961531267</v>
          </cell>
          <cell r="Q256">
            <v>0.1679228005916743</v>
          </cell>
          <cell r="R256">
            <v>0.14117380216116088</v>
          </cell>
          <cell r="S256">
            <v>0.22226456371027473</v>
          </cell>
          <cell r="T256">
            <v>0.19180552106354851</v>
          </cell>
          <cell r="U256">
            <v>0.17664338994555029</v>
          </cell>
        </row>
        <row r="257">
          <cell r="B257" t="str">
            <v>FY1</v>
          </cell>
          <cell r="C257">
            <v>0.14524953541489105</v>
          </cell>
          <cell r="D257">
            <v>7.5696969513404266E-2</v>
          </cell>
          <cell r="E257">
            <v>0.12062063000600672</v>
          </cell>
          <cell r="F257">
            <v>0.15384036187165825</v>
          </cell>
          <cell r="G257">
            <v>5.9166066089843448E-2</v>
          </cell>
          <cell r="H257">
            <v>0.13352223205816469</v>
          </cell>
          <cell r="I257">
            <v>0.1254741288661009</v>
          </cell>
          <cell r="J257">
            <v>0.11622427483143848</v>
          </cell>
          <cell r="K257">
            <v>0.12054122450092597</v>
          </cell>
          <cell r="M257">
            <v>0.16025826241318036</v>
          </cell>
          <cell r="N257">
            <v>0.19872151824836315</v>
          </cell>
          <cell r="O257">
            <v>0.18010886307621324</v>
          </cell>
          <cell r="P257">
            <v>0.35376895413704895</v>
          </cell>
          <cell r="Q257">
            <v>0.16537263357722404</v>
          </cell>
          <cell r="R257">
            <v>0.1543223268754341</v>
          </cell>
          <cell r="S257">
            <v>0.23604606226171623</v>
          </cell>
          <cell r="T257">
            <v>0.20694266008416859</v>
          </cell>
          <cell r="U257">
            <v>0.18732508010362472</v>
          </cell>
        </row>
        <row r="258">
          <cell r="B258" t="str">
            <v>FY2</v>
          </cell>
          <cell r="C258">
            <v>0.15013309545326939</v>
          </cell>
          <cell r="D258">
            <v>7.9193958122540042E-2</v>
          </cell>
          <cell r="E258">
            <v>0.12262063000600606</v>
          </cell>
          <cell r="F258">
            <v>0.15941706666592947</v>
          </cell>
          <cell r="G258">
            <v>7.9918982174010306E-2</v>
          </cell>
          <cell r="H258">
            <v>0.13497861403200276</v>
          </cell>
          <cell r="I258">
            <v>0.12334122145439311</v>
          </cell>
          <cell r="J258">
            <v>0.121371938272593</v>
          </cell>
          <cell r="K258">
            <v>0.1235346883153805</v>
          </cell>
          <cell r="M258">
            <v>0.17746344955354632</v>
          </cell>
          <cell r="N258">
            <v>0.17966044021851338</v>
          </cell>
          <cell r="O258">
            <v>0.19258538043028928</v>
          </cell>
          <cell r="P258">
            <v>0.35575566674388343</v>
          </cell>
          <cell r="Q258">
            <v>0.17352122215451327</v>
          </cell>
          <cell r="R258">
            <v>0.16219812579766729</v>
          </cell>
          <cell r="S258">
            <v>0.24375203757221914</v>
          </cell>
          <cell r="T258">
            <v>0.21213376035294743</v>
          </cell>
          <cell r="U258">
            <v>0.19533599961776127</v>
          </cell>
        </row>
        <row r="259">
          <cell r="B259" t="str">
            <v>FQ(3)</v>
          </cell>
          <cell r="C259">
            <v>0.10775151181968114</v>
          </cell>
          <cell r="D259">
            <v>5.8180917683151347E-2</v>
          </cell>
          <cell r="E259">
            <v>6.2896710905943454E-2</v>
          </cell>
          <cell r="F259">
            <v>0.13071512309495897</v>
          </cell>
          <cell r="G259">
            <v>5.7490672272424374E-2</v>
          </cell>
          <cell r="H259">
            <v>0.11138337159102128</v>
          </cell>
          <cell r="I259">
            <v>0.10334057228107695</v>
          </cell>
          <cell r="J259">
            <v>9.0251268521179637E-2</v>
          </cell>
          <cell r="K259">
            <v>8.7326027810072149E-2</v>
          </cell>
          <cell r="M259">
            <v>4.2871458746379182E-2</v>
          </cell>
          <cell r="N259">
            <v>0.1664019763543321</v>
          </cell>
          <cell r="O259">
            <v>0.10171078431372549</v>
          </cell>
          <cell r="P259">
            <v>0.3101242129418777</v>
          </cell>
          <cell r="Q259">
            <v>0.15861848417013111</v>
          </cell>
          <cell r="R259">
            <v>8.7067457978237187E-2</v>
          </cell>
          <cell r="S259">
            <v>0.17726275740912067</v>
          </cell>
          <cell r="T259">
            <v>0.14915101884482906</v>
          </cell>
          <cell r="U259">
            <v>0.14473941352003131</v>
          </cell>
        </row>
        <row r="260">
          <cell r="B260" t="str">
            <v>FQ(2)</v>
          </cell>
          <cell r="C260">
            <v>0.14266946925906462</v>
          </cell>
          <cell r="D260">
            <v>4.7683661878543789E-2</v>
          </cell>
          <cell r="E260">
            <v>0.11289697908597986</v>
          </cell>
          <cell r="F260">
            <v>0.1324009324009324</v>
          </cell>
          <cell r="G260">
            <v>-5.6420198826411437E-2</v>
          </cell>
          <cell r="H260">
            <v>0.11833299785823652</v>
          </cell>
          <cell r="I260">
            <v>0.11113215130063475</v>
          </cell>
          <cell r="J260">
            <v>8.69565704224258E-2</v>
          </cell>
          <cell r="K260">
            <v>0.1040500073004839</v>
          </cell>
          <cell r="M260">
            <v>0.10608721307050457</v>
          </cell>
          <cell r="N260">
            <v>0.17149132488631846</v>
          </cell>
          <cell r="O260">
            <v>0.12417654608604675</v>
          </cell>
          <cell r="P260">
            <v>0.32257143738813798</v>
          </cell>
          <cell r="Q260">
            <v>0.15901386748844376</v>
          </cell>
          <cell r="R260">
            <v>0.11450781714982507</v>
          </cell>
          <cell r="S260">
            <v>0.22119112305015418</v>
          </cell>
          <cell r="T260">
            <v>0.17414847558849011</v>
          </cell>
          <cell r="U260">
            <v>0.16055236030399414</v>
          </cell>
        </row>
        <row r="261">
          <cell r="B261" t="str">
            <v>FQ(1)</v>
          </cell>
          <cell r="C261">
            <v>0.12071093557146384</v>
          </cell>
          <cell r="D261">
            <v>5.5018734955040782E-2</v>
          </cell>
          <cell r="E261">
            <v>7.3716126587075992E-2</v>
          </cell>
          <cell r="F261">
            <v>0.13436830835117772</v>
          </cell>
          <cell r="G261">
            <v>7.7460193781139441E-2</v>
          </cell>
          <cell r="H261">
            <v>0.12181483241874644</v>
          </cell>
          <cell r="I261">
            <v>0.1312139343283992</v>
          </cell>
          <cell r="J261">
            <v>0.10204329514186336</v>
          </cell>
          <cell r="K261">
            <v>0.10038664671341772</v>
          </cell>
          <cell r="M261">
            <v>0.14024312576623624</v>
          </cell>
          <cell r="N261">
            <v>0.208969811812524</v>
          </cell>
          <cell r="O261">
            <v>0.14267613043118341</v>
          </cell>
          <cell r="P261">
            <v>0.33702985276523206</v>
          </cell>
          <cell r="Q261">
            <v>0.18027305656171635</v>
          </cell>
          <cell r="R261">
            <v>8.3208166142882178E-2</v>
          </cell>
          <cell r="S261">
            <v>0.23599327930421032</v>
          </cell>
          <cell r="T261">
            <v>0.18977048896914067</v>
          </cell>
          <cell r="U261">
            <v>0.17257593409458666</v>
          </cell>
        </row>
        <row r="262">
          <cell r="B262" t="str">
            <v>Last Reported Q</v>
          </cell>
          <cell r="C262">
            <v>0.13395819991849567</v>
          </cell>
          <cell r="D262">
            <v>6.5954797094283174E-2</v>
          </cell>
          <cell r="E262">
            <v>0.1134147899016561</v>
          </cell>
          <cell r="F262">
            <v>0.1388956163720029</v>
          </cell>
          <cell r="G262">
            <v>4.3845283751823318E-2</v>
          </cell>
          <cell r="H262">
            <v>0.12320973779591446</v>
          </cell>
          <cell r="I262">
            <v>0.1195888161753558</v>
          </cell>
          <cell r="J262">
            <v>0.10555246300136163</v>
          </cell>
          <cell r="K262">
            <v>0.1107535514305215</v>
          </cell>
          <cell r="M262">
            <v>0.13241469973110248</v>
          </cell>
          <cell r="N262">
            <v>0.19677817860594007</v>
          </cell>
          <cell r="O262">
            <v>0.13436656302937447</v>
          </cell>
          <cell r="P262">
            <v>0.38393246980061119</v>
          </cell>
          <cell r="Q262">
            <v>0.1679228005916743</v>
          </cell>
          <cell r="R262">
            <v>0.14117380216116088</v>
          </cell>
          <cell r="S262">
            <v>0.22226456371027473</v>
          </cell>
          <cell r="T262">
            <v>0.19697901109001972</v>
          </cell>
          <cell r="U262">
            <v>0.16687672680250146</v>
          </cell>
        </row>
        <row r="263">
          <cell r="B263" t="str">
            <v>LTM</v>
          </cell>
          <cell r="C263">
            <v>0.12991768973214285</v>
          </cell>
          <cell r="D263">
            <v>6.0950532559043924E-2</v>
          </cell>
          <cell r="E263">
            <v>0.10128038028061029</v>
          </cell>
          <cell r="F263">
            <v>0.13629534234814339</v>
          </cell>
          <cell r="G263">
            <v>3.7850898154233259E-2</v>
          </cell>
          <cell r="H263">
            <v>0.1207023044678138</v>
          </cell>
          <cell r="I263">
            <v>0.1181474006949358</v>
          </cell>
          <cell r="J263">
            <v>0.10073493546241762</v>
          </cell>
          <cell r="K263">
            <v>0.10534231755292885</v>
          </cell>
          <cell r="M263">
            <v>0.11925606841663891</v>
          </cell>
          <cell r="N263">
            <v>0.19215209018233734</v>
          </cell>
          <cell r="O263">
            <v>0.13028147082239661</v>
          </cell>
          <cell r="P263">
            <v>0.34265106717003696</v>
          </cell>
          <cell r="Q263">
            <v>0.16735656925242157</v>
          </cell>
          <cell r="R263">
            <v>0.12346629865368679</v>
          </cell>
          <cell r="S263">
            <v>0.2189597225568104</v>
          </cell>
          <cell r="T263">
            <v>0.18487475529347552</v>
          </cell>
          <cell r="U263">
            <v>0.16395638290338857</v>
          </cell>
        </row>
        <row r="264">
          <cell r="B264" t="str">
            <v>Last Reported Q</v>
          </cell>
          <cell r="C264">
            <v>193</v>
          </cell>
          <cell r="D264">
            <v>27</v>
          </cell>
          <cell r="E264">
            <v>-2</v>
          </cell>
          <cell r="F264">
            <v>83</v>
          </cell>
          <cell r="G264">
            <v>2.2584630489110999</v>
          </cell>
          <cell r="H264">
            <v>105.08</v>
          </cell>
          <cell r="I264">
            <v>347.79899999999998</v>
          </cell>
          <cell r="J264">
            <v>108.01963757841587</v>
          </cell>
          <cell r="K264">
            <v>756.13746304891106</v>
          </cell>
          <cell r="M264">
            <v>26.331</v>
          </cell>
          <cell r="N264">
            <v>62.628999999999998</v>
          </cell>
          <cell r="O264">
            <v>44.501489999999997</v>
          </cell>
          <cell r="P264">
            <v>622.12800000000004</v>
          </cell>
          <cell r="Q264">
            <v>307</v>
          </cell>
          <cell r="R264">
            <v>6.0990000000000002</v>
          </cell>
          <cell r="S264">
            <v>62.392000000000003</v>
          </cell>
          <cell r="T264">
            <v>161.58292714285716</v>
          </cell>
          <cell r="U264">
            <v>1131.0804900000001</v>
          </cell>
        </row>
        <row r="265">
          <cell r="B265" t="str">
            <v>EBITDA Growth, Y/Y</v>
          </cell>
          <cell r="C265">
            <v>895</v>
          </cell>
          <cell r="D265">
            <v>259.38200000000001</v>
          </cell>
          <cell r="E265">
            <v>917</v>
          </cell>
          <cell r="F265">
            <v>324</v>
          </cell>
          <cell r="G265">
            <v>-129.12349297410259</v>
          </cell>
          <cell r="H265">
            <v>397.26099999999997</v>
          </cell>
          <cell r="I265">
            <v>1054.4956247570569</v>
          </cell>
          <cell r="J265">
            <v>531.14501882613627</v>
          </cell>
          <cell r="K265">
            <v>3718.0151317829541</v>
          </cell>
          <cell r="M265">
            <v>99.525280000000024</v>
          </cell>
          <cell r="N265">
            <v>202.98999999999998</v>
          </cell>
          <cell r="O265">
            <v>127.42749000000001</v>
          </cell>
          <cell r="P265">
            <v>1107.99</v>
          </cell>
          <cell r="Q265">
            <v>993</v>
          </cell>
          <cell r="R265">
            <v>287.89599999999996</v>
          </cell>
          <cell r="S265">
            <v>182.76300000000001</v>
          </cell>
          <cell r="T265">
            <v>428.79882428571426</v>
          </cell>
          <cell r="U265">
            <v>3001.59177</v>
          </cell>
        </row>
        <row r="266">
          <cell r="B266" t="str">
            <v>FY(2)</v>
          </cell>
        </row>
        <row r="267">
          <cell r="A267" t="str">
            <v>mstag:adjEpsForConsensus</v>
          </cell>
          <cell r="B267" t="str">
            <v>FY(1)</v>
          </cell>
          <cell r="C267">
            <v>-7.9201488899720784E-2</v>
          </cell>
          <cell r="D267">
            <v>-0.30770811203667681</v>
          </cell>
          <cell r="E267">
            <v>-0.20238450074515646</v>
          </cell>
          <cell r="F267">
            <v>-0.2701109864880733</v>
          </cell>
          <cell r="G267">
            <v>-0.90773496921431085</v>
          </cell>
          <cell r="H267">
            <v>0.16777747721630143</v>
          </cell>
          <cell r="I267">
            <v>5.1073732749904455E-3</v>
          </cell>
          <cell r="J267">
            <v>-0.17552771553726221</v>
          </cell>
          <cell r="K267">
            <v>-0.17552771553726221</v>
          </cell>
          <cell r="M267">
            <v>-0.24679808239512446</v>
          </cell>
          <cell r="N267">
            <v>0.24367530259585379</v>
          </cell>
          <cell r="O267">
            <v>-0.37848007932673966</v>
          </cell>
          <cell r="P267">
            <v>0.19142889589717416</v>
          </cell>
          <cell r="Q267">
            <v>0.11603375527426163</v>
          </cell>
          <cell r="R267">
            <v>-0.12576981191488734</v>
          </cell>
          <cell r="S267">
            <v>0.29299367376136587</v>
          </cell>
          <cell r="T267">
            <v>-1.3845206508230845E-2</v>
          </cell>
          <cell r="U267">
            <v>-1.3845206508230734E-2</v>
          </cell>
        </row>
        <row r="268">
          <cell r="B268" t="str">
            <v>FY0</v>
          </cell>
          <cell r="C268">
            <v>0.10733284375201535</v>
          </cell>
          <cell r="D268">
            <v>-0.27525786308272593</v>
          </cell>
          <cell r="E268">
            <v>-4.484304932735439E-3</v>
          </cell>
          <cell r="F268">
            <v>6.0514021067892276E-2</v>
          </cell>
          <cell r="G268">
            <v>3.6122101741780241</v>
          </cell>
          <cell r="H268">
            <v>0.39904973528588439</v>
          </cell>
          <cell r="I268">
            <v>0.32118318178996508</v>
          </cell>
          <cell r="J268">
            <v>7.747688463813307E-2</v>
          </cell>
          <cell r="K268">
            <v>7.747688463813307E-2</v>
          </cell>
          <cell r="M268">
            <v>-0.4651512799438895</v>
          </cell>
          <cell r="N268">
            <v>0.49227400092494356</v>
          </cell>
          <cell r="O268">
            <v>-8.6768482534487767E-2</v>
          </cell>
          <cell r="P268">
            <v>-0.12238218719261096</v>
          </cell>
          <cell r="Q268">
            <v>0.12665406427221182</v>
          </cell>
          <cell r="R268">
            <v>0.14911267487438096</v>
          </cell>
          <cell r="S268">
            <v>0.12932793595490644</v>
          </cell>
          <cell r="T268">
            <v>1.3998711751485926E-2</v>
          </cell>
          <cell r="U268">
            <v>1.3998711751485926E-2</v>
          </cell>
        </row>
        <row r="269">
          <cell r="B269" t="str">
            <v>FY1</v>
          </cell>
          <cell r="C269">
            <v>0.16768440513724037</v>
          </cell>
          <cell r="D269">
            <v>0.16396720568492218</v>
          </cell>
          <cell r="E269">
            <v>0.11132962211942954</v>
          </cell>
          <cell r="F269">
            <v>0.1979250781288231</v>
          </cell>
          <cell r="G269">
            <v>0.40687676655192195</v>
          </cell>
          <cell r="H269">
            <v>0.17716918655120795</v>
          </cell>
          <cell r="I269">
            <v>0.14062970104034123</v>
          </cell>
          <cell r="J269">
            <v>0.15371196728365222</v>
          </cell>
          <cell r="K269">
            <v>0.153711967283652</v>
          </cell>
          <cell r="M269">
            <v>0.30702832399387292</v>
          </cell>
          <cell r="N269">
            <v>0.10051549344582478</v>
          </cell>
          <cell r="O269">
            <v>0.3396915735002326</v>
          </cell>
          <cell r="P269">
            <v>9.4761092269401104E-2</v>
          </cell>
          <cell r="Q269">
            <v>-2.48488144569462E-2</v>
          </cell>
          <cell r="R269">
            <v>0.1536928140979561</v>
          </cell>
          <cell r="S269">
            <v>0.23940390562692615</v>
          </cell>
          <cell r="T269">
            <v>9.9808707697482735E-2</v>
          </cell>
          <cell r="U269">
            <v>9.9808707697482957E-2</v>
          </cell>
        </row>
        <row r="270">
          <cell r="B270" t="str">
            <v>FY2</v>
          </cell>
          <cell r="C270">
            <v>0.11975332839646402</v>
          </cell>
          <cell r="D270">
            <v>6.9243624140826077E-2</v>
          </cell>
          <cell r="E270">
            <v>2.5119437823411195E-2</v>
          </cell>
          <cell r="F270">
            <v>8.5067534120490729E-2</v>
          </cell>
          <cell r="G270">
            <v>0.4468704139954931</v>
          </cell>
          <cell r="H270">
            <v>5.720354411580475E-2</v>
          </cell>
          <cell r="I270">
            <v>4.7780997854424578E-2</v>
          </cell>
          <cell r="J270">
            <v>7.0543438842309403E-2</v>
          </cell>
          <cell r="K270">
            <v>7.0543438842309403E-2</v>
          </cell>
          <cell r="M270">
            <v>0.19636141008461783</v>
          </cell>
          <cell r="N270">
            <v>2.3273998342098423E-2</v>
          </cell>
          <cell r="O270">
            <v>0.18246504233387761</v>
          </cell>
          <cell r="P270">
            <v>7.5419279534387984E-2</v>
          </cell>
          <cell r="Q270">
            <v>8.3012160730286944E-3</v>
          </cell>
          <cell r="R270">
            <v>9.0653076544306099E-2</v>
          </cell>
          <cell r="S270">
            <v>0.17812910149573691</v>
          </cell>
          <cell r="T270">
            <v>7.7406716021881428E-2</v>
          </cell>
          <cell r="U270">
            <v>7.7406716021881428E-2</v>
          </cell>
        </row>
        <row r="271">
          <cell r="B271" t="str">
            <v>FY1</v>
          </cell>
          <cell r="C271">
            <v>3.11</v>
          </cell>
          <cell r="D271">
            <v>1.03510445527076</v>
          </cell>
          <cell r="E271">
            <v>1.14784510187135</v>
          </cell>
          <cell r="F271">
            <v>1.8136411490884501</v>
          </cell>
          <cell r="G271">
            <v>-0.472295447628726</v>
          </cell>
          <cell r="H271">
            <v>3.3862868587624302</v>
          </cell>
          <cell r="I271">
            <v>2.6945205236563301</v>
          </cell>
          <cell r="M271">
            <v>1.0080029976226801</v>
          </cell>
          <cell r="N271">
            <v>3.19697659901902</v>
          </cell>
          <cell r="O271">
            <v>0.73983220363332802</v>
          </cell>
          <cell r="P271">
            <v>2.1342367427798301</v>
          </cell>
          <cell r="Q271">
            <v>1.5442144348621401</v>
          </cell>
          <cell r="R271">
            <v>1.1090965137337101</v>
          </cell>
          <cell r="S271">
            <v>1.24056550686542</v>
          </cell>
        </row>
        <row r="272">
          <cell r="A272" t="str">
            <v>mscalc:netIncomeBeforeOperatingLeaseAdjustment</v>
          </cell>
          <cell r="B272" t="str">
            <v>Net Income</v>
          </cell>
          <cell r="C272">
            <v>3.6141121475309599</v>
          </cell>
          <cell r="D272">
            <v>1.5303898670656499</v>
          </cell>
          <cell r="E272">
            <v>1.3294495544969001</v>
          </cell>
          <cell r="F272">
            <v>2.03885624205917</v>
          </cell>
          <cell r="G272">
            <v>-0.23101098907579101</v>
          </cell>
          <cell r="H272">
            <v>3.5442519215475099</v>
          </cell>
          <cell r="I272">
            <v>3.1175626704531201</v>
          </cell>
          <cell r="M272">
            <v>1.5590303512307999</v>
          </cell>
          <cell r="N272">
            <v>3.4587188109684202</v>
          </cell>
          <cell r="O272">
            <v>0.93491756401208104</v>
          </cell>
          <cell r="P272">
            <v>2.3560769521099698</v>
          </cell>
          <cell r="Q272">
            <v>1.64332942576824</v>
          </cell>
          <cell r="R272">
            <v>1.2755329709446399</v>
          </cell>
          <cell r="S272">
            <v>1.5606882755392599</v>
          </cell>
        </row>
        <row r="273">
          <cell r="B273" t="str">
            <v>FY(10)</v>
          </cell>
          <cell r="C273">
            <v>264.01</v>
          </cell>
          <cell r="D273">
            <v>384.12799999999999</v>
          </cell>
          <cell r="E273">
            <v>825</v>
          </cell>
          <cell r="F273">
            <v>202.291</v>
          </cell>
          <cell r="G273" t="str">
            <v>NA</v>
          </cell>
          <cell r="H273">
            <v>159.10599999999999</v>
          </cell>
          <cell r="I273">
            <v>526.822</v>
          </cell>
          <cell r="J273">
            <v>393.55950000000001</v>
          </cell>
          <cell r="K273">
            <v>2361.357</v>
          </cell>
          <cell r="M273">
            <v>149.60400000000001</v>
          </cell>
          <cell r="N273" t="str">
            <v>NA</v>
          </cell>
          <cell r="O273">
            <v>90.66</v>
          </cell>
          <cell r="P273">
            <v>21.001124000000001</v>
          </cell>
          <cell r="Q273" t="str">
            <v>NA</v>
          </cell>
          <cell r="R273">
            <v>446.56</v>
          </cell>
          <cell r="S273">
            <v>18.68</v>
          </cell>
          <cell r="T273">
            <v>145.30102479999999</v>
          </cell>
          <cell r="U273">
            <v>726.50512399999991</v>
          </cell>
        </row>
        <row r="274">
          <cell r="B274" t="str">
            <v>FY(9)</v>
          </cell>
          <cell r="C274">
            <v>368.71199999999999</v>
          </cell>
          <cell r="D274">
            <v>-88.56</v>
          </cell>
          <cell r="E274">
            <v>901</v>
          </cell>
          <cell r="F274">
            <v>134.77500000000001</v>
          </cell>
          <cell r="G274" t="str">
            <v>NA</v>
          </cell>
          <cell r="H274">
            <v>150.28800000000001</v>
          </cell>
          <cell r="I274">
            <v>538.06600000000003</v>
          </cell>
          <cell r="J274">
            <v>334.04683333333338</v>
          </cell>
          <cell r="K274">
            <v>2004.2810000000002</v>
          </cell>
          <cell r="M274">
            <v>156.85300000000001</v>
          </cell>
          <cell r="N274" t="str">
            <v>NA</v>
          </cell>
          <cell r="O274">
            <v>91.152000000000001</v>
          </cell>
          <cell r="P274">
            <v>38.685000000000002</v>
          </cell>
          <cell r="Q274">
            <v>877.41700000000003</v>
          </cell>
          <cell r="R274">
            <v>412.46089999999998</v>
          </cell>
          <cell r="S274">
            <v>10.494999999999999</v>
          </cell>
          <cell r="T274">
            <v>264.5104833333333</v>
          </cell>
          <cell r="U274">
            <v>1587.0628999999999</v>
          </cell>
        </row>
        <row r="275">
          <cell r="B275" t="str">
            <v>FY(8)</v>
          </cell>
          <cell r="C275">
            <v>491.98899999999998</v>
          </cell>
          <cell r="D275">
            <v>183</v>
          </cell>
          <cell r="E275">
            <v>746</v>
          </cell>
          <cell r="F275">
            <v>124.688</v>
          </cell>
          <cell r="G275" t="str">
            <v>NA</v>
          </cell>
          <cell r="H275">
            <v>155.04499999999999</v>
          </cell>
          <cell r="I275">
            <v>540.39700000000005</v>
          </cell>
          <cell r="J275">
            <v>373.51983333333334</v>
          </cell>
          <cell r="K275">
            <v>2241.1190000000001</v>
          </cell>
          <cell r="M275">
            <v>166.6</v>
          </cell>
          <cell r="N275" t="str">
            <v>NA</v>
          </cell>
          <cell r="O275">
            <v>101.666</v>
          </cell>
          <cell r="P275">
            <v>70.602440000000001</v>
          </cell>
          <cell r="Q275">
            <v>-7.7640000000000002</v>
          </cell>
          <cell r="R275">
            <v>405.77499999999998</v>
          </cell>
          <cell r="S275">
            <v>15.007</v>
          </cell>
          <cell r="T275">
            <v>125.31440666666664</v>
          </cell>
          <cell r="U275">
            <v>751.88643999999988</v>
          </cell>
        </row>
        <row r="276">
          <cell r="B276" t="str">
            <v>FY(7)</v>
          </cell>
          <cell r="C276">
            <v>635.47</v>
          </cell>
          <cell r="D276">
            <v>283</v>
          </cell>
          <cell r="E276">
            <v>706</v>
          </cell>
          <cell r="F276">
            <v>106.34099999999999</v>
          </cell>
          <cell r="G276" t="str">
            <v>NA</v>
          </cell>
          <cell r="H276">
            <v>200.07599999999999</v>
          </cell>
          <cell r="I276">
            <v>578.38800000000003</v>
          </cell>
          <cell r="J276">
            <v>418.21250000000003</v>
          </cell>
          <cell r="K276">
            <v>2509.2750000000001</v>
          </cell>
          <cell r="M276">
            <v>194.75399999999999</v>
          </cell>
          <cell r="N276">
            <v>33.71546</v>
          </cell>
          <cell r="O276">
            <v>99.644000000000005</v>
          </cell>
          <cell r="P276">
            <v>78.97</v>
          </cell>
          <cell r="Q276">
            <v>477.72370245564099</v>
          </cell>
          <cell r="R276">
            <v>517.41099999999994</v>
          </cell>
          <cell r="S276">
            <v>27.413</v>
          </cell>
          <cell r="T276">
            <v>204.23302320794872</v>
          </cell>
          <cell r="U276">
            <v>1429.6311624556411</v>
          </cell>
        </row>
        <row r="277">
          <cell r="B277" t="str">
            <v>FY(6)</v>
          </cell>
          <cell r="C277">
            <v>580.86199999999997</v>
          </cell>
          <cell r="D277">
            <v>360</v>
          </cell>
          <cell r="E277">
            <v>714</v>
          </cell>
          <cell r="F277">
            <v>242.88900000000001</v>
          </cell>
          <cell r="G277">
            <v>-69.899950647510195</v>
          </cell>
          <cell r="H277">
            <v>227.57400000000001</v>
          </cell>
          <cell r="I277">
            <v>609.41200000000003</v>
          </cell>
          <cell r="J277">
            <v>380.69100705035572</v>
          </cell>
          <cell r="K277">
            <v>2664.8370493524899</v>
          </cell>
          <cell r="M277">
            <v>204.83</v>
          </cell>
          <cell r="N277">
            <v>54.253999999999998</v>
          </cell>
          <cell r="O277">
            <v>83.108000000000004</v>
          </cell>
          <cell r="P277">
            <v>122.383</v>
          </cell>
          <cell r="Q277">
            <v>1042.69954791705</v>
          </cell>
          <cell r="R277">
            <v>583.65</v>
          </cell>
          <cell r="S277">
            <v>48.375999999999998</v>
          </cell>
          <cell r="T277">
            <v>305.61436398815005</v>
          </cell>
          <cell r="U277">
            <v>2139.3005479170502</v>
          </cell>
        </row>
        <row r="278">
          <cell r="B278" t="str">
            <v>FY(5)</v>
          </cell>
          <cell r="C278">
            <v>703.51288799999998</v>
          </cell>
          <cell r="D278">
            <v>657.37</v>
          </cell>
          <cell r="E278">
            <v>786.546594982079</v>
          </cell>
          <cell r="F278">
            <v>393.47500000000002</v>
          </cell>
          <cell r="G278">
            <v>-69.191530595781302</v>
          </cell>
          <cell r="H278">
            <v>185.72</v>
          </cell>
          <cell r="I278">
            <v>628.96199999999999</v>
          </cell>
          <cell r="J278">
            <v>469.4849931980425</v>
          </cell>
          <cell r="K278">
            <v>3286.3949523862975</v>
          </cell>
          <cell r="M278">
            <v>241.95355390734301</v>
          </cell>
          <cell r="N278">
            <v>86.960999999999999</v>
          </cell>
          <cell r="O278">
            <v>224.232</v>
          </cell>
          <cell r="P278">
            <v>220.239</v>
          </cell>
          <cell r="Q278">
            <v>1214.12078310316</v>
          </cell>
          <cell r="R278">
            <v>674.27200000000005</v>
          </cell>
          <cell r="S278">
            <v>90.489000000000004</v>
          </cell>
          <cell r="T278">
            <v>393.18104814435759</v>
          </cell>
          <cell r="U278">
            <v>2752.2673370105031</v>
          </cell>
        </row>
        <row r="279">
          <cell r="B279" t="str">
            <v>FY(4)</v>
          </cell>
          <cell r="C279">
            <v>831.621966099166</v>
          </cell>
          <cell r="D279">
            <v>928.03159479553904</v>
          </cell>
          <cell r="E279">
            <v>1089.0546208098101</v>
          </cell>
          <cell r="F279">
            <v>551.18021775831903</v>
          </cell>
          <cell r="G279">
            <v>-113.296092527064</v>
          </cell>
          <cell r="H279">
            <v>199.63200000000001</v>
          </cell>
          <cell r="I279">
            <v>642.13399999999695</v>
          </cell>
          <cell r="J279">
            <v>589.76547241939534</v>
          </cell>
          <cell r="K279">
            <v>4128.3583069357674</v>
          </cell>
          <cell r="M279">
            <v>363.59381999999999</v>
          </cell>
          <cell r="N279">
            <v>83.953999999999994</v>
          </cell>
          <cell r="O279">
            <v>293.71100000000001</v>
          </cell>
          <cell r="P279">
            <v>336.64699999999999</v>
          </cell>
          <cell r="Q279">
            <v>1076.3882618510199</v>
          </cell>
          <cell r="R279">
            <v>546.83600000000001</v>
          </cell>
          <cell r="S279">
            <v>129.832005188067</v>
          </cell>
          <cell r="T279">
            <v>404.42315529129809</v>
          </cell>
          <cell r="U279">
            <v>2830.9620870390868</v>
          </cell>
        </row>
        <row r="280">
          <cell r="B280" t="str">
            <v>FY(3)</v>
          </cell>
          <cell r="C280">
            <v>1108.5977755399999</v>
          </cell>
          <cell r="D280">
            <v>1134</v>
          </cell>
          <cell r="E280">
            <v>1137.6065454545501</v>
          </cell>
          <cell r="F280">
            <v>677.99900000000002</v>
          </cell>
          <cell r="G280">
            <v>29.8422306591854</v>
          </cell>
          <cell r="H280">
            <v>241.63399999999999</v>
          </cell>
          <cell r="I280">
            <v>784.33473025389503</v>
          </cell>
          <cell r="J280">
            <v>730.57346884394724</v>
          </cell>
          <cell r="K280">
            <v>5114.0142819076309</v>
          </cell>
          <cell r="M280">
            <v>446.524</v>
          </cell>
          <cell r="N280">
            <v>100.86799999999999</v>
          </cell>
          <cell r="O280">
            <v>387.35899999999998</v>
          </cell>
          <cell r="P280">
            <v>464.00954749822699</v>
          </cell>
          <cell r="Q280">
            <v>780.95348837209303</v>
          </cell>
          <cell r="R280">
            <v>675.04899999999998</v>
          </cell>
          <cell r="S280">
            <v>108.90600000000001</v>
          </cell>
          <cell r="T280">
            <v>423.38129083861713</v>
          </cell>
          <cell r="U280">
            <v>2963.6690358703199</v>
          </cell>
        </row>
        <row r="281">
          <cell r="B281" t="str">
            <v>FY(2)</v>
          </cell>
          <cell r="C281">
            <v>1083.8209999999999</v>
          </cell>
          <cell r="D281">
            <v>1073</v>
          </cell>
          <cell r="E281">
            <v>968.870454545455</v>
          </cell>
          <cell r="F281">
            <v>694.02599999999995</v>
          </cell>
          <cell r="G281">
            <v>63.374305710902703</v>
          </cell>
          <cell r="H281">
            <v>261.05099999999999</v>
          </cell>
          <cell r="I281">
            <v>902.52825069543098</v>
          </cell>
          <cell r="J281">
            <v>720.95300156454118</v>
          </cell>
          <cell r="K281">
            <v>5046.671010951788</v>
          </cell>
          <cell r="M281">
            <v>499.12700000000001</v>
          </cell>
          <cell r="N281">
            <v>125.371</v>
          </cell>
          <cell r="O281">
            <v>400.01900000000001</v>
          </cell>
          <cell r="P281">
            <v>636.529</v>
          </cell>
          <cell r="Q281">
            <v>888.19060546964795</v>
          </cell>
          <cell r="R281">
            <v>461.45582675721101</v>
          </cell>
          <cell r="S281">
            <v>152.53</v>
          </cell>
          <cell r="T281">
            <v>451.88891888955135</v>
          </cell>
          <cell r="U281">
            <v>3163.2224322268594</v>
          </cell>
        </row>
        <row r="282">
          <cell r="B282" t="str">
            <v>FY(1)</v>
          </cell>
          <cell r="C282">
            <v>885.62900000000002</v>
          </cell>
          <cell r="D282">
            <v>562.53838064516106</v>
          </cell>
          <cell r="E282">
            <v>545</v>
          </cell>
          <cell r="F282">
            <v>394.55099999999999</v>
          </cell>
          <cell r="G282">
            <v>-109.755122537465</v>
          </cell>
          <cell r="H282">
            <v>302.774720000005</v>
          </cell>
          <cell r="I282">
            <v>883.85870191995605</v>
          </cell>
          <cell r="J282">
            <v>494.9423828610939</v>
          </cell>
          <cell r="K282">
            <v>3464.5966800276574</v>
          </cell>
          <cell r="M282">
            <v>318.97024840902799</v>
          </cell>
          <cell r="N282">
            <v>149.422</v>
          </cell>
          <cell r="O282">
            <v>204.88800000000001</v>
          </cell>
          <cell r="P282">
            <v>742.00199999999995</v>
          </cell>
          <cell r="Q282">
            <v>967</v>
          </cell>
          <cell r="R282">
            <v>353.38200000000001</v>
          </cell>
          <cell r="S282">
            <v>199.364</v>
          </cell>
          <cell r="T282">
            <v>419.28974977271827</v>
          </cell>
          <cell r="U282">
            <v>2935.028248409028</v>
          </cell>
        </row>
        <row r="283">
          <cell r="B283" t="str">
            <v>FY0</v>
          </cell>
          <cell r="C283">
            <v>990.1</v>
          </cell>
          <cell r="D283">
            <v>249.58199999999999</v>
          </cell>
          <cell r="E283">
            <v>576</v>
          </cell>
          <cell r="F283">
            <v>427.8</v>
          </cell>
          <cell r="G283">
            <v>-47.731873116743998</v>
          </cell>
          <cell r="H283">
            <v>442.75700000000001</v>
          </cell>
          <cell r="I283">
            <v>1213.5719999999999</v>
          </cell>
          <cell r="J283">
            <v>550.29701812617952</v>
          </cell>
          <cell r="K283">
            <v>3852.0791268832563</v>
          </cell>
          <cell r="M283">
            <v>95.928809999999999</v>
          </cell>
          <cell r="N283">
            <v>231.32900000000001</v>
          </cell>
          <cell r="O283">
            <v>159.06599</v>
          </cell>
          <cell r="P283">
            <v>622.12800000000004</v>
          </cell>
          <cell r="Q283">
            <v>1099.8</v>
          </cell>
          <cell r="R283">
            <v>405.17</v>
          </cell>
          <cell r="S283">
            <v>219.893</v>
          </cell>
          <cell r="T283">
            <v>404.75925714285717</v>
          </cell>
          <cell r="U283">
            <v>2833.3148000000001</v>
          </cell>
        </row>
        <row r="284">
          <cell r="B284" t="str">
            <v>FY1</v>
          </cell>
          <cell r="C284">
            <v>1190.2064623122999</v>
          </cell>
          <cell r="D284">
            <v>371.94239455885997</v>
          </cell>
          <cell r="E284">
            <v>780.85661388894903</v>
          </cell>
          <cell r="F284">
            <v>574.20119639689005</v>
          </cell>
          <cell r="G284">
            <v>-14.812477877415599</v>
          </cell>
          <cell r="H284">
            <v>520.84207533519498</v>
          </cell>
          <cell r="I284">
            <v>1413.51496786962</v>
          </cell>
          <cell r="J284">
            <v>690.96446178348549</v>
          </cell>
          <cell r="K284">
            <v>4836.7512324843983</v>
          </cell>
          <cell r="M284">
            <v>155.41382199654501</v>
          </cell>
          <cell r="N284">
            <v>257.42391448394397</v>
          </cell>
          <cell r="O284">
            <v>248.62981426116701</v>
          </cell>
          <cell r="P284">
            <v>691.98393385513396</v>
          </cell>
          <cell r="Q284">
            <v>1083.8921535054101</v>
          </cell>
          <cell r="R284">
            <v>546.01826939091302</v>
          </cell>
          <cell r="S284">
            <v>279.22350732756701</v>
          </cell>
          <cell r="T284">
            <v>466.08363068866856</v>
          </cell>
          <cell r="U284">
            <v>3262.5854148206799</v>
          </cell>
        </row>
        <row r="285">
          <cell r="B285" t="str">
            <v>FY2</v>
          </cell>
          <cell r="C285">
            <v>1377.4147410483899</v>
          </cell>
          <cell r="D285">
            <v>461.162423782784</v>
          </cell>
          <cell r="E285">
            <v>888.32831729053999</v>
          </cell>
          <cell r="F285">
            <v>631.87045905384298</v>
          </cell>
          <cell r="G285">
            <v>21.642644285581799</v>
          </cell>
          <cell r="H285">
            <v>560.83917130142299</v>
          </cell>
          <cell r="I285">
            <v>1528.2089011232599</v>
          </cell>
          <cell r="J285">
            <v>781.35237969797447</v>
          </cell>
          <cell r="K285">
            <v>5469.4666578858214</v>
          </cell>
          <cell r="M285">
            <v>204.14473111967499</v>
          </cell>
          <cell r="N285">
            <v>256.17082013345799</v>
          </cell>
          <cell r="O285">
            <v>305.99673004238099</v>
          </cell>
          <cell r="P285">
            <v>736.84328923360295</v>
          </cell>
          <cell r="Q285">
            <v>1074.52887673393</v>
          </cell>
          <cell r="R285">
            <v>630.31680483250398</v>
          </cell>
          <cell r="S285">
            <v>334.56420596740901</v>
          </cell>
          <cell r="T285">
            <v>506.08077972327999</v>
          </cell>
          <cell r="U285">
            <v>3542.5654580629598</v>
          </cell>
        </row>
        <row r="286">
          <cell r="B286" t="str">
            <v>FQ(3)</v>
          </cell>
          <cell r="C286">
            <v>137</v>
          </cell>
          <cell r="D286">
            <v>25</v>
          </cell>
          <cell r="E286">
            <v>-68</v>
          </cell>
          <cell r="F286">
            <v>68</v>
          </cell>
          <cell r="G286">
            <v>-4.7939999999999996</v>
          </cell>
          <cell r="H286">
            <v>91.387</v>
          </cell>
          <cell r="I286">
            <v>209.214</v>
          </cell>
          <cell r="J286">
            <v>65.400999999999996</v>
          </cell>
          <cell r="K286">
            <v>457.80700000000002</v>
          </cell>
          <cell r="M286">
            <v>-23.105</v>
          </cell>
          <cell r="N286">
            <v>33.174999999999997</v>
          </cell>
          <cell r="O286">
            <v>15.680999999999999</v>
          </cell>
          <cell r="P286">
            <v>123.145</v>
          </cell>
          <cell r="Q286">
            <v>215</v>
          </cell>
          <cell r="R286">
            <v>2.601</v>
          </cell>
          <cell r="S286">
            <v>30.805</v>
          </cell>
          <cell r="T286">
            <v>56.757428571428569</v>
          </cell>
          <cell r="U286">
            <v>397.30199999999996</v>
          </cell>
        </row>
        <row r="287">
          <cell r="B287" t="str">
            <v>FQ(2)</v>
          </cell>
          <cell r="C287">
            <v>229.1</v>
          </cell>
          <cell r="D287">
            <v>-0.61799999999999999</v>
          </cell>
          <cell r="E287">
            <v>84</v>
          </cell>
          <cell r="F287">
            <v>105</v>
          </cell>
          <cell r="G287">
            <v>-54.902999999999999</v>
          </cell>
          <cell r="H287">
            <v>103.407</v>
          </cell>
          <cell r="I287">
            <v>261.56099999999998</v>
          </cell>
          <cell r="J287">
            <v>103.9352857142857</v>
          </cell>
          <cell r="K287">
            <v>727.54699999999991</v>
          </cell>
          <cell r="M287">
            <v>6.8895899999999903</v>
          </cell>
          <cell r="N287">
            <v>38.960999999999999</v>
          </cell>
          <cell r="O287">
            <v>28.571999999999999</v>
          </cell>
          <cell r="P287">
            <v>136.26599999999999</v>
          </cell>
          <cell r="Q287">
            <v>228</v>
          </cell>
          <cell r="R287">
            <v>60.262999999999998</v>
          </cell>
          <cell r="S287">
            <v>49.021000000000001</v>
          </cell>
          <cell r="T287">
            <v>78.281798571428567</v>
          </cell>
          <cell r="U287">
            <v>547.97258999999997</v>
          </cell>
        </row>
        <row r="288">
          <cell r="B288" t="str">
            <v>FQ(1)</v>
          </cell>
          <cell r="C288">
            <v>193</v>
          </cell>
          <cell r="D288">
            <v>27</v>
          </cell>
          <cell r="E288">
            <v>-12</v>
          </cell>
          <cell r="F288">
            <v>83</v>
          </cell>
          <cell r="G288">
            <v>1.8857268832559799</v>
          </cell>
          <cell r="H288">
            <v>105.08</v>
          </cell>
          <cell r="I288">
            <v>347.79899999999998</v>
          </cell>
          <cell r="J288">
            <v>106.53781812617942</v>
          </cell>
          <cell r="K288">
            <v>745.76472688325589</v>
          </cell>
          <cell r="M288">
            <v>30.623000000000001</v>
          </cell>
          <cell r="N288">
            <v>62.628999999999998</v>
          </cell>
          <cell r="O288">
            <v>44.501489999999997</v>
          </cell>
          <cell r="P288">
            <v>140.827</v>
          </cell>
          <cell r="Q288">
            <v>307</v>
          </cell>
          <cell r="R288">
            <v>6.0990000000000002</v>
          </cell>
          <cell r="S288">
            <v>62.392000000000003</v>
          </cell>
          <cell r="T288">
            <v>93.438784285714306</v>
          </cell>
          <cell r="U288">
            <v>654.07149000000015</v>
          </cell>
        </row>
        <row r="289">
          <cell r="B289" t="str">
            <v>Last Reported Q</v>
          </cell>
          <cell r="C289">
            <v>990.1</v>
          </cell>
          <cell r="D289">
            <v>249.58199999999999</v>
          </cell>
          <cell r="E289">
            <v>576</v>
          </cell>
          <cell r="F289">
            <v>427.8</v>
          </cell>
          <cell r="G289">
            <v>-47.731873116743998</v>
          </cell>
          <cell r="H289">
            <v>442.75700000000001</v>
          </cell>
          <cell r="I289">
            <v>1213.5719999999999</v>
          </cell>
          <cell r="J289">
            <v>550.29701812617952</v>
          </cell>
          <cell r="K289">
            <v>3852.0791268832563</v>
          </cell>
          <cell r="M289">
            <v>95.928809999999999</v>
          </cell>
          <cell r="N289">
            <v>231.32900000000001</v>
          </cell>
          <cell r="O289">
            <v>159.06599</v>
          </cell>
          <cell r="P289">
            <v>240.95</v>
          </cell>
          <cell r="Q289">
            <v>1099.8</v>
          </cell>
          <cell r="R289">
            <v>405.17</v>
          </cell>
          <cell r="S289">
            <v>219.893</v>
          </cell>
          <cell r="T289">
            <v>350.3052571428571</v>
          </cell>
          <cell r="U289">
            <v>2452.1367999999998</v>
          </cell>
        </row>
        <row r="290">
          <cell r="B290" t="str">
            <v>LTM</v>
          </cell>
          <cell r="C290">
            <v>1549.2</v>
          </cell>
          <cell r="D290">
            <v>300.964</v>
          </cell>
          <cell r="E290">
            <v>580</v>
          </cell>
          <cell r="F290">
            <v>683.8</v>
          </cell>
          <cell r="G290">
            <v>-105.54314623348802</v>
          </cell>
          <cell r="H290">
            <v>742.63099999999997</v>
          </cell>
          <cell r="I290">
            <v>2032.1459999999997</v>
          </cell>
          <cell r="J290">
            <v>826.17112196664436</v>
          </cell>
          <cell r="K290">
            <v>5783.1978537665109</v>
          </cell>
          <cell r="M290">
            <v>110.3364</v>
          </cell>
          <cell r="N290">
            <v>366.09399999999999</v>
          </cell>
          <cell r="O290">
            <v>247.82048</v>
          </cell>
          <cell r="P290">
            <v>641.18799999999999</v>
          </cell>
          <cell r="Q290">
            <v>1849.8</v>
          </cell>
          <cell r="R290">
            <v>474.13300000000004</v>
          </cell>
          <cell r="S290">
            <v>362.11099999999999</v>
          </cell>
          <cell r="T290">
            <v>578.78326857142849</v>
          </cell>
          <cell r="U290">
            <v>4051.4828799999996</v>
          </cell>
        </row>
        <row r="291">
          <cell r="B291" t="str">
            <v>FQ(3)</v>
          </cell>
          <cell r="C291">
            <v>6.4183381088825209E-2</v>
          </cell>
          <cell r="D291">
            <v>3.6115991111283878E-2</v>
          </cell>
          <cell r="E291">
            <v>0.10436097806906983</v>
          </cell>
          <cell r="F291">
            <v>2.9552368535419381E-2</v>
          </cell>
          <cell r="G291">
            <v>-8.5798356710030096E-2</v>
          </cell>
          <cell r="H291">
            <v>5.6159579081397279E-2</v>
          </cell>
          <cell r="I291">
            <v>4.3851399344251564E-2</v>
          </cell>
          <cell r="J291">
            <v>3.5489334360031009E-2</v>
          </cell>
          <cell r="K291">
            <v>5.8316995678285438E-2</v>
          </cell>
          <cell r="M291">
            <v>9.7305990751085966E-2</v>
          </cell>
          <cell r="N291">
            <v>9.8874375558863026E-2</v>
          </cell>
          <cell r="O291">
            <v>4.2699569393839017E-2</v>
          </cell>
          <cell r="P291">
            <v>0.19376130355109239</v>
          </cell>
          <cell r="Q291">
            <v>5.9529642332190102E-2</v>
          </cell>
          <cell r="R291">
            <v>7.3194762331742616E-2</v>
          </cell>
          <cell r="S291">
            <v>7.9800739256570843E-2</v>
          </cell>
          <cell r="T291">
            <v>9.2166626167912005E-2</v>
          </cell>
          <cell r="U291">
            <v>7.7996182250806484E-2</v>
          </cell>
        </row>
        <row r="292">
          <cell r="A292" t="str">
            <v>mstag:adjEpsForConsensus</v>
          </cell>
          <cell r="B292" t="str">
            <v>EPS</v>
          </cell>
          <cell r="C292">
            <v>3.7658053875755909E-2</v>
          </cell>
          <cell r="D292">
            <v>6.4359422215875383E-3</v>
          </cell>
          <cell r="E292">
            <v>9.6172340834775917E-3</v>
          </cell>
          <cell r="F292">
            <v>3.9859320046893319E-2</v>
          </cell>
          <cell r="G292">
            <v>-7.7165014663606243E-3</v>
          </cell>
          <cell r="H292">
            <v>5.4024032882497568E-2</v>
          </cell>
          <cell r="I292">
            <v>4.8048515648253277E-2</v>
          </cell>
          <cell r="J292">
            <v>2.6846656756014938E-2</v>
          </cell>
          <cell r="K292">
            <v>2.7296515280776795E-2</v>
          </cell>
          <cell r="M292">
            <v>-4.3768051544101315E-2</v>
          </cell>
          <cell r="N292">
            <v>8.1306491774993619E-2</v>
          </cell>
          <cell r="O292">
            <v>2.5622549019607841E-2</v>
          </cell>
          <cell r="P292">
            <v>0.22588351439616103</v>
          </cell>
          <cell r="Q292">
            <v>6.8755996162456035E-2</v>
          </cell>
          <cell r="R292">
            <v>1.507618953222079E-3</v>
          </cell>
          <cell r="S292">
            <v>8.0055405981351163E-2</v>
          </cell>
          <cell r="T292">
            <v>6.2766217820527201E-2</v>
          </cell>
          <cell r="U292">
            <v>6.2249080363126458E-2</v>
          </cell>
        </row>
        <row r="293">
          <cell r="B293" t="str">
            <v>FY(10)</v>
          </cell>
          <cell r="C293">
            <v>0.77521446372088398</v>
          </cell>
          <cell r="D293">
            <v>1.4</v>
          </cell>
          <cell r="E293">
            <v>1.8784153005464499</v>
          </cell>
          <cell r="F293">
            <v>1.4613761964962999</v>
          </cell>
          <cell r="G293" t="str">
            <v>NA</v>
          </cell>
          <cell r="H293">
            <v>1.6372326095779799</v>
          </cell>
          <cell r="I293">
            <v>1.6577637227997</v>
          </cell>
          <cell r="J293">
            <v>1.8959747286601904E-2</v>
          </cell>
          <cell r="K293">
            <v>3.092076908075473E-2</v>
          </cell>
          <cell r="M293">
            <v>1.3898421605150499</v>
          </cell>
          <cell r="N293" t="str">
            <v>NA</v>
          </cell>
          <cell r="O293">
            <v>0.41371261553099398</v>
          </cell>
          <cell r="P293" t="str">
            <v>NA</v>
          </cell>
          <cell r="Q293" t="str">
            <v>NA</v>
          </cell>
          <cell r="R293">
            <v>0.81070495076287297</v>
          </cell>
          <cell r="S293">
            <v>0.13085369962356699</v>
          </cell>
          <cell r="T293">
            <v>7.2375282624266277E-2</v>
          </cell>
          <cell r="U293">
            <v>6.4194610152069412E-2</v>
          </cell>
        </row>
        <row r="294">
          <cell r="B294" t="str">
            <v>FY(9)</v>
          </cell>
          <cell r="C294">
            <v>1.07237890611166</v>
          </cell>
          <cell r="D294">
            <v>-0.44</v>
          </cell>
          <cell r="E294">
            <v>2.10016098088076</v>
          </cell>
          <cell r="F294">
            <v>0.92919013844067999</v>
          </cell>
          <cell r="G294" t="str">
            <v>NA</v>
          </cell>
          <cell r="H294">
            <v>0.90120980436249298</v>
          </cell>
          <cell r="I294">
            <v>0.93027911866000801</v>
          </cell>
          <cell r="J294">
            <v>3.2613120775195285E-2</v>
          </cell>
          <cell r="K294">
            <v>3.28813844777502E-2</v>
          </cell>
          <cell r="M294">
            <v>1.53542621089314</v>
          </cell>
          <cell r="N294" t="str">
            <v>NA</v>
          </cell>
          <cell r="O294">
            <v>0.42122774912660099</v>
          </cell>
          <cell r="P294">
            <v>0.13003536181999101</v>
          </cell>
          <cell r="Q294">
            <v>0.999041521977453</v>
          </cell>
          <cell r="R294">
            <v>0.78378468838372195</v>
          </cell>
          <cell r="S294">
            <v>7.5941413026930193E-2</v>
          </cell>
          <cell r="T294">
            <v>8.699911328383772E-2</v>
          </cell>
          <cell r="U294">
            <v>0.10112604374923474</v>
          </cell>
        </row>
        <row r="295">
          <cell r="B295" t="str">
            <v>FY(8)</v>
          </cell>
          <cell r="C295">
            <v>1.4191983074683301</v>
          </cell>
          <cell r="D295">
            <v>0.56999999999999995</v>
          </cell>
          <cell r="E295">
            <v>1.60143363650378</v>
          </cell>
          <cell r="F295">
            <v>0.46398124546486302</v>
          </cell>
          <cell r="G295" t="str">
            <v>NA</v>
          </cell>
          <cell r="H295">
            <v>0.95576405027709099</v>
          </cell>
          <cell r="I295">
            <v>0.97136844341894002</v>
          </cell>
          <cell r="J295">
            <v>2.9910983539014519E-2</v>
          </cell>
          <cell r="K295">
            <v>3.8970939552062538E-2</v>
          </cell>
          <cell r="M295">
            <v>1.6249853692793901</v>
          </cell>
          <cell r="N295" t="str">
            <v>NA</v>
          </cell>
          <cell r="O295">
            <v>0.45921469255751202</v>
          </cell>
          <cell r="P295">
            <v>0.195661357058865</v>
          </cell>
          <cell r="Q295">
            <v>-8.90735342104753E-3</v>
          </cell>
          <cell r="R295">
            <v>0.78103307517848597</v>
          </cell>
          <cell r="S295">
            <v>0.107571157241721</v>
          </cell>
          <cell r="T295">
            <v>8.142679641502977E-2</v>
          </cell>
          <cell r="U295">
            <v>7.8553207218398979E-2</v>
          </cell>
        </row>
        <row r="296">
          <cell r="B296" t="str">
            <v>FY(7)</v>
          </cell>
          <cell r="C296">
            <v>1.8429396202147099</v>
          </cell>
          <cell r="D296">
            <v>0.94</v>
          </cell>
          <cell r="E296">
            <v>1.70938972591492</v>
          </cell>
          <cell r="F296">
            <v>0.370127283723937</v>
          </cell>
          <cell r="G296" t="str">
            <v>NA</v>
          </cell>
          <cell r="H296">
            <v>1.2544579038447099</v>
          </cell>
          <cell r="I296">
            <v>1.07558342936518</v>
          </cell>
          <cell r="M296">
            <v>1.9353280798163599</v>
          </cell>
          <cell r="N296">
            <v>0.40010402540755902</v>
          </cell>
          <cell r="O296">
            <v>0.45635198695666102</v>
          </cell>
          <cell r="P296">
            <v>0.21405208526080999</v>
          </cell>
          <cell r="Q296">
            <v>0.51707348651642404</v>
          </cell>
          <cell r="R296">
            <v>0.97464618533151604</v>
          </cell>
          <cell r="S296">
            <v>0.176735357727373</v>
          </cell>
        </row>
        <row r="297">
          <cell r="B297" t="str">
            <v>FY(6)</v>
          </cell>
          <cell r="C297">
            <v>1.6897901951429499</v>
          </cell>
          <cell r="D297">
            <v>1.2</v>
          </cell>
          <cell r="E297">
            <v>1.8506172802885601</v>
          </cell>
          <cell r="F297">
            <v>0.88174338254112505</v>
          </cell>
          <cell r="G297">
            <v>-0.499913824862043</v>
          </cell>
          <cell r="H297">
            <v>1.4667904170775601</v>
          </cell>
          <cell r="I297">
            <v>1.1603136408820001</v>
          </cell>
          <cell r="M297">
            <v>2.0569391444065102</v>
          </cell>
          <cell r="N297">
            <v>0.62053859923024501</v>
          </cell>
          <cell r="O297">
            <v>0.383656247547559</v>
          </cell>
          <cell r="P297">
            <v>0.32926625843458401</v>
          </cell>
          <cell r="Q297">
            <v>1.0553914221029499</v>
          </cell>
          <cell r="R297">
            <v>1.1101679803131399</v>
          </cell>
          <cell r="S297">
            <v>0.29924111670925502</v>
          </cell>
        </row>
        <row r="298">
          <cell r="A298" t="str">
            <v>mscalc:totalCashIncludingShorttermInvestmentsForCac</v>
          </cell>
          <cell r="B298" t="str">
            <v>FY(5)</v>
          </cell>
          <cell r="C298">
            <v>2.04119863603426</v>
          </cell>
          <cell r="D298">
            <v>2.2599999999999998</v>
          </cell>
          <cell r="E298">
            <v>2.20692086134141</v>
          </cell>
          <cell r="F298">
            <v>1.3831814139226799</v>
          </cell>
          <cell r="G298">
            <v>-0.49610332398208501</v>
          </cell>
          <cell r="H298">
            <v>1.2040334606671801</v>
          </cell>
          <cell r="I298">
            <v>1.2268856649054201</v>
          </cell>
          <cell r="M298">
            <v>2.5439339071322</v>
          </cell>
          <cell r="N298">
            <v>1.0125578552091501</v>
          </cell>
          <cell r="O298">
            <v>0.99496818508559404</v>
          </cell>
          <cell r="P298">
            <v>0.57122145046919004</v>
          </cell>
          <cell r="Q298">
            <v>1.22494717770251</v>
          </cell>
          <cell r="R298">
            <v>1.4087813785758301</v>
          </cell>
          <cell r="S298">
            <v>0.540867507514041</v>
          </cell>
        </row>
        <row r="299">
          <cell r="B299" t="str">
            <v>FY(4)</v>
          </cell>
          <cell r="C299">
            <v>2.4284486808766101</v>
          </cell>
          <cell r="D299">
            <v>3.6336397603584198</v>
          </cell>
          <cell r="E299">
            <v>2.5058780966631602</v>
          </cell>
          <cell r="F299">
            <v>1.98426148320344</v>
          </cell>
          <cell r="G299">
            <v>-0.81891959260101599</v>
          </cell>
          <cell r="H299">
            <v>1.3624223480615401</v>
          </cell>
          <cell r="I299">
            <v>1.2668460007154301</v>
          </cell>
          <cell r="J299">
            <v>934.86214260037673</v>
          </cell>
          <cell r="K299">
            <v>6544.0349982026373</v>
          </cell>
          <cell r="M299">
            <v>3.9858565461900199</v>
          </cell>
          <cell r="N299">
            <v>1.0005780312375301</v>
          </cell>
          <cell r="O299">
            <v>1.26039453978226</v>
          </cell>
          <cell r="P299">
            <v>0.86277489742203195</v>
          </cell>
          <cell r="Q299">
            <v>1.1929264385604199</v>
          </cell>
          <cell r="R299">
            <v>1.3287632730684</v>
          </cell>
          <cell r="S299">
            <v>0.76400511877328903</v>
          </cell>
          <cell r="T299">
            <v>742.61106636551267</v>
          </cell>
          <cell r="U299">
            <v>5198.2774645585887</v>
          </cell>
        </row>
        <row r="300">
          <cell r="B300" t="str">
            <v>FY(3)</v>
          </cell>
          <cell r="C300">
            <v>3.31</v>
          </cell>
          <cell r="D300">
            <v>4.8837209302325597</v>
          </cell>
          <cell r="E300">
            <v>2.0770614304446702</v>
          </cell>
          <cell r="F300">
            <v>2.55149905494669</v>
          </cell>
          <cell r="G300">
            <v>0.21962195068579499</v>
          </cell>
          <cell r="H300">
            <v>1.7017917007071</v>
          </cell>
          <cell r="I300">
            <v>1.6338775120122</v>
          </cell>
          <cell r="J300">
            <v>747.65958469519319</v>
          </cell>
          <cell r="K300">
            <v>5233.6170928663523</v>
          </cell>
          <cell r="M300">
            <v>4.8529942397565504</v>
          </cell>
          <cell r="N300">
            <v>1.2508897900467499</v>
          </cell>
          <cell r="O300">
            <v>1.6960864158610001</v>
          </cell>
          <cell r="P300">
            <v>1.1943771412713899</v>
          </cell>
          <cell r="Q300">
            <v>0.93175389657940999</v>
          </cell>
          <cell r="R300">
            <v>1.67714662290667</v>
          </cell>
          <cell r="S300">
            <v>0.64679793670709995</v>
          </cell>
          <cell r="T300">
            <v>742.61106636551267</v>
          </cell>
          <cell r="U300">
            <v>5198.2774645585887</v>
          </cell>
        </row>
        <row r="301">
          <cell r="B301" t="str">
            <v>FY(2)</v>
          </cell>
          <cell r="C301">
            <v>3.39</v>
          </cell>
          <cell r="D301">
            <v>4.7651826357277702</v>
          </cell>
          <cell r="E301">
            <v>2.1292197011621501</v>
          </cell>
          <cell r="F301">
            <v>2.7888518417687198</v>
          </cell>
          <cell r="G301">
            <v>0.41278125259495102</v>
          </cell>
          <cell r="H301">
            <v>1.9036822857226201</v>
          </cell>
          <cell r="I301">
            <v>1.92828963541067</v>
          </cell>
          <cell r="J301">
            <v>741.50341404003791</v>
          </cell>
          <cell r="K301">
            <v>5190.5238982802657</v>
          </cell>
          <cell r="M301">
            <v>5.45356904821739</v>
          </cell>
          <cell r="N301">
            <v>1.11670185002093</v>
          </cell>
          <cell r="O301">
            <v>1.8159569638641699</v>
          </cell>
          <cell r="P301">
            <v>1.6868129829656899</v>
          </cell>
          <cell r="Q301">
            <v>1.11882277420426</v>
          </cell>
          <cell r="R301">
            <v>1.2136220796667601</v>
          </cell>
          <cell r="S301">
            <v>0.89916095308231403</v>
          </cell>
          <cell r="T301">
            <v>755.60655281196853</v>
          </cell>
          <cell r="U301">
            <v>5289.2458696837793</v>
          </cell>
        </row>
        <row r="302">
          <cell r="B302" t="str">
            <v>FY(1)</v>
          </cell>
          <cell r="C302">
            <v>2.89</v>
          </cell>
          <cell r="D302">
            <v>2.52400843811626</v>
          </cell>
          <cell r="E302">
            <v>1.29323129857033</v>
          </cell>
          <cell r="F302">
            <v>1.80139710078758</v>
          </cell>
          <cell r="G302">
            <v>-0.79312003221084204</v>
          </cell>
          <cell r="H302">
            <v>2.3067627390142502</v>
          </cell>
          <cell r="I302">
            <v>1.9985273245524799</v>
          </cell>
          <cell r="J302">
            <v>1191.4163447597857</v>
          </cell>
          <cell r="K302">
            <v>8339.9144133185</v>
          </cell>
          <cell r="M302">
            <v>3.5722553046670802</v>
          </cell>
          <cell r="N302">
            <v>1.4741130973521199</v>
          </cell>
          <cell r="O302">
            <v>0.98702199612683195</v>
          </cell>
          <cell r="P302">
            <v>2.0596348737991299</v>
          </cell>
          <cell r="Q302">
            <v>1.34492350486787</v>
          </cell>
          <cell r="R302">
            <v>1.0476755183056099</v>
          </cell>
          <cell r="S302">
            <v>1.16684752728228</v>
          </cell>
          <cell r="T302">
            <v>1087.3847737330791</v>
          </cell>
          <cell r="U302">
            <v>7611.693416131553</v>
          </cell>
        </row>
        <row r="303">
          <cell r="B303" t="str">
            <v>FY0</v>
          </cell>
          <cell r="C303">
            <v>3.2250814332247599</v>
          </cell>
          <cell r="D303">
            <v>1.07185741893923</v>
          </cell>
          <cell r="E303">
            <v>1.3637977980347999</v>
          </cell>
          <cell r="F303">
            <v>1.9476439790575899</v>
          </cell>
          <cell r="G303">
            <v>-0.32505046574263302</v>
          </cell>
          <cell r="H303">
            <v>3.5404627917437099</v>
          </cell>
          <cell r="I303">
            <v>2.83955201617291</v>
          </cell>
          <cell r="J303">
            <v>1563.6266665338462</v>
          </cell>
          <cell r="K303">
            <v>10945.386665736924</v>
          </cell>
          <cell r="M303">
            <v>1.0857232916170301</v>
          </cell>
          <cell r="N303">
            <v>2.2898250181267499</v>
          </cell>
          <cell r="O303">
            <v>0.76073186478937904</v>
          </cell>
          <cell r="P303">
            <v>1.9105951722867101</v>
          </cell>
          <cell r="Q303">
            <v>1.57451682176092</v>
          </cell>
          <cell r="R303">
            <v>1.2399430783590699</v>
          </cell>
          <cell r="S303">
            <v>1.2842313990523899</v>
          </cell>
          <cell r="T303">
            <v>1157.569772525901</v>
          </cell>
          <cell r="U303">
            <v>8102.9884076813069</v>
          </cell>
        </row>
        <row r="304">
          <cell r="B304" t="str">
            <v>FY1</v>
          </cell>
          <cell r="C304">
            <v>3.84</v>
          </cell>
          <cell r="D304">
            <v>1.5673931502691101</v>
          </cell>
          <cell r="E304">
            <v>1.8332979923671699</v>
          </cell>
          <cell r="F304">
            <v>2.5862513892318302</v>
          </cell>
          <cell r="G304">
            <v>-9.7405174087837498E-2</v>
          </cell>
          <cell r="H304">
            <v>4.2896851724700404</v>
          </cell>
          <cell r="I304">
            <v>3.4390463814732599</v>
          </cell>
          <cell r="J304">
            <v>741.43169975432386</v>
          </cell>
          <cell r="K304">
            <v>5190.0218982802671</v>
          </cell>
          <cell r="M304">
            <v>1.7864819853377301</v>
          </cell>
          <cell r="N304">
            <v>2.7325550569536099</v>
          </cell>
          <cell r="O304">
            <v>1.15945960309165</v>
          </cell>
          <cell r="P304">
            <v>2.1782807832683999</v>
          </cell>
          <cell r="Q304">
            <v>1.6516746689870401</v>
          </cell>
          <cell r="R304">
            <v>1.69537580939143</v>
          </cell>
          <cell r="S304">
            <v>1.61941939902598</v>
          </cell>
          <cell r="T304">
            <v>699.77055281196863</v>
          </cell>
          <cell r="U304">
            <v>4898.3938696837804</v>
          </cell>
        </row>
        <row r="305">
          <cell r="B305" t="str">
            <v>FY2</v>
          </cell>
          <cell r="C305">
            <v>4.5728797622460302</v>
          </cell>
          <cell r="D305">
            <v>1.94285457963845</v>
          </cell>
          <cell r="E305">
            <v>2.0856204477039402</v>
          </cell>
          <cell r="F305">
            <v>2.9116860600686101</v>
          </cell>
          <cell r="G305">
            <v>0.13182592432298201</v>
          </cell>
          <cell r="H305">
            <v>4.8723869135682998</v>
          </cell>
          <cell r="I305">
            <v>3.8781326293192002</v>
          </cell>
          <cell r="J305">
            <v>698.08827118289616</v>
          </cell>
          <cell r="K305">
            <v>4886.617898280273</v>
          </cell>
          <cell r="M305">
            <v>2.4574533255178199</v>
          </cell>
          <cell r="N305">
            <v>2.98453685978743</v>
          </cell>
          <cell r="O305">
            <v>1.4121827801328699</v>
          </cell>
          <cell r="P305">
            <v>2.4232914952671898</v>
          </cell>
          <cell r="Q305">
            <v>1.7645736925778299</v>
          </cell>
          <cell r="R305">
            <v>1.98791893284279</v>
          </cell>
          <cell r="S305">
            <v>1.9456738520825001</v>
          </cell>
          <cell r="T305">
            <v>646.65298138339688</v>
          </cell>
          <cell r="U305">
            <v>4526.5708696837783</v>
          </cell>
        </row>
        <row r="306">
          <cell r="B306" t="str">
            <v>FQ(3)</v>
          </cell>
          <cell r="C306">
            <v>0.45</v>
          </cell>
          <cell r="D306">
            <v>0.112258643915582</v>
          </cell>
          <cell r="E306">
            <v>-0.16136687233032701</v>
          </cell>
          <cell r="F306">
            <v>0.31278748850046001</v>
          </cell>
          <cell r="G306">
            <v>-3.4664526345474199E-2</v>
          </cell>
          <cell r="H306">
            <v>0.72206156569008495</v>
          </cell>
          <cell r="I306">
            <v>0.48651822379909199</v>
          </cell>
          <cell r="J306">
            <v>951.39055689718236</v>
          </cell>
          <cell r="K306">
            <v>6659.7338982802767</v>
          </cell>
          <cell r="M306">
            <v>-0.26346397254181902</v>
          </cell>
          <cell r="N306">
            <v>0.32625264296602202</v>
          </cell>
          <cell r="O306">
            <v>7.5649103171463603E-2</v>
          </cell>
          <cell r="P306">
            <v>0.38320548925643</v>
          </cell>
          <cell r="Q306">
            <v>0.30846484935437601</v>
          </cell>
          <cell r="R306">
            <v>8.04553257961238E-3</v>
          </cell>
          <cell r="S306">
            <v>0.18086892567228299</v>
          </cell>
          <cell r="T306">
            <v>817.61028571428574</v>
          </cell>
          <cell r="U306">
            <v>5723.2719999999999</v>
          </cell>
        </row>
        <row r="307">
          <cell r="B307" t="str">
            <v>FQ(2)</v>
          </cell>
          <cell r="C307">
            <v>0.75</v>
          </cell>
          <cell r="D307">
            <v>-2.64328485885372E-3</v>
          </cell>
          <cell r="E307">
            <v>0.19900497512437801</v>
          </cell>
          <cell r="F307">
            <v>0.479890310786106</v>
          </cell>
          <cell r="G307">
            <v>-0.396913067052232</v>
          </cell>
          <cell r="H307">
            <v>0.82292412739340104</v>
          </cell>
          <cell r="I307">
            <v>0.60764125235507704</v>
          </cell>
          <cell r="J307">
            <v>951.70144671342098</v>
          </cell>
          <cell r="K307">
            <v>6661.9101269939465</v>
          </cell>
          <cell r="M307">
            <v>7.8399485650561193E-2</v>
          </cell>
          <cell r="N307">
            <v>0.38030953043325499</v>
          </cell>
          <cell r="O307">
            <v>0.13669832308686</v>
          </cell>
          <cell r="P307">
            <v>0.42515100838658099</v>
          </cell>
          <cell r="Q307">
            <v>0.32571428571428601</v>
          </cell>
          <cell r="R307">
            <v>0.18502780191404899</v>
          </cell>
          <cell r="S307">
            <v>0.28714391088612501</v>
          </cell>
          <cell r="T307">
            <v>844.17771428571439</v>
          </cell>
          <cell r="U307">
            <v>5909.2440000000006</v>
          </cell>
        </row>
        <row r="308">
          <cell r="B308" t="str">
            <v>FQ(1)</v>
          </cell>
          <cell r="C308">
            <v>0.63</v>
          </cell>
          <cell r="D308">
            <v>0.11363636363636399</v>
          </cell>
          <cell r="E308">
            <v>-2.8449502133712699E-2</v>
          </cell>
          <cell r="F308">
            <v>0.37607612143180802</v>
          </cell>
          <cell r="G308">
            <v>1.23689909433279E-2</v>
          </cell>
          <cell r="H308">
            <v>0.843013927219047</v>
          </cell>
          <cell r="I308">
            <v>0.81243984937817104</v>
          </cell>
          <cell r="J308">
            <v>951.70144671342098</v>
          </cell>
          <cell r="K308">
            <v>6661.9101269939465</v>
          </cell>
          <cell r="M308">
            <v>0.34512566212104101</v>
          </cell>
          <cell r="N308">
            <v>0.61409108068224705</v>
          </cell>
          <cell r="O308">
            <v>0.21252615894514101</v>
          </cell>
          <cell r="P308">
            <v>0.43855628046027101</v>
          </cell>
          <cell r="Q308">
            <v>0.43607954545454503</v>
          </cell>
          <cell r="R308">
            <v>1.8579840918299399E-2</v>
          </cell>
          <cell r="S308">
            <v>0.36392078850375198</v>
          </cell>
          <cell r="T308">
            <v>844.17771428571439</v>
          </cell>
          <cell r="U308">
            <v>5909.2440000000006</v>
          </cell>
        </row>
        <row r="309">
          <cell r="B309" t="str">
            <v>Last Reported Q</v>
          </cell>
          <cell r="C309">
            <v>3.2250814332247599</v>
          </cell>
          <cell r="D309">
            <v>1.07185741893923</v>
          </cell>
          <cell r="E309">
            <v>1.3637977980347999</v>
          </cell>
          <cell r="F309">
            <v>1.9476439790575899</v>
          </cell>
          <cell r="G309">
            <v>-0.32505046574263302</v>
          </cell>
          <cell r="H309">
            <v>3.5404627917437099</v>
          </cell>
          <cell r="I309">
            <v>2.83955201617291</v>
          </cell>
          <cell r="M309">
            <v>1.0857232916170301</v>
          </cell>
          <cell r="N309">
            <v>2.2898250181267499</v>
          </cell>
          <cell r="O309">
            <v>0.76073186478937904</v>
          </cell>
          <cell r="P309">
            <v>0.74973318273326695</v>
          </cell>
          <cell r="Q309">
            <v>1.57451682176092</v>
          </cell>
          <cell r="R309">
            <v>1.2399430783590699</v>
          </cell>
          <cell r="S309">
            <v>1.2842313990523899</v>
          </cell>
        </row>
        <row r="310">
          <cell r="A310" t="str">
            <v>mstag:shortTermBorrowings</v>
          </cell>
          <cell r="B310" t="str">
            <v>LTM</v>
          </cell>
          <cell r="C310">
            <v>5.0550814332247604</v>
          </cell>
          <cell r="D310">
            <v>1.2951091416323224</v>
          </cell>
          <cell r="E310">
            <v>1.3729863986951383</v>
          </cell>
          <cell r="F310">
            <v>3.116397899775964</v>
          </cell>
          <cell r="G310">
            <v>-0.74425906819701138</v>
          </cell>
          <cell r="H310">
            <v>5.928462412046243</v>
          </cell>
          <cell r="I310">
            <v>4.7461513417052501</v>
          </cell>
          <cell r="M310">
            <v>1.2457844668468132</v>
          </cell>
          <cell r="N310">
            <v>3.6104782722082742</v>
          </cell>
          <cell r="O310">
            <v>1.1856054499928437</v>
          </cell>
          <cell r="P310">
            <v>1.996645960836549</v>
          </cell>
          <cell r="Q310">
            <v>2.6447755022841273</v>
          </cell>
          <cell r="R310">
            <v>1.4515962537710307</v>
          </cell>
          <cell r="S310">
            <v>2.11616502411455</v>
          </cell>
        </row>
        <row r="311">
          <cell r="B311" t="str">
            <v>FY(2)</v>
          </cell>
          <cell r="C311">
            <v>18.841000000000001</v>
          </cell>
          <cell r="D311">
            <v>434</v>
          </cell>
          <cell r="E311">
            <v>650</v>
          </cell>
          <cell r="F311">
            <v>6.8</v>
          </cell>
          <cell r="G311">
            <v>236.667</v>
          </cell>
          <cell r="H311">
            <v>0</v>
          </cell>
          <cell r="I311">
            <v>1.8540000000000001</v>
          </cell>
          <cell r="J311">
            <v>192.59457142857141</v>
          </cell>
          <cell r="K311">
            <v>1348.1619999999998</v>
          </cell>
          <cell r="M311">
            <v>0</v>
          </cell>
          <cell r="N311">
            <v>0</v>
          </cell>
          <cell r="O311">
            <v>0</v>
          </cell>
          <cell r="P311">
            <v>0.23499999999999999</v>
          </cell>
          <cell r="Q311">
            <v>325</v>
          </cell>
          <cell r="R311">
            <v>18</v>
          </cell>
          <cell r="S311" t="str">
            <v>NA</v>
          </cell>
          <cell r="T311">
            <v>57.205833333333338</v>
          </cell>
          <cell r="U311">
            <v>343.23500000000001</v>
          </cell>
        </row>
        <row r="312">
          <cell r="B312" t="str">
            <v>EPS Y/Y Δ</v>
          </cell>
          <cell r="C312">
            <v>12.701000000000001</v>
          </cell>
          <cell r="D312">
            <v>203</v>
          </cell>
          <cell r="E312">
            <v>666</v>
          </cell>
          <cell r="F312">
            <v>261</v>
          </cell>
          <cell r="G312">
            <v>319.24200000000002</v>
          </cell>
          <cell r="H312">
            <v>0</v>
          </cell>
          <cell r="I312">
            <v>2.008</v>
          </cell>
          <cell r="J312">
            <v>209.13585714285713</v>
          </cell>
          <cell r="K312">
            <v>1463.951</v>
          </cell>
          <cell r="M312">
            <v>0</v>
          </cell>
          <cell r="N312">
            <v>0</v>
          </cell>
          <cell r="O312">
            <v>0</v>
          </cell>
          <cell r="P312">
            <v>0.28499999999999998</v>
          </cell>
          <cell r="Q312">
            <v>138</v>
          </cell>
          <cell r="R312">
            <v>0</v>
          </cell>
          <cell r="S312" t="str">
            <v>NA</v>
          </cell>
          <cell r="T312">
            <v>23.047499999999999</v>
          </cell>
          <cell r="U312">
            <v>138.285</v>
          </cell>
        </row>
        <row r="313">
          <cell r="B313" t="str">
            <v>FY(10)</v>
          </cell>
          <cell r="C313">
            <v>17</v>
          </cell>
          <cell r="D313">
            <v>0</v>
          </cell>
          <cell r="E313">
            <v>966</v>
          </cell>
          <cell r="F313">
            <v>299</v>
          </cell>
          <cell r="G313">
            <v>4.673</v>
          </cell>
          <cell r="H313">
            <v>0</v>
          </cell>
          <cell r="I313">
            <v>395.02699999999999</v>
          </cell>
          <cell r="J313">
            <v>240.24285714285716</v>
          </cell>
          <cell r="K313">
            <v>1681.7</v>
          </cell>
          <cell r="M313">
            <v>0</v>
          </cell>
          <cell r="N313">
            <v>0</v>
          </cell>
          <cell r="O313">
            <v>75</v>
          </cell>
          <cell r="P313">
            <v>8.0039999999999996</v>
          </cell>
          <cell r="Q313">
            <v>50</v>
          </cell>
          <cell r="R313">
            <v>0</v>
          </cell>
          <cell r="S313" t="str">
            <v>NA</v>
          </cell>
          <cell r="T313">
            <v>22.167333333333335</v>
          </cell>
          <cell r="U313">
            <v>133.00400000000002</v>
          </cell>
        </row>
        <row r="314">
          <cell r="B314" t="str">
            <v>FY(9)</v>
          </cell>
          <cell r="C314">
            <v>0.38333191174535419</v>
          </cell>
          <cell r="D314">
            <v>-1.3142857142857143</v>
          </cell>
          <cell r="E314">
            <v>0.11804933673070162</v>
          </cell>
          <cell r="F314">
            <v>-0.36416773403833624</v>
          </cell>
          <cell r="G314">
            <v>4.8470000000000004</v>
          </cell>
          <cell r="H314">
            <v>-0.44955298404739652</v>
          </cell>
          <cell r="I314">
            <v>-0.43883491605853564</v>
          </cell>
          <cell r="J314">
            <v>-0.34424334999232115</v>
          </cell>
          <cell r="K314">
            <v>799.84699999999998</v>
          </cell>
          <cell r="M314">
            <v>0.10474862147233988</v>
          </cell>
          <cell r="N314">
            <v>0</v>
          </cell>
          <cell r="O314">
            <v>1.8165106195665359E-2</v>
          </cell>
          <cell r="P314">
            <v>0.70399999999999996</v>
          </cell>
          <cell r="Q314">
            <v>0</v>
          </cell>
          <cell r="R314">
            <v>-3.3205992332745793E-2</v>
          </cell>
          <cell r="S314">
            <v>-0.41964642004471842</v>
          </cell>
          <cell r="T314">
            <v>-8.2484671177364743E-2</v>
          </cell>
          <cell r="U314">
            <v>50.704000000000001</v>
          </cell>
        </row>
        <row r="315">
          <cell r="B315" t="str">
            <v>FY(8)</v>
          </cell>
          <cell r="C315">
            <v>0.32341124893457951</v>
          </cell>
          <cell r="D315">
            <v>-2.2954545454545454</v>
          </cell>
          <cell r="E315">
            <v>-0.23747100765952955</v>
          </cell>
          <cell r="F315">
            <v>-0.50066060080717933</v>
          </cell>
          <cell r="G315">
            <v>4.8470000000000004</v>
          </cell>
          <cell r="H315">
            <v>6.0534456738616127E-2</v>
          </cell>
          <cell r="I315">
            <v>4.4168813353693048E-2</v>
          </cell>
          <cell r="J315">
            <v>-0.43424527248239436</v>
          </cell>
          <cell r="K315">
            <v>786.84699999999998</v>
          </cell>
          <cell r="M315">
            <v>5.832853298378593E-2</v>
          </cell>
          <cell r="N315">
            <v>0</v>
          </cell>
          <cell r="O315">
            <v>9.0181483792735495E-2</v>
          </cell>
          <cell r="P315">
            <v>0.50467806849125085</v>
          </cell>
          <cell r="Q315">
            <v>-1.0089158991143998</v>
          </cell>
          <cell r="R315">
            <v>-3.5106748651982933E-3</v>
          </cell>
          <cell r="S315">
            <v>0.41650191844039486</v>
          </cell>
          <cell r="T315">
            <v>9.5439049547615031E-3</v>
          </cell>
          <cell r="U315">
            <v>50</v>
          </cell>
        </row>
        <row r="316">
          <cell r="B316" t="str">
            <v>FY(7)</v>
          </cell>
          <cell r="C316">
            <v>0.29857794398182502</v>
          </cell>
          <cell r="D316">
            <v>0.64912280701754388</v>
          </cell>
          <cell r="E316">
            <v>6.7412153054826396E-2</v>
          </cell>
          <cell r="F316">
            <v>-0.20227964526215647</v>
          </cell>
          <cell r="G316">
            <v>4.673</v>
          </cell>
          <cell r="H316">
            <v>0.31251840188069724</v>
          </cell>
          <cell r="I316">
            <v>0.10728677326538727</v>
          </cell>
          <cell r="J316">
            <v>0.20543973898968723</v>
          </cell>
          <cell r="K316">
            <v>1681.7</v>
          </cell>
          <cell r="M316">
            <v>0.19098184907018156</v>
          </cell>
          <cell r="N316">
            <v>0</v>
          </cell>
          <cell r="O316">
            <v>-6.2339155241477595E-3</v>
          </cell>
          <cell r="P316">
            <v>9.3992643608273196E-2</v>
          </cell>
          <cell r="Q316">
            <v>-59.050181919874326</v>
          </cell>
          <cell r="R316">
            <v>0.24789361207114635</v>
          </cell>
          <cell r="S316">
            <v>0.64296231684330118</v>
          </cell>
          <cell r="T316">
            <v>-9.6467642356342616</v>
          </cell>
          <cell r="U316">
            <v>125.33499999999999</v>
          </cell>
        </row>
        <row r="317">
          <cell r="B317" t="str">
            <v>FY(6)</v>
          </cell>
          <cell r="C317">
            <v>-8.3100620005075121E-2</v>
          </cell>
          <cell r="D317">
            <v>0.27659574468085113</v>
          </cell>
          <cell r="E317">
            <v>8.2618698493727383E-2</v>
          </cell>
          <cell r="F317">
            <v>1.3822706979871873</v>
          </cell>
          <cell r="G317">
            <v>4.6859999999999999</v>
          </cell>
          <cell r="H317">
            <v>0.16926236630347291</v>
          </cell>
          <cell r="I317">
            <v>7.8776047681237138E-2</v>
          </cell>
          <cell r="J317">
            <v>0.3177371558569001</v>
          </cell>
          <cell r="K317">
            <v>1907.1309999999999</v>
          </cell>
          <cell r="M317">
            <v>6.2837441288863927E-2</v>
          </cell>
          <cell r="N317">
            <v>0.55094315434128438</v>
          </cell>
          <cell r="O317">
            <v>-0.15929751921077051</v>
          </cell>
          <cell r="P317">
            <v>0.53825298190107462</v>
          </cell>
          <cell r="Q317">
            <v>1.0410859377324253</v>
          </cell>
          <cell r="R317">
            <v>0.13904717119015597</v>
          </cell>
          <cell r="S317">
            <v>0.69315931207639814</v>
          </cell>
          <cell r="T317">
            <v>0.40943263990277595</v>
          </cell>
          <cell r="U317">
            <v>77.399000000000001</v>
          </cell>
        </row>
        <row r="318">
          <cell r="B318" t="str">
            <v>FY(5)</v>
          </cell>
          <cell r="C318">
            <v>0.20795980583943563</v>
          </cell>
          <cell r="D318">
            <v>0.8833333333333333</v>
          </cell>
          <cell r="E318">
            <v>0.19253228900861274</v>
          </cell>
          <cell r="F318">
            <v>0.56868930497266024</v>
          </cell>
          <cell r="G318">
            <v>-7.6223154680900018E-3</v>
          </cell>
          <cell r="H318">
            <v>-0.17913735551524679</v>
          </cell>
          <cell r="I318">
            <v>5.7374163051996829E-2</v>
          </cell>
          <cell r="J318">
            <v>0.2461613178889574</v>
          </cell>
          <cell r="K318">
            <v>1301.9349999999999</v>
          </cell>
          <cell r="M318">
            <v>0.2367570105561887</v>
          </cell>
          <cell r="N318">
            <v>0.63174032439753192</v>
          </cell>
          <cell r="O318">
            <v>1.5933845504816269</v>
          </cell>
          <cell r="P318">
            <v>0.73483141936535756</v>
          </cell>
          <cell r="Q318">
            <v>0.1606567497599205</v>
          </cell>
          <cell r="R318">
            <v>0.2689803737434957</v>
          </cell>
          <cell r="S318">
            <v>0.80746387215080495</v>
          </cell>
          <cell r="T318">
            <v>0.6334020429221322</v>
          </cell>
          <cell r="U318">
            <v>77.489999999999995</v>
          </cell>
        </row>
        <row r="319">
          <cell r="B319" t="str">
            <v>FY(4)</v>
          </cell>
          <cell r="C319">
            <v>0.18971698197619724</v>
          </cell>
          <cell r="D319">
            <v>0.60780520369841606</v>
          </cell>
          <cell r="E319">
            <v>0.13546350508465355</v>
          </cell>
          <cell r="F319">
            <v>0.43456343703759504</v>
          </cell>
          <cell r="G319">
            <v>0.65070370024488766</v>
          </cell>
          <cell r="H319">
            <v>0.13154857615551108</v>
          </cell>
          <cell r="I319">
            <v>3.2570545856928312E-2</v>
          </cell>
          <cell r="J319">
            <v>0.3117674214363127</v>
          </cell>
          <cell r="K319">
            <v>1063.2470000000001</v>
          </cell>
          <cell r="M319">
            <v>0.5668082158169403</v>
          </cell>
          <cell r="N319">
            <v>-1.1831248861474242E-2</v>
          </cell>
          <cell r="O319">
            <v>0.26676868534628784</v>
          </cell>
          <cell r="P319">
            <v>0.51040353388929227</v>
          </cell>
          <cell r="Q319">
            <v>-2.6140506076472336E-2</v>
          </cell>
          <cell r="R319">
            <v>-5.6799519587859892E-2</v>
          </cell>
          <cell r="S319">
            <v>0.41255503087039358</v>
          </cell>
          <cell r="T319">
            <v>0.23739488448530108</v>
          </cell>
          <cell r="U319">
            <v>58.003999999999998</v>
          </cell>
        </row>
        <row r="320">
          <cell r="B320" t="str">
            <v>FY(3)</v>
          </cell>
          <cell r="C320">
            <v>0.3630100673180261</v>
          </cell>
          <cell r="D320">
            <v>0.34403002287459361</v>
          </cell>
          <cell r="E320">
            <v>-0.17112431238754366</v>
          </cell>
          <cell r="F320">
            <v>0.28586835784741838</v>
          </cell>
          <cell r="G320">
            <v>-1.2681849996875048</v>
          </cell>
          <cell r="H320">
            <v>0.24909262030853796</v>
          </cell>
          <cell r="I320">
            <v>0.2897207009293119</v>
          </cell>
          <cell r="J320">
            <v>1.3201779600405647E-2</v>
          </cell>
          <cell r="K320">
            <v>1063.2470000000001</v>
          </cell>
          <cell r="M320">
            <v>0.21755366343914351</v>
          </cell>
          <cell r="N320">
            <v>0.25016715437938464</v>
          </cell>
          <cell r="O320">
            <v>0.34567896188602032</v>
          </cell>
          <cell r="P320">
            <v>0.38434387096817968</v>
          </cell>
          <cell r="Q320">
            <v>-0.21893432280382974</v>
          </cell>
          <cell r="R320">
            <v>0.26218616731765776</v>
          </cell>
          <cell r="S320">
            <v>-0.15341151411967069</v>
          </cell>
          <cell r="T320">
            <v>0.15536914015241221</v>
          </cell>
          <cell r="U320">
            <v>58.003999999999998</v>
          </cell>
        </row>
        <row r="321">
          <cell r="B321" t="str">
            <v>FY(2)</v>
          </cell>
          <cell r="C321">
            <v>2.4169184290030232E-2</v>
          </cell>
          <cell r="D321">
            <v>-2.427212697002834E-2</v>
          </cell>
          <cell r="E321">
            <v>2.51115686579928E-2</v>
          </cell>
          <cell r="F321">
            <v>9.3024838226714035E-2</v>
          </cell>
          <cell r="G321">
            <v>0.87950817896842159</v>
          </cell>
          <cell r="H321">
            <v>0.11863413420786695</v>
          </cell>
          <cell r="I321">
            <v>0.18019228567255752</v>
          </cell>
          <cell r="J321">
            <v>0.18519543757907925</v>
          </cell>
          <cell r="M321">
            <v>0.12375345586459363</v>
          </cell>
          <cell r="N321">
            <v>-0.10727399095711287</v>
          </cell>
          <cell r="O321">
            <v>7.0674788078129103E-2</v>
          </cell>
          <cell r="P321">
            <v>0.41229509899202532</v>
          </cell>
          <cell r="Q321">
            <v>0.20077069525719637</v>
          </cell>
          <cell r="R321">
            <v>-0.27637687540793165</v>
          </cell>
          <cell r="S321">
            <v>0.39017288406950468</v>
          </cell>
          <cell r="T321">
            <v>0.11628800798520066</v>
          </cell>
        </row>
        <row r="322">
          <cell r="A322" t="str">
            <v>mstag:longTermDebt</v>
          </cell>
          <cell r="B322" t="str">
            <v>FY(1)</v>
          </cell>
          <cell r="C322">
            <v>-0.14749262536873153</v>
          </cell>
          <cell r="D322">
            <v>-0.47032283312877121</v>
          </cell>
          <cell r="E322">
            <v>-0.39262665197749624</v>
          </cell>
          <cell r="F322">
            <v>-0.3540721404385847</v>
          </cell>
          <cell r="G322">
            <v>-2.9214051685363369</v>
          </cell>
          <cell r="H322">
            <v>0.21173725065084814</v>
          </cell>
          <cell r="I322">
            <v>3.6424864736075424E-2</v>
          </cell>
          <cell r="J322">
            <v>-0.57682247200899972</v>
          </cell>
          <cell r="M322">
            <v>-0.34496927185056092</v>
          </cell>
          <cell r="N322">
            <v>0.32005968945470187</v>
          </cell>
          <cell r="O322">
            <v>-0.45647280427474968</v>
          </cell>
          <cell r="P322">
            <v>0.22102147339295364</v>
          </cell>
          <cell r="Q322">
            <v>0.20208806602495155</v>
          </cell>
          <cell r="R322">
            <v>-0.13673660371004148</v>
          </cell>
          <cell r="S322">
            <v>0.29770707155636522</v>
          </cell>
          <cell r="T322">
            <v>1.4671088656231457E-2</v>
          </cell>
        </row>
        <row r="323">
          <cell r="B323" t="str">
            <v>FY0</v>
          </cell>
          <cell r="C323">
            <v>0.11594513260372308</v>
          </cell>
          <cell r="D323">
            <v>-0.57533524739751352</v>
          </cell>
          <cell r="E323">
            <v>5.4566031260209424E-2</v>
          </cell>
          <cell r="F323">
            <v>8.1185252383314088E-2</v>
          </cell>
          <cell r="G323">
            <v>-0.59016233036436283</v>
          </cell>
          <cell r="H323">
            <v>0.53481878819347384</v>
          </cell>
          <cell r="I323">
            <v>0.42082221308070245</v>
          </cell>
          <cell r="J323">
            <v>5.9771199656495034E-3</v>
          </cell>
          <cell r="K323">
            <v>13906.364000000001</v>
          </cell>
          <cell r="M323">
            <v>-0.69606783417787799</v>
          </cell>
          <cell r="N323">
            <v>0.55335775948253563</v>
          </cell>
          <cell r="O323">
            <v>-0.22926554040886304</v>
          </cell>
          <cell r="P323">
            <v>-7.2362195556296083E-2</v>
          </cell>
          <cell r="Q323">
            <v>0.17071105982016865</v>
          </cell>
          <cell r="R323">
            <v>0.18351823316861648</v>
          </cell>
          <cell r="S323">
            <v>0.10059915201046898</v>
          </cell>
          <cell r="T323">
            <v>1.4986620483932336E-3</v>
          </cell>
          <cell r="U323">
            <v>1855.865</v>
          </cell>
        </row>
        <row r="324">
          <cell r="B324" t="str">
            <v>FY1</v>
          </cell>
          <cell r="C324">
            <v>0.19066760933238913</v>
          </cell>
          <cell r="D324">
            <v>0.46231497079181483</v>
          </cell>
          <cell r="E324">
            <v>0.34425938728520356</v>
          </cell>
          <cell r="F324">
            <v>0.32788713801956981</v>
          </cell>
          <cell r="G324">
            <v>-0.70033830326838997</v>
          </cell>
          <cell r="H324">
            <v>0.21161707516698169</v>
          </cell>
          <cell r="I324">
            <v>0.21112286793334967</v>
          </cell>
          <cell r="J324">
            <v>0.1496472493229884</v>
          </cell>
          <cell r="K324">
            <v>18116.307000000001</v>
          </cell>
          <cell r="M324">
            <v>0.64543028516687695</v>
          </cell>
          <cell r="N324">
            <v>0.19334666855419669</v>
          </cell>
          <cell r="O324">
            <v>0.52413702745666524</v>
          </cell>
          <cell r="P324">
            <v>0.14010587635962057</v>
          </cell>
          <cell r="Q324">
            <v>4.9004142832737463E-2</v>
          </cell>
          <cell r="R324">
            <v>0.36730132131152016</v>
          </cell>
          <cell r="S324">
            <v>0.2610028069870578</v>
          </cell>
          <cell r="T324">
            <v>0.31147544695266788</v>
          </cell>
          <cell r="U324">
            <v>2957.2190000000001</v>
          </cell>
        </row>
        <row r="325">
          <cell r="B325" t="str">
            <v>FY2</v>
          </cell>
          <cell r="C325">
            <v>0.19085410475157039</v>
          </cell>
          <cell r="D325">
            <v>0.23954515132650411</v>
          </cell>
          <cell r="E325">
            <v>0.13763308332158775</v>
          </cell>
          <cell r="F325">
            <v>0.1258325745872062</v>
          </cell>
          <cell r="G325">
            <v>-2.353377020856251</v>
          </cell>
          <cell r="H325">
            <v>0.13583788032694577</v>
          </cell>
          <cell r="I325">
            <v>0.12767674498703308</v>
          </cell>
          <cell r="J325">
            <v>-0.19942821165077196</v>
          </cell>
          <cell r="K325">
            <v>17655.983</v>
          </cell>
          <cell r="M325">
            <v>0.37558248316354792</v>
          </cell>
          <cell r="N325">
            <v>9.221472123410468E-2</v>
          </cell>
          <cell r="O325">
            <v>0.21796634946775573</v>
          </cell>
          <cell r="P325">
            <v>0.11247893929962682</v>
          </cell>
          <cell r="Q325">
            <v>6.8354274428650053E-2</v>
          </cell>
          <cell r="R325">
            <v>0.17255355528304417</v>
          </cell>
          <cell r="S325">
            <v>0.20146384145623419</v>
          </cell>
          <cell r="T325">
            <v>0.17723059490470908</v>
          </cell>
          <cell r="U325">
            <v>3022.1860000000001</v>
          </cell>
        </row>
        <row r="326">
          <cell r="B326" t="str">
            <v>FY1</v>
          </cell>
          <cell r="C326">
            <v>2054</v>
          </cell>
          <cell r="D326">
            <v>2999</v>
          </cell>
          <cell r="E326">
            <v>8618.2000000000007</v>
          </cell>
          <cell r="F326">
            <v>2259</v>
          </cell>
          <cell r="G326">
            <v>499.60599999999999</v>
          </cell>
          <cell r="H326">
            <v>150</v>
          </cell>
          <cell r="I326">
            <v>774.7</v>
          </cell>
          <cell r="J326">
            <v>2479.2151428571428</v>
          </cell>
          <cell r="K326">
            <v>17354.506000000001</v>
          </cell>
          <cell r="M326">
            <v>50.582000000000001</v>
          </cell>
          <cell r="N326" t="str">
            <v>NA</v>
          </cell>
          <cell r="O326">
            <v>0</v>
          </cell>
          <cell r="P326">
            <v>24.428999999999998</v>
          </cell>
          <cell r="Q326">
            <v>0</v>
          </cell>
          <cell r="R326">
            <v>2880.2820000000002</v>
          </cell>
          <cell r="S326">
            <v>0</v>
          </cell>
          <cell r="T326">
            <v>492.54883333333333</v>
          </cell>
          <cell r="U326">
            <v>2955.2930000000001</v>
          </cell>
        </row>
        <row r="327">
          <cell r="B327" t="str">
            <v>Net Income Margin</v>
          </cell>
          <cell r="C327">
            <v>2037</v>
          </cell>
          <cell r="D327">
            <v>2597</v>
          </cell>
          <cell r="E327">
            <v>8355.4</v>
          </cell>
          <cell r="F327">
            <v>1909</v>
          </cell>
          <cell r="G327">
            <v>476.60599999999999</v>
          </cell>
          <cell r="H327">
            <v>150</v>
          </cell>
          <cell r="I327">
            <v>774.7</v>
          </cell>
          <cell r="J327">
            <v>2328.5294285714285</v>
          </cell>
          <cell r="K327">
            <v>16299.706</v>
          </cell>
          <cell r="M327">
            <v>50.582000000000001</v>
          </cell>
          <cell r="N327" t="str">
            <v>NA</v>
          </cell>
          <cell r="O327">
            <v>0</v>
          </cell>
          <cell r="P327">
            <v>25.132999999999999</v>
          </cell>
          <cell r="Q327">
            <v>0</v>
          </cell>
          <cell r="R327">
            <v>2878.2820000000002</v>
          </cell>
          <cell r="S327">
            <v>0</v>
          </cell>
          <cell r="T327">
            <v>492.33283333333338</v>
          </cell>
          <cell r="U327">
            <v>2953.9970000000003</v>
          </cell>
        </row>
        <row r="328">
          <cell r="B328" t="str">
            <v>FY(10)</v>
          </cell>
          <cell r="C328">
            <v>5.7935299255208496E-2</v>
          </cell>
          <cell r="D328">
            <v>1.2101187663421857E-2</v>
          </cell>
          <cell r="E328">
            <v>5.1469212053153662E-2</v>
          </cell>
          <cell r="F328">
            <v>3.92874344532919E-2</v>
          </cell>
          <cell r="G328">
            <v>635.4</v>
          </cell>
          <cell r="H328">
            <v>6.4450923950777714E-2</v>
          </cell>
          <cell r="I328">
            <v>5.9897807329261712E-2</v>
          </cell>
          <cell r="J328">
            <v>4.752364411751922E-2</v>
          </cell>
          <cell r="K328">
            <v>3.4351025607138229E-2</v>
          </cell>
          <cell r="M328">
            <v>0.14512571081565068</v>
          </cell>
          <cell r="N328" t="str">
            <v>NA</v>
          </cell>
          <cell r="O328">
            <v>0.10895272706296327</v>
          </cell>
          <cell r="P328">
            <v>4.1358625076558596E-2</v>
          </cell>
          <cell r="Q328">
            <v>0</v>
          </cell>
          <cell r="R328">
            <v>4.572598812205611E-2</v>
          </cell>
          <cell r="S328">
            <v>6.7166942933268137E-2</v>
          </cell>
          <cell r="T328">
            <v>8.1665998802099363E-2</v>
          </cell>
          <cell r="U328">
            <v>2.9919546644090092E-2</v>
          </cell>
        </row>
        <row r="329">
          <cell r="B329" t="str">
            <v>FY(9)</v>
          </cell>
          <cell r="C329">
            <v>5.9931731738239978E-2</v>
          </cell>
          <cell r="D329">
            <v>-2.7808829994347799E-3</v>
          </cell>
          <cell r="E329">
            <v>5.4153143406659457E-2</v>
          </cell>
          <cell r="F329">
            <v>2.4378058788428116E-2</v>
          </cell>
          <cell r="G329">
            <v>631.94000000000005</v>
          </cell>
          <cell r="H329">
            <v>5.5476499230908083E-2</v>
          </cell>
          <cell r="I329">
            <v>5.6171381456489332E-2</v>
          </cell>
          <cell r="J329">
            <v>4.1221655270215034E-2</v>
          </cell>
          <cell r="K329">
            <v>2.7663271784373999E-2</v>
          </cell>
          <cell r="M329">
            <v>0.12673924777230844</v>
          </cell>
          <cell r="N329" t="str">
            <v>NA</v>
          </cell>
          <cell r="O329">
            <v>8.6118055201265253E-2</v>
          </cell>
          <cell r="P329">
            <v>7.0464480874316948E-2</v>
          </cell>
          <cell r="Q329">
            <v>6.4169722482663394E-2</v>
          </cell>
          <cell r="R329">
            <v>4.5425209251101321E-2</v>
          </cell>
          <cell r="S329">
            <v>3.5536157490019732E-2</v>
          </cell>
          <cell r="T329">
            <v>7.1408812178612516E-2</v>
          </cell>
          <cell r="U329">
            <v>6.0567113597635745E-2</v>
          </cell>
        </row>
        <row r="330">
          <cell r="B330" t="str">
            <v>FY(8)</v>
          </cell>
          <cell r="C330">
            <v>6.5697991332478528E-2</v>
          </cell>
          <cell r="D330">
            <v>1.0257847533632286E-2</v>
          </cell>
          <cell r="E330">
            <v>4.7260057016154579E-2</v>
          </cell>
          <cell r="F330">
            <v>2.2130834751771789E-2</v>
          </cell>
          <cell r="G330">
            <v>598.07899999999995</v>
          </cell>
          <cell r="H330">
            <v>5.1913616706109562E-2</v>
          </cell>
          <cell r="I330">
            <v>5.0461957318509172E-2</v>
          </cell>
          <cell r="J330">
            <v>4.1287050776442652E-2</v>
          </cell>
          <cell r="K330">
            <v>3.7077995485691816E-2</v>
          </cell>
          <cell r="M330">
            <v>0.1220644274511614</v>
          </cell>
          <cell r="N330" t="str">
            <v>NA</v>
          </cell>
          <cell r="O330">
            <v>7.9973380489094179E-2</v>
          </cell>
          <cell r="P330">
            <v>0.11757451818595117</v>
          </cell>
          <cell r="Q330">
            <v>-5.6066372070281121E-4</v>
          </cell>
          <cell r="R330">
            <v>4.8174640864300129E-2</v>
          </cell>
          <cell r="S330">
            <v>4.3005175407928746E-2</v>
          </cell>
          <cell r="T330">
            <v>6.8371913112955471E-2</v>
          </cell>
          <cell r="U330">
            <v>2.8622122577042136E-2</v>
          </cell>
        </row>
        <row r="331">
          <cell r="B331" t="str">
            <v>FY(7)</v>
          </cell>
          <cell r="C331">
            <v>6.9676535398502257E-2</v>
          </cell>
          <cell r="D331">
            <v>1.6279337321675105E-2</v>
          </cell>
          <cell r="E331">
            <v>4.5340697450388545E-2</v>
          </cell>
          <cell r="F331">
            <v>1.7888503556807996E-2</v>
          </cell>
          <cell r="G331">
            <v>514.60599999999999</v>
          </cell>
          <cell r="H331">
            <v>5.6657101861073485E-2</v>
          </cell>
          <cell r="I331">
            <v>4.8274602049693326E-2</v>
          </cell>
          <cell r="J331">
            <v>4.2352796273023442E-2</v>
          </cell>
          <cell r="K331">
            <v>3.9495927902977658E-2</v>
          </cell>
          <cell r="M331">
            <v>0.12204489781338887</v>
          </cell>
          <cell r="N331">
            <v>6.1200245414809118E-2</v>
          </cell>
          <cell r="O331">
            <v>7.2053180111980211E-2</v>
          </cell>
          <cell r="P331">
            <v>0.10977203224909647</v>
          </cell>
          <cell r="Q331">
            <v>3.3048788124032377E-2</v>
          </cell>
          <cell r="R331">
            <v>6.1270950868468239E-2</v>
          </cell>
          <cell r="S331">
            <v>6.4843857184083406E-2</v>
          </cell>
          <cell r="T331">
            <v>7.489056453797982E-2</v>
          </cell>
          <cell r="U331">
            <v>5.1851808847542182E-2</v>
          </cell>
        </row>
        <row r="332">
          <cell r="B332" t="str">
            <v>FY(6)</v>
          </cell>
          <cell r="C332">
            <v>5.6492578262754653E-2</v>
          </cell>
          <cell r="D332">
            <v>2.0556158282418774E-2</v>
          </cell>
          <cell r="E332">
            <v>4.632753698416818E-2</v>
          </cell>
          <cell r="F332">
            <v>3.7665548279526076E-2</v>
          </cell>
          <cell r="G332">
            <v>-2.8624187351994703E-2</v>
          </cell>
          <cell r="H332">
            <v>5.8045958981100515E-2</v>
          </cell>
          <cell r="I332">
            <v>4.5724402379422838E-2</v>
          </cell>
          <cell r="J332">
            <v>3.3741142259628043E-2</v>
          </cell>
          <cell r="K332">
            <v>3.842803169640515E-2</v>
          </cell>
          <cell r="M332">
            <v>0.11993729978001054</v>
          </cell>
          <cell r="N332">
            <v>7.382822493291312E-2</v>
          </cell>
          <cell r="O332">
            <v>5.7897391454582448E-2</v>
          </cell>
          <cell r="P332">
            <v>0.13210514612383772</v>
          </cell>
          <cell r="Q332">
            <v>6.5769812615373971E-2</v>
          </cell>
          <cell r="R332">
            <v>6.5329277355102813E-2</v>
          </cell>
          <cell r="S332">
            <v>8.8219257022290054E-2</v>
          </cell>
          <cell r="T332">
            <v>8.6155201326301528E-2</v>
          </cell>
          <cell r="U332">
            <v>7.0977314468242264E-2</v>
          </cell>
        </row>
        <row r="333">
          <cell r="B333" t="str">
            <v>FY(5)</v>
          </cell>
          <cell r="C333">
            <v>6.0125709402001584E-2</v>
          </cell>
          <cell r="D333">
            <v>3.632681255526083E-2</v>
          </cell>
          <cell r="E333">
            <v>4.9857162460831578E-2</v>
          </cell>
          <cell r="F333">
            <v>5.5174900121476633E-2</v>
          </cell>
          <cell r="G333">
            <v>-2.5006182052030538E-2</v>
          </cell>
          <cell r="H333">
            <v>4.3801990099033253E-2</v>
          </cell>
          <cell r="I333">
            <v>4.2174051494208296E-2</v>
          </cell>
          <cell r="J333">
            <v>3.749349201154023E-2</v>
          </cell>
          <cell r="K333">
            <v>4.4039051222133092E-2</v>
          </cell>
          <cell r="M333">
            <v>0.11970467536853013</v>
          </cell>
          <cell r="N333">
            <v>9.0188672200719341E-2</v>
          </cell>
          <cell r="O333">
            <v>0.11919365992980166</v>
          </cell>
          <cell r="P333">
            <v>0.17310304173543978</v>
          </cell>
          <cell r="Q333">
            <v>7.4637043284143362E-2</v>
          </cell>
          <cell r="R333">
            <v>7.1667691292550684E-2</v>
          </cell>
          <cell r="S333">
            <v>0.10931923890063426</v>
          </cell>
          <cell r="T333">
            <v>0.10825914610168845</v>
          </cell>
          <cell r="U333">
            <v>8.4316571263007345E-2</v>
          </cell>
        </row>
        <row r="334">
          <cell r="B334" t="str">
            <v>FY(4)</v>
          </cell>
          <cell r="C334">
            <v>6.2051153250896565E-2</v>
          </cell>
          <cell r="D334">
            <v>4.9413321697222672E-2</v>
          </cell>
          <cell r="E334">
            <v>4.8640224243403758E-2</v>
          </cell>
          <cell r="F334">
            <v>7.137225303541328E-2</v>
          </cell>
          <cell r="G334">
            <v>-4.0778442514653214E-2</v>
          </cell>
          <cell r="H334">
            <v>4.0377178900683007E-2</v>
          </cell>
          <cell r="I334">
            <v>4.0244189892129661E-2</v>
          </cell>
          <cell r="J334">
            <v>3.8759982643585107E-2</v>
          </cell>
          <cell r="K334">
            <v>4.8018534510282804E-2</v>
          </cell>
          <cell r="M334">
            <v>0.1313483666430168</v>
          </cell>
          <cell r="N334">
            <v>6.9709145287861388E-2</v>
          </cell>
          <cell r="O334">
            <v>0.12649259548605879</v>
          </cell>
          <cell r="P334">
            <v>0.20381799644488358</v>
          </cell>
          <cell r="Q334">
            <v>6.7177698424203958E-2</v>
          </cell>
          <cell r="R334">
            <v>5.6552665598014376E-2</v>
          </cell>
          <cell r="S334">
            <v>0.11888212893797678</v>
          </cell>
          <cell r="T334">
            <v>0.11056865668885939</v>
          </cell>
          <cell r="U334">
            <v>8.1511609039378055E-2</v>
          </cell>
        </row>
        <row r="335">
          <cell r="B335" t="str">
            <v>FY(3)</v>
          </cell>
          <cell r="C335">
            <v>7.1130982682978017E-2</v>
          </cell>
          <cell r="D335">
            <v>5.6976083309283464E-2</v>
          </cell>
          <cell r="E335">
            <v>4.2180442916371901E-2</v>
          </cell>
          <cell r="F335">
            <v>7.9199032602248087E-2</v>
          </cell>
          <cell r="G335">
            <v>1.0150408234000237E-2</v>
          </cell>
          <cell r="H335">
            <v>4.3379693045684092E-2</v>
          </cell>
          <cell r="I335">
            <v>4.5064699151949855E-2</v>
          </cell>
          <cell r="J335">
            <v>4.9725905991787958E-2</v>
          </cell>
          <cell r="K335">
            <v>5.275772799682768E-2</v>
          </cell>
          <cell r="M335">
            <v>0.1359622626801974</v>
          </cell>
          <cell r="N335">
            <v>7.1375197423167711E-2</v>
          </cell>
          <cell r="O335">
            <v>0.13861929302403478</v>
          </cell>
          <cell r="P335">
            <v>0.22800499610494254</v>
          </cell>
          <cell r="Q335">
            <v>4.9045625094020787E-2</v>
          </cell>
          <cell r="R335">
            <v>6.3262207407757273E-2</v>
          </cell>
          <cell r="S335">
            <v>8.8923400263081182E-2</v>
          </cell>
          <cell r="T335">
            <v>0.11074185457102881</v>
          </cell>
          <cell r="U335">
            <v>7.9358667406064287E-2</v>
          </cell>
        </row>
        <row r="336">
          <cell r="B336" t="str">
            <v>FY(2)</v>
          </cell>
          <cell r="C336">
            <v>6.5790988059755848E-2</v>
          </cell>
          <cell r="D336">
            <v>5.4025667478813932E-2</v>
          </cell>
          <cell r="E336">
            <v>3.6820980296638731E-2</v>
          </cell>
          <cell r="F336">
            <v>7.8618104096891933E-2</v>
          </cell>
          <cell r="G336">
            <v>1.9412382865364255E-2</v>
          </cell>
          <cell r="H336">
            <v>4.3688993796370736E-2</v>
          </cell>
          <cell r="I336">
            <v>4.9219705344096379E-2</v>
          </cell>
          <cell r="J336">
            <v>4.965383170541883E-2</v>
          </cell>
          <cell r="K336">
            <v>5.0949705676878843E-2</v>
          </cell>
          <cell r="M336">
            <v>0.13491173233403322</v>
          </cell>
          <cell r="N336">
            <v>7.9189203016960127E-2</v>
          </cell>
          <cell r="O336">
            <v>0.13092116007657215</v>
          </cell>
          <cell r="P336">
            <v>0.24365156772018359</v>
          </cell>
          <cell r="Q336">
            <v>5.6346546055297084E-2</v>
          </cell>
          <cell r="R336">
            <v>4.5750785423069804E-2</v>
          </cell>
          <cell r="S336">
            <v>0.10116573059790784</v>
          </cell>
          <cell r="T336">
            <v>0.11313381788914624</v>
          </cell>
          <cell r="U336">
            <v>8.2573996153070497E-2</v>
          </cell>
          <cell r="W336">
            <v>1.9679625000000001</v>
          </cell>
        </row>
        <row r="337">
          <cell r="B337" t="str">
            <v>FY(1)</v>
          </cell>
          <cell r="C337">
            <v>5.4038343024852185E-2</v>
          </cell>
          <cell r="D337">
            <v>3.0429729959475491E-2</v>
          </cell>
          <cell r="E337">
            <v>2.1894584605495742E-2</v>
          </cell>
          <cell r="F337">
            <v>4.7587866361114457E-2</v>
          </cell>
          <cell r="G337">
            <v>-3.6140655347666757E-2</v>
          </cell>
          <cell r="H337">
            <v>4.6680270034300066E-2</v>
          </cell>
          <cell r="I337">
            <v>4.6520091019211077E-2</v>
          </cell>
          <cell r="J337">
            <v>3.0144318522397469E-2</v>
          </cell>
          <cell r="K337">
            <v>3.5872481012592806E-2</v>
          </cell>
          <cell r="M337">
            <v>9.1551386331804568E-2</v>
          </cell>
          <cell r="N337">
            <v>7.9246641927393405E-2</v>
          </cell>
          <cell r="O337">
            <v>6.8551537280469158E-2</v>
          </cell>
          <cell r="P337">
            <v>0.23327843026046943</v>
          </cell>
          <cell r="Q337">
            <v>6.6570287759878832E-2</v>
          </cell>
          <cell r="R337">
            <v>3.9079252979834236E-2</v>
          </cell>
          <cell r="S337">
            <v>0.10866785347140387</v>
          </cell>
          <cell r="T337">
            <v>9.8135055715893357E-2</v>
          </cell>
          <cell r="U337">
            <v>7.944859600547749E-2</v>
          </cell>
          <cell r="W337">
            <v>0.15743700000000002</v>
          </cell>
          <cell r="X337">
            <v>2.3615550000000005</v>
          </cell>
        </row>
        <row r="338">
          <cell r="B338" t="str">
            <v>FY0</v>
          </cell>
          <cell r="C338">
            <v>5.7641031612039359E-2</v>
          </cell>
          <cell r="D338">
            <v>1.421513831466786E-2</v>
          </cell>
          <cell r="E338">
            <v>2.4522116735493208E-2</v>
          </cell>
          <cell r="F338">
            <v>5.1804310971179462E-2</v>
          </cell>
          <cell r="G338">
            <v>-1.8178653818107862E-2</v>
          </cell>
          <cell r="H338">
            <v>6.1629158266883234E-2</v>
          </cell>
          <cell r="I338">
            <v>5.9815922798219512E-2</v>
          </cell>
          <cell r="J338">
            <v>3.5921289268624972E-2</v>
          </cell>
          <cell r="K338">
            <v>3.9884916628223133E-2</v>
          </cell>
          <cell r="M338">
            <v>3.27555798369542E-2</v>
          </cell>
          <cell r="N338">
            <v>0.10373009342609429</v>
          </cell>
          <cell r="O338">
            <v>5.3189401442807663E-2</v>
          </cell>
          <cell r="P338">
            <v>0.19258138449289702</v>
          </cell>
          <cell r="Q338">
            <v>7.7467070507853772E-2</v>
          </cell>
          <cell r="R338">
            <v>4.6935220024844376E-2</v>
          </cell>
          <cell r="S338">
            <v>0.1134747124983551</v>
          </cell>
          <cell r="T338">
            <v>8.8590494604258052E-2</v>
          </cell>
          <cell r="U338">
            <v>7.8382891355829779E-2</v>
          </cell>
          <cell r="X338">
            <v>1.5527607462809245</v>
          </cell>
        </row>
        <row r="339">
          <cell r="B339" t="str">
            <v>FY1</v>
          </cell>
          <cell r="C339">
            <v>6.4342059385477615E-2</v>
          </cell>
          <cell r="D339">
            <v>2.0888385410296403E-2</v>
          </cell>
          <cell r="E339">
            <v>3.1813816711141418E-2</v>
          </cell>
          <cell r="F339">
            <v>6.4289686967320903E-2</v>
          </cell>
          <cell r="G339">
            <v>-5.4109647929955719E-3</v>
          </cell>
          <cell r="H339">
            <v>6.6741586443900089E-2</v>
          </cell>
          <cell r="I339">
            <v>6.408709964679335E-2</v>
          </cell>
          <cell r="J339">
            <v>4.3821667110276318E-2</v>
          </cell>
          <cell r="K339">
            <v>4.7244121762731239E-2</v>
          </cell>
          <cell r="M339">
            <v>4.9138863306919793E-2</v>
          </cell>
          <cell r="N339">
            <v>0.10592424514367912</v>
          </cell>
          <cell r="O339">
            <v>8.3184043353480633E-2</v>
          </cell>
          <cell r="P339">
            <v>0.19906903395437484</v>
          </cell>
          <cell r="Q339">
            <v>7.7103041633192648E-2</v>
          </cell>
          <cell r="R339">
            <v>5.9931233269422908E-2</v>
          </cell>
          <cell r="S339">
            <v>0.12346769396327388</v>
          </cell>
          <cell r="T339">
            <v>9.9688307803477691E-2</v>
          </cell>
          <cell r="U339">
            <v>8.7030148021657691E-2</v>
          </cell>
          <cell r="X339">
            <v>1.1645705597106935</v>
          </cell>
        </row>
        <row r="340">
          <cell r="B340" t="str">
            <v>FY2</v>
          </cell>
          <cell r="C340">
            <v>6.8734804965646143E-2</v>
          </cell>
          <cell r="D340">
            <v>2.5340780647728017E-2</v>
          </cell>
          <cell r="E340">
            <v>3.5890992658464148E-2</v>
          </cell>
          <cell r="F340">
            <v>6.7563637252128633E-2</v>
          </cell>
          <cell r="G340">
            <v>7.3808253466599869E-3</v>
          </cell>
          <cell r="H340">
            <v>6.8719750522266018E-2</v>
          </cell>
          <cell r="I340">
            <v>6.5003459195586075E-2</v>
          </cell>
          <cell r="J340">
            <v>4.8376321512639861E-2</v>
          </cell>
          <cell r="K340">
            <v>5.1143216615833258E-2</v>
          </cell>
          <cell r="M340">
            <v>5.9744748069720834E-2</v>
          </cell>
          <cell r="N340">
            <v>9.3130464819987338E-2</v>
          </cell>
          <cell r="O340">
            <v>9.2577090363576101E-2</v>
          </cell>
          <cell r="P340">
            <v>0.19821527577355608</v>
          </cell>
          <cell r="Q340">
            <v>7.9543041633187123E-2</v>
          </cell>
          <cell r="R340">
            <v>6.6670753955747591E-2</v>
          </cell>
          <cell r="S340">
            <v>0.12966998036485877</v>
          </cell>
          <cell r="T340">
            <v>0.10279305071151912</v>
          </cell>
          <cell r="U340">
            <v>9.1460253226173738E-2</v>
          </cell>
        </row>
        <row r="341">
          <cell r="B341" t="str">
            <v>FQ(3)</v>
          </cell>
          <cell r="C341">
            <v>3.7658053875755909E-2</v>
          </cell>
          <cell r="D341">
            <v>6.4359422215875383E-3</v>
          </cell>
          <cell r="E341">
            <v>-1.3079438353529526E-2</v>
          </cell>
          <cell r="F341">
            <v>3.9859320046893319E-2</v>
          </cell>
          <cell r="G341">
            <v>-7.7165014663606243E-3</v>
          </cell>
          <cell r="H341">
            <v>5.4024032882497568E-2</v>
          </cell>
          <cell r="I341">
            <v>4.8048515648253277E-2</v>
          </cell>
          <cell r="J341">
            <v>2.3604274979299639E-2</v>
          </cell>
          <cell r="K341">
            <v>2.1702646496389557E-2</v>
          </cell>
          <cell r="M341">
            <v>-3.8397684007252429E-2</v>
          </cell>
          <cell r="N341">
            <v>8.1306491774993619E-2</v>
          </cell>
          <cell r="O341">
            <v>2.5622549019607841E-2</v>
          </cell>
          <cell r="P341">
            <v>0.16642588105235703</v>
          </cell>
          <cell r="Q341">
            <v>6.8755996162456035E-2</v>
          </cell>
          <cell r="R341">
            <v>1.507618953222079E-3</v>
          </cell>
          <cell r="S341">
            <v>8.0055405981351163E-2</v>
          </cell>
          <cell r="T341">
            <v>5.5039465562390762E-2</v>
          </cell>
          <cell r="U341">
            <v>5.2285350502880412E-2</v>
          </cell>
        </row>
        <row r="342">
          <cell r="B342" t="str">
            <v>FQ(2)</v>
          </cell>
          <cell r="C342">
            <v>6.0194429847609039E-2</v>
          </cell>
          <cell r="D342">
            <v>-1.5674735660074499E-4</v>
          </cell>
          <cell r="E342">
            <v>1.6266460108443067E-2</v>
          </cell>
          <cell r="F342">
            <v>4.8951048951048952E-2</v>
          </cell>
          <cell r="G342">
            <v>-9.774504358229362E-2</v>
          </cell>
          <cell r="H342">
            <v>5.846708989300229E-2</v>
          </cell>
          <cell r="I342">
            <v>5.5094145837581147E-2</v>
          </cell>
          <cell r="J342">
            <v>2.0153054814112874E-2</v>
          </cell>
          <cell r="K342">
            <v>3.2867866733868163E-2</v>
          </cell>
          <cell r="M342">
            <v>1.08119318101569E-2</v>
          </cell>
          <cell r="N342">
            <v>8.6002825482318662E-2</v>
          </cell>
          <cell r="O342">
            <v>4.3449169398840623E-2</v>
          </cell>
          <cell r="P342">
            <v>0.17520675183607973</v>
          </cell>
          <cell r="Q342">
            <v>7.0261941448382131E-2</v>
          </cell>
          <cell r="R342">
            <v>2.9160315686075262E-2</v>
          </cell>
          <cell r="S342">
            <v>0.10688665710186514</v>
          </cell>
          <cell r="T342">
            <v>7.4539941823388342E-2</v>
          </cell>
          <cell r="U342">
            <v>6.6054083642394706E-2</v>
          </cell>
        </row>
        <row r="343">
          <cell r="B343" t="str">
            <v>FQ(1)</v>
          </cell>
          <cell r="C343">
            <v>4.7642557393236237E-2</v>
          </cell>
          <cell r="D343">
            <v>6.4587210599395695E-3</v>
          </cell>
          <cell r="E343">
            <v>-2.2740193291642978E-3</v>
          </cell>
          <cell r="F343">
            <v>4.4432548179871523E-2</v>
          </cell>
          <cell r="G343">
            <v>2.9864196151236392E-3</v>
          </cell>
          <cell r="H343">
            <v>6.024749174234393E-2</v>
          </cell>
          <cell r="I343">
            <v>6.6311264215112978E-2</v>
          </cell>
          <cell r="J343">
            <v>3.2257854696637653E-2</v>
          </cell>
          <cell r="K343">
            <v>3.2428905596618297E-2</v>
          </cell>
          <cell r="M343">
            <v>4.0631086768459994E-2</v>
          </cell>
          <cell r="N343">
            <v>0.11029378097274223</v>
          </cell>
          <cell r="O343">
            <v>5.9417553894590108E-2</v>
          </cell>
          <cell r="P343">
            <v>0.18494898461724343</v>
          </cell>
          <cell r="Q343">
            <v>8.5539147394817494E-2</v>
          </cell>
          <cell r="R343">
            <v>3.4316300186323051E-3</v>
          </cell>
          <cell r="S343">
            <v>0.12332872109112474</v>
          </cell>
          <cell r="T343">
            <v>8.67987006796586E-2</v>
          </cell>
          <cell r="U343">
            <v>7.5145127121260702E-2</v>
          </cell>
        </row>
        <row r="344">
          <cell r="B344" t="str">
            <v>Last Reported Q</v>
          </cell>
          <cell r="C344">
            <v>5.7641031612039359E-2</v>
          </cell>
          <cell r="D344">
            <v>1.421513831466786E-2</v>
          </cell>
          <cell r="E344">
            <v>2.4522116735493208E-2</v>
          </cell>
          <cell r="F344">
            <v>5.1804310971179462E-2</v>
          </cell>
          <cell r="G344">
            <v>-1.8178653818107862E-2</v>
          </cell>
          <cell r="H344">
            <v>6.1629158266883234E-2</v>
          </cell>
          <cell r="I344">
            <v>5.9815922798219512E-2</v>
          </cell>
          <cell r="J344">
            <v>3.5921289268624972E-2</v>
          </cell>
          <cell r="K344">
            <v>3.9884916628223133E-2</v>
          </cell>
          <cell r="M344">
            <v>3.27555798369542E-2</v>
          </cell>
          <cell r="N344">
            <v>0.10373009342609429</v>
          </cell>
          <cell r="O344">
            <v>5.3189401442807663E-2</v>
          </cell>
          <cell r="P344">
            <v>0.22624306928136484</v>
          </cell>
          <cell r="Q344">
            <v>7.7467070507853772E-2</v>
          </cell>
          <cell r="R344">
            <v>4.6935220024844376E-2</v>
          </cell>
          <cell r="S344">
            <v>0.1134747124983551</v>
          </cell>
          <cell r="T344">
            <v>9.3399306716896321E-2</v>
          </cell>
          <cell r="U344">
            <v>7.2160627776563305E-2</v>
          </cell>
        </row>
        <row r="345">
          <cell r="B345" t="str">
            <v>LTM</v>
          </cell>
          <cell r="C345">
            <v>5.4031808035714286E-2</v>
          </cell>
          <cell r="D345">
            <v>1.0179753652108822E-2</v>
          </cell>
          <cell r="E345">
            <v>1.4822765723632088E-2</v>
          </cell>
          <cell r="F345">
            <v>4.8923231022393932E-2</v>
          </cell>
          <cell r="G345">
            <v>-2.3770411389612774E-2</v>
          </cell>
          <cell r="H345">
            <v>5.9944770133995101E-2</v>
          </cell>
          <cell r="I345">
            <v>5.8672951304775935E-2</v>
          </cell>
          <cell r="J345">
            <v>3.1829266926143913E-2</v>
          </cell>
          <cell r="K345">
            <v>3.5521845921950616E-2</v>
          </cell>
          <cell r="M345">
            <v>2.2420360318365685E-2</v>
          </cell>
          <cell r="N345">
            <v>0.10005337542877304</v>
          </cell>
          <cell r="O345">
            <v>4.9473895194281789E-2</v>
          </cell>
          <cell r="P345">
            <v>0.19173565581430119</v>
          </cell>
          <cell r="Q345">
            <v>7.6570908187763881E-2</v>
          </cell>
          <cell r="R345">
            <v>3.3385714485891907E-2</v>
          </cell>
          <cell r="S345">
            <v>0.11015999637374407</v>
          </cell>
          <cell r="T345">
            <v>8.3399986543303078E-2</v>
          </cell>
          <cell r="U345">
            <v>6.9161187079676278E-2</v>
          </cell>
        </row>
        <row r="346">
          <cell r="B346" t="str">
            <v>Unadjusted Net Debt</v>
          </cell>
        </row>
        <row r="347">
          <cell r="B347" t="str">
            <v>FY(2)</v>
          </cell>
          <cell r="C347">
            <v>438.44063685600293</v>
          </cell>
          <cell r="D347">
            <v>640.86940520445978</v>
          </cell>
          <cell r="E347">
            <v>7286.125</v>
          </cell>
          <cell r="F347">
            <v>228.000703241682</v>
          </cell>
          <cell r="G347">
            <v>408.79410000000001</v>
          </cell>
          <cell r="H347">
            <v>-222.63499999999999</v>
          </cell>
          <cell r="I347">
            <v>-69.103843504782958</v>
          </cell>
          <cell r="J347">
            <v>1244.3558573996229</v>
          </cell>
          <cell r="K347">
            <v>8710.4910017973598</v>
          </cell>
          <cell r="M347">
            <v>-648.52</v>
          </cell>
          <cell r="N347">
            <v>-111.926</v>
          </cell>
          <cell r="O347">
            <v>-619.93899999999906</v>
          </cell>
          <cell r="P347">
            <v>-695.80499999999995</v>
          </cell>
          <cell r="Q347">
            <v>-1387.99470245564</v>
          </cell>
          <cell r="R347">
            <v>664.67723789704996</v>
          </cell>
          <cell r="S347">
            <v>-199.67</v>
          </cell>
          <cell r="T347">
            <v>-428.45392350836988</v>
          </cell>
          <cell r="U347">
            <v>-2999.1774645585892</v>
          </cell>
        </row>
        <row r="348">
          <cell r="A348" t="str">
            <v>mscalc:totalCashIncludingShorttermInvestmentsForCac</v>
          </cell>
          <cell r="B348" t="str">
            <v>Cash &amp; ST Inv. (Unadjusted Cash on Hand)</v>
          </cell>
          <cell r="C348">
            <v>1400.9176368560052</v>
          </cell>
          <cell r="D348">
            <v>1175.8694052044598</v>
          </cell>
          <cell r="E348">
            <v>9170.1249999999964</v>
          </cell>
          <cell r="F348">
            <v>2139.5977032416822</v>
          </cell>
          <cell r="G348">
            <v>471.42610004233597</v>
          </cell>
          <cell r="H348">
            <v>-113.678</v>
          </cell>
          <cell r="I348">
            <v>102.38306178916901</v>
          </cell>
          <cell r="J348">
            <v>2049.5201295905213</v>
          </cell>
          <cell r="K348">
            <v>14346.640907133649</v>
          </cell>
          <cell r="M348">
            <v>-648.52</v>
          </cell>
          <cell r="N348">
            <v>-111.926</v>
          </cell>
          <cell r="O348">
            <v>-619.93899999999906</v>
          </cell>
          <cell r="P348">
            <v>-696.04</v>
          </cell>
          <cell r="Q348">
            <v>-1712.99470245564</v>
          </cell>
          <cell r="R348">
            <v>1886.3162378970501</v>
          </cell>
          <cell r="S348">
            <v>-199.67</v>
          </cell>
          <cell r="T348">
            <v>-300.39620922265561</v>
          </cell>
          <cell r="U348">
            <v>-2102.7734645585892</v>
          </cell>
        </row>
        <row r="349">
          <cell r="B349" t="str">
            <v>FY(2)</v>
          </cell>
          <cell r="C349">
            <v>663.65836314399496</v>
          </cell>
          <cell r="D349">
            <v>2532.1305947955402</v>
          </cell>
          <cell r="E349">
            <v>582.87500000000398</v>
          </cell>
          <cell r="F349">
            <v>357.40229675831802</v>
          </cell>
          <cell r="G349">
            <v>101.16189995766401</v>
          </cell>
          <cell r="H349">
            <v>263.678</v>
          </cell>
          <cell r="I349">
            <v>732.71093821083105</v>
          </cell>
          <cell r="J349">
            <v>747.65958469519319</v>
          </cell>
          <cell r="K349">
            <v>5233.6170928663523</v>
          </cell>
          <cell r="M349">
            <v>522.13461840902801</v>
          </cell>
          <cell r="N349">
            <v>228.53</v>
          </cell>
          <cell r="O349">
            <v>483.85199999999901</v>
          </cell>
          <cell r="P349">
            <v>698.90499999999997</v>
          </cell>
          <cell r="Q349">
            <v>1715</v>
          </cell>
          <cell r="R349">
            <v>1173.3968696837801</v>
          </cell>
          <cell r="S349">
            <v>365.983</v>
          </cell>
          <cell r="T349">
            <v>741.11449829897253</v>
          </cell>
          <cell r="U349">
            <v>5187.8014880928076</v>
          </cell>
        </row>
        <row r="350">
          <cell r="B350" t="str">
            <v>FY(1)</v>
          </cell>
          <cell r="C350">
            <v>676.15936314399596</v>
          </cell>
          <cell r="D350">
            <v>2351.6269754406999</v>
          </cell>
          <cell r="E350">
            <v>1305.875</v>
          </cell>
          <cell r="F350">
            <v>71.919296758318097</v>
          </cell>
          <cell r="G350">
            <v>14.0472478064653</v>
          </cell>
          <cell r="H350">
            <v>322.15537499999999</v>
          </cell>
          <cell r="I350">
            <v>452.817640130786</v>
          </cell>
          <cell r="J350">
            <v>742.08584261146666</v>
          </cell>
          <cell r="K350">
            <v>5194.6008982802668</v>
          </cell>
          <cell r="M350">
            <v>522.13461840902801</v>
          </cell>
          <cell r="N350">
            <v>228.53</v>
          </cell>
          <cell r="O350">
            <v>483.85199999999901</v>
          </cell>
          <cell r="P350">
            <v>698.90499999999997</v>
          </cell>
          <cell r="Q350">
            <v>1715</v>
          </cell>
          <cell r="R350">
            <v>1173.3968696837801</v>
          </cell>
          <cell r="S350">
            <v>365.983</v>
          </cell>
          <cell r="T350">
            <v>741.11449829897253</v>
          </cell>
          <cell r="U350">
            <v>5187.8014880928076</v>
          </cell>
        </row>
        <row r="351">
          <cell r="B351" t="str">
            <v>FY0</v>
          </cell>
          <cell r="C351">
            <v>2265.757363144</v>
          </cell>
          <cell r="D351">
            <v>3007.2089754407002</v>
          </cell>
          <cell r="E351">
            <v>1686.375</v>
          </cell>
          <cell r="F351">
            <v>794.71929675831802</v>
          </cell>
          <cell r="G351">
            <v>164.16725116241</v>
          </cell>
          <cell r="H351">
            <v>770.00937499999998</v>
          </cell>
          <cell r="I351">
            <v>1745.38064013079</v>
          </cell>
          <cell r="J351">
            <v>1490.5168430908884</v>
          </cell>
          <cell r="K351">
            <v>10433.617901636218</v>
          </cell>
          <cell r="M351">
            <v>727.57220840902801</v>
          </cell>
          <cell r="N351">
            <v>346.87931378455897</v>
          </cell>
          <cell r="O351">
            <v>698.63491999999906</v>
          </cell>
          <cell r="P351">
            <v>800.36199999999997</v>
          </cell>
          <cell r="Q351">
            <v>2574.8000000000002</v>
          </cell>
          <cell r="R351">
            <v>1804.384</v>
          </cell>
          <cell r="S351">
            <v>501.53600000000102</v>
          </cell>
          <cell r="T351">
            <v>1064.8812060276553</v>
          </cell>
          <cell r="U351">
            <v>7454.168442193587</v>
          </cell>
        </row>
        <row r="352">
          <cell r="B352" t="str">
            <v>FY1</v>
          </cell>
          <cell r="C352">
            <v>2856.51614066414</v>
          </cell>
          <cell r="D352">
            <v>2894.3353540059602</v>
          </cell>
          <cell r="E352">
            <v>2642.7166360280198</v>
          </cell>
          <cell r="F352">
            <v>803.77325799983203</v>
          </cell>
          <cell r="G352">
            <v>168.64782983552701</v>
          </cell>
          <cell r="H352">
            <v>877.70577551911504</v>
          </cell>
          <cell r="I352">
            <v>2246.3475460263999</v>
          </cell>
          <cell r="J352">
            <v>1784.2917914398563</v>
          </cell>
          <cell r="K352">
            <v>12490.042540078994</v>
          </cell>
          <cell r="M352">
            <v>655.20583485722204</v>
          </cell>
          <cell r="N352">
            <v>418.99402043374801</v>
          </cell>
          <cell r="O352">
            <v>788.63650584369498</v>
          </cell>
          <cell r="P352">
            <v>954.40471939409099</v>
          </cell>
          <cell r="Q352">
            <v>2478.3974420773002</v>
          </cell>
          <cell r="R352">
            <v>1753.2076471989801</v>
          </cell>
          <cell r="S352">
            <v>727.98320368492102</v>
          </cell>
          <cell r="T352">
            <v>1110.9756247842795</v>
          </cell>
          <cell r="U352">
            <v>7776.8293734899571</v>
          </cell>
        </row>
        <row r="353">
          <cell r="B353" t="str">
            <v>FY2</v>
          </cell>
          <cell r="C353">
            <v>2958.2194660018799</v>
          </cell>
          <cell r="D353">
            <v>2984.7676295696201</v>
          </cell>
          <cell r="E353">
            <v>3421.2931870386501</v>
          </cell>
          <cell r="F353">
            <v>776.76218468146806</v>
          </cell>
          <cell r="G353">
            <v>155.83245585719601</v>
          </cell>
          <cell r="H353">
            <v>1014.8548907238001</v>
          </cell>
          <cell r="I353">
            <v>2770.0936741191899</v>
          </cell>
          <cell r="J353">
            <v>2011.689069713115</v>
          </cell>
          <cell r="K353">
            <v>14081.823487991805</v>
          </cell>
          <cell r="M353">
            <v>545.06647740002302</v>
          </cell>
          <cell r="N353">
            <v>465.93234996454299</v>
          </cell>
          <cell r="O353">
            <v>950.79550408930095</v>
          </cell>
          <cell r="P353">
            <v>1107.9918350544999</v>
          </cell>
          <cell r="Q353">
            <v>2368.83194985604</v>
          </cell>
          <cell r="R353">
            <v>2087.7913938627498</v>
          </cell>
          <cell r="S353">
            <v>921.75489727911997</v>
          </cell>
          <cell r="T353">
            <v>1206.8806296437538</v>
          </cell>
          <cell r="U353">
            <v>8448.1644075062759</v>
          </cell>
        </row>
        <row r="354">
          <cell r="B354" t="str">
            <v>FQ(3)</v>
          </cell>
          <cell r="C354">
            <v>893.65736314399498</v>
          </cell>
          <cell r="D354">
            <v>2137.6269754406999</v>
          </cell>
          <cell r="E354">
            <v>294.87500000000398</v>
          </cell>
          <cell r="F354">
            <v>77.619296758318498</v>
          </cell>
          <cell r="G354">
            <v>13.828247806465299</v>
          </cell>
          <cell r="H354">
            <v>460.35537499999998</v>
          </cell>
          <cell r="I354">
            <v>1012.23464013079</v>
          </cell>
          <cell r="J354">
            <v>698.59955689718186</v>
          </cell>
          <cell r="K354">
            <v>4890.1968982802728</v>
          </cell>
          <cell r="M354">
            <v>463.72861840902902</v>
          </cell>
          <cell r="N354">
            <v>247.74700000000001</v>
          </cell>
          <cell r="O354">
            <v>449.33199999999999</v>
          </cell>
          <cell r="P354">
            <v>551.26700000000005</v>
          </cell>
          <cell r="Q354">
            <v>1708</v>
          </cell>
          <cell r="R354">
            <v>935.99786968377805</v>
          </cell>
          <cell r="S354">
            <v>297.625</v>
          </cell>
          <cell r="T354">
            <v>664.81392687040102</v>
          </cell>
          <cell r="U354">
            <v>4653.6974880928074</v>
          </cell>
        </row>
        <row r="355">
          <cell r="B355" t="str">
            <v>FQ(2)</v>
          </cell>
          <cell r="C355">
            <v>1353.757363144</v>
          </cell>
          <cell r="D355">
            <v>2312.0089754406999</v>
          </cell>
          <cell r="E355">
            <v>514.87500000000398</v>
          </cell>
          <cell r="F355">
            <v>518.619296758318</v>
          </cell>
          <cell r="G355">
            <v>16.548247806465302</v>
          </cell>
          <cell r="H355">
            <v>521.561375</v>
          </cell>
          <cell r="I355">
            <v>1426.59264013079</v>
          </cell>
          <cell r="J355">
            <v>951.99469975432532</v>
          </cell>
          <cell r="K355">
            <v>6663.9628982802769</v>
          </cell>
          <cell r="M355">
            <v>441.27420840902897</v>
          </cell>
          <cell r="N355">
            <v>245.45400000000001</v>
          </cell>
          <cell r="O355">
            <v>529.78800000000001</v>
          </cell>
          <cell r="P355">
            <v>800.36199999999997</v>
          </cell>
          <cell r="Q355">
            <v>2131</v>
          </cell>
          <cell r="R355">
            <v>1550.31486968378</v>
          </cell>
          <cell r="S355">
            <v>288.76</v>
          </cell>
          <cell r="T355">
            <v>855.27901115611553</v>
          </cell>
          <cell r="U355">
            <v>5986.9530780928089</v>
          </cell>
        </row>
        <row r="356">
          <cell r="B356" t="str">
            <v>FQ(1)</v>
          </cell>
          <cell r="C356">
            <v>1530.757363144</v>
          </cell>
          <cell r="D356">
            <v>2129.0089754406999</v>
          </cell>
          <cell r="E356">
            <v>488.87500000000398</v>
          </cell>
          <cell r="F356">
            <v>483.619296758318</v>
          </cell>
          <cell r="G356">
            <v>11.527851162409601</v>
          </cell>
          <cell r="H356">
            <v>577.14337499999999</v>
          </cell>
          <cell r="I356">
            <v>1445.3386401307901</v>
          </cell>
          <cell r="J356">
            <v>952.32435737660296</v>
          </cell>
          <cell r="K356">
            <v>6666.2705016362206</v>
          </cell>
          <cell r="M356">
            <v>526.36420840902895</v>
          </cell>
          <cell r="N356">
            <v>285.53031378455898</v>
          </cell>
          <cell r="O356">
            <v>515.90300000000002</v>
          </cell>
          <cell r="P356">
            <v>994.68</v>
          </cell>
          <cell r="Q356">
            <v>2398</v>
          </cell>
          <cell r="R356">
            <v>968.16886968377798</v>
          </cell>
          <cell r="S356">
            <v>418.39499999999998</v>
          </cell>
          <cell r="T356">
            <v>872.43448455390956</v>
          </cell>
          <cell r="U356">
            <v>6107.0413918773666</v>
          </cell>
        </row>
        <row r="357">
          <cell r="B357" t="str">
            <v>Last Reported Q</v>
          </cell>
          <cell r="C357">
            <v>2265.757363144</v>
          </cell>
          <cell r="D357">
            <v>3007.2089754407002</v>
          </cell>
          <cell r="E357">
            <v>1686.375</v>
          </cell>
          <cell r="F357">
            <v>794.71929675831802</v>
          </cell>
          <cell r="G357">
            <v>164.16725116241</v>
          </cell>
          <cell r="H357">
            <v>770.00937499999998</v>
          </cell>
          <cell r="I357">
            <v>1745.38064013079</v>
          </cell>
          <cell r="J357">
            <v>1490.5168430908884</v>
          </cell>
          <cell r="K357">
            <v>10433.617901636218</v>
          </cell>
          <cell r="M357">
            <v>727.57220840902801</v>
          </cell>
          <cell r="N357">
            <v>346.87931378455897</v>
          </cell>
          <cell r="O357">
            <v>698.63491999999906</v>
          </cell>
          <cell r="P357">
            <v>1103.1769999999999</v>
          </cell>
          <cell r="Q357">
            <v>2574.8000000000002</v>
          </cell>
          <cell r="R357">
            <v>1804.384</v>
          </cell>
          <cell r="S357">
            <v>501.53600000000102</v>
          </cell>
          <cell r="T357">
            <v>1108.1404917419411</v>
          </cell>
          <cell r="U357">
            <v>7756.9834421935875</v>
          </cell>
        </row>
        <row r="358">
          <cell r="A358" t="str">
            <v>mscalc:shareholdersEquityExcludingAdjustments2</v>
          </cell>
          <cell r="B358" t="str">
            <v>LTM</v>
          </cell>
          <cell r="C358">
            <v>2265.757363144</v>
          </cell>
          <cell r="D358">
            <v>3007.2089754407002</v>
          </cell>
          <cell r="E358">
            <v>1686.375</v>
          </cell>
          <cell r="F358">
            <v>794.71929675831802</v>
          </cell>
          <cell r="G358">
            <v>164.16725116241</v>
          </cell>
          <cell r="H358">
            <v>770.00937499999998</v>
          </cell>
          <cell r="I358">
            <v>1745.38064013079</v>
          </cell>
          <cell r="J358">
            <v>1490.5168430908884</v>
          </cell>
          <cell r="K358">
            <v>10433.617901636218</v>
          </cell>
          <cell r="M358">
            <v>727.57220840902801</v>
          </cell>
          <cell r="N358">
            <v>346.87931378455897</v>
          </cell>
          <cell r="O358">
            <v>698.63491999999906</v>
          </cell>
          <cell r="P358">
            <v>1103.1769999999999</v>
          </cell>
          <cell r="Q358">
            <v>2574.8000000000002</v>
          </cell>
          <cell r="R358">
            <v>1804.384</v>
          </cell>
          <cell r="S358">
            <v>501.53600000000102</v>
          </cell>
          <cell r="T358">
            <v>1108.1404917419411</v>
          </cell>
          <cell r="U358">
            <v>7756.9834421935875</v>
          </cell>
        </row>
        <row r="359">
          <cell r="B359" t="str">
            <v>FY(2)</v>
          </cell>
          <cell r="C359">
            <v>5603.3950000000004</v>
          </cell>
          <cell r="D359">
            <v>4288</v>
          </cell>
          <cell r="E359">
            <v>12254</v>
          </cell>
          <cell r="F359">
            <v>2168.5210000000002</v>
          </cell>
          <cell r="G359">
            <v>1096.1389999999999</v>
          </cell>
          <cell r="H359">
            <v>909.83</v>
          </cell>
          <cell r="I359">
            <v>2290.1210000000001</v>
          </cell>
          <cell r="J359">
            <v>4087.1437142857144</v>
          </cell>
          <cell r="K359">
            <v>28610.006000000001</v>
          </cell>
          <cell r="M359">
            <v>1405.297</v>
          </cell>
          <cell r="N359">
            <v>312.11599999999999</v>
          </cell>
          <cell r="O359">
            <v>1417.3119999999999</v>
          </cell>
          <cell r="P359">
            <v>1910.354</v>
          </cell>
          <cell r="Q359">
            <v>5174</v>
          </cell>
          <cell r="R359">
            <v>2955</v>
          </cell>
          <cell r="S359">
            <v>675.28300000000002</v>
          </cell>
          <cell r="T359">
            <v>1978.4802857142856</v>
          </cell>
          <cell r="U359">
            <v>13849.361999999999</v>
          </cell>
        </row>
        <row r="360">
          <cell r="A360" t="str">
            <v>mstag:shortTermBorrowings</v>
          </cell>
          <cell r="B360" t="str">
            <v>ST. Debt</v>
          </cell>
          <cell r="C360">
            <v>6101.6030000000001</v>
          </cell>
          <cell r="D360">
            <v>5312</v>
          </cell>
          <cell r="E360">
            <v>9907</v>
          </cell>
          <cell r="F360">
            <v>1115</v>
          </cell>
          <cell r="G360">
            <v>1175.3088999576601</v>
          </cell>
          <cell r="H360">
            <v>970.649</v>
          </cell>
          <cell r="I360">
            <v>2131.2449999999999</v>
          </cell>
          <cell r="J360">
            <v>3816.11512856538</v>
          </cell>
          <cell r="K360">
            <v>26712.805899957661</v>
          </cell>
          <cell r="M360">
            <v>1618.3130000000001</v>
          </cell>
          <cell r="N360">
            <v>197.27600000000001</v>
          </cell>
          <cell r="O360">
            <v>1340.4639999999999</v>
          </cell>
          <cell r="P360">
            <v>1490.375</v>
          </cell>
          <cell r="Q360">
            <v>4274</v>
          </cell>
          <cell r="R360">
            <v>2219.23776210295</v>
          </cell>
          <cell r="S360">
            <v>853.43100000000004</v>
          </cell>
          <cell r="T360">
            <v>1713.2995374432787</v>
          </cell>
          <cell r="U360">
            <v>11993.09676210295</v>
          </cell>
        </row>
        <row r="361">
          <cell r="B361" t="str">
            <v>FY(2)</v>
          </cell>
          <cell r="C361">
            <v>12.701000000000001</v>
          </cell>
          <cell r="D361">
            <v>203</v>
          </cell>
          <cell r="E361">
            <v>666</v>
          </cell>
          <cell r="F361">
            <v>261</v>
          </cell>
          <cell r="G361">
            <v>319.24200000000002</v>
          </cell>
          <cell r="H361">
            <v>0</v>
          </cell>
          <cell r="I361">
            <v>2.008</v>
          </cell>
          <cell r="J361">
            <v>209.13585714285713</v>
          </cell>
          <cell r="K361">
            <v>1463.951</v>
          </cell>
          <cell r="M361">
            <v>0</v>
          </cell>
          <cell r="N361">
            <v>0</v>
          </cell>
          <cell r="O361">
            <v>0</v>
          </cell>
          <cell r="P361">
            <v>0.23499999999999999</v>
          </cell>
          <cell r="Q361">
            <v>138</v>
          </cell>
          <cell r="R361">
            <v>0</v>
          </cell>
          <cell r="S361" t="str">
            <v>NA</v>
          </cell>
          <cell r="T361">
            <v>23.03916666666667</v>
          </cell>
          <cell r="U361">
            <v>138.23500000000001</v>
          </cell>
        </row>
        <row r="362">
          <cell r="B362" t="str">
            <v>FY(1)</v>
          </cell>
          <cell r="C362">
            <v>17</v>
          </cell>
          <cell r="D362">
            <v>0</v>
          </cell>
          <cell r="E362">
            <v>966</v>
          </cell>
          <cell r="F362">
            <v>299</v>
          </cell>
          <cell r="G362">
            <v>4.673</v>
          </cell>
          <cell r="H362">
            <v>0</v>
          </cell>
          <cell r="I362">
            <v>395.02699999999999</v>
          </cell>
          <cell r="J362">
            <v>240.24285714285716</v>
          </cell>
          <cell r="K362">
            <v>1681.7</v>
          </cell>
          <cell r="M362">
            <v>0</v>
          </cell>
          <cell r="N362">
            <v>0</v>
          </cell>
          <cell r="O362">
            <v>75</v>
          </cell>
          <cell r="P362">
            <v>0.28499999999999998</v>
          </cell>
          <cell r="Q362">
            <v>50</v>
          </cell>
          <cell r="R362">
            <v>0</v>
          </cell>
          <cell r="S362" t="str">
            <v>NA</v>
          </cell>
          <cell r="T362">
            <v>20.880833333333332</v>
          </cell>
          <cell r="U362">
            <v>125.285</v>
          </cell>
        </row>
        <row r="363">
          <cell r="B363" t="str">
            <v>FY0</v>
          </cell>
          <cell r="C363">
            <v>16</v>
          </cell>
          <cell r="D363">
            <v>393</v>
          </cell>
          <cell r="E363">
            <v>242</v>
          </cell>
          <cell r="F363">
            <v>356</v>
          </cell>
          <cell r="G363">
            <v>27.856999999999999</v>
          </cell>
          <cell r="H363">
            <v>0</v>
          </cell>
          <cell r="I363">
            <v>0</v>
          </cell>
          <cell r="J363">
            <v>147.83671428571429</v>
          </cell>
          <cell r="K363">
            <v>1034.857</v>
          </cell>
          <cell r="M363">
            <v>11.61</v>
          </cell>
          <cell r="N363">
            <v>0</v>
          </cell>
          <cell r="O363">
            <v>30</v>
          </cell>
          <cell r="P363">
            <v>8.0039999999999996</v>
          </cell>
          <cell r="Q363">
            <v>0</v>
          </cell>
          <cell r="R363">
            <v>0</v>
          </cell>
          <cell r="S363" t="str">
            <v>NA</v>
          </cell>
          <cell r="T363">
            <v>8.2690000000000001</v>
          </cell>
          <cell r="U363">
            <v>49.613999999999997</v>
          </cell>
        </row>
        <row r="364">
          <cell r="B364" t="str">
            <v>FY1</v>
          </cell>
          <cell r="C364">
            <v>16</v>
          </cell>
          <cell r="D364">
            <v>393</v>
          </cell>
          <cell r="E364">
            <v>242</v>
          </cell>
          <cell r="F364">
            <v>6</v>
          </cell>
          <cell r="G364">
            <v>27.856999999999999</v>
          </cell>
          <cell r="H364">
            <v>0</v>
          </cell>
          <cell r="I364">
            <v>0</v>
          </cell>
          <cell r="J364">
            <v>97.83671428571428</v>
          </cell>
          <cell r="K364">
            <v>684.85699999999997</v>
          </cell>
          <cell r="M364">
            <v>11.61</v>
          </cell>
          <cell r="N364">
            <v>0</v>
          </cell>
          <cell r="O364">
            <v>30</v>
          </cell>
          <cell r="P364">
            <v>0.73699999999999999</v>
          </cell>
          <cell r="Q364">
            <v>0</v>
          </cell>
          <cell r="R364">
            <v>0</v>
          </cell>
          <cell r="S364" t="str">
            <v>NA</v>
          </cell>
          <cell r="T364">
            <v>7.0578333333333338</v>
          </cell>
          <cell r="U364">
            <v>42.347000000000001</v>
          </cell>
        </row>
        <row r="365">
          <cell r="B365" t="str">
            <v>FY2</v>
          </cell>
          <cell r="C365">
            <v>16</v>
          </cell>
          <cell r="D365">
            <v>393</v>
          </cell>
          <cell r="E365">
            <v>242</v>
          </cell>
          <cell r="F365">
            <v>6</v>
          </cell>
          <cell r="G365">
            <v>27.856999999999999</v>
          </cell>
          <cell r="H365">
            <v>0</v>
          </cell>
          <cell r="I365">
            <v>0</v>
          </cell>
          <cell r="J365">
            <v>97.83671428571428</v>
          </cell>
          <cell r="K365">
            <v>684.85699999999997</v>
          </cell>
          <cell r="M365">
            <v>11.61</v>
          </cell>
          <cell r="N365">
            <v>0</v>
          </cell>
          <cell r="O365">
            <v>30</v>
          </cell>
          <cell r="P365">
            <v>0</v>
          </cell>
          <cell r="Q365">
            <v>0</v>
          </cell>
          <cell r="R365">
            <v>0</v>
          </cell>
          <cell r="S365" t="str">
            <v>NA</v>
          </cell>
          <cell r="T365">
            <v>6.9349999999999996</v>
          </cell>
          <cell r="U365">
            <v>41.61</v>
          </cell>
        </row>
        <row r="366">
          <cell r="B366" t="str">
            <v>FQ(3)</v>
          </cell>
          <cell r="C366">
            <v>17</v>
          </cell>
          <cell r="D366">
            <v>506</v>
          </cell>
          <cell r="E366">
            <v>135</v>
          </cell>
          <cell r="F366">
            <v>500</v>
          </cell>
          <cell r="G366">
            <v>4.6859999999999999</v>
          </cell>
          <cell r="H366">
            <v>0</v>
          </cell>
          <cell r="I366">
            <v>744.44500000000005</v>
          </cell>
          <cell r="J366">
            <v>272.44728571428567</v>
          </cell>
          <cell r="K366">
            <v>1907.1309999999999</v>
          </cell>
          <cell r="M366">
            <v>0</v>
          </cell>
          <cell r="N366">
            <v>0</v>
          </cell>
          <cell r="O366">
            <v>75</v>
          </cell>
          <cell r="P366">
            <v>2.4900000000000002</v>
          </cell>
          <cell r="Q366">
            <v>0</v>
          </cell>
          <cell r="R366">
            <v>0</v>
          </cell>
          <cell r="S366" t="str">
            <v>NA</v>
          </cell>
          <cell r="T366">
            <v>12.914999999999999</v>
          </cell>
          <cell r="U366">
            <v>77.489999999999995</v>
          </cell>
        </row>
        <row r="367">
          <cell r="B367" t="str">
            <v>FQ(2)</v>
          </cell>
          <cell r="C367">
            <v>16</v>
          </cell>
          <cell r="D367">
            <v>393</v>
          </cell>
          <cell r="E367">
            <v>92</v>
          </cell>
          <cell r="F367">
            <v>375</v>
          </cell>
          <cell r="G367">
            <v>4.7290000000000001</v>
          </cell>
          <cell r="H367">
            <v>0</v>
          </cell>
          <cell r="I367">
            <v>421.20600000000002</v>
          </cell>
          <cell r="J367">
            <v>185.99071428571429</v>
          </cell>
          <cell r="K367">
            <v>1301.9349999999999</v>
          </cell>
          <cell r="M367">
            <v>0</v>
          </cell>
          <cell r="N367">
            <v>0</v>
          </cell>
          <cell r="O367">
            <v>75</v>
          </cell>
          <cell r="P367">
            <v>8.0039999999999996</v>
          </cell>
          <cell r="Q367">
            <v>0</v>
          </cell>
          <cell r="R367">
            <v>0</v>
          </cell>
          <cell r="S367" t="str">
            <v>NA</v>
          </cell>
          <cell r="T367">
            <v>13.834000000000001</v>
          </cell>
          <cell r="U367">
            <v>83.004000000000005</v>
          </cell>
        </row>
        <row r="368">
          <cell r="B368" t="str">
            <v>FQ(1)</v>
          </cell>
          <cell r="C368">
            <v>17</v>
          </cell>
          <cell r="D368">
            <v>393</v>
          </cell>
          <cell r="E368">
            <v>92</v>
          </cell>
          <cell r="F368">
            <v>356</v>
          </cell>
          <cell r="G368">
            <v>4.8470000000000004</v>
          </cell>
          <cell r="H368">
            <v>0</v>
          </cell>
          <cell r="I368">
            <v>202.667</v>
          </cell>
          <cell r="J368">
            <v>152.2162857142857</v>
          </cell>
          <cell r="K368">
            <v>1065.5139999999999</v>
          </cell>
          <cell r="M368">
            <v>0</v>
          </cell>
          <cell r="N368">
            <v>0</v>
          </cell>
          <cell r="O368">
            <v>50</v>
          </cell>
          <cell r="P368">
            <v>0.70399999999999996</v>
          </cell>
          <cell r="Q368">
            <v>0</v>
          </cell>
          <cell r="R368">
            <v>0</v>
          </cell>
          <cell r="S368" t="str">
            <v>NA</v>
          </cell>
          <cell r="T368">
            <v>8.4506666666666668</v>
          </cell>
          <cell r="U368">
            <v>50.704000000000001</v>
          </cell>
        </row>
        <row r="369">
          <cell r="B369" t="str">
            <v>Last Reported Q</v>
          </cell>
          <cell r="C369">
            <v>16</v>
          </cell>
          <cell r="D369">
            <v>393</v>
          </cell>
          <cell r="E369">
            <v>242</v>
          </cell>
          <cell r="F369">
            <v>356</v>
          </cell>
          <cell r="G369">
            <v>27.856999999999999</v>
          </cell>
          <cell r="H369">
            <v>0</v>
          </cell>
          <cell r="I369">
            <v>0</v>
          </cell>
          <cell r="J369">
            <v>147.83671428571429</v>
          </cell>
          <cell r="K369">
            <v>1034.857</v>
          </cell>
          <cell r="M369">
            <v>11.61</v>
          </cell>
          <cell r="N369">
            <v>0</v>
          </cell>
          <cell r="O369">
            <v>30</v>
          </cell>
          <cell r="P369">
            <v>0.73699999999999999</v>
          </cell>
          <cell r="Q369">
            <v>0</v>
          </cell>
          <cell r="R369">
            <v>0</v>
          </cell>
          <cell r="S369" t="str">
            <v>NA</v>
          </cell>
          <cell r="T369">
            <v>7.0578333333333338</v>
          </cell>
          <cell r="U369">
            <v>42.347000000000001</v>
          </cell>
        </row>
        <row r="370">
          <cell r="B370" t="str">
            <v>LTM</v>
          </cell>
          <cell r="C370">
            <v>16</v>
          </cell>
          <cell r="D370">
            <v>393</v>
          </cell>
          <cell r="E370">
            <v>242</v>
          </cell>
          <cell r="F370">
            <v>356</v>
          </cell>
          <cell r="G370">
            <v>27.856999999999999</v>
          </cell>
          <cell r="H370">
            <v>0</v>
          </cell>
          <cell r="I370">
            <v>0</v>
          </cell>
          <cell r="J370">
            <v>147.83671428571429</v>
          </cell>
          <cell r="K370">
            <v>1034.857</v>
          </cell>
          <cell r="M370">
            <v>11.61</v>
          </cell>
          <cell r="N370">
            <v>0</v>
          </cell>
          <cell r="O370">
            <v>30</v>
          </cell>
          <cell r="P370">
            <v>0.73699999999999999</v>
          </cell>
          <cell r="Q370">
            <v>0</v>
          </cell>
          <cell r="R370">
            <v>0</v>
          </cell>
          <cell r="S370" t="str">
            <v>NA</v>
          </cell>
          <cell r="T370">
            <v>7.0578333333333338</v>
          </cell>
          <cell r="U370">
            <v>42.347000000000001</v>
          </cell>
        </row>
        <row r="371">
          <cell r="B371" t="str">
            <v>FY(2)</v>
          </cell>
          <cell r="C371">
            <v>6662.2930000000006</v>
          </cell>
          <cell r="D371">
            <v>7732</v>
          </cell>
          <cell r="E371">
            <v>20751</v>
          </cell>
          <cell r="F371">
            <v>2798.973</v>
          </cell>
          <cell r="G371">
            <v>1782.8159999999998</v>
          </cell>
          <cell r="H371">
            <v>1059.83</v>
          </cell>
          <cell r="I371">
            <v>3077.62</v>
          </cell>
          <cell r="J371">
            <v>6266.3617142857156</v>
          </cell>
          <cell r="K371">
            <v>43864.532000000007</v>
          </cell>
          <cell r="M371">
            <v>1405.297</v>
          </cell>
          <cell r="N371">
            <v>312.11599999999999</v>
          </cell>
          <cell r="O371">
            <v>1417.3119999999999</v>
          </cell>
          <cell r="P371">
            <v>1913.454</v>
          </cell>
          <cell r="Q371">
            <v>5687</v>
          </cell>
          <cell r="R371">
            <v>4638</v>
          </cell>
          <cell r="S371">
            <v>675.28300000000002</v>
          </cell>
          <cell r="T371">
            <v>2292.6374285714287</v>
          </cell>
          <cell r="U371">
            <v>16048.462</v>
          </cell>
        </row>
        <row r="372">
          <cell r="A372" t="str">
            <v>mstag:longTermDebt</v>
          </cell>
          <cell r="B372" t="str">
            <v>LT. Debt</v>
          </cell>
          <cell r="C372">
            <v>8166.1790000000001</v>
          </cell>
          <cell r="D372">
            <v>9020</v>
          </cell>
          <cell r="E372">
            <v>19660</v>
          </cell>
          <cell r="F372">
            <v>3612</v>
          </cell>
          <cell r="G372">
            <v>1747.89689995766</v>
          </cell>
          <cell r="H372">
            <v>1120.6489999999999</v>
          </cell>
          <cell r="I372">
            <v>2966.3389999999999</v>
          </cell>
          <cell r="J372">
            <v>6613.2948428510945</v>
          </cell>
          <cell r="K372">
            <v>46293.063899957662</v>
          </cell>
          <cell r="M372">
            <v>1618.3130000000001</v>
          </cell>
          <cell r="N372">
            <v>197.27600000000001</v>
          </cell>
          <cell r="O372">
            <v>1340.4639999999999</v>
          </cell>
          <cell r="P372">
            <v>1493.24</v>
          </cell>
          <cell r="Q372">
            <v>4462</v>
          </cell>
          <cell r="R372">
            <v>5123.8767621029501</v>
          </cell>
          <cell r="S372">
            <v>853.43100000000004</v>
          </cell>
          <cell r="T372">
            <v>2155.5143945861355</v>
          </cell>
          <cell r="U372">
            <v>15088.600762102949</v>
          </cell>
        </row>
        <row r="373">
          <cell r="B373" t="str">
            <v>FY(2)</v>
          </cell>
          <cell r="C373">
            <v>2051.875</v>
          </cell>
          <cell r="D373">
            <v>3505</v>
          </cell>
          <cell r="E373">
            <v>9087</v>
          </cell>
          <cell r="F373">
            <v>2236</v>
          </cell>
          <cell r="G373">
            <v>253.346</v>
          </cell>
          <cell r="H373">
            <v>150</v>
          </cell>
          <cell r="I373">
            <v>833.08600000000001</v>
          </cell>
          <cell r="J373">
            <v>2588.0438571428572</v>
          </cell>
          <cell r="K373">
            <v>18116.307000000001</v>
          </cell>
          <cell r="M373">
            <v>0</v>
          </cell>
          <cell r="N373" t="str">
            <v>NA</v>
          </cell>
          <cell r="O373">
            <v>0</v>
          </cell>
          <cell r="P373">
            <v>2.8650000000000002</v>
          </cell>
          <cell r="Q373">
            <v>50</v>
          </cell>
          <cell r="R373">
            <v>2904.6390000000001</v>
          </cell>
          <cell r="S373">
            <v>0</v>
          </cell>
          <cell r="T373">
            <v>492.91733333333332</v>
          </cell>
          <cell r="U373">
            <v>2957.5039999999999</v>
          </cell>
        </row>
        <row r="374">
          <cell r="B374" t="str">
            <v>FY(1)</v>
          </cell>
          <cell r="C374">
            <v>2053</v>
          </cell>
          <cell r="D374">
            <v>3505</v>
          </cell>
          <cell r="E374">
            <v>8733</v>
          </cell>
          <cell r="F374">
            <v>2214</v>
          </cell>
          <cell r="G374">
            <v>635.4</v>
          </cell>
          <cell r="H374">
            <v>150</v>
          </cell>
          <cell r="I374">
            <v>383.78199999999998</v>
          </cell>
          <cell r="J374">
            <v>2524.883142857143</v>
          </cell>
          <cell r="K374">
            <v>17674.182000000001</v>
          </cell>
          <cell r="M374">
            <v>100</v>
          </cell>
          <cell r="N374" t="str">
            <v>NA</v>
          </cell>
          <cell r="O374">
            <v>0</v>
          </cell>
          <cell r="P374">
            <v>2.58</v>
          </cell>
          <cell r="Q374">
            <v>0</v>
          </cell>
          <cell r="R374">
            <v>2897.114</v>
          </cell>
          <cell r="S374">
            <v>0</v>
          </cell>
          <cell r="T374">
            <v>499.94900000000001</v>
          </cell>
          <cell r="U374">
            <v>2999.694</v>
          </cell>
        </row>
        <row r="375">
          <cell r="B375" t="str">
            <v>FY0</v>
          </cell>
          <cell r="C375">
            <v>2052</v>
          </cell>
          <cell r="D375">
            <v>2999</v>
          </cell>
          <cell r="E375">
            <v>8456</v>
          </cell>
          <cell r="F375">
            <v>2257</v>
          </cell>
          <cell r="G375">
            <v>493.33</v>
          </cell>
          <cell r="H375">
            <v>150</v>
          </cell>
          <cell r="I375">
            <v>774.3</v>
          </cell>
          <cell r="J375">
            <v>2454.5185714285717</v>
          </cell>
          <cell r="K375">
            <v>17181.63</v>
          </cell>
          <cell r="M375">
            <v>71.212999999999994</v>
          </cell>
          <cell r="N375" t="str">
            <v>NA</v>
          </cell>
          <cell r="O375">
            <v>0</v>
          </cell>
          <cell r="P375">
            <v>25.071999999999999</v>
          </cell>
          <cell r="Q375">
            <v>0</v>
          </cell>
          <cell r="R375">
            <v>2722.8130000000001</v>
          </cell>
          <cell r="S375">
            <v>0</v>
          </cell>
          <cell r="T375">
            <v>469.84966666666668</v>
          </cell>
          <cell r="U375">
            <v>2819.098</v>
          </cell>
        </row>
        <row r="376">
          <cell r="B376" t="str">
            <v>FY1</v>
          </cell>
          <cell r="C376">
            <v>2052</v>
          </cell>
          <cell r="D376">
            <v>2606</v>
          </cell>
          <cell r="E376">
            <v>8218</v>
          </cell>
          <cell r="F376">
            <v>2382</v>
          </cell>
          <cell r="G376">
            <v>470.33</v>
          </cell>
          <cell r="H376">
            <v>150</v>
          </cell>
          <cell r="I376">
            <v>774.3</v>
          </cell>
          <cell r="J376">
            <v>2378.9471428571428</v>
          </cell>
          <cell r="K376">
            <v>16652.63</v>
          </cell>
          <cell r="M376">
            <v>71.212999999999994</v>
          </cell>
          <cell r="N376" t="str">
            <v>NA</v>
          </cell>
          <cell r="O376">
            <v>0</v>
          </cell>
          <cell r="P376">
            <v>24.338999999999999</v>
          </cell>
          <cell r="Q376">
            <v>0</v>
          </cell>
          <cell r="R376">
            <v>2722.8130000000001</v>
          </cell>
          <cell r="S376">
            <v>0</v>
          </cell>
          <cell r="T376">
            <v>469.72750000000002</v>
          </cell>
          <cell r="U376">
            <v>2818.3650000000002</v>
          </cell>
        </row>
        <row r="377">
          <cell r="B377" t="str">
            <v>FY2</v>
          </cell>
          <cell r="C377">
            <v>1636</v>
          </cell>
          <cell r="D377">
            <v>2606</v>
          </cell>
          <cell r="E377">
            <v>7556</v>
          </cell>
          <cell r="F377">
            <v>2382</v>
          </cell>
          <cell r="G377">
            <v>378.33</v>
          </cell>
          <cell r="H377">
            <v>150</v>
          </cell>
          <cell r="I377">
            <v>774.3</v>
          </cell>
          <cell r="J377">
            <v>2211.8042857142855</v>
          </cell>
          <cell r="K377">
            <v>15482.63</v>
          </cell>
          <cell r="M377">
            <v>71.212999999999994</v>
          </cell>
          <cell r="N377" t="str">
            <v>NA</v>
          </cell>
          <cell r="O377">
            <v>0</v>
          </cell>
          <cell r="P377">
            <v>25.076000000000001</v>
          </cell>
          <cell r="Q377">
            <v>0</v>
          </cell>
          <cell r="R377">
            <v>2722.8130000000001</v>
          </cell>
          <cell r="S377">
            <v>0</v>
          </cell>
          <cell r="T377">
            <v>469.85033333333331</v>
          </cell>
          <cell r="U377">
            <v>2819.1019999999999</v>
          </cell>
        </row>
        <row r="378">
          <cell r="B378" t="str">
            <v>FQ(3)</v>
          </cell>
          <cell r="C378">
            <v>2056</v>
          </cell>
          <cell r="D378">
            <v>2999</v>
          </cell>
          <cell r="E378">
            <v>8719</v>
          </cell>
          <cell r="F378">
            <v>2002</v>
          </cell>
          <cell r="G378">
            <v>631.94000000000005</v>
          </cell>
          <cell r="H378">
            <v>150</v>
          </cell>
          <cell r="I378">
            <v>391.93099999999998</v>
          </cell>
          <cell r="J378">
            <v>2421.4101428571425</v>
          </cell>
          <cell r="K378">
            <v>16949.870999999999</v>
          </cell>
          <cell r="M378">
            <v>100</v>
          </cell>
          <cell r="N378" t="str">
            <v>NA</v>
          </cell>
          <cell r="O378">
            <v>0</v>
          </cell>
          <cell r="P378">
            <v>24.986000000000001</v>
          </cell>
          <cell r="Q378">
            <v>0</v>
          </cell>
          <cell r="R378">
            <v>2897.297</v>
          </cell>
          <cell r="S378">
            <v>0</v>
          </cell>
          <cell r="T378">
            <v>503.7138333333333</v>
          </cell>
          <cell r="U378">
            <v>3022.2829999999999</v>
          </cell>
        </row>
        <row r="379">
          <cell r="B379" t="str">
            <v>FQ(2)</v>
          </cell>
          <cell r="C379">
            <v>2053</v>
          </cell>
          <cell r="D379">
            <v>2999</v>
          </cell>
          <cell r="E379">
            <v>8632</v>
          </cell>
          <cell r="F379">
            <v>2260</v>
          </cell>
          <cell r="G379">
            <v>598.07899999999995</v>
          </cell>
          <cell r="H379">
            <v>150</v>
          </cell>
          <cell r="I379">
            <v>791.33199999999999</v>
          </cell>
          <cell r="J379">
            <v>2497.6301428571428</v>
          </cell>
          <cell r="K379">
            <v>17483.411</v>
          </cell>
          <cell r="M379">
            <v>36.729999999999997</v>
          </cell>
          <cell r="N379" t="str">
            <v>NA</v>
          </cell>
          <cell r="O379">
            <v>0</v>
          </cell>
          <cell r="P379">
            <v>25.071999999999999</v>
          </cell>
          <cell r="Q379">
            <v>0</v>
          </cell>
          <cell r="R379">
            <v>3251</v>
          </cell>
          <cell r="S379">
            <v>0</v>
          </cell>
          <cell r="T379">
            <v>552.13366666666673</v>
          </cell>
          <cell r="U379">
            <v>3312.8020000000001</v>
          </cell>
        </row>
        <row r="380">
          <cell r="B380" t="str">
            <v>FQ(1)</v>
          </cell>
          <cell r="C380">
            <v>2054</v>
          </cell>
          <cell r="D380">
            <v>2999</v>
          </cell>
          <cell r="E380">
            <v>8618</v>
          </cell>
          <cell r="F380">
            <v>2259</v>
          </cell>
          <cell r="G380">
            <v>514.60599999999999</v>
          </cell>
          <cell r="H380">
            <v>150</v>
          </cell>
          <cell r="I380">
            <v>790.75699999999995</v>
          </cell>
          <cell r="J380">
            <v>2483.6232857142859</v>
          </cell>
          <cell r="K380">
            <v>17385.363000000001</v>
          </cell>
          <cell r="M380">
            <v>50.582000000000001</v>
          </cell>
          <cell r="N380" t="str">
            <v>NA</v>
          </cell>
          <cell r="O380">
            <v>0</v>
          </cell>
          <cell r="P380">
            <v>24.428999999999998</v>
          </cell>
          <cell r="Q380">
            <v>0</v>
          </cell>
          <cell r="R380">
            <v>2880.2820000000002</v>
          </cell>
          <cell r="S380">
            <v>0</v>
          </cell>
          <cell r="T380">
            <v>492.54883333333333</v>
          </cell>
          <cell r="U380">
            <v>2955.2930000000001</v>
          </cell>
        </row>
        <row r="381">
          <cell r="B381" t="str">
            <v>Last Reported Q</v>
          </cell>
          <cell r="C381">
            <v>2052</v>
          </cell>
          <cell r="D381">
            <v>2999</v>
          </cell>
          <cell r="E381">
            <v>8456</v>
          </cell>
          <cell r="F381">
            <v>2257</v>
          </cell>
          <cell r="G381">
            <v>493.33</v>
          </cell>
          <cell r="H381">
            <v>150</v>
          </cell>
          <cell r="I381">
            <v>774.3</v>
          </cell>
          <cell r="J381">
            <v>2454.5185714285717</v>
          </cell>
          <cell r="K381">
            <v>17181.63</v>
          </cell>
          <cell r="M381">
            <v>71.212999999999994</v>
          </cell>
          <cell r="N381" t="str">
            <v>NA</v>
          </cell>
          <cell r="O381">
            <v>0</v>
          </cell>
          <cell r="P381">
            <v>24.338999999999999</v>
          </cell>
          <cell r="Q381">
            <v>0</v>
          </cell>
          <cell r="R381">
            <v>2722.8130000000001</v>
          </cell>
          <cell r="S381">
            <v>0</v>
          </cell>
          <cell r="T381">
            <v>469.72750000000002</v>
          </cell>
          <cell r="U381">
            <v>2818.3650000000002</v>
          </cell>
        </row>
        <row r="382">
          <cell r="B382" t="str">
            <v>LTM</v>
          </cell>
          <cell r="C382">
            <v>2052</v>
          </cell>
          <cell r="D382">
            <v>2999</v>
          </cell>
          <cell r="E382">
            <v>8456</v>
          </cell>
          <cell r="F382">
            <v>2257</v>
          </cell>
          <cell r="G382">
            <v>493.33</v>
          </cell>
          <cell r="H382">
            <v>150</v>
          </cell>
          <cell r="I382">
            <v>774.3</v>
          </cell>
          <cell r="J382">
            <v>2454.5185714285717</v>
          </cell>
          <cell r="K382">
            <v>17181.63</v>
          </cell>
          <cell r="M382">
            <v>71.212999999999994</v>
          </cell>
          <cell r="N382" t="str">
            <v>NA</v>
          </cell>
          <cell r="O382">
            <v>0</v>
          </cell>
          <cell r="P382">
            <v>24.338999999999999</v>
          </cell>
          <cell r="Q382">
            <v>0</v>
          </cell>
          <cell r="R382">
            <v>2722.8130000000001</v>
          </cell>
          <cell r="S382">
            <v>0</v>
          </cell>
          <cell r="T382">
            <v>469.72750000000002</v>
          </cell>
          <cell r="U382">
            <v>2818.3650000000002</v>
          </cell>
        </row>
        <row r="383">
          <cell r="B383" t="str">
            <v>FY(2)</v>
          </cell>
          <cell r="C383" t="e">
            <v>#VALUE!</v>
          </cell>
          <cell r="D383" t="e">
            <v>#VALUE!</v>
          </cell>
          <cell r="E383" t="e">
            <v>#VALUE!</v>
          </cell>
          <cell r="F383" t="e">
            <v>#VALUE!</v>
          </cell>
          <cell r="G383" t="e">
            <v>#VALUE!</v>
          </cell>
          <cell r="H383" t="e">
            <v>#VALUE!</v>
          </cell>
          <cell r="I383" t="e">
            <v>#VALUE!</v>
          </cell>
          <cell r="J383" t="e">
            <v>#VALUE!</v>
          </cell>
          <cell r="K383" t="e">
            <v>#VALUE!</v>
          </cell>
          <cell r="M383" t="e">
            <v>#VALUE!</v>
          </cell>
          <cell r="N383" t="e">
            <v>#VALUE!</v>
          </cell>
          <cell r="O383" t="e">
            <v>#VALUE!</v>
          </cell>
          <cell r="P383" t="e">
            <v>#VALUE!</v>
          </cell>
          <cell r="Q383" t="e">
            <v>#VALUE!</v>
          </cell>
          <cell r="R383" t="e">
            <v>#VALUE!</v>
          </cell>
          <cell r="S383" t="e">
            <v>#VALUE!</v>
          </cell>
          <cell r="T383" t="e">
            <v>#VALUE!</v>
          </cell>
          <cell r="U383" t="e">
            <v>#VALUE!</v>
          </cell>
        </row>
        <row r="384">
          <cell r="B384" t="str">
            <v>Unadjusted Debt</v>
          </cell>
          <cell r="C384" t="e">
            <v>#VALUE!</v>
          </cell>
          <cell r="D384" t="e">
            <v>#VALUE!</v>
          </cell>
          <cell r="E384" t="e">
            <v>#VALUE!</v>
          </cell>
          <cell r="F384" t="e">
            <v>#VALUE!</v>
          </cell>
          <cell r="G384" t="e">
            <v>#VALUE!</v>
          </cell>
          <cell r="H384" t="e">
            <v>#VALUE!</v>
          </cell>
          <cell r="I384" t="e">
            <v>#VALUE!</v>
          </cell>
          <cell r="J384" t="e">
            <v>#VALUE!</v>
          </cell>
          <cell r="K384" t="e">
            <v>#VALUE!</v>
          </cell>
          <cell r="M384" t="e">
            <v>#VALUE!</v>
          </cell>
          <cell r="N384" t="e">
            <v>#VALUE!</v>
          </cell>
          <cell r="O384" t="e">
            <v>#VALUE!</v>
          </cell>
          <cell r="P384" t="e">
            <v>#VALUE!</v>
          </cell>
          <cell r="Q384" t="e">
            <v>#VALUE!</v>
          </cell>
          <cell r="R384" t="e">
            <v>#VALUE!</v>
          </cell>
          <cell r="S384" t="e">
            <v>#VALUE!</v>
          </cell>
          <cell r="T384" t="e">
            <v>#VALUE!</v>
          </cell>
          <cell r="U384" t="e">
            <v>#VALUE!</v>
          </cell>
        </row>
        <row r="385">
          <cell r="B385" t="str">
            <v>FY(2)</v>
          </cell>
          <cell r="C385">
            <v>2064.576</v>
          </cell>
          <cell r="D385">
            <v>3708</v>
          </cell>
          <cell r="E385">
            <v>9753</v>
          </cell>
          <cell r="F385">
            <v>2497</v>
          </cell>
          <cell r="G385">
            <v>572.58799999999997</v>
          </cell>
          <cell r="H385">
            <v>150</v>
          </cell>
          <cell r="I385">
            <v>835.09400000000005</v>
          </cell>
          <cell r="J385">
            <v>2797.1797142857145</v>
          </cell>
          <cell r="K385">
            <v>19580.258000000002</v>
          </cell>
          <cell r="M385">
            <v>0</v>
          </cell>
          <cell r="N385">
            <v>0</v>
          </cell>
          <cell r="O385">
            <v>0</v>
          </cell>
          <cell r="P385">
            <v>3.1</v>
          </cell>
          <cell r="Q385">
            <v>188</v>
          </cell>
          <cell r="R385">
            <v>2904.6390000000001</v>
          </cell>
          <cell r="S385">
            <v>0</v>
          </cell>
          <cell r="T385">
            <v>442.24842857142858</v>
          </cell>
          <cell r="U385">
            <v>3095.739</v>
          </cell>
        </row>
        <row r="386">
          <cell r="B386" t="str">
            <v>FY(1)</v>
          </cell>
          <cell r="C386">
            <v>2070</v>
          </cell>
          <cell r="D386">
            <v>3505</v>
          </cell>
          <cell r="E386">
            <v>9699</v>
          </cell>
          <cell r="F386">
            <v>2513</v>
          </cell>
          <cell r="G386">
            <v>640.07299999999998</v>
          </cell>
          <cell r="H386">
            <v>150</v>
          </cell>
          <cell r="I386">
            <v>778.80899999999997</v>
          </cell>
          <cell r="J386">
            <v>2765.1260000000002</v>
          </cell>
          <cell r="K386">
            <v>19355.882000000001</v>
          </cell>
          <cell r="M386">
            <v>100</v>
          </cell>
          <cell r="N386">
            <v>0</v>
          </cell>
          <cell r="O386">
            <v>75</v>
          </cell>
          <cell r="P386">
            <v>2.8650000000000002</v>
          </cell>
          <cell r="Q386">
            <v>50</v>
          </cell>
          <cell r="R386">
            <v>2897.114</v>
          </cell>
          <cell r="S386">
            <v>0</v>
          </cell>
          <cell r="T386">
            <v>446.42557142857146</v>
          </cell>
          <cell r="U386">
            <v>3124.9790000000003</v>
          </cell>
        </row>
        <row r="387">
          <cell r="B387" t="str">
            <v>FY0</v>
          </cell>
          <cell r="C387">
            <v>2068</v>
          </cell>
          <cell r="D387">
            <v>3392</v>
          </cell>
          <cell r="E387">
            <v>8698</v>
          </cell>
          <cell r="F387">
            <v>2613</v>
          </cell>
          <cell r="G387">
            <v>521.18700000000001</v>
          </cell>
          <cell r="H387">
            <v>150</v>
          </cell>
          <cell r="I387">
            <v>774.3</v>
          </cell>
          <cell r="J387">
            <v>2602.3552857142859</v>
          </cell>
          <cell r="K387">
            <v>18216.487000000001</v>
          </cell>
          <cell r="M387">
            <v>82.822999999999993</v>
          </cell>
          <cell r="N387">
            <v>0</v>
          </cell>
          <cell r="O387">
            <v>30</v>
          </cell>
          <cell r="P387">
            <v>33.076000000000001</v>
          </cell>
          <cell r="Q387">
            <v>0</v>
          </cell>
          <cell r="R387">
            <v>2722.8130000000001</v>
          </cell>
          <cell r="S387">
            <v>0</v>
          </cell>
          <cell r="T387">
            <v>409.81599999999997</v>
          </cell>
          <cell r="U387">
            <v>2868.712</v>
          </cell>
        </row>
        <row r="388">
          <cell r="B388" t="str">
            <v>FY1</v>
          </cell>
          <cell r="C388">
            <v>2068</v>
          </cell>
          <cell r="D388">
            <v>2999</v>
          </cell>
          <cell r="E388">
            <v>8460</v>
          </cell>
          <cell r="F388">
            <v>2388</v>
          </cell>
          <cell r="G388">
            <v>498.18700000000001</v>
          </cell>
          <cell r="H388">
            <v>150</v>
          </cell>
          <cell r="I388">
            <v>774.3</v>
          </cell>
          <cell r="J388">
            <v>2476.7838571428574</v>
          </cell>
          <cell r="K388">
            <v>17337.487000000001</v>
          </cell>
          <cell r="M388">
            <v>82.822999999999993</v>
          </cell>
          <cell r="N388">
            <v>0</v>
          </cell>
          <cell r="O388">
            <v>30</v>
          </cell>
          <cell r="P388">
            <v>25.075999999999997</v>
          </cell>
          <cell r="Q388">
            <v>0</v>
          </cell>
          <cell r="R388">
            <v>2722.8130000000001</v>
          </cell>
          <cell r="S388">
            <v>0</v>
          </cell>
          <cell r="T388">
            <v>408.67314285714286</v>
          </cell>
          <cell r="U388">
            <v>2860.712</v>
          </cell>
        </row>
        <row r="389">
          <cell r="B389" t="str">
            <v>FY2</v>
          </cell>
          <cell r="C389">
            <v>1652</v>
          </cell>
          <cell r="D389">
            <v>2999</v>
          </cell>
          <cell r="E389">
            <v>7798</v>
          </cell>
          <cell r="F389">
            <v>2388</v>
          </cell>
          <cell r="G389">
            <v>406.18700000000001</v>
          </cell>
          <cell r="H389">
            <v>150</v>
          </cell>
          <cell r="I389">
            <v>774.3</v>
          </cell>
          <cell r="J389">
            <v>2309.6410000000001</v>
          </cell>
          <cell r="K389">
            <v>16167.486999999999</v>
          </cell>
          <cell r="M389">
            <v>82.822999999999993</v>
          </cell>
          <cell r="N389">
            <v>0</v>
          </cell>
          <cell r="O389">
            <v>30</v>
          </cell>
          <cell r="P389">
            <v>25.076000000000001</v>
          </cell>
          <cell r="Q389">
            <v>0</v>
          </cell>
          <cell r="R389">
            <v>2722.8130000000001</v>
          </cell>
          <cell r="S389">
            <v>0</v>
          </cell>
          <cell r="T389">
            <v>408.67314285714286</v>
          </cell>
          <cell r="U389">
            <v>2860.712</v>
          </cell>
        </row>
        <row r="390">
          <cell r="B390" t="str">
            <v>FQ(3)</v>
          </cell>
          <cell r="C390">
            <v>2073</v>
          </cell>
          <cell r="D390">
            <v>3505</v>
          </cell>
          <cell r="E390">
            <v>8854</v>
          </cell>
          <cell r="F390">
            <v>2502</v>
          </cell>
          <cell r="G390">
            <v>636.62600000000009</v>
          </cell>
          <cell r="H390">
            <v>150</v>
          </cell>
          <cell r="I390">
            <v>1136.376</v>
          </cell>
          <cell r="J390">
            <v>2693.8574285714285</v>
          </cell>
          <cell r="K390">
            <v>18857.002</v>
          </cell>
          <cell r="M390">
            <v>100</v>
          </cell>
          <cell r="N390">
            <v>0</v>
          </cell>
          <cell r="O390">
            <v>75</v>
          </cell>
          <cell r="P390">
            <v>27.475999999999999</v>
          </cell>
          <cell r="Q390">
            <v>0</v>
          </cell>
          <cell r="R390">
            <v>2897.297</v>
          </cell>
          <cell r="S390">
            <v>0</v>
          </cell>
          <cell r="T390">
            <v>442.82471428571432</v>
          </cell>
          <cell r="U390">
            <v>3099.7730000000001</v>
          </cell>
        </row>
        <row r="391">
          <cell r="B391" t="str">
            <v>FQ(2)</v>
          </cell>
          <cell r="C391">
            <v>2069</v>
          </cell>
          <cell r="D391">
            <v>3392</v>
          </cell>
          <cell r="E391">
            <v>8724</v>
          </cell>
          <cell r="F391">
            <v>2635</v>
          </cell>
          <cell r="G391">
            <v>602.80799999999999</v>
          </cell>
          <cell r="H391">
            <v>150</v>
          </cell>
          <cell r="I391">
            <v>1212.538</v>
          </cell>
          <cell r="J391">
            <v>2683.6208571428574</v>
          </cell>
          <cell r="K391">
            <v>18785.346000000001</v>
          </cell>
          <cell r="M391">
            <v>36.729999999999997</v>
          </cell>
          <cell r="N391">
            <v>0</v>
          </cell>
          <cell r="O391">
            <v>75</v>
          </cell>
          <cell r="P391">
            <v>33.076000000000001</v>
          </cell>
          <cell r="Q391">
            <v>0</v>
          </cell>
          <cell r="R391">
            <v>3251</v>
          </cell>
          <cell r="S391">
            <v>0</v>
          </cell>
          <cell r="T391">
            <v>485.11514285714287</v>
          </cell>
          <cell r="U391">
            <v>3395.806</v>
          </cell>
        </row>
        <row r="392">
          <cell r="B392" t="str">
            <v>FQ(1)</v>
          </cell>
          <cell r="C392">
            <v>2071</v>
          </cell>
          <cell r="D392">
            <v>3392</v>
          </cell>
          <cell r="E392">
            <v>8710</v>
          </cell>
          <cell r="F392">
            <v>2615</v>
          </cell>
          <cell r="G392">
            <v>519.45299999999997</v>
          </cell>
          <cell r="H392">
            <v>150</v>
          </cell>
          <cell r="I392">
            <v>993.42399999999998</v>
          </cell>
          <cell r="J392">
            <v>2635.8395714285716</v>
          </cell>
          <cell r="K392">
            <v>18450.877</v>
          </cell>
          <cell r="M392">
            <v>50.582000000000001</v>
          </cell>
          <cell r="N392">
            <v>0</v>
          </cell>
          <cell r="O392">
            <v>50</v>
          </cell>
          <cell r="P392">
            <v>25.132999999999999</v>
          </cell>
          <cell r="Q392">
            <v>0</v>
          </cell>
          <cell r="R392">
            <v>2880.2820000000002</v>
          </cell>
          <cell r="S392">
            <v>0</v>
          </cell>
          <cell r="T392">
            <v>429.42814285714292</v>
          </cell>
          <cell r="U392">
            <v>3005.9970000000003</v>
          </cell>
        </row>
        <row r="393">
          <cell r="B393" t="str">
            <v>Last Reported Q</v>
          </cell>
          <cell r="C393">
            <v>2068</v>
          </cell>
          <cell r="D393">
            <v>3392</v>
          </cell>
          <cell r="E393">
            <v>8698</v>
          </cell>
          <cell r="F393">
            <v>2613</v>
          </cell>
          <cell r="G393">
            <v>521.18700000000001</v>
          </cell>
          <cell r="H393">
            <v>150</v>
          </cell>
          <cell r="I393">
            <v>774.3</v>
          </cell>
          <cell r="J393">
            <v>2602.3552857142859</v>
          </cell>
          <cell r="K393">
            <v>18216.487000000001</v>
          </cell>
          <cell r="M393">
            <v>82.822999999999993</v>
          </cell>
          <cell r="N393">
            <v>0</v>
          </cell>
          <cell r="O393">
            <v>30</v>
          </cell>
          <cell r="P393">
            <v>25.075999999999997</v>
          </cell>
          <cell r="Q393">
            <v>0</v>
          </cell>
          <cell r="R393">
            <v>2722.8130000000001</v>
          </cell>
          <cell r="S393">
            <v>0</v>
          </cell>
          <cell r="T393">
            <v>408.67314285714286</v>
          </cell>
          <cell r="U393">
            <v>2860.712</v>
          </cell>
        </row>
        <row r="394">
          <cell r="B394" t="str">
            <v>LTM</v>
          </cell>
          <cell r="C394">
            <v>2068</v>
          </cell>
          <cell r="D394">
            <v>3392</v>
          </cell>
          <cell r="E394">
            <v>8698</v>
          </cell>
          <cell r="F394">
            <v>2613</v>
          </cell>
          <cell r="G394">
            <v>521.18700000000001</v>
          </cell>
          <cell r="H394">
            <v>150</v>
          </cell>
          <cell r="I394">
            <v>774.3</v>
          </cell>
          <cell r="J394">
            <v>2602.3552857142859</v>
          </cell>
          <cell r="K394">
            <v>18216.487000000001</v>
          </cell>
          <cell r="M394">
            <v>82.822999999999993</v>
          </cell>
          <cell r="N394">
            <v>0</v>
          </cell>
          <cell r="O394">
            <v>30</v>
          </cell>
          <cell r="P394">
            <v>25.075999999999997</v>
          </cell>
          <cell r="Q394">
            <v>0</v>
          </cell>
          <cell r="R394">
            <v>2722.8130000000001</v>
          </cell>
          <cell r="S394">
            <v>0</v>
          </cell>
          <cell r="T394">
            <v>408.67314285714286</v>
          </cell>
          <cell r="U394">
            <v>2860.712</v>
          </cell>
        </row>
        <row r="396">
          <cell r="B396" t="str">
            <v>Unadjusted Net Debt</v>
          </cell>
        </row>
        <row r="397">
          <cell r="B397" t="str">
            <v>FY(2)</v>
          </cell>
          <cell r="C397">
            <v>1400.9176368560052</v>
          </cell>
          <cell r="D397">
            <v>1175.8694052044598</v>
          </cell>
          <cell r="E397">
            <v>9170.1249999999964</v>
          </cell>
          <cell r="F397">
            <v>2139.5977032416822</v>
          </cell>
          <cell r="G397">
            <v>471.42610004233597</v>
          </cell>
          <cell r="H397">
            <v>-113.678</v>
          </cell>
          <cell r="I397">
            <v>102.38306178916901</v>
          </cell>
          <cell r="J397">
            <v>2049.5201295905213</v>
          </cell>
          <cell r="K397">
            <v>14346.640907133649</v>
          </cell>
          <cell r="M397">
            <v>-522.13461840902801</v>
          </cell>
          <cell r="N397">
            <v>-228.53</v>
          </cell>
          <cell r="O397">
            <v>-483.85199999999901</v>
          </cell>
          <cell r="P397">
            <v>-695.80499999999995</v>
          </cell>
          <cell r="Q397">
            <v>-1527</v>
          </cell>
          <cell r="R397">
            <v>1731.24213031622</v>
          </cell>
          <cell r="S397">
            <v>-365.983</v>
          </cell>
          <cell r="T397">
            <v>-298.8660697275439</v>
          </cell>
          <cell r="U397">
            <v>-2092.0624880928071</v>
          </cell>
        </row>
        <row r="398">
          <cell r="B398" t="str">
            <v>FY(1)</v>
          </cell>
          <cell r="C398">
            <v>1393.840636856004</v>
          </cell>
          <cell r="D398">
            <v>1153.3730245593001</v>
          </cell>
          <cell r="E398">
            <v>8393.125</v>
          </cell>
          <cell r="F398">
            <v>2441.0807032416819</v>
          </cell>
          <cell r="G398">
            <v>626.02575219353469</v>
          </cell>
          <cell r="H398">
            <v>-172.15537499999999</v>
          </cell>
          <cell r="I398">
            <v>325.99135986921397</v>
          </cell>
          <cell r="J398">
            <v>2023.0401573885335</v>
          </cell>
          <cell r="K398">
            <v>14161.281101719735</v>
          </cell>
          <cell r="M398">
            <v>-422.13461840902801</v>
          </cell>
          <cell r="N398">
            <v>-228.53</v>
          </cell>
          <cell r="O398">
            <v>-408.85199999999901</v>
          </cell>
          <cell r="P398">
            <v>-696.04</v>
          </cell>
          <cell r="Q398">
            <v>-1665</v>
          </cell>
          <cell r="R398">
            <v>1723.7171303162199</v>
          </cell>
          <cell r="S398">
            <v>-365.983</v>
          </cell>
          <cell r="T398">
            <v>-294.68892687040096</v>
          </cell>
          <cell r="U398">
            <v>-2062.8224880928069</v>
          </cell>
        </row>
        <row r="399">
          <cell r="B399" t="str">
            <v>FY0</v>
          </cell>
          <cell r="C399">
            <v>-197.75736314400001</v>
          </cell>
          <cell r="D399">
            <v>384.79102455929979</v>
          </cell>
          <cell r="E399">
            <v>7011.625</v>
          </cell>
          <cell r="F399">
            <v>1818.280703241682</v>
          </cell>
          <cell r="G399">
            <v>357.01974883758999</v>
          </cell>
          <cell r="H399">
            <v>-620.00937499999998</v>
          </cell>
          <cell r="I399">
            <v>-971.08064013079002</v>
          </cell>
          <cell r="J399">
            <v>1111.8384426233977</v>
          </cell>
          <cell r="K399">
            <v>7782.8690983637835</v>
          </cell>
          <cell r="M399">
            <v>-644.74920840902803</v>
          </cell>
          <cell r="N399">
            <v>-346.87931378455897</v>
          </cell>
          <cell r="O399">
            <v>-668.63491999999906</v>
          </cell>
          <cell r="P399">
            <v>-767.28599999999994</v>
          </cell>
          <cell r="Q399">
            <v>-2574.8000000000002</v>
          </cell>
          <cell r="R399">
            <v>918.42900000000009</v>
          </cell>
          <cell r="S399">
            <v>-501.53600000000102</v>
          </cell>
          <cell r="T399">
            <v>-655.06520602765534</v>
          </cell>
          <cell r="U399">
            <v>-4585.4564421935875</v>
          </cell>
        </row>
        <row r="400">
          <cell r="B400" t="str">
            <v>FY1</v>
          </cell>
          <cell r="C400">
            <v>-788.51614066414004</v>
          </cell>
          <cell r="D400">
            <v>104.6646459940398</v>
          </cell>
          <cell r="E400">
            <v>5817.2833639719802</v>
          </cell>
          <cell r="F400">
            <v>1584.2267420001681</v>
          </cell>
          <cell r="G400">
            <v>329.53917016447303</v>
          </cell>
          <cell r="H400">
            <v>-727.70577551911504</v>
          </cell>
          <cell r="I400">
            <v>-1472.0475460263999</v>
          </cell>
          <cell r="J400">
            <v>692.49206570300078</v>
          </cell>
          <cell r="K400">
            <v>4847.4444599210055</v>
          </cell>
          <cell r="M400">
            <v>-572.38283485722206</v>
          </cell>
          <cell r="N400">
            <v>-418.99402043374801</v>
          </cell>
          <cell r="O400">
            <v>-758.63650584369498</v>
          </cell>
          <cell r="P400">
            <v>-929.32871939409097</v>
          </cell>
          <cell r="Q400">
            <v>-2478.3974420773002</v>
          </cell>
          <cell r="R400">
            <v>969.60535280101999</v>
          </cell>
          <cell r="S400">
            <v>-727.98320368492102</v>
          </cell>
          <cell r="T400">
            <v>-702.3024819271368</v>
          </cell>
          <cell r="U400">
            <v>-4916.1173734899576</v>
          </cell>
        </row>
        <row r="401">
          <cell r="B401" t="str">
            <v>FY2</v>
          </cell>
          <cell r="C401">
            <v>-1306.2194660018799</v>
          </cell>
          <cell r="D401">
            <v>14.232370430379888</v>
          </cell>
          <cell r="E401">
            <v>4376.7068129613499</v>
          </cell>
          <cell r="F401">
            <v>1611.2378153185318</v>
          </cell>
          <cell r="G401">
            <v>250.354544142804</v>
          </cell>
          <cell r="H401">
            <v>-864.85489072380005</v>
          </cell>
          <cell r="I401">
            <v>-1995.79367411919</v>
          </cell>
          <cell r="J401">
            <v>297.95193028688522</v>
          </cell>
          <cell r="K401">
            <v>2085.6635120081964</v>
          </cell>
          <cell r="M401">
            <v>-462.24347740002304</v>
          </cell>
          <cell r="N401">
            <v>-465.93234996454299</v>
          </cell>
          <cell r="O401">
            <v>-920.79550408930095</v>
          </cell>
          <cell r="P401">
            <v>-1082.9158350544999</v>
          </cell>
          <cell r="Q401">
            <v>-2368.83194985604</v>
          </cell>
          <cell r="R401">
            <v>635.02160613725027</v>
          </cell>
          <cell r="S401">
            <v>-921.75489727911997</v>
          </cell>
          <cell r="T401">
            <v>-798.20748678661107</v>
          </cell>
          <cell r="U401">
            <v>-5587.4524075062773</v>
          </cell>
        </row>
        <row r="402">
          <cell r="B402" t="str">
            <v>FQ(3)</v>
          </cell>
          <cell r="C402">
            <v>1179.3426368560049</v>
          </cell>
          <cell r="D402">
            <v>1367.3730245593001</v>
          </cell>
          <cell r="E402">
            <v>8559.1249999999964</v>
          </cell>
          <cell r="F402">
            <v>2424.3807032416817</v>
          </cell>
          <cell r="G402">
            <v>622.79775219353473</v>
          </cell>
          <cell r="H402">
            <v>-310.35537499999998</v>
          </cell>
          <cell r="I402">
            <v>124.14135986920996</v>
          </cell>
          <cell r="J402">
            <v>1995.2578716742471</v>
          </cell>
          <cell r="K402">
            <v>13966.80510171973</v>
          </cell>
          <cell r="M402">
            <v>-363.72861840902902</v>
          </cell>
          <cell r="N402">
            <v>-247.74700000000001</v>
          </cell>
          <cell r="O402">
            <v>-374.33199999999999</v>
          </cell>
          <cell r="P402">
            <v>-523.79100000000005</v>
          </cell>
          <cell r="Q402">
            <v>-1708</v>
          </cell>
          <cell r="R402">
            <v>1961.2991303162221</v>
          </cell>
          <cell r="S402">
            <v>-297.625</v>
          </cell>
          <cell r="T402">
            <v>-221.98921258468667</v>
          </cell>
          <cell r="U402">
            <v>-1553.9244880928068</v>
          </cell>
        </row>
        <row r="403">
          <cell r="B403" t="str">
            <v>FQ(2)</v>
          </cell>
          <cell r="C403">
            <v>715.24263685599999</v>
          </cell>
          <cell r="D403">
            <v>1079.9910245593001</v>
          </cell>
          <cell r="E403">
            <v>8209.1249999999964</v>
          </cell>
          <cell r="F403">
            <v>2116.3807032416821</v>
          </cell>
          <cell r="G403">
            <v>586.25975219353472</v>
          </cell>
          <cell r="H403">
            <v>-371.561375</v>
          </cell>
          <cell r="I403">
            <v>-214.05464013078995</v>
          </cell>
          <cell r="J403">
            <v>1731.626157388532</v>
          </cell>
          <cell r="K403">
            <v>12121.383101719724</v>
          </cell>
          <cell r="M403">
            <v>-404.54420840902895</v>
          </cell>
          <cell r="N403">
            <v>-245.45400000000001</v>
          </cell>
          <cell r="O403">
            <v>-454.78800000000001</v>
          </cell>
          <cell r="P403">
            <v>-767.28599999999994</v>
          </cell>
          <cell r="Q403">
            <v>-2131</v>
          </cell>
          <cell r="R403">
            <v>1700.68513031622</v>
          </cell>
          <cell r="S403">
            <v>-288.76</v>
          </cell>
          <cell r="T403">
            <v>-370.16386829897277</v>
          </cell>
          <cell r="U403">
            <v>-2591.1470780928094</v>
          </cell>
        </row>
        <row r="404">
          <cell r="B404" t="str">
            <v>FQ(1)</v>
          </cell>
          <cell r="C404">
            <v>540.24263685599999</v>
          </cell>
          <cell r="D404">
            <v>1262.9910245593001</v>
          </cell>
          <cell r="E404">
            <v>8221.1249999999964</v>
          </cell>
          <cell r="F404">
            <v>2131.3807032416821</v>
          </cell>
          <cell r="G404">
            <v>507.92514883759037</v>
          </cell>
          <cell r="H404">
            <v>-427.14337499999999</v>
          </cell>
          <cell r="I404">
            <v>-451.91464013079008</v>
          </cell>
          <cell r="J404">
            <v>1683.5152140519683</v>
          </cell>
          <cell r="K404">
            <v>11784.606498363779</v>
          </cell>
          <cell r="M404">
            <v>-475.78220840902895</v>
          </cell>
          <cell r="N404">
            <v>-285.53031378455898</v>
          </cell>
          <cell r="O404">
            <v>-465.90300000000002</v>
          </cell>
          <cell r="P404">
            <v>-969.54699999999991</v>
          </cell>
          <cell r="Q404">
            <v>-2398</v>
          </cell>
          <cell r="R404">
            <v>1912.1131303162222</v>
          </cell>
          <cell r="S404">
            <v>-418.39499999999998</v>
          </cell>
          <cell r="T404">
            <v>-443.00634169676653</v>
          </cell>
          <cell r="U404">
            <v>-3101.0443918773658</v>
          </cell>
        </row>
        <row r="405">
          <cell r="B405" t="str">
            <v>Last Reported Q</v>
          </cell>
          <cell r="C405">
            <v>-197.75736314400001</v>
          </cell>
          <cell r="D405">
            <v>384.79102455929979</v>
          </cell>
          <cell r="E405">
            <v>7011.625</v>
          </cell>
          <cell r="F405">
            <v>1818.280703241682</v>
          </cell>
          <cell r="G405">
            <v>357.01974883758999</v>
          </cell>
          <cell r="H405">
            <v>-620.00937499999998</v>
          </cell>
          <cell r="I405">
            <v>-971.08064013079002</v>
          </cell>
          <cell r="J405">
            <v>1111.8384426233977</v>
          </cell>
          <cell r="K405">
            <v>7782.8690983637835</v>
          </cell>
          <cell r="M405">
            <v>-644.74920840902803</v>
          </cell>
          <cell r="N405">
            <v>-346.87931378455897</v>
          </cell>
          <cell r="O405">
            <v>-668.63491999999906</v>
          </cell>
          <cell r="P405">
            <v>-1078.1009999999999</v>
          </cell>
          <cell r="Q405">
            <v>-2574.8000000000002</v>
          </cell>
          <cell r="R405">
            <v>918.42900000000009</v>
          </cell>
          <cell r="S405">
            <v>-501.53600000000102</v>
          </cell>
          <cell r="T405">
            <v>-699.46734888479818</v>
          </cell>
          <cell r="U405">
            <v>-4896.2714421935871</v>
          </cell>
        </row>
        <row r="406">
          <cell r="B406" t="str">
            <v>LTM</v>
          </cell>
          <cell r="C406">
            <v>-197.75736314400001</v>
          </cell>
          <cell r="D406">
            <v>384.79102455929979</v>
          </cell>
          <cell r="E406">
            <v>7011.625</v>
          </cell>
          <cell r="F406">
            <v>1818.280703241682</v>
          </cell>
          <cell r="G406">
            <v>357.01974883758999</v>
          </cell>
          <cell r="H406">
            <v>-620.00937499999998</v>
          </cell>
          <cell r="I406">
            <v>-971.08064013079002</v>
          </cell>
          <cell r="J406">
            <v>1111.8384426233977</v>
          </cell>
          <cell r="K406">
            <v>7782.8690983637835</v>
          </cell>
          <cell r="M406">
            <v>-644.74920840902803</v>
          </cell>
          <cell r="N406">
            <v>-346.87931378455897</v>
          </cell>
          <cell r="O406">
            <v>-668.63491999999906</v>
          </cell>
          <cell r="P406">
            <v>-1078.1009999999999</v>
          </cell>
          <cell r="Q406">
            <v>-2574.8000000000002</v>
          </cell>
          <cell r="R406">
            <v>918.42900000000009</v>
          </cell>
          <cell r="S406">
            <v>-501.53600000000102</v>
          </cell>
          <cell r="T406">
            <v>-699.46734888479818</v>
          </cell>
          <cell r="U406">
            <v>-4896.2714421935871</v>
          </cell>
        </row>
        <row r="408">
          <cell r="A408" t="str">
            <v>mscalc:shareholdersEquityExcludingAdjustments2</v>
          </cell>
          <cell r="B408" t="str">
            <v>Shareholders' Equity</v>
          </cell>
        </row>
        <row r="409">
          <cell r="B409" t="str">
            <v>FY(2)</v>
          </cell>
          <cell r="C409">
            <v>6101.6030000000001</v>
          </cell>
          <cell r="D409">
            <v>5312</v>
          </cell>
          <cell r="E409">
            <v>9907</v>
          </cell>
          <cell r="F409">
            <v>1115</v>
          </cell>
          <cell r="G409">
            <v>1175.3088999576601</v>
          </cell>
          <cell r="H409">
            <v>970.649</v>
          </cell>
          <cell r="I409">
            <v>2131.2449999999999</v>
          </cell>
          <cell r="J409">
            <v>3816.11512856538</v>
          </cell>
          <cell r="K409">
            <v>26712.805899957661</v>
          </cell>
          <cell r="M409">
            <v>1618.3130000000001</v>
          </cell>
          <cell r="N409">
            <v>197.27600000000001</v>
          </cell>
          <cell r="O409">
            <v>1340.4639999999999</v>
          </cell>
          <cell r="P409">
            <v>1910.354</v>
          </cell>
          <cell r="Q409">
            <v>4274</v>
          </cell>
          <cell r="R409">
            <v>2219.23776210295</v>
          </cell>
          <cell r="S409">
            <v>853.43100000000004</v>
          </cell>
          <cell r="T409">
            <v>1773.2965374432786</v>
          </cell>
          <cell r="U409">
            <v>12413.07576210295</v>
          </cell>
        </row>
        <row r="410">
          <cell r="B410" t="str">
            <v>FY(1)</v>
          </cell>
          <cell r="C410">
            <v>6739</v>
          </cell>
          <cell r="D410">
            <v>4155</v>
          </cell>
          <cell r="E410">
            <v>4646</v>
          </cell>
          <cell r="F410">
            <v>1210</v>
          </cell>
          <cell r="G410">
            <v>969.39424780646596</v>
          </cell>
          <cell r="H410">
            <v>996.36900000000003</v>
          </cell>
          <cell r="I410">
            <v>2134.5569999999998</v>
          </cell>
          <cell r="J410">
            <v>2978.6171782580668</v>
          </cell>
          <cell r="K410">
            <v>20850.320247806467</v>
          </cell>
          <cell r="M410">
            <v>1845.578</v>
          </cell>
          <cell r="N410">
            <v>355.06</v>
          </cell>
          <cell r="O410">
            <v>1409.0309999999999</v>
          </cell>
          <cell r="P410">
            <v>1490.375</v>
          </cell>
          <cell r="Q410">
            <v>4387</v>
          </cell>
          <cell r="R410">
            <v>1874</v>
          </cell>
          <cell r="S410">
            <v>1053.7750000000001</v>
          </cell>
          <cell r="T410">
            <v>1773.5455714285713</v>
          </cell>
          <cell r="U410">
            <v>12414.819</v>
          </cell>
        </row>
        <row r="411">
          <cell r="B411" t="str">
            <v>FY0</v>
          </cell>
          <cell r="C411">
            <v>7853</v>
          </cell>
          <cell r="D411">
            <v>4774</v>
          </cell>
          <cell r="E411">
            <v>4701</v>
          </cell>
          <cell r="F411">
            <v>1572</v>
          </cell>
          <cell r="G411">
            <v>1088.4762511624101</v>
          </cell>
          <cell r="H411">
            <v>1157.2929999999999</v>
          </cell>
          <cell r="I411">
            <v>2889.2759999999998</v>
          </cell>
          <cell r="J411">
            <v>3433.5778930232013</v>
          </cell>
          <cell r="K411">
            <v>24035.04525116241</v>
          </cell>
          <cell r="M411">
            <v>1830.9169999999999</v>
          </cell>
          <cell r="N411">
            <v>434.48899999999998</v>
          </cell>
          <cell r="O411">
            <v>1578.5170000000001</v>
          </cell>
          <cell r="P411">
            <v>1696.0419999999999</v>
          </cell>
          <cell r="Q411">
            <v>4891</v>
          </cell>
          <cell r="R411">
            <v>2184</v>
          </cell>
          <cell r="S411">
            <v>1296.7750000000001</v>
          </cell>
          <cell r="T411">
            <v>1987.3914285714286</v>
          </cell>
          <cell r="U411">
            <v>13911.74</v>
          </cell>
        </row>
        <row r="412">
          <cell r="B412" t="str">
            <v>FY1</v>
          </cell>
          <cell r="C412">
            <v>8743.2064623123206</v>
          </cell>
          <cell r="D412">
            <v>4957.1669827170499</v>
          </cell>
          <cell r="E412">
            <v>5396.9706138889496</v>
          </cell>
          <cell r="F412">
            <v>2006.10798487689</v>
          </cell>
          <cell r="G412">
            <v>1073.6637732849899</v>
          </cell>
          <cell r="H412">
            <v>1220.4279908261001</v>
          </cell>
          <cell r="I412">
            <v>3405.5016296878398</v>
          </cell>
          <cell r="J412">
            <v>3829.0064910848769</v>
          </cell>
          <cell r="K412">
            <v>26803.045437594137</v>
          </cell>
          <cell r="M412">
            <v>1722.9869249752701</v>
          </cell>
          <cell r="N412">
            <v>516.91291448393997</v>
          </cell>
          <cell r="O412">
            <v>1653.0837178745001</v>
          </cell>
          <cell r="P412">
            <v>1912.53454591285</v>
          </cell>
          <cell r="Q412">
            <v>4712.3968391781</v>
          </cell>
          <cell r="R412">
            <v>2011.9392668427699</v>
          </cell>
          <cell r="S412">
            <v>1587.9007739159299</v>
          </cell>
          <cell r="T412">
            <v>2016.8221404547658</v>
          </cell>
          <cell r="U412">
            <v>14117.75498318336</v>
          </cell>
        </row>
        <row r="413">
          <cell r="B413" t="str">
            <v>FY2</v>
          </cell>
          <cell r="C413">
            <v>9520.6212033606007</v>
          </cell>
          <cell r="D413">
            <v>5110.6210396290498</v>
          </cell>
          <cell r="E413">
            <v>6188.3885193436599</v>
          </cell>
          <cell r="F413">
            <v>2284.9148605284499</v>
          </cell>
          <cell r="G413">
            <v>1070.3064175705799</v>
          </cell>
          <cell r="H413">
            <v>1369.67472339298</v>
          </cell>
          <cell r="I413">
            <v>4020.41295026936</v>
          </cell>
          <cell r="J413">
            <v>4223.5628162992407</v>
          </cell>
          <cell r="K413">
            <v>29564.939714094682</v>
          </cell>
          <cell r="M413">
            <v>1671.9507421953499</v>
          </cell>
          <cell r="N413">
            <v>568.14707851062997</v>
          </cell>
          <cell r="O413">
            <v>1772.59744765189</v>
          </cell>
          <cell r="P413">
            <v>2075.2400173670699</v>
          </cell>
          <cell r="Q413">
            <v>4390.0381761579001</v>
          </cell>
          <cell r="R413">
            <v>2201.0343082925201</v>
          </cell>
          <cell r="S413">
            <v>1900.71093984038</v>
          </cell>
          <cell r="T413">
            <v>2082.8169585736773</v>
          </cell>
          <cell r="U413">
            <v>14579.718710015743</v>
          </cell>
        </row>
        <row r="414">
          <cell r="B414" t="str">
            <v>FQ(3)</v>
          </cell>
          <cell r="C414">
            <v>6885</v>
          </cell>
          <cell r="D414">
            <v>4196</v>
          </cell>
          <cell r="E414">
            <v>4555</v>
          </cell>
          <cell r="F414">
            <v>1274</v>
          </cell>
          <cell r="G414">
            <v>991.83624780646505</v>
          </cell>
          <cell r="H414">
            <v>1035.758</v>
          </cell>
          <cell r="I414">
            <v>2335.4740000000002</v>
          </cell>
          <cell r="J414">
            <v>3039.0097496866388</v>
          </cell>
          <cell r="K414">
            <v>21273.06824780647</v>
          </cell>
          <cell r="M414">
            <v>1771.4059999999999</v>
          </cell>
          <cell r="N414">
            <v>397.149</v>
          </cell>
          <cell r="O414">
            <v>1433.47</v>
          </cell>
          <cell r="P414">
            <v>1541.914</v>
          </cell>
          <cell r="Q414">
            <v>4540</v>
          </cell>
          <cell r="R414">
            <v>1839.2148696837801</v>
          </cell>
          <cell r="S414">
            <v>1091.626</v>
          </cell>
          <cell r="T414">
            <v>1802.1114099548254</v>
          </cell>
          <cell r="U414">
            <v>12614.779869683778</v>
          </cell>
        </row>
        <row r="415">
          <cell r="B415" t="str">
            <v>FQ(2)</v>
          </cell>
          <cell r="C415">
            <v>7136</v>
          </cell>
          <cell r="D415">
            <v>4536</v>
          </cell>
          <cell r="E415">
            <v>4549</v>
          </cell>
          <cell r="F415">
            <v>1357</v>
          </cell>
          <cell r="G415">
            <v>962.96024780646496</v>
          </cell>
          <cell r="H415">
            <v>1069.422</v>
          </cell>
          <cell r="I415">
            <v>2831.9119999999998</v>
          </cell>
          <cell r="J415">
            <v>3206.0420354009234</v>
          </cell>
          <cell r="K415">
            <v>22442.294247806465</v>
          </cell>
          <cell r="M415">
            <v>1756.258</v>
          </cell>
          <cell r="N415">
            <v>429.57600000000002</v>
          </cell>
          <cell r="O415">
            <v>1469.857</v>
          </cell>
          <cell r="P415">
            <v>1696.0419999999999</v>
          </cell>
          <cell r="Q415">
            <v>4745</v>
          </cell>
          <cell r="R415">
            <v>1876</v>
          </cell>
          <cell r="S415">
            <v>1148.2149999999999</v>
          </cell>
          <cell r="T415">
            <v>1874.421142857143</v>
          </cell>
          <cell r="U415">
            <v>13120.948</v>
          </cell>
        </row>
        <row r="416">
          <cell r="B416" t="str">
            <v>FQ(1)</v>
          </cell>
          <cell r="C416">
            <v>7395</v>
          </cell>
          <cell r="D416">
            <v>4588</v>
          </cell>
          <cell r="E416">
            <v>4494</v>
          </cell>
          <cell r="F416">
            <v>1430</v>
          </cell>
          <cell r="G416">
            <v>1069.4598511624099</v>
          </cell>
          <cell r="H416">
            <v>1107.193</v>
          </cell>
          <cell r="I416">
            <v>2940.5070000000001</v>
          </cell>
          <cell r="J416">
            <v>3289.1656930232016</v>
          </cell>
          <cell r="K416">
            <v>23024.159851162411</v>
          </cell>
          <cell r="M416">
            <v>1782.376</v>
          </cell>
          <cell r="N416">
            <v>448.44900000000001</v>
          </cell>
          <cell r="O416">
            <v>1523.3050000000001</v>
          </cell>
          <cell r="P416">
            <v>1840.981</v>
          </cell>
          <cell r="Q416">
            <v>4981</v>
          </cell>
          <cell r="R416">
            <v>1865</v>
          </cell>
          <cell r="S416">
            <v>1215.26</v>
          </cell>
          <cell r="T416">
            <v>1950.910142857143</v>
          </cell>
          <cell r="U416">
            <v>13656.371000000001</v>
          </cell>
        </row>
        <row r="417">
          <cell r="B417" t="str">
            <v>Last Reported Q</v>
          </cell>
          <cell r="C417">
            <v>7853</v>
          </cell>
          <cell r="D417">
            <v>4774</v>
          </cell>
          <cell r="E417">
            <v>4701</v>
          </cell>
          <cell r="F417">
            <v>1572</v>
          </cell>
          <cell r="G417">
            <v>1088.4762511624101</v>
          </cell>
          <cell r="H417">
            <v>1157.2929999999999</v>
          </cell>
          <cell r="I417">
            <v>2889.2759999999998</v>
          </cell>
          <cell r="J417">
            <v>3433.5778930232013</v>
          </cell>
          <cell r="K417">
            <v>24035.04525116241</v>
          </cell>
          <cell r="M417">
            <v>1830.9169999999999</v>
          </cell>
          <cell r="N417">
            <v>434.48899999999998</v>
          </cell>
          <cell r="O417">
            <v>1578.5170000000001</v>
          </cell>
          <cell r="P417">
            <v>1865.566</v>
          </cell>
          <cell r="Q417">
            <v>4891</v>
          </cell>
          <cell r="R417">
            <v>2184</v>
          </cell>
          <cell r="S417">
            <v>1296.7750000000001</v>
          </cell>
          <cell r="T417">
            <v>2011.6091428571428</v>
          </cell>
          <cell r="U417">
            <v>14081.263999999999</v>
          </cell>
        </row>
        <row r="418">
          <cell r="B418" t="str">
            <v>LTM</v>
          </cell>
          <cell r="C418">
            <v>7853</v>
          </cell>
          <cell r="D418">
            <v>4774</v>
          </cell>
          <cell r="E418">
            <v>4701</v>
          </cell>
          <cell r="F418">
            <v>1572</v>
          </cell>
          <cell r="G418">
            <v>1088.4762511624101</v>
          </cell>
          <cell r="H418">
            <v>1157.2929999999999</v>
          </cell>
          <cell r="I418">
            <v>2889.2759999999998</v>
          </cell>
          <cell r="J418">
            <v>3433.5778930232013</v>
          </cell>
          <cell r="K418">
            <v>24035.04525116241</v>
          </cell>
          <cell r="M418">
            <v>1830.9169999999999</v>
          </cell>
          <cell r="N418">
            <v>434.48899999999998</v>
          </cell>
          <cell r="O418">
            <v>1578.5170000000001</v>
          </cell>
          <cell r="P418">
            <v>1865.566</v>
          </cell>
          <cell r="Q418">
            <v>4891</v>
          </cell>
          <cell r="R418">
            <v>2184</v>
          </cell>
          <cell r="S418">
            <v>1296.7750000000001</v>
          </cell>
          <cell r="T418">
            <v>2011.6091428571428</v>
          </cell>
          <cell r="U418">
            <v>14081.263999999999</v>
          </cell>
        </row>
        <row r="419">
          <cell r="B419" t="str">
            <v>FY1</v>
          </cell>
          <cell r="C419">
            <v>1.4809307600267818</v>
          </cell>
          <cell r="D419">
            <v>1.6952981091780144</v>
          </cell>
          <cell r="E419">
            <v>3.4410419583047971</v>
          </cell>
          <cell r="F419">
            <v>2.4186860774510537</v>
          </cell>
          <cell r="G419">
            <v>6.3385571555919507</v>
          </cell>
          <cell r="H419">
            <v>1.900098027765555</v>
          </cell>
          <cell r="I419">
            <v>2.2013545974281428</v>
          </cell>
          <cell r="J419">
            <v>2.7822809551066134</v>
          </cell>
          <cell r="K419">
            <v>2.3066225639221698</v>
          </cell>
          <cell r="M419">
            <v>2.6669756192435479</v>
          </cell>
          <cell r="N419">
            <v>0.77306828247647918</v>
          </cell>
          <cell r="O419">
            <v>1.8005922814156723</v>
          </cell>
          <cell r="P419">
            <v>0.13348743351882905</v>
          </cell>
          <cell r="Q419">
            <v>1.5560441034066363</v>
          </cell>
          <cell r="R419">
            <v>3.1519676961742058</v>
          </cell>
          <cell r="S419">
            <v>0.84923530832250471</v>
          </cell>
          <cell r="T419">
            <v>1.5616243892225536</v>
          </cell>
          <cell r="U419">
            <v>1.6332140081940278</v>
          </cell>
        </row>
        <row r="420">
          <cell r="B420" t="str">
            <v>Total Capitalization</v>
          </cell>
          <cell r="C420">
            <v>1.1181009497855385</v>
          </cell>
          <cell r="D420">
            <v>1.1713922360269251</v>
          </cell>
          <cell r="E420">
            <v>2.9385369993289423</v>
          </cell>
          <cell r="F420">
            <v>2.0884778637610841</v>
          </cell>
          <cell r="G420">
            <v>4.7694258543874373</v>
          </cell>
          <cell r="H420">
            <v>1.8604840886408607</v>
          </cell>
          <cell r="I420">
            <v>1.9928163212591523</v>
          </cell>
          <cell r="J420">
            <v>2.2770334733128488</v>
          </cell>
          <cell r="K420">
            <v>1.9437264725656025</v>
          </cell>
          <cell r="M420">
            <v>2.8344898287836364</v>
          </cell>
          <cell r="N420">
            <v>0.78610647369306275</v>
          </cell>
          <cell r="O420">
            <v>1.6718605411603178</v>
          </cell>
          <cell r="P420">
            <v>9.0088846790629187E-2</v>
          </cell>
          <cell r="Q420">
            <v>1.5147230801771487</v>
          </cell>
          <cell r="R420">
            <v>2.9339800205554445</v>
          </cell>
          <cell r="S420">
            <v>0.61862510334400245</v>
          </cell>
          <cell r="T420">
            <v>1.49283912778632</v>
          </cell>
          <cell r="U420">
            <v>1.5665265365502281</v>
          </cell>
        </row>
        <row r="421">
          <cell r="B421" t="str">
            <v>FY(2)</v>
          </cell>
          <cell r="C421">
            <v>8166.1790000000001</v>
          </cell>
          <cell r="D421">
            <v>9020</v>
          </cell>
          <cell r="E421">
            <v>19660</v>
          </cell>
          <cell r="F421">
            <v>3612</v>
          </cell>
          <cell r="G421">
            <v>1747.89689995766</v>
          </cell>
          <cell r="H421">
            <v>1120.6489999999999</v>
          </cell>
          <cell r="I421">
            <v>2966.3389999999999</v>
          </cell>
          <cell r="J421">
            <v>6613.2948428510945</v>
          </cell>
          <cell r="K421">
            <v>46293.063899957662</v>
          </cell>
          <cell r="M421">
            <v>1618.3130000000001</v>
          </cell>
          <cell r="N421">
            <v>197.27600000000001</v>
          </cell>
          <cell r="O421">
            <v>1340.4639999999999</v>
          </cell>
          <cell r="P421">
            <v>1913.454</v>
          </cell>
          <cell r="Q421">
            <v>4462</v>
          </cell>
          <cell r="R421">
            <v>5123.8767621029501</v>
          </cell>
          <cell r="S421">
            <v>853.43100000000004</v>
          </cell>
          <cell r="T421">
            <v>2215.5449660147069</v>
          </cell>
          <cell r="U421">
            <v>15508.814762102949</v>
          </cell>
        </row>
        <row r="422">
          <cell r="B422" t="str">
            <v>FY(1)</v>
          </cell>
          <cell r="C422">
            <v>8809</v>
          </cell>
          <cell r="D422">
            <v>7660</v>
          </cell>
          <cell r="E422">
            <v>14345</v>
          </cell>
          <cell r="F422">
            <v>3723</v>
          </cell>
          <cell r="G422">
            <v>1609.4672478064658</v>
          </cell>
          <cell r="H422">
            <v>1146.3690000000001</v>
          </cell>
          <cell r="I422">
            <v>2913.366</v>
          </cell>
          <cell r="J422">
            <v>5743.743178258067</v>
          </cell>
          <cell r="K422">
            <v>40206.202247806468</v>
          </cell>
          <cell r="M422">
            <v>1945.578</v>
          </cell>
          <cell r="N422">
            <v>355.06</v>
          </cell>
          <cell r="O422">
            <v>1484.0309999999999</v>
          </cell>
          <cell r="P422">
            <v>1493.24</v>
          </cell>
          <cell r="Q422">
            <v>4437</v>
          </cell>
          <cell r="R422">
            <v>4771.1139999999996</v>
          </cell>
          <cell r="S422">
            <v>1053.7750000000001</v>
          </cell>
          <cell r="T422">
            <v>2219.9711428571427</v>
          </cell>
          <cell r="U422">
            <v>15539.797999999999</v>
          </cell>
        </row>
        <row r="423">
          <cell r="B423" t="str">
            <v>FY0</v>
          </cell>
          <cell r="C423">
            <v>9921</v>
          </cell>
          <cell r="D423">
            <v>8166</v>
          </cell>
          <cell r="E423">
            <v>13399</v>
          </cell>
          <cell r="F423">
            <v>4185</v>
          </cell>
          <cell r="G423">
            <v>1609.6632511624102</v>
          </cell>
          <cell r="H423">
            <v>1307.2929999999999</v>
          </cell>
          <cell r="I423">
            <v>3663.576</v>
          </cell>
          <cell r="J423">
            <v>6035.9331787374877</v>
          </cell>
          <cell r="K423">
            <v>42251.532251162411</v>
          </cell>
          <cell r="M423">
            <v>1913.74</v>
          </cell>
          <cell r="N423">
            <v>434.48899999999998</v>
          </cell>
          <cell r="O423">
            <v>1608.5170000000001</v>
          </cell>
          <cell r="P423">
            <v>1729.1179999999999</v>
          </cell>
          <cell r="Q423">
            <v>4891</v>
          </cell>
          <cell r="R423">
            <v>4906.8130000000001</v>
          </cell>
          <cell r="S423">
            <v>1296.7750000000001</v>
          </cell>
          <cell r="T423">
            <v>2397.2074285714289</v>
          </cell>
          <cell r="U423">
            <v>16780.452000000001</v>
          </cell>
        </row>
        <row r="424">
          <cell r="B424" t="str">
            <v>FY1</v>
          </cell>
          <cell r="C424">
            <v>10811.206462312321</v>
          </cell>
          <cell r="D424">
            <v>7956.1669827170499</v>
          </cell>
          <cell r="E424">
            <v>13856.970613888949</v>
          </cell>
          <cell r="F424">
            <v>4394.1079848768895</v>
          </cell>
          <cell r="G424">
            <v>1571.8507732849898</v>
          </cell>
          <cell r="H424">
            <v>1370.4279908261001</v>
          </cell>
          <cell r="I424">
            <v>4179.8016296878395</v>
          </cell>
          <cell r="J424">
            <v>6305.7903482277343</v>
          </cell>
          <cell r="K424">
            <v>44140.532437594142</v>
          </cell>
          <cell r="M424">
            <v>1805.8099249752702</v>
          </cell>
          <cell r="N424">
            <v>516.91291448393997</v>
          </cell>
          <cell r="O424">
            <v>1683.0837178745001</v>
          </cell>
          <cell r="P424">
            <v>1937.6105459128501</v>
          </cell>
          <cell r="Q424">
            <v>4712.3968391781</v>
          </cell>
          <cell r="R424">
            <v>4734.75226684277</v>
          </cell>
          <cell r="S424">
            <v>1587.9007739159299</v>
          </cell>
          <cell r="T424">
            <v>2425.4952833119087</v>
          </cell>
          <cell r="U424">
            <v>16978.46698318336</v>
          </cell>
        </row>
        <row r="425">
          <cell r="B425" t="str">
            <v>FY2</v>
          </cell>
          <cell r="C425">
            <v>11172.621203360601</v>
          </cell>
          <cell r="D425">
            <v>8109.6210396290498</v>
          </cell>
          <cell r="E425">
            <v>13986.38851934366</v>
          </cell>
          <cell r="F425">
            <v>4672.9148605284499</v>
          </cell>
          <cell r="G425">
            <v>1476.4934175705798</v>
          </cell>
          <cell r="H425">
            <v>1519.67472339298</v>
          </cell>
          <cell r="I425">
            <v>4794.7129502693597</v>
          </cell>
          <cell r="J425">
            <v>6533.2038162992394</v>
          </cell>
          <cell r="K425">
            <v>45732.426714094676</v>
          </cell>
          <cell r="M425">
            <v>1754.77374219535</v>
          </cell>
          <cell r="N425">
            <v>568.14707851062997</v>
          </cell>
          <cell r="O425">
            <v>1802.59744765189</v>
          </cell>
          <cell r="P425">
            <v>2100.3160173670699</v>
          </cell>
          <cell r="Q425">
            <v>4390.0381761579001</v>
          </cell>
          <cell r="R425">
            <v>4923.8473082925202</v>
          </cell>
          <cell r="S425">
            <v>1900.71093984038</v>
          </cell>
          <cell r="T425">
            <v>2491.4901014308198</v>
          </cell>
          <cell r="U425">
            <v>17440.430710015738</v>
          </cell>
        </row>
        <row r="426">
          <cell r="B426" t="str">
            <v>FQ(3)</v>
          </cell>
          <cell r="C426">
            <v>8958</v>
          </cell>
          <cell r="D426">
            <v>7701</v>
          </cell>
          <cell r="E426">
            <v>13409</v>
          </cell>
          <cell r="F426">
            <v>3776</v>
          </cell>
          <cell r="G426">
            <v>1628.4622478064653</v>
          </cell>
          <cell r="H426">
            <v>1185.758</v>
          </cell>
          <cell r="I426">
            <v>3471.8500000000004</v>
          </cell>
          <cell r="J426">
            <v>5732.8671782580659</v>
          </cell>
          <cell r="K426">
            <v>40130.070247806463</v>
          </cell>
          <cell r="M426">
            <v>1871.4059999999999</v>
          </cell>
          <cell r="N426">
            <v>397.149</v>
          </cell>
          <cell r="O426">
            <v>1508.47</v>
          </cell>
          <cell r="P426">
            <v>1569.3899999999999</v>
          </cell>
          <cell r="Q426">
            <v>4540</v>
          </cell>
          <cell r="R426">
            <v>4736.5118696837799</v>
          </cell>
          <cell r="S426">
            <v>1091.626</v>
          </cell>
          <cell r="T426">
            <v>2244.9361242405398</v>
          </cell>
          <cell r="U426">
            <v>15714.552869683779</v>
          </cell>
        </row>
        <row r="427">
          <cell r="B427" t="str">
            <v>FQ(2)</v>
          </cell>
          <cell r="C427">
            <v>9205</v>
          </cell>
          <cell r="D427">
            <v>7928</v>
          </cell>
          <cell r="E427">
            <v>13273</v>
          </cell>
          <cell r="F427">
            <v>3992</v>
          </cell>
          <cell r="G427">
            <v>1565.7682478064648</v>
          </cell>
          <cell r="H427">
            <v>1219.422</v>
          </cell>
          <cell r="I427">
            <v>4044.45</v>
          </cell>
          <cell r="J427">
            <v>5889.6628925437808</v>
          </cell>
          <cell r="K427">
            <v>41227.640247806463</v>
          </cell>
          <cell r="M427">
            <v>1792.9880000000001</v>
          </cell>
          <cell r="N427">
            <v>429.57600000000002</v>
          </cell>
          <cell r="O427">
            <v>1544.857</v>
          </cell>
          <cell r="P427">
            <v>1729.1179999999999</v>
          </cell>
          <cell r="Q427">
            <v>4745</v>
          </cell>
          <cell r="R427">
            <v>5127</v>
          </cell>
          <cell r="S427">
            <v>1148.2149999999999</v>
          </cell>
          <cell r="T427">
            <v>2359.5362857142859</v>
          </cell>
          <cell r="U427">
            <v>16516.754000000001</v>
          </cell>
        </row>
        <row r="428">
          <cell r="B428" t="str">
            <v>FQ(1)</v>
          </cell>
          <cell r="C428">
            <v>9466</v>
          </cell>
          <cell r="D428">
            <v>7980</v>
          </cell>
          <cell r="E428">
            <v>13204</v>
          </cell>
          <cell r="F428">
            <v>4045</v>
          </cell>
          <cell r="G428">
            <v>1588.9128511624099</v>
          </cell>
          <cell r="H428">
            <v>1257.193</v>
          </cell>
          <cell r="I428">
            <v>3933.931</v>
          </cell>
          <cell r="J428">
            <v>5925.0052644517718</v>
          </cell>
          <cell r="K428">
            <v>41475.036851162404</v>
          </cell>
          <cell r="M428">
            <v>1832.9580000000001</v>
          </cell>
          <cell r="N428">
            <v>448.44900000000001</v>
          </cell>
          <cell r="O428">
            <v>1573.3050000000001</v>
          </cell>
          <cell r="P428">
            <v>1866.114</v>
          </cell>
          <cell r="Q428">
            <v>4981</v>
          </cell>
          <cell r="R428">
            <v>4745.2820000000002</v>
          </cell>
          <cell r="S428">
            <v>1215.26</v>
          </cell>
          <cell r="T428">
            <v>2380.3382857142856</v>
          </cell>
          <cell r="U428">
            <v>16662.367999999999</v>
          </cell>
        </row>
        <row r="429">
          <cell r="B429" t="str">
            <v>Last Reported Q</v>
          </cell>
          <cell r="C429">
            <v>9921</v>
          </cell>
          <cell r="D429">
            <v>8166</v>
          </cell>
          <cell r="E429">
            <v>13399</v>
          </cell>
          <cell r="F429">
            <v>4185</v>
          </cell>
          <cell r="G429">
            <v>1609.6632511624102</v>
          </cell>
          <cell r="H429">
            <v>1307.2929999999999</v>
          </cell>
          <cell r="I429">
            <v>3663.576</v>
          </cell>
          <cell r="J429">
            <v>6035.9331787374877</v>
          </cell>
          <cell r="K429">
            <v>42251.532251162411</v>
          </cell>
          <cell r="M429">
            <v>1913.74</v>
          </cell>
          <cell r="N429">
            <v>434.48899999999998</v>
          </cell>
          <cell r="O429">
            <v>1608.5170000000001</v>
          </cell>
          <cell r="P429">
            <v>1890.6420000000001</v>
          </cell>
          <cell r="Q429">
            <v>4891</v>
          </cell>
          <cell r="R429">
            <v>4906.8130000000001</v>
          </cell>
          <cell r="S429">
            <v>1296.7750000000001</v>
          </cell>
          <cell r="T429">
            <v>2420.2822857142855</v>
          </cell>
          <cell r="U429">
            <v>16941.975999999999</v>
          </cell>
        </row>
        <row r="430">
          <cell r="B430" t="str">
            <v>LTM</v>
          </cell>
          <cell r="C430">
            <v>9921</v>
          </cell>
          <cell r="D430">
            <v>8166</v>
          </cell>
          <cell r="E430">
            <v>13399</v>
          </cell>
          <cell r="F430">
            <v>4185</v>
          </cell>
          <cell r="G430">
            <v>1609.6632511624102</v>
          </cell>
          <cell r="H430">
            <v>1307.2929999999999</v>
          </cell>
          <cell r="I430">
            <v>3663.576</v>
          </cell>
          <cell r="J430">
            <v>6035.9331787374877</v>
          </cell>
          <cell r="K430">
            <v>42251.532251162411</v>
          </cell>
          <cell r="M430">
            <v>1913.74</v>
          </cell>
          <cell r="N430">
            <v>434.48899999999998</v>
          </cell>
          <cell r="O430">
            <v>1608.5170000000001</v>
          </cell>
          <cell r="P430">
            <v>1890.6420000000001</v>
          </cell>
          <cell r="Q430">
            <v>4891</v>
          </cell>
          <cell r="R430">
            <v>4906.8130000000001</v>
          </cell>
          <cell r="S430">
            <v>1296.7750000000001</v>
          </cell>
          <cell r="T430">
            <v>2420.2822857142855</v>
          </cell>
          <cell r="U430">
            <v>16941.975999999999</v>
          </cell>
        </row>
        <row r="431">
          <cell r="B431" t="str">
            <v>FY(2)</v>
          </cell>
          <cell r="C431">
            <v>6.5809269699786982E-2</v>
          </cell>
          <cell r="D431">
            <v>8.2885334351326931E-2</v>
          </cell>
          <cell r="E431">
            <v>0.35112163269240038</v>
          </cell>
          <cell r="F431">
            <v>8.1458700473953122E-2</v>
          </cell>
          <cell r="G431">
            <v>0.22929685396586078</v>
          </cell>
          <cell r="H431">
            <v>-0.21006670881179057</v>
          </cell>
          <cell r="I431">
            <v>-2.2453663384297919E-2</v>
          </cell>
          <cell r="J431">
            <v>8.2578774141034234E-2</v>
          </cell>
          <cell r="K431">
            <v>0.19857708733327781</v>
          </cell>
          <cell r="M431">
            <v>-0.46148251935356011</v>
          </cell>
          <cell r="N431">
            <v>-0.35860385241384618</v>
          </cell>
          <cell r="O431">
            <v>-0.43740474927186046</v>
          </cell>
          <cell r="P431">
            <v>-0.36363821654453149</v>
          </cell>
          <cell r="Q431">
            <v>-0.24406448082567961</v>
          </cell>
          <cell r="R431">
            <v>0.14331117677814789</v>
          </cell>
          <cell r="S431">
            <v>-0.29568343938763447</v>
          </cell>
          <cell r="T431">
            <v>-0.28822372585985206</v>
          </cell>
          <cell r="U431">
            <v>-0.18688254765837309</v>
          </cell>
        </row>
        <row r="432">
          <cell r="B432" t="str">
            <v>Unadjusted Cash/Market Cap</v>
          </cell>
          <cell r="C432">
            <v>0.17155117918135337</v>
          </cell>
          <cell r="D432">
            <v>0.13036246177433036</v>
          </cell>
          <cell r="E432">
            <v>0.46643565615462851</v>
          </cell>
          <cell r="F432">
            <v>0.59235816811785225</v>
          </cell>
          <cell r="G432">
            <v>0.26971047322857289</v>
          </cell>
          <cell r="H432">
            <v>-0.10143943375668921</v>
          </cell>
          <cell r="I432">
            <v>3.451495658087933E-2</v>
          </cell>
          <cell r="J432">
            <v>0.22335620875441822</v>
          </cell>
          <cell r="K432">
            <v>0.30990908137205347</v>
          </cell>
          <cell r="M432">
            <v>-0.40073829969851316</v>
          </cell>
          <cell r="N432">
            <v>-0.56735740789553724</v>
          </cell>
          <cell r="O432">
            <v>-0.46248090213537929</v>
          </cell>
          <cell r="P432">
            <v>-0.46612734724491706</v>
          </cell>
          <cell r="Q432">
            <v>-0.38390737392551322</v>
          </cell>
          <cell r="R432">
            <v>0.36814239012315064</v>
          </cell>
          <cell r="S432">
            <v>-0.23396150362478041</v>
          </cell>
          <cell r="T432">
            <v>-0.30663292062878422</v>
          </cell>
          <cell r="U432">
            <v>-0.13936172728752871</v>
          </cell>
        </row>
        <row r="433">
          <cell r="B433" t="str">
            <v>FY(2)</v>
          </cell>
          <cell r="C433" t="e">
            <v>#VALUE!</v>
          </cell>
          <cell r="D433" t="e">
            <v>#VALUE!</v>
          </cell>
          <cell r="E433" t="e">
            <v>#VALUE!</v>
          </cell>
          <cell r="F433" t="e">
            <v>#VALUE!</v>
          </cell>
          <cell r="G433" t="e">
            <v>#VALUE!</v>
          </cell>
          <cell r="H433" t="e">
            <v>#VALUE!</v>
          </cell>
          <cell r="I433" t="e">
            <v>#VALUE!</v>
          </cell>
          <cell r="J433" t="e">
            <v>#VALUE!</v>
          </cell>
          <cell r="K433" t="e">
            <v>#VALUE!</v>
          </cell>
          <cell r="M433" t="e">
            <v>#VALUE!</v>
          </cell>
          <cell r="N433" t="e">
            <v>#VALUE!</v>
          </cell>
          <cell r="O433" t="e">
            <v>#VALUE!</v>
          </cell>
          <cell r="P433" t="e">
            <v>#VALUE!</v>
          </cell>
          <cell r="Q433" t="e">
            <v>#VALUE!</v>
          </cell>
          <cell r="R433" t="e">
            <v>#VALUE!</v>
          </cell>
          <cell r="S433" t="e">
            <v>#VALUE!</v>
          </cell>
          <cell r="T433" t="e">
            <v>#VALUE!</v>
          </cell>
          <cell r="U433" t="e">
            <v>#VALUE!</v>
          </cell>
        </row>
        <row r="434">
          <cell r="B434" t="str">
            <v>FY(1)</v>
          </cell>
          <cell r="C434" t="e">
            <v>#VALUE!</v>
          </cell>
          <cell r="D434" t="e">
            <v>#VALUE!</v>
          </cell>
          <cell r="E434" t="e">
            <v>#VALUE!</v>
          </cell>
          <cell r="F434" t="e">
            <v>#VALUE!</v>
          </cell>
          <cell r="G434" t="e">
            <v>#VALUE!</v>
          </cell>
          <cell r="H434" t="e">
            <v>#VALUE!</v>
          </cell>
          <cell r="I434" t="e">
            <v>#VALUE!</v>
          </cell>
          <cell r="J434" t="e">
            <v>#VALUE!</v>
          </cell>
          <cell r="K434" t="e">
            <v>#VALUE!</v>
          </cell>
          <cell r="M434" t="e">
            <v>#VALUE!</v>
          </cell>
          <cell r="N434" t="e">
            <v>#VALUE!</v>
          </cell>
          <cell r="O434" t="e">
            <v>#VALUE!</v>
          </cell>
          <cell r="P434" t="e">
            <v>#VALUE!</v>
          </cell>
          <cell r="Q434" t="e">
            <v>#VALUE!</v>
          </cell>
          <cell r="R434" t="e">
            <v>#VALUE!</v>
          </cell>
          <cell r="S434" t="e">
            <v>#VALUE!</v>
          </cell>
          <cell r="T434" t="e">
            <v>#VALUE!</v>
          </cell>
          <cell r="U434" t="e">
            <v>#VALUE!</v>
          </cell>
        </row>
        <row r="435">
          <cell r="B435" t="str">
            <v>FY0</v>
          </cell>
          <cell r="C435" t="e">
            <v>#VALUE!</v>
          </cell>
          <cell r="D435" t="e">
            <v>#VALUE!</v>
          </cell>
          <cell r="E435" t="e">
            <v>#VALUE!</v>
          </cell>
          <cell r="F435" t="e">
            <v>#VALUE!</v>
          </cell>
          <cell r="G435" t="e">
            <v>#VALUE!</v>
          </cell>
          <cell r="H435" t="e">
            <v>#VALUE!</v>
          </cell>
          <cell r="I435" t="e">
            <v>#VALUE!</v>
          </cell>
          <cell r="J435" t="e">
            <v>#VALUE!</v>
          </cell>
          <cell r="K435" t="e">
            <v>#VALUE!</v>
          </cell>
          <cell r="M435" t="e">
            <v>#VALUE!</v>
          </cell>
          <cell r="N435" t="e">
            <v>#VALUE!</v>
          </cell>
          <cell r="O435" t="e">
            <v>#VALUE!</v>
          </cell>
          <cell r="P435" t="e">
            <v>#VALUE!</v>
          </cell>
          <cell r="Q435" t="e">
            <v>#VALUE!</v>
          </cell>
          <cell r="R435" t="e">
            <v>#VALUE!</v>
          </cell>
          <cell r="S435" t="e">
            <v>#VALUE!</v>
          </cell>
          <cell r="T435" t="e">
            <v>#VALUE!</v>
          </cell>
          <cell r="U435" t="e">
            <v>#VALUE!</v>
          </cell>
        </row>
        <row r="436">
          <cell r="B436" t="str">
            <v>FY1</v>
          </cell>
          <cell r="C436" t="e">
            <v>#VALUE!</v>
          </cell>
          <cell r="D436" t="e">
            <v>#VALUE!</v>
          </cell>
          <cell r="E436" t="e">
            <v>#VALUE!</v>
          </cell>
          <cell r="F436" t="e">
            <v>#VALUE!</v>
          </cell>
          <cell r="G436" t="e">
            <v>#VALUE!</v>
          </cell>
          <cell r="H436" t="e">
            <v>#VALUE!</v>
          </cell>
          <cell r="I436" t="e">
            <v>#VALUE!</v>
          </cell>
          <cell r="J436" t="e">
            <v>#VALUE!</v>
          </cell>
          <cell r="K436" t="e">
            <v>#VALUE!</v>
          </cell>
          <cell r="M436" t="e">
            <v>#VALUE!</v>
          </cell>
          <cell r="N436" t="e">
            <v>#VALUE!</v>
          </cell>
          <cell r="O436" t="e">
            <v>#VALUE!</v>
          </cell>
          <cell r="P436" t="e">
            <v>#VALUE!</v>
          </cell>
          <cell r="Q436" t="e">
            <v>#VALUE!</v>
          </cell>
          <cell r="R436" t="e">
            <v>#VALUE!</v>
          </cell>
          <cell r="S436" t="e">
            <v>#VALUE!</v>
          </cell>
          <cell r="T436" t="e">
            <v>#VALUE!</v>
          </cell>
          <cell r="U436" t="e">
            <v>#VALUE!</v>
          </cell>
        </row>
        <row r="437">
          <cell r="B437" t="str">
            <v>FY2</v>
          </cell>
          <cell r="C437" t="e">
            <v>#VALUE!</v>
          </cell>
          <cell r="D437" t="e">
            <v>#VALUE!</v>
          </cell>
          <cell r="E437" t="e">
            <v>#VALUE!</v>
          </cell>
          <cell r="F437" t="e">
            <v>#VALUE!</v>
          </cell>
          <cell r="G437" t="e">
            <v>#VALUE!</v>
          </cell>
          <cell r="H437" t="e">
            <v>#VALUE!</v>
          </cell>
          <cell r="I437" t="e">
            <v>#VALUE!</v>
          </cell>
          <cell r="J437" t="e">
            <v>#VALUE!</v>
          </cell>
          <cell r="K437" t="e">
            <v>#VALUE!</v>
          </cell>
          <cell r="M437" t="e">
            <v>#VALUE!</v>
          </cell>
          <cell r="N437" t="e">
            <v>#VALUE!</v>
          </cell>
          <cell r="O437" t="e">
            <v>#VALUE!</v>
          </cell>
          <cell r="P437" t="e">
            <v>#VALUE!</v>
          </cell>
          <cell r="Q437" t="e">
            <v>#VALUE!</v>
          </cell>
          <cell r="R437" t="e">
            <v>#VALUE!</v>
          </cell>
          <cell r="S437" t="e">
            <v>#VALUE!</v>
          </cell>
          <cell r="T437" t="e">
            <v>#VALUE!</v>
          </cell>
          <cell r="U437" t="e">
            <v>#VALUE!</v>
          </cell>
        </row>
        <row r="438">
          <cell r="B438" t="str">
            <v>FQ(3)</v>
          </cell>
          <cell r="C438" t="e">
            <v>#VALUE!</v>
          </cell>
          <cell r="D438" t="e">
            <v>#VALUE!</v>
          </cell>
          <cell r="E438" t="e">
            <v>#VALUE!</v>
          </cell>
          <cell r="F438" t="e">
            <v>#VALUE!</v>
          </cell>
          <cell r="G438" t="e">
            <v>#VALUE!</v>
          </cell>
          <cell r="H438" t="e">
            <v>#VALUE!</v>
          </cell>
          <cell r="I438" t="e">
            <v>#VALUE!</v>
          </cell>
          <cell r="J438" t="e">
            <v>#VALUE!</v>
          </cell>
          <cell r="K438" t="e">
            <v>#VALUE!</v>
          </cell>
          <cell r="M438" t="e">
            <v>#VALUE!</v>
          </cell>
          <cell r="N438" t="e">
            <v>#VALUE!</v>
          </cell>
          <cell r="O438" t="e">
            <v>#VALUE!</v>
          </cell>
          <cell r="P438" t="e">
            <v>#VALUE!</v>
          </cell>
          <cell r="Q438" t="e">
            <v>#VALUE!</v>
          </cell>
          <cell r="R438" t="e">
            <v>#VALUE!</v>
          </cell>
          <cell r="S438" t="e">
            <v>#VALUE!</v>
          </cell>
          <cell r="T438" t="e">
            <v>#VALUE!</v>
          </cell>
          <cell r="U438" t="e">
            <v>#VALUE!</v>
          </cell>
        </row>
        <row r="439">
          <cell r="B439" t="str">
            <v>FQ(2)</v>
          </cell>
          <cell r="C439" t="e">
            <v>#VALUE!</v>
          </cell>
          <cell r="D439" t="e">
            <v>#VALUE!</v>
          </cell>
          <cell r="E439" t="e">
            <v>#VALUE!</v>
          </cell>
          <cell r="F439" t="e">
            <v>#VALUE!</v>
          </cell>
          <cell r="G439" t="e">
            <v>#VALUE!</v>
          </cell>
          <cell r="H439" t="e">
            <v>#VALUE!</v>
          </cell>
          <cell r="I439" t="e">
            <v>#VALUE!</v>
          </cell>
          <cell r="J439" t="e">
            <v>#VALUE!</v>
          </cell>
          <cell r="K439" t="e">
            <v>#VALUE!</v>
          </cell>
          <cell r="M439" t="e">
            <v>#VALUE!</v>
          </cell>
          <cell r="N439" t="e">
            <v>#VALUE!</v>
          </cell>
          <cell r="O439" t="e">
            <v>#VALUE!</v>
          </cell>
          <cell r="P439" t="e">
            <v>#VALUE!</v>
          </cell>
          <cell r="Q439" t="e">
            <v>#VALUE!</v>
          </cell>
          <cell r="R439" t="e">
            <v>#VALUE!</v>
          </cell>
          <cell r="S439" t="e">
            <v>#VALUE!</v>
          </cell>
          <cell r="T439" t="e">
            <v>#VALUE!</v>
          </cell>
          <cell r="U439" t="e">
            <v>#VALUE!</v>
          </cell>
        </row>
        <row r="440">
          <cell r="B440" t="str">
            <v>FQ(1)</v>
          </cell>
          <cell r="C440" t="e">
            <v>#VALUE!</v>
          </cell>
          <cell r="D440" t="e">
            <v>#VALUE!</v>
          </cell>
          <cell r="E440" t="e">
            <v>#VALUE!</v>
          </cell>
          <cell r="F440" t="e">
            <v>#VALUE!</v>
          </cell>
          <cell r="G440" t="e">
            <v>#VALUE!</v>
          </cell>
          <cell r="H440" t="e">
            <v>#VALUE!</v>
          </cell>
          <cell r="I440" t="e">
            <v>#VALUE!</v>
          </cell>
          <cell r="J440" t="e">
            <v>#VALUE!</v>
          </cell>
          <cell r="K440" t="e">
            <v>#VALUE!</v>
          </cell>
          <cell r="M440" t="e">
            <v>#VALUE!</v>
          </cell>
          <cell r="N440" t="e">
            <v>#VALUE!</v>
          </cell>
          <cell r="O440" t="e">
            <v>#VALUE!</v>
          </cell>
          <cell r="P440" t="e">
            <v>#VALUE!</v>
          </cell>
          <cell r="Q440" t="e">
            <v>#VALUE!</v>
          </cell>
          <cell r="R440" t="e">
            <v>#VALUE!</v>
          </cell>
          <cell r="S440" t="e">
            <v>#VALUE!</v>
          </cell>
          <cell r="T440" t="e">
            <v>#VALUE!</v>
          </cell>
          <cell r="U440" t="e">
            <v>#VALUE!</v>
          </cell>
        </row>
        <row r="441">
          <cell r="A441" t="str">
            <v>mscalc:bookValuePerShareReported</v>
          </cell>
          <cell r="B441" t="str">
            <v>Last Reported Q</v>
          </cell>
          <cell r="C441" t="e">
            <v>#VALUE!</v>
          </cell>
          <cell r="D441" t="e">
            <v>#VALUE!</v>
          </cell>
          <cell r="E441" t="e">
            <v>#VALUE!</v>
          </cell>
          <cell r="F441" t="e">
            <v>#VALUE!</v>
          </cell>
          <cell r="G441" t="e">
            <v>#VALUE!</v>
          </cell>
          <cell r="H441" t="e">
            <v>#VALUE!</v>
          </cell>
          <cell r="I441" t="e">
            <v>#VALUE!</v>
          </cell>
          <cell r="J441" t="e">
            <v>#VALUE!</v>
          </cell>
          <cell r="K441" t="e">
            <v>#VALUE!</v>
          </cell>
          <cell r="M441" t="e">
            <v>#VALUE!</v>
          </cell>
          <cell r="N441" t="e">
            <v>#VALUE!</v>
          </cell>
          <cell r="O441" t="e">
            <v>#VALUE!</v>
          </cell>
          <cell r="P441" t="e">
            <v>#VALUE!</v>
          </cell>
          <cell r="Q441" t="e">
            <v>#VALUE!</v>
          </cell>
          <cell r="R441" t="e">
            <v>#VALUE!</v>
          </cell>
          <cell r="S441" t="e">
            <v>#VALUE!</v>
          </cell>
          <cell r="T441" t="e">
            <v>#VALUE!</v>
          </cell>
          <cell r="U441" t="e">
            <v>#VALUE!</v>
          </cell>
        </row>
        <row r="442">
          <cell r="B442" t="str">
            <v>LTM</v>
          </cell>
          <cell r="C442" t="e">
            <v>#VALUE!</v>
          </cell>
          <cell r="D442" t="e">
            <v>#VALUE!</v>
          </cell>
          <cell r="E442" t="e">
            <v>#VALUE!</v>
          </cell>
          <cell r="F442" t="e">
            <v>#VALUE!</v>
          </cell>
          <cell r="G442" t="e">
            <v>#VALUE!</v>
          </cell>
          <cell r="H442" t="e">
            <v>#VALUE!</v>
          </cell>
          <cell r="I442" t="e">
            <v>#VALUE!</v>
          </cell>
          <cell r="J442" t="e">
            <v>#VALUE!</v>
          </cell>
          <cell r="K442" t="e">
            <v>#VALUE!</v>
          </cell>
          <cell r="M442" t="e">
            <v>#VALUE!</v>
          </cell>
          <cell r="N442" t="e">
            <v>#VALUE!</v>
          </cell>
          <cell r="O442" t="e">
            <v>#VALUE!</v>
          </cell>
          <cell r="P442" t="e">
            <v>#VALUE!</v>
          </cell>
          <cell r="Q442" t="e">
            <v>#VALUE!</v>
          </cell>
          <cell r="R442" t="e">
            <v>#VALUE!</v>
          </cell>
          <cell r="S442" t="e">
            <v>#VALUE!</v>
          </cell>
          <cell r="T442" t="e">
            <v>#VALUE!</v>
          </cell>
          <cell r="U442" t="e">
            <v>#VALUE!</v>
          </cell>
        </row>
        <row r="443">
          <cell r="B443" t="str">
            <v>LTM Cash to Sales</v>
          </cell>
          <cell r="C443">
            <v>7.9023345533761155E-2</v>
          </cell>
          <cell r="D443">
            <v>0.10171530997194646</v>
          </cell>
          <cell r="E443">
            <v>4.3097830253775969E-2</v>
          </cell>
          <cell r="F443">
            <v>5.6859075392310082E-2</v>
          </cell>
          <cell r="G443">
            <v>3.6973723411650533E-2</v>
          </cell>
          <cell r="H443">
            <v>6.2154737662979645E-2</v>
          </cell>
          <cell r="I443">
            <v>5.039334442834939E-2</v>
          </cell>
          <cell r="J443">
            <v>6.1459623807824756E-2</v>
          </cell>
          <cell r="K443">
            <v>6.408588758018148E-2</v>
          </cell>
          <cell r="M443">
            <v>0.14784269805938441</v>
          </cell>
          <cell r="N443">
            <v>9.4802007709936922E-2</v>
          </cell>
          <cell r="O443">
            <v>0.13947269737814</v>
          </cell>
          <cell r="P443">
            <v>0.32988509699846741</v>
          </cell>
          <cell r="Q443">
            <v>0.10658167066810167</v>
          </cell>
          <cell r="R443">
            <v>0.12705432662757407</v>
          </cell>
          <cell r="S443">
            <v>0.15257532618810868</v>
          </cell>
          <cell r="T443">
            <v>0.15688768908995904</v>
          </cell>
          <cell r="U443">
            <v>0.13241625323602554</v>
          </cell>
        </row>
        <row r="444">
          <cell r="B444" t="str">
            <v>FY2</v>
          </cell>
          <cell r="C444">
            <v>28.941094679444198</v>
          </cell>
          <cell r="D444">
            <v>21.266051315025202</v>
          </cell>
          <cell r="E444">
            <v>13.083380297252999</v>
          </cell>
          <cell r="F444">
            <v>8.1142551074679794</v>
          </cell>
          <cell r="G444">
            <v>6.3740220739144702</v>
          </cell>
          <cell r="H444">
            <v>11.257598977178199</v>
          </cell>
          <cell r="I444">
            <v>9.1456806254300105</v>
          </cell>
          <cell r="M444">
            <v>20.9365909688578</v>
          </cell>
          <cell r="N444">
            <v>8.6045504321921999</v>
          </cell>
          <cell r="O444">
            <v>7.6901666904003703</v>
          </cell>
          <cell r="P444">
            <v>7.6203246194170697</v>
          </cell>
          <cell r="Q444">
            <v>7.6048157398120697</v>
          </cell>
          <cell r="R444">
            <v>6.9148812185110096</v>
          </cell>
          <cell r="S444">
            <v>9.2979721334564491</v>
          </cell>
        </row>
        <row r="446">
          <cell r="A446" t="str">
            <v>Free Cash Flow</v>
          </cell>
          <cell r="B446" t="str">
            <v>Unadjusted Net Debt/EBITDA</v>
          </cell>
        </row>
        <row r="447">
          <cell r="B447" t="str">
            <v>FY(2)</v>
          </cell>
          <cell r="C447">
            <v>0.62078151143528393</v>
          </cell>
          <cell r="D447">
            <v>0.50947547885808486</v>
          </cell>
          <cell r="E447">
            <v>2.7332712369597605</v>
          </cell>
          <cell r="F447">
            <v>1.4439160584488901</v>
          </cell>
          <cell r="G447">
            <v>1.7425698693100762</v>
          </cell>
          <cell r="H447">
            <v>-0.20981930268185092</v>
          </cell>
          <cell r="I447">
            <v>5.6035635454484554E-2</v>
          </cell>
          <cell r="J447">
            <v>0.98517578396924699</v>
          </cell>
          <cell r="K447">
            <v>1.1914891141070827</v>
          </cell>
          <cell r="M447">
            <v>-0.54240651967537545</v>
          </cell>
          <cell r="N447">
            <v>-0.9664881964356703</v>
          </cell>
          <cell r="O447">
            <v>-0.68344732314628698</v>
          </cell>
          <cell r="P447">
            <v>-0.64769185801892226</v>
          </cell>
          <cell r="Q447">
            <v>-0.805379746835443</v>
          </cell>
          <cell r="R447">
            <v>1.427097651690326</v>
          </cell>
          <cell r="S447">
            <v>-1.240780168292865</v>
          </cell>
          <cell r="T447">
            <v>-0.49415659438774812</v>
          </cell>
          <cell r="U447">
            <v>-0.32763191811526549</v>
          </cell>
        </row>
        <row r="448">
          <cell r="A448" t="str">
            <v>mstag:interestExpense</v>
          </cell>
          <cell r="B448" t="str">
            <v>FY(1)</v>
          </cell>
          <cell r="C448">
            <v>0.67077162805166402</v>
          </cell>
          <cell r="D448">
            <v>0.72184631302404723</v>
          </cell>
          <cell r="E448">
            <v>3.1364443198804186</v>
          </cell>
          <cell r="F448">
            <v>2.257018580946883</v>
          </cell>
          <cell r="G448">
            <v>25.080237511960661</v>
          </cell>
          <cell r="H448">
            <v>-0.27210060477062714</v>
          </cell>
          <cell r="I448">
            <v>0.1775128590615169</v>
          </cell>
          <cell r="J448">
            <v>4.5388186583077941</v>
          </cell>
          <cell r="K448">
            <v>1.4264821229894211</v>
          </cell>
          <cell r="M448">
            <v>-0.58221308880625289</v>
          </cell>
          <cell r="N448">
            <v>-0.77712260942898337</v>
          </cell>
          <cell r="O448">
            <v>-0.9291879730006114</v>
          </cell>
          <cell r="P448">
            <v>-0.5438097150397716</v>
          </cell>
          <cell r="Q448">
            <v>-0.78686200378071836</v>
          </cell>
          <cell r="R448">
            <v>1.6253095151051484</v>
          </cell>
          <cell r="S448">
            <v>-0.95961812766135968</v>
          </cell>
          <cell r="T448">
            <v>-0.42192914323036412</v>
          </cell>
          <cell r="U448">
            <v>-0.32758825241373812</v>
          </cell>
        </row>
        <row r="449">
          <cell r="A449">
            <v>0.38</v>
          </cell>
          <cell r="B449" t="str">
            <v>FY0</v>
          </cell>
          <cell r="C449">
            <v>-8.5944095238591922E-2</v>
          </cell>
          <cell r="D449">
            <v>0.33228931309093246</v>
          </cell>
          <cell r="E449">
            <v>2.6319913663663663</v>
          </cell>
          <cell r="F449">
            <v>1.5852490873946661</v>
          </cell>
          <cell r="G449">
            <v>3.1011487412602823</v>
          </cell>
          <cell r="H449">
            <v>-0.70044497353600743</v>
          </cell>
          <cell r="I449">
            <v>-0.40023585169619963</v>
          </cell>
          <cell r="J449">
            <v>0.92343622680592119</v>
          </cell>
          <cell r="K449">
            <v>0.72760479731418182</v>
          </cell>
          <cell r="M449">
            <v>-1.6626117758933967</v>
          </cell>
          <cell r="N449">
            <v>-0.79045318475366411</v>
          </cell>
          <cell r="O449">
            <v>-1.6639704751499984</v>
          </cell>
          <cell r="P449">
            <v>-0.68306905061195133</v>
          </cell>
          <cell r="Q449">
            <v>-1.0800335570469799</v>
          </cell>
          <cell r="R449">
            <v>0.75362110728915033</v>
          </cell>
          <cell r="S449">
            <v>-1.164446584097903</v>
          </cell>
          <cell r="T449">
            <v>-0.89870907432353486</v>
          </cell>
          <cell r="U449">
            <v>-0.71814415664016296</v>
          </cell>
        </row>
        <row r="450">
          <cell r="A450" t="str">
            <v>mstag:otherInterestIncomeExpense</v>
          </cell>
          <cell r="B450" t="str">
            <v>FY1</v>
          </cell>
          <cell r="C450">
            <v>-0.29347322790041919</v>
          </cell>
          <cell r="D450">
            <v>7.7651652985500877E-2</v>
          </cell>
          <cell r="E450">
            <v>1.9649120143593546</v>
          </cell>
          <cell r="F450">
            <v>1.1529866140968601</v>
          </cell>
          <cell r="G450">
            <v>2.0346107878341644</v>
          </cell>
          <cell r="H450">
            <v>-0.69838146213609853</v>
          </cell>
          <cell r="I450">
            <v>-0.53190963134538816</v>
          </cell>
          <cell r="J450">
            <v>0.52948524969913913</v>
          </cell>
          <cell r="K450">
            <v>0.39279981275510029</v>
          </cell>
          <cell r="M450">
            <v>-1.1292800002243304</v>
          </cell>
          <cell r="N450">
            <v>-0.86757976902155665</v>
          </cell>
          <cell r="O450">
            <v>-1.4092416602410212</v>
          </cell>
          <cell r="P450">
            <v>-0.75571377482459823</v>
          </cell>
          <cell r="Q450">
            <v>-1.0660872466694959</v>
          </cell>
          <cell r="R450">
            <v>0.68962386469426917</v>
          </cell>
          <cell r="S450">
            <v>-1.3637223498551692</v>
          </cell>
          <cell r="T450">
            <v>-0.84314299087741451</v>
          </cell>
          <cell r="U450">
            <v>-0.70005820169220656</v>
          </cell>
        </row>
        <row r="451">
          <cell r="B451" t="str">
            <v>FY2</v>
          </cell>
          <cell r="C451">
            <v>-0.43416188163660691</v>
          </cell>
          <cell r="D451">
            <v>9.8753220072346718E-3</v>
          </cell>
          <cell r="E451">
            <v>1.4421016561144622</v>
          </cell>
          <cell r="F451">
            <v>1.0807115726483665</v>
          </cell>
          <cell r="G451">
            <v>1.0683170055444</v>
          </cell>
          <cell r="H451">
            <v>-0.7850937435673967</v>
          </cell>
          <cell r="I451">
            <v>-0.68827364540108127</v>
          </cell>
          <cell r="J451">
            <v>0.24192518367276833</v>
          </cell>
          <cell r="K451">
            <v>0.15786955309226858</v>
          </cell>
          <cell r="M451">
            <v>-0.7622956319381099</v>
          </cell>
          <cell r="N451">
            <v>-0.94282809885546814</v>
          </cell>
          <cell r="O451">
            <v>-1.4465272382161611</v>
          </cell>
          <cell r="P451">
            <v>-0.81885096688786108</v>
          </cell>
          <cell r="Q451">
            <v>-1.0105684999347193</v>
          </cell>
          <cell r="R451">
            <v>0.41411327334332276</v>
          </cell>
          <cell r="S451">
            <v>-1.4656395262537882</v>
          </cell>
          <cell r="T451">
            <v>-0.86179952696325501</v>
          </cell>
          <cell r="U451">
            <v>-0.73849245633532801</v>
          </cell>
        </row>
        <row r="452">
          <cell r="B452" t="str">
            <v>FQ(3)</v>
          </cell>
          <cell r="C452">
            <v>3.0085271348367471</v>
          </cell>
          <cell r="D452">
            <v>6.0503231175190271</v>
          </cell>
          <cell r="E452">
            <v>26.174694189602434</v>
          </cell>
          <cell r="F452">
            <v>10.871662346375254</v>
          </cell>
          <cell r="G452">
            <v>17.437011848518488</v>
          </cell>
          <cell r="H452">
            <v>-1.647181635317595</v>
          </cell>
          <cell r="I452">
            <v>0.27588930739343676</v>
          </cell>
          <cell r="J452">
            <v>8.8815609012753978</v>
          </cell>
          <cell r="K452">
            <v>7.5819974592705446</v>
          </cell>
          <cell r="M452">
            <v>-14.099647959415011</v>
          </cell>
          <cell r="N452">
            <v>-3.6489189348415225</v>
          </cell>
          <cell r="O452">
            <v>-6.013655276559513</v>
          </cell>
          <cell r="P452">
            <v>-2.2825822645801468</v>
          </cell>
          <cell r="Q452">
            <v>-3.443548387096774</v>
          </cell>
          <cell r="R452">
            <v>13.056873820441924</v>
          </cell>
          <cell r="S452">
            <v>-4.36336314323413</v>
          </cell>
          <cell r="T452">
            <v>-2.9706917350407389</v>
          </cell>
          <cell r="U452">
            <v>-1.4128705561223336</v>
          </cell>
        </row>
        <row r="453">
          <cell r="B453" t="str">
            <v>FQ(2)</v>
          </cell>
          <cell r="C453">
            <v>1.3172055927366482</v>
          </cell>
          <cell r="D453">
            <v>5.744633109357979</v>
          </cell>
          <cell r="E453">
            <v>14.080831903945105</v>
          </cell>
          <cell r="F453">
            <v>7.4520447297242329</v>
          </cell>
          <cell r="G453">
            <v>-18.499250645089607</v>
          </cell>
          <cell r="H453">
            <v>-1.7753591940292801</v>
          </cell>
          <cell r="I453">
            <v>-0.40571156746794457</v>
          </cell>
          <cell r="J453">
            <v>1.1306277041681621</v>
          </cell>
          <cell r="K453">
            <v>5.2628443477421527</v>
          </cell>
          <cell r="M453">
            <v>-5.9842932561504849</v>
          </cell>
          <cell r="N453">
            <v>-3.1594434218486533</v>
          </cell>
          <cell r="O453">
            <v>-5.5694236939430306</v>
          </cell>
          <cell r="P453">
            <v>-3.0584028890536437</v>
          </cell>
          <cell r="Q453">
            <v>-4.1298449612403099</v>
          </cell>
          <cell r="R453">
            <v>7.1867121795963538</v>
          </cell>
          <cell r="S453">
            <v>-2.8464965892512124</v>
          </cell>
          <cell r="T453">
            <v>-2.508741804555854</v>
          </cell>
          <cell r="U453">
            <v>-1.9454326807327575</v>
          </cell>
        </row>
        <row r="454">
          <cell r="B454" t="str">
            <v>FQ(1)</v>
          </cell>
          <cell r="C454">
            <v>1.104790668417178</v>
          </cell>
          <cell r="D454">
            <v>5.49126532417087</v>
          </cell>
          <cell r="E454">
            <v>21.133997429305904</v>
          </cell>
          <cell r="F454">
            <v>8.4915565866202467</v>
          </cell>
          <cell r="G454">
            <v>10.384681336255451</v>
          </cell>
          <cell r="H454">
            <v>-2.0104459856350783</v>
          </cell>
          <cell r="I454">
            <v>-0.65665224296477831</v>
          </cell>
          <cell r="J454">
            <v>6.2770275880242554</v>
          </cell>
          <cell r="K454">
            <v>5.1046925747801914</v>
          </cell>
          <cell r="M454">
            <v>-4.5012933746679629</v>
          </cell>
          <cell r="N454">
            <v>-2.4062692357603508</v>
          </cell>
          <cell r="O454">
            <v>-4.3599790377974719</v>
          </cell>
          <cell r="P454">
            <v>-3.778039723022129</v>
          </cell>
          <cell r="Q454">
            <v>-3.7063369397217927</v>
          </cell>
          <cell r="R454">
            <v>12.929730062658297</v>
          </cell>
          <cell r="S454">
            <v>-3.5044685858831217</v>
          </cell>
          <cell r="T454">
            <v>-1.3323795477420757</v>
          </cell>
          <cell r="U454">
            <v>-2.0644451787323024</v>
          </cell>
        </row>
        <row r="455">
          <cell r="B455" t="str">
            <v>Last Reported Q</v>
          </cell>
          <cell r="C455">
            <v>-8.5944095238591922E-2</v>
          </cell>
          <cell r="D455">
            <v>0.33228931309093246</v>
          </cell>
          <cell r="E455">
            <v>2.6319913663663663</v>
          </cell>
          <cell r="F455">
            <v>1.5852490873946661</v>
          </cell>
          <cell r="G455">
            <v>3.1011487412602823</v>
          </cell>
          <cell r="H455">
            <v>-0.70044497353600743</v>
          </cell>
          <cell r="I455">
            <v>-0.40023585169619963</v>
          </cell>
          <cell r="J455">
            <v>0.92343622680592119</v>
          </cell>
          <cell r="K455">
            <v>0.72760479731418182</v>
          </cell>
          <cell r="M455">
            <v>-1.6626117758933967</v>
          </cell>
          <cell r="N455">
            <v>-0.79045318475366411</v>
          </cell>
          <cell r="O455">
            <v>-1.6639704751499984</v>
          </cell>
          <cell r="P455">
            <v>-2.6366528895301915</v>
          </cell>
          <cell r="Q455">
            <v>-1.0800335570469799</v>
          </cell>
          <cell r="R455">
            <v>0.75362110728915033</v>
          </cell>
          <cell r="S455">
            <v>-1.164446584097903</v>
          </cell>
          <cell r="T455">
            <v>-1.1777924798832833</v>
          </cell>
          <cell r="U455">
            <v>-0.86342639624357287</v>
          </cell>
        </row>
        <row r="456">
          <cell r="B456" t="str">
            <v>LTM</v>
          </cell>
          <cell r="C456">
            <v>-5.3089225005100674E-2</v>
          </cell>
          <cell r="D456">
            <v>0.21353552972214196</v>
          </cell>
          <cell r="E456">
            <v>1.7692720161493818</v>
          </cell>
          <cell r="F456">
            <v>0.95447805944445252</v>
          </cell>
          <cell r="G456">
            <v>2.1243335723577608</v>
          </cell>
          <cell r="H456">
            <v>-0.4146301889013202</v>
          </cell>
          <cell r="I456">
            <v>-0.23730896873519447</v>
          </cell>
          <cell r="J456">
            <v>0.62237011357601735</v>
          </cell>
          <cell r="K456">
            <v>0.45379983425291787</v>
          </cell>
          <cell r="M456">
            <v>-1.098586120753511</v>
          </cell>
          <cell r="N456">
            <v>-0.49336964078807161</v>
          </cell>
          <cell r="O456">
            <v>-1.0245786743692473</v>
          </cell>
          <cell r="P456">
            <v>-0.94085968017258526</v>
          </cell>
          <cell r="Q456">
            <v>-0.6368538214197379</v>
          </cell>
          <cell r="R456">
            <v>0.52379054058678198</v>
          </cell>
          <cell r="S456">
            <v>-0.69681914283811763</v>
          </cell>
          <cell r="T456">
            <v>-0.62389664853635551</v>
          </cell>
          <cell r="U456">
            <v>-0.50978328158630037</v>
          </cell>
        </row>
        <row r="457">
          <cell r="B457" t="str">
            <v>FY1</v>
          </cell>
          <cell r="C457">
            <v>3.8862183909618229E-2</v>
          </cell>
          <cell r="D457">
            <v>-2.7339277114496467E-3</v>
          </cell>
          <cell r="E457">
            <v>3.5223782244625912E-2</v>
          </cell>
          <cell r="F457">
            <v>2.6424387208056593E-2</v>
          </cell>
          <cell r="G457">
            <v>-1.8071537178470622E-2</v>
          </cell>
          <cell r="H457">
            <v>5.3285963374375404E-2</v>
          </cell>
          <cell r="I457">
            <v>4.6996767941554794E-2</v>
          </cell>
          <cell r="J457">
            <v>2.5712517112615813E-2</v>
          </cell>
          <cell r="K457">
            <v>3.0552783656178185E-2</v>
          </cell>
          <cell r="M457">
            <v>1.7558553174681878E-2</v>
          </cell>
          <cell r="N457">
            <v>9.4733747506953347E-2</v>
          </cell>
          <cell r="O457">
            <v>3.927450676946953E-2</v>
          </cell>
          <cell r="P457">
            <v>0.18632383464964566</v>
          </cell>
          <cell r="Q457">
            <v>7.601987728838501E-2</v>
          </cell>
          <cell r="R457">
            <v>3.9489732823429061E-2</v>
          </cell>
          <cell r="S457">
            <v>7.0273028870299736E-2</v>
          </cell>
          <cell r="T457">
            <v>7.4810468726123444E-2</v>
          </cell>
          <cell r="U457">
            <v>7.1133632257864343E-2</v>
          </cell>
        </row>
        <row r="458">
          <cell r="A458" t="str">
            <v>mstag:rentalPaymentOnCapitalizedOperatingLeasesLessee</v>
          </cell>
          <cell r="B458" t="str">
            <v>Rent Payments</v>
          </cell>
          <cell r="C458">
            <v>4.0399164926698122E-2</v>
          </cell>
          <cell r="D458">
            <v>1.6931586348310497E-2</v>
          </cell>
          <cell r="E458">
            <v>2.9456136212050146E-2</v>
          </cell>
          <cell r="F458">
            <v>2.0077868758461886E-2</v>
          </cell>
          <cell r="G458">
            <v>2.2569207819594437E-4</v>
          </cell>
          <cell r="H458">
            <v>4.4593896192770086E-2</v>
          </cell>
          <cell r="I458">
            <v>4.9015164653234404E-2</v>
          </cell>
          <cell r="J458">
            <v>2.8671358452817299E-2</v>
          </cell>
          <cell r="K458">
            <v>3.3086860119727286E-2</v>
          </cell>
          <cell r="M458">
            <v>1.3331044461962222E-2</v>
          </cell>
          <cell r="N458">
            <v>8.085394256907405E-2</v>
          </cell>
          <cell r="O458">
            <v>5.1174560505937175E-2</v>
          </cell>
          <cell r="P458">
            <v>0.18148861674681205</v>
          </cell>
          <cell r="Q458">
            <v>7.2415679205012184E-2</v>
          </cell>
          <cell r="R458">
            <v>4.2100436438037216E-2</v>
          </cell>
          <cell r="S458">
            <v>7.2374325816125115E-2</v>
          </cell>
          <cell r="T458">
            <v>7.3391229391851429E-2</v>
          </cell>
          <cell r="U458">
            <v>6.9928491080842994E-2</v>
          </cell>
        </row>
        <row r="459">
          <cell r="B459" t="str">
            <v>FY(2)</v>
          </cell>
          <cell r="C459">
            <v>413.3</v>
          </cell>
          <cell r="D459">
            <v>210</v>
          </cell>
          <cell r="E459">
            <v>221</v>
          </cell>
          <cell r="F459">
            <v>81</v>
          </cell>
          <cell r="G459">
            <v>87.075000000000003</v>
          </cell>
          <cell r="H459">
            <v>301.58199999999999</v>
          </cell>
          <cell r="I459">
            <v>886.9</v>
          </cell>
          <cell r="J459">
            <v>314.40814285714288</v>
          </cell>
          <cell r="K459">
            <v>2200.857</v>
          </cell>
          <cell r="M459">
            <v>231.65299999999999</v>
          </cell>
          <cell r="N459">
            <v>77.64</v>
          </cell>
          <cell r="O459">
            <v>167.05099999999999</v>
          </cell>
          <cell r="P459">
            <v>107.458</v>
          </cell>
          <cell r="Q459">
            <v>970</v>
          </cell>
          <cell r="R459">
            <v>441</v>
          </cell>
          <cell r="S459">
            <v>100.02</v>
          </cell>
          <cell r="T459">
            <v>299.26028571428571</v>
          </cell>
          <cell r="U459">
            <v>2094.8220000000001</v>
          </cell>
        </row>
        <row r="460">
          <cell r="B460" t="str">
            <v>FY(1)</v>
          </cell>
          <cell r="C460">
            <v>445</v>
          </cell>
          <cell r="D460">
            <v>217</v>
          </cell>
          <cell r="E460">
            <v>230</v>
          </cell>
          <cell r="F460">
            <v>76</v>
          </cell>
          <cell r="G460">
            <v>83.682000000000002</v>
          </cell>
          <cell r="H460">
            <v>325.89999999999998</v>
          </cell>
          <cell r="I460">
            <v>928.3</v>
          </cell>
          <cell r="J460">
            <v>329.41171428571425</v>
          </cell>
          <cell r="K460">
            <v>2305.8819999999996</v>
          </cell>
          <cell r="M460">
            <v>280.61399999999998</v>
          </cell>
          <cell r="N460">
            <v>88.031000000000006</v>
          </cell>
          <cell r="O460">
            <v>197.82</v>
          </cell>
          <cell r="P460">
            <v>132.96899999999999</v>
          </cell>
          <cell r="Q460">
            <v>992</v>
          </cell>
          <cell r="R460">
            <v>391</v>
          </cell>
          <cell r="S460">
            <v>112.907</v>
          </cell>
          <cell r="T460">
            <v>313.62014285714292</v>
          </cell>
          <cell r="U460">
            <v>2195.3410000000003</v>
          </cell>
        </row>
        <row r="461">
          <cell r="B461" t="str">
            <v>FY0</v>
          </cell>
          <cell r="C461">
            <v>496</v>
          </cell>
          <cell r="D461">
            <v>231</v>
          </cell>
          <cell r="E461">
            <v>230</v>
          </cell>
          <cell r="F461">
            <v>89</v>
          </cell>
          <cell r="G461">
            <v>88.454999999999998</v>
          </cell>
          <cell r="H461">
            <v>336.5</v>
          </cell>
          <cell r="I461">
            <v>949</v>
          </cell>
          <cell r="J461">
            <v>345.70785714285711</v>
          </cell>
          <cell r="K461">
            <v>2419.9549999999999</v>
          </cell>
          <cell r="M461">
            <v>301.13799999999998</v>
          </cell>
          <cell r="N461">
            <v>97.888999999999996</v>
          </cell>
          <cell r="O461">
            <v>229.428</v>
          </cell>
          <cell r="P461">
            <v>151.267</v>
          </cell>
          <cell r="Q461">
            <v>973</v>
          </cell>
          <cell r="R461">
            <v>407</v>
          </cell>
          <cell r="S461">
            <v>127.434109734499</v>
          </cell>
          <cell r="T461">
            <v>326.73658710492839</v>
          </cell>
          <cell r="U461">
            <v>2287.1561097344988</v>
          </cell>
        </row>
        <row r="462">
          <cell r="B462" t="str">
            <v>FY1</v>
          </cell>
          <cell r="C462">
            <v>518.56303309414204</v>
          </cell>
          <cell r="D462">
            <v>236.036967509025</v>
          </cell>
          <cell r="E462">
            <v>235.41176470588201</v>
          </cell>
          <cell r="F462">
            <v>94.618556360602398</v>
          </cell>
          <cell r="G462">
            <v>90.912720945319705</v>
          </cell>
          <cell r="H462">
            <v>357.93168758199101</v>
          </cell>
          <cell r="I462">
            <v>970.16158569428001</v>
          </cell>
          <cell r="J462">
            <v>357.66233084160604</v>
          </cell>
          <cell r="K462">
            <v>2503.6363158912422</v>
          </cell>
          <cell r="M462">
            <v>318.11697719272098</v>
          </cell>
          <cell r="N462">
            <v>105.26366844444399</v>
          </cell>
          <cell r="O462">
            <v>234.19916455511199</v>
          </cell>
          <cell r="P462">
            <v>166.354913589744</v>
          </cell>
          <cell r="Q462">
            <v>967.79732534490495</v>
          </cell>
          <cell r="R462">
            <v>457.30408312233999</v>
          </cell>
          <cell r="S462">
            <v>146.22090008927199</v>
          </cell>
          <cell r="T462">
            <v>342.17957604836266</v>
          </cell>
          <cell r="U462">
            <v>2395.2570323385385</v>
          </cell>
        </row>
        <row r="463">
          <cell r="B463" t="str">
            <v>FY2</v>
          </cell>
          <cell r="C463">
            <v>552.77130938437199</v>
          </cell>
          <cell r="D463">
            <v>241.82093644258001</v>
          </cell>
          <cell r="E463">
            <v>239.98217166756399</v>
          </cell>
          <cell r="F463">
            <v>100.17534986731199</v>
          </cell>
          <cell r="G463">
            <v>96.459784775814597</v>
          </cell>
          <cell r="H463">
            <v>383.82128500347801</v>
          </cell>
          <cell r="I463">
            <v>986.94424197336195</v>
          </cell>
          <cell r="J463">
            <v>371.7107255877832</v>
          </cell>
          <cell r="K463">
            <v>2601.9750791144825</v>
          </cell>
          <cell r="M463">
            <v>353.83675694878099</v>
          </cell>
          <cell r="N463">
            <v>117.765877715481</v>
          </cell>
          <cell r="O463">
            <v>253.48517768534199</v>
          </cell>
          <cell r="P463">
            <v>179.71223459268501</v>
          </cell>
          <cell r="Q463">
            <v>953.87523311373502</v>
          </cell>
          <cell r="R463">
            <v>472.39043594442302</v>
          </cell>
          <cell r="S463">
            <v>166.065647668351</v>
          </cell>
          <cell r="T463">
            <v>356.73305195268546</v>
          </cell>
          <cell r="U463">
            <v>2497.1313636687983</v>
          </cell>
        </row>
        <row r="464">
          <cell r="B464" t="str">
            <v>FY1</v>
          </cell>
          <cell r="C464">
            <v>2.1678220019136387</v>
          </cell>
          <cell r="D464">
            <v>-0.20556202869745732</v>
          </cell>
          <cell r="E464">
            <v>1.946659427655937</v>
          </cell>
          <cell r="F464">
            <v>0.97354893957990185</v>
          </cell>
          <cell r="G464">
            <v>-0.32022714107024319</v>
          </cell>
          <cell r="H464">
            <v>3.0324798233633263</v>
          </cell>
          <cell r="I464">
            <v>2.1899111206141724</v>
          </cell>
          <cell r="M464">
            <v>0.59076362179338449</v>
          </cell>
          <cell r="N464">
            <v>3.0549856965789917</v>
          </cell>
          <cell r="O464">
            <v>0.55397571895375231</v>
          </cell>
          <cell r="P464">
            <v>2.0205286121042589</v>
          </cell>
          <cell r="Q464">
            <v>1.5531511857589593</v>
          </cell>
          <cell r="R464">
            <v>1.0250297702777731</v>
          </cell>
          <cell r="S464">
            <v>0.79672676486813154</v>
          </cell>
        </row>
        <row r="465">
          <cell r="B465" t="str">
            <v>Adjusted Net Debt/EBITDAR (includes Rent capitalized at 8x)</v>
          </cell>
          <cell r="C465">
            <v>2.4259351333438075</v>
          </cell>
          <cell r="D465">
            <v>1.2413658361277</v>
          </cell>
          <cell r="E465">
            <v>1.6008639174988561</v>
          </cell>
          <cell r="F465">
            <v>0.76128900106267405</v>
          </cell>
          <cell r="G465">
            <v>3.6556641974695874E-3</v>
          </cell>
          <cell r="H465">
            <v>2.7280154257731373</v>
          </cell>
          <cell r="I465">
            <v>2.5010561968072311</v>
          </cell>
          <cell r="M465">
            <v>0.51679513609987526</v>
          </cell>
          <cell r="N465">
            <v>3.0815192419646067</v>
          </cell>
          <cell r="O465">
            <v>0.75955113998499157</v>
          </cell>
          <cell r="P465">
            <v>2.1733260926685545</v>
          </cell>
          <cell r="Q465">
            <v>1.5555110393579679</v>
          </cell>
          <cell r="R465">
            <v>1.119845743374736</v>
          </cell>
          <cell r="S465">
            <v>0.95223954907340669</v>
          </cell>
        </row>
        <row r="466">
          <cell r="B466" t="str">
            <v>FY(2)</v>
          </cell>
          <cell r="C466">
            <v>1.7630403134292154</v>
          </cell>
          <cell r="D466">
            <v>1.1341816541717473</v>
          </cell>
          <cell r="E466">
            <v>3.0587597874720349</v>
          </cell>
          <cell r="F466">
            <v>1.7837177731034912</v>
          </cell>
          <cell r="G466">
            <v>3.2662010966582922</v>
          </cell>
          <cell r="H466">
            <v>2.7259358859435694</v>
          </cell>
          <cell r="I466">
            <v>2.6520141454465453</v>
          </cell>
          <cell r="J466">
            <v>2.3405500937464141</v>
          </cell>
          <cell r="K466">
            <v>2.2436432720862096</v>
          </cell>
          <cell r="M466">
            <v>1.1145547912933007</v>
          </cell>
          <cell r="N466">
            <v>1.2499124465924214</v>
          </cell>
          <cell r="O466">
            <v>0.97433969250602104</v>
          </cell>
          <cell r="P466">
            <v>0.13865886124043997</v>
          </cell>
          <cell r="Q466">
            <v>2.1748080949057922</v>
          </cell>
          <cell r="R466">
            <v>3.1794784845342146</v>
          </cell>
          <cell r="S466">
            <v>1.0992323700826874</v>
          </cell>
          <cell r="T466">
            <v>1.418712105879268</v>
          </cell>
          <cell r="U466">
            <v>1.7294953910912045</v>
          </cell>
        </row>
        <row r="467">
          <cell r="B467" t="str">
            <v>FY(1)</v>
          </cell>
          <cell r="C467">
            <v>1.9634987696449357</v>
          </cell>
          <cell r="D467">
            <v>1.5921080102834659</v>
          </cell>
          <cell r="E467">
            <v>3.5213781830695114</v>
          </cell>
          <cell r="F467">
            <v>2.6340789332320407</v>
          </cell>
          <cell r="G467">
            <v>11.924217205587883</v>
          </cell>
          <cell r="H467">
            <v>2.5402353666684365</v>
          </cell>
          <cell r="I467">
            <v>2.8040238749093813</v>
          </cell>
          <cell r="J467">
            <v>3.8542200490565222</v>
          </cell>
          <cell r="K467">
            <v>2.6655393954503377</v>
          </cell>
          <cell r="M467">
            <v>1.8125081650204506</v>
          </cell>
          <cell r="N467">
            <v>1.2449993849825833</v>
          </cell>
          <cell r="O467">
            <v>1.8401580358402727</v>
          </cell>
          <cell r="P467">
            <v>0.26025301117841149</v>
          </cell>
          <cell r="Q467">
            <v>2.0176962676962678</v>
          </cell>
          <cell r="R467">
            <v>3.3424457701446935</v>
          </cell>
          <cell r="S467">
            <v>1.0869568735825657</v>
          </cell>
          <cell r="T467">
            <v>1.6578596440636062</v>
          </cell>
          <cell r="U467">
            <v>1.8251633583838809</v>
          </cell>
        </row>
        <row r="468">
          <cell r="B468" t="str">
            <v>FY0</v>
          </cell>
          <cell r="C468">
            <v>1.3479594697375761</v>
          </cell>
          <cell r="D468">
            <v>1.6074809392075593</v>
          </cell>
          <cell r="E468">
            <v>3.0586126468555634</v>
          </cell>
          <cell r="F468">
            <v>2.047152672525633</v>
          </cell>
          <cell r="G468">
            <v>5.2296873407878488</v>
          </cell>
          <cell r="H468">
            <v>1.696038296095902</v>
          </cell>
          <cell r="I468">
            <v>1.9615963754819123</v>
          </cell>
          <cell r="J468">
            <v>2.4212182486702849</v>
          </cell>
          <cell r="K468">
            <v>2.0693383134945118</v>
          </cell>
          <cell r="M468">
            <v>2.5610036296682419</v>
          </cell>
          <cell r="N468">
            <v>0.81276759274384647</v>
          </cell>
          <cell r="O468">
            <v>1.8483523878471451</v>
          </cell>
          <cell r="P468">
            <v>0.34745351137138419</v>
          </cell>
          <cell r="Q468">
            <v>1.5517426273458446</v>
          </cell>
          <cell r="R468">
            <v>2.567792220893554</v>
          </cell>
          <cell r="S468">
            <v>0.92796661441807282</v>
          </cell>
          <cell r="T468">
            <v>1.5167255120411556</v>
          </cell>
          <cell r="U468">
            <v>1.5811015026553612</v>
          </cell>
        </row>
        <row r="469">
          <cell r="A469" t="str">
            <v>mstag:capitalExpenditures</v>
          </cell>
          <cell r="B469" t="str">
            <v>FY1</v>
          </cell>
          <cell r="C469">
            <v>1.0482258192150369</v>
          </cell>
          <cell r="D469">
            <v>1.2582527657927727</v>
          </cell>
          <cell r="E469">
            <v>2.4094468811563323</v>
          </cell>
          <cell r="F469">
            <v>1.5941125062690669</v>
          </cell>
          <cell r="G469">
            <v>4.17922891856856</v>
          </cell>
          <cell r="H469">
            <v>1.5256205587282161</v>
          </cell>
          <cell r="I469">
            <v>1.6826788867179201</v>
          </cell>
          <cell r="J469">
            <v>1.9567951909211292</v>
          </cell>
          <cell r="K469">
            <v>1.6758209958676464</v>
          </cell>
          <cell r="M469">
            <v>2.391050370712593</v>
          </cell>
          <cell r="N469">
            <v>0.71932761632238529</v>
          </cell>
          <cell r="O469">
            <v>1.4432560378481065</v>
          </cell>
          <cell r="P469">
            <v>0.28759622817734298</v>
          </cell>
          <cell r="Q469">
            <v>1.5987513531074025</v>
          </cell>
          <cell r="R469">
            <v>2.4837915361158127</v>
          </cell>
          <cell r="S469">
            <v>0.64964261665766232</v>
          </cell>
          <cell r="T469">
            <v>1.3676308227059006</v>
          </cell>
          <cell r="U469">
            <v>1.5126774008222057</v>
          </cell>
        </row>
        <row r="470">
          <cell r="B470" t="str">
            <v>FY2</v>
          </cell>
          <cell r="C470">
            <v>0.87493009858381077</v>
          </cell>
          <cell r="D470">
            <v>1.1579138512985476</v>
          </cell>
          <cell r="E470">
            <v>1.9226546792326706</v>
          </cell>
          <cell r="F470">
            <v>1.5163541404967966</v>
          </cell>
          <cell r="G470">
            <v>3.0895363696481981</v>
          </cell>
          <cell r="H470">
            <v>1.4849145427793713</v>
          </cell>
          <cell r="I470">
            <v>1.5179536310666246</v>
          </cell>
          <cell r="J470">
            <v>1.6520367590151455</v>
          </cell>
          <cell r="K470">
            <v>1.4482420880717608</v>
          </cell>
          <cell r="M470">
            <v>2.4665701567877596</v>
          </cell>
          <cell r="N470">
            <v>0.77815718698320846</v>
          </cell>
          <cell r="O470">
            <v>1.2438592969656144</v>
          </cell>
          <cell r="P470">
            <v>0.23617584483676721</v>
          </cell>
          <cell r="Q470">
            <v>1.5955958846176646</v>
          </cell>
          <cell r="R470">
            <v>2.200647221162388</v>
          </cell>
          <cell r="S470">
            <v>0.51167660904846224</v>
          </cell>
          <cell r="T470">
            <v>1.2903831714859808</v>
          </cell>
          <cell r="U470">
            <v>1.4299289350190132</v>
          </cell>
        </row>
        <row r="471">
          <cell r="B471" t="str">
            <v>FY1</v>
          </cell>
          <cell r="C471">
            <v>647.25003538475005</v>
          </cell>
          <cell r="D471">
            <v>597.63773739153396</v>
          </cell>
          <cell r="E471">
            <v>398.916049323469</v>
          </cell>
          <cell r="F471">
            <v>361</v>
          </cell>
          <cell r="G471">
            <v>66.837014679888597</v>
          </cell>
          <cell r="H471">
            <v>164.974553241579</v>
          </cell>
          <cell r="I471">
            <v>465.40417961601298</v>
          </cell>
          <cell r="J471">
            <v>386.00279566246201</v>
          </cell>
          <cell r="K471">
            <v>2702.0195696372339</v>
          </cell>
          <cell r="M471">
            <v>185.09325427162901</v>
          </cell>
          <cell r="N471">
            <v>49.858069962182</v>
          </cell>
          <cell r="O471">
            <v>129.30167913915301</v>
          </cell>
          <cell r="P471">
            <v>107.320766852448</v>
          </cell>
          <cell r="Q471">
            <v>350.99767742648697</v>
          </cell>
          <cell r="R471">
            <v>225.261</v>
          </cell>
          <cell r="S471">
            <v>119.233752219984</v>
          </cell>
          <cell r="T471">
            <v>166.72374283884042</v>
          </cell>
          <cell r="U471">
            <v>1167.0661998718829</v>
          </cell>
          <cell r="W471">
            <v>3869.0857695091167</v>
          </cell>
        </row>
        <row r="472">
          <cell r="B472" t="str">
            <v>Adjusted Net Debt/Cap (includes Rent capitalized at 8x)</v>
          </cell>
          <cell r="C472">
            <v>746.07111004947603</v>
          </cell>
          <cell r="D472">
            <v>394.57224859306899</v>
          </cell>
          <cell r="E472">
            <v>618.35365471548903</v>
          </cell>
          <cell r="F472">
            <v>465.162968324612</v>
          </cell>
          <cell r="G472">
            <v>45.8188964183229</v>
          </cell>
          <cell r="H472">
            <v>200.649569914437</v>
          </cell>
          <cell r="I472">
            <v>517.37070757901802</v>
          </cell>
          <cell r="J472">
            <v>426.85702222777485</v>
          </cell>
          <cell r="K472">
            <v>2987.9991555944239</v>
          </cell>
          <cell r="M472">
            <v>246.71197020712299</v>
          </cell>
          <cell r="N472">
            <v>67.516321371336403</v>
          </cell>
          <cell r="O472">
            <v>135.41319328435799</v>
          </cell>
          <cell r="P472">
            <v>137.30003618500299</v>
          </cell>
          <cell r="Q472">
            <v>423.142401533449</v>
          </cell>
          <cell r="R472">
            <v>252.161501557756</v>
          </cell>
          <cell r="S472">
            <v>148.570424497277</v>
          </cell>
          <cell r="T472">
            <v>201.5451212337575</v>
          </cell>
          <cell r="U472">
            <v>1410.8158486363025</v>
          </cell>
          <cell r="W472">
            <v>4398.8150042307261</v>
          </cell>
          <cell r="X472">
            <v>0.13691328295077265</v>
          </cell>
        </row>
        <row r="473">
          <cell r="B473" t="str">
            <v>FY(2)</v>
          </cell>
          <cell r="C473">
            <v>0.43550302523316747</v>
          </cell>
          <cell r="D473">
            <v>0.34964680059462472</v>
          </cell>
          <cell r="E473">
            <v>0.52473300112136523</v>
          </cell>
          <cell r="F473">
            <v>0.7142928672679153</v>
          </cell>
          <cell r="G473">
            <v>0.4984460608672418</v>
          </cell>
          <cell r="H473">
            <v>0.70313158045244917</v>
          </cell>
          <cell r="I473">
            <v>0.77154204302150575</v>
          </cell>
          <cell r="J473">
            <v>0.57104219693689562</v>
          </cell>
          <cell r="K473">
            <v>0.54466525719550296</v>
          </cell>
          <cell r="M473">
            <v>0.38342940939156683</v>
          </cell>
          <cell r="N473">
            <v>0.4797066456825303</v>
          </cell>
          <cell r="O473">
            <v>0.31848964014715719</v>
          </cell>
          <cell r="P473">
            <v>5.9088361908869382E-2</v>
          </cell>
          <cell r="Q473">
            <v>0.50998199967272129</v>
          </cell>
          <cell r="R473">
            <v>0.60787298235139131</v>
          </cell>
          <cell r="S473">
            <v>0.26256613636624776</v>
          </cell>
          <cell r="T473">
            <v>0.37444788221721204</v>
          </cell>
          <cell r="U473">
            <v>0.45453050790622207</v>
          </cell>
        </row>
        <row r="474">
          <cell r="B474" t="str">
            <v>FY(1)</v>
          </cell>
          <cell r="C474">
            <v>0.42366442772181695</v>
          </cell>
          <cell r="D474">
            <v>0.41016752157869452</v>
          </cell>
          <cell r="E474">
            <v>0.68775045575596683</v>
          </cell>
          <cell r="F474">
            <v>0.71590113352887597</v>
          </cell>
          <cell r="G474">
            <v>0.57198793761492206</v>
          </cell>
          <cell r="H474">
            <v>0.70963308161370375</v>
          </cell>
          <cell r="I474">
            <v>0.78410355528262954</v>
          </cell>
          <cell r="J474">
            <v>0.61474401615665852</v>
          </cell>
          <cell r="K474">
            <v>0.60997299068920097</v>
          </cell>
          <cell r="M474">
            <v>0.43497953260620403</v>
          </cell>
          <cell r="N474">
            <v>0.44908374146140695</v>
          </cell>
          <cell r="O474">
            <v>0.38274031326642549</v>
          </cell>
          <cell r="P474">
            <v>0.14380647260531124</v>
          </cell>
          <cell r="Q474">
            <v>0.50682938656752607</v>
          </cell>
          <cell r="R474">
            <v>0.61421029375145364</v>
          </cell>
          <cell r="S474">
            <v>0.27453474165713265</v>
          </cell>
          <cell r="T474">
            <v>0.40088349741649426</v>
          </cell>
          <cell r="U474">
            <v>0.46823935768246799</v>
          </cell>
          <cell r="W474">
            <v>0.10583919863895908</v>
          </cell>
        </row>
        <row r="475">
          <cell r="B475" t="str">
            <v>FY0</v>
          </cell>
          <cell r="C475">
            <v>0.32437098274976922</v>
          </cell>
          <cell r="D475">
            <v>0.31866099855600216</v>
          </cell>
          <cell r="E475">
            <v>0.65312992870384889</v>
          </cell>
          <cell r="F475">
            <v>0.61679852898467369</v>
          </cell>
          <cell r="G475">
            <v>0.49446934556739103</v>
          </cell>
          <cell r="H475">
            <v>0.64162547041683271</v>
          </cell>
          <cell r="I475">
            <v>0.69619172996255518</v>
          </cell>
          <cell r="J475">
            <v>0.53503528356301033</v>
          </cell>
          <cell r="K475">
            <v>0.53035963604257441</v>
          </cell>
          <cell r="M475">
            <v>0.40814676439653425</v>
          </cell>
          <cell r="N475">
            <v>0.35827227984819415</v>
          </cell>
          <cell r="O475">
            <v>0.3387947354498817</v>
          </cell>
          <cell r="P475">
            <v>0.1506674822931261</v>
          </cell>
          <cell r="Q475">
            <v>0.41098224852071003</v>
          </cell>
          <cell r="R475">
            <v>0.51139588766764599</v>
          </cell>
          <cell r="S475">
            <v>0.22361029785419212</v>
          </cell>
          <cell r="T475">
            <v>0.34312424229004063</v>
          </cell>
          <cell r="U475">
            <v>0.39089769547383957</v>
          </cell>
        </row>
        <row r="476">
          <cell r="B476" t="str">
            <v>FY1</v>
          </cell>
          <cell r="C476">
            <v>0.27761167517410235</v>
          </cell>
          <cell r="D476">
            <v>0.28675163494379724</v>
          </cell>
          <cell r="E476">
            <v>0.58794038590017261</v>
          </cell>
          <cell r="F476">
            <v>0.53853754106956986</v>
          </cell>
          <cell r="G476">
            <v>0.49605191308167351</v>
          </cell>
          <cell r="H476">
            <v>0.6363634999736747</v>
          </cell>
          <cell r="I476">
            <v>0.64872711884527645</v>
          </cell>
          <cell r="J476">
            <v>0.49599768128403809</v>
          </cell>
          <cell r="K476">
            <v>0.48136100917699715</v>
          </cell>
          <cell r="M476">
            <v>0.45338273009338498</v>
          </cell>
          <cell r="N476">
            <v>0.3113380398102033</v>
          </cell>
          <cell r="O476">
            <v>0.31348272554407308</v>
          </cell>
          <cell r="P476">
            <v>0.12284434737617074</v>
          </cell>
          <cell r="Q476">
            <v>0.42264761699012438</v>
          </cell>
          <cell r="R476">
            <v>0.55140427089044997</v>
          </cell>
          <cell r="S476">
            <v>0.1602020261661532</v>
          </cell>
          <cell r="T476">
            <v>0.33361453669579422</v>
          </cell>
          <cell r="U476">
            <v>0.39418186587584914</v>
          </cell>
        </row>
        <row r="477">
          <cell r="B477" t="str">
            <v>FY2</v>
          </cell>
          <cell r="C477">
            <v>0.24658198099063369</v>
          </cell>
          <cell r="D477">
            <v>0.27605661840184514</v>
          </cell>
          <cell r="E477">
            <v>0.50433224175968594</v>
          </cell>
          <cell r="F477">
            <v>0.5135949170173888</v>
          </cell>
          <cell r="G477">
            <v>0.48846420448934763</v>
          </cell>
          <cell r="H477">
            <v>0.6169160063040503</v>
          </cell>
          <cell r="I477">
            <v>0.59472351294919445</v>
          </cell>
          <cell r="J477">
            <v>0.46295278313030652</v>
          </cell>
          <cell r="K477">
            <v>0.43649769110271114</v>
          </cell>
          <cell r="M477">
            <v>0.51651231294961675</v>
          </cell>
          <cell r="N477">
            <v>0.31530347483637128</v>
          </cell>
          <cell r="O477">
            <v>0.28902023877853833</v>
          </cell>
          <cell r="P477">
            <v>0.10027717592566783</v>
          </cell>
          <cell r="Q477">
            <v>0.43774664231019594</v>
          </cell>
          <cell r="R477">
            <v>0.50719980535825493</v>
          </cell>
          <cell r="S477">
            <v>0.12596486252548919</v>
          </cell>
          <cell r="T477">
            <v>0.32743207324059054</v>
          </cell>
          <cell r="U477">
            <v>0.38456886671914609</v>
          </cell>
        </row>
        <row r="478">
          <cell r="B478" t="str">
            <v>FY1</v>
          </cell>
          <cell r="C478">
            <v>3.7856912119302158E-2</v>
          </cell>
          <cell r="D478">
            <v>3.4128142880679689E-2</v>
          </cell>
          <cell r="E478">
            <v>1.7111780644585135E-2</v>
          </cell>
          <cell r="F478">
            <v>4.46975854382725E-2</v>
          </cell>
          <cell r="G478">
            <v>2.5944116217902227E-2</v>
          </cell>
          <cell r="H478">
            <v>2.3149873315251059E-2</v>
          </cell>
          <cell r="I478">
            <v>2.3293819102922865E-2</v>
          </cell>
          <cell r="J478">
            <v>2.945460424555937E-2</v>
          </cell>
          <cell r="K478">
            <v>2.8240168758070814E-2</v>
          </cell>
          <cell r="M478">
            <v>6.2329427377884772E-2</v>
          </cell>
          <cell r="N478">
            <v>2.2851036467750125E-2</v>
          </cell>
          <cell r="O478">
            <v>4.3803673426332575E-2</v>
          </cell>
          <cell r="P478">
            <v>3.0749077335192904E-2</v>
          </cell>
          <cell r="Q478">
            <v>2.4603922708742794E-2</v>
          </cell>
          <cell r="R478">
            <v>2.6555011119058704E-2</v>
          </cell>
          <cell r="S478">
            <v>6.1491685262025593E-2</v>
          </cell>
          <cell r="T478">
            <v>3.8911976242426781E-2</v>
          </cell>
          <cell r="U478">
            <v>3.2167174429495293E-2</v>
          </cell>
        </row>
        <row r="479">
          <cell r="B479" t="str">
            <v>FY2</v>
          </cell>
          <cell r="C479">
            <v>4.1056912119301993E-2</v>
          </cell>
          <cell r="D479">
            <v>2.2583973489152562E-2</v>
          </cell>
          <cell r="E479">
            <v>2.6999999999999975E-2</v>
          </cell>
          <cell r="F479">
            <v>5.7000000000000009E-2</v>
          </cell>
          <cell r="G479">
            <v>1.749999999999996E-2</v>
          </cell>
          <cell r="H479">
            <v>2.7000000000000017E-2</v>
          </cell>
          <cell r="I479">
            <v>2.4293819102922845E-2</v>
          </cell>
          <cell r="J479">
            <v>3.0919243530196767E-2</v>
          </cell>
          <cell r="K479">
            <v>3.0473682053923909E-2</v>
          </cell>
          <cell r="M479">
            <v>7.4829427377884575E-2</v>
          </cell>
          <cell r="N479">
            <v>2.7949999999999978E-2</v>
          </cell>
          <cell r="O479">
            <v>4.2803673426332609E-2</v>
          </cell>
          <cell r="P479">
            <v>3.6749077335192643E-2</v>
          </cell>
          <cell r="Q479">
            <v>3.0000000000000072E-2</v>
          </cell>
          <cell r="R479">
            <v>2.9499999999999988E-2</v>
          </cell>
          <cell r="S479">
            <v>6.5794955109565761E-2</v>
          </cell>
          <cell r="T479">
            <v>4.3946733321282232E-2</v>
          </cell>
          <cell r="U479">
            <v>3.7598679443819762E-2</v>
          </cell>
        </row>
        <row r="480">
          <cell r="B480" t="str">
            <v>Unadjusted Net Debt/Cap</v>
          </cell>
        </row>
        <row r="481">
          <cell r="A481" t="str">
            <v>mstag:averageDilutedSharesOutstanding</v>
          </cell>
          <cell r="B481" t="str">
            <v>FY(2)</v>
          </cell>
          <cell r="C481">
            <v>0.17155117918135337</v>
          </cell>
          <cell r="D481">
            <v>0.13036246177433036</v>
          </cell>
          <cell r="E481">
            <v>0.46643565615462851</v>
          </cell>
          <cell r="F481">
            <v>0.59235816811785225</v>
          </cell>
          <cell r="G481">
            <v>0.26971047322857289</v>
          </cell>
          <cell r="H481">
            <v>-0.10143943375668921</v>
          </cell>
          <cell r="I481">
            <v>3.451495658087933E-2</v>
          </cell>
          <cell r="J481">
            <v>0.22335620875441822</v>
          </cell>
          <cell r="K481">
            <v>0.30990908137205347</v>
          </cell>
          <cell r="M481">
            <v>-0.32264130511775407</v>
          </cell>
          <cell r="N481">
            <v>-1.1584277864514689</v>
          </cell>
          <cell r="O481">
            <v>-0.36095859344226999</v>
          </cell>
          <cell r="P481">
            <v>-0.36363821654453149</v>
          </cell>
          <cell r="Q481">
            <v>-0.34222321828776331</v>
          </cell>
          <cell r="R481">
            <v>0.33787739453859944</v>
          </cell>
          <cell r="S481">
            <v>-0.42883724636203746</v>
          </cell>
          <cell r="T481">
            <v>-0.37697842452388947</v>
          </cell>
          <cell r="U481">
            <v>-0.13489505937003851</v>
          </cell>
        </row>
        <row r="482">
          <cell r="B482" t="str">
            <v>FY(1)</v>
          </cell>
          <cell r="C482">
            <v>0.15822915618753594</v>
          </cell>
          <cell r="D482">
            <v>0.15057089093463449</v>
          </cell>
          <cell r="E482">
            <v>0.58509062391077027</v>
          </cell>
          <cell r="F482">
            <v>0.6556757193772984</v>
          </cell>
          <cell r="G482">
            <v>0.38896458007874457</v>
          </cell>
          <cell r="H482">
            <v>-0.15017448570224767</v>
          </cell>
          <cell r="I482">
            <v>0.11189509312225583</v>
          </cell>
          <cell r="J482">
            <v>0.27146451112985603</v>
          </cell>
          <cell r="K482">
            <v>0.35221633255581436</v>
          </cell>
          <cell r="M482">
            <v>-0.21697131567535613</v>
          </cell>
          <cell r="N482">
            <v>-0.64363769503745849</v>
          </cell>
          <cell r="O482">
            <v>-0.27550098347002122</v>
          </cell>
          <cell r="P482">
            <v>-0.46612734724491706</v>
          </cell>
          <cell r="Q482">
            <v>-0.37525354969574037</v>
          </cell>
          <cell r="R482">
            <v>0.36128189984901221</v>
          </cell>
          <cell r="S482">
            <v>-0.3473065882185476</v>
          </cell>
          <cell r="T482">
            <v>-0.28050222564186122</v>
          </cell>
          <cell r="U482">
            <v>-0.13274448535899933</v>
          </cell>
        </row>
        <row r="483">
          <cell r="B483" t="str">
            <v>FY0</v>
          </cell>
          <cell r="C483">
            <v>-1.9933208662836408E-2</v>
          </cell>
          <cell r="D483">
            <v>4.7121114935010998E-2</v>
          </cell>
          <cell r="E483">
            <v>0.52329464885439214</v>
          </cell>
          <cell r="F483">
            <v>0.43447567580446406</v>
          </cell>
          <cell r="G483">
            <v>0.22179778818940543</v>
          </cell>
          <cell r="H483">
            <v>-0.47426963580467424</v>
          </cell>
          <cell r="I483">
            <v>-0.26506359909847371</v>
          </cell>
          <cell r="J483">
            <v>6.6774683459612613E-2</v>
          </cell>
          <cell r="K483">
            <v>0.18420323911802425</v>
          </cell>
          <cell r="M483">
            <v>-0.33690533113642818</v>
          </cell>
          <cell r="N483">
            <v>-0.79836155526275465</v>
          </cell>
          <cell r="O483">
            <v>-0.41568408664627049</v>
          </cell>
          <cell r="P483">
            <v>-0.44374415164262937</v>
          </cell>
          <cell r="Q483">
            <v>-0.52643631159272131</v>
          </cell>
          <cell r="R483">
            <v>0.18717424120299675</v>
          </cell>
          <cell r="S483">
            <v>-0.38675637639528909</v>
          </cell>
          <cell r="T483">
            <v>-0.38867336735329949</v>
          </cell>
          <cell r="U483">
            <v>-0.27326179546257678</v>
          </cell>
        </row>
        <row r="484">
          <cell r="B484" t="str">
            <v>FY1</v>
          </cell>
          <cell r="C484">
            <v>-7.2935073750824544E-2</v>
          </cell>
          <cell r="D484">
            <v>1.3155159541196127E-2</v>
          </cell>
          <cell r="E484">
            <v>0.41980917229782333</v>
          </cell>
          <cell r="F484">
            <v>0.36053432174461086</v>
          </cell>
          <cell r="G484">
            <v>0.20965041705312365</v>
          </cell>
          <cell r="H484">
            <v>-0.53100621148321026</v>
          </cell>
          <cell r="I484">
            <v>-0.35218119816282695</v>
          </cell>
          <cell r="J484">
            <v>6.7180838914131912E-3</v>
          </cell>
          <cell r="K484">
            <v>0.10981844106149648</v>
          </cell>
          <cell r="M484">
            <v>-0.31696737676589115</v>
          </cell>
          <cell r="N484">
            <v>-0.81056984395921061</v>
          </cell>
          <cell r="O484">
            <v>-0.45074199089855554</v>
          </cell>
          <cell r="P484">
            <v>-0.47962616706148459</v>
          </cell>
          <cell r="Q484">
            <v>-0.5259313947145341</v>
          </cell>
          <cell r="R484">
            <v>0.20478481199346313</v>
          </cell>
          <cell r="S484">
            <v>-0.4584563567467998</v>
          </cell>
          <cell r="T484">
            <v>-0.40535833116471603</v>
          </cell>
          <cell r="U484">
            <v>-0.2895501330219753</v>
          </cell>
        </row>
        <row r="485">
          <cell r="B485" t="str">
            <v>FY2</v>
          </cell>
          <cell r="C485">
            <v>-0.11691253486773395</v>
          </cell>
          <cell r="D485">
            <v>1.754998212719309E-3</v>
          </cell>
          <cell r="E485">
            <v>0.3129261572355303</v>
          </cell>
          <cell r="F485">
            <v>0.34480358906781372</v>
          </cell>
          <cell r="G485">
            <v>0.16956021690549561</v>
          </cell>
          <cell r="H485">
            <v>-0.56910526799632311</v>
          </cell>
          <cell r="I485">
            <v>-0.41624883383416506</v>
          </cell>
          <cell r="J485">
            <v>-3.9031667896666164E-2</v>
          </cell>
          <cell r="K485">
            <v>4.5605791379651359E-2</v>
          </cell>
          <cell r="M485">
            <v>-0.2634205574684077</v>
          </cell>
          <cell r="N485">
            <v>-0.82009107779971702</v>
          </cell>
          <cell r="O485">
            <v>-0.51081593690746263</v>
          </cell>
          <cell r="P485">
            <v>-0.51559661788992583</v>
          </cell>
          <cell r="Q485">
            <v>-0.5395925627073267</v>
          </cell>
          <cell r="R485">
            <v>0.12896858216293094</v>
          </cell>
          <cell r="S485">
            <v>-0.48495269741359415</v>
          </cell>
          <cell r="T485">
            <v>-0.42935726686050046</v>
          </cell>
          <cell r="U485">
            <v>-0.32037353322343692</v>
          </cell>
        </row>
        <row r="486">
          <cell r="B486" t="str">
            <v>FQ(3)</v>
          </cell>
          <cell r="C486">
            <v>0.13165244885644173</v>
          </cell>
          <cell r="D486">
            <v>0.17755785281902353</v>
          </cell>
          <cell r="E486">
            <v>0.63831195465731949</v>
          </cell>
          <cell r="F486">
            <v>0.64204997437544531</v>
          </cell>
          <cell r="G486">
            <v>0.38244531184707647</v>
          </cell>
          <cell r="H486">
            <v>-0.26173584744947953</v>
          </cell>
          <cell r="I486">
            <v>3.5756544743929017E-2</v>
          </cell>
          <cell r="J486">
            <v>0.24943403426425087</v>
          </cell>
          <cell r="K486">
            <v>0.34803839154712585</v>
          </cell>
          <cell r="M486">
            <v>-0.1943611479331738</v>
          </cell>
          <cell r="N486">
            <v>-0.6238137323775208</v>
          </cell>
          <cell r="O486">
            <v>-0.24815342698230658</v>
          </cell>
          <cell r="P486">
            <v>-0.33375451608586781</v>
          </cell>
          <cell r="Q486">
            <v>-0.37621145374449338</v>
          </cell>
          <cell r="R486">
            <v>0.41408090685248566</v>
          </cell>
          <cell r="S486">
            <v>-0.27264374428604671</v>
          </cell>
          <cell r="T486">
            <v>-0.23355101636527478</v>
          </cell>
          <cell r="U486">
            <v>-9.8884422673623046E-2</v>
          </cell>
        </row>
        <row r="487">
          <cell r="B487" t="str">
            <v>FQ(2)</v>
          </cell>
          <cell r="C487">
            <v>7.7701535780119499E-2</v>
          </cell>
          <cell r="D487">
            <v>0.13622490218961908</v>
          </cell>
          <cell r="E487">
            <v>0.6184830106230691</v>
          </cell>
          <cell r="F487">
            <v>0.53015548678398849</v>
          </cell>
          <cell r="G487">
            <v>0.37442306868519326</v>
          </cell>
          <cell r="H487">
            <v>-0.30470286332377144</v>
          </cell>
          <cell r="I487">
            <v>-5.2925525134638815E-2</v>
          </cell>
          <cell r="J487">
            <v>0.19705137365765421</v>
          </cell>
          <cell r="K487">
            <v>0.29401108161568013</v>
          </cell>
          <cell r="M487">
            <v>-0.22562571997639078</v>
          </cell>
          <cell r="N487">
            <v>-0.57138666964634899</v>
          </cell>
          <cell r="O487">
            <v>-0.29438841264919668</v>
          </cell>
          <cell r="P487">
            <v>-0.44374415164262937</v>
          </cell>
          <cell r="Q487">
            <v>-0.44910432033719705</v>
          </cell>
          <cell r="R487">
            <v>0.33171155262653013</v>
          </cell>
          <cell r="S487">
            <v>-0.25148600218600176</v>
          </cell>
          <cell r="T487">
            <v>-0.27200338911589061</v>
          </cell>
          <cell r="U487">
            <v>-0.15687992193216713</v>
          </cell>
        </row>
        <row r="488">
          <cell r="B488" t="str">
            <v>FQ(1)</v>
          </cell>
          <cell r="C488">
            <v>5.707190332305092E-2</v>
          </cell>
          <cell r="D488">
            <v>0.15826955194978698</v>
          </cell>
          <cell r="E488">
            <v>0.6226238261132987</v>
          </cell>
          <cell r="F488">
            <v>0.52691735556036645</v>
          </cell>
          <cell r="G488">
            <v>0.31966834963038077</v>
          </cell>
          <cell r="H488">
            <v>-0.33975958743009227</v>
          </cell>
          <cell r="I488">
            <v>-0.11487609725000009</v>
          </cell>
          <cell r="J488">
            <v>0.17570218598525592</v>
          </cell>
          <cell r="K488">
            <v>0.28413733640922606</v>
          </cell>
          <cell r="M488">
            <v>-0.25957070942652749</v>
          </cell>
          <cell r="N488">
            <v>-0.6367063228696217</v>
          </cell>
          <cell r="O488">
            <v>-0.29613012098734831</v>
          </cell>
          <cell r="P488">
            <v>-0.51955400366751436</v>
          </cell>
          <cell r="Q488">
            <v>-0.48142943184099579</v>
          </cell>
          <cell r="R488">
            <v>0.40295036845359711</v>
          </cell>
          <cell r="S488">
            <v>-0.34428435067392987</v>
          </cell>
          <cell r="T488">
            <v>-0.30496065300176289</v>
          </cell>
          <cell r="U488">
            <v>-0.18611066517540401</v>
          </cell>
        </row>
        <row r="489">
          <cell r="B489" t="str">
            <v>Last Reported Q</v>
          </cell>
          <cell r="C489">
            <v>-1.9933208662836408E-2</v>
          </cell>
          <cell r="D489">
            <v>4.7121114935010998E-2</v>
          </cell>
          <cell r="E489">
            <v>0.52329464885439214</v>
          </cell>
          <cell r="F489">
            <v>0.43447567580446406</v>
          </cell>
          <cell r="G489">
            <v>0.22179778818940543</v>
          </cell>
          <cell r="H489">
            <v>-0.47426963580467424</v>
          </cell>
          <cell r="I489">
            <v>-0.26506359909847371</v>
          </cell>
          <cell r="J489">
            <v>6.6774683459612613E-2</v>
          </cell>
          <cell r="K489">
            <v>0.18420323911802425</v>
          </cell>
          <cell r="M489">
            <v>-0.33690533113642818</v>
          </cell>
          <cell r="N489">
            <v>-0.79836155526275465</v>
          </cell>
          <cell r="O489">
            <v>-0.41568408664627049</v>
          </cell>
          <cell r="P489">
            <v>-0.57023011231105614</v>
          </cell>
          <cell r="Q489">
            <v>-0.52643631159272131</v>
          </cell>
          <cell r="R489">
            <v>0.18717424120299675</v>
          </cell>
          <cell r="S489">
            <v>-0.38675637639528909</v>
          </cell>
          <cell r="T489">
            <v>-0.40674279030593186</v>
          </cell>
          <cell r="U489">
            <v>-0.28900238332255856</v>
          </cell>
        </row>
        <row r="490">
          <cell r="B490" t="str">
            <v>Last Reported Q</v>
          </cell>
          <cell r="C490">
            <v>308</v>
          </cell>
          <cell r="D490">
            <v>237.6</v>
          </cell>
          <cell r="E490">
            <v>421.8</v>
          </cell>
          <cell r="F490">
            <v>220.7</v>
          </cell>
          <cell r="G490">
            <v>152.45599999999999</v>
          </cell>
          <cell r="H490">
            <v>124.648</v>
          </cell>
          <cell r="I490">
            <v>428.09199999999998</v>
          </cell>
          <cell r="M490">
            <v>88.73</v>
          </cell>
          <cell r="N490">
            <v>67.991</v>
          </cell>
          <cell r="O490">
            <v>209.393</v>
          </cell>
          <cell r="P490">
            <v>325.62</v>
          </cell>
          <cell r="Q490">
            <v>704</v>
          </cell>
          <cell r="R490">
            <v>328.25900000000001</v>
          </cell>
          <cell r="S490">
            <v>171.44390200000001</v>
          </cell>
        </row>
        <row r="491">
          <cell r="A491" t="str">
            <v>mscalc:bookValuePerShareReported</v>
          </cell>
          <cell r="B491" t="str">
            <v>Book Value per Share</v>
          </cell>
          <cell r="C491">
            <v>306.25</v>
          </cell>
          <cell r="D491">
            <v>229.17499999999998</v>
          </cell>
          <cell r="E491">
            <v>421.67500000000001</v>
          </cell>
          <cell r="F491">
            <v>218.42500000000001</v>
          </cell>
          <cell r="G491">
            <v>141.69149999999999</v>
          </cell>
          <cell r="H491">
            <v>126.26124999999999</v>
          </cell>
          <cell r="I491">
            <v>430.21950000000004</v>
          </cell>
          <cell r="M491">
            <v>88.140749999999997</v>
          </cell>
          <cell r="N491">
            <v>67.879500000000007</v>
          </cell>
          <cell r="O491">
            <v>208.06475</v>
          </cell>
          <cell r="P491">
            <v>326.54150000000004</v>
          </cell>
          <cell r="Q491">
            <v>701.75</v>
          </cell>
          <cell r="R491">
            <v>325.17600000000004</v>
          </cell>
          <cell r="S491">
            <v>170.63794924999999</v>
          </cell>
        </row>
        <row r="492">
          <cell r="B492" t="str">
            <v>FY0</v>
          </cell>
          <cell r="C492">
            <v>25.581971111559898</v>
          </cell>
          <cell r="D492">
            <v>20.228813559321999</v>
          </cell>
          <cell r="E492">
            <v>11.1522311579247</v>
          </cell>
          <cell r="F492">
            <v>7.2103264093207899</v>
          </cell>
          <cell r="G492">
            <v>6.7769218044169897</v>
          </cell>
          <cell r="H492">
            <v>9.4449871466029904</v>
          </cell>
          <cell r="I492">
            <v>7.0575837962216603</v>
          </cell>
          <cell r="M492">
            <v>20.809422060578498</v>
          </cell>
          <cell r="N492">
            <v>4.6120452582064999</v>
          </cell>
          <cell r="O492">
            <v>7.5511172122354298</v>
          </cell>
          <cell r="P492">
            <v>5.2874668910592098</v>
          </cell>
          <cell r="Q492">
            <v>7.3282179704913402</v>
          </cell>
          <cell r="R492">
            <v>6.7554028004188202</v>
          </cell>
          <cell r="S492">
            <v>7.6960105991444303</v>
          </cell>
        </row>
        <row r="493">
          <cell r="B493" t="str">
            <v>FY1</v>
          </cell>
          <cell r="C493">
            <v>28.987791150450199</v>
          </cell>
          <cell r="D493">
            <v>21.004944842021398</v>
          </cell>
          <cell r="E493">
            <v>12.80328947854</v>
          </cell>
          <cell r="F493">
            <v>9.2014588952335803</v>
          </cell>
          <cell r="G493">
            <v>6.6846983827321198</v>
          </cell>
          <cell r="H493">
            <v>10.5554386780573</v>
          </cell>
          <cell r="I493">
            <v>8.6548957537455706</v>
          </cell>
          <cell r="M493">
            <v>20.5779707680969</v>
          </cell>
          <cell r="N493">
            <v>5.9700213393204598</v>
          </cell>
          <cell r="O493">
            <v>7.7959405771838099</v>
          </cell>
          <cell r="P493">
            <v>6.2311363676978297</v>
          </cell>
          <cell r="Q493">
            <v>7.5766202395493298</v>
          </cell>
          <cell r="R493">
            <v>6.3691260799745004</v>
          </cell>
          <cell r="S493">
            <v>9.4237637110883892</v>
          </cell>
        </row>
        <row r="494">
          <cell r="B494" t="str">
            <v>FY2</v>
          </cell>
          <cell r="C494">
            <v>32.626001118711997</v>
          </cell>
          <cell r="D494">
            <v>21.959758464535799</v>
          </cell>
          <cell r="E494">
            <v>14.6807784009291</v>
          </cell>
          <cell r="F494">
            <v>10.9850032291769</v>
          </cell>
          <cell r="G494">
            <v>6.7748104299086203</v>
          </cell>
          <cell r="H494">
            <v>12.462182566505399</v>
          </cell>
          <cell r="I494">
            <v>10.707882158953799</v>
          </cell>
          <cell r="J494">
            <v>298.12399999999997</v>
          </cell>
          <cell r="K494">
            <v>1788.7439999999999</v>
          </cell>
          <cell r="M494">
            <v>20.862967341691199</v>
          </cell>
          <cell r="N494">
            <v>7.2792140908088303</v>
          </cell>
          <cell r="O494">
            <v>8.2988766572300605</v>
          </cell>
          <cell r="P494">
            <v>7.06096060554367</v>
          </cell>
          <cell r="Q494">
            <v>7.5439922520262002</v>
          </cell>
          <cell r="R494">
            <v>7.1588926320260802</v>
          </cell>
          <cell r="S494">
            <v>11.3433691405353</v>
          </cell>
          <cell r="T494">
            <v>104.35733333333333</v>
          </cell>
          <cell r="U494">
            <v>626.14400000000001</v>
          </cell>
        </row>
        <row r="495">
          <cell r="A495" t="str">
            <v>mstag:cashDividendsPaid</v>
          </cell>
          <cell r="B495" t="str">
            <v>FY(1)</v>
          </cell>
          <cell r="C495" t="str">
            <v>NA</v>
          </cell>
          <cell r="D495">
            <v>174</v>
          </cell>
          <cell r="E495">
            <v>230</v>
          </cell>
          <cell r="F495">
            <v>134</v>
          </cell>
          <cell r="G495">
            <v>7.43</v>
          </cell>
          <cell r="H495">
            <v>40.637999999999998</v>
          </cell>
          <cell r="I495">
            <v>151.49199999999999</v>
          </cell>
          <cell r="J495">
            <v>122.92666666666666</v>
          </cell>
          <cell r="K495">
            <v>737.56</v>
          </cell>
          <cell r="M495">
            <v>61.33</v>
          </cell>
          <cell r="N495">
            <v>0</v>
          </cell>
          <cell r="O495">
            <v>80.796000000000006</v>
          </cell>
          <cell r="P495">
            <v>0</v>
          </cell>
          <cell r="Q495">
            <v>252</v>
          </cell>
          <cell r="R495">
            <v>227</v>
          </cell>
          <cell r="S495" t="str">
            <v>NA</v>
          </cell>
          <cell r="T495">
            <v>103.521</v>
          </cell>
          <cell r="U495">
            <v>621.12599999999998</v>
          </cell>
        </row>
        <row r="496">
          <cell r="A496" t="str">
            <v>Free Cash Flow</v>
          </cell>
          <cell r="B496" t="str">
            <v>Free Cash Flow (EBITDA less interest, taxes at 38%, and capex)</v>
          </cell>
          <cell r="C496" t="str">
            <v>NA</v>
          </cell>
          <cell r="D496">
            <v>178</v>
          </cell>
          <cell r="E496">
            <v>221</v>
          </cell>
          <cell r="F496">
            <v>138</v>
          </cell>
          <cell r="G496">
            <v>1.1830000000000001</v>
          </cell>
          <cell r="H496">
            <v>49.838000000000001</v>
          </cell>
          <cell r="I496">
            <v>176.749</v>
          </cell>
          <cell r="J496">
            <v>127.46166666666666</v>
          </cell>
          <cell r="K496">
            <v>764.77</v>
          </cell>
          <cell r="M496">
            <v>60.768999999999998</v>
          </cell>
          <cell r="N496">
            <v>0</v>
          </cell>
          <cell r="O496">
            <v>82.394000000000005</v>
          </cell>
          <cell r="P496">
            <v>0</v>
          </cell>
          <cell r="Q496">
            <v>243</v>
          </cell>
          <cell r="R496">
            <v>201</v>
          </cell>
          <cell r="S496" t="str">
            <v>NA</v>
          </cell>
          <cell r="T496">
            <v>97.860500000000002</v>
          </cell>
          <cell r="U496">
            <v>587.16300000000001</v>
          </cell>
        </row>
        <row r="497">
          <cell r="B497" t="str">
            <v>FY(2)</v>
          </cell>
          <cell r="C497">
            <v>1360.4659999999999</v>
          </cell>
          <cell r="D497">
            <v>1336.1</v>
          </cell>
          <cell r="E497">
            <v>1743.44</v>
          </cell>
          <cell r="F497">
            <v>872.57001999999989</v>
          </cell>
          <cell r="G497">
            <v>141.49700592773291</v>
          </cell>
          <cell r="H497">
            <v>333.41181999999998</v>
          </cell>
          <cell r="I497">
            <v>1133.7966574336956</v>
          </cell>
          <cell r="J497">
            <v>988.754500480204</v>
          </cell>
          <cell r="K497">
            <v>6921.2815033614279</v>
          </cell>
          <cell r="M497">
            <v>181.81038000000001</v>
          </cell>
          <cell r="N497">
            <v>60.234480000000005</v>
          </cell>
          <cell r="O497">
            <v>165.19883999999999</v>
          </cell>
          <cell r="P497">
            <v>525.18407999999999</v>
          </cell>
          <cell r="Q497">
            <v>437.09999999999991</v>
          </cell>
          <cell r="R497">
            <v>-78.407379999999989</v>
          </cell>
          <cell r="S497">
            <v>61.648059999999987</v>
          </cell>
          <cell r="T497">
            <v>193.25263714285711</v>
          </cell>
          <cell r="U497">
            <v>1352.7684599999998</v>
          </cell>
        </row>
        <row r="498">
          <cell r="A498" t="str">
            <v>mstag:interestExpense</v>
          </cell>
          <cell r="B498" t="str">
            <v>FY(1)</v>
          </cell>
          <cell r="C498">
            <v>205.23620000000005</v>
          </cell>
          <cell r="D498">
            <v>-117.85800000000302</v>
          </cell>
          <cell r="E498">
            <v>414.92000000000007</v>
          </cell>
          <cell r="F498">
            <v>26.341619999999921</v>
          </cell>
          <cell r="G498">
            <v>-139.16627083414218</v>
          </cell>
          <cell r="H498">
            <v>167.75255881623235</v>
          </cell>
          <cell r="I498">
            <v>546.79914000000008</v>
          </cell>
          <cell r="J498">
            <v>157.71789256886959</v>
          </cell>
          <cell r="K498">
            <v>1104.0252479820872</v>
          </cell>
          <cell r="M498">
            <v>74.873244464512823</v>
          </cell>
          <cell r="N498">
            <v>98.973440000000011</v>
          </cell>
          <cell r="O498">
            <v>-3.5592199999999821</v>
          </cell>
          <cell r="P498">
            <v>618.83845999999994</v>
          </cell>
          <cell r="Q498">
            <v>858.59999999999991</v>
          </cell>
          <cell r="R498">
            <v>73.380319999999983</v>
          </cell>
          <cell r="S498">
            <v>117.67098000000001</v>
          </cell>
          <cell r="T498">
            <v>262.68246063778753</v>
          </cell>
          <cell r="U498">
            <v>1838.7772244645128</v>
          </cell>
        </row>
        <row r="499">
          <cell r="A499">
            <v>0.38</v>
          </cell>
          <cell r="B499" t="str">
            <v>FY0</v>
          </cell>
          <cell r="C499">
            <v>683.11999999999989</v>
          </cell>
          <cell r="D499">
            <v>-43.240000000000009</v>
          </cell>
          <cell r="E499">
            <v>846.96</v>
          </cell>
          <cell r="F499">
            <v>265.58000000000004</v>
          </cell>
          <cell r="G499">
            <v>-33.877099999999992</v>
          </cell>
          <cell r="H499">
            <v>395.02296000000001</v>
          </cell>
          <cell r="I499">
            <v>1050.4924400000002</v>
          </cell>
          <cell r="J499">
            <v>452.00832857142865</v>
          </cell>
          <cell r="K499">
            <v>3164.0583000000006</v>
          </cell>
          <cell r="M499">
            <v>62.684879999999993</v>
          </cell>
          <cell r="N499">
            <v>218.12030000000001</v>
          </cell>
          <cell r="O499">
            <v>120.84016000000001</v>
          </cell>
          <cell r="P499">
            <v>559.41203999999993</v>
          </cell>
          <cell r="Q499">
            <v>1143.46</v>
          </cell>
          <cell r="R499">
            <v>406.55790000000002</v>
          </cell>
          <cell r="S499">
            <v>144.51503698254709</v>
          </cell>
          <cell r="T499">
            <v>379.37004528322097</v>
          </cell>
          <cell r="U499">
            <v>2655.5903169825469</v>
          </cell>
        </row>
        <row r="500">
          <cell r="A500" t="str">
            <v>mstag:otherInterestIncomeExpense</v>
          </cell>
          <cell r="B500" t="str">
            <v>FY1</v>
          </cell>
          <cell r="C500">
            <v>680.79069688994991</v>
          </cell>
          <cell r="D500">
            <v>177.03400258655063</v>
          </cell>
          <cell r="E500">
            <v>935.13459901374267</v>
          </cell>
          <cell r="F500">
            <v>318.122968079369</v>
          </cell>
          <cell r="G500">
            <v>-13.694872436350408</v>
          </cell>
          <cell r="H500">
            <v>433.88313836270947</v>
          </cell>
          <cell r="I500">
            <v>1220.086555265349</v>
          </cell>
          <cell r="J500">
            <v>535.90815539447431</v>
          </cell>
          <cell r="K500">
            <v>3751.3570877613201</v>
          </cell>
          <cell r="M500">
            <v>64.570561609984964</v>
          </cell>
          <cell r="N500">
            <v>220.1304458997646</v>
          </cell>
          <cell r="O500">
            <v>224.03654899880598</v>
          </cell>
          <cell r="P500">
            <v>652.95258730104558</v>
          </cell>
          <cell r="Q500">
            <v>853.00671725937082</v>
          </cell>
          <cell r="R500">
            <v>465.44580975535899</v>
          </cell>
          <cell r="S500">
            <v>178.370021577594</v>
          </cell>
          <cell r="T500">
            <v>379.78752748598924</v>
          </cell>
          <cell r="U500">
            <v>2658.5126924019246</v>
          </cell>
        </row>
        <row r="501">
          <cell r="B501" t="str">
            <v>FY2</v>
          </cell>
          <cell r="C501">
            <v>722.01096722923512</v>
          </cell>
          <cell r="D501">
            <v>253.32779521420207</v>
          </cell>
          <cell r="E501">
            <v>924.7982950086739</v>
          </cell>
          <cell r="F501">
            <v>312.27250743986087</v>
          </cell>
          <cell r="G501">
            <v>79.398365058291446</v>
          </cell>
          <cell r="H501">
            <v>432.05155555638959</v>
          </cell>
          <cell r="I501">
            <v>1284.6515781260714</v>
          </cell>
          <cell r="J501">
            <v>572.64443766181773</v>
          </cell>
          <cell r="K501">
            <v>4008.5110636327245</v>
          </cell>
          <cell r="M501">
            <v>109.05470063555117</v>
          </cell>
          <cell r="N501">
            <v>216.65298271796476</v>
          </cell>
          <cell r="O501">
            <v>279.80100799880029</v>
          </cell>
          <cell r="P501">
            <v>680.55099082875904</v>
          </cell>
          <cell r="Q501">
            <v>939.98306811354939</v>
          </cell>
          <cell r="R501">
            <v>520.64507838295549</v>
          </cell>
          <cell r="S501">
            <v>215.82651155609608</v>
          </cell>
          <cell r="T501">
            <v>423.21633431909657</v>
          </cell>
          <cell r="U501">
            <v>2962.5143402336762</v>
          </cell>
        </row>
        <row r="502">
          <cell r="B502" t="str">
            <v>Last Reported Q</v>
          </cell>
          <cell r="C502" t="str">
            <v>NA</v>
          </cell>
          <cell r="D502">
            <v>47</v>
          </cell>
          <cell r="E502">
            <v>21</v>
          </cell>
          <cell r="F502">
            <v>35</v>
          </cell>
          <cell r="G502">
            <v>0</v>
          </cell>
          <cell r="H502">
            <v>13.734999999999999</v>
          </cell>
          <cell r="I502">
            <v>50.8</v>
          </cell>
          <cell r="J502">
            <v>27.922499999999999</v>
          </cell>
          <cell r="K502">
            <v>167.535</v>
          </cell>
          <cell r="M502">
            <v>16.858699999999999</v>
          </cell>
          <cell r="N502">
            <v>0</v>
          </cell>
          <cell r="O502">
            <v>20.757000000000001</v>
          </cell>
          <cell r="P502">
            <v>0</v>
          </cell>
          <cell r="Q502">
            <v>60</v>
          </cell>
          <cell r="R502">
            <v>49.238849999999999</v>
          </cell>
          <cell r="S502" t="str">
            <v>NA</v>
          </cell>
          <cell r="T502">
            <v>24.475758333333335</v>
          </cell>
          <cell r="U502">
            <v>146.85455000000002</v>
          </cell>
        </row>
        <row r="503">
          <cell r="B503" t="str">
            <v>Free Cash Flow/Sales</v>
          </cell>
          <cell r="C503">
            <v>0</v>
          </cell>
          <cell r="D503">
            <v>180</v>
          </cell>
          <cell r="E503">
            <v>118</v>
          </cell>
          <cell r="F503">
            <v>138</v>
          </cell>
          <cell r="G503">
            <v>0.53700000000000003</v>
          </cell>
          <cell r="H503">
            <v>54.201000000000001</v>
          </cell>
          <cell r="I503">
            <v>193.01299999999998</v>
          </cell>
          <cell r="J503">
            <v>97.678714285714278</v>
          </cell>
          <cell r="K503">
            <v>683.75099999999998</v>
          </cell>
          <cell r="M503">
            <v>62.804699999999997</v>
          </cell>
          <cell r="N503">
            <v>0</v>
          </cell>
          <cell r="O503">
            <v>83.063000000000002</v>
          </cell>
          <cell r="P503">
            <v>0</v>
          </cell>
          <cell r="Q503">
            <v>238</v>
          </cell>
          <cell r="R503">
            <v>193.23885000000001</v>
          </cell>
          <cell r="S503">
            <v>0</v>
          </cell>
          <cell r="T503">
            <v>82.443792857142853</v>
          </cell>
          <cell r="U503">
            <v>577.10654999999997</v>
          </cell>
        </row>
        <row r="504">
          <cell r="B504" t="str">
            <v>FY(2)</v>
          </cell>
          <cell r="C504">
            <v>8.2584118928959477E-2</v>
          </cell>
          <cell r="D504">
            <v>6.7272781284662894E-2</v>
          </cell>
          <cell r="E504">
            <v>6.6257743320792012E-2</v>
          </cell>
          <cell r="F504">
            <v>9.8843271958380621E-2</v>
          </cell>
          <cell r="G504">
            <v>4.3342392828759901E-2</v>
          </cell>
          <cell r="H504">
            <v>5.5799161602969057E-2</v>
          </cell>
          <cell r="I504">
            <v>6.1832011747009565E-2</v>
          </cell>
          <cell r="J504">
            <v>6.7990211667361938E-2</v>
          </cell>
          <cell r="K504">
            <v>6.9875221653607225E-2</v>
          </cell>
          <cell r="M504">
            <v>4.914250946574493E-2</v>
          </cell>
          <cell r="N504">
            <v>3.8046441883218811E-2</v>
          </cell>
          <cell r="O504">
            <v>5.4067491234426439E-2</v>
          </cell>
          <cell r="P504">
            <v>0.20103078482470135</v>
          </cell>
          <cell r="Q504">
            <v>2.7729493116792483E-2</v>
          </cell>
          <cell r="R504">
            <v>-7.7736567835179878E-3</v>
          </cell>
          <cell r="S504">
            <v>4.0888159901944908E-2</v>
          </cell>
          <cell r="T504">
            <v>5.7590174806187271E-2</v>
          </cell>
          <cell r="U504">
            <v>3.5313197223818864E-2</v>
          </cell>
        </row>
        <row r="505">
          <cell r="B505" t="str">
            <v>FY(1)</v>
          </cell>
          <cell r="C505">
            <v>1.2522878289574043E-2</v>
          </cell>
          <cell r="D505">
            <v>-6.3753643074999028E-3</v>
          </cell>
          <cell r="E505">
            <v>1.6668809255985861E-2</v>
          </cell>
          <cell r="F505">
            <v>3.1771342419490917E-3</v>
          </cell>
          <cell r="G505">
            <v>-4.5825289188847984E-2</v>
          </cell>
          <cell r="H505">
            <v>2.5863238332732671E-2</v>
          </cell>
          <cell r="I505">
            <v>2.8779651890930846E-2</v>
          </cell>
          <cell r="J505">
            <v>4.9730083592606613E-3</v>
          </cell>
          <cell r="K505">
            <v>1.1431092390628375E-2</v>
          </cell>
          <cell r="M505">
            <v>2.1490246705066201E-2</v>
          </cell>
          <cell r="N505">
            <v>5.2491017119315468E-2</v>
          </cell>
          <cell r="O505">
            <v>-1.1908457426466667E-3</v>
          </cell>
          <cell r="P505">
            <v>0.19455697495910562</v>
          </cell>
          <cell r="Q505">
            <v>5.9107806691449806E-2</v>
          </cell>
          <cell r="R505">
            <v>8.1148674494490071E-3</v>
          </cell>
          <cell r="S505">
            <v>6.4139226803617985E-2</v>
          </cell>
          <cell r="T505">
            <v>5.6958470569336783E-2</v>
          </cell>
          <cell r="U505">
            <v>4.9774058879925059E-2</v>
          </cell>
        </row>
        <row r="506">
          <cell r="B506" t="str">
            <v>FY0</v>
          </cell>
          <cell r="C506">
            <v>3.9769459160505317E-2</v>
          </cell>
          <cell r="D506">
            <v>-2.4627680711198658E-3</v>
          </cell>
          <cell r="E506">
            <v>3.605772914981481E-2</v>
          </cell>
          <cell r="F506">
            <v>3.2160329377573266E-2</v>
          </cell>
          <cell r="G506">
            <v>-1.2902072201423611E-2</v>
          </cell>
          <cell r="H506">
            <v>5.4984861946604312E-2</v>
          </cell>
          <cell r="I506">
            <v>5.1777871186178707E-2</v>
          </cell>
          <cell r="J506">
            <v>2.8483630078304706E-2</v>
          </cell>
          <cell r="K506">
            <v>3.2761061584019244E-2</v>
          </cell>
          <cell r="M506">
            <v>2.1404201630457975E-2</v>
          </cell>
          <cell r="N506">
            <v>9.7807188450768023E-2</v>
          </cell>
          <cell r="O506">
            <v>4.040722835002699E-2</v>
          </cell>
          <cell r="P506">
            <v>0.1731674915213523</v>
          </cell>
          <cell r="Q506">
            <v>8.0542368105937873E-2</v>
          </cell>
          <cell r="R506">
            <v>4.7095995481745138E-2</v>
          </cell>
          <cell r="S506">
            <v>7.4576281524576432E-2</v>
          </cell>
          <cell r="T506">
            <v>7.6428679294980664E-2</v>
          </cell>
          <cell r="U506">
            <v>7.3466191367664663E-2</v>
          </cell>
        </row>
        <row r="507">
          <cell r="B507" t="str">
            <v>FY1</v>
          </cell>
          <cell r="C507">
            <v>3.6803257951795759E-2</v>
          </cell>
          <cell r="D507">
            <v>9.9422774355722929E-3</v>
          </cell>
          <cell r="E507">
            <v>3.8099441311130286E-2</v>
          </cell>
          <cell r="F507">
            <v>3.5618222607814165E-2</v>
          </cell>
          <cell r="G507">
            <v>-5.0027060435742943E-3</v>
          </cell>
          <cell r="H507">
            <v>5.5598520850968301E-2</v>
          </cell>
          <cell r="I507">
            <v>5.5317283808356203E-2</v>
          </cell>
          <cell r="J507">
            <v>3.2339471131723245E-2</v>
          </cell>
          <cell r="K507">
            <v>3.6642275467751659E-2</v>
          </cell>
          <cell r="M507">
            <v>2.0415970470597081E-2</v>
          </cell>
          <cell r="N507">
            <v>9.0578807962802529E-2</v>
          </cell>
          <cell r="O507">
            <v>7.4955877918586475E-2</v>
          </cell>
          <cell r="P507">
            <v>0.18784054717553669</v>
          </cell>
          <cell r="Q507">
            <v>6.0678926608646197E-2</v>
          </cell>
          <cell r="R507">
            <v>5.1087560549650884E-2</v>
          </cell>
          <cell r="S507">
            <v>7.8872067209330793E-2</v>
          </cell>
          <cell r="T507">
            <v>8.0632822556450101E-2</v>
          </cell>
          <cell r="U507">
            <v>7.0916381862729541E-2</v>
          </cell>
        </row>
        <row r="508">
          <cell r="B508" t="str">
            <v>FY2</v>
          </cell>
          <cell r="C508">
            <v>3.6029295706379805E-2</v>
          </cell>
          <cell r="D508">
            <v>1.3920310414361453E-2</v>
          </cell>
          <cell r="E508">
            <v>3.736448357061728E-2</v>
          </cell>
          <cell r="F508">
            <v>3.3390176917072134E-2</v>
          </cell>
          <cell r="G508">
            <v>2.7077350511000488E-2</v>
          </cell>
          <cell r="H508">
            <v>5.2939374833065829E-2</v>
          </cell>
          <cell r="I508">
            <v>5.4643574172277366E-2</v>
          </cell>
          <cell r="J508">
            <v>3.6480652303539196E-2</v>
          </cell>
          <cell r="K508">
            <v>3.7482292599545136E-2</v>
          </cell>
          <cell r="M508">
            <v>3.1915815703665182E-2</v>
          </cell>
          <cell r="N508">
            <v>7.8763822416031151E-2</v>
          </cell>
          <cell r="O508">
            <v>8.4651764735319185E-2</v>
          </cell>
          <cell r="P508">
            <v>0.18307230899177407</v>
          </cell>
          <cell r="Q508">
            <v>6.9583157735798123E-2</v>
          </cell>
          <cell r="R508">
            <v>5.5070402142244991E-2</v>
          </cell>
          <cell r="S508">
            <v>8.3649771901842876E-2</v>
          </cell>
          <cell r="T508">
            <v>8.3815291946667939E-2</v>
          </cell>
          <cell r="U508">
            <v>7.6484772109785409E-2</v>
          </cell>
        </row>
        <row r="509">
          <cell r="B509" t="str">
            <v>FY1</v>
          </cell>
          <cell r="D509">
            <v>0.78550963147963926</v>
          </cell>
          <cell r="E509">
            <v>0.1993717773958395</v>
          </cell>
          <cell r="F509">
            <v>0.63496384836295683</v>
          </cell>
          <cell r="G509">
            <v>3.7211925699959076E-3</v>
          </cell>
          <cell r="H509">
            <v>0.44083291573044459</v>
          </cell>
          <cell r="I509">
            <v>0.46264560175149388</v>
          </cell>
          <cell r="M509">
            <v>0.73000681957512381</v>
          </cell>
          <cell r="N509">
            <v>0</v>
          </cell>
          <cell r="O509">
            <v>0.39783823264566592</v>
          </cell>
          <cell r="P509">
            <v>0.29736306688131298</v>
          </cell>
          <cell r="Q509">
            <v>0.33916219577575579</v>
          </cell>
          <cell r="R509">
            <v>0.59587734423778893</v>
          </cell>
          <cell r="S509" t="e">
            <v>#VALUE!</v>
          </cell>
        </row>
        <row r="510">
          <cell r="B510" t="str">
            <v>Free Cash Flow/Share</v>
          </cell>
          <cell r="D510">
            <v>0.86406059462760387</v>
          </cell>
          <cell r="E510">
            <v>0.2309150600599611</v>
          </cell>
          <cell r="F510">
            <v>0.63496384836295727</v>
          </cell>
          <cell r="G510">
            <v>0</v>
          </cell>
          <cell r="H510">
            <v>0.47713743550384785</v>
          </cell>
          <cell r="I510">
            <v>0.53528137752412319</v>
          </cell>
          <cell r="M510">
            <v>0.78806017555813523</v>
          </cell>
          <cell r="N510">
            <v>0</v>
          </cell>
          <cell r="O510">
            <v>0.41521422924591944</v>
          </cell>
          <cell r="P510">
            <v>0.3270077479111474</v>
          </cell>
          <cell r="Q510">
            <v>0.38380166486551759</v>
          </cell>
          <cell r="R510">
            <v>0.62236453288448068</v>
          </cell>
          <cell r="S510" t="e">
            <v>#VALUE!</v>
          </cell>
        </row>
        <row r="511">
          <cell r="B511" t="str">
            <v>FY(2)</v>
          </cell>
          <cell r="C511">
            <v>4.2490893744343969</v>
          </cell>
          <cell r="D511">
            <v>5.9336071944043516</v>
          </cell>
          <cell r="E511">
            <v>3.8593027116768126</v>
          </cell>
          <cell r="F511">
            <v>3.5063074111764871</v>
          </cell>
          <cell r="G511">
            <v>0.92162447683014992</v>
          </cell>
          <cell r="H511">
            <v>2.4313646589537625</v>
          </cell>
          <cell r="I511">
            <v>2.4224043308428991</v>
          </cell>
          <cell r="M511">
            <v>1.9864993498901917</v>
          </cell>
          <cell r="N511">
            <v>0.53651925286588464</v>
          </cell>
          <cell r="O511">
            <v>0.74994933720719081</v>
          </cell>
          <cell r="P511">
            <v>1.3917469975301837</v>
          </cell>
          <cell r="Q511">
            <v>0.55059964786060023</v>
          </cell>
          <cell r="R511">
            <v>-0.2062102633864612</v>
          </cell>
          <cell r="S511">
            <v>0.36341394076755845</v>
          </cell>
        </row>
        <row r="512">
          <cell r="B512" t="str">
            <v>FY(1)</v>
          </cell>
          <cell r="C512">
            <v>0.66934487847434565</v>
          </cell>
          <cell r="D512">
            <v>-0.52880762759395628</v>
          </cell>
          <cell r="E512">
            <v>0.98456427596844054</v>
          </cell>
          <cell r="F512">
            <v>0.12026764068028728</v>
          </cell>
          <cell r="G512">
            <v>-1.0056528994258165</v>
          </cell>
          <cell r="H512">
            <v>1.2780636112935091</v>
          </cell>
          <cell r="I512">
            <v>1.23638882545138</v>
          </cell>
          <cell r="M512">
            <v>0.83853069698528215</v>
          </cell>
          <cell r="N512">
            <v>0.97641608460597462</v>
          </cell>
          <cell r="O512">
            <v>-1.71460916649805E-2</v>
          </cell>
          <cell r="P512">
            <v>1.7177598894128945</v>
          </cell>
          <cell r="Q512">
            <v>1.1941585535465924</v>
          </cell>
          <cell r="R512">
            <v>0.21755144514839858</v>
          </cell>
          <cell r="S512">
            <v>0.6887105598096076</v>
          </cell>
        </row>
        <row r="513">
          <cell r="B513" t="str">
            <v>FY0</v>
          </cell>
          <cell r="C513">
            <v>2.22514657980456</v>
          </cell>
          <cell r="D513">
            <v>-0.18569894782048532</v>
          </cell>
          <cell r="E513">
            <v>2.0053510121936782</v>
          </cell>
          <cell r="F513">
            <v>1.209105394946506</v>
          </cell>
          <cell r="G513">
            <v>-0.23070050291294525</v>
          </cell>
          <cell r="H513">
            <v>3.1587622369933528</v>
          </cell>
          <cell r="I513">
            <v>2.4579735903402469</v>
          </cell>
          <cell r="M513">
            <v>0.70946813838531597</v>
          </cell>
          <cell r="N513">
            <v>2.1590778497348424</v>
          </cell>
          <cell r="O513">
            <v>0.57791712897425107</v>
          </cell>
          <cell r="P513">
            <v>1.7179904182789754</v>
          </cell>
          <cell r="Q513">
            <v>1.6370221904080173</v>
          </cell>
          <cell r="R513">
            <v>1.2441904732759017</v>
          </cell>
          <cell r="S513">
            <v>0.84400480291871405</v>
          </cell>
        </row>
        <row r="514">
          <cell r="B514" t="str">
            <v>FY1</v>
          </cell>
          <cell r="C514">
            <v>2.1951450951174922</v>
          </cell>
          <cell r="D514">
            <v>0.74603456631500475</v>
          </cell>
          <cell r="E514">
            <v>2.1955124058266442</v>
          </cell>
          <cell r="F514">
            <v>1.4328531067238148</v>
          </cell>
          <cell r="G514">
            <v>-9.0055927496579119E-2</v>
          </cell>
          <cell r="H514">
            <v>3.5734863855257211</v>
          </cell>
          <cell r="I514">
            <v>2.9684399163408011</v>
          </cell>
          <cell r="M514">
            <v>0.74223864787224936</v>
          </cell>
          <cell r="N514">
            <v>2.3366848582764055</v>
          </cell>
          <cell r="O514">
            <v>1.0447714364107594</v>
          </cell>
          <cell r="P514">
            <v>2.0554148784630577</v>
          </cell>
          <cell r="Q514">
            <v>1.2998429620665346</v>
          </cell>
          <cell r="R514">
            <v>1.4451999331855581</v>
          </cell>
          <cell r="S514">
            <v>1.0344969730953626</v>
          </cell>
        </row>
        <row r="515">
          <cell r="B515" t="str">
            <v>FY2</v>
          </cell>
          <cell r="C515">
            <v>2.3970045054472342</v>
          </cell>
          <cell r="D515">
            <v>1.067257525113209</v>
          </cell>
          <cell r="E515">
            <v>2.1712447937658159</v>
          </cell>
          <cell r="F515">
            <v>1.4389650502363978</v>
          </cell>
          <cell r="G515">
            <v>0.48361756194990174</v>
          </cell>
          <cell r="H515">
            <v>3.7535223162014</v>
          </cell>
          <cell r="I515">
            <v>3.260057704660106</v>
          </cell>
          <cell r="M515">
            <v>1.3127786118715399</v>
          </cell>
          <cell r="N515">
            <v>2.5241314071906578</v>
          </cell>
          <cell r="O515">
            <v>1.291288849083452</v>
          </cell>
          <cell r="P515">
            <v>2.2381603419179101</v>
          </cell>
          <cell r="Q515">
            <v>1.5436247730291666</v>
          </cell>
          <cell r="R515">
            <v>1.6420317539906257</v>
          </cell>
          <cell r="S515">
            <v>1.2551492139054254</v>
          </cell>
        </row>
        <row r="517">
          <cell r="A517" t="str">
            <v>mstag:fundsUsedToRepurchaseCommonStock</v>
          </cell>
          <cell r="B517" t="str">
            <v>Capex</v>
          </cell>
        </row>
        <row r="518">
          <cell r="B518" t="str">
            <v>FY(5)</v>
          </cell>
          <cell r="C518">
            <v>889.59799999999996</v>
          </cell>
          <cell r="D518">
            <v>398</v>
          </cell>
          <cell r="E518">
            <v>548</v>
          </cell>
          <cell r="F518">
            <v>246.851</v>
          </cell>
          <cell r="G518">
            <v>96.013000000000005</v>
          </cell>
          <cell r="H518">
            <v>149.541</v>
          </cell>
          <cell r="I518">
            <v>429.13299999999998</v>
          </cell>
          <cell r="J518">
            <v>393.87657142857142</v>
          </cell>
          <cell r="K518">
            <v>2757.136</v>
          </cell>
          <cell r="M518">
            <v>185.065</v>
          </cell>
          <cell r="N518">
            <v>46.677</v>
          </cell>
          <cell r="O518">
            <v>97.287999999999997</v>
          </cell>
          <cell r="P518">
            <v>67.692999999999998</v>
          </cell>
          <cell r="Q518">
            <v>419</v>
          </cell>
          <cell r="R518">
            <v>431</v>
          </cell>
          <cell r="S518">
            <v>75.141000000000005</v>
          </cell>
          <cell r="T518">
            <v>188.8377142857143</v>
          </cell>
          <cell r="U518">
            <v>1321.864</v>
          </cell>
        </row>
        <row r="519">
          <cell r="B519" t="str">
            <v>FY(4)</v>
          </cell>
          <cell r="C519">
            <v>828.09500000000003</v>
          </cell>
          <cell r="D519">
            <v>535</v>
          </cell>
          <cell r="E519">
            <v>656</v>
          </cell>
          <cell r="F519">
            <v>271.65899999999999</v>
          </cell>
          <cell r="G519">
            <v>130.124</v>
          </cell>
          <cell r="H519">
            <v>175.851</v>
          </cell>
          <cell r="I519">
            <v>495.94799999999998</v>
          </cell>
          <cell r="J519">
            <v>441.81099999999998</v>
          </cell>
          <cell r="K519">
            <v>3092.6769999999997</v>
          </cell>
          <cell r="M519">
            <v>256.42200000000003</v>
          </cell>
          <cell r="N519">
            <v>58.289000000000001</v>
          </cell>
          <cell r="O519">
            <v>81.545000000000002</v>
          </cell>
          <cell r="P519">
            <v>94.591999999999999</v>
          </cell>
          <cell r="Q519">
            <v>600</v>
          </cell>
          <cell r="R519">
            <v>480</v>
          </cell>
          <cell r="S519">
            <v>127.73</v>
          </cell>
          <cell r="T519">
            <v>242.654</v>
          </cell>
          <cell r="U519">
            <v>1698.578</v>
          </cell>
        </row>
        <row r="520">
          <cell r="B520" t="str">
            <v>FY(3)</v>
          </cell>
          <cell r="C520">
            <v>1163.0920000000001</v>
          </cell>
          <cell r="D520">
            <v>772</v>
          </cell>
          <cell r="E520">
            <v>1392</v>
          </cell>
          <cell r="F520">
            <v>264.43700000000001</v>
          </cell>
          <cell r="G520">
            <v>123.679</v>
          </cell>
          <cell r="H520">
            <v>223.95500000000001</v>
          </cell>
          <cell r="I520">
            <v>378.01100000000002</v>
          </cell>
          <cell r="J520">
            <v>616.73914285714284</v>
          </cell>
          <cell r="K520">
            <v>4317.174</v>
          </cell>
          <cell r="M520">
            <v>403.476</v>
          </cell>
          <cell r="N520">
            <v>44.948999999999998</v>
          </cell>
          <cell r="O520">
            <v>225.93899999999999</v>
          </cell>
          <cell r="P520">
            <v>133.876</v>
          </cell>
          <cell r="Q520">
            <v>572</v>
          </cell>
          <cell r="R520">
            <v>548</v>
          </cell>
          <cell r="S520">
            <v>212.029</v>
          </cell>
          <cell r="T520">
            <v>305.75271428571432</v>
          </cell>
          <cell r="U520">
            <v>2140.2690000000002</v>
          </cell>
        </row>
        <row r="521">
          <cell r="B521" t="str">
            <v>FY(2)</v>
          </cell>
          <cell r="C521">
            <v>1541.683</v>
          </cell>
          <cell r="D521">
            <v>1243</v>
          </cell>
          <cell r="E521">
            <v>1105</v>
          </cell>
          <cell r="F521">
            <v>501</v>
          </cell>
          <cell r="G521">
            <v>136.726</v>
          </cell>
          <cell r="H521">
            <v>236.12100000000001</v>
          </cell>
          <cell r="I521">
            <v>526.98699999999997</v>
          </cell>
          <cell r="J521">
            <v>755.78814285714282</v>
          </cell>
          <cell r="K521">
            <v>5290.5169999999998</v>
          </cell>
          <cell r="M521">
            <v>403.34500000000003</v>
          </cell>
          <cell r="N521">
            <v>82.305999999999997</v>
          </cell>
          <cell r="O521">
            <v>250.40700000000001</v>
          </cell>
          <cell r="P521">
            <v>140.87200000000001</v>
          </cell>
          <cell r="Q521">
            <v>682</v>
          </cell>
          <cell r="R521">
            <v>749</v>
          </cell>
          <cell r="S521">
            <v>115.37</v>
          </cell>
          <cell r="T521">
            <v>346.18571428571431</v>
          </cell>
          <cell r="U521">
            <v>2423.3000000000002</v>
          </cell>
        </row>
        <row r="522">
          <cell r="A522" t="str">
            <v>mstag:capitalExpenditures</v>
          </cell>
          <cell r="B522" t="str">
            <v>FY(1)</v>
          </cell>
          <cell r="C522">
            <v>1014</v>
          </cell>
          <cell r="D522">
            <v>969</v>
          </cell>
          <cell r="E522">
            <v>897</v>
          </cell>
          <cell r="F522">
            <v>563</v>
          </cell>
          <cell r="G522">
            <v>127.30500000000001</v>
          </cell>
          <cell r="H522">
            <v>224.41800000000001</v>
          </cell>
          <cell r="I522">
            <v>582.93200000000002</v>
          </cell>
          <cell r="J522">
            <v>625.37928571428563</v>
          </cell>
          <cell r="K522">
            <v>4377.6549999999997</v>
          </cell>
          <cell r="M522">
            <v>367.60199999999998</v>
          </cell>
          <cell r="N522">
            <v>83.034999999999997</v>
          </cell>
          <cell r="O522">
            <v>265.33499999999998</v>
          </cell>
          <cell r="P522">
            <v>174.72</v>
          </cell>
          <cell r="Q522">
            <v>431</v>
          </cell>
          <cell r="R522">
            <v>479</v>
          </cell>
          <cell r="S522">
            <v>112.553</v>
          </cell>
          <cell r="T522">
            <v>273.32071428571425</v>
          </cell>
          <cell r="U522">
            <v>1913.2449999999999</v>
          </cell>
        </row>
        <row r="523">
          <cell r="B523" t="str">
            <v>FY0</v>
          </cell>
          <cell r="C523">
            <v>666</v>
          </cell>
          <cell r="D523">
            <v>600</v>
          </cell>
          <cell r="E523">
            <v>460</v>
          </cell>
          <cell r="F523">
            <v>360</v>
          </cell>
          <cell r="G523">
            <v>74.576999999999998</v>
          </cell>
          <cell r="H523">
            <v>158.48699999999999</v>
          </cell>
          <cell r="I523">
            <v>429.3</v>
          </cell>
          <cell r="J523">
            <v>392.62342857142863</v>
          </cell>
          <cell r="K523">
            <v>2748.3640000000005</v>
          </cell>
          <cell r="M523">
            <v>175.47200000000001</v>
          </cell>
          <cell r="N523">
            <v>53.883000000000003</v>
          </cell>
          <cell r="O523">
            <v>127.419</v>
          </cell>
          <cell r="P523">
            <v>137.029</v>
          </cell>
          <cell r="Q523">
            <v>334</v>
          </cell>
          <cell r="R523">
            <v>202</v>
          </cell>
          <cell r="S523">
            <v>119.162038443713</v>
          </cell>
          <cell r="T523">
            <v>164.13786263481614</v>
          </cell>
          <cell r="U523">
            <v>1148.965038443713</v>
          </cell>
        </row>
        <row r="524">
          <cell r="B524" t="str">
            <v>FY1</v>
          </cell>
          <cell r="C524">
            <v>907.58838587964101</v>
          </cell>
          <cell r="D524">
            <v>516.37928113343298</v>
          </cell>
          <cell r="E524">
            <v>565.12585635259802</v>
          </cell>
          <cell r="F524">
            <v>455.23699236309801</v>
          </cell>
          <cell r="G524">
            <v>77.761425590910207</v>
          </cell>
          <cell r="H524">
            <v>216.66670210473899</v>
          </cell>
          <cell r="I524">
            <v>471.33063965813898</v>
          </cell>
          <cell r="J524">
            <v>458.58418329750833</v>
          </cell>
          <cell r="K524">
            <v>3210.0892830825583</v>
          </cell>
          <cell r="M524">
            <v>252.64958018246</v>
          </cell>
          <cell r="N524">
            <v>79.400220215663794</v>
          </cell>
          <cell r="O524">
            <v>104.611932148604</v>
          </cell>
          <cell r="P524">
            <v>109.483966350592</v>
          </cell>
          <cell r="Q524">
            <v>588.34474706810602</v>
          </cell>
          <cell r="R524">
            <v>273.32239281791698</v>
          </cell>
          <cell r="S524">
            <v>148.61906341465499</v>
          </cell>
          <cell r="T524">
            <v>222.34741459971397</v>
          </cell>
          <cell r="U524">
            <v>1556.4319021979977</v>
          </cell>
          <cell r="W524">
            <v>4766.521185280556</v>
          </cell>
        </row>
        <row r="525">
          <cell r="B525" t="str">
            <v>FY2</v>
          </cell>
          <cell r="C525">
            <v>1083.4152741635201</v>
          </cell>
          <cell r="D525">
            <v>545.95290120724496</v>
          </cell>
          <cell r="E525">
            <v>705.395843567165</v>
          </cell>
          <cell r="F525">
            <v>533.07692763290902</v>
          </cell>
          <cell r="G525">
            <v>36.653496169259</v>
          </cell>
          <cell r="H525">
            <v>234.750554079805</v>
          </cell>
          <cell r="I525">
            <v>525.90098383666202</v>
          </cell>
          <cell r="J525">
            <v>523.59228295093794</v>
          </cell>
          <cell r="K525">
            <v>3665.1459806565654</v>
          </cell>
          <cell r="M525">
            <v>269.53895223304102</v>
          </cell>
          <cell r="N525">
            <v>89.868208191571199</v>
          </cell>
          <cell r="O525">
            <v>109.075496451026</v>
          </cell>
          <cell r="P525">
            <v>139.387978389967</v>
          </cell>
          <cell r="Q525">
            <v>513.33336615648602</v>
          </cell>
          <cell r="R525">
            <v>320.49644583297498</v>
          </cell>
          <cell r="S525">
            <v>169.55707228555099</v>
          </cell>
          <cell r="T525">
            <v>230.17964564865957</v>
          </cell>
          <cell r="U525">
            <v>1611.2575195406171</v>
          </cell>
          <cell r="W525">
            <v>5276.4035001971824</v>
          </cell>
          <cell r="X525">
            <v>0.10697158264840789</v>
          </cell>
        </row>
        <row r="526">
          <cell r="B526" t="str">
            <v>Last Reported Q</v>
          </cell>
          <cell r="C526" t="str">
            <v>NA</v>
          </cell>
          <cell r="D526" t="str">
            <v>NA</v>
          </cell>
          <cell r="E526">
            <v>0</v>
          </cell>
          <cell r="F526">
            <v>0</v>
          </cell>
          <cell r="G526" t="str">
            <v>NA</v>
          </cell>
          <cell r="H526">
            <v>75.445999999999998</v>
          </cell>
          <cell r="I526">
            <v>293.8</v>
          </cell>
          <cell r="J526">
            <v>92.311499999999995</v>
          </cell>
          <cell r="K526">
            <v>369.24599999999998</v>
          </cell>
          <cell r="M526">
            <v>0</v>
          </cell>
          <cell r="N526">
            <v>20</v>
          </cell>
          <cell r="O526">
            <v>3.5000000000000003E-2</v>
          </cell>
          <cell r="P526" t="str">
            <v>NA</v>
          </cell>
          <cell r="Q526">
            <v>61</v>
          </cell>
          <cell r="R526" t="str">
            <v>NA</v>
          </cell>
          <cell r="S526">
            <v>0</v>
          </cell>
          <cell r="T526">
            <v>16.207000000000001</v>
          </cell>
          <cell r="U526">
            <v>81.034999999999997</v>
          </cell>
        </row>
        <row r="527">
          <cell r="B527" t="str">
            <v>Capex/Sales</v>
          </cell>
          <cell r="C527">
            <v>0</v>
          </cell>
          <cell r="D527">
            <v>0</v>
          </cell>
          <cell r="E527">
            <v>1</v>
          </cell>
          <cell r="F527">
            <v>0</v>
          </cell>
          <cell r="G527">
            <v>0</v>
          </cell>
          <cell r="H527">
            <v>298.41300000000001</v>
          </cell>
          <cell r="I527">
            <v>614.49799999999993</v>
          </cell>
          <cell r="J527">
            <v>130.55871428571427</v>
          </cell>
          <cell r="K527">
            <v>913.91099999999994</v>
          </cell>
          <cell r="M527">
            <v>0</v>
          </cell>
          <cell r="N527">
            <v>33.474000000000004</v>
          </cell>
          <cell r="O527">
            <v>0.2479999999999998</v>
          </cell>
          <cell r="P527">
            <v>0</v>
          </cell>
          <cell r="Q527">
            <v>218</v>
          </cell>
          <cell r="R527">
            <v>0</v>
          </cell>
          <cell r="S527">
            <v>0</v>
          </cell>
          <cell r="T527">
            <v>35.960285714285718</v>
          </cell>
          <cell r="U527">
            <v>251.72200000000001</v>
          </cell>
          <cell r="W527">
            <v>0.14175826821147752</v>
          </cell>
        </row>
        <row r="528">
          <cell r="B528" t="str">
            <v>FY(2)</v>
          </cell>
          <cell r="C528">
            <v>9.3584501356707955E-2</v>
          </cell>
          <cell r="D528">
            <v>6.2585186091487152E-2</v>
          </cell>
          <cell r="E528">
            <v>4.1994451411849654E-2</v>
          </cell>
          <cell r="F528">
            <v>5.6752441770975236E-2</v>
          </cell>
          <cell r="G528">
            <v>4.188097100041567E-2</v>
          </cell>
          <cell r="H528">
            <v>3.9516756894985482E-2</v>
          </cell>
          <cell r="I528">
            <v>2.8739427092928149E-2</v>
          </cell>
          <cell r="J528">
            <v>5.2150533659907031E-2</v>
          </cell>
          <cell r="K528">
            <v>5.3411503037065926E-2</v>
          </cell>
          <cell r="M528">
            <v>0.10902229828935447</v>
          </cell>
          <cell r="N528">
            <v>5.1987672934840759E-2</v>
          </cell>
          <cell r="O528">
            <v>8.1955044463623491E-2</v>
          </cell>
          <cell r="P528">
            <v>5.3923204831009597E-2</v>
          </cell>
          <cell r="Q528">
            <v>4.3265875785066292E-2</v>
          </cell>
          <cell r="R528">
            <v>7.4259195127486383E-2</v>
          </cell>
          <cell r="S528">
            <v>7.6519309900220475E-2</v>
          </cell>
          <cell r="T528">
            <v>7.0133228761657368E-2</v>
          </cell>
          <cell r="U528">
            <v>6.3258771447465792E-2</v>
          </cell>
        </row>
        <row r="529">
          <cell r="B529" t="str">
            <v>FY(1)</v>
          </cell>
          <cell r="C529">
            <v>6.1871144494139323E-2</v>
          </cell>
          <cell r="D529">
            <v>5.2416704966716285E-2</v>
          </cell>
          <cell r="E529">
            <v>3.6035674112164552E-2</v>
          </cell>
          <cell r="F529">
            <v>6.7904957182487027E-2</v>
          </cell>
          <cell r="G529">
            <v>4.1919557125583824E-2</v>
          </cell>
          <cell r="H529">
            <v>3.4599628530933429E-2</v>
          </cell>
          <cell r="I529">
            <v>3.0681430910963207E-2</v>
          </cell>
          <cell r="J529">
            <v>4.6489871046141093E-2</v>
          </cell>
          <cell r="K529">
            <v>4.5326299240674772E-2</v>
          </cell>
          <cell r="M529">
            <v>0.10550975486336762</v>
          </cell>
          <cell r="N529">
            <v>4.4037992480632775E-2</v>
          </cell>
          <cell r="O529">
            <v>8.8775927064119339E-2</v>
          </cell>
          <cell r="P529">
            <v>5.4930320046454352E-2</v>
          </cell>
          <cell r="Q529">
            <v>2.9670934875395842E-2</v>
          </cell>
          <cell r="R529">
            <v>5.2970898849801627E-2</v>
          </cell>
          <cell r="S529">
            <v>6.1349556147383272E-2</v>
          </cell>
          <cell r="T529">
            <v>6.2463626332450693E-2</v>
          </cell>
          <cell r="U529">
            <v>5.1789835122335176E-2</v>
          </cell>
        </row>
        <row r="530">
          <cell r="B530" t="str">
            <v>FY0</v>
          </cell>
          <cell r="C530">
            <v>3.8772777551376841E-2</v>
          </cell>
          <cell r="D530">
            <v>3.4173469997037909E-2</v>
          </cell>
          <cell r="E530">
            <v>1.9583634892928605E-2</v>
          </cell>
          <cell r="F530">
            <v>4.359409057883265E-2</v>
          </cell>
          <cell r="G530">
            <v>2.8402603486295135E-2</v>
          </cell>
          <cell r="H530">
            <v>2.206045394255432E-2</v>
          </cell>
          <cell r="I530">
            <v>2.115982871825952E-2</v>
          </cell>
          <cell r="J530">
            <v>2.9678122738183571E-2</v>
          </cell>
          <cell r="K530">
            <v>2.8456909994136789E-2</v>
          </cell>
          <cell r="M530">
            <v>5.9916172265141496E-2</v>
          </cell>
          <cell r="N530">
            <v>2.4161642613240185E-2</v>
          </cell>
          <cell r="O530">
            <v>4.2607098742107656E-2</v>
          </cell>
          <cell r="P530">
            <v>4.2417693040141556E-2</v>
          </cell>
          <cell r="Q530">
            <v>2.3526097062759738E-2</v>
          </cell>
          <cell r="R530">
            <v>2.3399843139962396E-2</v>
          </cell>
          <cell r="S530">
            <v>6.149299001386252E-2</v>
          </cell>
          <cell r="T530">
            <v>3.9645933839602229E-2</v>
          </cell>
          <cell r="U530">
            <v>3.1785808544811306E-2</v>
          </cell>
        </row>
        <row r="531">
          <cell r="B531" t="str">
            <v>FY1</v>
          </cell>
          <cell r="C531">
            <v>4.906384536712001E-2</v>
          </cell>
          <cell r="D531">
            <v>2.9000000000000019E-2</v>
          </cell>
          <cell r="E531">
            <v>2.3024470937356083E-2</v>
          </cell>
          <cell r="F531">
            <v>5.0970015246604841E-2</v>
          </cell>
          <cell r="G531">
            <v>2.8406073555532135E-2</v>
          </cell>
          <cell r="H531">
            <v>2.7764038492343043E-2</v>
          </cell>
          <cell r="I531">
            <v>2.1369574682242889E-2</v>
          </cell>
          <cell r="J531">
            <v>3.2799716897314146E-2</v>
          </cell>
          <cell r="K531">
            <v>3.1355313033391612E-2</v>
          </cell>
          <cell r="M531">
            <v>7.9882941077226516E-2</v>
          </cell>
          <cell r="N531">
            <v>3.2671433838796095E-2</v>
          </cell>
          <cell r="O531">
            <v>3.500000000000001E-2</v>
          </cell>
          <cell r="P531">
            <v>3.1496204389433645E-2</v>
          </cell>
          <cell r="Q531">
            <v>4.1852106209232701E-2</v>
          </cell>
          <cell r="R531">
            <v>3.0000000000000061E-2</v>
          </cell>
          <cell r="S531">
            <v>6.5716719965351583E-2</v>
          </cell>
          <cell r="T531">
            <v>4.5231343640005806E-2</v>
          </cell>
          <cell r="U531">
            <v>4.1518146381270146E-2</v>
          </cell>
        </row>
        <row r="532">
          <cell r="B532" t="str">
            <v>FY2</v>
          </cell>
          <cell r="C532">
            <v>5.4063845367119855E-2</v>
          </cell>
          <cell r="D532">
            <v>0.03</v>
          </cell>
          <cell r="E532">
            <v>2.8499999999999838E-2</v>
          </cell>
          <cell r="F532">
            <v>5.7000000000000065E-2</v>
          </cell>
          <cell r="G532">
            <v>1.2499999999999957E-2</v>
          </cell>
          <cell r="H532">
            <v>2.8764038492343064E-2</v>
          </cell>
          <cell r="I532">
            <v>2.2369574682242845E-2</v>
          </cell>
          <cell r="J532">
            <v>3.3313922648815095E-2</v>
          </cell>
          <cell r="K532">
            <v>3.4271596581928084E-2</v>
          </cell>
          <cell r="M532">
            <v>7.8882941077226418E-2</v>
          </cell>
          <cell r="N532">
            <v>3.2671433838796143E-2</v>
          </cell>
          <cell r="O532">
            <v>3.2999999999999953E-2</v>
          </cell>
          <cell r="P532">
            <v>3.7496204389433692E-2</v>
          </cell>
          <cell r="Q532">
            <v>3.800000000000011E-2</v>
          </cell>
          <cell r="R532">
            <v>3.3899999999999965E-2</v>
          </cell>
          <cell r="S532">
            <v>6.5716719965351306E-2</v>
          </cell>
          <cell r="T532">
            <v>4.5666757038686799E-2</v>
          </cell>
          <cell r="U532">
            <v>4.1598672627023166E-2</v>
          </cell>
        </row>
        <row r="533">
          <cell r="B533" t="str">
            <v>FY1</v>
          </cell>
          <cell r="C533">
            <v>0</v>
          </cell>
          <cell r="D533">
            <v>182.945193171608</v>
          </cell>
          <cell r="E533">
            <v>85.1</v>
          </cell>
          <cell r="F533">
            <v>139.1936024</v>
          </cell>
          <cell r="G533">
            <v>0.54100000000000004</v>
          </cell>
          <cell r="H533">
            <v>355.01931090619053</v>
          </cell>
          <cell r="I533">
            <v>823.37161142857099</v>
          </cell>
          <cell r="J533">
            <v>226.59581684376707</v>
          </cell>
          <cell r="K533">
            <v>1586.1707179063694</v>
          </cell>
          <cell r="M533">
            <v>64.431664990000002</v>
          </cell>
          <cell r="N533">
            <v>88.472999999999999</v>
          </cell>
          <cell r="O533">
            <v>83.486885200000003</v>
          </cell>
          <cell r="P533">
            <v>95.706649923605795</v>
          </cell>
          <cell r="Q533">
            <v>492.82129880369598</v>
          </cell>
          <cell r="R533">
            <v>194.73504270000001</v>
          </cell>
          <cell r="S533">
            <v>0</v>
          </cell>
          <cell r="T533">
            <v>145.6649345167574</v>
          </cell>
          <cell r="U533">
            <v>1019.6545416173018</v>
          </cell>
        </row>
        <row r="534">
          <cell r="A534" t="str">
            <v>mstag:averageDilutedSharesOutstanding</v>
          </cell>
          <cell r="B534" t="str">
            <v>Shares</v>
          </cell>
          <cell r="C534">
            <v>0</v>
          </cell>
          <cell r="D534">
            <v>205.90563969975801</v>
          </cell>
          <cell r="E534">
            <v>97.307606309267598</v>
          </cell>
          <cell r="F534">
            <v>286.66186174613699</v>
          </cell>
          <cell r="G534">
            <v>0</v>
          </cell>
          <cell r="H534">
            <v>307.96242645149999</v>
          </cell>
          <cell r="I534">
            <v>923.40618542842799</v>
          </cell>
          <cell r="J534">
            <v>260.17767423358436</v>
          </cell>
          <cell r="K534">
            <v>1821.2437196350907</v>
          </cell>
          <cell r="M534">
            <v>265.18449312984052</v>
          </cell>
          <cell r="N534">
            <v>175.375337620886</v>
          </cell>
          <cell r="O534">
            <v>139.4917100024507</v>
          </cell>
          <cell r="P534">
            <v>102.025034707074</v>
          </cell>
          <cell r="Q534">
            <v>1424.371796259763</v>
          </cell>
          <cell r="R534">
            <v>200</v>
          </cell>
          <cell r="S534">
            <v>0</v>
          </cell>
          <cell r="T534">
            <v>329.49262453143058</v>
          </cell>
          <cell r="U534">
            <v>2306.4483717200142</v>
          </cell>
        </row>
        <row r="535">
          <cell r="B535" t="str">
            <v>FY(2)</v>
          </cell>
          <cell r="C535">
            <v>320.17824999999999</v>
          </cell>
          <cell r="D535">
            <v>225.17500000000001</v>
          </cell>
          <cell r="E535">
            <v>451.75</v>
          </cell>
          <cell r="F535">
            <v>248.85724999999999</v>
          </cell>
          <cell r="G535">
            <v>153.53</v>
          </cell>
          <cell r="H535">
            <v>137.12950000000001</v>
          </cell>
          <cell r="I535">
            <v>468.04599999999999</v>
          </cell>
          <cell r="J535">
            <v>49.120571428571417</v>
          </cell>
          <cell r="K535">
            <v>343.84399999999994</v>
          </cell>
          <cell r="M535">
            <v>91.522999999999996</v>
          </cell>
          <cell r="N535">
            <v>112.26900000000001</v>
          </cell>
          <cell r="O535">
            <v>220.28</v>
          </cell>
          <cell r="P535">
            <v>377.35599999999999</v>
          </cell>
          <cell r="Q535">
            <v>793.86175000000003</v>
          </cell>
          <cell r="R535">
            <v>380.23025000000001</v>
          </cell>
          <cell r="S535">
            <v>169.63592499999999</v>
          </cell>
          <cell r="T535">
            <v>36.599857142857147</v>
          </cell>
          <cell r="U535">
            <v>256.19900000000001</v>
          </cell>
        </row>
        <row r="536">
          <cell r="B536" t="str">
            <v>FY(1)</v>
          </cell>
          <cell r="C536">
            <v>306.6225</v>
          </cell>
          <cell r="D536">
            <v>222.875</v>
          </cell>
          <cell r="E536">
            <v>421.42500000000001</v>
          </cell>
          <cell r="F536">
            <v>219.02500000000001</v>
          </cell>
          <cell r="G536">
            <v>138.38399999999999</v>
          </cell>
          <cell r="H536">
            <v>131.25524999999999</v>
          </cell>
          <cell r="I536">
            <v>442.255</v>
          </cell>
          <cell r="J536">
            <v>44.920142857142864</v>
          </cell>
          <cell r="K536">
            <v>314.44100000000003</v>
          </cell>
          <cell r="M536">
            <v>89.290999999999997</v>
          </cell>
          <cell r="N536">
            <v>101.364</v>
          </cell>
          <cell r="O536">
            <v>207.58199999999999</v>
          </cell>
          <cell r="P536">
            <v>360.25900000000001</v>
          </cell>
          <cell r="Q536">
            <v>719</v>
          </cell>
          <cell r="R536">
            <v>337.30099999999999</v>
          </cell>
          <cell r="S536">
            <v>170.85694175</v>
          </cell>
          <cell r="T536">
            <v>26.853857142857144</v>
          </cell>
          <cell r="U536">
            <v>187.977</v>
          </cell>
        </row>
        <row r="537">
          <cell r="B537" t="str">
            <v>FY0</v>
          </cell>
          <cell r="C537">
            <v>307</v>
          </cell>
          <cell r="D537">
            <v>232.85</v>
          </cell>
          <cell r="E537">
            <v>422.35</v>
          </cell>
          <cell r="F537">
            <v>219.65</v>
          </cell>
          <cell r="G537">
            <v>146.84450000000001</v>
          </cell>
          <cell r="H537">
            <v>125.05625000000001</v>
          </cell>
          <cell r="I537">
            <v>427.38150000000002</v>
          </cell>
          <cell r="J537">
            <v>57.513714285714286</v>
          </cell>
          <cell r="K537">
            <v>402.596</v>
          </cell>
          <cell r="M537">
            <v>88.354749999999996</v>
          </cell>
          <cell r="N537">
            <v>101.02475</v>
          </cell>
          <cell r="O537">
            <v>209.096</v>
          </cell>
          <cell r="P537">
            <v>325.62</v>
          </cell>
          <cell r="Q537">
            <v>698.5</v>
          </cell>
          <cell r="R537">
            <v>326.76499999999999</v>
          </cell>
          <cell r="S537">
            <v>171.22537274999999</v>
          </cell>
          <cell r="T537">
            <v>22.394714285714286</v>
          </cell>
          <cell r="U537">
            <v>156.76300000000001</v>
          </cell>
        </row>
        <row r="538">
          <cell r="B538" t="str">
            <v>FY1</v>
          </cell>
          <cell r="C538">
            <v>310.13471428571398</v>
          </cell>
          <cell r="D538">
            <v>237.3</v>
          </cell>
          <cell r="E538">
            <v>425.93</v>
          </cell>
          <cell r="F538">
            <v>222.02064300000001</v>
          </cell>
          <cell r="G538">
            <v>152.07075</v>
          </cell>
          <cell r="H538">
            <v>121.417319545455</v>
          </cell>
          <cell r="I538">
            <v>411.01945454545398</v>
          </cell>
          <cell r="J538">
            <v>76.682999999999993</v>
          </cell>
          <cell r="K538">
            <v>536.78099999999995</v>
          </cell>
          <cell r="M538">
            <v>86.994340425531902</v>
          </cell>
          <cell r="N538">
            <v>94.206304765520699</v>
          </cell>
          <cell r="O538">
            <v>214.43594377777799</v>
          </cell>
          <cell r="P538">
            <v>317.67435087815102</v>
          </cell>
          <cell r="Q538">
            <v>656.23828581818202</v>
          </cell>
          <cell r="R538">
            <v>322.06326548148098</v>
          </cell>
          <cell r="S538">
            <v>172.42198500000001</v>
          </cell>
          <cell r="T538">
            <v>32.55565</v>
          </cell>
          <cell r="U538">
            <v>227.88954999999999</v>
          </cell>
        </row>
        <row r="539">
          <cell r="B539" t="str">
            <v>FY2</v>
          </cell>
          <cell r="C539">
            <v>301.21385487113298</v>
          </cell>
          <cell r="D539">
            <v>237.363325395462</v>
          </cell>
          <cell r="E539">
            <v>425.93</v>
          </cell>
          <cell r="F539">
            <v>217.01187766065601</v>
          </cell>
          <cell r="G539">
            <v>164.17593426128801</v>
          </cell>
          <cell r="H539">
            <v>115.105631233766</v>
          </cell>
          <cell r="I539">
            <v>394.05792611882902</v>
          </cell>
          <cell r="J539">
            <v>228.23742857142858</v>
          </cell>
          <cell r="K539">
            <v>1597.662</v>
          </cell>
          <cell r="M539">
            <v>83.071661626235098</v>
          </cell>
          <cell r="N539">
            <v>85.832687672587596</v>
          </cell>
          <cell r="O539">
            <v>216.68351600604399</v>
          </cell>
          <cell r="P539">
            <v>304.067129634504</v>
          </cell>
          <cell r="Q539">
            <v>608.94531141072105</v>
          </cell>
          <cell r="R539">
            <v>317.07369672823501</v>
          </cell>
          <cell r="S539">
            <v>171.952871551062</v>
          </cell>
          <cell r="T539">
            <v>118.40407857142857</v>
          </cell>
          <cell r="U539">
            <v>828.82854999999995</v>
          </cell>
        </row>
        <row r="540">
          <cell r="B540" t="str">
            <v>FQ(3)</v>
          </cell>
          <cell r="C540">
            <v>306</v>
          </cell>
          <cell r="D540">
            <v>222.7</v>
          </cell>
          <cell r="E540">
            <v>421.4</v>
          </cell>
          <cell r="F540">
            <v>217.4</v>
          </cell>
          <cell r="G540">
            <v>138.297</v>
          </cell>
          <cell r="H540">
            <v>126.56399999999999</v>
          </cell>
          <cell r="I540">
            <v>431.798</v>
          </cell>
          <cell r="M540">
            <v>87.697000000000003</v>
          </cell>
          <cell r="N540">
            <v>101.685</v>
          </cell>
          <cell r="O540">
            <v>207.286</v>
          </cell>
          <cell r="P540">
            <v>321.35500000000002</v>
          </cell>
          <cell r="Q540">
            <v>697</v>
          </cell>
          <cell r="R540">
            <v>323.28500000000003</v>
          </cell>
          <cell r="S540">
            <v>170.31670800000001</v>
          </cell>
        </row>
        <row r="541">
          <cell r="B541" t="str">
            <v>FQ(2)</v>
          </cell>
          <cell r="C541">
            <v>306</v>
          </cell>
          <cell r="D541">
            <v>233.8</v>
          </cell>
          <cell r="E541">
            <v>422.1</v>
          </cell>
          <cell r="F541">
            <v>218.8</v>
          </cell>
          <cell r="G541">
            <v>138.32499999999999</v>
          </cell>
          <cell r="H541">
            <v>125.658</v>
          </cell>
          <cell r="I541">
            <v>430.45299999999997</v>
          </cell>
          <cell r="M541">
            <v>87.878</v>
          </cell>
          <cell r="N541">
            <v>102.4455</v>
          </cell>
          <cell r="O541">
            <v>209.01499999999999</v>
          </cell>
          <cell r="P541">
            <v>320.512</v>
          </cell>
          <cell r="Q541">
            <v>700</v>
          </cell>
          <cell r="R541">
            <v>325.697</v>
          </cell>
          <cell r="S541">
            <v>170.71927400000001</v>
          </cell>
        </row>
        <row r="542">
          <cell r="B542" t="str">
            <v>FQ(1)</v>
          </cell>
          <cell r="C542">
            <v>308</v>
          </cell>
          <cell r="D542">
            <v>237.6</v>
          </cell>
          <cell r="E542">
            <v>421.8</v>
          </cell>
          <cell r="F542">
            <v>220.7</v>
          </cell>
          <cell r="G542">
            <v>152.45599999999999</v>
          </cell>
          <cell r="H542">
            <v>124.648</v>
          </cell>
          <cell r="I542">
            <v>428.09199999999998</v>
          </cell>
          <cell r="J542">
            <v>5.9822026995043656</v>
          </cell>
          <cell r="K542">
            <v>1.0740709902116266</v>
          </cell>
          <cell r="M542">
            <v>88.73</v>
          </cell>
          <cell r="N542">
            <v>101.98650000000001</v>
          </cell>
          <cell r="O542">
            <v>209.393</v>
          </cell>
          <cell r="P542">
            <v>321.11500000000001</v>
          </cell>
          <cell r="Q542">
            <v>704</v>
          </cell>
          <cell r="R542">
            <v>328.25900000000001</v>
          </cell>
          <cell r="S542">
            <v>171.44390200000001</v>
          </cell>
          <cell r="T542">
            <v>0.54803252730191898</v>
          </cell>
          <cell r="U542">
            <v>0.62421656550496152</v>
          </cell>
        </row>
        <row r="543">
          <cell r="B543" t="str">
            <v>Last Reported Q</v>
          </cell>
          <cell r="C543">
            <v>307</v>
          </cell>
          <cell r="D543">
            <v>232.85</v>
          </cell>
          <cell r="E543">
            <v>422.35</v>
          </cell>
          <cell r="F543">
            <v>219.65</v>
          </cell>
          <cell r="G543">
            <v>146.84450000000001</v>
          </cell>
          <cell r="H543">
            <v>125.05625000000001</v>
          </cell>
          <cell r="I543">
            <v>427.38150000000002</v>
          </cell>
          <cell r="J543">
            <v>1.2055641241313226</v>
          </cell>
          <cell r="K543">
            <v>1.345688514126187</v>
          </cell>
          <cell r="M543">
            <v>88.354749999999996</v>
          </cell>
          <cell r="N543">
            <v>101.02475</v>
          </cell>
          <cell r="O543">
            <v>209.096</v>
          </cell>
          <cell r="P543">
            <v>321.38099999999997</v>
          </cell>
          <cell r="Q543">
            <v>698.5</v>
          </cell>
          <cell r="R543">
            <v>326.76499999999999</v>
          </cell>
          <cell r="S543">
            <v>171.22537274999999</v>
          </cell>
          <cell r="T543">
            <v>0.98358433469455953</v>
          </cell>
          <cell r="U543">
            <v>1.0261221323087046</v>
          </cell>
        </row>
        <row r="544">
          <cell r="B544" t="str">
            <v>LTM</v>
          </cell>
          <cell r="C544">
            <v>306.75</v>
          </cell>
          <cell r="D544">
            <v>231.73750000000001</v>
          </cell>
          <cell r="E544">
            <v>421.91250000000002</v>
          </cell>
          <cell r="F544">
            <v>219.13750000000002</v>
          </cell>
          <cell r="G544">
            <v>143.980625</v>
          </cell>
          <cell r="H544">
            <v>125.4815625</v>
          </cell>
          <cell r="I544">
            <v>429.43112499999995</v>
          </cell>
          <cell r="J544">
            <v>0.53601675902895107</v>
          </cell>
          <cell r="K544">
            <v>0.53144082268673543</v>
          </cell>
          <cell r="M544">
            <v>88.164937500000008</v>
          </cell>
          <cell r="N544">
            <v>101.78543749999999</v>
          </cell>
          <cell r="O544">
            <v>208.69749999999999</v>
          </cell>
          <cell r="P544">
            <v>321.09074999999996</v>
          </cell>
          <cell r="Q544">
            <v>699.875</v>
          </cell>
          <cell r="R544">
            <v>326.00149999999996</v>
          </cell>
          <cell r="S544">
            <v>170.9263141875</v>
          </cell>
          <cell r="T544">
            <v>0.33995816525749134</v>
          </cell>
          <cell r="U544">
            <v>0.48329425673440402</v>
          </cell>
        </row>
        <row r="545">
          <cell r="B545" t="str">
            <v>FY1</v>
          </cell>
          <cell r="C545">
            <v>0</v>
          </cell>
          <cell r="D545">
            <v>0.75886991644161217</v>
          </cell>
          <cell r="E545">
            <v>0.13544901852545316</v>
          </cell>
          <cell r="F545">
            <v>0.3501044562658292</v>
          </cell>
          <cell r="G545">
            <v>-7.8789507472054546E-3</v>
          </cell>
          <cell r="H545">
            <v>0.83723039615621164</v>
          </cell>
          <cell r="I545">
            <v>0.71266152001253269</v>
          </cell>
          <cell r="J545">
            <v>0.39806233666491903</v>
          </cell>
          <cell r="K545">
            <v>0.42529092369424204</v>
          </cell>
          <cell r="M545">
            <v>0.72421096097612114</v>
          </cell>
          <cell r="N545">
            <v>0.40902156005660512</v>
          </cell>
          <cell r="O545">
            <v>0.53922669551942037</v>
          </cell>
          <cell r="P545">
            <v>0.13932993511019859</v>
          </cell>
          <cell r="Q545">
            <v>0.45705508052969995</v>
          </cell>
          <cell r="R545">
            <v>0.5372637429287398</v>
          </cell>
          <cell r="S545">
            <v>0</v>
          </cell>
          <cell r="T545">
            <v>0.40087256787439784</v>
          </cell>
          <cell r="U545">
            <v>0.36417724611131913</v>
          </cell>
        </row>
        <row r="546">
          <cell r="B546" t="str">
            <v>Dividends</v>
          </cell>
          <cell r="C546">
            <v>0</v>
          </cell>
          <cell r="D546">
            <v>0.56460161768085815</v>
          </cell>
          <cell r="E546">
            <v>0.17369223170512707</v>
          </cell>
          <cell r="F546">
            <v>0.65325836349800881</v>
          </cell>
          <cell r="G546">
            <v>0</v>
          </cell>
          <cell r="H546">
            <v>0.71527012076771046</v>
          </cell>
          <cell r="I546">
            <v>0.70968320578337618</v>
          </cell>
          <cell r="J546">
            <v>0.40235793420501148</v>
          </cell>
          <cell r="K546">
            <v>0.43866553937993219</v>
          </cell>
          <cell r="M546">
            <v>1.9999999999999738</v>
          </cell>
          <cell r="N546">
            <v>0.79999999999998717</v>
          </cell>
          <cell r="O546">
            <v>0.7000000000000085</v>
          </cell>
          <cell r="P546">
            <v>0.13879332235659583</v>
          </cell>
          <cell r="Q546">
            <v>1.3200000000000276</v>
          </cell>
          <cell r="R546">
            <v>0.48792508469895424</v>
          </cell>
          <cell r="S546">
            <v>0</v>
          </cell>
          <cell r="T546">
            <v>0.77810262957936394</v>
          </cell>
          <cell r="U546">
            <v>0.75795426630354901</v>
          </cell>
        </row>
        <row r="547">
          <cell r="B547" t="str">
            <v>FY(2)</v>
          </cell>
          <cell r="C547" t="str">
            <v>NA</v>
          </cell>
          <cell r="D547">
            <v>174</v>
          </cell>
          <cell r="E547">
            <v>230</v>
          </cell>
          <cell r="F547">
            <v>134</v>
          </cell>
          <cell r="G547">
            <v>7.43</v>
          </cell>
          <cell r="H547">
            <v>40.637999999999998</v>
          </cell>
          <cell r="I547">
            <v>151.49199999999999</v>
          </cell>
          <cell r="J547">
            <v>122.92666666666666</v>
          </cell>
          <cell r="K547">
            <v>737.56</v>
          </cell>
          <cell r="M547">
            <v>61.33</v>
          </cell>
          <cell r="N547">
            <v>0</v>
          </cell>
          <cell r="O547">
            <v>80.796000000000006</v>
          </cell>
          <cell r="P547">
            <v>0</v>
          </cell>
          <cell r="Q547">
            <v>252</v>
          </cell>
          <cell r="R547">
            <v>227</v>
          </cell>
          <cell r="S547" t="str">
            <v>NA</v>
          </cell>
          <cell r="T547">
            <v>103.521</v>
          </cell>
          <cell r="U547">
            <v>621.12599999999998</v>
          </cell>
        </row>
        <row r="548">
          <cell r="A548" t="str">
            <v>mstag:cashDividendsPaid</v>
          </cell>
          <cell r="B548" t="str">
            <v>FY(1)</v>
          </cell>
          <cell r="C548" t="str">
            <v>NA</v>
          </cell>
          <cell r="D548">
            <v>178</v>
          </cell>
          <cell r="E548">
            <v>221</v>
          </cell>
          <cell r="F548">
            <v>138</v>
          </cell>
          <cell r="G548">
            <v>1.1830000000000001</v>
          </cell>
          <cell r="H548">
            <v>49.838000000000001</v>
          </cell>
          <cell r="I548">
            <v>176.749</v>
          </cell>
          <cell r="J548">
            <v>127.46166666666666</v>
          </cell>
          <cell r="K548">
            <v>764.77</v>
          </cell>
          <cell r="M548">
            <v>60.768999999999998</v>
          </cell>
          <cell r="N548">
            <v>0</v>
          </cell>
          <cell r="O548">
            <v>82.394000000000005</v>
          </cell>
          <cell r="P548">
            <v>0</v>
          </cell>
          <cell r="Q548">
            <v>243</v>
          </cell>
          <cell r="R548">
            <v>201</v>
          </cell>
          <cell r="S548" t="str">
            <v>NA</v>
          </cell>
          <cell r="T548">
            <v>97.860500000000002</v>
          </cell>
          <cell r="U548">
            <v>587.16300000000001</v>
          </cell>
        </row>
        <row r="549">
          <cell r="B549" t="str">
            <v>FY0</v>
          </cell>
          <cell r="C549" t="str">
            <v>NA</v>
          </cell>
          <cell r="D549">
            <v>183</v>
          </cell>
          <cell r="E549">
            <v>84</v>
          </cell>
          <cell r="F549">
            <v>139</v>
          </cell>
          <cell r="G549">
            <v>0.78100000000000003</v>
          </cell>
          <cell r="H549">
            <v>55.201999999999998</v>
          </cell>
          <cell r="I549">
            <v>197.7</v>
          </cell>
          <cell r="J549">
            <v>109.94716666666666</v>
          </cell>
          <cell r="K549">
            <v>659.68299999999999</v>
          </cell>
          <cell r="M549">
            <v>61.5</v>
          </cell>
          <cell r="N549">
            <v>0</v>
          </cell>
          <cell r="O549">
            <v>82.984999999999999</v>
          </cell>
          <cell r="P549">
            <v>0</v>
          </cell>
          <cell r="Q549">
            <v>234</v>
          </cell>
          <cell r="R549">
            <v>193</v>
          </cell>
          <cell r="S549" t="str">
            <v>NA</v>
          </cell>
          <cell r="T549">
            <v>95.247500000000002</v>
          </cell>
          <cell r="U549">
            <v>571.48500000000001</v>
          </cell>
        </row>
        <row r="550">
          <cell r="B550" t="str">
            <v>FY1</v>
          </cell>
          <cell r="C550" t="str">
            <v>NA</v>
          </cell>
          <cell r="D550">
            <v>188.775411841813</v>
          </cell>
          <cell r="E550">
            <v>85.186000000000007</v>
          </cell>
          <cell r="F550">
            <v>142.09321152000001</v>
          </cell>
          <cell r="G550">
            <v>0</v>
          </cell>
          <cell r="H550">
            <v>77.707084509090905</v>
          </cell>
          <cell r="I550">
            <v>197.28933818181801</v>
          </cell>
          <cell r="J550">
            <v>115.17517434212033</v>
          </cell>
          <cell r="K550">
            <v>691.05104605272197</v>
          </cell>
          <cell r="M550">
            <v>64.343897021276604</v>
          </cell>
          <cell r="N550">
            <v>0</v>
          </cell>
          <cell r="O550">
            <v>90.0630963866667</v>
          </cell>
          <cell r="P550">
            <v>94.252655263445405</v>
          </cell>
          <cell r="Q550">
            <v>262.49531432727298</v>
          </cell>
          <cell r="R550">
            <v>518.07900254814797</v>
          </cell>
          <cell r="S550" t="str">
            <v>NA</v>
          </cell>
          <cell r="T550">
            <v>171.53899425780162</v>
          </cell>
          <cell r="U550">
            <v>1029.2339655468097</v>
          </cell>
        </row>
        <row r="551">
          <cell r="B551" t="str">
            <v>FY2</v>
          </cell>
          <cell r="C551" t="str">
            <v>NA</v>
          </cell>
          <cell r="D551">
            <v>207.70836687078599</v>
          </cell>
          <cell r="E551">
            <v>96.910411835832903</v>
          </cell>
          <cell r="F551">
            <v>151.06358340229599</v>
          </cell>
          <cell r="G551">
            <v>0</v>
          </cell>
          <cell r="H551">
            <v>81.592438734545496</v>
          </cell>
          <cell r="I551">
            <v>213.29758054177</v>
          </cell>
          <cell r="J551">
            <v>125.09539689753841</v>
          </cell>
          <cell r="K551">
            <v>750.57238138523041</v>
          </cell>
          <cell r="M551">
            <v>68.188106938637006</v>
          </cell>
          <cell r="N551">
            <v>0</v>
          </cell>
          <cell r="O551">
            <v>98.400875799278495</v>
          </cell>
          <cell r="P551">
            <v>99.137817779386296</v>
          </cell>
          <cell r="Q551">
            <v>262.348142727675</v>
          </cell>
          <cell r="R551">
            <v>200</v>
          </cell>
          <cell r="S551" t="str">
            <v>NA</v>
          </cell>
          <cell r="T551">
            <v>121.3458238741628</v>
          </cell>
          <cell r="U551">
            <v>728.07494324497679</v>
          </cell>
        </row>
        <row r="552">
          <cell r="B552" t="str">
            <v>FQ(3)</v>
          </cell>
          <cell r="C552" t="str">
            <v>NA</v>
          </cell>
          <cell r="D552">
            <v>89</v>
          </cell>
          <cell r="E552">
            <v>21</v>
          </cell>
          <cell r="F552">
            <v>35</v>
          </cell>
          <cell r="G552">
            <v>0.47099999999999997</v>
          </cell>
          <cell r="H552">
            <v>13.967000000000001</v>
          </cell>
          <cell r="I552">
            <v>45.408000000000001</v>
          </cell>
          <cell r="J552">
            <v>34.140999999999998</v>
          </cell>
          <cell r="K552">
            <v>204.846</v>
          </cell>
          <cell r="M552">
            <v>15.337999999999999</v>
          </cell>
          <cell r="N552">
            <v>0</v>
          </cell>
          <cell r="O552">
            <v>20.638999999999999</v>
          </cell>
          <cell r="P552">
            <v>0</v>
          </cell>
          <cell r="Q552">
            <v>59</v>
          </cell>
          <cell r="R552">
            <v>48</v>
          </cell>
          <cell r="S552" t="str">
            <v>NA</v>
          </cell>
          <cell r="T552">
            <v>23.829499999999999</v>
          </cell>
          <cell r="U552">
            <v>142.977</v>
          </cell>
        </row>
        <row r="553">
          <cell r="A553" t="str">
            <v>Modelware DuPont (Non-lease Adjusted)ROIC</v>
          </cell>
          <cell r="B553" t="str">
            <v>FQ(2)</v>
          </cell>
          <cell r="C553" t="str">
            <v>NA</v>
          </cell>
          <cell r="D553">
            <v>0</v>
          </cell>
          <cell r="E553">
            <v>21</v>
          </cell>
          <cell r="F553">
            <v>34</v>
          </cell>
          <cell r="G553">
            <v>7.0000000000000104E-2</v>
          </cell>
          <cell r="H553">
            <v>13.858000000000001</v>
          </cell>
          <cell r="I553">
            <v>51.192</v>
          </cell>
          <cell r="J553">
            <v>20.02</v>
          </cell>
          <cell r="K553">
            <v>120.12</v>
          </cell>
          <cell r="M553">
            <v>15.374000000000001</v>
          </cell>
          <cell r="N553">
            <v>0</v>
          </cell>
          <cell r="O553">
            <v>20.721</v>
          </cell>
          <cell r="P553">
            <v>0</v>
          </cell>
          <cell r="Q553">
            <v>59</v>
          </cell>
          <cell r="R553">
            <v>48</v>
          </cell>
          <cell r="S553" t="str">
            <v>NA</v>
          </cell>
          <cell r="T553">
            <v>23.849166666666665</v>
          </cell>
          <cell r="U553">
            <v>143.095</v>
          </cell>
        </row>
        <row r="554">
          <cell r="B554" t="str">
            <v>FQ(1)</v>
          </cell>
          <cell r="C554" t="str">
            <v>NA</v>
          </cell>
          <cell r="D554">
            <v>47</v>
          </cell>
          <cell r="E554">
            <v>21</v>
          </cell>
          <cell r="F554">
            <v>35</v>
          </cell>
          <cell r="G554">
            <v>0.24</v>
          </cell>
          <cell r="H554">
            <v>13.734999999999999</v>
          </cell>
          <cell r="I554">
            <v>50.802999999999997</v>
          </cell>
          <cell r="J554">
            <v>27.962999999999997</v>
          </cell>
          <cell r="K554">
            <v>167.77799999999999</v>
          </cell>
          <cell r="M554">
            <v>15.391999999999999</v>
          </cell>
          <cell r="N554">
            <v>0</v>
          </cell>
          <cell r="O554">
            <v>20.757000000000001</v>
          </cell>
          <cell r="P554">
            <v>23.843</v>
          </cell>
          <cell r="Q554">
            <v>60</v>
          </cell>
          <cell r="R554">
            <v>49</v>
          </cell>
          <cell r="S554" t="str">
            <v>NA</v>
          </cell>
          <cell r="T554">
            <v>28.165333333333336</v>
          </cell>
          <cell r="U554">
            <v>168.99200000000002</v>
          </cell>
        </row>
        <row r="555">
          <cell r="B555" t="str">
            <v>Last Reported Q</v>
          </cell>
          <cell r="C555" t="str">
            <v>NA</v>
          </cell>
          <cell r="D555">
            <v>183</v>
          </cell>
          <cell r="E555">
            <v>84</v>
          </cell>
          <cell r="F555">
            <v>139</v>
          </cell>
          <cell r="G555">
            <v>0.78100000000000003</v>
          </cell>
          <cell r="H555">
            <v>55.201999999999998</v>
          </cell>
          <cell r="I555">
            <v>197.7</v>
          </cell>
          <cell r="J555">
            <v>109.94716666666666</v>
          </cell>
          <cell r="K555">
            <v>659.68299999999999</v>
          </cell>
          <cell r="M555">
            <v>61.5</v>
          </cell>
          <cell r="N555">
            <v>0</v>
          </cell>
          <cell r="O555">
            <v>82.984999999999999</v>
          </cell>
          <cell r="P555">
            <v>23.882999999999999</v>
          </cell>
          <cell r="Q555">
            <v>234</v>
          </cell>
          <cell r="R555">
            <v>193</v>
          </cell>
          <cell r="S555" t="str">
            <v>NA</v>
          </cell>
          <cell r="T555">
            <v>99.228000000000009</v>
          </cell>
          <cell r="U555">
            <v>595.36800000000005</v>
          </cell>
        </row>
        <row r="556">
          <cell r="B556" t="str">
            <v>LTM</v>
          </cell>
          <cell r="C556">
            <v>0</v>
          </cell>
          <cell r="D556">
            <v>319</v>
          </cell>
          <cell r="E556">
            <v>147</v>
          </cell>
          <cell r="F556">
            <v>243</v>
          </cell>
          <cell r="G556">
            <v>1.5620000000000001</v>
          </cell>
          <cell r="H556">
            <v>96.762</v>
          </cell>
          <cell r="I556">
            <v>345.10299999999995</v>
          </cell>
          <cell r="J556">
            <v>164.63242857142859</v>
          </cell>
          <cell r="K556">
            <v>1152.4270000000001</v>
          </cell>
          <cell r="M556">
            <v>107.604</v>
          </cell>
          <cell r="N556">
            <v>0</v>
          </cell>
          <cell r="O556">
            <v>145.102</v>
          </cell>
          <cell r="P556">
            <v>47.725999999999999</v>
          </cell>
          <cell r="Q556">
            <v>412</v>
          </cell>
          <cell r="R556">
            <v>338</v>
          </cell>
          <cell r="S556">
            <v>0</v>
          </cell>
          <cell r="T556">
            <v>150.06171428571429</v>
          </cell>
          <cell r="U556">
            <v>1050.432</v>
          </cell>
        </row>
        <row r="558">
          <cell r="A558" t="str">
            <v>Modelware DuPont (Non-lease Adjusted)ROE</v>
          </cell>
          <cell r="B558" t="str">
            <v>Dividends/Share</v>
          </cell>
        </row>
        <row r="559">
          <cell r="B559" t="str">
            <v>FY(2)</v>
          </cell>
          <cell r="D559">
            <v>0.77273231930720543</v>
          </cell>
          <cell r="E559">
            <v>0.50913115661317099</v>
          </cell>
          <cell r="F559">
            <v>0.53846130663261771</v>
          </cell>
          <cell r="G559">
            <v>4.8394450595974726E-2</v>
          </cell>
          <cell r="H559">
            <v>0.29634761302272666</v>
          </cell>
          <cell r="I559">
            <v>0.32366904107715905</v>
          </cell>
          <cell r="M559">
            <v>0.67010478240442295</v>
          </cell>
          <cell r="N559">
            <v>0</v>
          </cell>
          <cell r="O559">
            <v>0.3667877247140004</v>
          </cell>
          <cell r="P559">
            <v>0</v>
          </cell>
          <cell r="Q559">
            <v>0.31743562402395631</v>
          </cell>
          <cell r="R559">
            <v>0.59700668213536401</v>
          </cell>
          <cell r="S559" t="e">
            <v>#VALUE!</v>
          </cell>
        </row>
        <row r="560">
          <cell r="B560" t="str">
            <v>FY(1)</v>
          </cell>
          <cell r="D560">
            <v>0.79865395401009531</v>
          </cell>
          <cell r="E560">
            <v>0.52441122382393068</v>
          </cell>
          <cell r="F560">
            <v>0.63006506106608828</v>
          </cell>
          <cell r="G560">
            <v>8.5486761475315077E-3</v>
          </cell>
          <cell r="H560">
            <v>0.37970290712181043</v>
          </cell>
          <cell r="I560">
            <v>0.39965404574284064</v>
          </cell>
          <cell r="M560">
            <v>0.68057251010740161</v>
          </cell>
          <cell r="N560">
            <v>0</v>
          </cell>
          <cell r="O560">
            <v>0.39692266188783232</v>
          </cell>
          <cell r="P560">
            <v>0</v>
          </cell>
          <cell r="Q560">
            <v>0.33796940194714881</v>
          </cell>
          <cell r="R560">
            <v>0.59590691993204881</v>
          </cell>
          <cell r="S560" t="e">
            <v>#VALUE!</v>
          </cell>
        </row>
        <row r="561">
          <cell r="B561" t="str">
            <v>FY0</v>
          </cell>
          <cell r="D561">
            <v>0.78591367833369119</v>
          </cell>
          <cell r="E561">
            <v>0.19888717888007576</v>
          </cell>
          <cell r="F561">
            <v>0.63282494878215345</v>
          </cell>
          <cell r="G561">
            <v>5.3185512566013707E-3</v>
          </cell>
          <cell r="H561">
            <v>0.44141736218701583</v>
          </cell>
          <cell r="I561">
            <v>0.46258436549078513</v>
          </cell>
          <cell r="M561">
            <v>0.69605765394616592</v>
          </cell>
          <cell r="N561">
            <v>0</v>
          </cell>
          <cell r="O561">
            <v>0.39687511956230631</v>
          </cell>
          <cell r="P561">
            <v>0</v>
          </cell>
          <cell r="Q561">
            <v>0.33500357909806727</v>
          </cell>
          <cell r="R561">
            <v>0.59063853227854879</v>
          </cell>
          <cell r="S561" t="e">
            <v>#VALUE!</v>
          </cell>
        </row>
        <row r="562">
          <cell r="B562" t="str">
            <v>FY1</v>
          </cell>
          <cell r="D562">
            <v>0.79551374564607247</v>
          </cell>
          <cell r="E562">
            <v>0.2</v>
          </cell>
          <cell r="F562">
            <v>0.64</v>
          </cell>
          <cell r="G562">
            <v>0</v>
          </cell>
          <cell r="H562">
            <v>0.63999999999999757</v>
          </cell>
          <cell r="I562">
            <v>0.48000000000000026</v>
          </cell>
          <cell r="M562">
            <v>0.7396331382770317</v>
          </cell>
          <cell r="N562">
            <v>0</v>
          </cell>
          <cell r="O562">
            <v>0.41999999999999976</v>
          </cell>
          <cell r="P562">
            <v>0.29669583018868745</v>
          </cell>
          <cell r="Q562">
            <v>0.40000000000000024</v>
          </cell>
          <cell r="R562">
            <v>1.6086249444612246</v>
          </cell>
          <cell r="S562" t="e">
            <v>#VALUE!</v>
          </cell>
        </row>
        <row r="563">
          <cell r="A563" t="str">
            <v>Modelware DuPont (Lease Adjusted)ROIC</v>
          </cell>
          <cell r="B563" t="str">
            <v>FY2</v>
          </cell>
          <cell r="D563">
            <v>0.87506512021067695</v>
          </cell>
          <cell r="E563">
            <v>0.22752661666431784</v>
          </cell>
          <cell r="F563">
            <v>0.69610744366036903</v>
          </cell>
          <cell r="G563">
            <v>0</v>
          </cell>
          <cell r="H563">
            <v>0.70884836701725606</v>
          </cell>
          <cell r="I563">
            <v>0.54128483759377466</v>
          </cell>
          <cell r="M563">
            <v>0.82083475403966555</v>
          </cell>
          <cell r="N563">
            <v>0</v>
          </cell>
          <cell r="O563">
            <v>0.45412257292582325</v>
          </cell>
          <cell r="P563">
            <v>0.32603924632877068</v>
          </cell>
          <cell r="Q563">
            <v>0.43082381588570373</v>
          </cell>
          <cell r="R563">
            <v>0.63076818438024118</v>
          </cell>
          <cell r="S563" t="e">
            <v>#VALUE!</v>
          </cell>
        </row>
        <row r="564">
          <cell r="B564" t="str">
            <v>FQ(3)</v>
          </cell>
          <cell r="D564">
            <v>0.39964077233947015</v>
          </cell>
          <cell r="E564">
            <v>4.9833887043189369E-2</v>
          </cell>
          <cell r="F564">
            <v>0.16099356025758968</v>
          </cell>
          <cell r="G564">
            <v>3.4057137898869821E-3</v>
          </cell>
          <cell r="H564">
            <v>0.11035523529597675</v>
          </cell>
          <cell r="I564">
            <v>0.10516028328060806</v>
          </cell>
          <cell r="M564">
            <v>0.17489765898491394</v>
          </cell>
          <cell r="N564">
            <v>0</v>
          </cell>
          <cell r="O564">
            <v>9.9567746977605814E-2</v>
          </cell>
          <cell r="P564">
            <v>0</v>
          </cell>
          <cell r="Q564">
            <v>8.4648493543758974E-2</v>
          </cell>
          <cell r="R564">
            <v>0.14847580308396616</v>
          </cell>
          <cell r="S564" t="e">
            <v>#VALUE!</v>
          </cell>
        </row>
        <row r="565">
          <cell r="B565" t="str">
            <v>FQ(2)</v>
          </cell>
          <cell r="D565">
            <v>0</v>
          </cell>
          <cell r="E565">
            <v>4.9751243781094523E-2</v>
          </cell>
          <cell r="F565">
            <v>0.15539305301645337</v>
          </cell>
          <cell r="G565">
            <v>5.0605458160130209E-4</v>
          </cell>
          <cell r="H565">
            <v>0.11028346782536727</v>
          </cell>
          <cell r="I565">
            <v>0.11892587576343992</v>
          </cell>
          <cell r="M565">
            <v>0.17494708573249279</v>
          </cell>
          <cell r="N565">
            <v>0</v>
          </cell>
          <cell r="O565">
            <v>9.9136425615386464E-2</v>
          </cell>
          <cell r="P565">
            <v>0</v>
          </cell>
          <cell r="Q565">
            <v>8.4285714285714283E-2</v>
          </cell>
          <cell r="R565">
            <v>0.14737624233566782</v>
          </cell>
          <cell r="S565" t="e">
            <v>#VALUE!</v>
          </cell>
        </row>
        <row r="566">
          <cell r="B566" t="str">
            <v>FQ(1)</v>
          </cell>
          <cell r="D566">
            <v>0.19781144781144783</v>
          </cell>
          <cell r="E566">
            <v>4.9786628733997154E-2</v>
          </cell>
          <cell r="F566">
            <v>0.15858631626642503</v>
          </cell>
          <cell r="G566">
            <v>1.5742246943380386E-3</v>
          </cell>
          <cell r="H566">
            <v>0.11019029587317887</v>
          </cell>
          <cell r="I566">
            <v>0.1186730889621857</v>
          </cell>
          <cell r="M566">
            <v>0.17347007776400314</v>
          </cell>
          <cell r="N566">
            <v>0</v>
          </cell>
          <cell r="O566">
            <v>9.9129388279455388E-2</v>
          </cell>
          <cell r="P566">
            <v>7.4250657864005101E-2</v>
          </cell>
          <cell r="Q566">
            <v>8.5227272727272721E-2</v>
          </cell>
          <cell r="R566">
            <v>0.14927237333934484</v>
          </cell>
          <cell r="S566" t="e">
            <v>#VALUE!</v>
          </cell>
        </row>
        <row r="567">
          <cell r="B567" t="str">
            <v>Last Reported Q</v>
          </cell>
          <cell r="D567">
            <v>0.78591367833369119</v>
          </cell>
          <cell r="E567">
            <v>0.19888717888007576</v>
          </cell>
          <cell r="F567">
            <v>0.63282494878215345</v>
          </cell>
          <cell r="G567">
            <v>5.3185512566013707E-3</v>
          </cell>
          <cell r="H567">
            <v>0.44141736218701583</v>
          </cell>
          <cell r="I567">
            <v>0.46258436549078513</v>
          </cell>
          <cell r="M567">
            <v>0.69605765394616592</v>
          </cell>
          <cell r="N567">
            <v>0</v>
          </cell>
          <cell r="O567">
            <v>0.39687511956230631</v>
          </cell>
          <cell r="P567">
            <v>7.4313665089099853E-2</v>
          </cell>
          <cell r="Q567">
            <v>0.33500357909806727</v>
          </cell>
          <cell r="R567">
            <v>0.59063853227854879</v>
          </cell>
          <cell r="S567" t="e">
            <v>#VALUE!</v>
          </cell>
        </row>
        <row r="568">
          <cell r="A568" t="str">
            <v>Modelware DuPont (Lease Adjusted)ROE</v>
          </cell>
          <cell r="B568" t="str">
            <v>LTM</v>
          </cell>
          <cell r="C568">
            <v>0</v>
          </cell>
          <cell r="D568">
            <v>1.3765575273747235</v>
          </cell>
          <cell r="E568">
            <v>0.34841347435783482</v>
          </cell>
          <cell r="F568">
            <v>1.1088928184359135</v>
          </cell>
          <cell r="G568">
            <v>1.0848681897303892E-2</v>
          </cell>
          <cell r="H568">
            <v>0.77112524001285054</v>
          </cell>
          <cell r="I568">
            <v>0.80362828847117218</v>
          </cell>
          <cell r="M568">
            <v>1.22048518437389</v>
          </cell>
          <cell r="N568">
            <v>0</v>
          </cell>
          <cell r="O568">
            <v>0.69527426059248443</v>
          </cell>
          <cell r="P568">
            <v>0.14863710648780759</v>
          </cell>
          <cell r="Q568">
            <v>0.58867654938381853</v>
          </cell>
          <cell r="R568">
            <v>1.0368050453755582</v>
          </cell>
          <cell r="S568">
            <v>0</v>
          </cell>
        </row>
        <row r="569">
          <cell r="B569" t="str">
            <v>FY0</v>
          </cell>
        </row>
        <row r="570">
          <cell r="A570" t="str">
            <v>mstag:fundsUsedToRepurchaseCommonStock</v>
          </cell>
          <cell r="B570" t="str">
            <v>Repurchases</v>
          </cell>
        </row>
        <row r="571">
          <cell r="B571" t="str">
            <v>FY(2)</v>
          </cell>
          <cell r="C571" t="str">
            <v>NA</v>
          </cell>
          <cell r="D571" t="str">
            <v>NA</v>
          </cell>
          <cell r="E571">
            <v>3322</v>
          </cell>
          <cell r="F571">
            <v>1702</v>
          </cell>
          <cell r="G571" t="str">
            <v>NA</v>
          </cell>
          <cell r="H571">
            <v>200</v>
          </cell>
          <cell r="I571">
            <v>940.20799999999997</v>
          </cell>
          <cell r="J571">
            <v>1541.0519999999999</v>
          </cell>
          <cell r="K571">
            <v>6164.2079999999996</v>
          </cell>
          <cell r="M571">
            <v>287.916</v>
          </cell>
          <cell r="N571">
            <v>266.69200000000001</v>
          </cell>
          <cell r="O571">
            <v>450.601</v>
          </cell>
          <cell r="P571" t="str">
            <v>NA</v>
          </cell>
          <cell r="Q571">
            <v>1700</v>
          </cell>
          <cell r="R571" t="str">
            <v>NA</v>
          </cell>
          <cell r="S571">
            <v>0</v>
          </cell>
          <cell r="T571">
            <v>541.04179999999997</v>
          </cell>
          <cell r="U571">
            <v>2705.2089999999998</v>
          </cell>
        </row>
        <row r="572">
          <cell r="B572" t="str">
            <v>FY(1)</v>
          </cell>
          <cell r="C572" t="str">
            <v>NA</v>
          </cell>
          <cell r="D572" t="str">
            <v>NA</v>
          </cell>
          <cell r="E572">
            <v>1</v>
          </cell>
          <cell r="F572">
            <v>264</v>
          </cell>
          <cell r="G572" t="str">
            <v>NA</v>
          </cell>
          <cell r="H572">
            <v>300</v>
          </cell>
          <cell r="I572">
            <v>751.09699999999998</v>
          </cell>
          <cell r="J572">
            <v>329.02424999999999</v>
          </cell>
          <cell r="K572">
            <v>1316.097</v>
          </cell>
          <cell r="M572">
            <v>50</v>
          </cell>
          <cell r="N572">
            <v>6.681</v>
          </cell>
          <cell r="O572">
            <v>3.4319999999999999</v>
          </cell>
          <cell r="P572" t="str">
            <v>NA</v>
          </cell>
          <cell r="Q572">
            <v>705</v>
          </cell>
          <cell r="R572" t="str">
            <v>NA</v>
          </cell>
          <cell r="S572">
            <v>0</v>
          </cell>
          <cell r="T572">
            <v>153.02260000000001</v>
          </cell>
          <cell r="U572">
            <v>765.11300000000006</v>
          </cell>
        </row>
        <row r="573">
          <cell r="B573" t="str">
            <v>FY0</v>
          </cell>
          <cell r="C573" t="str">
            <v>NA</v>
          </cell>
          <cell r="D573" t="str">
            <v>NA</v>
          </cell>
          <cell r="E573">
            <v>1</v>
          </cell>
          <cell r="F573">
            <v>0</v>
          </cell>
          <cell r="G573" t="str">
            <v>NA</v>
          </cell>
          <cell r="H573">
            <v>300</v>
          </cell>
          <cell r="I573">
            <v>944.8</v>
          </cell>
          <cell r="J573">
            <v>311.45</v>
          </cell>
          <cell r="K573">
            <v>1245.8</v>
          </cell>
          <cell r="M573">
            <v>0</v>
          </cell>
          <cell r="N573">
            <v>174.25700000000001</v>
          </cell>
          <cell r="O573">
            <v>0.247</v>
          </cell>
          <cell r="P573" t="str">
            <v>NA</v>
          </cell>
          <cell r="Q573">
            <v>547</v>
          </cell>
          <cell r="R573" t="str">
            <v>NA</v>
          </cell>
          <cell r="S573">
            <v>0</v>
          </cell>
          <cell r="T573">
            <v>144.30080000000001</v>
          </cell>
          <cell r="U573">
            <v>721.50400000000002</v>
          </cell>
        </row>
        <row r="574">
          <cell r="B574" t="str">
            <v>FY1</v>
          </cell>
          <cell r="C574" t="str">
            <v>NA</v>
          </cell>
          <cell r="D574" t="str">
            <v>NA</v>
          </cell>
          <cell r="E574">
            <v>0</v>
          </cell>
          <cell r="F574">
            <v>0</v>
          </cell>
          <cell r="G574" t="str">
            <v>NA</v>
          </cell>
          <cell r="H574">
            <v>380</v>
          </cell>
          <cell r="I574">
            <v>700</v>
          </cell>
          <cell r="J574">
            <v>270</v>
          </cell>
          <cell r="K574">
            <v>1080</v>
          </cell>
          <cell r="M574">
            <v>200</v>
          </cell>
          <cell r="N574">
            <v>175</v>
          </cell>
          <cell r="O574">
            <v>54</v>
          </cell>
          <cell r="P574" t="str">
            <v>NA</v>
          </cell>
          <cell r="Q574">
            <v>1000</v>
          </cell>
          <cell r="R574" t="str">
            <v>NA</v>
          </cell>
          <cell r="S574">
            <v>0</v>
          </cell>
          <cell r="T574">
            <v>285.8</v>
          </cell>
          <cell r="U574">
            <v>1429</v>
          </cell>
        </row>
        <row r="575">
          <cell r="B575" t="str">
            <v>FY2</v>
          </cell>
          <cell r="C575" t="str">
            <v>NA</v>
          </cell>
          <cell r="D575" t="str">
            <v>NA</v>
          </cell>
          <cell r="E575">
            <v>0</v>
          </cell>
          <cell r="F575">
            <v>200</v>
          </cell>
          <cell r="G575" t="str">
            <v>NA</v>
          </cell>
          <cell r="H575">
            <v>380</v>
          </cell>
          <cell r="I575">
            <v>700</v>
          </cell>
          <cell r="J575">
            <v>320</v>
          </cell>
          <cell r="K575">
            <v>1280</v>
          </cell>
          <cell r="M575">
            <v>186.99280696096599</v>
          </cell>
          <cell r="N575">
            <v>204.936656106768</v>
          </cell>
          <cell r="O575">
            <v>88.082124465709697</v>
          </cell>
          <cell r="P575" t="str">
            <v>NA</v>
          </cell>
          <cell r="Q575">
            <v>1134.53939702649</v>
          </cell>
          <cell r="R575" t="str">
            <v>NA</v>
          </cell>
          <cell r="S575">
            <v>33.456420596740301</v>
          </cell>
          <cell r="T575">
            <v>329.6014810313348</v>
          </cell>
          <cell r="U575">
            <v>1648.0074051566739</v>
          </cell>
        </row>
        <row r="576">
          <cell r="B576" t="str">
            <v>FQ(3)</v>
          </cell>
          <cell r="C576" t="str">
            <v>NA</v>
          </cell>
          <cell r="D576" t="str">
            <v>NA</v>
          </cell>
          <cell r="E576">
            <v>0</v>
          </cell>
          <cell r="F576">
            <v>0</v>
          </cell>
          <cell r="G576" t="str">
            <v>NA</v>
          </cell>
          <cell r="H576">
            <v>77.171000000000006</v>
          </cell>
          <cell r="I576">
            <v>32.423999999999999</v>
          </cell>
          <cell r="J576">
            <v>27.39875</v>
          </cell>
          <cell r="K576">
            <v>109.595</v>
          </cell>
          <cell r="M576">
            <v>0</v>
          </cell>
          <cell r="N576">
            <v>0</v>
          </cell>
          <cell r="O576">
            <v>0</v>
          </cell>
          <cell r="P576" t="str">
            <v>NA</v>
          </cell>
          <cell r="Q576">
            <v>45</v>
          </cell>
          <cell r="R576" t="str">
            <v>NA</v>
          </cell>
          <cell r="S576">
            <v>0</v>
          </cell>
          <cell r="T576">
            <v>9</v>
          </cell>
          <cell r="U576">
            <v>45</v>
          </cell>
        </row>
        <row r="577">
          <cell r="B577" t="str">
            <v>FQ(2)</v>
          </cell>
          <cell r="C577" t="str">
            <v>NA</v>
          </cell>
          <cell r="D577" t="str">
            <v>NA</v>
          </cell>
          <cell r="E577">
            <v>1</v>
          </cell>
          <cell r="F577">
            <v>0</v>
          </cell>
          <cell r="G577" t="str">
            <v>NA</v>
          </cell>
          <cell r="H577">
            <v>77.2</v>
          </cell>
          <cell r="I577">
            <v>204.27600000000001</v>
          </cell>
          <cell r="J577">
            <v>70.619</v>
          </cell>
          <cell r="K577">
            <v>282.476</v>
          </cell>
          <cell r="M577">
            <v>0</v>
          </cell>
          <cell r="N577">
            <v>13.473000000000001</v>
          </cell>
          <cell r="O577">
            <v>0.19500000000000001</v>
          </cell>
          <cell r="P577" t="str">
            <v>NA</v>
          </cell>
          <cell r="Q577">
            <v>0</v>
          </cell>
          <cell r="R577" t="str">
            <v>NA</v>
          </cell>
          <cell r="S577">
            <v>0</v>
          </cell>
          <cell r="T577">
            <v>2.7336</v>
          </cell>
          <cell r="U577">
            <v>13.668000000000001</v>
          </cell>
        </row>
        <row r="578">
          <cell r="B578" t="str">
            <v>FQ(1)</v>
          </cell>
          <cell r="C578" t="str">
            <v>NA</v>
          </cell>
          <cell r="D578" t="str">
            <v>NA</v>
          </cell>
          <cell r="E578">
            <v>0</v>
          </cell>
          <cell r="F578">
            <v>0</v>
          </cell>
          <cell r="G578" t="str">
            <v>NA</v>
          </cell>
          <cell r="H578">
            <v>75.445999999999998</v>
          </cell>
          <cell r="I578">
            <v>293.80099999999999</v>
          </cell>
          <cell r="J578">
            <v>92.311749999999989</v>
          </cell>
          <cell r="K578">
            <v>369.24699999999996</v>
          </cell>
          <cell r="M578">
            <v>0</v>
          </cell>
          <cell r="N578">
            <v>49.567999999999998</v>
          </cell>
          <cell r="O578">
            <v>3.5000000000000003E-2</v>
          </cell>
          <cell r="P578" t="str">
            <v>NA</v>
          </cell>
          <cell r="Q578">
            <v>61</v>
          </cell>
          <cell r="R578" t="str">
            <v>NA</v>
          </cell>
          <cell r="S578">
            <v>0</v>
          </cell>
          <cell r="T578">
            <v>22.1206</v>
          </cell>
          <cell r="U578">
            <v>110.60299999999999</v>
          </cell>
        </row>
        <row r="579">
          <cell r="B579" t="str">
            <v>Last Reported Q</v>
          </cell>
          <cell r="C579" t="str">
            <v>NA</v>
          </cell>
          <cell r="D579" t="str">
            <v>NA</v>
          </cell>
          <cell r="E579">
            <v>1</v>
          </cell>
          <cell r="F579">
            <v>0</v>
          </cell>
          <cell r="G579" t="str">
            <v>NA</v>
          </cell>
          <cell r="H579">
            <v>300</v>
          </cell>
          <cell r="I579">
            <v>944.8</v>
          </cell>
          <cell r="J579">
            <v>311.45</v>
          </cell>
          <cell r="K579">
            <v>1245.8</v>
          </cell>
          <cell r="M579">
            <v>0</v>
          </cell>
          <cell r="N579">
            <v>174.25700000000001</v>
          </cell>
          <cell r="O579">
            <v>0.247</v>
          </cell>
          <cell r="P579" t="str">
            <v>NA</v>
          </cell>
          <cell r="Q579">
            <v>547</v>
          </cell>
          <cell r="R579" t="str">
            <v>NA</v>
          </cell>
          <cell r="S579">
            <v>0</v>
          </cell>
          <cell r="T579">
            <v>144.30080000000001</v>
          </cell>
          <cell r="U579">
            <v>721.50400000000002</v>
          </cell>
        </row>
        <row r="580">
          <cell r="B580" t="str">
            <v>LTM</v>
          </cell>
          <cell r="C580">
            <v>0</v>
          </cell>
          <cell r="D580">
            <v>0</v>
          </cell>
          <cell r="E580">
            <v>2</v>
          </cell>
          <cell r="F580">
            <v>0</v>
          </cell>
          <cell r="G580">
            <v>0</v>
          </cell>
          <cell r="H580">
            <v>529.81700000000001</v>
          </cell>
          <cell r="I580">
            <v>1475.3009999999999</v>
          </cell>
          <cell r="J580">
            <v>286.73114285714286</v>
          </cell>
          <cell r="K580">
            <v>2007.1179999999999</v>
          </cell>
          <cell r="M580">
            <v>0</v>
          </cell>
          <cell r="N580">
            <v>237.298</v>
          </cell>
          <cell r="O580">
            <v>0.47699999999999998</v>
          </cell>
          <cell r="P580">
            <v>0</v>
          </cell>
          <cell r="Q580">
            <v>653</v>
          </cell>
          <cell r="R580">
            <v>0</v>
          </cell>
          <cell r="S580">
            <v>0</v>
          </cell>
          <cell r="T580">
            <v>127.25357142857142</v>
          </cell>
          <cell r="U580">
            <v>890.77499999999998</v>
          </cell>
        </row>
        <row r="581">
          <cell r="B581" t="str">
            <v>EV/EBITDA</v>
          </cell>
        </row>
        <row r="582">
          <cell r="B582" t="str">
            <v>Repurchases &amp; Dividends</v>
          </cell>
          <cell r="C582" t="e">
            <v>#VALUE!</v>
          </cell>
          <cell r="D582" t="e">
            <v>#VALUE!</v>
          </cell>
          <cell r="E582" t="e">
            <v>#VALUE!</v>
          </cell>
          <cell r="F582" t="e">
            <v>#VALUE!</v>
          </cell>
          <cell r="G582" t="e">
            <v>#VALUE!</v>
          </cell>
          <cell r="H582" t="e">
            <v>#VALUE!</v>
          </cell>
          <cell r="I582" t="e">
            <v>#VALUE!</v>
          </cell>
          <cell r="J582" t="e">
            <v>#VALUE!</v>
          </cell>
          <cell r="M582" t="e">
            <v>#VALUE!</v>
          </cell>
          <cell r="N582" t="e">
            <v>#VALUE!</v>
          </cell>
          <cell r="O582" t="e">
            <v>#VALUE!</v>
          </cell>
          <cell r="P582" t="e">
            <v>#VALUE!</v>
          </cell>
          <cell r="Q582" t="e">
            <v>#VALUE!</v>
          </cell>
          <cell r="R582" t="e">
            <v>#VALUE!</v>
          </cell>
          <cell r="S582" t="e">
            <v>#VALUE!</v>
          </cell>
          <cell r="T582" t="e">
            <v>#VALUE!</v>
          </cell>
        </row>
        <row r="583">
          <cell r="B583" t="str">
            <v>FY(2)</v>
          </cell>
          <cell r="C583">
            <v>0</v>
          </cell>
          <cell r="D583">
            <v>174</v>
          </cell>
          <cell r="E583">
            <v>3552</v>
          </cell>
          <cell r="F583">
            <v>1836</v>
          </cell>
          <cell r="G583">
            <v>7.43</v>
          </cell>
          <cell r="H583">
            <v>240.63800000000001</v>
          </cell>
          <cell r="I583">
            <v>1091.7</v>
          </cell>
          <cell r="J583">
            <v>985.96685714285718</v>
          </cell>
          <cell r="K583">
            <v>6901.768</v>
          </cell>
          <cell r="M583">
            <v>349.24599999999998</v>
          </cell>
          <cell r="N583">
            <v>266.69200000000001</v>
          </cell>
          <cell r="O583">
            <v>531.39700000000005</v>
          </cell>
          <cell r="P583">
            <v>0</v>
          </cell>
          <cell r="Q583">
            <v>1952</v>
          </cell>
          <cell r="R583">
            <v>227</v>
          </cell>
          <cell r="S583">
            <v>0</v>
          </cell>
          <cell r="T583">
            <v>475.19071428571431</v>
          </cell>
          <cell r="U583">
            <v>3326.335</v>
          </cell>
        </row>
        <row r="584">
          <cell r="B584" t="str">
            <v>FY(1)</v>
          </cell>
          <cell r="C584">
            <v>0</v>
          </cell>
          <cell r="D584">
            <v>178</v>
          </cell>
          <cell r="E584">
            <v>222</v>
          </cell>
          <cell r="F584">
            <v>402</v>
          </cell>
          <cell r="G584">
            <v>1.1830000000000001</v>
          </cell>
          <cell r="H584">
            <v>349.83800000000002</v>
          </cell>
          <cell r="I584">
            <v>927.846</v>
          </cell>
          <cell r="J584">
            <v>297.26671428571433</v>
          </cell>
          <cell r="K584">
            <v>2080.8670000000002</v>
          </cell>
          <cell r="M584">
            <v>110.76900000000001</v>
          </cell>
          <cell r="N584">
            <v>6.681</v>
          </cell>
          <cell r="O584">
            <v>85.826000000000008</v>
          </cell>
          <cell r="P584">
            <v>0</v>
          </cell>
          <cell r="Q584">
            <v>948</v>
          </cell>
          <cell r="R584">
            <v>201</v>
          </cell>
          <cell r="S584">
            <v>0</v>
          </cell>
          <cell r="T584">
            <v>193.18228571428571</v>
          </cell>
          <cell r="U584">
            <v>1352.2760000000001</v>
          </cell>
        </row>
        <row r="585">
          <cell r="B585" t="str">
            <v>FY0</v>
          </cell>
          <cell r="C585">
            <v>0</v>
          </cell>
          <cell r="D585">
            <v>183</v>
          </cell>
          <cell r="E585">
            <v>85</v>
          </cell>
          <cell r="F585">
            <v>139</v>
          </cell>
          <cell r="G585">
            <v>0.78100000000000003</v>
          </cell>
          <cell r="H585">
            <v>355.202</v>
          </cell>
          <cell r="I585">
            <v>1142.5</v>
          </cell>
          <cell r="J585">
            <v>272.21185714285713</v>
          </cell>
          <cell r="K585">
            <v>1905.4829999999999</v>
          </cell>
          <cell r="M585">
            <v>61.5</v>
          </cell>
          <cell r="N585">
            <v>174.25700000000001</v>
          </cell>
          <cell r="O585">
            <v>83.231999999999999</v>
          </cell>
          <cell r="P585">
            <v>0</v>
          </cell>
          <cell r="Q585">
            <v>781</v>
          </cell>
          <cell r="R585">
            <v>193</v>
          </cell>
          <cell r="S585">
            <v>0</v>
          </cell>
          <cell r="T585">
            <v>184.7127142857143</v>
          </cell>
          <cell r="U585">
            <v>1292.989</v>
          </cell>
        </row>
        <row r="586">
          <cell r="B586" t="str">
            <v>FY1</v>
          </cell>
          <cell r="C586">
            <v>0</v>
          </cell>
          <cell r="D586">
            <v>188.775411841813</v>
          </cell>
          <cell r="E586">
            <v>85.186000000000007</v>
          </cell>
          <cell r="F586">
            <v>142.09321152000001</v>
          </cell>
          <cell r="G586">
            <v>0</v>
          </cell>
          <cell r="H586">
            <v>457.70708450909092</v>
          </cell>
          <cell r="I586">
            <v>897.28933818181804</v>
          </cell>
          <cell r="J586">
            <v>253.00729229324602</v>
          </cell>
          <cell r="K586">
            <v>1771.0510460527221</v>
          </cell>
          <cell r="M586">
            <v>264.34389702127658</v>
          </cell>
          <cell r="N586">
            <v>175</v>
          </cell>
          <cell r="O586">
            <v>144.0630963866667</v>
          </cell>
          <cell r="P586">
            <v>94.252655263445405</v>
          </cell>
          <cell r="Q586">
            <v>1262.495314327273</v>
          </cell>
          <cell r="R586">
            <v>518.07900254814797</v>
          </cell>
          <cell r="S586">
            <v>0</v>
          </cell>
          <cell r="T586">
            <v>351.17628079240137</v>
          </cell>
          <cell r="U586">
            <v>2458.2339655468095</v>
          </cell>
        </row>
        <row r="587">
          <cell r="B587" t="str">
            <v>FY2</v>
          </cell>
          <cell r="C587">
            <v>0</v>
          </cell>
          <cell r="D587">
            <v>207.70836687078599</v>
          </cell>
          <cell r="E587">
            <v>96.910411835832903</v>
          </cell>
          <cell r="F587">
            <v>351.06358340229599</v>
          </cell>
          <cell r="G587">
            <v>0</v>
          </cell>
          <cell r="H587">
            <v>461.59243873454551</v>
          </cell>
          <cell r="I587">
            <v>913.29758054177</v>
          </cell>
          <cell r="J587">
            <v>290.08176876931867</v>
          </cell>
          <cell r="K587">
            <v>2030.5723813852305</v>
          </cell>
          <cell r="M587">
            <v>255.18091389960301</v>
          </cell>
          <cell r="N587">
            <v>204.936656106768</v>
          </cell>
          <cell r="O587">
            <v>186.48300026498819</v>
          </cell>
          <cell r="P587">
            <v>99.137817779386296</v>
          </cell>
          <cell r="Q587">
            <v>1396.8875397541649</v>
          </cell>
          <cell r="R587">
            <v>200</v>
          </cell>
          <cell r="S587">
            <v>33.456420596740301</v>
          </cell>
          <cell r="T587">
            <v>339.44033548595007</v>
          </cell>
          <cell r="U587">
            <v>2376.0823484016505</v>
          </cell>
        </row>
        <row r="588">
          <cell r="B588" t="str">
            <v>FQ(3)</v>
          </cell>
          <cell r="C588">
            <v>0</v>
          </cell>
          <cell r="D588">
            <v>89</v>
          </cell>
          <cell r="E588">
            <v>21</v>
          </cell>
          <cell r="F588">
            <v>35</v>
          </cell>
          <cell r="G588">
            <v>0.47099999999999997</v>
          </cell>
          <cell r="H588">
            <v>91.138000000000005</v>
          </cell>
          <cell r="I588">
            <v>77.831999999999994</v>
          </cell>
          <cell r="J588">
            <v>44.920142857142864</v>
          </cell>
          <cell r="K588">
            <v>314.44100000000003</v>
          </cell>
          <cell r="M588">
            <v>15.337999999999999</v>
          </cell>
          <cell r="N588">
            <v>0</v>
          </cell>
          <cell r="O588">
            <v>20.638999999999999</v>
          </cell>
          <cell r="P588">
            <v>0</v>
          </cell>
          <cell r="Q588">
            <v>104</v>
          </cell>
          <cell r="R588">
            <v>48</v>
          </cell>
          <cell r="S588">
            <v>0</v>
          </cell>
          <cell r="T588">
            <v>26.853857142857144</v>
          </cell>
          <cell r="U588">
            <v>187.977</v>
          </cell>
        </row>
        <row r="589">
          <cell r="B589" t="str">
            <v>FQ(2)</v>
          </cell>
          <cell r="C589">
            <v>0</v>
          </cell>
          <cell r="D589">
            <v>0</v>
          </cell>
          <cell r="E589">
            <v>22</v>
          </cell>
          <cell r="F589">
            <v>34</v>
          </cell>
          <cell r="G589">
            <v>7.0000000000000104E-2</v>
          </cell>
          <cell r="H589">
            <v>91.058000000000007</v>
          </cell>
          <cell r="I589">
            <v>255.46800000000002</v>
          </cell>
          <cell r="J589">
            <v>57.513714285714286</v>
          </cell>
          <cell r="K589">
            <v>402.596</v>
          </cell>
          <cell r="M589">
            <v>15.374000000000001</v>
          </cell>
          <cell r="N589">
            <v>13.473000000000001</v>
          </cell>
          <cell r="O589">
            <v>20.916</v>
          </cell>
          <cell r="P589">
            <v>0</v>
          </cell>
          <cell r="Q589">
            <v>59</v>
          </cell>
          <cell r="R589">
            <v>48</v>
          </cell>
          <cell r="S589">
            <v>0</v>
          </cell>
          <cell r="T589">
            <v>22.394714285714286</v>
          </cell>
          <cell r="U589">
            <v>156.76300000000001</v>
          </cell>
        </row>
        <row r="590">
          <cell r="B590" t="str">
            <v>FQ(1)</v>
          </cell>
          <cell r="C590">
            <v>0</v>
          </cell>
          <cell r="D590">
            <v>47</v>
          </cell>
          <cell r="E590">
            <v>21</v>
          </cell>
          <cell r="F590">
            <v>35</v>
          </cell>
          <cell r="G590">
            <v>0.24</v>
          </cell>
          <cell r="H590">
            <v>89.180999999999997</v>
          </cell>
          <cell r="I590">
            <v>344.60399999999998</v>
          </cell>
          <cell r="J590">
            <v>76.717857142857142</v>
          </cell>
          <cell r="K590">
            <v>537.02499999999998</v>
          </cell>
          <cell r="M590">
            <v>15.391999999999999</v>
          </cell>
          <cell r="N590">
            <v>49.567999999999998</v>
          </cell>
          <cell r="O590">
            <v>20.792000000000002</v>
          </cell>
          <cell r="P590">
            <v>23.843</v>
          </cell>
          <cell r="Q590">
            <v>121</v>
          </cell>
          <cell r="R590">
            <v>49</v>
          </cell>
          <cell r="S590">
            <v>0</v>
          </cell>
          <cell r="T590">
            <v>39.942142857142862</v>
          </cell>
          <cell r="U590">
            <v>279.59500000000003</v>
          </cell>
        </row>
        <row r="591">
          <cell r="B591" t="str">
            <v>Last Reported Q</v>
          </cell>
          <cell r="C591">
            <v>0</v>
          </cell>
          <cell r="D591">
            <v>183</v>
          </cell>
          <cell r="E591">
            <v>85</v>
          </cell>
          <cell r="F591">
            <v>139</v>
          </cell>
          <cell r="G591">
            <v>0.78100000000000003</v>
          </cell>
          <cell r="H591">
            <v>355.202</v>
          </cell>
          <cell r="I591">
            <v>1142.5</v>
          </cell>
          <cell r="J591">
            <v>272.21185714285713</v>
          </cell>
          <cell r="K591">
            <v>1905.4829999999999</v>
          </cell>
          <cell r="M591">
            <v>61.5</v>
          </cell>
          <cell r="N591">
            <v>174.25700000000001</v>
          </cell>
          <cell r="O591">
            <v>83.231999999999999</v>
          </cell>
          <cell r="P591">
            <v>23.882999999999999</v>
          </cell>
          <cell r="Q591">
            <v>781</v>
          </cell>
          <cell r="R591">
            <v>193</v>
          </cell>
          <cell r="S591">
            <v>0</v>
          </cell>
          <cell r="T591">
            <v>188.12457142857144</v>
          </cell>
          <cell r="U591">
            <v>1316.8720000000001</v>
          </cell>
        </row>
        <row r="592">
          <cell r="B592" t="str">
            <v>LTM</v>
          </cell>
          <cell r="C592">
            <v>0</v>
          </cell>
          <cell r="D592">
            <v>319</v>
          </cell>
          <cell r="E592">
            <v>149</v>
          </cell>
          <cell r="F592">
            <v>243</v>
          </cell>
          <cell r="G592">
            <v>1.5620000000000001</v>
          </cell>
          <cell r="H592">
            <v>626.57899999999995</v>
          </cell>
          <cell r="I592">
            <v>1820.404</v>
          </cell>
          <cell r="J592">
            <v>451.36357142857145</v>
          </cell>
          <cell r="K592">
            <v>3159.5450000000001</v>
          </cell>
          <cell r="M592">
            <v>107.604</v>
          </cell>
          <cell r="N592">
            <v>237.298</v>
          </cell>
          <cell r="O592">
            <v>145.57900000000001</v>
          </cell>
          <cell r="P592">
            <v>47.725999999999999</v>
          </cell>
          <cell r="Q592">
            <v>1065</v>
          </cell>
          <cell r="R592">
            <v>338</v>
          </cell>
          <cell r="S592">
            <v>0</v>
          </cell>
          <cell r="T592">
            <v>277.31528571428572</v>
          </cell>
          <cell r="U592">
            <v>1941.2069999999999</v>
          </cell>
        </row>
        <row r="593">
          <cell r="B593" t="str">
            <v>FY1</v>
          </cell>
          <cell r="C593" t="str">
            <v/>
          </cell>
          <cell r="D593" t="str">
            <v/>
          </cell>
          <cell r="E593" t="str">
            <v/>
          </cell>
          <cell r="F593" t="str">
            <v/>
          </cell>
          <cell r="G593" t="str">
            <v/>
          </cell>
          <cell r="H593" t="str">
            <v/>
          </cell>
          <cell r="I593" t="str">
            <v/>
          </cell>
          <cell r="J593" t="e">
            <v>#NUM!</v>
          </cell>
          <cell r="M593" t="str">
            <v/>
          </cell>
          <cell r="N593" t="str">
            <v/>
          </cell>
          <cell r="O593" t="str">
            <v/>
          </cell>
          <cell r="P593" t="str">
            <v/>
          </cell>
          <cell r="Q593" t="str">
            <v/>
          </cell>
          <cell r="R593" t="str">
            <v/>
          </cell>
          <cell r="S593" t="str">
            <v/>
          </cell>
          <cell r="T593" t="e">
            <v>#NUM!</v>
          </cell>
        </row>
        <row r="594">
          <cell r="B594" t="str">
            <v>Total Payout Ratio</v>
          </cell>
          <cell r="C594" t="str">
            <v/>
          </cell>
          <cell r="D594" t="str">
            <v/>
          </cell>
          <cell r="E594" t="str">
            <v/>
          </cell>
          <cell r="F594" t="str">
            <v/>
          </cell>
          <cell r="G594" t="str">
            <v/>
          </cell>
          <cell r="H594" t="str">
            <v/>
          </cell>
          <cell r="I594" t="str">
            <v/>
          </cell>
          <cell r="J594" t="e">
            <v>#NUM!</v>
          </cell>
          <cell r="M594" t="str">
            <v/>
          </cell>
          <cell r="N594" t="str">
            <v/>
          </cell>
          <cell r="O594" t="str">
            <v/>
          </cell>
          <cell r="P594" t="str">
            <v/>
          </cell>
          <cell r="Q594" t="str">
            <v/>
          </cell>
          <cell r="R594" t="str">
            <v/>
          </cell>
          <cell r="S594" t="str">
            <v/>
          </cell>
          <cell r="T594" t="e">
            <v>#NUM!</v>
          </cell>
        </row>
        <row r="595">
          <cell r="B595" t="str">
            <v>FY(2)</v>
          </cell>
          <cell r="C595">
            <v>0</v>
          </cell>
          <cell r="D595">
            <v>0.16216216216216217</v>
          </cell>
          <cell r="E595">
            <v>3.6661247985587697</v>
          </cell>
          <cell r="F595">
            <v>2.6454340327307624</v>
          </cell>
          <cell r="G595">
            <v>0.11723994317024553</v>
          </cell>
          <cell r="H595">
            <v>0.92180455160102825</v>
          </cell>
          <cell r="I595">
            <v>1.2096020253757214</v>
          </cell>
          <cell r="J595">
            <v>1.2460525019426698</v>
          </cell>
          <cell r="K595">
            <v>1.3675882547173104</v>
          </cell>
          <cell r="M595">
            <v>0.69971370012041023</v>
          </cell>
          <cell r="N595">
            <v>2.1272224039052094</v>
          </cell>
          <cell r="O595">
            <v>1.328429399603519</v>
          </cell>
          <cell r="P595">
            <v>0</v>
          </cell>
          <cell r="Q595">
            <v>2.1977264654447031</v>
          </cell>
          <cell r="R595">
            <v>0.49192140793886452</v>
          </cell>
          <cell r="S595">
            <v>0</v>
          </cell>
          <cell r="T595">
            <v>0.97785905385895788</v>
          </cell>
          <cell r="U595">
            <v>1.051565317099219</v>
          </cell>
        </row>
        <row r="596">
          <cell r="B596" t="str">
            <v>FY(1)</v>
          </cell>
          <cell r="C596">
            <v>0</v>
          </cell>
          <cell r="D596">
            <v>0.31642285419859939</v>
          </cell>
          <cell r="E596">
            <v>0.40733944954128443</v>
          </cell>
          <cell r="F596">
            <v>1.0188796885573728</v>
          </cell>
          <cell r="G596">
            <v>-1.0778540196118701E-2</v>
          </cell>
          <cell r="H596">
            <v>1.1554399257639285</v>
          </cell>
          <cell r="I596">
            <v>1.0497673417532609</v>
          </cell>
          <cell r="J596">
            <v>0.56243867423118965</v>
          </cell>
          <cell r="K596">
            <v>0.60060872654977804</v>
          </cell>
          <cell r="M596">
            <v>0.34727063277060433</v>
          </cell>
          <cell r="N596">
            <v>4.4712291362717677E-2</v>
          </cell>
          <cell r="O596">
            <v>0.41889227285150915</v>
          </cell>
          <cell r="P596">
            <v>0</v>
          </cell>
          <cell r="Q596">
            <v>0.98035160289555323</v>
          </cell>
          <cell r="R596">
            <v>0.56878958181231642</v>
          </cell>
          <cell r="S596">
            <v>0</v>
          </cell>
          <cell r="T596">
            <v>0.33714519738467158</v>
          </cell>
          <cell r="U596">
            <v>0.46073696249193502</v>
          </cell>
        </row>
        <row r="597">
          <cell r="B597" t="str">
            <v>FY0</v>
          </cell>
          <cell r="C597">
            <v>0</v>
          </cell>
          <cell r="D597">
            <v>0.73322595379474487</v>
          </cell>
          <cell r="E597">
            <v>0.14756944444444445</v>
          </cell>
          <cell r="F597">
            <v>0.32491818606825618</v>
          </cell>
          <cell r="G597">
            <v>-1.6362232382747848E-2</v>
          </cell>
          <cell r="H597">
            <v>0.80225044437467952</v>
          </cell>
          <cell r="I597">
            <v>0.94143569561591744</v>
          </cell>
          <cell r="J597">
            <v>0.41900535598789918</v>
          </cell>
          <cell r="K597">
            <v>0.49466351475021214</v>
          </cell>
          <cell r="M597">
            <v>0.6411004160272602</v>
          </cell>
          <cell r="N597">
            <v>0.75328644484694962</v>
          </cell>
          <cell r="O597">
            <v>0.52325453102828579</v>
          </cell>
          <cell r="P597">
            <v>0</v>
          </cell>
          <cell r="Q597">
            <v>0.7101291143844336</v>
          </cell>
          <cell r="R597">
            <v>0.47634326332156873</v>
          </cell>
          <cell r="S597">
            <v>0</v>
          </cell>
          <cell r="T597">
            <v>0.44344482422978537</v>
          </cell>
          <cell r="U597">
            <v>0.45635204390278128</v>
          </cell>
        </row>
        <row r="598">
          <cell r="B598" t="str">
            <v>FY1</v>
          </cell>
          <cell r="C598">
            <v>0</v>
          </cell>
          <cell r="D598">
            <v>0.50753937868714571</v>
          </cell>
          <cell r="E598">
            <v>0.10909301206497163</v>
          </cell>
          <cell r="F598">
            <v>0.24746240936388547</v>
          </cell>
          <cell r="G598">
            <v>0</v>
          </cell>
          <cell r="H598">
            <v>0.87878285220050112</v>
          </cell>
          <cell r="I598">
            <v>0.63479295131495372</v>
          </cell>
          <cell r="J598">
            <v>0.33966722909020824</v>
          </cell>
          <cell r="K598">
            <v>0.36616541991203905</v>
          </cell>
          <cell r="M598">
            <v>1.7009033921522962</v>
          </cell>
          <cell r="N598">
            <v>0.67981251994719039</v>
          </cell>
          <cell r="O598">
            <v>0.57942808192479767</v>
          </cell>
          <cell r="P598">
            <v>0.13620642135194008</v>
          </cell>
          <cell r="Q598">
            <v>1.1647794572958605</v>
          </cell>
          <cell r="R598">
            <v>0.94883089374659302</v>
          </cell>
          <cell r="S598">
            <v>0</v>
          </cell>
          <cell r="T598">
            <v>0.74428010948838252</v>
          </cell>
          <cell r="U598">
            <v>0.75346194903587538</v>
          </cell>
        </row>
        <row r="599">
          <cell r="B599" t="str">
            <v>FY2</v>
          </cell>
          <cell r="C599">
            <v>0</v>
          </cell>
          <cell r="D599">
            <v>0.45040175903104468</v>
          </cell>
          <cell r="E599">
            <v>0.10909301206497171</v>
          </cell>
          <cell r="F599">
            <v>0.55559423355219895</v>
          </cell>
          <cell r="G599">
            <v>0</v>
          </cell>
          <cell r="H599">
            <v>0.82303887166694112</v>
          </cell>
          <cell r="I599">
            <v>0.59762613597557279</v>
          </cell>
          <cell r="J599">
            <v>0.36225057318438986</v>
          </cell>
          <cell r="K599">
            <v>0.37125601240434875</v>
          </cell>
          <cell r="M599">
            <v>1.2500000000000455</v>
          </cell>
          <cell r="N599">
            <v>0.80000000000000626</v>
          </cell>
          <cell r="O599">
            <v>0.60942808192479714</v>
          </cell>
          <cell r="P599">
            <v>0.13454396508448954</v>
          </cell>
          <cell r="Q599">
            <v>1.300000000000052</v>
          </cell>
          <cell r="R599">
            <v>0.31730075807378577</v>
          </cell>
          <cell r="S599">
            <v>9.9999999999998201E-2</v>
          </cell>
          <cell r="T599">
            <v>0.64446754358331049</v>
          </cell>
          <cell r="U599">
            <v>0.6707236257254281</v>
          </cell>
        </row>
        <row r="600">
          <cell r="B600" t="str">
            <v>FQ(3)</v>
          </cell>
          <cell r="C600">
            <v>0</v>
          </cell>
          <cell r="D600">
            <v>3.56</v>
          </cell>
          <cell r="E600">
            <v>-0.30882352941176472</v>
          </cell>
          <cell r="F600">
            <v>0.51470588235294112</v>
          </cell>
          <cell r="G600">
            <v>-9.8247809762202751E-2</v>
          </cell>
          <cell r="H600">
            <v>0.99727532362371019</v>
          </cell>
          <cell r="I600">
            <v>0.37202099285898649</v>
          </cell>
          <cell r="J600">
            <v>0.71956155138023858</v>
          </cell>
          <cell r="K600">
            <v>0.68684183509644903</v>
          </cell>
          <cell r="M600">
            <v>-0.66383899588833584</v>
          </cell>
          <cell r="N600">
            <v>0</v>
          </cell>
          <cell r="O600">
            <v>1.3161788151265863</v>
          </cell>
          <cell r="P600">
            <v>0</v>
          </cell>
          <cell r="Q600">
            <v>0.48372093023255813</v>
          </cell>
          <cell r="R600">
            <v>18.45444059976932</v>
          </cell>
          <cell r="S600">
            <v>0</v>
          </cell>
          <cell r="T600">
            <v>2.7986430498914467</v>
          </cell>
          <cell r="U600">
            <v>0.47313378739598599</v>
          </cell>
        </row>
        <row r="601">
          <cell r="B601" t="str">
            <v>FQ(2)</v>
          </cell>
          <cell r="C601">
            <v>0</v>
          </cell>
          <cell r="D601">
            <v>0</v>
          </cell>
          <cell r="E601">
            <v>0.26190476190476192</v>
          </cell>
          <cell r="F601">
            <v>0.32380952380952382</v>
          </cell>
          <cell r="G601">
            <v>-1.2749758665282426E-3</v>
          </cell>
          <cell r="H601">
            <v>0.88057868422834051</v>
          </cell>
          <cell r="I601">
            <v>0.97670524275408044</v>
          </cell>
          <cell r="J601">
            <v>0.34881760526145406</v>
          </cell>
          <cell r="K601">
            <v>0.55336081380309454</v>
          </cell>
          <cell r="M601">
            <v>2.2314825700803707</v>
          </cell>
          <cell r="N601">
            <v>0.34580734580734585</v>
          </cell>
          <cell r="O601">
            <v>0.7320453590928182</v>
          </cell>
          <cell r="P601">
            <v>0</v>
          </cell>
          <cell r="Q601">
            <v>0.25877192982456143</v>
          </cell>
          <cell r="R601">
            <v>0.79650863714053399</v>
          </cell>
          <cell r="S601">
            <v>0</v>
          </cell>
          <cell r="T601">
            <v>0.6235165488493758</v>
          </cell>
          <cell r="U601">
            <v>0.28607817774243055</v>
          </cell>
        </row>
        <row r="602">
          <cell r="B602" t="str">
            <v>FQ(1)</v>
          </cell>
          <cell r="C602">
            <v>0</v>
          </cell>
          <cell r="D602">
            <v>1.7407407407407407</v>
          </cell>
          <cell r="E602">
            <v>-1.75</v>
          </cell>
          <cell r="F602">
            <v>0.42168674698795183</v>
          </cell>
          <cell r="G602">
            <v>0.12727187703110288</v>
          </cell>
          <cell r="H602">
            <v>0.84869623144271034</v>
          </cell>
          <cell r="I602">
            <v>0.99081365961374246</v>
          </cell>
          <cell r="J602">
            <v>0.33988703654517832</v>
          </cell>
          <cell r="K602">
            <v>0.72009975886680333</v>
          </cell>
          <cell r="M602">
            <v>0.50262874310159023</v>
          </cell>
          <cell r="N602">
            <v>0.79145443803988569</v>
          </cell>
          <cell r="O602">
            <v>0.4672203110502593</v>
          </cell>
          <cell r="P602">
            <v>0.16930702209093426</v>
          </cell>
          <cell r="Q602">
            <v>0.39413680781758959</v>
          </cell>
          <cell r="R602">
            <v>8.0341039514674542</v>
          </cell>
          <cell r="S602">
            <v>0</v>
          </cell>
          <cell r="T602">
            <v>1.4798358962239591</v>
          </cell>
          <cell r="U602">
            <v>0.42746856310768105</v>
          </cell>
        </row>
        <row r="603">
          <cell r="B603" t="str">
            <v>Last Reported Q</v>
          </cell>
          <cell r="C603">
            <v>0</v>
          </cell>
          <cell r="D603">
            <v>0.73322595379474487</v>
          </cell>
          <cell r="E603">
            <v>0.14756944444444445</v>
          </cell>
          <cell r="F603">
            <v>0.32491818606825618</v>
          </cell>
          <cell r="G603">
            <v>-1.6362232382747848E-2</v>
          </cell>
          <cell r="H603">
            <v>0.80225044437467952</v>
          </cell>
          <cell r="I603">
            <v>0.94143569561591744</v>
          </cell>
          <cell r="J603">
            <v>0.41900535598789918</v>
          </cell>
          <cell r="K603">
            <v>0.49466351475021214</v>
          </cell>
          <cell r="M603">
            <v>0.6411004160272602</v>
          </cell>
          <cell r="N603">
            <v>0.75328644484694962</v>
          </cell>
          <cell r="O603">
            <v>0.52325453102828579</v>
          </cell>
          <cell r="P603">
            <v>9.9120149408590999E-2</v>
          </cell>
          <cell r="Q603">
            <v>0.7101291143844336</v>
          </cell>
          <cell r="R603">
            <v>0.47634326332156873</v>
          </cell>
          <cell r="S603">
            <v>0</v>
          </cell>
          <cell r="T603">
            <v>0.45760484557386988</v>
          </cell>
          <cell r="U603">
            <v>0.53703039732530433</v>
          </cell>
        </row>
        <row r="604">
          <cell r="B604" t="str">
            <v>LTM</v>
          </cell>
          <cell r="C604">
            <v>0</v>
          </cell>
          <cell r="D604">
            <v>1.0599274331813773</v>
          </cell>
          <cell r="E604">
            <v>0.25689655172413794</v>
          </cell>
          <cell r="F604">
            <v>0.35536706639368237</v>
          </cell>
          <cell r="G604">
            <v>-1.4799634611464611E-2</v>
          </cell>
          <cell r="H604">
            <v>0.84372858122001371</v>
          </cell>
          <cell r="I604">
            <v>0.89580374638436422</v>
          </cell>
          <cell r="J604">
            <v>0.48527482061315869</v>
          </cell>
          <cell r="K604">
            <v>0.54633181846653156</v>
          </cell>
          <cell r="M604">
            <v>0.97523573362915594</v>
          </cell>
          <cell r="N604">
            <v>0.64818871655913513</v>
          </cell>
          <cell r="O604">
            <v>0.58743732559956308</v>
          </cell>
          <cell r="P604">
            <v>7.4433707430581988E-2</v>
          </cell>
          <cell r="Q604">
            <v>0.57573791761271487</v>
          </cell>
          <cell r="R604">
            <v>0.71288014122619592</v>
          </cell>
          <cell r="S604">
            <v>0</v>
          </cell>
          <cell r="T604">
            <v>0.51055907743676376</v>
          </cell>
          <cell r="U604">
            <v>0.47913493836607302</v>
          </cell>
        </row>
        <row r="606">
          <cell r="A606" t="str">
            <v>Modelware DuPont (Non-lease Adjusted)ROIC</v>
          </cell>
          <cell r="B606" t="str">
            <v>Unadjusted ROIC</v>
          </cell>
        </row>
        <row r="607">
          <cell r="B607" t="str">
            <v>FY0</v>
          </cell>
        </row>
        <row r="608">
          <cell r="B608" t="str">
            <v>FY1</v>
          </cell>
          <cell r="C608">
            <v>1606.99</v>
          </cell>
          <cell r="D608">
            <v>3135</v>
          </cell>
          <cell r="E608">
            <v>3215</v>
          </cell>
          <cell r="F608">
            <v>901.32299999999998</v>
          </cell>
          <cell r="G608">
            <v>1438.452</v>
          </cell>
          <cell r="H608">
            <v>841.49099999999999</v>
          </cell>
          <cell r="I608">
            <v>1941.6980000000001</v>
          </cell>
          <cell r="M608">
            <v>170.703</v>
          </cell>
          <cell r="N608">
            <v>61.807000000000002</v>
          </cell>
          <cell r="O608">
            <v>134.40100000000001</v>
          </cell>
          <cell r="P608">
            <v>161.91300000000001</v>
          </cell>
          <cell r="Q608">
            <v>1703.855</v>
          </cell>
          <cell r="R608">
            <v>943.42600000000004</v>
          </cell>
          <cell r="S608">
            <v>63.247</v>
          </cell>
        </row>
        <row r="609">
          <cell r="B609" t="str">
            <v>FY2</v>
          </cell>
          <cell r="C609">
            <v>1946.9770000000001</v>
          </cell>
          <cell r="D609">
            <v>3142</v>
          </cell>
          <cell r="E609">
            <v>3120</v>
          </cell>
          <cell r="F609">
            <v>917.18200000000002</v>
          </cell>
          <cell r="G609">
            <v>1516.271</v>
          </cell>
          <cell r="H609">
            <v>853.11199999999997</v>
          </cell>
          <cell r="I609">
            <v>2352.0320000000002</v>
          </cell>
          <cell r="M609">
            <v>211.19800000000001</v>
          </cell>
          <cell r="N609">
            <v>81.238</v>
          </cell>
          <cell r="O609">
            <v>170.57599999999999</v>
          </cell>
          <cell r="P609">
            <v>184.41900000000001</v>
          </cell>
          <cell r="Q609">
            <v>1814</v>
          </cell>
          <cell r="R609">
            <v>1142</v>
          </cell>
          <cell r="S609">
            <v>98.995999999999995</v>
          </cell>
        </row>
        <row r="610">
          <cell r="B610" t="str">
            <v>FY(3)</v>
          </cell>
          <cell r="C610">
            <v>2237.5680000000002</v>
          </cell>
          <cell r="D610">
            <v>3210</v>
          </cell>
          <cell r="E610">
            <v>5459</v>
          </cell>
          <cell r="F610">
            <v>955.97799999999995</v>
          </cell>
          <cell r="G610">
            <v>807.21100000000001</v>
          </cell>
          <cell r="H610">
            <v>938.09100000000001</v>
          </cell>
          <cell r="I610">
            <v>2365.8609999999999</v>
          </cell>
          <cell r="M610">
            <v>362.536</v>
          </cell>
          <cell r="N610">
            <v>91.908000000000001</v>
          </cell>
          <cell r="O610">
            <v>210.739</v>
          </cell>
          <cell r="P610">
            <v>233.494</v>
          </cell>
          <cell r="Q610">
            <v>1696</v>
          </cell>
          <cell r="R610">
            <v>1159.69</v>
          </cell>
          <cell r="S610">
            <v>140.37700000000001</v>
          </cell>
        </row>
        <row r="611">
          <cell r="A611" t="str">
            <v>Modelware DuPont (Non-lease Adjusted)ROE</v>
          </cell>
          <cell r="B611" t="str">
            <v>Unadjusted ROE</v>
          </cell>
          <cell r="C611">
            <v>2578.3780000000002</v>
          </cell>
          <cell r="D611">
            <v>3400</v>
          </cell>
          <cell r="E611">
            <v>5317</v>
          </cell>
          <cell r="F611">
            <v>997.28899999999999</v>
          </cell>
          <cell r="G611">
            <v>785.30200000000002</v>
          </cell>
          <cell r="H611">
            <v>1051.729</v>
          </cell>
          <cell r="I611">
            <v>2581.9690000000001</v>
          </cell>
          <cell r="M611">
            <v>427.447</v>
          </cell>
          <cell r="N611">
            <v>101.476</v>
          </cell>
          <cell r="O611">
            <v>263.64400000000001</v>
          </cell>
          <cell r="P611">
            <v>291.19200000000001</v>
          </cell>
          <cell r="Q611">
            <v>1796</v>
          </cell>
          <cell r="R611">
            <v>1770</v>
          </cell>
          <cell r="S611">
            <v>154.387</v>
          </cell>
        </row>
        <row r="612">
          <cell r="B612" t="str">
            <v>FY0</v>
          </cell>
          <cell r="C612">
            <v>2855.7330000000002</v>
          </cell>
          <cell r="D612">
            <v>3641</v>
          </cell>
          <cell r="E612">
            <v>5060</v>
          </cell>
          <cell r="F612">
            <v>956</v>
          </cell>
          <cell r="G612">
            <v>857.173</v>
          </cell>
          <cell r="H612">
            <v>1025.2950000000001</v>
          </cell>
          <cell r="I612">
            <v>2737.3780000000002</v>
          </cell>
          <cell r="M612">
            <v>333.15300000000002</v>
          </cell>
          <cell r="N612">
            <v>136.488</v>
          </cell>
          <cell r="O612">
            <v>286.48500000000001</v>
          </cell>
          <cell r="P612">
            <v>318.49</v>
          </cell>
          <cell r="Q612">
            <v>1575</v>
          </cell>
          <cell r="R612">
            <v>1250.625</v>
          </cell>
          <cell r="S612">
            <v>171.92500000000001</v>
          </cell>
        </row>
        <row r="613">
          <cell r="B613" t="str">
            <v>FY1</v>
          </cell>
          <cell r="C613">
            <v>2799</v>
          </cell>
          <cell r="D613">
            <v>3259</v>
          </cell>
          <cell r="E613">
            <v>4769</v>
          </cell>
          <cell r="F613">
            <v>900</v>
          </cell>
          <cell r="G613">
            <v>728.84100000000001</v>
          </cell>
          <cell r="H613">
            <v>881.05799999999999</v>
          </cell>
          <cell r="I613">
            <v>2619.3359999999998</v>
          </cell>
          <cell r="M613">
            <v>372.42200000000003</v>
          </cell>
          <cell r="N613">
            <v>126.36</v>
          </cell>
          <cell r="O613">
            <v>294.928</v>
          </cell>
          <cell r="P613">
            <v>326.14800000000002</v>
          </cell>
          <cell r="Q613">
            <v>1506</v>
          </cell>
          <cell r="R613">
            <v>1181.865</v>
          </cell>
          <cell r="S613">
            <v>169.69800000000001</v>
          </cell>
        </row>
        <row r="614">
          <cell r="B614" t="str">
            <v>FY2</v>
          </cell>
          <cell r="C614">
            <v>2940.0436170483199</v>
          </cell>
          <cell r="D614">
            <v>2918.8564274536802</v>
          </cell>
          <cell r="E614">
            <v>4731.2153421261601</v>
          </cell>
          <cell r="F614">
            <v>839.35617027476405</v>
          </cell>
          <cell r="G614">
            <v>585.00673201635198</v>
          </cell>
          <cell r="H614">
            <v>864.04781667707402</v>
          </cell>
          <cell r="I614">
            <v>2616.37292347927</v>
          </cell>
          <cell r="M614">
            <v>287.47271947598</v>
          </cell>
          <cell r="N614">
            <v>124.497120668248</v>
          </cell>
          <cell r="O614">
            <v>314.06161596097701</v>
          </cell>
          <cell r="P614">
            <v>346.15462013569299</v>
          </cell>
          <cell r="Q614">
            <v>1484.11506380842</v>
          </cell>
          <cell r="R614">
            <v>1032.0259323569901</v>
          </cell>
          <cell r="S614">
            <v>173.71380577112001</v>
          </cell>
        </row>
        <row r="615">
          <cell r="B615" t="str">
            <v>FY2</v>
          </cell>
          <cell r="C615">
            <v>3047.8533847793501</v>
          </cell>
          <cell r="D615">
            <v>2899.7434629710201</v>
          </cell>
          <cell r="E615">
            <v>4616.6879030365199</v>
          </cell>
          <cell r="F615">
            <v>859.99964804245894</v>
          </cell>
          <cell r="G615">
            <v>574.46682556849896</v>
          </cell>
          <cell r="H615">
            <v>905.12218771622202</v>
          </cell>
          <cell r="I615">
            <v>2755.9473532789998</v>
          </cell>
          <cell r="M615">
            <v>306.71986794402397</v>
          </cell>
          <cell r="N615">
            <v>137.961510175505</v>
          </cell>
          <cell r="O615">
            <v>324.52754417494299</v>
          </cell>
          <cell r="P615">
            <v>370.54645784883797</v>
          </cell>
          <cell r="Q615">
            <v>1426.10530468362</v>
          </cell>
          <cell r="R615">
            <v>1008.9558266789099</v>
          </cell>
          <cell r="S615">
            <v>180.024105564092</v>
          </cell>
        </row>
        <row r="616">
          <cell r="A616" t="str">
            <v>Modelware DuPont (Lease Adjusted)ROIC</v>
          </cell>
          <cell r="B616" t="str">
            <v>Lease Adjusted ROIC</v>
          </cell>
          <cell r="C616">
            <v>2799</v>
          </cell>
          <cell r="D616">
            <v>3259</v>
          </cell>
          <cell r="E616">
            <v>4769</v>
          </cell>
          <cell r="F616">
            <v>900</v>
          </cell>
          <cell r="G616">
            <v>728.84100000000001</v>
          </cell>
          <cell r="H616">
            <v>881.05799999999999</v>
          </cell>
          <cell r="I616">
            <v>2619.3359999999998</v>
          </cell>
          <cell r="M616">
            <v>372.42200000000003</v>
          </cell>
          <cell r="N616">
            <v>126.36</v>
          </cell>
          <cell r="O616">
            <v>294.928</v>
          </cell>
          <cell r="P616">
            <v>401.79700000000003</v>
          </cell>
          <cell r="Q616">
            <v>1506</v>
          </cell>
          <cell r="R616">
            <v>1181.865</v>
          </cell>
          <cell r="S616">
            <v>169.69800000000001</v>
          </cell>
        </row>
        <row r="617">
          <cell r="B617" t="str">
            <v>FY0</v>
          </cell>
          <cell r="C617">
            <v>2804</v>
          </cell>
          <cell r="D617">
            <v>3237</v>
          </cell>
          <cell r="E617">
            <v>5026</v>
          </cell>
          <cell r="F617">
            <v>1004</v>
          </cell>
          <cell r="G617">
            <v>779.47400000000005</v>
          </cell>
          <cell r="H617">
            <v>917.66099999999994</v>
          </cell>
          <cell r="I617">
            <v>2817.7</v>
          </cell>
          <cell r="M617">
            <v>274.74200000000002</v>
          </cell>
          <cell r="N617">
            <v>128.929</v>
          </cell>
          <cell r="O617">
            <v>279.233</v>
          </cell>
          <cell r="P617">
            <v>383.08100000000002</v>
          </cell>
          <cell r="Q617">
            <v>1393</v>
          </cell>
          <cell r="R617">
            <v>1213.425</v>
          </cell>
          <cell r="S617">
            <v>189.881</v>
          </cell>
        </row>
        <row r="618">
          <cell r="B618" t="str">
            <v>FY1</v>
          </cell>
          <cell r="C618">
            <v>2724</v>
          </cell>
          <cell r="D618">
            <v>3258</v>
          </cell>
          <cell r="E618">
            <v>4634</v>
          </cell>
          <cell r="F618">
            <v>929</v>
          </cell>
          <cell r="G618">
            <v>670.26300000000003</v>
          </cell>
          <cell r="H618">
            <v>926.24400000000003</v>
          </cell>
          <cell r="I618">
            <v>3100.1750000000002</v>
          </cell>
          <cell r="M618">
            <v>325.596</v>
          </cell>
          <cell r="N618">
            <v>200.99299999999999</v>
          </cell>
          <cell r="O618">
            <v>352.81900000000002</v>
          </cell>
          <cell r="P618">
            <v>357.67</v>
          </cell>
          <cell r="Q618">
            <v>1473</v>
          </cell>
          <cell r="R618">
            <v>1091.412</v>
          </cell>
          <cell r="S618">
            <v>217.05</v>
          </cell>
        </row>
        <row r="619">
          <cell r="B619" t="str">
            <v>FY2</v>
          </cell>
          <cell r="C619">
            <v>3807</v>
          </cell>
          <cell r="D619">
            <v>4018</v>
          </cell>
          <cell r="E619">
            <v>6406</v>
          </cell>
          <cell r="F619">
            <v>1193</v>
          </cell>
          <cell r="G619">
            <v>799.11</v>
          </cell>
          <cell r="H619">
            <v>1014.638</v>
          </cell>
          <cell r="I619">
            <v>3267.7</v>
          </cell>
          <cell r="M619">
            <v>347.18</v>
          </cell>
          <cell r="N619">
            <v>221.51599999999999</v>
          </cell>
          <cell r="O619">
            <v>425.41500000000002</v>
          </cell>
          <cell r="P619">
            <v>326.14800000000002</v>
          </cell>
          <cell r="Q619">
            <v>1999</v>
          </cell>
          <cell r="R619">
            <v>1426.4559999999999</v>
          </cell>
          <cell r="S619">
            <v>234.52099999999999</v>
          </cell>
        </row>
        <row r="621">
          <cell r="A621" t="str">
            <v>Modelware DuPont (Lease Adjusted)ROE</v>
          </cell>
          <cell r="B621" t="str">
            <v>Lease Adjusted ROE</v>
          </cell>
        </row>
        <row r="622">
          <cell r="B622" t="str">
            <v>FY0</v>
          </cell>
          <cell r="C622">
            <v>3.5163894967177245</v>
          </cell>
          <cell r="D622">
            <v>3.1008902077151335E-2</v>
          </cell>
          <cell r="E622">
            <v>3.8273809523809522E-2</v>
          </cell>
          <cell r="F622">
            <v>4.7891764080765141E-2</v>
          </cell>
          <cell r="G622">
            <v>4.1769775016315805E-2</v>
          </cell>
          <cell r="H622">
            <v>6.3170257488176562E-2</v>
          </cell>
          <cell r="I622">
            <v>3.2099487518598119E-2</v>
          </cell>
          <cell r="M622">
            <v>3.4031698564593302E-2</v>
          </cell>
          <cell r="N622">
            <v>3.8349685946680118E-2</v>
          </cell>
          <cell r="O622">
            <v>3.1702109943703226E-2</v>
          </cell>
          <cell r="P622">
            <v>0.20698026111422885</v>
          </cell>
          <cell r="Q622">
            <v>4.6680958904109587E-2</v>
          </cell>
          <cell r="R622">
            <v>5.8824417009602198E-2</v>
          </cell>
          <cell r="S622">
            <v>4.3658244310008247E-2</v>
          </cell>
        </row>
        <row r="623">
          <cell r="B623" t="str">
            <v>FY1</v>
          </cell>
          <cell r="C623">
            <v>3.5922084870848709</v>
          </cell>
          <cell r="D623">
            <v>3.1016781836130308E-2</v>
          </cell>
          <cell r="E623">
            <v>3.7454981992797121E-2</v>
          </cell>
          <cell r="F623">
            <v>4.7511305654122094E-2</v>
          </cell>
          <cell r="G623">
            <v>4.4652013683553426E-2</v>
          </cell>
          <cell r="H623">
            <v>5.5930767717825999E-2</v>
          </cell>
          <cell r="I623">
            <v>3.5904500213714365E-2</v>
          </cell>
          <cell r="M623">
            <v>3.7781395348837211E-2</v>
          </cell>
          <cell r="N623">
            <v>4.1062350195056017E-2</v>
          </cell>
          <cell r="O623">
            <v>3.7571019989669815E-2</v>
          </cell>
          <cell r="P623">
            <v>0.20381483495351646</v>
          </cell>
          <cell r="Q623">
            <v>4.9562841530054642E-2</v>
          </cell>
          <cell r="R623">
            <v>7.2273906714764885E-2</v>
          </cell>
          <cell r="S623">
            <v>5.6573701081058525E-2</v>
          </cell>
        </row>
        <row r="624">
          <cell r="B624" t="str">
            <v>FY2</v>
          </cell>
          <cell r="C624">
            <v>3.5126656200941917</v>
          </cell>
          <cell r="D624">
            <v>3.1656804733727811E-2</v>
          </cell>
          <cell r="E624">
            <v>3.4441640378548896E-2</v>
          </cell>
          <cell r="F624">
            <v>4.8353759388988643E-2</v>
          </cell>
          <cell r="G624">
            <v>0.10639396335837617</v>
          </cell>
          <cell r="H624">
            <v>5.4165425255499743E-2</v>
          </cell>
          <cell r="I624">
            <v>3.3522649663478565E-2</v>
          </cell>
          <cell r="M624">
            <v>6.0171950207468877E-2</v>
          </cell>
          <cell r="N624">
            <v>3.872296948566975E-2</v>
          </cell>
          <cell r="O624">
            <v>4.4157061087856289E-2</v>
          </cell>
          <cell r="P624">
            <v>0.22479120836803163</v>
          </cell>
          <cell r="Q624">
            <v>4.4867724867724869E-2</v>
          </cell>
          <cell r="R624">
            <v>7.5638533785546566E-2</v>
          </cell>
          <cell r="S624">
            <v>6.6417827118810877E-2</v>
          </cell>
        </row>
        <row r="625">
          <cell r="B625" t="str">
            <v>FY(2)</v>
          </cell>
          <cell r="C625">
            <v>3.5223743169398909</v>
          </cell>
          <cell r="D625">
            <v>3.2977691561590687E-2</v>
          </cell>
          <cell r="E625">
            <v>3.3996163682864448E-2</v>
          </cell>
          <cell r="F625">
            <v>4.9567047713717692E-2</v>
          </cell>
          <cell r="G625">
            <v>0.10470693333333334</v>
          </cell>
          <cell r="H625">
            <v>5.6417176268640706E-2</v>
          </cell>
          <cell r="I625">
            <v>3.4897603633070678E-2</v>
          </cell>
          <cell r="M625">
            <v>6.3864784102793962E-2</v>
          </cell>
          <cell r="N625">
            <v>3.8642802741812643E-2</v>
          </cell>
          <cell r="O625">
            <v>5.0964756870443342E-2</v>
          </cell>
          <cell r="P625">
            <v>0.23790759748392731</v>
          </cell>
          <cell r="Q625">
            <v>4.6051282051282054E-2</v>
          </cell>
          <cell r="R625">
            <v>0.11363440844751772</v>
          </cell>
          <cell r="S625">
            <v>6.1813201112411009E-2</v>
          </cell>
        </row>
        <row r="626">
          <cell r="B626" t="str">
            <v>Valuation</v>
          </cell>
          <cell r="C626">
            <v>3.495389228886169</v>
          </cell>
          <cell r="D626">
            <v>3.4155722326454037E-2</v>
          </cell>
          <cell r="E626">
            <v>3.2653377301385511E-2</v>
          </cell>
          <cell r="F626">
            <v>4.7010228166797799E-2</v>
          </cell>
          <cell r="G626">
            <v>0.11369850112747049</v>
          </cell>
          <cell r="H626">
            <v>4.8592180094786733E-2</v>
          </cell>
          <cell r="I626">
            <v>3.5820177963883801E-2</v>
          </cell>
          <cell r="M626">
            <v>4.5407250919994549E-2</v>
          </cell>
          <cell r="N626">
            <v>4.6500187039173288E-2</v>
          </cell>
          <cell r="O626">
            <v>5.0173101886327197E-2</v>
          </cell>
          <cell r="P626">
            <v>0.21723459014982835</v>
          </cell>
          <cell r="Q626">
            <v>3.9772727272727272E-2</v>
          </cell>
          <cell r="R626">
            <v>0.12129036950829211</v>
          </cell>
          <cell r="S626">
            <v>5.9560927615761435E-2</v>
          </cell>
        </row>
        <row r="627">
          <cell r="B627" t="str">
            <v>FY0</v>
          </cell>
          <cell r="C627">
            <v>3.0129171151776104</v>
          </cell>
          <cell r="D627">
            <v>2.9844988318980185E-2</v>
          </cell>
          <cell r="E627">
            <v>3.0949244277731991E-2</v>
          </cell>
          <cell r="F627">
            <v>4.247486903582047E-2</v>
          </cell>
          <cell r="G627">
            <v>9.6932003937825792E-2</v>
          </cell>
          <cell r="H627">
            <v>3.9158133333333331E-2</v>
          </cell>
          <cell r="I627">
            <v>3.3125257655656222E-2</v>
          </cell>
          <cell r="M627">
            <v>4.6425081027175269E-2</v>
          </cell>
          <cell r="N627">
            <v>3.8470273828218472E-2</v>
          </cell>
          <cell r="O627">
            <v>4.6605596849767082E-2</v>
          </cell>
          <cell r="P627">
            <v>0.19290833500424975</v>
          </cell>
          <cell r="Q627">
            <v>3.8126582278481015E-2</v>
          </cell>
          <cell r="R627">
            <v>0.10844489507537872</v>
          </cell>
          <cell r="S627">
            <v>5.0495503885011242E-2</v>
          </cell>
        </row>
        <row r="628">
          <cell r="B628" t="str">
            <v>P/E</v>
          </cell>
          <cell r="C628">
            <v>2.9283302958648605</v>
          </cell>
          <cell r="D628">
            <v>2.6344405470617231E-2</v>
          </cell>
          <cell r="E628">
            <v>3.0595667073588382E-2</v>
          </cell>
          <cell r="F628">
            <v>3.7598825043664401E-2</v>
          </cell>
          <cell r="G628">
            <v>7.7172013017913738E-2</v>
          </cell>
          <cell r="H628">
            <v>3.6531643939030634E-2</v>
          </cell>
          <cell r="I628">
            <v>3.1966778372598967E-2</v>
          </cell>
          <cell r="M628">
            <v>3.6368491137515113E-2</v>
          </cell>
          <cell r="N628">
            <v>3.6506160063337061E-2</v>
          </cell>
          <cell r="O628">
            <v>4.8375056091979202E-2</v>
          </cell>
          <cell r="P628">
            <v>0.18771998345874799</v>
          </cell>
          <cell r="Q628">
            <v>3.8166062114152112E-2</v>
          </cell>
          <cell r="R628">
            <v>9.5052702931567076E-2</v>
          </cell>
          <cell r="S628">
            <v>4.6624074602340408E-2</v>
          </cell>
        </row>
        <row r="629">
          <cell r="B629" t="str">
            <v>Price/ Peak EPS</v>
          </cell>
          <cell r="C629" t="e">
            <v>#VALUE!</v>
          </cell>
          <cell r="D629" t="e">
            <v>#VALUE!</v>
          </cell>
          <cell r="E629" t="e">
            <v>#VALUE!</v>
          </cell>
          <cell r="F629" t="e">
            <v>#VALUE!</v>
          </cell>
          <cell r="G629" t="e">
            <v>#VALUE!</v>
          </cell>
          <cell r="H629" t="e">
            <v>#VALUE!</v>
          </cell>
          <cell r="I629" t="e">
            <v>#VALUE!</v>
          </cell>
          <cell r="J629" t="e">
            <v>#VALUE!</v>
          </cell>
          <cell r="M629" t="e">
            <v>#VALUE!</v>
          </cell>
          <cell r="N629" t="e">
            <v>#VALUE!</v>
          </cell>
          <cell r="O629" t="e">
            <v>#VALUE!</v>
          </cell>
          <cell r="P629" t="e">
            <v>#VALUE!</v>
          </cell>
          <cell r="Q629" t="e">
            <v>#VALUE!</v>
          </cell>
          <cell r="R629" t="e">
            <v>#VALUE!</v>
          </cell>
          <cell r="S629" t="e">
            <v>#VALUE!</v>
          </cell>
          <cell r="T629" t="e">
            <v>#VALUE!</v>
          </cell>
        </row>
        <row r="630">
          <cell r="B630" t="str">
            <v>LTM</v>
          </cell>
          <cell r="C630" t="e">
            <v>#VALUE!</v>
          </cell>
          <cell r="D630" t="e">
            <v>#VALUE!</v>
          </cell>
          <cell r="E630" t="e">
            <v>#VALUE!</v>
          </cell>
          <cell r="F630" t="e">
            <v>#VALUE!</v>
          </cell>
          <cell r="G630" t="e">
            <v>#VALUE!</v>
          </cell>
          <cell r="H630" t="e">
            <v>#VALUE!</v>
          </cell>
          <cell r="I630" t="e">
            <v>#VALUE!</v>
          </cell>
          <cell r="J630" t="e">
            <v>#VALUE!</v>
          </cell>
          <cell r="M630" t="e">
            <v>#VALUE!</v>
          </cell>
          <cell r="N630" t="e">
            <v>#VALUE!</v>
          </cell>
          <cell r="O630" t="e">
            <v>#VALUE!</v>
          </cell>
          <cell r="P630" t="e">
            <v>#VALUE!</v>
          </cell>
          <cell r="Q630" t="e">
            <v>#VALUE!</v>
          </cell>
          <cell r="R630" t="e">
            <v>#VALUE!</v>
          </cell>
          <cell r="S630" t="e">
            <v>#VALUE!</v>
          </cell>
          <cell r="T630" t="e">
            <v>#VALUE!</v>
          </cell>
        </row>
        <row r="631">
          <cell r="B631" t="str">
            <v>FY1</v>
          </cell>
          <cell r="C631" t="e">
            <v>#VALUE!</v>
          </cell>
          <cell r="D631" t="e">
            <v>#VALUE!</v>
          </cell>
          <cell r="E631" t="e">
            <v>#VALUE!</v>
          </cell>
          <cell r="F631" t="e">
            <v>#VALUE!</v>
          </cell>
          <cell r="G631" t="e">
            <v>#VALUE!</v>
          </cell>
          <cell r="H631" t="e">
            <v>#VALUE!</v>
          </cell>
          <cell r="I631" t="e">
            <v>#VALUE!</v>
          </cell>
          <cell r="J631" t="e">
            <v>#VALUE!</v>
          </cell>
          <cell r="M631" t="e">
            <v>#VALUE!</v>
          </cell>
          <cell r="N631" t="e">
            <v>#VALUE!</v>
          </cell>
          <cell r="O631" t="e">
            <v>#VALUE!</v>
          </cell>
          <cell r="P631" t="e">
            <v>#VALUE!</v>
          </cell>
          <cell r="Q631" t="e">
            <v>#VALUE!</v>
          </cell>
          <cell r="R631" t="e">
            <v>#VALUE!</v>
          </cell>
          <cell r="S631" t="e">
            <v>#VALUE!</v>
          </cell>
          <cell r="T631" t="e">
            <v>#VALUE!</v>
          </cell>
        </row>
        <row r="632">
          <cell r="B632" t="str">
            <v>FY2</v>
          </cell>
          <cell r="C632" t="e">
            <v>#VALUE!</v>
          </cell>
          <cell r="D632" t="e">
            <v>#VALUE!</v>
          </cell>
          <cell r="E632" t="e">
            <v>#VALUE!</v>
          </cell>
          <cell r="F632" t="e">
            <v>#VALUE!</v>
          </cell>
          <cell r="G632" t="e">
            <v>#VALUE!</v>
          </cell>
          <cell r="H632" t="e">
            <v>#VALUE!</v>
          </cell>
          <cell r="I632" t="e">
            <v>#VALUE!</v>
          </cell>
          <cell r="J632" t="e">
            <v>#VALUE!</v>
          </cell>
          <cell r="M632" t="e">
            <v>#VALUE!</v>
          </cell>
          <cell r="N632" t="e">
            <v>#VALUE!</v>
          </cell>
          <cell r="O632" t="e">
            <v>#VALUE!</v>
          </cell>
          <cell r="P632" t="e">
            <v>#VALUE!</v>
          </cell>
          <cell r="Q632" t="e">
            <v>#VALUE!</v>
          </cell>
          <cell r="R632" t="e">
            <v>#VALUE!</v>
          </cell>
          <cell r="S632" t="e">
            <v>#VALUE!</v>
          </cell>
          <cell r="T632" t="e">
            <v>#VALUE!</v>
          </cell>
        </row>
        <row r="633">
          <cell r="B633" t="str">
            <v>FY(4)</v>
          </cell>
          <cell r="C633">
            <v>2.1561601875422998E-2</v>
          </cell>
          <cell r="D633">
            <v>2.5411280152276561E-4</v>
          </cell>
          <cell r="E633">
            <v>-2.1393938601879214E-2</v>
          </cell>
          <cell r="F633">
            <v>-7.9441305607669266E-3</v>
          </cell>
          <cell r="G633">
            <v>6.900297322912996E-2</v>
          </cell>
          <cell r="H633">
            <v>-0.11460282193254578</v>
          </cell>
          <cell r="I633">
            <v>0.11853811351074239</v>
          </cell>
          <cell r="J633">
            <v>9.3451300459465991E-3</v>
          </cell>
          <cell r="M633">
            <v>0.11018247523340219</v>
          </cell>
          <cell r="N633">
            <v>7.0734979476689386E-2</v>
          </cell>
          <cell r="O633">
            <v>0.18512679617819217</v>
          </cell>
          <cell r="P633">
            <v>-1.5293372148977302E-2</v>
          </cell>
          <cell r="Q633">
            <v>6.1735720379371806E-2</v>
          </cell>
          <cell r="R633">
            <v>0.22863787503354716</v>
          </cell>
          <cell r="S633">
            <v>0.29583087856992751</v>
          </cell>
          <cell r="T633">
            <v>0.13385076467459328</v>
          </cell>
        </row>
        <row r="634">
          <cell r="B634" t="str">
            <v>EV/EBITDA</v>
          </cell>
          <cell r="C634">
            <v>-2.2143165486263161E-2</v>
          </cell>
          <cell r="D634">
            <v>2.0634729321014289E-2</v>
          </cell>
          <cell r="E634">
            <v>-8.0452357841947819E-2</v>
          </cell>
          <cell r="F634">
            <v>1.7731647726112465E-2</v>
          </cell>
          <cell r="G634">
            <v>1.3827360645453717</v>
          </cell>
          <cell r="H634">
            <v>-3.1562993578642007E-2</v>
          </cell>
          <cell r="I634">
            <v>-6.6338496178983353E-2</v>
          </cell>
          <cell r="J634">
            <v>0.1743722040723803</v>
          </cell>
          <cell r="M634">
            <v>0.59263440780571308</v>
          </cell>
          <cell r="N634">
            <v>-5.697142755525797E-2</v>
          </cell>
          <cell r="O634">
            <v>0.17529577583992428</v>
          </cell>
          <cell r="P634">
            <v>0.10291877634569246</v>
          </cell>
          <cell r="Q634">
            <v>-9.473057874380908E-2</v>
          </cell>
          <cell r="R634">
            <v>4.655382867374902E-2</v>
          </cell>
          <cell r="S634">
            <v>0.17400533904698468</v>
          </cell>
          <cell r="T634">
            <v>0.13424373163042808</v>
          </cell>
        </row>
        <row r="635">
          <cell r="B635" t="str">
            <v>LTM</v>
          </cell>
          <cell r="C635" t="e">
            <v>#VALUE!</v>
          </cell>
          <cell r="D635" t="e">
            <v>#VALUE!</v>
          </cell>
          <cell r="E635" t="e">
            <v>#VALUE!</v>
          </cell>
          <cell r="F635" t="e">
            <v>#VALUE!</v>
          </cell>
          <cell r="G635" t="e">
            <v>#VALUE!</v>
          </cell>
          <cell r="H635" t="e">
            <v>#VALUE!</v>
          </cell>
          <cell r="I635" t="e">
            <v>#VALUE!</v>
          </cell>
          <cell r="J635" t="e">
            <v>#VALUE!</v>
          </cell>
          <cell r="M635" t="e">
            <v>#VALUE!</v>
          </cell>
          <cell r="N635" t="e">
            <v>#VALUE!</v>
          </cell>
          <cell r="O635" t="e">
            <v>#VALUE!</v>
          </cell>
          <cell r="P635" t="e">
            <v>#VALUE!</v>
          </cell>
          <cell r="Q635" t="e">
            <v>#VALUE!</v>
          </cell>
          <cell r="R635" t="e">
            <v>#VALUE!</v>
          </cell>
          <cell r="S635" t="e">
            <v>#VALUE!</v>
          </cell>
          <cell r="T635" t="e">
            <v>#VALUE!</v>
          </cell>
        </row>
        <row r="636">
          <cell r="B636" t="str">
            <v>FY1</v>
          </cell>
          <cell r="C636" t="e">
            <v>#VALUE!</v>
          </cell>
          <cell r="D636" t="e">
            <v>#VALUE!</v>
          </cell>
          <cell r="E636" t="e">
            <v>#VALUE!</v>
          </cell>
          <cell r="F636" t="e">
            <v>#VALUE!</v>
          </cell>
          <cell r="G636" t="e">
            <v>#VALUE!</v>
          </cell>
          <cell r="H636" t="e">
            <v>#VALUE!</v>
          </cell>
          <cell r="I636" t="e">
            <v>#VALUE!</v>
          </cell>
          <cell r="J636" t="e">
            <v>#VALUE!</v>
          </cell>
          <cell r="M636" t="e">
            <v>#VALUE!</v>
          </cell>
          <cell r="N636" t="e">
            <v>#VALUE!</v>
          </cell>
          <cell r="O636" t="e">
            <v>#VALUE!</v>
          </cell>
          <cell r="P636" t="e">
            <v>#VALUE!</v>
          </cell>
          <cell r="Q636" t="e">
            <v>#VALUE!</v>
          </cell>
          <cell r="R636" t="e">
            <v>#VALUE!</v>
          </cell>
          <cell r="S636" t="e">
            <v>#VALUE!</v>
          </cell>
          <cell r="T636" t="e">
            <v>#VALUE!</v>
          </cell>
        </row>
        <row r="637">
          <cell r="B637" t="str">
            <v>FY2</v>
          </cell>
          <cell r="C637" t="e">
            <v>#VALUE!</v>
          </cell>
          <cell r="D637" t="e">
            <v>#VALUE!</v>
          </cell>
          <cell r="E637" t="e">
            <v>#VALUE!</v>
          </cell>
          <cell r="F637" t="e">
            <v>#VALUE!</v>
          </cell>
          <cell r="G637" t="e">
            <v>#VALUE!</v>
          </cell>
          <cell r="H637" t="e">
            <v>#VALUE!</v>
          </cell>
          <cell r="I637" t="e">
            <v>#VALUE!</v>
          </cell>
          <cell r="J637" t="e">
            <v>#VALUE!</v>
          </cell>
          <cell r="M637" t="e">
            <v>#VALUE!</v>
          </cell>
          <cell r="N637" t="e">
            <v>#VALUE!</v>
          </cell>
          <cell r="O637" t="e">
            <v>#VALUE!</v>
          </cell>
          <cell r="P637" t="e">
            <v>#VALUE!</v>
          </cell>
          <cell r="Q637" t="e">
            <v>#VALUE!</v>
          </cell>
          <cell r="R637" t="e">
            <v>#VALUE!</v>
          </cell>
          <cell r="S637" t="e">
            <v>#VALUE!</v>
          </cell>
          <cell r="T637" t="e">
            <v>#VALUE!</v>
          </cell>
        </row>
        <row r="638">
          <cell r="B638" t="str">
            <v>FY1</v>
          </cell>
          <cell r="C638">
            <v>-2.8074724952320329E-2</v>
          </cell>
          <cell r="D638">
            <v>-0.11729215005712457</v>
          </cell>
          <cell r="E638">
            <v>-1.1424421254705996E-2</v>
          </cell>
          <cell r="F638">
            <v>-0.11479832905532772</v>
          </cell>
          <cell r="G638">
            <v>-0.20385414638272126</v>
          </cell>
          <cell r="H638">
            <v>-6.7073917235653813E-2</v>
          </cell>
          <cell r="I638">
            <v>-3.4972687461026997E-2</v>
          </cell>
          <cell r="J638">
            <v>-8.2498625199840095E-2</v>
          </cell>
          <cell r="M638">
            <v>-0.21661975955999857</v>
          </cell>
          <cell r="N638">
            <v>-5.1055362216858136E-2</v>
          </cell>
          <cell r="O638">
            <v>3.7966668422163119E-2</v>
          </cell>
          <cell r="P638">
            <v>-2.6895424427293202E-2</v>
          </cell>
          <cell r="Q638">
            <v>1.0354936978806961E-3</v>
          </cell>
          <cell r="R638">
            <v>-0.12349306193254084</v>
          </cell>
          <cell r="S638">
            <v>-7.666879196783305E-2</v>
          </cell>
          <cell r="T638">
            <v>-6.5104319712068565E-2</v>
          </cell>
        </row>
        <row r="639">
          <cell r="B639" t="str">
            <v>FCF Yield</v>
          </cell>
          <cell r="C639">
            <v>-1.717080001305693E-2</v>
          </cell>
          <cell r="D639">
            <v>-8.3364925020563696E-3</v>
          </cell>
          <cell r="E639">
            <v>-2.6487959627819579E-2</v>
          </cell>
          <cell r="F639">
            <v>-1.6931885456709206E-2</v>
          </cell>
          <cell r="G639">
            <v>-5.6563156961221495E-2</v>
          </cell>
          <cell r="H639">
            <v>-2.0621464663999056E-3</v>
          </cell>
          <cell r="I639">
            <v>7.9871148560513028E-3</v>
          </cell>
          <cell r="J639">
            <v>-1.708076088160174E-2</v>
          </cell>
          <cell r="M639">
            <v>-2.6007948492032806E-2</v>
          </cell>
          <cell r="N639">
            <v>3.5756463590146836E-2</v>
          </cell>
          <cell r="O639">
            <v>-3.1064536814966459E-2</v>
          </cell>
          <cell r="P639">
            <v>1.2895585404308463E-2</v>
          </cell>
          <cell r="Q639">
            <v>-1.0981203497142378E-3</v>
          </cell>
          <cell r="R639">
            <v>-3.4797680849844359E-2</v>
          </cell>
          <cell r="S639">
            <v>-8.0801684127954743E-2</v>
          </cell>
          <cell r="T639">
            <v>-1.7873988805722472E-2</v>
          </cell>
        </row>
        <row r="640">
          <cell r="B640" t="str">
            <v>FY0</v>
          </cell>
          <cell r="C640" t="e">
            <v>#VALUE!</v>
          </cell>
          <cell r="D640" t="e">
            <v>#VALUE!</v>
          </cell>
          <cell r="E640" t="e">
            <v>#VALUE!</v>
          </cell>
          <cell r="F640" t="e">
            <v>#VALUE!</v>
          </cell>
          <cell r="G640" t="e">
            <v>#VALUE!</v>
          </cell>
          <cell r="H640" t="e">
            <v>#VALUE!</v>
          </cell>
          <cell r="I640" t="e">
            <v>#VALUE!</v>
          </cell>
          <cell r="J640" t="e">
            <v>#VALUE!</v>
          </cell>
          <cell r="M640" t="e">
            <v>#VALUE!</v>
          </cell>
          <cell r="N640" t="e">
            <v>#VALUE!</v>
          </cell>
          <cell r="O640" t="e">
            <v>#VALUE!</v>
          </cell>
          <cell r="P640" t="e">
            <v>#VALUE!</v>
          </cell>
          <cell r="Q640" t="e">
            <v>#VALUE!</v>
          </cell>
          <cell r="R640" t="e">
            <v>#VALUE!</v>
          </cell>
          <cell r="S640" t="e">
            <v>#VALUE!</v>
          </cell>
          <cell r="T640" t="e">
            <v>#VALUE!</v>
          </cell>
        </row>
        <row r="641">
          <cell r="B641" t="str">
            <v>FY1</v>
          </cell>
          <cell r="C641" t="e">
            <v>#VALUE!</v>
          </cell>
          <cell r="D641" t="e">
            <v>#VALUE!</v>
          </cell>
          <cell r="E641" t="e">
            <v>#VALUE!</v>
          </cell>
          <cell r="F641" t="e">
            <v>#VALUE!</v>
          </cell>
          <cell r="G641" t="e">
            <v>#VALUE!</v>
          </cell>
          <cell r="H641" t="e">
            <v>#VALUE!</v>
          </cell>
          <cell r="I641" t="e">
            <v>#VALUE!</v>
          </cell>
          <cell r="J641" t="e">
            <v>#VALUE!</v>
          </cell>
          <cell r="M641" t="e">
            <v>#VALUE!</v>
          </cell>
          <cell r="N641" t="e">
            <v>#VALUE!</v>
          </cell>
          <cell r="O641" t="e">
            <v>#VALUE!</v>
          </cell>
          <cell r="P641" t="e">
            <v>#VALUE!</v>
          </cell>
          <cell r="Q641" t="e">
            <v>#VALUE!</v>
          </cell>
          <cell r="R641" t="e">
            <v>#VALUE!</v>
          </cell>
          <cell r="S641" t="e">
            <v>#VALUE!</v>
          </cell>
          <cell r="T641" t="e">
            <v>#VALUE!</v>
          </cell>
        </row>
        <row r="642">
          <cell r="B642" t="str">
            <v>FY2</v>
          </cell>
          <cell r="C642" t="e">
            <v>#VALUE!</v>
          </cell>
          <cell r="D642" t="e">
            <v>#VALUE!</v>
          </cell>
          <cell r="E642" t="e">
            <v>#VALUE!</v>
          </cell>
          <cell r="F642" t="e">
            <v>#VALUE!</v>
          </cell>
          <cell r="G642" t="e">
            <v>#VALUE!</v>
          </cell>
          <cell r="H642" t="e">
            <v>#VALUE!</v>
          </cell>
          <cell r="I642" t="e">
            <v>#VALUE!</v>
          </cell>
          <cell r="J642" t="e">
            <v>#VALUE!</v>
          </cell>
          <cell r="M642" t="e">
            <v>#VALUE!</v>
          </cell>
          <cell r="N642" t="e">
            <v>#VALUE!</v>
          </cell>
          <cell r="O642" t="e">
            <v>#VALUE!</v>
          </cell>
          <cell r="P642" t="e">
            <v>#VALUE!</v>
          </cell>
          <cell r="Q642" t="e">
            <v>#VALUE!</v>
          </cell>
          <cell r="R642" t="e">
            <v>#VALUE!</v>
          </cell>
          <cell r="S642" t="e">
            <v>#VALUE!</v>
          </cell>
          <cell r="T642" t="e">
            <v>#VALUE!</v>
          </cell>
        </row>
        <row r="643">
          <cell r="B643" t="str">
            <v>FY(4)</v>
          </cell>
          <cell r="C643">
            <v>-1.6104116425834508E-2</v>
          </cell>
          <cell r="D643">
            <v>4.8745887198477236E-2</v>
          </cell>
          <cell r="E643">
            <v>4.739393860187921E-2</v>
          </cell>
          <cell r="F643">
            <v>0.10414967075315233</v>
          </cell>
          <cell r="G643">
            <v>-1.6002973229129962E-2</v>
          </cell>
          <cell r="H643">
            <v>0.10460282193254579</v>
          </cell>
          <cell r="I643">
            <v>-6.8538113510742391E-2</v>
          </cell>
          <cell r="J643">
            <v>2.9178159331478239E-2</v>
          </cell>
          <cell r="M643">
            <v>-9.0182475233402185E-2</v>
          </cell>
          <cell r="N643">
            <v>1.6265020523310608E-2</v>
          </cell>
          <cell r="O643">
            <v>2.887320382180783E-2</v>
          </cell>
          <cell r="P643">
            <v>0.1972933721489773</v>
          </cell>
          <cell r="Q643">
            <v>-6.1735720379371806E-2</v>
          </cell>
          <cell r="R643">
            <v>-0.18863787503354715</v>
          </cell>
          <cell r="S643">
            <v>-7.9830878569927516E-2</v>
          </cell>
          <cell r="T643">
            <v>-2.5422193246021844E-2</v>
          </cell>
        </row>
        <row r="644">
          <cell r="B644" t="str">
            <v>Dividend Yield</v>
          </cell>
          <cell r="C644">
            <v>5.9034041611078461E-2</v>
          </cell>
          <cell r="D644">
            <v>8.3652706789857124E-3</v>
          </cell>
          <cell r="E644">
            <v>9.3452357841947817E-2</v>
          </cell>
          <cell r="F644">
            <v>4.2432082369352635E-2</v>
          </cell>
          <cell r="G644">
            <v>-1.3427360645453716</v>
          </cell>
          <cell r="H644">
            <v>9.1562993578642005E-2</v>
          </cell>
          <cell r="I644">
            <v>8.6338496178983357E-2</v>
          </cell>
          <cell r="J644">
            <v>-0.1373644031837688</v>
          </cell>
          <cell r="M644">
            <v>-0.33263440780571307</v>
          </cell>
          <cell r="N644">
            <v>9.1971427555257973E-2</v>
          </cell>
          <cell r="O644">
            <v>-2.0295775839924285E-2</v>
          </cell>
          <cell r="P644">
            <v>0.10408122365430753</v>
          </cell>
          <cell r="Q644">
            <v>4.4730578743809077E-2</v>
          </cell>
          <cell r="R644">
            <v>-5.6553828673749022E-2</v>
          </cell>
          <cell r="S644">
            <v>-6.5005339046984675E-2</v>
          </cell>
          <cell r="T644">
            <v>-3.3386588773285208E-2</v>
          </cell>
        </row>
        <row r="645">
          <cell r="B645" t="str">
            <v>FY0</v>
          </cell>
          <cell r="C645" t="str">
            <v/>
          </cell>
          <cell r="D645" t="str">
            <v/>
          </cell>
          <cell r="E645" t="str">
            <v/>
          </cell>
          <cell r="F645" t="str">
            <v/>
          </cell>
          <cell r="G645" t="str">
            <v/>
          </cell>
          <cell r="H645" t="str">
            <v/>
          </cell>
          <cell r="I645" t="str">
            <v/>
          </cell>
          <cell r="J645" t="e">
            <v>#NUM!</v>
          </cell>
          <cell r="M645" t="str">
            <v/>
          </cell>
          <cell r="N645" t="str">
            <v/>
          </cell>
          <cell r="O645" t="str">
            <v/>
          </cell>
          <cell r="P645" t="str">
            <v/>
          </cell>
          <cell r="Q645" t="str">
            <v/>
          </cell>
          <cell r="R645" t="str">
            <v/>
          </cell>
          <cell r="S645" t="str">
            <v/>
          </cell>
          <cell r="T645" t="e">
            <v>#NUM!</v>
          </cell>
        </row>
        <row r="646">
          <cell r="B646" t="str">
            <v>FY1</v>
          </cell>
          <cell r="C646" t="str">
            <v/>
          </cell>
          <cell r="D646" t="str">
            <v/>
          </cell>
          <cell r="E646" t="str">
            <v/>
          </cell>
          <cell r="F646" t="str">
            <v/>
          </cell>
          <cell r="G646" t="str">
            <v/>
          </cell>
          <cell r="H646" t="str">
            <v/>
          </cell>
          <cell r="I646" t="str">
            <v/>
          </cell>
          <cell r="J646" t="e">
            <v>#NUM!</v>
          </cell>
          <cell r="M646" t="str">
            <v/>
          </cell>
          <cell r="N646" t="str">
            <v/>
          </cell>
          <cell r="O646" t="str">
            <v/>
          </cell>
          <cell r="P646" t="str">
            <v/>
          </cell>
          <cell r="Q646" t="str">
            <v/>
          </cell>
          <cell r="R646" t="str">
            <v/>
          </cell>
          <cell r="S646" t="str">
            <v/>
          </cell>
          <cell r="T646" t="e">
            <v>#NUM!</v>
          </cell>
        </row>
        <row r="647">
          <cell r="B647" t="str">
            <v>FY2</v>
          </cell>
          <cell r="C647" t="str">
            <v/>
          </cell>
          <cell r="D647" t="str">
            <v/>
          </cell>
          <cell r="E647" t="str">
            <v/>
          </cell>
          <cell r="F647" t="str">
            <v/>
          </cell>
          <cell r="G647" t="str">
            <v/>
          </cell>
          <cell r="H647" t="str">
            <v/>
          </cell>
          <cell r="I647" t="str">
            <v/>
          </cell>
          <cell r="J647" t="e">
            <v>#NUM!</v>
          </cell>
          <cell r="M647" t="str">
            <v/>
          </cell>
          <cell r="N647" t="str">
            <v/>
          </cell>
          <cell r="O647" t="str">
            <v/>
          </cell>
          <cell r="P647" t="str">
            <v/>
          </cell>
          <cell r="Q647" t="str">
            <v/>
          </cell>
          <cell r="R647" t="str">
            <v/>
          </cell>
          <cell r="S647" t="str">
            <v/>
          </cell>
          <cell r="T647" t="e">
            <v>#NUM!</v>
          </cell>
        </row>
        <row r="648">
          <cell r="B648" t="str">
            <v>FY1</v>
          </cell>
          <cell r="C648">
            <v>3.2045591556247421E-2</v>
          </cell>
          <cell r="D648">
            <v>5.1981526084222462E-2</v>
          </cell>
          <cell r="E648">
            <v>-4.4125390416967503E-2</v>
          </cell>
          <cell r="F648">
            <v>5.4178625789718916E-2</v>
          </cell>
          <cell r="G648">
            <v>5.2904749737220258E-2</v>
          </cell>
          <cell r="H648">
            <v>0.12167763905476112</v>
          </cell>
          <cell r="I648">
            <v>7.3259545141423105E-2</v>
          </cell>
          <cell r="J648">
            <v>4.8846040992375106E-2</v>
          </cell>
          <cell r="M648">
            <v>2.1177557729705754E-3</v>
          </cell>
          <cell r="N648">
            <v>0.14143994216824063</v>
          </cell>
          <cell r="O648">
            <v>-8.2462858476940015E-2</v>
          </cell>
          <cell r="P648">
            <v>6.3903958320594201E-2</v>
          </cell>
          <cell r="Q648">
            <v>-2.9552812927526595E-2</v>
          </cell>
          <cell r="R648">
            <v>8.4541000412301337E-2</v>
          </cell>
          <cell r="S648">
            <v>5.9908180705699046E-2</v>
          </cell>
          <cell r="T648">
            <v>3.4270737996477021E-2</v>
          </cell>
        </row>
        <row r="649">
          <cell r="B649" t="str">
            <v>P/Sales</v>
          </cell>
          <cell r="C649">
            <v>4.2170800013056932E-2</v>
          </cell>
          <cell r="D649">
            <v>-1.6635074979436306E-3</v>
          </cell>
          <cell r="E649">
            <v>1.6487959627819578E-2</v>
          </cell>
          <cell r="F649">
            <v>-3.0681145432907946E-3</v>
          </cell>
          <cell r="G649">
            <v>2.6563156961221496E-2</v>
          </cell>
          <cell r="H649">
            <v>2.2062146466399906E-2</v>
          </cell>
          <cell r="I649">
            <v>1.2012885143948698E-2</v>
          </cell>
          <cell r="J649">
            <v>1.6366475167316027E-2</v>
          </cell>
          <cell r="M649">
            <v>-4.4652141651022992E-2</v>
          </cell>
          <cell r="N649">
            <v>4.2435364098531644E-3</v>
          </cell>
          <cell r="O649">
            <v>4.1064536814966461E-2</v>
          </cell>
          <cell r="P649">
            <v>2.7104414595691538E-2</v>
          </cell>
          <cell r="Q649">
            <v>-9.9569220345095619E-3</v>
          </cell>
          <cell r="R649">
            <v>2.2843379017423959E-2</v>
          </cell>
          <cell r="S649">
            <v>0.13265176300151366</v>
          </cell>
          <cell r="T649">
            <v>2.4756938021988032E-2</v>
          </cell>
        </row>
        <row r="650">
          <cell r="B650" t="str">
            <v>FY0</v>
          </cell>
          <cell r="C650" t="e">
            <v>#VALUE!</v>
          </cell>
          <cell r="D650" t="e">
            <v>#VALUE!</v>
          </cell>
          <cell r="E650" t="e">
            <v>#VALUE!</v>
          </cell>
          <cell r="F650" t="e">
            <v>#VALUE!</v>
          </cell>
          <cell r="G650" t="e">
            <v>#VALUE!</v>
          </cell>
          <cell r="H650" t="e">
            <v>#VALUE!</v>
          </cell>
          <cell r="I650" t="e">
            <v>#VALUE!</v>
          </cell>
          <cell r="J650" t="e">
            <v>#VALUE!</v>
          </cell>
          <cell r="M650" t="e">
            <v>#VALUE!</v>
          </cell>
          <cell r="N650" t="e">
            <v>#VALUE!</v>
          </cell>
          <cell r="O650" t="e">
            <v>#VALUE!</v>
          </cell>
          <cell r="P650" t="e">
            <v>#VALUE!</v>
          </cell>
          <cell r="Q650" t="e">
            <v>#VALUE!</v>
          </cell>
          <cell r="R650" t="e">
            <v>#VALUE!</v>
          </cell>
          <cell r="S650" t="e">
            <v>#VALUE!</v>
          </cell>
          <cell r="T650" t="e">
            <v>#VALUE!</v>
          </cell>
        </row>
        <row r="651">
          <cell r="B651" t="str">
            <v>FY1</v>
          </cell>
          <cell r="C651" t="e">
            <v>#VALUE!</v>
          </cell>
          <cell r="D651" t="e">
            <v>#VALUE!</v>
          </cell>
          <cell r="E651" t="e">
            <v>#VALUE!</v>
          </cell>
          <cell r="F651" t="e">
            <v>#VALUE!</v>
          </cell>
          <cell r="G651" t="e">
            <v>#VALUE!</v>
          </cell>
          <cell r="H651" t="e">
            <v>#VALUE!</v>
          </cell>
          <cell r="I651" t="e">
            <v>#VALUE!</v>
          </cell>
          <cell r="J651" t="e">
            <v>#VALUE!</v>
          </cell>
          <cell r="M651" t="e">
            <v>#VALUE!</v>
          </cell>
          <cell r="N651" t="e">
            <v>#VALUE!</v>
          </cell>
          <cell r="O651" t="e">
            <v>#VALUE!</v>
          </cell>
          <cell r="P651" t="e">
            <v>#VALUE!</v>
          </cell>
          <cell r="Q651" t="e">
            <v>#VALUE!</v>
          </cell>
          <cell r="R651" t="e">
            <v>#VALUE!</v>
          </cell>
          <cell r="S651" t="e">
            <v>#VALUE!</v>
          </cell>
          <cell r="T651" t="e">
            <v>#VALUE!</v>
          </cell>
        </row>
        <row r="652">
          <cell r="B652" t="str">
            <v>FY2</v>
          </cell>
          <cell r="C652" t="e">
            <v>#VALUE!</v>
          </cell>
          <cell r="D652" t="e">
            <v>#VALUE!</v>
          </cell>
          <cell r="E652" t="e">
            <v>#VALUE!</v>
          </cell>
          <cell r="F652" t="e">
            <v>#VALUE!</v>
          </cell>
          <cell r="G652" t="e">
            <v>#VALUE!</v>
          </cell>
          <cell r="H652" t="e">
            <v>#VALUE!</v>
          </cell>
          <cell r="I652" t="e">
            <v>#VALUE!</v>
          </cell>
          <cell r="J652" t="e">
            <v>#VALUE!</v>
          </cell>
          <cell r="K652">
            <v>56.223660362650925</v>
          </cell>
          <cell r="M652" t="e">
            <v>#VALUE!</v>
          </cell>
          <cell r="N652" t="e">
            <v>#VALUE!</v>
          </cell>
          <cell r="O652" t="e">
            <v>#VALUE!</v>
          </cell>
          <cell r="P652" t="e">
            <v>#VALUE!</v>
          </cell>
          <cell r="Q652" t="e">
            <v>#VALUE!</v>
          </cell>
          <cell r="R652" t="e">
            <v>#VALUE!</v>
          </cell>
          <cell r="S652" t="e">
            <v>#VALUE!</v>
          </cell>
          <cell r="T652" t="e">
            <v>#VALUE!</v>
          </cell>
          <cell r="U652">
            <v>153.15566538025266</v>
          </cell>
        </row>
        <row r="653">
          <cell r="B653" t="str">
            <v>FY(1)</v>
          </cell>
          <cell r="C653">
            <v>52.896736253201503</v>
          </cell>
          <cell r="D653">
            <v>54.68105065666041</v>
          </cell>
          <cell r="E653">
            <v>55.200986054555663</v>
          </cell>
          <cell r="F653">
            <v>116.0395357985838</v>
          </cell>
          <cell r="G653">
            <v>107.16633806833863</v>
          </cell>
          <cell r="H653">
            <v>44.355497630331755</v>
          </cell>
          <cell r="I653">
            <v>39.693848600778857</v>
          </cell>
          <cell r="K653">
            <v>55.197959773596573</v>
          </cell>
          <cell r="M653">
            <v>242.96088319476624</v>
          </cell>
          <cell r="N653">
            <v>117.81253428199783</v>
          </cell>
          <cell r="O653">
            <v>125.25192944504418</v>
          </cell>
          <cell r="P653">
            <v>837.50417641254148</v>
          </cell>
          <cell r="Q653">
            <v>109.72222222222223</v>
          </cell>
          <cell r="R653">
            <v>252.39239646978953</v>
          </cell>
          <cell r="S653">
            <v>121.88537141352623</v>
          </cell>
          <cell r="U653">
            <v>161.87029690248212</v>
          </cell>
        </row>
        <row r="654">
          <cell r="B654" t="str">
            <v>Current Price/Book Value</v>
          </cell>
          <cell r="C654">
            <v>52.485891828461703</v>
          </cell>
          <cell r="D654">
            <v>53.160526907542184</v>
          </cell>
          <cell r="E654">
            <v>54.889643132953907</v>
          </cell>
          <cell r="F654">
            <v>112.69838123554675</v>
          </cell>
          <cell r="G654">
            <v>101.53403110118391</v>
          </cell>
          <cell r="H654">
            <v>46.163326249732442</v>
          </cell>
          <cell r="I654">
            <v>39.743768451555518</v>
          </cell>
          <cell r="K654">
            <v>54.489639577494366</v>
          </cell>
          <cell r="M654">
            <v>236.73855081325479</v>
          </cell>
          <cell r="N654">
            <v>123.57098885896485</v>
          </cell>
          <cell r="O654">
            <v>115.9958326004987</v>
          </cell>
          <cell r="P654">
            <v>782.12610361811073</v>
          </cell>
          <cell r="Q654">
            <v>98.708860759493675</v>
          </cell>
          <cell r="R654">
            <v>210.0189020305919</v>
          </cell>
          <cell r="S654">
            <v>123.20304255242671</v>
          </cell>
          <cell r="U654">
            <v>150.00822074468337</v>
          </cell>
        </row>
        <row r="655">
          <cell r="B655" t="str">
            <v>FY0</v>
          </cell>
          <cell r="C655" t="e">
            <v>#VALUE!</v>
          </cell>
          <cell r="D655" t="e">
            <v>#VALUE!</v>
          </cell>
          <cell r="E655" t="e">
            <v>#VALUE!</v>
          </cell>
          <cell r="F655" t="e">
            <v>#VALUE!</v>
          </cell>
          <cell r="G655" t="e">
            <v>#VALUE!</v>
          </cell>
          <cell r="H655" t="e">
            <v>#VALUE!</v>
          </cell>
          <cell r="I655" t="e">
            <v>#VALUE!</v>
          </cell>
          <cell r="J655" t="e">
            <v>#VALUE!</v>
          </cell>
          <cell r="K655">
            <v>54.172660862097118</v>
          </cell>
          <cell r="M655" t="e">
            <v>#VALUE!</v>
          </cell>
          <cell r="N655" t="e">
            <v>#VALUE!</v>
          </cell>
          <cell r="O655" t="e">
            <v>#VALUE!</v>
          </cell>
          <cell r="P655" t="e">
            <v>#VALUE!</v>
          </cell>
          <cell r="Q655" t="e">
            <v>#VALUE!</v>
          </cell>
          <cell r="R655" t="e">
            <v>#VALUE!</v>
          </cell>
          <cell r="S655" t="e">
            <v>#VALUE!</v>
          </cell>
          <cell r="T655" t="e">
            <v>#VALUE!</v>
          </cell>
          <cell r="U655">
            <v>149.72934531906631</v>
          </cell>
        </row>
        <row r="656">
          <cell r="B656" t="str">
            <v>FY1</v>
          </cell>
          <cell r="C656" t="e">
            <v>#VALUE!</v>
          </cell>
          <cell r="D656" t="e">
            <v>#VALUE!</v>
          </cell>
          <cell r="E656" t="e">
            <v>#VALUE!</v>
          </cell>
          <cell r="F656" t="e">
            <v>#VALUE!</v>
          </cell>
          <cell r="G656" t="e">
            <v>#VALUE!</v>
          </cell>
          <cell r="H656" t="e">
            <v>#VALUE!</v>
          </cell>
          <cell r="I656" t="e">
            <v>#VALUE!</v>
          </cell>
          <cell r="J656" t="e">
            <v>#VALUE!</v>
          </cell>
          <cell r="K656">
            <v>53.715653746568783</v>
          </cell>
          <cell r="M656" t="e">
            <v>#VALUE!</v>
          </cell>
          <cell r="N656" t="e">
            <v>#VALUE!</v>
          </cell>
          <cell r="O656" t="e">
            <v>#VALUE!</v>
          </cell>
          <cell r="P656" t="e">
            <v>#VALUE!</v>
          </cell>
          <cell r="Q656" t="e">
            <v>#VALUE!</v>
          </cell>
          <cell r="R656" t="e">
            <v>#VALUE!</v>
          </cell>
          <cell r="S656" t="e">
            <v>#VALUE!</v>
          </cell>
          <cell r="T656" t="e">
            <v>#VALUE!</v>
          </cell>
          <cell r="U656">
            <v>154.80379580954013</v>
          </cell>
        </row>
        <row r="657">
          <cell r="B657" t="str">
            <v>FY2</v>
          </cell>
          <cell r="C657" t="e">
            <v>#VALUE!</v>
          </cell>
          <cell r="D657" t="e">
            <v>#VALUE!</v>
          </cell>
          <cell r="E657" t="e">
            <v>#VALUE!</v>
          </cell>
          <cell r="F657" t="e">
            <v>#VALUE!</v>
          </cell>
          <cell r="G657" t="e">
            <v>#VALUE!</v>
          </cell>
          <cell r="H657" t="e">
            <v>#VALUE!</v>
          </cell>
          <cell r="I657" t="e">
            <v>#VALUE!</v>
          </cell>
          <cell r="J657" t="e">
            <v>#VALUE!</v>
          </cell>
          <cell r="M657" t="e">
            <v>#VALUE!</v>
          </cell>
          <cell r="N657" t="e">
            <v>#VALUE!</v>
          </cell>
          <cell r="O657" t="e">
            <v>#VALUE!</v>
          </cell>
          <cell r="P657" t="e">
            <v>#VALUE!</v>
          </cell>
          <cell r="Q657" t="e">
            <v>#VALUE!</v>
          </cell>
          <cell r="R657" t="e">
            <v>#VALUE!</v>
          </cell>
          <cell r="S657" t="e">
            <v>#VALUE!</v>
          </cell>
          <cell r="T657" t="e">
            <v>#VALUE!</v>
          </cell>
        </row>
        <row r="658">
          <cell r="B658" t="str">
            <v>FQ(2)</v>
          </cell>
          <cell r="C658">
            <v>12.814700234691701</v>
          </cell>
          <cell r="D658">
            <v>13.498469709167473</v>
          </cell>
          <cell r="E658">
            <v>12.693797820768248</v>
          </cell>
          <cell r="F658">
            <v>25.437727122563594</v>
          </cell>
          <cell r="G658">
            <v>20.671901141774427</v>
          </cell>
          <cell r="H658">
            <v>12.090222222222222</v>
          </cell>
          <cell r="I658">
            <v>9.2958492215560344</v>
          </cell>
          <cell r="M658">
            <v>53.777736225380202</v>
          </cell>
          <cell r="N658">
            <v>28.662728710283766</v>
          </cell>
          <cell r="O658">
            <v>25.077087883426593</v>
          </cell>
          <cell r="P658">
            <v>203.27393151549455</v>
          </cell>
          <cell r="Q658">
            <v>22.430379746835442</v>
          </cell>
          <cell r="R658">
            <v>44.332051787893519</v>
          </cell>
          <cell r="S658">
            <v>28.918464242741916</v>
          </cell>
        </row>
        <row r="659">
          <cell r="B659" t="str">
            <v>FQ(1)</v>
          </cell>
          <cell r="C659">
            <v>12.881374013228077</v>
          </cell>
          <cell r="D659">
            <v>13.370261720070904</v>
          </cell>
          <cell r="E659">
            <v>12.077279010454861</v>
          </cell>
          <cell r="F659">
            <v>28.694133748643164</v>
          </cell>
          <cell r="G659">
            <v>20.606334745343176</v>
          </cell>
          <cell r="H659">
            <v>12.718133333333334</v>
          </cell>
          <cell r="I659">
            <v>10.001760474286144</v>
          </cell>
          <cell r="M659">
            <v>53.785838942907006</v>
          </cell>
          <cell r="N659">
            <v>30.652612453091901</v>
          </cell>
          <cell r="O659">
            <v>26.417602443171933</v>
          </cell>
          <cell r="P659">
            <v>193.01066015097985</v>
          </cell>
          <cell r="Q659">
            <v>23.11392405063291</v>
          </cell>
          <cell r="R659">
            <v>47.655689419450738</v>
          </cell>
          <cell r="S659">
            <v>32.33000092580037</v>
          </cell>
        </row>
        <row r="660">
          <cell r="B660" t="str">
            <v>mstag:propertyPlantAndEquipmentNet</v>
          </cell>
          <cell r="C660">
            <v>13.694794111371881</v>
          </cell>
          <cell r="D660">
            <v>14.524133621940035</v>
          </cell>
          <cell r="E660">
            <v>13.193502540706465</v>
          </cell>
          <cell r="F660">
            <v>27.41988767756855</v>
          </cell>
          <cell r="G660">
            <v>21.618557551100253</v>
          </cell>
          <cell r="H660">
            <v>12.733822222222223</v>
          </cell>
          <cell r="I660">
            <v>10.927744956920218</v>
          </cell>
          <cell r="M660">
            <v>55.858015457491895</v>
          </cell>
          <cell r="N660">
            <v>35.692474062401246</v>
          </cell>
          <cell r="O660">
            <v>30.54107137185223</v>
          </cell>
          <cell r="P660">
            <v>782.12610361811073</v>
          </cell>
          <cell r="Q660">
            <v>25.924050632911392</v>
          </cell>
          <cell r="R660">
            <v>46.233173981263128</v>
          </cell>
          <cell r="S660">
            <v>34.019254632710343</v>
          </cell>
        </row>
        <row r="661">
          <cell r="B661" t="str">
            <v>Assets</v>
          </cell>
        </row>
        <row r="662">
          <cell r="B662" t="str">
            <v>FY(5)</v>
          </cell>
        </row>
        <row r="663">
          <cell r="B663" t="str">
            <v>FY(4)</v>
          </cell>
        </row>
        <row r="664">
          <cell r="B664" t="str">
            <v>FY(3)</v>
          </cell>
        </row>
        <row r="665">
          <cell r="B665" t="str">
            <v>FY(2)</v>
          </cell>
        </row>
        <row r="666">
          <cell r="B666" t="str">
            <v>FY(1)</v>
          </cell>
        </row>
        <row r="667">
          <cell r="B667" t="str">
            <v>FY0</v>
          </cell>
        </row>
        <row r="668">
          <cell r="B668" t="str">
            <v>FY1</v>
          </cell>
        </row>
        <row r="669">
          <cell r="B669" t="str">
            <v>FY2</v>
          </cell>
        </row>
        <row r="671">
          <cell r="A671" t="str">
            <v>mstag:inventories</v>
          </cell>
        </row>
        <row r="672">
          <cell r="B672" t="str">
            <v>Inventory</v>
          </cell>
        </row>
        <row r="673">
          <cell r="B673" t="str">
            <v>FY(5)</v>
          </cell>
          <cell r="C673">
            <v>1946.9770000000001</v>
          </cell>
          <cell r="D673">
            <v>3142</v>
          </cell>
          <cell r="E673">
            <v>3120</v>
          </cell>
          <cell r="F673">
            <v>917.18200000000002</v>
          </cell>
          <cell r="G673">
            <v>1516.271</v>
          </cell>
          <cell r="H673">
            <v>853.11199999999997</v>
          </cell>
          <cell r="I673">
            <v>2352.0320000000002</v>
          </cell>
          <cell r="M673">
            <v>211.19800000000001</v>
          </cell>
          <cell r="N673">
            <v>81.238</v>
          </cell>
          <cell r="O673">
            <v>170.57599999999999</v>
          </cell>
          <cell r="P673">
            <v>161.91300000000001</v>
          </cell>
          <cell r="Q673">
            <v>1814</v>
          </cell>
          <cell r="R673">
            <v>1142</v>
          </cell>
          <cell r="S673">
            <v>98.995999999999995</v>
          </cell>
        </row>
        <row r="674">
          <cell r="B674" t="str">
            <v>FY(4)</v>
          </cell>
          <cell r="C674">
            <v>2237.5680000000002</v>
          </cell>
          <cell r="D674">
            <v>3210</v>
          </cell>
          <cell r="E674">
            <v>5459</v>
          </cell>
          <cell r="F674">
            <v>955.97799999999995</v>
          </cell>
          <cell r="G674">
            <v>807.21100000000001</v>
          </cell>
          <cell r="H674">
            <v>938.09100000000001</v>
          </cell>
          <cell r="I674">
            <v>2365.8609999999999</v>
          </cell>
          <cell r="M674">
            <v>362.536</v>
          </cell>
          <cell r="N674">
            <v>91.908000000000001</v>
          </cell>
          <cell r="O674">
            <v>210.739</v>
          </cell>
          <cell r="P674">
            <v>184.41900000000001</v>
          </cell>
          <cell r="Q674">
            <v>1696</v>
          </cell>
          <cell r="R674">
            <v>1159.69</v>
          </cell>
          <cell r="S674">
            <v>140.37700000000001</v>
          </cell>
        </row>
        <row r="675">
          <cell r="B675" t="str">
            <v>FY(3)</v>
          </cell>
          <cell r="C675">
            <v>2578.3780000000002</v>
          </cell>
          <cell r="D675">
            <v>3400</v>
          </cell>
          <cell r="E675">
            <v>5317</v>
          </cell>
          <cell r="F675">
            <v>997.28899999999999</v>
          </cell>
          <cell r="G675">
            <v>785.30200000000002</v>
          </cell>
          <cell r="H675">
            <v>1051.729</v>
          </cell>
          <cell r="I675">
            <v>2581.9690000000001</v>
          </cell>
          <cell r="M675">
            <v>427.447</v>
          </cell>
          <cell r="N675">
            <v>101.476</v>
          </cell>
          <cell r="O675">
            <v>263.64400000000001</v>
          </cell>
          <cell r="P675">
            <v>233.494</v>
          </cell>
          <cell r="Q675">
            <v>1796</v>
          </cell>
          <cell r="R675">
            <v>1770</v>
          </cell>
          <cell r="S675">
            <v>154.387</v>
          </cell>
        </row>
        <row r="676">
          <cell r="B676" t="str">
            <v>FY(2)</v>
          </cell>
          <cell r="C676">
            <v>2855.7330000000002</v>
          </cell>
          <cell r="D676">
            <v>3641</v>
          </cell>
          <cell r="E676">
            <v>5060</v>
          </cell>
          <cell r="F676">
            <v>956</v>
          </cell>
          <cell r="G676">
            <v>857.173</v>
          </cell>
          <cell r="H676">
            <v>1025.2950000000001</v>
          </cell>
          <cell r="I676">
            <v>2737.3780000000002</v>
          </cell>
          <cell r="M676">
            <v>333.15300000000002</v>
          </cell>
          <cell r="N676">
            <v>136.488</v>
          </cell>
          <cell r="O676">
            <v>286.48500000000001</v>
          </cell>
          <cell r="P676">
            <v>291.19200000000001</v>
          </cell>
          <cell r="Q676">
            <v>1575</v>
          </cell>
          <cell r="R676">
            <v>1250.625</v>
          </cell>
          <cell r="S676">
            <v>171.92500000000001</v>
          </cell>
        </row>
        <row r="677">
          <cell r="B677" t="str">
            <v>FY(1)</v>
          </cell>
          <cell r="C677">
            <v>2799</v>
          </cell>
          <cell r="D677">
            <v>3259</v>
          </cell>
          <cell r="E677">
            <v>4769</v>
          </cell>
          <cell r="F677">
            <v>900</v>
          </cell>
          <cell r="G677">
            <v>728.84100000000001</v>
          </cell>
          <cell r="H677">
            <v>881.05799999999999</v>
          </cell>
          <cell r="I677">
            <v>2619.3359999999998</v>
          </cell>
          <cell r="M677">
            <v>372.42200000000003</v>
          </cell>
          <cell r="N677">
            <v>126.36</v>
          </cell>
          <cell r="O677">
            <v>294.928</v>
          </cell>
          <cell r="P677">
            <v>318.49</v>
          </cell>
          <cell r="Q677">
            <v>1506</v>
          </cell>
          <cell r="R677">
            <v>1181.865</v>
          </cell>
          <cell r="S677">
            <v>169.69800000000001</v>
          </cell>
        </row>
        <row r="678">
          <cell r="B678" t="str">
            <v>FY0</v>
          </cell>
          <cell r="C678">
            <v>2923</v>
          </cell>
          <cell r="D678">
            <v>3024</v>
          </cell>
          <cell r="E678">
            <v>4615</v>
          </cell>
          <cell r="F678">
            <v>898</v>
          </cell>
          <cell r="G678">
            <v>649.19600000000003</v>
          </cell>
          <cell r="H678">
            <v>872.49800000000005</v>
          </cell>
          <cell r="I678">
            <v>2532.3000000000002</v>
          </cell>
          <cell r="M678">
            <v>310.64499999999998</v>
          </cell>
          <cell r="N678">
            <v>132.91499999999999</v>
          </cell>
          <cell r="O678">
            <v>326.45400000000001</v>
          </cell>
          <cell r="P678">
            <v>326.14800000000002</v>
          </cell>
          <cell r="Q678">
            <v>1477</v>
          </cell>
          <cell r="R678">
            <v>1036.5530000000001</v>
          </cell>
          <cell r="S678">
            <v>186.13</v>
          </cell>
        </row>
        <row r="679">
          <cell r="B679" t="str">
            <v>FY1</v>
          </cell>
          <cell r="C679">
            <v>3123.9971107842498</v>
          </cell>
          <cell r="D679">
            <v>3252.61217088179</v>
          </cell>
          <cell r="E679">
            <v>4721.2360639694298</v>
          </cell>
          <cell r="F679">
            <v>914.11790804880604</v>
          </cell>
          <cell r="G679">
            <v>669.12691891221596</v>
          </cell>
          <cell r="H679">
            <v>834.78757252013304</v>
          </cell>
          <cell r="I679">
            <v>2625.2613280778201</v>
          </cell>
          <cell r="M679">
            <v>258.51078977779201</v>
          </cell>
          <cell r="N679">
            <v>145.12914927307301</v>
          </cell>
          <cell r="O679">
            <v>328.46417729998097</v>
          </cell>
          <cell r="P679">
            <v>343.01583673532502</v>
          </cell>
          <cell r="Q679">
            <v>1540.78859277573</v>
          </cell>
          <cell r="R679">
            <v>1056.0597821485901</v>
          </cell>
          <cell r="S679">
            <v>206.454753751087</v>
          </cell>
        </row>
        <row r="680">
          <cell r="B680" t="str">
            <v>FY2</v>
          </cell>
          <cell r="C680">
            <v>3334.1784300244799</v>
          </cell>
          <cell r="D680">
            <v>3343.2669776559701</v>
          </cell>
          <cell r="E680">
            <v>4712.7406133039703</v>
          </cell>
          <cell r="F680">
            <v>971.95523796844395</v>
          </cell>
          <cell r="G680">
            <v>697.66154527773404</v>
          </cell>
          <cell r="H680">
            <v>872.19591833105596</v>
          </cell>
          <cell r="I680">
            <v>2780.3311198893398</v>
          </cell>
          <cell r="M680">
            <v>269.88188642931402</v>
          </cell>
          <cell r="N680">
            <v>164.92922352314</v>
          </cell>
          <cell r="O680">
            <v>353.36622884730599</v>
          </cell>
          <cell r="P680">
            <v>366.82580611037599</v>
          </cell>
          <cell r="Q680">
            <v>1462.23084953795</v>
          </cell>
          <cell r="R680">
            <v>1070.8595931551099</v>
          </cell>
          <cell r="S680">
            <v>230.21031860692699</v>
          </cell>
        </row>
        <row r="681">
          <cell r="B681" t="str">
            <v>FQ(3)</v>
          </cell>
          <cell r="C681">
            <v>2804</v>
          </cell>
          <cell r="D681">
            <v>3237</v>
          </cell>
          <cell r="E681">
            <v>5026</v>
          </cell>
          <cell r="F681">
            <v>1004</v>
          </cell>
          <cell r="G681">
            <v>779.47400000000005</v>
          </cell>
          <cell r="H681">
            <v>917.66099999999994</v>
          </cell>
          <cell r="I681">
            <v>2817.7</v>
          </cell>
          <cell r="M681">
            <v>274.74200000000002</v>
          </cell>
          <cell r="N681">
            <v>128.929</v>
          </cell>
          <cell r="O681">
            <v>279.233</v>
          </cell>
          <cell r="P681">
            <v>357.67</v>
          </cell>
          <cell r="Q681">
            <v>1393</v>
          </cell>
          <cell r="R681">
            <v>1213.425</v>
          </cell>
          <cell r="S681">
            <v>189.881</v>
          </cell>
        </row>
        <row r="682">
          <cell r="B682" t="str">
            <v>FQ(2)</v>
          </cell>
          <cell r="C682">
            <v>2724</v>
          </cell>
          <cell r="D682">
            <v>3258</v>
          </cell>
          <cell r="E682">
            <v>4634</v>
          </cell>
          <cell r="F682">
            <v>929</v>
          </cell>
          <cell r="G682">
            <v>670.26300000000003</v>
          </cell>
          <cell r="H682">
            <v>926.24400000000003</v>
          </cell>
          <cell r="I682">
            <v>3100.1750000000002</v>
          </cell>
          <cell r="M682">
            <v>325.596</v>
          </cell>
          <cell r="N682">
            <v>200.99299999999999</v>
          </cell>
          <cell r="O682">
            <v>352.81900000000002</v>
          </cell>
          <cell r="P682">
            <v>326.14800000000002</v>
          </cell>
          <cell r="Q682">
            <v>1473</v>
          </cell>
          <cell r="R682">
            <v>1091</v>
          </cell>
          <cell r="S682">
            <v>217.05</v>
          </cell>
        </row>
        <row r="683">
          <cell r="B683" t="str">
            <v>FQ(1)</v>
          </cell>
          <cell r="C683">
            <v>3807</v>
          </cell>
          <cell r="D683">
            <v>4018</v>
          </cell>
          <cell r="E683">
            <v>6406</v>
          </cell>
          <cell r="F683">
            <v>1193</v>
          </cell>
          <cell r="G683">
            <v>799.11</v>
          </cell>
          <cell r="H683">
            <v>1014.638</v>
          </cell>
          <cell r="I683">
            <v>3267.6669999999999</v>
          </cell>
          <cell r="M683">
            <v>347.18</v>
          </cell>
          <cell r="N683">
            <v>221.51599999999999</v>
          </cell>
          <cell r="O683">
            <v>425.41500000000002</v>
          </cell>
          <cell r="P683">
            <v>337.54500000000002</v>
          </cell>
          <cell r="Q683">
            <v>1999</v>
          </cell>
          <cell r="R683">
            <v>1426.4559999999999</v>
          </cell>
          <cell r="S683">
            <v>234.52099999999999</v>
          </cell>
        </row>
        <row r="684">
          <cell r="B684" t="str">
            <v>Last Reported Q</v>
          </cell>
          <cell r="C684">
            <v>2923</v>
          </cell>
          <cell r="D684">
            <v>3024</v>
          </cell>
          <cell r="E684">
            <v>4615</v>
          </cell>
          <cell r="F684">
            <v>898</v>
          </cell>
          <cell r="G684">
            <v>649.19600000000003</v>
          </cell>
          <cell r="H684">
            <v>872.49800000000005</v>
          </cell>
          <cell r="I684">
            <v>2532.3000000000002</v>
          </cell>
          <cell r="M684">
            <v>310.64499999999998</v>
          </cell>
          <cell r="N684">
            <v>132.91499999999999</v>
          </cell>
          <cell r="O684">
            <v>326.45400000000001</v>
          </cell>
          <cell r="P684">
            <v>269.2</v>
          </cell>
          <cell r="Q684">
            <v>1477</v>
          </cell>
          <cell r="R684">
            <v>1036.5530000000001</v>
          </cell>
          <cell r="S684">
            <v>186.13</v>
          </cell>
        </row>
        <row r="686">
          <cell r="B686" t="str">
            <v>Inventory/Store</v>
          </cell>
        </row>
        <row r="687">
          <cell r="B687" t="str">
            <v>FY(5)</v>
          </cell>
          <cell r="C687">
            <v>3.5922084870848709</v>
          </cell>
          <cell r="D687">
            <v>3.1016781836130308E-2</v>
          </cell>
          <cell r="E687">
            <v>1.9948849104859334E-2</v>
          </cell>
          <cell r="F687">
            <v>4.7511305654122094E-2</v>
          </cell>
          <cell r="G687">
            <v>0.20216946666666666</v>
          </cell>
          <cell r="H687">
            <v>5.5930767717825999E-2</v>
          </cell>
          <cell r="I687">
            <v>3.5904500213714365E-2</v>
          </cell>
          <cell r="M687">
            <v>3.7781395348837211E-2</v>
          </cell>
          <cell r="N687">
            <v>4.1062350195056017E-2</v>
          </cell>
          <cell r="O687">
            <v>3.7571019989669815E-2</v>
          </cell>
          <cell r="P687">
            <v>0.20698026111422885</v>
          </cell>
          <cell r="Q687">
            <v>4.9562841530054642E-2</v>
          </cell>
          <cell r="R687">
            <v>0.11075550383086025</v>
          </cell>
          <cell r="S687">
            <v>5.6573701081058525E-2</v>
          </cell>
        </row>
        <row r="688">
          <cell r="B688" t="str">
            <v>FY(4)</v>
          </cell>
          <cell r="C688">
            <v>3.5126656200941917</v>
          </cell>
          <cell r="D688">
            <v>3.1656804733727811E-2</v>
          </cell>
          <cell r="E688">
            <v>3.4904092071611256E-2</v>
          </cell>
          <cell r="F688">
            <v>4.8353759388988643E-2</v>
          </cell>
          <cell r="G688">
            <v>0.10762813333333333</v>
          </cell>
          <cell r="H688">
            <v>5.4165425255499743E-2</v>
          </cell>
          <cell r="I688">
            <v>3.3522649663478565E-2</v>
          </cell>
          <cell r="M688">
            <v>6.0171950207468877E-2</v>
          </cell>
          <cell r="N688">
            <v>3.872296948566975E-2</v>
          </cell>
          <cell r="O688">
            <v>4.4157061087856289E-2</v>
          </cell>
          <cell r="P688">
            <v>0.20381483495351646</v>
          </cell>
          <cell r="Q688">
            <v>4.4867724867724869E-2</v>
          </cell>
          <cell r="R688">
            <v>0.11247114731839783</v>
          </cell>
          <cell r="S688">
            <v>6.6417827118810877E-2</v>
          </cell>
        </row>
        <row r="689">
          <cell r="B689" t="str">
            <v>FY(3)</v>
          </cell>
          <cell r="C689">
            <v>3.5223743169398909</v>
          </cell>
          <cell r="D689">
            <v>3.2977691561590687E-2</v>
          </cell>
          <cell r="E689">
            <v>3.3996163682864448E-2</v>
          </cell>
          <cell r="F689">
            <v>4.9567047713717692E-2</v>
          </cell>
          <cell r="G689">
            <v>0.10470693333333334</v>
          </cell>
          <cell r="H689">
            <v>5.6417176268640706E-2</v>
          </cell>
          <cell r="I689">
            <v>3.4897603633070678E-2</v>
          </cell>
          <cell r="M689">
            <v>6.3864784102793962E-2</v>
          </cell>
          <cell r="N689">
            <v>3.8642802741812643E-2</v>
          </cell>
          <cell r="O689">
            <v>5.0964756870443342E-2</v>
          </cell>
          <cell r="P689">
            <v>0.22479120836803163</v>
          </cell>
          <cell r="Q689">
            <v>4.6051282051282054E-2</v>
          </cell>
          <cell r="R689">
            <v>0.17166133255746291</v>
          </cell>
          <cell r="S689">
            <v>6.1813201112411009E-2</v>
          </cell>
        </row>
        <row r="690">
          <cell r="B690" t="str">
            <v>FY(2)</v>
          </cell>
          <cell r="C690">
            <v>3.495389228886169</v>
          </cell>
          <cell r="D690">
            <v>3.4155722326454037E-2</v>
          </cell>
          <cell r="E690">
            <v>3.2653377301385511E-2</v>
          </cell>
          <cell r="F690">
            <v>4.7010228166797799E-2</v>
          </cell>
          <cell r="G690">
            <v>0.11369850112747049</v>
          </cell>
          <cell r="H690">
            <v>4.8592180094786733E-2</v>
          </cell>
          <cell r="I690">
            <v>3.5820177963883801E-2</v>
          </cell>
          <cell r="M690">
            <v>4.5407250919994549E-2</v>
          </cell>
          <cell r="N690">
            <v>4.6500187039173288E-2</v>
          </cell>
          <cell r="O690">
            <v>5.0173101886327197E-2</v>
          </cell>
          <cell r="P690">
            <v>0.23790759748392731</v>
          </cell>
          <cell r="Q690">
            <v>3.9772727272727272E-2</v>
          </cell>
          <cell r="R690">
            <v>0.12129036950829211</v>
          </cell>
          <cell r="S690">
            <v>5.9560927615761435E-2</v>
          </cell>
        </row>
        <row r="691">
          <cell r="B691" t="str">
            <v>FY(1)</v>
          </cell>
          <cell r="C691">
            <v>3.0129171151776104</v>
          </cell>
          <cell r="D691">
            <v>2.9844988318980185E-2</v>
          </cell>
          <cell r="E691">
            <v>3.0949244277731991E-2</v>
          </cell>
          <cell r="F691">
            <v>4.247486903582047E-2</v>
          </cell>
          <cell r="G691">
            <v>9.6932003937825792E-2</v>
          </cell>
          <cell r="H691">
            <v>3.9158133333333331E-2</v>
          </cell>
          <cell r="I691">
            <v>3.3125257655656222E-2</v>
          </cell>
          <cell r="M691">
            <v>4.7992525773195877E-2</v>
          </cell>
          <cell r="N691">
            <v>3.8470273828218472E-2</v>
          </cell>
          <cell r="O691">
            <v>4.6605596849767082E-2</v>
          </cell>
          <cell r="P691">
            <v>0.21723459014982835</v>
          </cell>
          <cell r="Q691">
            <v>3.8126582278481015E-2</v>
          </cell>
          <cell r="R691">
            <v>0.10844489507537872</v>
          </cell>
          <cell r="S691">
            <v>5.0495503885011242E-2</v>
          </cell>
        </row>
        <row r="692">
          <cell r="B692" t="str">
            <v>FY0</v>
          </cell>
          <cell r="C692">
            <v>2.9113545816733066</v>
          </cell>
          <cell r="D692">
            <v>2.7318021416815018E-2</v>
          </cell>
          <cell r="E692">
            <v>2.9889896373056994E-2</v>
          </cell>
          <cell r="F692">
            <v>4.0224865058567941E-2</v>
          </cell>
          <cell r="G692">
            <v>8.6639688600556014E-2</v>
          </cell>
          <cell r="H692">
            <v>3.6814261603375531E-2</v>
          </cell>
          <cell r="I692">
            <v>3.0962136448200613E-2</v>
          </cell>
          <cell r="M692">
            <v>3.9587740537785139E-2</v>
          </cell>
          <cell r="N692">
            <v>3.8769084837835754E-2</v>
          </cell>
          <cell r="O692">
            <v>5.0977699540230355E-2</v>
          </cell>
          <cell r="P692">
            <v>0.19290833500424975</v>
          </cell>
          <cell r="Q692">
            <v>3.8067010309278351E-2</v>
          </cell>
          <cell r="R692">
            <v>9.4809567364858696E-2</v>
          </cell>
          <cell r="S692">
            <v>4.995653032417971E-2</v>
          </cell>
        </row>
        <row r="693">
          <cell r="B693" t="str">
            <v>FY1</v>
          </cell>
          <cell r="C693">
            <v>2.9527382899662098</v>
          </cell>
          <cell r="D693">
            <v>2.9330300917219145E-2</v>
          </cell>
          <cell r="E693">
            <v>3.0470411154580945E-2</v>
          </cell>
          <cell r="F693">
            <v>3.9293073303284999E-2</v>
          </cell>
          <cell r="G693">
            <v>8.8609781426668283E-2</v>
          </cell>
          <cell r="H693">
            <v>3.3681465125949293E-2</v>
          </cell>
          <cell r="I693">
            <v>3.0667679893737684E-2</v>
          </cell>
          <cell r="M693">
            <v>3.1708217119172578E-2</v>
          </cell>
          <cell r="N693">
            <v>4.0112064796655827E-2</v>
          </cell>
          <cell r="O693">
            <v>5.2295895435949875E-2</v>
          </cell>
          <cell r="P693">
            <v>0.18614099688799227</v>
          </cell>
          <cell r="Q693">
            <v>4.0743780641510838E-2</v>
          </cell>
          <cell r="R693">
            <v>9.7251438577294805E-2</v>
          </cell>
          <cell r="S693">
            <v>4.9148885064112975E-2</v>
          </cell>
        </row>
        <row r="694">
          <cell r="B694" t="str">
            <v>FY2</v>
          </cell>
          <cell r="C694">
            <v>3.0645022334783825</v>
          </cell>
          <cell r="D694">
            <v>3.0012585207337347E-2</v>
          </cell>
          <cell r="E694">
            <v>3.0433400395724029E-2</v>
          </cell>
          <cell r="F694">
            <v>4.0138235427392123E-2</v>
          </cell>
          <cell r="G694">
            <v>8.8748465123669365E-2</v>
          </cell>
          <cell r="H694">
            <v>3.3440798480200512E-2</v>
          </cell>
          <cell r="I694">
            <v>3.1080543928809247E-2</v>
          </cell>
          <cell r="M694">
            <v>3.0938014934536497E-2</v>
          </cell>
          <cell r="N694">
            <v>4.1486904049822193E-2</v>
          </cell>
          <cell r="O694">
            <v>5.2958724188948397E-2</v>
          </cell>
          <cell r="P694">
            <v>0.18836190825466373</v>
          </cell>
          <cell r="Q694">
            <v>4.0043346162256285E-2</v>
          </cell>
          <cell r="R694">
            <v>9.7349787106169941E-2</v>
          </cell>
          <cell r="S694">
            <v>4.9120105458739363E-2</v>
          </cell>
        </row>
        <row r="696">
          <cell r="B696" t="str">
            <v>Inventory/Store Y/Y ∆</v>
          </cell>
        </row>
        <row r="697">
          <cell r="B697" t="str">
            <v>FY(5)</v>
          </cell>
        </row>
        <row r="698">
          <cell r="B698" t="str">
            <v>FY(4)</v>
          </cell>
          <cell r="C698">
            <v>-2.2143165486263161E-2</v>
          </cell>
          <cell r="D698">
            <v>2.0634729321014289E-2</v>
          </cell>
          <cell r="E698">
            <v>0.7496794871794874</v>
          </cell>
          <cell r="F698">
            <v>1.7731647726112465E-2</v>
          </cell>
          <cell r="G698">
            <v>-0.46763408388078387</v>
          </cell>
          <cell r="H698">
            <v>-3.1562993578642007E-2</v>
          </cell>
          <cell r="I698">
            <v>-6.6338496178983353E-2</v>
          </cell>
          <cell r="J698">
            <v>2.8623875014563111E-2</v>
          </cell>
          <cell r="M698">
            <v>0.59263440780571308</v>
          </cell>
          <cell r="N698">
            <v>-5.697142755525797E-2</v>
          </cell>
          <cell r="O698">
            <v>0.17529577583992428</v>
          </cell>
          <cell r="P698">
            <v>-1.5293372148977302E-2</v>
          </cell>
          <cell r="Q698">
            <v>-9.473057874380908E-2</v>
          </cell>
          <cell r="R698">
            <v>1.5490367775831793E-2</v>
          </cell>
          <cell r="S698">
            <v>0.17400533904698468</v>
          </cell>
          <cell r="T698">
            <v>0.11291864457434421</v>
          </cell>
        </row>
        <row r="699">
          <cell r="B699" t="str">
            <v>FY(3)</v>
          </cell>
          <cell r="C699">
            <v>2.7639114836779388E-3</v>
          </cell>
          <cell r="D699">
            <v>4.1725210076416053E-2</v>
          </cell>
          <cell r="E699">
            <v>-2.6012090126396936E-2</v>
          </cell>
          <cell r="F699">
            <v>2.5091913018977063E-2</v>
          </cell>
          <cell r="G699">
            <v>-2.7141602381533403E-2</v>
          </cell>
          <cell r="H699">
            <v>4.1571740691029202E-2</v>
          </cell>
          <cell r="I699">
            <v>4.1015670998407527E-2</v>
          </cell>
          <cell r="J699">
            <v>1.4144964822939634E-2</v>
          </cell>
          <cell r="M699">
            <v>6.1371351312238254E-2</v>
          </cell>
          <cell r="N699">
            <v>-2.0702633326397102E-3</v>
          </cell>
          <cell r="O699">
            <v>0.15417003792535566</v>
          </cell>
          <cell r="P699">
            <v>0.10291877634569246</v>
          </cell>
          <cell r="Q699">
            <v>2.6378809869376019E-2</v>
          </cell>
          <cell r="R699">
            <v>0.52626995145254329</v>
          </cell>
          <cell r="S699">
            <v>-6.9328163930490017E-2</v>
          </cell>
          <cell r="T699">
            <v>0.11424435709172513</v>
          </cell>
        </row>
        <row r="700">
          <cell r="B700" t="str">
            <v>FY(2)</v>
          </cell>
          <cell r="C700">
            <v>-7.661050650961343E-3</v>
          </cell>
          <cell r="D700">
            <v>3.5722050546297401E-2</v>
          </cell>
          <cell r="E700">
            <v>-3.9498173794114355E-2</v>
          </cell>
          <cell r="F700">
            <v>-5.1583050935113395E-2</v>
          </cell>
          <cell r="G700">
            <v>8.5873661923729472E-2</v>
          </cell>
          <cell r="H700">
            <v>-0.13869882704858927</v>
          </cell>
          <cell r="I700">
            <v>2.643660981749596E-2</v>
          </cell>
          <cell r="J700">
            <v>-1.2772682877322219E-2</v>
          </cell>
          <cell r="M700">
            <v>-0.28900956046592086</v>
          </cell>
          <cell r="N700">
            <v>0.2033337061459759</v>
          </cell>
          <cell r="O700">
            <v>-1.5533380962232335E-2</v>
          </cell>
          <cell r="P700">
            <v>5.8349208632845428E-2</v>
          </cell>
          <cell r="Q700">
            <v>-0.13633832759667952</v>
          </cell>
          <cell r="R700">
            <v>-0.29343220338983056</v>
          </cell>
          <cell r="S700">
            <v>-3.6436771694668968E-2</v>
          </cell>
          <cell r="T700">
            <v>-7.2723904190072991E-2</v>
          </cell>
        </row>
        <row r="701">
          <cell r="B701" t="str">
            <v>FY(1)</v>
          </cell>
          <cell r="C701">
            <v>-0.13803101231799064</v>
          </cell>
          <cell r="D701">
            <v>-0.1262082519079134</v>
          </cell>
          <cell r="E701">
            <v>-5.2188568671615254E-2</v>
          </cell>
          <cell r="F701">
            <v>-9.6476007622965487E-2</v>
          </cell>
          <cell r="G701">
            <v>-0.14746454019518973</v>
          </cell>
          <cell r="H701">
            <v>-0.19414742748834901</v>
          </cell>
          <cell r="I701">
            <v>-7.5234699027591945E-2</v>
          </cell>
          <cell r="J701">
            <v>-0.11853578674737364</v>
          </cell>
          <cell r="M701">
            <v>5.6935286783964534E-2</v>
          </cell>
          <cell r="N701">
            <v>-0.17268561101034174</v>
          </cell>
          <cell r="O701">
            <v>-7.1103936221497688E-2</v>
          </cell>
          <cell r="P701">
            <v>-8.689511202136202E-2</v>
          </cell>
          <cell r="Q701">
            <v>-4.1388788426763079E-2</v>
          </cell>
          <cell r="R701">
            <v>-0.10590679610416398</v>
          </cell>
          <cell r="S701">
            <v>-0.15220420657705191</v>
          </cell>
          <cell r="T701">
            <v>-8.1892737653887979E-2</v>
          </cell>
        </row>
        <row r="702">
          <cell r="B702" t="str">
            <v>FY0</v>
          </cell>
          <cell r="C702">
            <v>-3.3709036665058312E-2</v>
          </cell>
          <cell r="D702">
            <v>-8.4669723276725839E-2</v>
          </cell>
          <cell r="E702">
            <v>-3.4228554828952595E-2</v>
          </cell>
          <cell r="F702">
            <v>-5.2972593637782062E-2</v>
          </cell>
          <cell r="G702">
            <v>-0.1061807753801467</v>
          </cell>
          <cell r="H702">
            <v>-5.9856574622840331E-2</v>
          </cell>
          <cell r="I702">
            <v>-6.5301264368769374E-2</v>
          </cell>
          <cell r="J702">
            <v>-6.2416931825753599E-2</v>
          </cell>
          <cell r="M702">
            <v>-0.17512696195924871</v>
          </cell>
          <cell r="N702">
            <v>7.767322139467181E-3</v>
          </cell>
          <cell r="O702">
            <v>9.3810679102699357E-2</v>
          </cell>
          <cell r="P702">
            <v>-0.1119814994877224</v>
          </cell>
          <cell r="Q702">
            <v>-1.5624786079051489E-3</v>
          </cell>
          <cell r="R702">
            <v>-0.12573508140740297</v>
          </cell>
          <cell r="S702">
            <v>-1.0673694078959683E-2</v>
          </cell>
          <cell r="T702">
            <v>-4.6214530614153197E-2</v>
          </cell>
        </row>
        <row r="703">
          <cell r="B703" t="str">
            <v>FY1</v>
          </cell>
          <cell r="C703">
            <v>1.4214588821783947E-2</v>
          </cell>
          <cell r="D703">
            <v>7.3661246167905592E-2</v>
          </cell>
          <cell r="E703">
            <v>1.9421772972328943E-2</v>
          </cell>
          <cell r="F703">
            <v>-2.3164571314937654E-2</v>
          </cell>
          <cell r="G703">
            <v>2.2738918594169766E-2</v>
          </cell>
          <cell r="H703">
            <v>-8.5097360125755972E-2</v>
          </cell>
          <cell r="I703">
            <v>-9.5102143534426808E-3</v>
          </cell>
          <cell r="J703">
            <v>1.7520543945788486E-3</v>
          </cell>
          <cell r="M703">
            <v>-0.19903948322314147</v>
          </cell>
          <cell r="N703">
            <v>3.464048647105078E-2</v>
          </cell>
          <cell r="O703">
            <v>2.5858285242535084E-2</v>
          </cell>
          <cell r="P703">
            <v>-3.5080589525115169E-2</v>
          </cell>
          <cell r="Q703">
            <v>7.0317324909018541E-2</v>
          </cell>
          <cell r="R703">
            <v>2.5755535863158041E-2</v>
          </cell>
          <cell r="S703">
            <v>-1.6166960652105655E-2</v>
          </cell>
          <cell r="T703">
            <v>-1.3387914416371407E-2</v>
          </cell>
        </row>
        <row r="704">
          <cell r="B704" t="str">
            <v>FY2</v>
          </cell>
          <cell r="C704">
            <v>3.7850948013903318E-2</v>
          </cell>
          <cell r="D704">
            <v>2.3262096493447348E-2</v>
          </cell>
          <cell r="E704">
            <v>-1.214645863134356E-3</v>
          </cell>
          <cell r="F704">
            <v>2.1509188593717532E-2</v>
          </cell>
          <cell r="G704">
            <v>1.5651059597281414E-3</v>
          </cell>
          <cell r="H704">
            <v>-7.1453734227067134E-3</v>
          </cell>
          <cell r="I704">
            <v>1.3462512863774423E-2</v>
          </cell>
          <cell r="J704">
            <v>1.2755690376961384E-2</v>
          </cell>
          <cell r="M704">
            <v>-2.4290302470849845E-2</v>
          </cell>
          <cell r="N704">
            <v>3.427495592999219E-2</v>
          </cell>
          <cell r="O704">
            <v>1.2674584639445152E-2</v>
          </cell>
          <cell r="P704">
            <v>1.1931339166555865E-2</v>
          </cell>
          <cell r="Q704">
            <v>-1.7191199938400681E-2</v>
          </cell>
          <cell r="R704">
            <v>1.0112809672935263E-3</v>
          </cell>
          <cell r="S704">
            <v>-5.8555967924944774E-4</v>
          </cell>
          <cell r="T704">
            <v>2.5464426592552514E-3</v>
          </cell>
        </row>
        <row r="706">
          <cell r="B706" t="str">
            <v>Sales Y/Y ∆ - Inventory Y/Y ∆</v>
          </cell>
        </row>
        <row r="707">
          <cell r="B707" t="str">
            <v>FY(5)</v>
          </cell>
        </row>
        <row r="708">
          <cell r="B708" t="str">
            <v>FY(4)</v>
          </cell>
          <cell r="C708">
            <v>1.4747710638552139E-2</v>
          </cell>
          <cell r="D708">
            <v>8.3652706789857124E-3</v>
          </cell>
          <cell r="E708">
            <v>-0.73667948717948739</v>
          </cell>
          <cell r="F708">
            <v>4.2432082369352635E-2</v>
          </cell>
          <cell r="G708">
            <v>0.5076340838807839</v>
          </cell>
          <cell r="H708">
            <v>9.1562993578642005E-2</v>
          </cell>
          <cell r="I708">
            <v>8.6338496178983357E-2</v>
          </cell>
          <cell r="J708">
            <v>2.0573071636874668E-3</v>
          </cell>
          <cell r="M708">
            <v>-0.33263440780571307</v>
          </cell>
          <cell r="N708">
            <v>9.1971427555257973E-2</v>
          </cell>
          <cell r="O708">
            <v>-2.0295775839924285E-2</v>
          </cell>
          <cell r="P708">
            <v>0.1972933721489773</v>
          </cell>
          <cell r="Q708">
            <v>4.4730578743809077E-2</v>
          </cell>
          <cell r="R708">
            <v>-2.5490367775831795E-2</v>
          </cell>
          <cell r="S708">
            <v>-6.5005339046984675E-2</v>
          </cell>
          <cell r="T708">
            <v>-1.5632930288629925E-2</v>
          </cell>
        </row>
        <row r="709">
          <cell r="B709" t="str">
            <v>FY(3)</v>
          </cell>
          <cell r="C709">
            <v>5.6236088516322058E-2</v>
          </cell>
          <cell r="D709">
            <v>-4.7252100764160546E-3</v>
          </cell>
          <cell r="E709">
            <v>7.0012090126396934E-2</v>
          </cell>
          <cell r="F709">
            <v>4.9908086981022934E-2</v>
          </cell>
          <cell r="G709">
            <v>7.6141602381533405E-2</v>
          </cell>
          <cell r="H709">
            <v>-1.5717406910292012E-3</v>
          </cell>
          <cell r="I709">
            <v>-1.0156709984075266E-3</v>
          </cell>
          <cell r="J709">
            <v>3.4997892319917505E-2</v>
          </cell>
          <cell r="M709">
            <v>-5.1371351312238252E-2</v>
          </cell>
          <cell r="N709">
            <v>2.2145462454071209E-2</v>
          </cell>
          <cell r="O709">
            <v>-3.4170037925355667E-2</v>
          </cell>
          <cell r="P709">
            <v>0.10408122365430753</v>
          </cell>
          <cell r="Q709">
            <v>-9.6378809869376025E-2</v>
          </cell>
          <cell r="R709">
            <v>-0.45626995145254329</v>
          </cell>
          <cell r="S709">
            <v>7.328163930490017E-3</v>
          </cell>
          <cell r="T709">
            <v>-7.209075721723493E-2</v>
          </cell>
        </row>
        <row r="710">
          <cell r="B710" t="str">
            <v>FY(2)</v>
          </cell>
          <cell r="C710">
            <v>-3.3775957382118672E-4</v>
          </cell>
          <cell r="D710">
            <v>-4.6722050546297397E-2</v>
          </cell>
          <cell r="E710">
            <v>2.6498173794114357E-2</v>
          </cell>
          <cell r="F710">
            <v>9.0583050935113402E-2</v>
          </cell>
          <cell r="G710">
            <v>3.2021143403546531E-2</v>
          </cell>
          <cell r="H710">
            <v>0.14869882704858928</v>
          </cell>
          <cell r="I710">
            <v>1.3563390182504041E-2</v>
          </cell>
          <cell r="J710">
            <v>3.7757825034821287E-2</v>
          </cell>
          <cell r="M710">
            <v>0.27900956046592085</v>
          </cell>
          <cell r="N710">
            <v>-0.1703337061459759</v>
          </cell>
          <cell r="O710">
            <v>2.5533380962232337E-2</v>
          </cell>
          <cell r="P710">
            <v>0.16465079136715458</v>
          </cell>
          <cell r="Q710">
            <v>9.6338327596679513E-2</v>
          </cell>
          <cell r="R710">
            <v>0.27343220338983054</v>
          </cell>
          <cell r="S710">
            <v>9.1436771694668961E-2</v>
          </cell>
          <cell r="T710">
            <v>0.10858104704721584</v>
          </cell>
        </row>
        <row r="711">
          <cell r="B711" t="str">
            <v>FY(1)</v>
          </cell>
          <cell r="C711">
            <v>6.9031012317990637E-2</v>
          </cell>
          <cell r="D711">
            <v>4.1208251907913399E-2</v>
          </cell>
          <cell r="E711">
            <v>7.1885686716152558E-3</v>
          </cell>
          <cell r="F711">
            <v>6.0835338562304914E-3</v>
          </cell>
          <cell r="G711">
            <v>8.6464540195189732E-2</v>
          </cell>
          <cell r="H711">
            <v>0.214147427488349</v>
          </cell>
          <cell r="I711">
            <v>6.8032782451344309E-2</v>
          </cell>
          <cell r="J711">
            <v>7.0308016698376122E-2</v>
          </cell>
          <cell r="M711">
            <v>-0.18693528678396454</v>
          </cell>
          <cell r="N711">
            <v>0.25268561101034176</v>
          </cell>
          <cell r="O711">
            <v>-2.8635683166373813E-2</v>
          </cell>
          <cell r="P711">
            <v>0.18489511202136202</v>
          </cell>
          <cell r="Q711">
            <v>-7.8611211573236917E-2</v>
          </cell>
          <cell r="R711">
            <v>2.1599926344653575E-2</v>
          </cell>
          <cell r="S711">
            <v>0.23020420657705193</v>
          </cell>
          <cell r="T711">
            <v>5.6457524918547719E-2</v>
          </cell>
        </row>
        <row r="712">
          <cell r="B712" t="str">
            <v>FY0</v>
          </cell>
          <cell r="C712">
            <v>4.0263149723217484E-2</v>
          </cell>
          <cell r="D712">
            <v>2.1590798269081543E-2</v>
          </cell>
          <cell r="E712">
            <v>-1.8771445171047403E-2</v>
          </cell>
          <cell r="F712">
            <v>1.8747962976605061E-2</v>
          </cell>
          <cell r="G712">
            <v>-4.0819224619853295E-2</v>
          </cell>
          <cell r="H712">
            <v>0.12128599911234253</v>
          </cell>
          <cell r="I712">
            <v>0.12204341768520897</v>
          </cell>
          <cell r="J712">
            <v>3.7762951139364988E-2</v>
          </cell>
          <cell r="M712">
            <v>-5.4873038040751304E-2</v>
          </cell>
          <cell r="N712">
            <v>9.4532305008133824E-2</v>
          </cell>
          <cell r="O712">
            <v>-0.13003070225556915</v>
          </cell>
          <cell r="P712">
            <v>4.3981499487722397E-2</v>
          </cell>
          <cell r="Q712">
            <v>-2.8376240839865553E-2</v>
          </cell>
          <cell r="R712">
            <v>8.7525402527508067E-2</v>
          </cell>
          <cell r="S712">
            <v>-1.2583025527034417E-2</v>
          </cell>
          <cell r="T712">
            <v>2.5171480020552993E-5</v>
          </cell>
        </row>
        <row r="713">
          <cell r="B713" t="str">
            <v>FY1</v>
          </cell>
          <cell r="C713">
            <v>3.8189580671070554E-2</v>
          </cell>
          <cell r="D713">
            <v>-5.5057896267013295E-2</v>
          </cell>
          <cell r="E713">
            <v>2.4258000180453758E-2</v>
          </cell>
          <cell r="F713">
            <v>6.2896131621855561E-2</v>
          </cell>
          <cell r="G713">
            <v>1.9853019004442134E-2</v>
          </cell>
          <cell r="H713">
            <v>0.13802114106915758</v>
          </cell>
          <cell r="I713">
            <v>4.8249392988002279E-2</v>
          </cell>
          <cell r="J713">
            <v>3.9487052752566934E-2</v>
          </cell>
          <cell r="M713">
            <v>0.15522199481682566</v>
          </cell>
          <cell r="N713">
            <v>1.6591947791695233E-3</v>
          </cell>
          <cell r="O713">
            <v>7.6484708422973127E-3</v>
          </cell>
          <cell r="P713">
            <v>5.6873403718557966E-2</v>
          </cell>
          <cell r="Q713">
            <v>-6.3855583503323071E-2</v>
          </cell>
          <cell r="R713">
            <v>4.4144378659531358E-2</v>
          </cell>
          <cell r="S713">
            <v>8.181051279234966E-2</v>
          </cell>
          <cell r="T713">
            <v>4.0500338872201204E-2</v>
          </cell>
        </row>
        <row r="714">
          <cell r="B714" t="str">
            <v>FY2</v>
          </cell>
          <cell r="C714">
            <v>2.1490519860966825E-3</v>
          </cell>
          <cell r="D714">
            <v>-3.262096493447348E-3</v>
          </cell>
          <cell r="E714">
            <v>1.1214645863134356E-2</v>
          </cell>
          <cell r="F714">
            <v>-1.5091885937175316E-3</v>
          </cell>
          <cell r="G714">
            <v>1.8434894040271859E-2</v>
          </cell>
          <cell r="H714">
            <v>2.7145373422706714E-2</v>
          </cell>
          <cell r="I714">
            <v>6.5374871362255775E-3</v>
          </cell>
          <cell r="J714">
            <v>8.6728810516100447E-3</v>
          </cell>
          <cell r="M714">
            <v>3.4740861372141343E-2</v>
          </cell>
          <cell r="N714">
            <v>-4.2749559299921913E-3</v>
          </cell>
          <cell r="O714">
            <v>2.7325415360554849E-2</v>
          </cell>
          <cell r="P714">
            <v>2.8068660833444135E-2</v>
          </cell>
          <cell r="Q714">
            <v>-1.3816588614358919E-2</v>
          </cell>
          <cell r="R714">
            <v>1.7198619622447973E-2</v>
          </cell>
          <cell r="S714">
            <v>5.1605746186286147E-2</v>
          </cell>
          <cell r="T714">
            <v>2.0121108404360481E-2</v>
          </cell>
        </row>
        <row r="716">
          <cell r="B716" t="str">
            <v>SG&amp;A per Sq Foot</v>
          </cell>
          <cell r="M716">
            <v>2008</v>
          </cell>
          <cell r="N716">
            <v>2009</v>
          </cell>
          <cell r="O716" t="str">
            <v>2010E</v>
          </cell>
          <cell r="Z716">
            <v>2008</v>
          </cell>
          <cell r="AA716">
            <v>2009</v>
          </cell>
          <cell r="AB716" t="str">
            <v>2010E</v>
          </cell>
        </row>
        <row r="717">
          <cell r="B717" t="str">
            <v>FY(2)</v>
          </cell>
          <cell r="C717">
            <v>52.896736253201503</v>
          </cell>
          <cell r="D717">
            <v>54.68105065666041</v>
          </cell>
          <cell r="E717">
            <v>55.200986054555663</v>
          </cell>
          <cell r="F717">
            <v>116.0395357985838</v>
          </cell>
          <cell r="G717">
            <v>107.16633806833863</v>
          </cell>
          <cell r="H717">
            <v>44.355497630331755</v>
          </cell>
          <cell r="I717">
            <v>39.693848600778857</v>
          </cell>
          <cell r="K717">
            <v>55.197959773596573</v>
          </cell>
          <cell r="M717">
            <v>234.55881150333923</v>
          </cell>
          <cell r="N717">
            <v>117.81253428199783</v>
          </cell>
          <cell r="O717">
            <v>125.25192944504418</v>
          </cell>
          <cell r="P717">
            <v>841.18741375408399</v>
          </cell>
          <cell r="Q717">
            <v>109.72222222222223</v>
          </cell>
          <cell r="R717">
            <v>252.39239646978953</v>
          </cell>
          <cell r="S717">
            <v>121.88537141352623</v>
          </cell>
          <cell r="U717">
            <v>158.71709387982401</v>
          </cell>
        </row>
        <row r="718">
          <cell r="B718" t="str">
            <v>FY(1)</v>
          </cell>
          <cell r="C718">
            <v>52.485891828461703</v>
          </cell>
          <cell r="D718">
            <v>53.160526907542184</v>
          </cell>
          <cell r="E718">
            <v>54.889643132953907</v>
          </cell>
          <cell r="F718">
            <v>112.69838123554675</v>
          </cell>
          <cell r="G718">
            <v>101.53403110118391</v>
          </cell>
          <cell r="H718">
            <v>46.163326249732442</v>
          </cell>
          <cell r="I718">
            <v>39.743768451555518</v>
          </cell>
          <cell r="K718">
            <v>54.489639577494366</v>
          </cell>
          <cell r="M718">
            <v>237.13353748243429</v>
          </cell>
          <cell r="N718">
            <v>123.57098885896485</v>
          </cell>
          <cell r="O718">
            <v>115.9958326004987</v>
          </cell>
          <cell r="P718">
            <v>837.50417641254148</v>
          </cell>
          <cell r="Q718">
            <v>98.708860759493675</v>
          </cell>
          <cell r="R718">
            <v>210.0189020305919</v>
          </cell>
          <cell r="S718">
            <v>123.20304255242671</v>
          </cell>
          <cell r="U718">
            <v>148.90036849942348</v>
          </cell>
        </row>
        <row r="719">
          <cell r="B719" t="str">
            <v>FY0</v>
          </cell>
          <cell r="C719">
            <v>52.859839787744271</v>
          </cell>
          <cell r="D719">
            <v>56.388587858386025</v>
          </cell>
          <cell r="E719">
            <v>52.215025906735754</v>
          </cell>
          <cell r="F719">
            <v>110.41680664740532</v>
          </cell>
          <cell r="G719">
            <v>88.533175162187149</v>
          </cell>
          <cell r="H719">
            <v>47.713628691983125</v>
          </cell>
          <cell r="I719">
            <v>40.702609626197031</v>
          </cell>
          <cell r="K719">
            <v>54.378279420653108</v>
          </cell>
          <cell r="M719">
            <v>222.50783739008537</v>
          </cell>
          <cell r="N719">
            <v>135.2132904908913</v>
          </cell>
          <cell r="O719">
            <v>118.09379313317174</v>
          </cell>
          <cell r="P719">
            <v>782.12610361811073</v>
          </cell>
          <cell r="Q719">
            <v>100.85051546391753</v>
          </cell>
          <cell r="R719">
            <v>198.15265709320406</v>
          </cell>
          <cell r="S719">
            <v>120.01618254064644</v>
          </cell>
          <cell r="U719">
            <v>148.49535433222312</v>
          </cell>
        </row>
        <row r="720">
          <cell r="B720" t="str">
            <v>FY1</v>
          </cell>
          <cell r="C720">
            <v>54.660697029543407</v>
          </cell>
          <cell r="D720">
            <v>56.330481381458142</v>
          </cell>
          <cell r="E720">
            <v>53.23223728048459</v>
          </cell>
          <cell r="F720">
            <v>111.3435621311129</v>
          </cell>
          <cell r="G720">
            <v>92.135174686125254</v>
          </cell>
          <cell r="H720">
            <v>48.868265359069312</v>
          </cell>
          <cell r="I720">
            <v>41.484965361504422</v>
          </cell>
          <cell r="K720">
            <v>55.26394523108582</v>
          </cell>
          <cell r="M720">
            <v>219.90137404078646</v>
          </cell>
          <cell r="N720">
            <v>139.38463296672333</v>
          </cell>
          <cell r="O720">
            <v>116.01069892276183</v>
          </cell>
          <cell r="P720">
            <v>771.48163062645665</v>
          </cell>
          <cell r="Q720">
            <v>105.38036877790195</v>
          </cell>
          <cell r="R720">
            <v>204.95568413596428</v>
          </cell>
          <cell r="S720">
            <v>120.49203233387102</v>
          </cell>
          <cell r="U720">
            <v>153.41770204011613</v>
          </cell>
        </row>
        <row r="721">
          <cell r="B721" t="str">
            <v>FY2</v>
          </cell>
          <cell r="C721">
            <v>56.368533000120259</v>
          </cell>
          <cell r="D721">
            <v>57.202401810027098</v>
          </cell>
          <cell r="E721">
            <v>53.550962635377644</v>
          </cell>
          <cell r="F721">
            <v>110.53303481797337</v>
          </cell>
          <cell r="G721">
            <v>93.691852969544541</v>
          </cell>
          <cell r="H721">
            <v>48.564815386543323</v>
          </cell>
          <cell r="I721">
            <v>42.183260739804915</v>
          </cell>
          <cell r="K721">
            <v>55.944695325662821</v>
          </cell>
          <cell r="M721">
            <v>218.51730193407133</v>
          </cell>
          <cell r="N721">
            <v>149.42657176224444</v>
          </cell>
          <cell r="O721">
            <v>118.29002202803564</v>
          </cell>
          <cell r="P721">
            <v>776.86874480702522</v>
          </cell>
          <cell r="Q721">
            <v>104.50149290532764</v>
          </cell>
          <cell r="R721">
            <v>208.31603147252716</v>
          </cell>
          <cell r="S721">
            <v>120.40219193875612</v>
          </cell>
          <cell r="U721">
            <v>156.06577308599788</v>
          </cell>
        </row>
        <row r="722">
          <cell r="B722" t="str">
            <v>FQ(3)</v>
          </cell>
          <cell r="C722">
            <v>12.258278483596103</v>
          </cell>
          <cell r="D722">
            <v>13.315728693249119</v>
          </cell>
          <cell r="E722">
            <v>12.66839378238342</v>
          </cell>
          <cell r="F722">
            <v>24.143877802414387</v>
          </cell>
          <cell r="G722">
            <v>20.743740500463378</v>
          </cell>
          <cell r="H722">
            <v>11.478059071729957</v>
          </cell>
          <cell r="I722">
            <v>8.9874561194191038</v>
          </cell>
          <cell r="M722">
            <v>53.097362049190771</v>
          </cell>
          <cell r="N722">
            <v>27.460815266470188</v>
          </cell>
          <cell r="O722">
            <v>24.780683022533758</v>
          </cell>
          <cell r="P722">
            <v>193.01066015097985</v>
          </cell>
          <cell r="Q722">
            <v>22.835051546391753</v>
          </cell>
          <cell r="R722">
            <v>44.191347297173692</v>
          </cell>
          <cell r="S722">
            <v>26.084056302344624</v>
          </cell>
        </row>
        <row r="723">
          <cell r="B723" t="str">
            <v>FQ(2)</v>
          </cell>
          <cell r="C723">
            <v>12.322057247818766</v>
          </cell>
          <cell r="D723">
            <v>13.189256371874976</v>
          </cell>
          <cell r="E723">
            <v>12.053108808290155</v>
          </cell>
          <cell r="F723">
            <v>27.234652511814375</v>
          </cell>
          <cell r="G723">
            <v>20.677946246524549</v>
          </cell>
          <cell r="H723">
            <v>12.074177215189874</v>
          </cell>
          <cell r="I723">
            <v>9.6699485154235703</v>
          </cell>
          <cell r="M723">
            <v>53.391359755320508</v>
          </cell>
          <cell r="N723">
            <v>29.367257266997552</v>
          </cell>
          <cell r="O723">
            <v>26.105353037910426</v>
          </cell>
          <cell r="P723">
            <v>193.78549218691313</v>
          </cell>
          <cell r="Q723">
            <v>23.530927835051546</v>
          </cell>
          <cell r="R723">
            <v>47.504436110857036</v>
          </cell>
          <cell r="S723">
            <v>29.161215385602134</v>
          </cell>
        </row>
        <row r="724">
          <cell r="B724" t="str">
            <v>FQ(1)</v>
          </cell>
          <cell r="C724">
            <v>13.100158171335272</v>
          </cell>
          <cell r="D724">
            <v>14.327507264242268</v>
          </cell>
          <cell r="E724">
            <v>13.167098445595855</v>
          </cell>
          <cell r="F724">
            <v>26.025218929875248</v>
          </cell>
          <cell r="G724">
            <v>21.69368674698794</v>
          </cell>
          <cell r="H724">
            <v>12.089071729957807</v>
          </cell>
          <cell r="I724">
            <v>10.565213133704855</v>
          </cell>
          <cell r="M724">
            <v>55.719255766534978</v>
          </cell>
          <cell r="N724">
            <v>34.195782492935429</v>
          </cell>
          <cell r="O724">
            <v>30.180083602715179</v>
          </cell>
          <cell r="P724">
            <v>193.37145980129992</v>
          </cell>
          <cell r="Q724">
            <v>26.391752577319586</v>
          </cell>
          <cell r="R724">
            <v>46.086435562059819</v>
          </cell>
          <cell r="S724">
            <v>30.684898954346391</v>
          </cell>
        </row>
        <row r="725">
          <cell r="B725" t="str">
            <v>Last Reported Q</v>
          </cell>
          <cell r="C725">
            <v>52.859839787744271</v>
          </cell>
          <cell r="D725">
            <v>56.388587858386025</v>
          </cell>
          <cell r="E725">
            <v>52.215025906735754</v>
          </cell>
          <cell r="F725">
            <v>110.41680664740532</v>
          </cell>
          <cell r="G725">
            <v>88.533175162187149</v>
          </cell>
          <cell r="H725">
            <v>47.713628691983125</v>
          </cell>
          <cell r="I725">
            <v>40.702609626197031</v>
          </cell>
          <cell r="M725">
            <v>222.50783739008537</v>
          </cell>
          <cell r="N725">
            <v>135.2132904908913</v>
          </cell>
          <cell r="O725">
            <v>118.09379313317174</v>
          </cell>
          <cell r="P725">
            <v>230.7355167035451</v>
          </cell>
          <cell r="Q725">
            <v>100.85051546391753</v>
          </cell>
          <cell r="R725">
            <v>198.15265709320406</v>
          </cell>
          <cell r="S725">
            <v>120.01618254064644</v>
          </cell>
        </row>
        <row r="727">
          <cell r="A727" t="str">
            <v>mstag:tradeAndOtherPayables</v>
          </cell>
        </row>
        <row r="728">
          <cell r="A728" t="str">
            <v>mstag:tradePayablesCurrent</v>
          </cell>
        </row>
        <row r="729">
          <cell r="B729" t="str">
            <v>Accounts Payable</v>
          </cell>
        </row>
        <row r="730">
          <cell r="B730" t="str">
            <v>FY(5)</v>
          </cell>
          <cell r="C730">
            <v>704.65499999999997</v>
          </cell>
          <cell r="D730">
            <v>2770</v>
          </cell>
          <cell r="E730">
            <v>2707</v>
          </cell>
          <cell r="F730">
            <v>482.39400000000001</v>
          </cell>
          <cell r="G730">
            <v>378.39400000000001</v>
          </cell>
          <cell r="H730">
            <v>711.56100000000004</v>
          </cell>
          <cell r="I730">
            <v>1276.0350000000001</v>
          </cell>
          <cell r="J730">
            <v>1290.0055714285716</v>
          </cell>
          <cell r="M730">
            <v>137.33699999999999</v>
          </cell>
          <cell r="N730">
            <v>44.857999999999997</v>
          </cell>
          <cell r="O730">
            <v>108.929</v>
          </cell>
          <cell r="P730">
            <v>44.771000000000001</v>
          </cell>
          <cell r="Q730">
            <v>1240</v>
          </cell>
          <cell r="R730">
            <v>496</v>
          </cell>
          <cell r="S730">
            <v>39.101999999999997</v>
          </cell>
          <cell r="T730">
            <v>301.57099999999997</v>
          </cell>
        </row>
        <row r="731">
          <cell r="B731" t="str">
            <v>FY(4)</v>
          </cell>
          <cell r="C731">
            <v>829.971</v>
          </cell>
          <cell r="D731">
            <v>2733</v>
          </cell>
          <cell r="E731">
            <v>5246</v>
          </cell>
          <cell r="F731">
            <v>540.01900000000001</v>
          </cell>
          <cell r="G731">
            <v>190.06399999999999</v>
          </cell>
          <cell r="H731">
            <v>803.39700000000005</v>
          </cell>
          <cell r="I731">
            <v>1313.472</v>
          </cell>
          <cell r="J731">
            <v>1665.1318571428571</v>
          </cell>
          <cell r="M731">
            <v>145.31299999999999</v>
          </cell>
          <cell r="N731">
            <v>57.164999999999999</v>
          </cell>
          <cell r="O731">
            <v>139.197</v>
          </cell>
          <cell r="P731">
            <v>64.984999999999999</v>
          </cell>
          <cell r="Q731">
            <v>1132</v>
          </cell>
          <cell r="R731">
            <v>534.96</v>
          </cell>
          <cell r="S731">
            <v>41.290999999999997</v>
          </cell>
          <cell r="T731">
            <v>302.13014285714286</v>
          </cell>
        </row>
        <row r="732">
          <cell r="B732" t="str">
            <v>FY(3)</v>
          </cell>
          <cell r="C732">
            <v>934.37599999999998</v>
          </cell>
          <cell r="D732">
            <v>3058</v>
          </cell>
          <cell r="E732">
            <v>4604</v>
          </cell>
          <cell r="F732">
            <v>576.79600000000005</v>
          </cell>
          <cell r="G732">
            <v>231.03800000000001</v>
          </cell>
          <cell r="H732">
            <v>1049.68</v>
          </cell>
          <cell r="I732">
            <v>1372.3520000000001</v>
          </cell>
          <cell r="J732">
            <v>1689.4631428571431</v>
          </cell>
          <cell r="M732">
            <v>128.31</v>
          </cell>
          <cell r="N732">
            <v>63.917999999999999</v>
          </cell>
          <cell r="O732">
            <v>171.15</v>
          </cell>
          <cell r="P732">
            <v>79.819000000000003</v>
          </cell>
          <cell r="Q732">
            <v>1109</v>
          </cell>
          <cell r="R732">
            <v>593</v>
          </cell>
          <cell r="S732">
            <v>58</v>
          </cell>
          <cell r="T732">
            <v>314.7424285714286</v>
          </cell>
        </row>
        <row r="733">
          <cell r="B733" t="str">
            <v>FY(2)</v>
          </cell>
          <cell r="C733">
            <v>835.98500000000001</v>
          </cell>
          <cell r="D733">
            <v>3135</v>
          </cell>
          <cell r="E733">
            <v>4127</v>
          </cell>
          <cell r="F733">
            <v>556</v>
          </cell>
          <cell r="G733">
            <v>176.84399999999999</v>
          </cell>
          <cell r="H733">
            <v>988.78700000000003</v>
          </cell>
          <cell r="I733">
            <v>1516.7539999999999</v>
          </cell>
          <cell r="J733">
            <v>1619.4814285714285</v>
          </cell>
          <cell r="M733">
            <v>151.798</v>
          </cell>
          <cell r="N733">
            <v>99.369</v>
          </cell>
          <cell r="O733">
            <v>157.928</v>
          </cell>
          <cell r="P733">
            <v>109.309</v>
          </cell>
          <cell r="Q733">
            <v>1006</v>
          </cell>
          <cell r="R733">
            <v>516.76099999999997</v>
          </cell>
          <cell r="S733">
            <v>74.02</v>
          </cell>
          <cell r="T733">
            <v>302.16928571428571</v>
          </cell>
        </row>
        <row r="734">
          <cell r="B734" t="str">
            <v>FY(1)</v>
          </cell>
          <cell r="C734">
            <v>881</v>
          </cell>
          <cell r="D734">
            <v>2794</v>
          </cell>
          <cell r="E734">
            <v>3910</v>
          </cell>
          <cell r="F734">
            <v>563</v>
          </cell>
          <cell r="G734">
            <v>90.207999999999998</v>
          </cell>
          <cell r="H734">
            <v>946.13900000000001</v>
          </cell>
          <cell r="I734">
            <v>1276.098</v>
          </cell>
          <cell r="J734">
            <v>1494.3492857142858</v>
          </cell>
          <cell r="M734">
            <v>149.75299999999999</v>
          </cell>
          <cell r="N734">
            <v>77.247</v>
          </cell>
          <cell r="O734">
            <v>152.06800000000001</v>
          </cell>
          <cell r="P734">
            <v>134.726</v>
          </cell>
          <cell r="Q734">
            <v>975</v>
          </cell>
          <cell r="R734">
            <v>493.90300000000002</v>
          </cell>
          <cell r="S734">
            <v>62.954999999999998</v>
          </cell>
          <cell r="T734">
            <v>292.23599999999999</v>
          </cell>
        </row>
        <row r="735">
          <cell r="B735" t="str">
            <v>FY0</v>
          </cell>
          <cell r="C735">
            <v>1188</v>
          </cell>
          <cell r="D735">
            <v>2856</v>
          </cell>
          <cell r="E735">
            <v>3938</v>
          </cell>
          <cell r="F735">
            <v>726</v>
          </cell>
          <cell r="G735">
            <v>101.739</v>
          </cell>
          <cell r="H735">
            <v>1136.115</v>
          </cell>
          <cell r="I735">
            <v>1507.9</v>
          </cell>
          <cell r="J735">
            <v>1636.2505714285712</v>
          </cell>
          <cell r="M735">
            <v>150.13399999999999</v>
          </cell>
          <cell r="N735">
            <v>90.85</v>
          </cell>
          <cell r="O735">
            <v>158.52600000000001</v>
          </cell>
          <cell r="P735">
            <v>103.029</v>
          </cell>
          <cell r="Q735">
            <v>1027</v>
          </cell>
          <cell r="R735">
            <v>488.45499999999998</v>
          </cell>
          <cell r="S735">
            <v>78.040999999999997</v>
          </cell>
          <cell r="T735">
            <v>299.43357142857138</v>
          </cell>
        </row>
        <row r="736">
          <cell r="B736" t="str">
            <v>FY1</v>
          </cell>
          <cell r="C736">
            <v>1269.6916071199801</v>
          </cell>
          <cell r="D736">
            <v>2892.1602847367799</v>
          </cell>
          <cell r="E736">
            <v>4118.1697470886402</v>
          </cell>
          <cell r="F736">
            <v>753.68267523087604</v>
          </cell>
          <cell r="G736">
            <v>108.63976761920701</v>
          </cell>
          <cell r="H736">
            <v>1173.2217283637401</v>
          </cell>
          <cell r="I736">
            <v>1593.30915259626</v>
          </cell>
          <cell r="J736">
            <v>1701.2678518222117</v>
          </cell>
          <cell r="M736">
            <v>141.50169895792101</v>
          </cell>
          <cell r="N736">
            <v>99.821948445322505</v>
          </cell>
          <cell r="O736">
            <v>135.073519008745</v>
          </cell>
          <cell r="P736">
            <v>104.31901523977101</v>
          </cell>
          <cell r="Q736">
            <v>1024.01699386411</v>
          </cell>
          <cell r="R736">
            <v>549.30521832310706</v>
          </cell>
          <cell r="S736">
            <v>107.28236147298099</v>
          </cell>
          <cell r="T736">
            <v>308.76010790170818</v>
          </cell>
        </row>
        <row r="737">
          <cell r="B737" t="str">
            <v>FY2</v>
          </cell>
          <cell r="C737">
            <v>1402.4585315177301</v>
          </cell>
          <cell r="D737">
            <v>2916.0701545976799</v>
          </cell>
          <cell r="E737">
            <v>4185.8680136579596</v>
          </cell>
          <cell r="F737">
            <v>796.08710155634799</v>
          </cell>
          <cell r="G737">
            <v>111.626232365036</v>
          </cell>
          <cell r="H737">
            <v>1227.77340097977</v>
          </cell>
          <cell r="I737">
            <v>1701.7828263164299</v>
          </cell>
          <cell r="J737">
            <v>1763.0951801415647</v>
          </cell>
          <cell r="M737">
            <v>146.245428790235</v>
          </cell>
          <cell r="N737">
            <v>110.33197556911</v>
          </cell>
          <cell r="O737">
            <v>142.28219595082501</v>
          </cell>
          <cell r="P737">
            <v>111.560175244902</v>
          </cell>
          <cell r="Q737">
            <v>989.89255577830295</v>
          </cell>
          <cell r="R737">
            <v>566.37945329844604</v>
          </cell>
          <cell r="S737">
            <v>125.897043188971</v>
          </cell>
          <cell r="T737">
            <v>313.22697540297031</v>
          </cell>
        </row>
        <row r="740">
          <cell r="A740" t="str">
            <v>Productivity Ratios</v>
          </cell>
        </row>
        <row r="741">
          <cell r="B741" t="str">
            <v>Sales/Ave. Sq. Ft.</v>
          </cell>
        </row>
        <row r="742">
          <cell r="B742" t="str">
            <v>FY(5)</v>
          </cell>
        </row>
        <row r="743">
          <cell r="B743" t="str">
            <v>FY(4)</v>
          </cell>
          <cell r="C743">
            <v>253.2875245433593</v>
          </cell>
          <cell r="D743">
            <v>185.30833744449927</v>
          </cell>
          <cell r="E743">
            <v>143.15856777493607</v>
          </cell>
          <cell r="F743">
            <v>395.27124760076777</v>
          </cell>
          <cell r="H743">
            <v>303.58461255065697</v>
          </cell>
          <cell r="I743">
            <v>234.50310472285295</v>
          </cell>
          <cell r="J743">
            <v>252.51889910617868</v>
          </cell>
          <cell r="M743">
            <v>476.65329315540254</v>
          </cell>
          <cell r="N743">
            <v>553.48342475357208</v>
          </cell>
          <cell r="O743">
            <v>498.67201169342724</v>
          </cell>
          <cell r="P743">
            <v>1958.0403995260501</v>
          </cell>
          <cell r="Q743">
            <v>430.72580645161293</v>
          </cell>
          <cell r="R743">
            <v>937.78488992338282</v>
          </cell>
          <cell r="S743">
            <v>565.36012422209126</v>
          </cell>
          <cell r="T743">
            <v>774.38856424650555</v>
          </cell>
          <cell r="V743">
            <v>577.11325836658148</v>
          </cell>
        </row>
        <row r="744">
          <cell r="B744" t="str">
            <v>FY(3)</v>
          </cell>
          <cell r="C744">
            <v>261.97745877527694</v>
          </cell>
          <cell r="D744">
            <v>194.6512273838631</v>
          </cell>
          <cell r="E744">
            <v>172.44245524296676</v>
          </cell>
          <cell r="F744">
            <v>429.20986199721739</v>
          </cell>
          <cell r="G744">
            <v>392.00040000000001</v>
          </cell>
          <cell r="H744">
            <v>309.79171880648482</v>
          </cell>
          <cell r="I744">
            <v>240.79131445331413</v>
          </cell>
          <cell r="J744">
            <v>285.83777666558899</v>
          </cell>
          <cell r="M744">
            <v>516.46107878597263</v>
          </cell>
          <cell r="N744">
            <v>565.34256096890169</v>
          </cell>
          <cell r="O744">
            <v>561.94145885517469</v>
          </cell>
          <cell r="P744">
            <v>2094.1925372681239</v>
          </cell>
          <cell r="Q744">
            <v>414.66145833333337</v>
          </cell>
          <cell r="R744">
            <v>1034.880418970032</v>
          </cell>
          <cell r="S744">
            <v>531.19438790314507</v>
          </cell>
          <cell r="T744">
            <v>816.95341444066901</v>
          </cell>
          <cell r="V744">
            <v>604.08022730275991</v>
          </cell>
        </row>
        <row r="745">
          <cell r="B745" t="str">
            <v>FY(2)</v>
          </cell>
          <cell r="C745">
            <v>249.13721398000695</v>
          </cell>
          <cell r="D745">
            <v>189.42231759656653</v>
          </cell>
          <cell r="E745">
            <v>169.01924133080252</v>
          </cell>
          <cell r="F745">
            <v>436.41556258651377</v>
          </cell>
          <cell r="G745">
            <v>434.15559545182526</v>
          </cell>
          <cell r="H745">
            <v>300.70011574656536</v>
          </cell>
          <cell r="I745">
            <v>243.82809310736866</v>
          </cell>
          <cell r="J745">
            <v>288.95401997137844</v>
          </cell>
          <cell r="K745">
            <v>1.0902139465754468E-2</v>
          </cell>
          <cell r="M745">
            <v>527.39215965787605</v>
          </cell>
          <cell r="N745">
            <v>569.36596937287436</v>
          </cell>
          <cell r="O745">
            <v>561.50323297893033</v>
          </cell>
          <cell r="P745">
            <v>2309.1635339591971</v>
          </cell>
          <cell r="Q745">
            <v>401.09414758269719</v>
          </cell>
          <cell r="R745">
            <v>978.20706042090967</v>
          </cell>
          <cell r="S745">
            <v>560.0572640800508</v>
          </cell>
          <cell r="T745">
            <v>843.82619543607655</v>
          </cell>
          <cell r="V745">
            <v>599.60330568222309</v>
          </cell>
          <cell r="W745">
            <v>-7.4111374916646655E-3</v>
          </cell>
        </row>
        <row r="746">
          <cell r="B746" t="str">
            <v>FY(1)</v>
          </cell>
          <cell r="C746">
            <v>226.23946549236962</v>
          </cell>
          <cell r="D746">
            <v>171.33161931310519</v>
          </cell>
          <cell r="E746">
            <v>161.08616025782069</v>
          </cell>
          <cell r="F746">
            <v>399.32570740517758</v>
          </cell>
          <cell r="G746">
            <v>403.35618655037223</v>
          </cell>
          <cell r="H746">
            <v>297.52931192660554</v>
          </cell>
          <cell r="I746">
            <v>244.3765571400719</v>
          </cell>
          <cell r="J746">
            <v>271.89214401221756</v>
          </cell>
          <cell r="K746">
            <v>-5.9047027485033432E-2</v>
          </cell>
          <cell r="M746">
            <v>461.55620321918263</v>
          </cell>
          <cell r="N746">
            <v>606.29683007311451</v>
          </cell>
          <cell r="O746">
            <v>496.5596312175204</v>
          </cell>
          <cell r="P746">
            <v>2364.8030958382346</v>
          </cell>
          <cell r="Q746">
            <v>367.28192161820476</v>
          </cell>
          <cell r="R746">
            <v>852.71093341128631</v>
          </cell>
          <cell r="S746">
            <v>587.34129849293402</v>
          </cell>
          <cell r="T746">
            <v>819.50713055292533</v>
          </cell>
          <cell r="V746">
            <v>561.95780300537376</v>
          </cell>
          <cell r="W746">
            <v>-6.2784014564457147E-2</v>
          </cell>
        </row>
        <row r="747">
          <cell r="B747" t="str">
            <v>FY0</v>
          </cell>
          <cell r="C747">
            <v>223.96797663441728</v>
          </cell>
          <cell r="D747">
            <v>159.69059484575871</v>
          </cell>
          <cell r="E747">
            <v>152.28321085542203</v>
          </cell>
          <cell r="F747">
            <v>379.56036632309514</v>
          </cell>
          <cell r="G747">
            <v>349.81129360689715</v>
          </cell>
          <cell r="H747">
            <v>311.00489177489175</v>
          </cell>
          <cell r="I747">
            <v>252.24865546942056</v>
          </cell>
          <cell r="J747">
            <v>261.22385564427179</v>
          </cell>
          <cell r="K747">
            <v>-3.923720711646006E-2</v>
          </cell>
          <cell r="M747">
            <v>375.29634138527587</v>
          </cell>
          <cell r="N747">
            <v>664.41481366723326</v>
          </cell>
          <cell r="O747">
            <v>469.76938312881236</v>
          </cell>
          <cell r="P747">
            <v>2046.6726460811669</v>
          </cell>
          <cell r="Q747">
            <v>362.6309067688378</v>
          </cell>
          <cell r="R747">
            <v>790.84035307104932</v>
          </cell>
          <cell r="S747">
            <v>546.90366330753955</v>
          </cell>
          <cell r="T747">
            <v>750.93258677284496</v>
          </cell>
          <cell r="V747">
            <v>534.97591022145798</v>
          </cell>
          <cell r="W747">
            <v>-4.801409045237115E-2</v>
          </cell>
        </row>
        <row r="748">
          <cell r="B748" t="str">
            <v>FY1</v>
          </cell>
          <cell r="C748">
            <v>232.98788437346485</v>
          </cell>
          <cell r="D748">
            <v>160.71132410829935</v>
          </cell>
          <cell r="E748">
            <v>158.68741877190834</v>
          </cell>
          <cell r="F748">
            <v>391.8289687419649</v>
          </cell>
          <cell r="G748">
            <v>363.92077385737963</v>
          </cell>
          <cell r="H748">
            <v>321.90975401001765</v>
          </cell>
          <cell r="I748">
            <v>263.52932791049108</v>
          </cell>
          <cell r="J748">
            <v>270.51077882478938</v>
          </cell>
          <cell r="K748">
            <v>3.5551589105875081E-2</v>
          </cell>
          <cell r="M748">
            <v>395.34836284270295</v>
          </cell>
          <cell r="N748">
            <v>689.78224411268457</v>
          </cell>
          <cell r="O748">
            <v>471.26119763265149</v>
          </cell>
          <cell r="P748">
            <v>1967.531611892407</v>
          </cell>
          <cell r="Q748">
            <v>366.96280945963935</v>
          </cell>
          <cell r="R748">
            <v>836.15261274183558</v>
          </cell>
          <cell r="S748">
            <v>570.6246939212491</v>
          </cell>
          <cell r="T748">
            <v>756.80907608616712</v>
          </cell>
          <cell r="V748">
            <v>555.02198678512718</v>
          </cell>
          <cell r="W748">
            <v>3.7470989217759376E-2</v>
          </cell>
        </row>
        <row r="749">
          <cell r="B749" t="str">
            <v>FY2</v>
          </cell>
          <cell r="C749">
            <v>244.17915207720719</v>
          </cell>
          <cell r="D749">
            <v>163.73484708508263</v>
          </cell>
          <cell r="E749">
            <v>159.78565538973211</v>
          </cell>
          <cell r="F749">
            <v>393.94969944487127</v>
          </cell>
          <cell r="G749">
            <v>380.50669178144102</v>
          </cell>
          <cell r="H749">
            <v>320.88863145898</v>
          </cell>
          <cell r="I749">
            <v>268.59091585605967</v>
          </cell>
          <cell r="J749">
            <v>275.94794187048194</v>
          </cell>
          <cell r="K749">
            <v>2.0099616988697555E-2</v>
          </cell>
          <cell r="M749">
            <v>404.94502377164315</v>
          </cell>
          <cell r="N749">
            <v>724.47485977030351</v>
          </cell>
          <cell r="O749">
            <v>510.34132156188548</v>
          </cell>
          <cell r="P749">
            <v>1961.5656721886198</v>
          </cell>
          <cell r="Q749">
            <v>363.46766466263972</v>
          </cell>
          <cell r="R749">
            <v>865.00671660501121</v>
          </cell>
          <cell r="S749">
            <v>580.63219499255422</v>
          </cell>
          <cell r="T749">
            <v>772.91906479323666</v>
          </cell>
          <cell r="V749">
            <v>574.8112968940062</v>
          </cell>
          <cell r="W749">
            <v>3.5655002108124334E-2</v>
          </cell>
        </row>
        <row r="751">
          <cell r="B751" t="str">
            <v>Gross Profit/Ave. Sq. Ft.</v>
          </cell>
        </row>
        <row r="752">
          <cell r="B752" t="str">
            <v>FY(5)</v>
          </cell>
        </row>
        <row r="753">
          <cell r="B753" t="str">
            <v>FY(4)</v>
          </cell>
          <cell r="C753">
            <v>89.970347356487451</v>
          </cell>
          <cell r="D753">
            <v>70.94227923038973</v>
          </cell>
          <cell r="E753">
            <v>58.29923273657289</v>
          </cell>
          <cell r="F753">
            <v>145.08452975047985</v>
          </cell>
          <cell r="G753">
            <v>136.46666666666664</v>
          </cell>
          <cell r="H753">
            <v>67.026157435834463</v>
          </cell>
          <cell r="I753">
            <v>55.088027159895049</v>
          </cell>
          <cell r="J753">
            <v>88.98246290518945</v>
          </cell>
          <cell r="M753">
            <v>319.27421437795954</v>
          </cell>
          <cell r="N753">
            <v>166.58313956654604</v>
          </cell>
          <cell r="O753">
            <v>231.0768377663681</v>
          </cell>
          <cell r="P753">
            <v>1502.6397383911672</v>
          </cell>
          <cell r="Q753">
            <v>157.7956989247312</v>
          </cell>
          <cell r="R753">
            <v>334.6084763844438</v>
          </cell>
          <cell r="S753">
            <v>232.23360338023238</v>
          </cell>
          <cell r="T753">
            <v>420.60167268449266</v>
          </cell>
        </row>
        <row r="754">
          <cell r="B754" t="str">
            <v>FY(3)</v>
          </cell>
          <cell r="C754">
            <v>95.267906069825671</v>
          </cell>
          <cell r="D754">
            <v>76.371638141809285</v>
          </cell>
          <cell r="E754">
            <v>70.019181585677757</v>
          </cell>
          <cell r="F754">
            <v>160.77757862147632</v>
          </cell>
          <cell r="G754">
            <v>151.42786666666669</v>
          </cell>
          <cell r="H754">
            <v>69.66897472261617</v>
          </cell>
          <cell r="I754">
            <v>57.98112920407852</v>
          </cell>
          <cell r="J754">
            <v>97.359182144592936</v>
          </cell>
          <cell r="M754">
            <v>346.07123761597734</v>
          </cell>
          <cell r="N754">
            <v>179.22561868996246</v>
          </cell>
          <cell r="O754">
            <v>269.55346470462376</v>
          </cell>
          <cell r="P754">
            <v>1627.5069833991522</v>
          </cell>
          <cell r="Q754">
            <v>147.31770833333331</v>
          </cell>
          <cell r="R754">
            <v>389.24565997478419</v>
          </cell>
          <cell r="S754">
            <v>196.01091433823262</v>
          </cell>
          <cell r="T754">
            <v>450.70451243658084</v>
          </cell>
        </row>
        <row r="755">
          <cell r="B755" t="str">
            <v>FY(2)</v>
          </cell>
          <cell r="C755">
            <v>90.953223537951999</v>
          </cell>
          <cell r="D755">
            <v>73.104434907010017</v>
          </cell>
          <cell r="E755">
            <v>68.319410587710081</v>
          </cell>
          <cell r="F755">
            <v>163.22107969151674</v>
          </cell>
          <cell r="G755">
            <v>169.377219230002</v>
          </cell>
          <cell r="H755">
            <v>68.290070957677031</v>
          </cell>
          <cell r="I755">
            <v>59.719483750821425</v>
          </cell>
          <cell r="J755">
            <v>98.997846094669882</v>
          </cell>
          <cell r="M755">
            <v>354.69223093371352</v>
          </cell>
          <cell r="N755">
            <v>196.18126545750619</v>
          </cell>
          <cell r="O755">
            <v>261.53420790247395</v>
          </cell>
          <cell r="P755">
            <v>1788.1279152299524</v>
          </cell>
          <cell r="Q755">
            <v>144.88549618320613</v>
          </cell>
          <cell r="R755">
            <v>335.9071864998545</v>
          </cell>
          <cell r="S755">
            <v>214.24700297798475</v>
          </cell>
          <cell r="T755">
            <v>470.79647216924167</v>
          </cell>
        </row>
        <row r="756">
          <cell r="B756" t="str">
            <v>FY(1)</v>
          </cell>
          <cell r="C756">
            <v>83.589801285192706</v>
          </cell>
          <cell r="D756">
            <v>64.097109304426311</v>
          </cell>
          <cell r="E756">
            <v>63.956874571269559</v>
          </cell>
          <cell r="F756">
            <v>137.8214087898856</v>
          </cell>
          <cell r="G756">
            <v>129.41795944979313</v>
          </cell>
          <cell r="H756">
            <v>70.163440366972495</v>
          </cell>
          <cell r="I756">
            <v>58.875923717719836</v>
          </cell>
          <cell r="J756">
            <v>86.846073926465664</v>
          </cell>
          <cell r="M756">
            <v>308.81565874014706</v>
          </cell>
          <cell r="N756">
            <v>210.35372682331408</v>
          </cell>
          <cell r="O756">
            <v>195.05588050073356</v>
          </cell>
          <cell r="P756">
            <v>1789.6131727137602</v>
          </cell>
          <cell r="Q756">
            <v>137.724399494311</v>
          </cell>
          <cell r="R756">
            <v>283.49789950634846</v>
          </cell>
          <cell r="S756">
            <v>228.41544941025407</v>
          </cell>
          <cell r="T756">
            <v>450.49659816983831</v>
          </cell>
        </row>
        <row r="757">
          <cell r="B757" t="str">
            <v>FY0</v>
          </cell>
          <cell r="C757">
            <v>84.713276136334002</v>
          </cell>
          <cell r="D757">
            <v>62.848543174558898</v>
          </cell>
          <cell r="E757">
            <v>61.69385816766129</v>
          </cell>
          <cell r="F757">
            <v>134.67084927666127</v>
          </cell>
          <cell r="G757">
            <v>127.57838539091584</v>
          </cell>
          <cell r="H757">
            <v>80.386796536796524</v>
          </cell>
          <cell r="I757">
            <v>66.144384006341227</v>
          </cell>
          <cell r="J757">
            <v>88.290870384181289</v>
          </cell>
          <cell r="M757">
            <v>241.37835586595756</v>
          </cell>
          <cell r="N757">
            <v>253.1053971479177</v>
          </cell>
          <cell r="O757">
            <v>181.91715913869484</v>
          </cell>
          <cell r="P757">
            <v>1471.4964997376783</v>
          </cell>
          <cell r="Q757">
            <v>146.20689655172413</v>
          </cell>
          <cell r="R757">
            <v>277.40821664307668</v>
          </cell>
          <cell r="S757">
            <v>221.87132434773477</v>
          </cell>
          <cell r="T757">
            <v>399.05483563325481</v>
          </cell>
        </row>
        <row r="758">
          <cell r="B758" t="str">
            <v>FY1</v>
          </cell>
          <cell r="C758">
            <v>89.441866664750805</v>
          </cell>
          <cell r="D758">
            <v>63.650239246080858</v>
          </cell>
          <cell r="E758">
            <v>64.649536084434075</v>
          </cell>
          <cell r="F758">
            <v>142.51297101066149</v>
          </cell>
          <cell r="G758">
            <v>138.56135541811679</v>
          </cell>
          <cell r="H758">
            <v>85.196708669039481</v>
          </cell>
          <cell r="I758">
            <v>70.318331251795755</v>
          </cell>
          <cell r="J758">
            <v>93.475858334982746</v>
          </cell>
          <cell r="M758">
            <v>254.11165435640649</v>
          </cell>
          <cell r="N758">
            <v>263.95313541078667</v>
          </cell>
          <cell r="O758">
            <v>199.76427781995659</v>
          </cell>
          <cell r="P758">
            <v>1423.9245515610419</v>
          </cell>
          <cell r="Q758">
            <v>150.411207625456</v>
          </cell>
          <cell r="R758">
            <v>301.09415930361337</v>
          </cell>
          <cell r="S758">
            <v>235.83035087439166</v>
          </cell>
          <cell r="T758">
            <v>404.15561956452171</v>
          </cell>
        </row>
        <row r="759">
          <cell r="B759" t="str">
            <v>FY2</v>
          </cell>
          <cell r="C759">
            <v>94.470626975915735</v>
          </cell>
          <cell r="D759">
            <v>65.17518498561455</v>
          </cell>
          <cell r="E759">
            <v>65.256745287340706</v>
          </cell>
          <cell r="F759">
            <v>143.6782563113386</v>
          </cell>
          <cell r="G759">
            <v>149.54497462907122</v>
          </cell>
          <cell r="H759">
            <v>84.926458142572343</v>
          </cell>
          <cell r="I759">
            <v>71.266043768232706</v>
          </cell>
          <cell r="J759">
            <v>96.331184300012268</v>
          </cell>
          <cell r="M759">
            <v>263.45795421699074</v>
          </cell>
          <cell r="N759">
            <v>268.96338053982186</v>
          </cell>
          <cell r="O759">
            <v>220.15043447163885</v>
          </cell>
          <cell r="P759">
            <v>1419.6069345194633</v>
          </cell>
          <cell r="Q759">
            <v>150.06901599080251</v>
          </cell>
          <cell r="R759">
            <v>315.80940397101631</v>
          </cell>
          <cell r="S759">
            <v>241.70819270352629</v>
          </cell>
          <cell r="T759">
            <v>411.39504520189433</v>
          </cell>
        </row>
        <row r="760">
          <cell r="L760">
            <v>2006</v>
          </cell>
          <cell r="M760">
            <v>2007</v>
          </cell>
          <cell r="N760">
            <v>2008</v>
          </cell>
          <cell r="O760">
            <v>2009</v>
          </cell>
          <cell r="P760" t="str">
            <v>2010E</v>
          </cell>
          <cell r="Q760" t="str">
            <v>2011E</v>
          </cell>
          <cell r="Y760">
            <v>2006</v>
          </cell>
          <cell r="Z760">
            <v>2007</v>
          </cell>
          <cell r="AA760">
            <v>2008</v>
          </cell>
          <cell r="AB760">
            <v>2009</v>
          </cell>
          <cell r="AC760" t="str">
            <v>2010E</v>
          </cell>
          <cell r="AD760" t="str">
            <v>2011E</v>
          </cell>
        </row>
        <row r="761">
          <cell r="B761" t="str">
            <v>SG&amp;A/Ave. Sq. Ft.</v>
          </cell>
        </row>
        <row r="762">
          <cell r="B762" t="str">
            <v>FY(5)</v>
          </cell>
        </row>
        <row r="763">
          <cell r="B763" t="str">
            <v>FY(4)</v>
          </cell>
          <cell r="C763">
            <v>56.00704205162176</v>
          </cell>
          <cell r="D763">
            <v>55.392205229403061</v>
          </cell>
          <cell r="E763">
            <v>44.629156010230183</v>
          </cell>
          <cell r="F763">
            <v>107.51969289827257</v>
          </cell>
          <cell r="G763">
            <v>106.87679102827374</v>
          </cell>
          <cell r="H763">
            <v>47.043104506938469</v>
          </cell>
          <cell r="I763">
            <v>39.524716547395336</v>
          </cell>
          <cell r="J763">
            <v>65.284672610305023</v>
          </cell>
          <cell r="M763">
            <v>218.41256995264743</v>
          </cell>
          <cell r="N763">
            <v>104.34292665631251</v>
          </cell>
          <cell r="O763">
            <v>116.46501475101104</v>
          </cell>
          <cell r="P763">
            <v>867.63254557082882</v>
          </cell>
          <cell r="Q763">
            <v>112.5</v>
          </cell>
          <cell r="R763">
            <v>241.87285423334305</v>
          </cell>
          <cell r="S763">
            <v>125.54061794744167</v>
          </cell>
          <cell r="T763">
            <v>255.25236130165493</v>
          </cell>
        </row>
        <row r="764">
          <cell r="B764" t="str">
            <v>FY(3)</v>
          </cell>
          <cell r="C764">
            <v>57.411944663898744</v>
          </cell>
          <cell r="D764">
            <v>58.063569682151588</v>
          </cell>
          <cell r="E764">
            <v>55.485933503836314</v>
          </cell>
          <cell r="F764">
            <v>115.15839610934933</v>
          </cell>
          <cell r="G764">
            <v>99.98234510535373</v>
          </cell>
          <cell r="H764">
            <v>47.998275910013625</v>
          </cell>
          <cell r="I764">
            <v>40.350299525463122</v>
          </cell>
          <cell r="J764">
            <v>67.778680642866632</v>
          </cell>
          <cell r="M764">
            <v>237.877181946847</v>
          </cell>
          <cell r="N764">
            <v>115.90657018986992</v>
          </cell>
          <cell r="O764">
            <v>133.85018750090495</v>
          </cell>
          <cell r="P764">
            <v>892.04303236676367</v>
          </cell>
          <cell r="Q764">
            <v>116.58854166666667</v>
          </cell>
          <cell r="R764">
            <v>275.18446319464653</v>
          </cell>
          <cell r="S764">
            <v>124.8842487674527</v>
          </cell>
          <cell r="T764">
            <v>270.90488937616448</v>
          </cell>
        </row>
        <row r="765">
          <cell r="B765" t="str">
            <v>FY(2)</v>
          </cell>
          <cell r="C765">
            <v>55.909441495394944</v>
          </cell>
          <cell r="D765">
            <v>55.593705293276109</v>
          </cell>
          <cell r="E765">
            <v>54.945866694929677</v>
          </cell>
          <cell r="F765">
            <v>116.65908641487049</v>
          </cell>
          <cell r="G765">
            <v>107.44424798154198</v>
          </cell>
          <cell r="H765">
            <v>47.098837501887168</v>
          </cell>
          <cell r="I765">
            <v>40.335940615417101</v>
          </cell>
          <cell r="J765">
            <v>68.283875142473917</v>
          </cell>
          <cell r="M765">
            <v>245.32544547398433</v>
          </cell>
          <cell r="N765">
            <v>124.36313366110349</v>
          </cell>
          <cell r="O765">
            <v>131.4307079198864</v>
          </cell>
          <cell r="P765">
            <v>910.05910674304778</v>
          </cell>
          <cell r="Q765">
            <v>110.55979643765903</v>
          </cell>
          <cell r="R765">
            <v>252.39239646978956</v>
          </cell>
          <cell r="S765">
            <v>130.68921569829229</v>
          </cell>
          <cell r="T765">
            <v>272.11711462910898</v>
          </cell>
        </row>
        <row r="766">
          <cell r="B766" t="str">
            <v>FY(1)</v>
          </cell>
          <cell r="C766">
            <v>54.334550424141192</v>
          </cell>
          <cell r="D766">
            <v>53.800422138836723</v>
          </cell>
          <cell r="E766">
            <v>54.735125480501665</v>
          </cell>
          <cell r="F766">
            <v>115.01341360626128</v>
          </cell>
          <cell r="G766">
            <v>101.39981901082912</v>
          </cell>
          <cell r="H766">
            <v>47.645634890778894</v>
          </cell>
          <cell r="I766">
            <v>40.422041776999137</v>
          </cell>
          <cell r="J766">
            <v>66.764429618335427</v>
          </cell>
          <cell r="M766">
            <v>243.77773741321985</v>
          </cell>
          <cell r="N766">
            <v>130.51261224586915</v>
          </cell>
          <cell r="O766">
            <v>121.95297613020131</v>
          </cell>
          <cell r="P766">
            <v>912.8896789346926</v>
          </cell>
          <cell r="Q766">
            <v>98.584070796460168</v>
          </cell>
          <cell r="R766">
            <v>215.83446884149876</v>
          </cell>
          <cell r="S766">
            <v>132.55323628783208</v>
          </cell>
          <cell r="T766">
            <v>265.15782580711056</v>
          </cell>
        </row>
        <row r="767">
          <cell r="B767" t="str">
            <v>FY0</v>
          </cell>
          <cell r="C767">
            <v>54.032910005997856</v>
          </cell>
          <cell r="D767">
            <v>56.772880824254223</v>
          </cell>
          <cell r="E767">
            <v>52.267327085717248</v>
          </cell>
          <cell r="F767">
            <v>113.29817183173039</v>
          </cell>
          <cell r="G767">
            <v>88.379605972524715</v>
          </cell>
          <cell r="H767">
            <v>48.952943722943722</v>
          </cell>
          <cell r="I767">
            <v>41.389159668084687</v>
          </cell>
          <cell r="J767">
            <v>65.013285587321832</v>
          </cell>
          <cell r="M767">
            <v>223.74818991478182</v>
          </cell>
          <cell r="N767">
            <v>138.10894996119467</v>
          </cell>
          <cell r="O767">
            <v>118.79586171124691</v>
          </cell>
          <cell r="P767">
            <v>837.76738647087723</v>
          </cell>
          <cell r="Q767">
            <v>99.94891443167306</v>
          </cell>
          <cell r="R767">
            <v>198.46761301434174</v>
          </cell>
          <cell r="S767">
            <v>126.20089584829444</v>
          </cell>
          <cell r="T767">
            <v>249.00540162177285</v>
          </cell>
        </row>
        <row r="768">
          <cell r="B768" t="str">
            <v>FY1</v>
          </cell>
          <cell r="C768">
            <v>55.348580166865275</v>
          </cell>
          <cell r="D768">
            <v>56.381275323190636</v>
          </cell>
          <cell r="E768">
            <v>53.326011039639944</v>
          </cell>
          <cell r="F768">
            <v>113.63839445500386</v>
          </cell>
          <cell r="G768">
            <v>92.492419639671866</v>
          </cell>
          <cell r="H768">
            <v>49.961621490643836</v>
          </cell>
          <cell r="I768">
            <v>42.430828483391224</v>
          </cell>
          <cell r="J768">
            <v>66.225590085486672</v>
          </cell>
          <cell r="M768">
            <v>224.104307425526</v>
          </cell>
          <cell r="N768">
            <v>143.13736750927575</v>
          </cell>
          <cell r="O768">
            <v>114.88595930240508</v>
          </cell>
          <cell r="P768">
            <v>804.68729077882745</v>
          </cell>
          <cell r="Q768">
            <v>104.02768504250595</v>
          </cell>
          <cell r="R768">
            <v>204.26032967175414</v>
          </cell>
          <cell r="S768">
            <v>127.70898912929687</v>
          </cell>
          <cell r="T768">
            <v>246.11598983708447</v>
          </cell>
        </row>
        <row r="769">
          <cell r="B769" t="str">
            <v>FY2</v>
          </cell>
          <cell r="C769">
            <v>57.518818378727502</v>
          </cell>
          <cell r="D769">
            <v>57.330946533195807</v>
          </cell>
          <cell r="E769">
            <v>53.535281598406499</v>
          </cell>
          <cell r="F769">
            <v>112.74721576913295</v>
          </cell>
          <cell r="G769">
            <v>95.574639597660976</v>
          </cell>
          <cell r="H769">
            <v>49.803139376464415</v>
          </cell>
          <cell r="I769">
            <v>43.111498751194262</v>
          </cell>
          <cell r="J769">
            <v>67.088791429254613</v>
          </cell>
          <cell r="M769">
            <v>225.90442975327224</v>
          </cell>
          <cell r="N769">
            <v>156.45874830429116</v>
          </cell>
          <cell r="O769">
            <v>121.86615690934654</v>
          </cell>
          <cell r="P769">
            <v>798.32419057795209</v>
          </cell>
          <cell r="Q769">
            <v>102.67340356034649</v>
          </cell>
          <cell r="R769">
            <v>209.66028850840351</v>
          </cell>
          <cell r="S769">
            <v>126.98749949091251</v>
          </cell>
          <cell r="T769">
            <v>248.83924530064638</v>
          </cell>
        </row>
        <row r="771">
          <cell r="B771" t="str">
            <v>Capex/Ave. Sq. Ft.</v>
          </cell>
        </row>
        <row r="772">
          <cell r="B772" t="str">
            <v>FY(5)</v>
          </cell>
        </row>
        <row r="773">
          <cell r="B773" t="str">
            <v>FY(4)</v>
          </cell>
          <cell r="C773">
            <v>15.650127041585197</v>
          </cell>
          <cell r="D773">
            <v>5.2787370498273312</v>
          </cell>
          <cell r="E773">
            <v>4.1943734015345262</v>
          </cell>
          <cell r="F773">
            <v>13.904491362763915</v>
          </cell>
          <cell r="G773">
            <v>17.349866666666664</v>
          </cell>
          <cell r="H773">
            <v>10.797678988087929</v>
          </cell>
          <cell r="I773">
            <v>7.2889045655959963</v>
          </cell>
          <cell r="J773">
            <v>10.637739868008794</v>
          </cell>
          <cell r="M773">
            <v>44.15359448988378</v>
          </cell>
          <cell r="N773">
            <v>26.787956747898207</v>
          </cell>
          <cell r="O773">
            <v>17.51286592697922</v>
          </cell>
          <cell r="P773">
            <v>112.13568379804623</v>
          </cell>
          <cell r="Q773">
            <v>16.129032258064516</v>
          </cell>
          <cell r="R773">
            <v>46.552225778295025</v>
          </cell>
          <cell r="S773">
            <v>66.123052655909831</v>
          </cell>
          <cell r="T773">
            <v>47.056344522153829</v>
          </cell>
        </row>
        <row r="774">
          <cell r="B774" t="str">
            <v>FY(3)</v>
          </cell>
          <cell r="C774">
            <v>19.550721957943221</v>
          </cell>
          <cell r="D774">
            <v>7.5501222493887532</v>
          </cell>
          <cell r="E774">
            <v>8.9002557544757028</v>
          </cell>
          <cell r="F774">
            <v>13.258144169664458</v>
          </cell>
          <cell r="G774">
            <v>16.490533333333335</v>
          </cell>
          <cell r="H774">
            <v>12.45543783543283</v>
          </cell>
          <cell r="I774">
            <v>5.2297422559178761</v>
          </cell>
          <cell r="J774">
            <v>11.919279650879451</v>
          </cell>
          <cell r="M774">
            <v>63.449598993552442</v>
          </cell>
          <cell r="N774">
            <v>17.981488056245905</v>
          </cell>
          <cell r="O774">
            <v>45.435185497999505</v>
          </cell>
          <cell r="P774">
            <v>137.7643293126859</v>
          </cell>
          <cell r="Q774">
            <v>14.895833333333334</v>
          </cell>
          <cell r="R774">
            <v>53.147124430220153</v>
          </cell>
          <cell r="S774">
            <v>91.962971749976475</v>
          </cell>
          <cell r="T774">
            <v>60.662361624859102</v>
          </cell>
        </row>
        <row r="775">
          <cell r="B775" t="str">
            <v>FY(2)</v>
          </cell>
          <cell r="C775">
            <v>23.315381939718403</v>
          </cell>
          <cell r="D775">
            <v>11.855030996661897</v>
          </cell>
          <cell r="E775">
            <v>7.0978703177340767</v>
          </cell>
          <cell r="F775">
            <v>24.767648803638519</v>
          </cell>
          <cell r="G775">
            <v>18.18285790278609</v>
          </cell>
          <cell r="H775">
            <v>11.882693372251019</v>
          </cell>
          <cell r="I775">
            <v>7.0074797050669178</v>
          </cell>
          <cell r="J775">
            <v>14.872709005408135</v>
          </cell>
          <cell r="M775">
            <v>57.497505345687813</v>
          </cell>
          <cell r="N775">
            <v>29.600011795985552</v>
          </cell>
          <cell r="O775">
            <v>46.018022425256582</v>
          </cell>
          <cell r="P775">
            <v>124.51749822997978</v>
          </cell>
          <cell r="Q775">
            <v>17.353689567430024</v>
          </cell>
          <cell r="R775">
            <v>72.640868974881201</v>
          </cell>
          <cell r="S775">
            <v>42.855195352011023</v>
          </cell>
          <cell r="T775">
            <v>55.783255955890283</v>
          </cell>
        </row>
        <row r="776">
          <cell r="B776" t="str">
            <v>FY(1)</v>
          </cell>
          <cell r="C776">
            <v>13.997694659755247</v>
          </cell>
          <cell r="D776">
            <v>8.980638941004786</v>
          </cell>
          <cell r="E776">
            <v>5.8048483750307396</v>
          </cell>
          <cell r="F776">
            <v>27.116195063214931</v>
          </cell>
          <cell r="G776">
            <v>16.908512704055976</v>
          </cell>
          <cell r="H776">
            <v>10.294403669724771</v>
          </cell>
          <cell r="I776">
            <v>7.4978224541521676</v>
          </cell>
          <cell r="J776">
            <v>12.942873695276946</v>
          </cell>
          <cell r="M776">
            <v>48.698681857322647</v>
          </cell>
          <cell r="N776">
            <v>26.700095243791303</v>
          </cell>
          <cell r="O776">
            <v>44.082541603952585</v>
          </cell>
          <cell r="P776">
            <v>129.89939090124025</v>
          </cell>
          <cell r="Q776">
            <v>10.897597977243993</v>
          </cell>
          <cell r="R776">
            <v>45.168864601849187</v>
          </cell>
          <cell r="S776">
            <v>36.033127969569257</v>
          </cell>
          <cell r="T776">
            <v>48.782900022138456</v>
          </cell>
        </row>
        <row r="777">
          <cell r="B777" t="str">
            <v>FY0</v>
          </cell>
          <cell r="C777">
            <v>8.6838605366782282</v>
          </cell>
          <cell r="D777">
            <v>5.4571817517706718</v>
          </cell>
          <cell r="E777">
            <v>2.9822588017154472</v>
          </cell>
          <cell r="F777">
            <v>16.54658898962391</v>
          </cell>
          <cell r="G777">
            <v>9.9355514673446681</v>
          </cell>
          <cell r="H777">
            <v>6.8609090909090904</v>
          </cell>
          <cell r="I777">
            <v>5.3375383441441961</v>
          </cell>
          <cell r="J777">
            <v>7.9719841403123155</v>
          </cell>
          <cell r="M777">
            <v>22.486320240917536</v>
          </cell>
          <cell r="N777">
            <v>16.053353274770263</v>
          </cell>
          <cell r="O777">
            <v>20.015510492988312</v>
          </cell>
          <cell r="P777">
            <v>86.815132055125204</v>
          </cell>
          <cell r="Q777">
            <v>8.5312899106002558</v>
          </cell>
          <cell r="R777">
            <v>18.505540210615035</v>
          </cell>
          <cell r="S777">
            <v>33.63074150631536</v>
          </cell>
          <cell r="T777">
            <v>29.433983955904569</v>
          </cell>
        </row>
        <row r="778">
          <cell r="B778" t="str">
            <v>FY1</v>
          </cell>
          <cell r="C778">
            <v>11.431281531312116</v>
          </cell>
          <cell r="D778">
            <v>4.6606283991406849</v>
          </cell>
          <cell r="E778">
            <v>3.6536938616378576</v>
          </cell>
          <cell r="F778">
            <v>19.971528510839402</v>
          </cell>
          <cell r="G778">
            <v>10.337560270578901</v>
          </cell>
          <cell r="H778">
            <v>8.9375148013948102</v>
          </cell>
          <cell r="I778">
            <v>5.631509653744514</v>
          </cell>
          <cell r="J778">
            <v>9.2319595755211843</v>
          </cell>
          <cell r="M778">
            <v>31.581589973941607</v>
          </cell>
          <cell r="N778">
            <v>22.536174951703867</v>
          </cell>
          <cell r="O778">
            <v>16.494141917142809</v>
          </cell>
          <cell r="P778">
            <v>61.969777790835089</v>
          </cell>
          <cell r="Q778">
            <v>15.358166476343248</v>
          </cell>
          <cell r="R778">
            <v>25.08457838225512</v>
          </cell>
          <cell r="S778">
            <v>37.499583215737189</v>
          </cell>
          <cell r="T778">
            <v>30.074858958279851</v>
          </cell>
        </row>
        <row r="779">
          <cell r="B779" t="str">
            <v>FY2</v>
          </cell>
          <cell r="C779">
            <v>13.201263919776572</v>
          </cell>
          <cell r="D779">
            <v>4.9120454125524784</v>
          </cell>
          <cell r="E779">
            <v>4.5538911786073388</v>
          </cell>
          <cell r="F779">
            <v>22.455132868357687</v>
          </cell>
          <cell r="G779">
            <v>4.7563336472679971</v>
          </cell>
          <cell r="H779">
            <v>9.2300529470413881</v>
          </cell>
          <cell r="I779">
            <v>6.0082645512141291</v>
          </cell>
          <cell r="J779">
            <v>9.3024263606882265</v>
          </cell>
          <cell r="M779">
            <v>31.943254449694578</v>
          </cell>
          <cell r="N779">
            <v>23.669632448856579</v>
          </cell>
          <cell r="O779">
            <v>16.841263611542193</v>
          </cell>
          <cell r="P779">
            <v>73.551267367681376</v>
          </cell>
          <cell r="Q779">
            <v>13.81177125718035</v>
          </cell>
          <cell r="R779">
            <v>29.323727692909848</v>
          </cell>
          <cell r="S779">
            <v>38.157243361192954</v>
          </cell>
          <cell r="T779">
            <v>32.47116574129398</v>
          </cell>
        </row>
        <row r="781">
          <cell r="B781" t="str">
            <v>Inventories/Ave. Sq. Ft.</v>
          </cell>
        </row>
        <row r="782">
          <cell r="B782" t="str">
            <v>FY(5)</v>
          </cell>
        </row>
        <row r="783">
          <cell r="B783" t="str">
            <v>FY(4)</v>
          </cell>
          <cell r="C783">
            <v>42.287688567357257</v>
          </cell>
          <cell r="D783">
            <v>31.672422298963983</v>
          </cell>
          <cell r="E783">
            <v>34.904092071611259</v>
          </cell>
          <cell r="F783">
            <v>48.93041586692258</v>
          </cell>
          <cell r="G783">
            <v>107.62813333333334</v>
          </cell>
          <cell r="H783">
            <v>57.601068402308734</v>
          </cell>
          <cell r="I783">
            <v>34.770853082310062</v>
          </cell>
          <cell r="J783">
            <v>51.113524803258166</v>
          </cell>
          <cell r="M783">
            <v>62.425484287559186</v>
          </cell>
          <cell r="N783">
            <v>42.238287306109697</v>
          </cell>
          <cell r="O783">
            <v>45.258984028274867</v>
          </cell>
          <cell r="P783">
            <v>218.62261787838176</v>
          </cell>
          <cell r="Q783">
            <v>45.591397849462368</v>
          </cell>
          <cell r="R783">
            <v>112.47114731839783</v>
          </cell>
          <cell r="S783">
            <v>72.670130452349909</v>
          </cell>
          <cell r="T783">
            <v>85.611149874362226</v>
          </cell>
        </row>
        <row r="784">
          <cell r="B784" t="str">
            <v>FY(3)</v>
          </cell>
          <cell r="C784">
            <v>43.340639760636066</v>
          </cell>
          <cell r="D784">
            <v>33.251833740831295</v>
          </cell>
          <cell r="E784">
            <v>33.996163682864449</v>
          </cell>
          <cell r="F784">
            <v>50.001328637144184</v>
          </cell>
          <cell r="G784">
            <v>104.70693333333334</v>
          </cell>
          <cell r="H784">
            <v>58.492756041266929</v>
          </cell>
          <cell r="I784">
            <v>35.721268383115891</v>
          </cell>
          <cell r="J784">
            <v>51.358703368456027</v>
          </cell>
          <cell r="M784">
            <v>67.219216857996543</v>
          </cell>
          <cell r="N784">
            <v>40.594662439556153</v>
          </cell>
          <cell r="O784">
            <v>53.017469518031781</v>
          </cell>
          <cell r="P784">
            <v>240.27566037629057</v>
          </cell>
          <cell r="Q784">
            <v>46.770833333333329</v>
          </cell>
          <cell r="R784">
            <v>171.66133255746291</v>
          </cell>
          <cell r="S784">
            <v>66.962006704571621</v>
          </cell>
          <cell r="T784">
            <v>98.071597398177559</v>
          </cell>
        </row>
        <row r="785">
          <cell r="B785" t="str">
            <v>FY(2)</v>
          </cell>
          <cell r="C785">
            <v>43.188194728006899</v>
          </cell>
          <cell r="D785">
            <v>34.725798760133522</v>
          </cell>
          <cell r="E785">
            <v>32.502464984375045</v>
          </cell>
          <cell r="F785">
            <v>47.261222068420011</v>
          </cell>
          <cell r="G785">
            <v>113.99335062171687</v>
          </cell>
          <cell r="H785">
            <v>51.597554224749636</v>
          </cell>
          <cell r="I785">
            <v>36.399609060748503</v>
          </cell>
          <cell r="J785">
            <v>51.381170635450069</v>
          </cell>
          <cell r="M785">
            <v>47.49151817533857</v>
          </cell>
          <cell r="N785">
            <v>49.085685247861349</v>
          </cell>
          <cell r="O785">
            <v>52.648181378713971</v>
          </cell>
          <cell r="P785">
            <v>257.38613311789618</v>
          </cell>
          <cell r="Q785">
            <v>40.07633587786259</v>
          </cell>
          <cell r="R785">
            <v>121.29036950829212</v>
          </cell>
          <cell r="S785">
            <v>63.863044646740875</v>
          </cell>
          <cell r="T785">
            <v>90.26303827895795</v>
          </cell>
        </row>
        <row r="786">
          <cell r="B786" t="str">
            <v>FY(1)</v>
          </cell>
          <cell r="C786">
            <v>38.638606856661674</v>
          </cell>
          <cell r="D786">
            <v>30.204233548745712</v>
          </cell>
          <cell r="E786">
            <v>30.862120290436561</v>
          </cell>
          <cell r="F786">
            <v>43.347381095725467</v>
          </cell>
          <cell r="G786">
            <v>96.803875006770056</v>
          </cell>
          <cell r="H786">
            <v>40.415504587155958</v>
          </cell>
          <cell r="I786">
            <v>33.690578447862052</v>
          </cell>
          <cell r="J786">
            <v>44.851757119051065</v>
          </cell>
          <cell r="M786">
            <v>49.337219315095716</v>
          </cell>
          <cell r="N786">
            <v>40.631348648226286</v>
          </cell>
          <cell r="O786">
            <v>48.999098611832324</v>
          </cell>
          <cell r="P786">
            <v>236.7883299458334</v>
          </cell>
          <cell r="Q786">
            <v>38.078381795195952</v>
          </cell>
          <cell r="R786">
            <v>111.44780827278598</v>
          </cell>
          <cell r="S786">
            <v>54.327736712304102</v>
          </cell>
          <cell r="T786">
            <v>82.801417614467681</v>
          </cell>
        </row>
        <row r="787">
          <cell r="B787" t="str">
            <v>FY0</v>
          </cell>
          <cell r="C787">
            <v>38.112499022087775</v>
          </cell>
          <cell r="D787">
            <v>27.504196028924184</v>
          </cell>
          <cell r="E787">
            <v>29.919835586775626</v>
          </cell>
          <cell r="F787">
            <v>41.274546979672976</v>
          </cell>
          <cell r="G787">
            <v>86.489403842931324</v>
          </cell>
          <cell r="H787">
            <v>37.770476190476195</v>
          </cell>
          <cell r="I787">
            <v>31.484389352146167</v>
          </cell>
          <cell r="J787">
            <v>41.793621000430612</v>
          </cell>
          <cell r="M787">
            <v>39.808419299032487</v>
          </cell>
          <cell r="N787">
            <v>39.599343958504335</v>
          </cell>
          <cell r="O787">
            <v>51.280762386127712</v>
          </cell>
          <cell r="P787">
            <v>206.63203912686348</v>
          </cell>
          <cell r="Q787">
            <v>37.726692209450832</v>
          </cell>
          <cell r="R787">
            <v>94.960263474919032</v>
          </cell>
          <cell r="S787">
            <v>52.530906640433855</v>
          </cell>
          <cell r="T787">
            <v>74.648346727904524</v>
          </cell>
        </row>
        <row r="788">
          <cell r="B788" t="str">
            <v>FY1</v>
          </cell>
          <cell r="C788">
            <v>39.347452029995708</v>
          </cell>
          <cell r="D788">
            <v>29.356748438334701</v>
          </cell>
          <cell r="E788">
            <v>30.52408774498835</v>
          </cell>
          <cell r="F788">
            <v>40.102918192343012</v>
          </cell>
          <cell r="G788">
            <v>88.953357019349212</v>
          </cell>
          <cell r="H788">
            <v>34.435038762035724</v>
          </cell>
          <cell r="I788">
            <v>31.366907365486593</v>
          </cell>
          <cell r="J788">
            <v>42.012358507504757</v>
          </cell>
          <cell r="M788">
            <v>32.314250277819518</v>
          </cell>
          <cell r="N788">
            <v>41.192025535021067</v>
          </cell>
          <cell r="O788">
            <v>51.788879564784338</v>
          </cell>
          <cell r="P788">
            <v>194.15276857213092</v>
          </cell>
          <cell r="Q788">
            <v>40.220785229448175</v>
          </cell>
          <cell r="R788">
            <v>96.921492997836197</v>
          </cell>
          <cell r="S788">
            <v>52.092692826174805</v>
          </cell>
          <cell r="T788">
            <v>72.668985000459287</v>
          </cell>
        </row>
        <row r="789">
          <cell r="B789" t="str">
            <v>FY2</v>
          </cell>
          <cell r="C789">
            <v>40.626498868924216</v>
          </cell>
          <cell r="D789">
            <v>30.080029219039286</v>
          </cell>
          <cell r="E789">
            <v>30.424488748700757</v>
          </cell>
          <cell r="F789">
            <v>40.942278457992401</v>
          </cell>
          <cell r="G789">
            <v>90.531911795975219</v>
          </cell>
          <cell r="H789">
            <v>34.293484579602911</v>
          </cell>
          <cell r="I789">
            <v>31.764467878342945</v>
          </cell>
          <cell r="J789">
            <v>42.666165649796817</v>
          </cell>
          <cell r="M789">
            <v>31.98389582712926</v>
          </cell>
          <cell r="N789">
            <v>43.439322753006394</v>
          </cell>
          <cell r="O789">
            <v>54.5597682803675</v>
          </cell>
          <cell r="P789">
            <v>193.56405949949226</v>
          </cell>
          <cell r="Q789">
            <v>39.34285076815766</v>
          </cell>
          <cell r="R789">
            <v>97.977982331153342</v>
          </cell>
          <cell r="S789">
            <v>51.806692772736874</v>
          </cell>
          <cell r="T789">
            <v>73.239224604577615</v>
          </cell>
        </row>
        <row r="791">
          <cell r="A791" t="str">
            <v>Turnover Ratios</v>
          </cell>
        </row>
        <row r="792">
          <cell r="B792" t="str">
            <v>Inventory Turnover</v>
          </cell>
          <cell r="C792" t="str">
            <v>COGS/ Average Inventory</v>
          </cell>
        </row>
        <row r="793">
          <cell r="B793" t="str">
            <v>FY(5)</v>
          </cell>
        </row>
        <row r="794">
          <cell r="B794" t="str">
            <v>FY(4)</v>
          </cell>
          <cell r="C794">
            <v>3.5887445581823387</v>
          </cell>
          <cell r="D794">
            <v>3.5071104387291983</v>
          </cell>
          <cell r="E794">
            <v>2.4632516703786194</v>
          </cell>
          <cell r="F794">
            <v>5.0049716705396659</v>
          </cell>
          <cell r="G794">
            <v>2.2038539088848883</v>
          </cell>
          <cell r="H794">
            <v>3.8723010121518526</v>
          </cell>
          <cell r="I794">
            <v>4.9345555526362066</v>
          </cell>
          <cell r="J794">
            <v>3.65354125878611</v>
          </cell>
          <cell r="M794">
            <v>2.3139206793057574</v>
          </cell>
          <cell r="N794">
            <v>8.706738923592436</v>
          </cell>
          <cell r="O794">
            <v>5.2531435569993015</v>
          </cell>
          <cell r="P794">
            <v>1.8384352724131579</v>
          </cell>
          <cell r="Q794">
            <v>5.8150057273768612</v>
          </cell>
          <cell r="R794">
            <v>4.2457406756346234</v>
          </cell>
          <cell r="S794">
            <v>4.366211613358483</v>
          </cell>
          <cell r="T794">
            <v>4.648456635525803</v>
          </cell>
        </row>
        <row r="795">
          <cell r="B795" t="str">
            <v>FY(3)</v>
          </cell>
          <cell r="C795">
            <v>3.6501712975682681</v>
          </cell>
          <cell r="D795">
            <v>3.4353324811816504</v>
          </cell>
          <cell r="E795">
            <v>3.0874048376216634</v>
          </cell>
          <cell r="F795">
            <v>5.4819834648124264</v>
          </cell>
          <cell r="G795">
            <v>2.1970428773649524</v>
          </cell>
          <cell r="H795">
            <v>4.1574165729428252</v>
          </cell>
          <cell r="I795">
            <v>4.9681673333211762</v>
          </cell>
          <cell r="J795">
            <v>3.8539312664018519</v>
          </cell>
          <cell r="M795">
            <v>2.8490901919537208</v>
          </cell>
          <cell r="N795">
            <v>8.1120757761678242</v>
          </cell>
          <cell r="O795">
            <v>5.2859602020616983</v>
          </cell>
          <cell r="P795">
            <v>1.7287047394205184</v>
          </cell>
          <cell r="Q795">
            <v>6.0907742509641052</v>
          </cell>
          <cell r="R795">
            <v>4.4077897786054212</v>
          </cell>
          <cell r="S795">
            <v>4.736546617960725</v>
          </cell>
          <cell r="T795">
            <v>4.7444202224477161</v>
          </cell>
        </row>
        <row r="796">
          <cell r="B796" t="str">
            <v>FY(2)</v>
          </cell>
          <cell r="C796">
            <v>3.6994142782691952</v>
          </cell>
          <cell r="D796">
            <v>3.5350521739130434</v>
          </cell>
          <cell r="E796">
            <v>3.1899481127276426</v>
          </cell>
          <cell r="F796">
            <v>5.954933189655172</v>
          </cell>
          <cell r="G796">
            <v>2.5106978879127166</v>
          </cell>
          <cell r="H796">
            <v>4.8450837803911453</v>
          </cell>
          <cell r="I796">
            <v>5.1694422378141152</v>
          </cell>
          <cell r="J796">
            <v>4.1292245229547193</v>
          </cell>
          <cell r="M796">
            <v>3.4340502427098456</v>
          </cell>
          <cell r="N796">
            <v>7.8956659362064769</v>
          </cell>
          <cell r="O796">
            <v>5.6148761723594065</v>
          </cell>
          <cell r="P796">
            <v>1.9336965828087429</v>
          </cell>
          <cell r="Q796">
            <v>6.5361895488477764</v>
          </cell>
          <cell r="R796">
            <v>5.4452466402739583</v>
          </cell>
          <cell r="S796">
            <v>5.4501716804781868</v>
          </cell>
          <cell r="T796">
            <v>5.1871281148120563</v>
          </cell>
        </row>
        <row r="797">
          <cell r="B797" t="str">
            <v>FY(1)</v>
          </cell>
          <cell r="C797">
            <v>3.6118885005242918</v>
          </cell>
          <cell r="D797">
            <v>3.6831045611032631</v>
          </cell>
          <cell r="E797">
            <v>3.198849104859335</v>
          </cell>
          <cell r="F797">
            <v>6.0394694104560624</v>
          </cell>
          <cell r="G797">
            <v>2.9933797133168416</v>
          </cell>
          <cell r="H797">
            <v>5.6531710421566235</v>
          </cell>
          <cell r="I797">
            <v>5.5990322297615744</v>
          </cell>
          <cell r="J797">
            <v>4.3969849374539987</v>
          </cell>
          <cell r="M797">
            <v>3.3758386805393905</v>
          </cell>
          <cell r="N797">
            <v>9.4984013113489549</v>
          </cell>
          <cell r="O797">
            <v>5.8410639509995459</v>
          </cell>
          <cell r="P797">
            <v>2.4002742624542766</v>
          </cell>
          <cell r="Q797">
            <v>6.0871605766007377</v>
          </cell>
          <cell r="R797">
            <v>5.4419906437830923</v>
          </cell>
          <cell r="S797">
            <v>6.3015839113279464</v>
          </cell>
          <cell r="T797">
            <v>5.5637590481505637</v>
          </cell>
        </row>
        <row r="798">
          <cell r="B798" t="str">
            <v>FY0</v>
          </cell>
          <cell r="C798">
            <v>3.5323317687561731</v>
          </cell>
          <cell r="D798">
            <v>3.392747310751735</v>
          </cell>
          <cell r="E798">
            <v>2.9932833540756003</v>
          </cell>
          <cell r="F798">
            <v>5.8804120596511433</v>
          </cell>
          <cell r="G798">
            <v>2.5306349090500406</v>
          </cell>
          <cell r="H798">
            <v>6.2406407993436952</v>
          </cell>
          <cell r="I798">
            <v>5.8044599173301963</v>
          </cell>
          <cell r="J798">
            <v>4.3392157312797979</v>
          </cell>
          <cell r="M798">
            <v>3.6722072190744006</v>
          </cell>
          <cell r="N798">
            <v>9.9304948772299113</v>
          </cell>
          <cell r="O798">
            <v>5.5960303546763486</v>
          </cell>
          <cell r="P798">
            <v>2.7134102297852838</v>
          </cell>
          <cell r="Q798">
            <v>5.615370155671922</v>
          </cell>
          <cell r="R798">
            <v>5.3564095066318336</v>
          </cell>
          <cell r="S798">
            <v>5.8671152610791442</v>
          </cell>
          <cell r="T798">
            <v>5.5358625148784055</v>
          </cell>
        </row>
        <row r="799">
          <cell r="B799" t="str">
            <v>FY1</v>
          </cell>
          <cell r="C799">
            <v>3.5294359731233071</v>
          </cell>
          <cell r="D799">
            <v>3.2608196426672098</v>
          </cell>
          <cell r="E799">
            <v>3.0835504775409524</v>
          </cell>
          <cell r="F799">
            <v>6.0262598083973495</v>
          </cell>
          <cell r="G799">
            <v>2.4805647249526515</v>
          </cell>
          <cell r="H799">
            <v>6.7235442342658001</v>
          </cell>
          <cell r="I799">
            <v>5.9830051554892743</v>
          </cell>
          <cell r="J799">
            <v>4.4410257166337912</v>
          </cell>
          <cell r="M799">
            <v>4.276666494651332</v>
          </cell>
          <cell r="N799">
            <v>9.6775044370445986</v>
          </cell>
          <cell r="O799">
            <v>5.0509147014061533</v>
          </cell>
          <cell r="P799">
            <v>2.7059775822106986</v>
          </cell>
          <cell r="Q799">
            <v>5.5249170463734361</v>
          </cell>
          <cell r="R799">
            <v>5.4821208658836831</v>
          </cell>
          <cell r="S799">
            <v>6.0772587951321562</v>
          </cell>
          <cell r="T799">
            <v>5.542194274671723</v>
          </cell>
        </row>
        <row r="800">
          <cell r="B800" t="str">
            <v>FY2</v>
          </cell>
          <cell r="C800">
            <v>4.0032845383298508</v>
          </cell>
          <cell r="D800">
            <v>3.3294959588521795</v>
          </cell>
          <cell r="E800">
            <v>3.0070600124608067</v>
          </cell>
          <cell r="F800">
            <v>6.0136541557279175</v>
          </cell>
          <cell r="G800">
            <v>2.409865145409928</v>
          </cell>
          <cell r="H800">
            <v>6.7058911884400656</v>
          </cell>
          <cell r="I800">
            <v>6.1706576678799614</v>
          </cell>
          <cell r="J800">
            <v>4.5199869524429586</v>
          </cell>
          <cell r="M800">
            <v>4.3842209929167737</v>
          </cell>
          <cell r="N800">
            <v>11.770801651037218</v>
          </cell>
          <cell r="O800">
            <v>5.9420682003315219</v>
          </cell>
          <cell r="P800">
            <v>2.8352770417443303</v>
          </cell>
          <cell r="Q800">
            <v>5.5555946367844902</v>
          </cell>
          <cell r="R800">
            <v>5.2554780722033101</v>
          </cell>
          <cell r="S800">
            <v>7.170138296630852</v>
          </cell>
          <cell r="T800">
            <v>6.1305112702355</v>
          </cell>
        </row>
        <row r="802">
          <cell r="B802" t="str">
            <v>Receivables Turnover</v>
          </cell>
        </row>
        <row r="803">
          <cell r="B803" t="str">
            <v>FY(5)</v>
          </cell>
        </row>
        <row r="804">
          <cell r="B804" t="str">
            <v>FY(4)</v>
          </cell>
        </row>
        <row r="805">
          <cell r="B805" t="str">
            <v>FY(3)</v>
          </cell>
        </row>
        <row r="806">
          <cell r="B806" t="str">
            <v>FY(2)</v>
          </cell>
        </row>
        <row r="807">
          <cell r="B807" t="str">
            <v>FY(1)</v>
          </cell>
        </row>
        <row r="808">
          <cell r="B808" t="str">
            <v>FY0</v>
          </cell>
        </row>
        <row r="809">
          <cell r="B809" t="str">
            <v>FY1</v>
          </cell>
        </row>
        <row r="810">
          <cell r="B810" t="str">
            <v>FY2</v>
          </cell>
        </row>
        <row r="812">
          <cell r="B812" t="str">
            <v>A/P Turnover</v>
          </cell>
          <cell r="C812" t="str">
            <v>COGS/ Average Accounts Payable</v>
          </cell>
        </row>
        <row r="813">
          <cell r="B813" t="str">
            <v>FY(5)</v>
          </cell>
        </row>
        <row r="814">
          <cell r="B814" t="str">
            <v>FY(4)</v>
          </cell>
          <cell r="C814">
            <v>9.7958054736398239</v>
          </cell>
          <cell r="D814">
            <v>4.0031082714557069</v>
          </cell>
          <cell r="E814">
            <v>2.6948223350253806</v>
          </cell>
          <cell r="F814">
            <v>8.753505280641825</v>
          </cell>
          <cell r="G814">
            <v>8.3344795322748411</v>
          </cell>
          <cell r="H814">
            <v>4.1580473990017675</v>
          </cell>
          <cell r="I814">
            <v>9.0904474753371769</v>
          </cell>
          <cell r="J814">
            <v>6.6900308239109316</v>
          </cell>
          <cell r="M814">
            <v>6.6805714431900833</v>
          </cell>
          <cell r="N814">
            <v>13.905701048041426</v>
          </cell>
          <cell r="O814">
            <v>8.0297280141261229</v>
          </cell>
          <cell r="P814">
            <v>5.3058340929808567</v>
          </cell>
          <cell r="Q814">
            <v>9.0611334225792053</v>
          </cell>
          <cell r="R814">
            <v>11.027610908188233</v>
          </cell>
          <cell r="S814">
            <v>12.961920012891399</v>
          </cell>
          <cell r="T814">
            <v>9.5674998488567606</v>
          </cell>
        </row>
        <row r="815">
          <cell r="B815" t="str">
            <v>FY(3)</v>
          </cell>
          <cell r="C815">
            <v>11.204175871474803</v>
          </cell>
          <cell r="D815">
            <v>3.9057284030356856</v>
          </cell>
          <cell r="E815">
            <v>3.669453670828084</v>
          </cell>
          <cell r="F815">
            <v>9.4526269513663532</v>
          </cell>
          <cell r="G815">
            <v>8.8471371622184858</v>
          </cell>
          <cell r="H815">
            <v>4.2360528769904047</v>
          </cell>
          <cell r="I815">
            <v>9.1472607789399216</v>
          </cell>
          <cell r="J815">
            <v>7.2089193878362483</v>
          </cell>
          <cell r="M815">
            <v>7.7363659731246521</v>
          </cell>
          <cell r="N815">
            <v>11.822018899238763</v>
          </cell>
          <cell r="O815">
            <v>8.8366891739952234</v>
          </cell>
          <cell r="P815">
            <v>4.7958376068461268</v>
          </cell>
          <cell r="Q815">
            <v>9.7078014184397166</v>
          </cell>
          <cell r="R815">
            <v>11.997430077286912</v>
          </cell>
          <cell r="S815">
            <v>11.707256476291473</v>
          </cell>
          <cell r="T815">
            <v>9.5147713750318381</v>
          </cell>
        </row>
        <row r="816">
          <cell r="B816" t="str">
            <v>FY(2)</v>
          </cell>
          <cell r="C816">
            <v>12.183682443352737</v>
          </cell>
          <cell r="D816">
            <v>4.1139922415247092</v>
          </cell>
          <cell r="E816">
            <v>3.9012069180042306</v>
          </cell>
          <cell r="F816">
            <v>9.8769937444146549</v>
          </cell>
          <cell r="G816">
            <v>14.910961161122177</v>
          </cell>
          <cell r="H816">
            <v>4.7735365590208625</v>
          </cell>
          <cell r="I816">
            <v>9.9150343833078871</v>
          </cell>
          <cell r="J816">
            <v>8.5250582072496091</v>
          </cell>
          <cell r="M816">
            <v>8.035058746281722</v>
          </cell>
          <cell r="N816">
            <v>11.75069076414368</v>
          </cell>
          <cell r="O816">
            <v>10.530981044916709</v>
          </cell>
          <cell r="P816">
            <v>4.8310283360993305</v>
          </cell>
          <cell r="Q816">
            <v>10.165572942958102</v>
          </cell>
          <cell r="R816">
            <v>13.105748300127441</v>
          </cell>
          <cell r="S816">
            <v>13.593020624201497</v>
          </cell>
          <cell r="T816">
            <v>10.287442965532639</v>
          </cell>
        </row>
        <row r="817">
          <cell r="B817" t="str">
            <v>FY(1)</v>
          </cell>
          <cell r="C817">
            <v>9.9889927501208309</v>
          </cell>
          <cell r="D817">
            <v>4.095742647329522</v>
          </cell>
          <cell r="E817">
            <v>3.8249235474006116</v>
          </cell>
          <cell r="F817">
            <v>8.424333591931731</v>
          </cell>
          <cell r="G817">
            <v>21.490244702964883</v>
          </cell>
          <cell r="H817">
            <v>4.7607794246042996</v>
          </cell>
          <cell r="I817">
            <v>10.360702845332504</v>
          </cell>
          <cell r="J817">
            <v>8.9922456442406258</v>
          </cell>
          <cell r="M817">
            <v>7.6893096399643879</v>
          </cell>
          <cell r="N817">
            <v>14.650457771405796</v>
          </cell>
          <cell r="O817">
            <v>11.685776286728011</v>
          </cell>
          <cell r="P817">
            <v>6.5079935227440009</v>
          </cell>
          <cell r="Q817">
            <v>9.06993006993007</v>
          </cell>
          <cell r="R817">
            <v>12.289419946699677</v>
          </cell>
          <cell r="S817">
            <v>15.90314618854436</v>
          </cell>
          <cell r="T817">
            <v>11.11371906085947</v>
          </cell>
        </row>
        <row r="818">
          <cell r="B818" t="str">
            <v>FY0</v>
          </cell>
          <cell r="C818">
            <v>8.691082289624811</v>
          </cell>
          <cell r="D818">
            <v>3.7046564480701401</v>
          </cell>
          <cell r="E818">
            <v>3.4688941367079806</v>
          </cell>
          <cell r="F818">
            <v>7.2015440731826743</v>
          </cell>
          <cell r="G818">
            <v>15.85803566469516</v>
          </cell>
          <cell r="H818">
            <v>4.6136866352743597</v>
          </cell>
          <cell r="I818">
            <v>9.6532857111354655</v>
          </cell>
          <cell r="J818">
            <v>7.598740708384371</v>
          </cell>
          <cell r="M818">
            <v>7.1666740644860711</v>
          </cell>
          <cell r="N818">
            <v>14.480976475633927</v>
          </cell>
          <cell r="O818">
            <v>12.482792929544404</v>
          </cell>
          <cell r="P818">
            <v>8.7568525693402997</v>
          </cell>
          <cell r="Q818">
            <v>8.2622426097376138</v>
          </cell>
          <cell r="R818">
            <v>10.801041321580231</v>
          </cell>
          <cell r="S818">
            <v>12.428762254756602</v>
          </cell>
          <cell r="T818">
            <v>10.625620317868449</v>
          </cell>
        </row>
        <row r="819">
          <cell r="B819" t="str">
            <v>FY1</v>
          </cell>
          <cell r="C819">
            <v>8.5301034342688062</v>
          </cell>
          <cell r="D819">
            <v>3.703016351168654</v>
          </cell>
          <cell r="E819">
            <v>3.503132346751415</v>
          </cell>
          <cell r="F819">
            <v>7.3339711264105985</v>
          </cell>
          <cell r="G819">
            <v>15.392331322057588</v>
          </cell>
          <cell r="H819">
            <v>4.7800925822942011</v>
          </cell>
          <cell r="I819">
            <v>9.8151091658853993</v>
          </cell>
          <cell r="J819">
            <v>7.5796794755480947</v>
          </cell>
          <cell r="M819">
            <v>7.8532817061926741</v>
          </cell>
          <cell r="N819">
            <v>14.27806448321237</v>
          </cell>
          <cell r="O819">
            <v>12.416788393118456</v>
          </cell>
          <cell r="P819">
            <v>8.897641167486471</v>
          </cell>
          <cell r="Q819">
            <v>8.2384202956759669</v>
          </cell>
          <cell r="R819">
            <v>10.451007694188212</v>
          </cell>
          <cell r="S819">
            <v>11.380621952277288</v>
          </cell>
          <cell r="T819">
            <v>10.502260813164492</v>
          </cell>
        </row>
        <row r="820">
          <cell r="B820" t="str">
            <v>FY2</v>
          </cell>
          <cell r="C820">
            <v>8.7606422044558485</v>
          </cell>
          <cell r="D820">
            <v>3.7565921169164573</v>
          </cell>
          <cell r="E820">
            <v>3.4980770266096792</v>
          </cell>
          <cell r="F820">
            <v>7.4631980628191394</v>
          </cell>
          <cell r="G820">
            <v>15.944717429726143</v>
          </cell>
          <cell r="H820">
            <v>4.8879482678263715</v>
          </cell>
          <cell r="I820">
            <v>10.14921913677626</v>
          </cell>
          <cell r="J820">
            <v>7.7800563207328421</v>
          </cell>
          <cell r="M820">
            <v>8.1635080695484721</v>
          </cell>
          <cell r="N820">
            <v>15.675178681317171</v>
          </cell>
          <cell r="O820">
            <v>13.209480413793205</v>
          </cell>
          <cell r="P820">
            <v>9.2064498885710986</v>
          </cell>
          <cell r="Q820">
            <v>8.0122358239186706</v>
          </cell>
          <cell r="R820">
            <v>10.598025334503671</v>
          </cell>
          <cell r="S820">
            <v>11.962603629636121</v>
          </cell>
          <cell r="T820">
            <v>10.975354548755488</v>
          </cell>
        </row>
        <row r="823">
          <cell r="A823" t="str">
            <v>DuPont Analysis: ROE</v>
          </cell>
        </row>
        <row r="825">
          <cell r="B825" t="str">
            <v>Net Profit/ Sales</v>
          </cell>
        </row>
        <row r="826">
          <cell r="B826" t="str">
            <v>FY(5)</v>
          </cell>
          <cell r="C826">
            <v>6.0125709402001584E-2</v>
          </cell>
        </row>
        <row r="827">
          <cell r="B827" t="str">
            <v>FY(4)</v>
          </cell>
        </row>
        <row r="828">
          <cell r="B828" t="str">
            <v>FY(3)</v>
          </cell>
        </row>
        <row r="829">
          <cell r="B829" t="str">
            <v>FY(2)</v>
          </cell>
        </row>
        <row r="830">
          <cell r="B830" t="str">
            <v>FY(1)</v>
          </cell>
        </row>
        <row r="831">
          <cell r="B831" t="str">
            <v>FY0</v>
          </cell>
        </row>
        <row r="832">
          <cell r="B832" t="str">
            <v>FY1</v>
          </cell>
        </row>
        <row r="833">
          <cell r="B833" t="str">
            <v>FY2</v>
          </cell>
        </row>
        <row r="835">
          <cell r="B835" t="str">
            <v>Sales/ Assets</v>
          </cell>
        </row>
        <row r="836">
          <cell r="B836" t="str">
            <v>FY(5)</v>
          </cell>
        </row>
        <row r="837">
          <cell r="B837" t="str">
            <v>FY(4)</v>
          </cell>
        </row>
        <row r="838">
          <cell r="B838" t="str">
            <v>FY(3)</v>
          </cell>
        </row>
        <row r="839">
          <cell r="B839" t="str">
            <v>FY(2)</v>
          </cell>
        </row>
        <row r="840">
          <cell r="B840" t="str">
            <v>FY(1)</v>
          </cell>
        </row>
        <row r="841">
          <cell r="B841" t="str">
            <v>FY0</v>
          </cell>
        </row>
        <row r="842">
          <cell r="B842" t="str">
            <v>FY1</v>
          </cell>
        </row>
        <row r="843">
          <cell r="B843" t="str">
            <v>FY2</v>
          </cell>
        </row>
        <row r="845">
          <cell r="B845" t="str">
            <v>Assets/ Equity</v>
          </cell>
        </row>
        <row r="846">
          <cell r="B846" t="str">
            <v>FY(5)</v>
          </cell>
        </row>
        <row r="847">
          <cell r="B847" t="str">
            <v>FY(4)</v>
          </cell>
        </row>
        <row r="848">
          <cell r="B848" t="str">
            <v>FY(3)</v>
          </cell>
        </row>
        <row r="849">
          <cell r="B849" t="str">
            <v>FY(2)</v>
          </cell>
        </row>
        <row r="850">
          <cell r="B850" t="str">
            <v>FY(1)</v>
          </cell>
        </row>
        <row r="851">
          <cell r="B851" t="str">
            <v>FY0</v>
          </cell>
        </row>
        <row r="852">
          <cell r="B852" t="str">
            <v>FY1</v>
          </cell>
        </row>
        <row r="853">
          <cell r="B853" t="str">
            <v>FY2</v>
          </cell>
        </row>
      </sheetData>
      <sheetData sheetId="5"/>
      <sheetData sheetId="6"/>
      <sheetData sheetId="7"/>
      <sheetData sheetId="8" refreshError="1"/>
      <sheetData sheetId="9" refreshError="1"/>
      <sheetData sheetId="10" refreshError="1"/>
      <sheetData sheetId="11" refreshError="1"/>
      <sheetData sheetId="12">
        <row r="1">
          <cell r="R1" t="str">
            <v>SmartCharts</v>
          </cell>
          <cell r="AO1" t="str">
            <v>SmartCharts</v>
          </cell>
          <cell r="CA1" t="str">
            <v>.</v>
          </cell>
        </row>
        <row r="2">
          <cell r="CA2" t="str">
            <v>.</v>
          </cell>
        </row>
        <row r="3">
          <cell r="CA3" t="str">
            <v>.</v>
          </cell>
        </row>
        <row r="4">
          <cell r="CA4" t="str">
            <v>.</v>
          </cell>
        </row>
        <row r="10">
          <cell r="B10" t="str">
            <v>Input your data here:</v>
          </cell>
          <cell r="C10">
            <v>40286</v>
          </cell>
          <cell r="AG10" t="str">
            <v>Base</v>
          </cell>
          <cell r="AJ10" t="str">
            <v>up</v>
          </cell>
          <cell r="AK10" t="str">
            <v>dn</v>
          </cell>
          <cell r="AO10" t="str">
            <v>PT</v>
          </cell>
          <cell r="AP10" t="str">
            <v>BEAR</v>
          </cell>
          <cell r="AQ10" t="str">
            <v>BASE</v>
          </cell>
          <cell r="AR10" t="str">
            <v>BULL</v>
          </cell>
          <cell r="CA10" t="str">
            <v>.</v>
          </cell>
        </row>
        <row r="11">
          <cell r="C11" t="str">
            <v>current
price</v>
          </cell>
          <cell r="D11" t="str">
            <v>Bear</v>
          </cell>
          <cell r="E11" t="str">
            <v>Base</v>
          </cell>
          <cell r="F11" t="str">
            <v>Bull</v>
          </cell>
          <cell r="G11" t="str">
            <v>price
target</v>
          </cell>
          <cell r="I11" t="str">
            <v>sortPT</v>
          </cell>
          <cell r="AC11" t="str">
            <v>Ticker</v>
          </cell>
          <cell r="AD11" t="str">
            <v>BearNeg</v>
          </cell>
          <cell r="AE11" t="str">
            <v>BearPos</v>
          </cell>
          <cell r="AF11" t="str">
            <v>BaseNeg</v>
          </cell>
          <cell r="AG11" t="str">
            <v>BasePos</v>
          </cell>
          <cell r="AH11" t="str">
            <v>BullPos</v>
          </cell>
          <cell r="AI11" t="str">
            <v>BullNeg</v>
          </cell>
          <cell r="AJ11" t="str">
            <v>PTPos</v>
          </cell>
          <cell r="AK11" t="str">
            <v>PTNeg</v>
          </cell>
          <cell r="AL11" t="str">
            <v>current
price</v>
          </cell>
          <cell r="AM11" t="str">
            <v>Legend+</v>
          </cell>
          <cell r="AN11" t="str">
            <v>Legend-</v>
          </cell>
          <cell r="AO11" t="str">
            <v>PT_label</v>
          </cell>
          <cell r="AP11" t="str">
            <v>Bear_label</v>
          </cell>
          <cell r="AQ11" t="str">
            <v>Base_label</v>
          </cell>
          <cell r="AR11" t="str">
            <v>Bull_label</v>
          </cell>
          <cell r="CA11" t="str">
            <v>.</v>
          </cell>
        </row>
        <row r="12">
          <cell r="B12" t="str">
            <v>PVH</v>
          </cell>
          <cell r="C12" t="str">
            <v>#Calc</v>
          </cell>
          <cell r="D12">
            <v>42</v>
          </cell>
          <cell r="E12">
            <v>65</v>
          </cell>
          <cell r="F12">
            <v>81</v>
          </cell>
          <cell r="G12">
            <v>65</v>
          </cell>
          <cell r="I12" t="e">
            <v>#VALUE!</v>
          </cell>
          <cell r="AC12" t="str">
            <v>PVH</v>
          </cell>
          <cell r="AD12" t="e">
            <v>#VALUE!</v>
          </cell>
          <cell r="AE12" t="e">
            <v>#VALUE!</v>
          </cell>
          <cell r="AF12" t="e">
            <v>#VALUE!</v>
          </cell>
          <cell r="AG12" t="e">
            <v>#VALUE!</v>
          </cell>
          <cell r="AH12" t="e">
            <v>#VALUE!</v>
          </cell>
          <cell r="AI12" t="e">
            <v>#VALUE!</v>
          </cell>
          <cell r="AJ12" t="e">
            <v>#VALUE!</v>
          </cell>
          <cell r="AK12" t="e">
            <v>#VALUE!</v>
          </cell>
          <cell r="AL12">
            <v>0</v>
          </cell>
          <cell r="AM12" t="e">
            <v>#N/A</v>
          </cell>
          <cell r="AN12" t="e">
            <v>#N/A</v>
          </cell>
          <cell r="AO12" t="e">
            <v>#N/A</v>
          </cell>
          <cell r="AP12" t="e">
            <v>#N/A</v>
          </cell>
          <cell r="AQ12" t="e">
            <v>#N/A</v>
          </cell>
          <cell r="AR12" t="e">
            <v>#N/A</v>
          </cell>
          <cell r="CA12" t="str">
            <v>.</v>
          </cell>
        </row>
        <row r="13">
          <cell r="B13" t="str">
            <v>JNY</v>
          </cell>
          <cell r="C13" t="str">
            <v>#Calc</v>
          </cell>
          <cell r="D13">
            <v>13</v>
          </cell>
          <cell r="E13">
            <v>21</v>
          </cell>
          <cell r="F13">
            <v>25</v>
          </cell>
          <cell r="G13">
            <v>21</v>
          </cell>
          <cell r="I13" t="e">
            <v>#VALUE!</v>
          </cell>
          <cell r="AC13" t="str">
            <v>JNY</v>
          </cell>
          <cell r="AD13" t="e">
            <v>#VALUE!</v>
          </cell>
          <cell r="AE13" t="e">
            <v>#VALUE!</v>
          </cell>
          <cell r="AF13" t="e">
            <v>#VALUE!</v>
          </cell>
          <cell r="AG13" t="e">
            <v>#VALUE!</v>
          </cell>
          <cell r="AH13" t="e">
            <v>#VALUE!</v>
          </cell>
          <cell r="AI13" t="e">
            <v>#VALUE!</v>
          </cell>
          <cell r="AJ13" t="e">
            <v>#VALUE!</v>
          </cell>
          <cell r="AK13" t="e">
            <v>#VALUE!</v>
          </cell>
          <cell r="AM13" t="e">
            <v>#N/A</v>
          </cell>
          <cell r="AN13" t="e">
            <v>#N/A</v>
          </cell>
          <cell r="AO13" t="e">
            <v>#N/A</v>
          </cell>
          <cell r="AP13" t="e">
            <v>#N/A</v>
          </cell>
          <cell r="AQ13" t="e">
            <v>#N/A</v>
          </cell>
          <cell r="AR13" t="e">
            <v>#N/A</v>
          </cell>
          <cell r="CA13" t="str">
            <v>.</v>
          </cell>
        </row>
        <row r="14">
          <cell r="B14" t="str">
            <v>WRC</v>
          </cell>
          <cell r="C14" t="str">
            <v>#Calc</v>
          </cell>
          <cell r="D14">
            <v>37</v>
          </cell>
          <cell r="E14">
            <v>48</v>
          </cell>
          <cell r="F14">
            <v>63</v>
          </cell>
          <cell r="G14">
            <v>48</v>
          </cell>
          <cell r="I14" t="e">
            <v>#VALUE!</v>
          </cell>
          <cell r="AC14" t="str">
            <v>WRC</v>
          </cell>
          <cell r="AD14" t="e">
            <v>#VALUE!</v>
          </cell>
          <cell r="AE14" t="e">
            <v>#VALUE!</v>
          </cell>
          <cell r="AF14" t="e">
            <v>#VALUE!</v>
          </cell>
          <cell r="AG14" t="e">
            <v>#VALUE!</v>
          </cell>
          <cell r="AH14" t="e">
            <v>#VALUE!</v>
          </cell>
          <cell r="AI14" t="e">
            <v>#VALUE!</v>
          </cell>
          <cell r="AJ14" t="e">
            <v>#VALUE!</v>
          </cell>
          <cell r="AK14" t="e">
            <v>#VALUE!</v>
          </cell>
          <cell r="AM14" t="e">
            <v>#N/A</v>
          </cell>
          <cell r="AN14" t="e">
            <v>#N/A</v>
          </cell>
          <cell r="AO14" t="e">
            <v>#N/A</v>
          </cell>
          <cell r="AP14" t="e">
            <v>#N/A</v>
          </cell>
          <cell r="AQ14" t="e">
            <v>#N/A</v>
          </cell>
          <cell r="AR14" t="e">
            <v>#N/A</v>
          </cell>
          <cell r="CA14" t="str">
            <v>.</v>
          </cell>
        </row>
        <row r="15">
          <cell r="B15" t="str">
            <v>GES</v>
          </cell>
          <cell r="C15" t="str">
            <v>#Calc</v>
          </cell>
          <cell r="D15">
            <v>39</v>
          </cell>
          <cell r="E15">
            <v>48</v>
          </cell>
          <cell r="F15">
            <v>52</v>
          </cell>
          <cell r="G15">
            <v>48</v>
          </cell>
          <cell r="I15" t="e">
            <v>#VALUE!</v>
          </cell>
          <cell r="AC15" t="str">
            <v>GES</v>
          </cell>
          <cell r="AD15" t="e">
            <v>#VALUE!</v>
          </cell>
          <cell r="AE15" t="e">
            <v>#VALUE!</v>
          </cell>
          <cell r="AF15" t="e">
            <v>#VALUE!</v>
          </cell>
          <cell r="AG15" t="e">
            <v>#VALUE!</v>
          </cell>
          <cell r="AH15" t="e">
            <v>#VALUE!</v>
          </cell>
          <cell r="AI15" t="e">
            <v>#VALUE!</v>
          </cell>
          <cell r="AJ15" t="e">
            <v>#VALUE!</v>
          </cell>
          <cell r="AK15" t="e">
            <v>#VALUE!</v>
          </cell>
          <cell r="AM15" t="e">
            <v>#N/A</v>
          </cell>
          <cell r="AN15" t="e">
            <v>#N/A</v>
          </cell>
          <cell r="AO15" t="e">
            <v>#N/A</v>
          </cell>
          <cell r="AP15" t="e">
            <v>#N/A</v>
          </cell>
          <cell r="AQ15" t="e">
            <v>#N/A</v>
          </cell>
          <cell r="AR15" t="e">
            <v>#N/A</v>
          </cell>
          <cell r="CA15" t="str">
            <v>.</v>
          </cell>
        </row>
        <row r="16">
          <cell r="B16" t="str">
            <v>RL</v>
          </cell>
          <cell r="C16" t="str">
            <v>#Calc</v>
          </cell>
          <cell r="D16">
            <v>60</v>
          </cell>
          <cell r="E16">
            <v>80</v>
          </cell>
          <cell r="F16">
            <v>107</v>
          </cell>
          <cell r="G16">
            <v>80</v>
          </cell>
          <cell r="I16" t="e">
            <v>#VALUE!</v>
          </cell>
          <cell r="AC16" t="str">
            <v>RL</v>
          </cell>
          <cell r="AD16" t="e">
            <v>#VALUE!</v>
          </cell>
          <cell r="AE16" t="e">
            <v>#VALUE!</v>
          </cell>
          <cell r="AF16" t="e">
            <v>#VALUE!</v>
          </cell>
          <cell r="AG16" t="e">
            <v>#VALUE!</v>
          </cell>
          <cell r="AH16" t="e">
            <v>#VALUE!</v>
          </cell>
          <cell r="AI16" t="e">
            <v>#VALUE!</v>
          </cell>
          <cell r="AJ16" t="e">
            <v>#VALUE!</v>
          </cell>
          <cell r="AK16" t="e">
            <v>#VALUE!</v>
          </cell>
          <cell r="AM16" t="e">
            <v>#N/A</v>
          </cell>
          <cell r="AN16" t="e">
            <v>#N/A</v>
          </cell>
          <cell r="AO16" t="e">
            <v>#N/A</v>
          </cell>
          <cell r="AP16" t="e">
            <v>#N/A</v>
          </cell>
          <cell r="AQ16" t="e">
            <v>#N/A</v>
          </cell>
          <cell r="AR16" t="e">
            <v>#N/A</v>
          </cell>
          <cell r="CA16" t="str">
            <v>.</v>
          </cell>
        </row>
        <row r="17">
          <cell r="B17" t="str">
            <v>UA</v>
          </cell>
          <cell r="C17" t="str">
            <v>#Calc</v>
          </cell>
          <cell r="D17">
            <v>21</v>
          </cell>
          <cell r="E17">
            <v>27</v>
          </cell>
          <cell r="F17">
            <v>35</v>
          </cell>
          <cell r="G17">
            <v>27</v>
          </cell>
          <cell r="I17" t="e">
            <v>#VALUE!</v>
          </cell>
          <cell r="AC17" t="str">
            <v>UA</v>
          </cell>
          <cell r="AD17" t="e">
            <v>#VALUE!</v>
          </cell>
          <cell r="AE17" t="e">
            <v>#VALUE!</v>
          </cell>
          <cell r="AF17" t="e">
            <v>#VALUE!</v>
          </cell>
          <cell r="AG17" t="e">
            <v>#VALUE!</v>
          </cell>
          <cell r="AH17" t="e">
            <v>#VALUE!</v>
          </cell>
          <cell r="AI17" t="e">
            <v>#VALUE!</v>
          </cell>
          <cell r="AJ17" t="e">
            <v>#VALUE!</v>
          </cell>
          <cell r="AK17" t="e">
            <v>#VALUE!</v>
          </cell>
          <cell r="AM17" t="e">
            <v>#N/A</v>
          </cell>
          <cell r="AN17" t="e">
            <v>#N/A</v>
          </cell>
          <cell r="AO17" t="e">
            <v>#N/A</v>
          </cell>
          <cell r="AP17" t="e">
            <v>#N/A</v>
          </cell>
          <cell r="AQ17" t="e">
            <v>#N/A</v>
          </cell>
          <cell r="AR17" t="e">
            <v>#N/A</v>
          </cell>
          <cell r="CA17" t="str">
            <v>.</v>
          </cell>
        </row>
        <row r="18">
          <cell r="B18" t="str">
            <v>LIZ</v>
          </cell>
          <cell r="C18" t="str">
            <v>#Calc</v>
          </cell>
          <cell r="D18">
            <v>2.5</v>
          </cell>
          <cell r="E18">
            <v>6</v>
          </cell>
          <cell r="F18">
            <v>12</v>
          </cell>
          <cell r="G18">
            <v>6</v>
          </cell>
          <cell r="I18" t="e">
            <v>#VALUE!</v>
          </cell>
          <cell r="AC18" t="str">
            <v>LIZ</v>
          </cell>
          <cell r="AD18" t="e">
            <v>#VALUE!</v>
          </cell>
          <cell r="AE18" t="e">
            <v>#VALUE!</v>
          </cell>
          <cell r="AF18" t="e">
            <v>#VALUE!</v>
          </cell>
          <cell r="AG18" t="e">
            <v>#VALUE!</v>
          </cell>
          <cell r="AH18" t="e">
            <v>#VALUE!</v>
          </cell>
          <cell r="AI18" t="e">
            <v>#VALUE!</v>
          </cell>
          <cell r="AJ18" t="e">
            <v>#VALUE!</v>
          </cell>
          <cell r="AK18" t="e">
            <v>#VALUE!</v>
          </cell>
          <cell r="AM18" t="e">
            <v>#N/A</v>
          </cell>
          <cell r="AN18" t="e">
            <v>#N/A</v>
          </cell>
          <cell r="AO18" t="e">
            <v>#N/A</v>
          </cell>
          <cell r="AP18" t="e">
            <v>#N/A</v>
          </cell>
          <cell r="AQ18" t="e">
            <v>#N/A</v>
          </cell>
          <cell r="AR18" t="e">
            <v>#N/A</v>
          </cell>
          <cell r="CA18" t="str">
            <v>.</v>
          </cell>
        </row>
        <row r="19">
          <cell r="I19" t="e">
            <v>#DIV/0!</v>
          </cell>
          <cell r="AC19">
            <v>0</v>
          </cell>
          <cell r="AD19" t="e">
            <v>#VALUE!</v>
          </cell>
          <cell r="AE19">
            <v>0</v>
          </cell>
          <cell r="AF19">
            <v>0</v>
          </cell>
          <cell r="AG19" t="e">
            <v>#VALUE!</v>
          </cell>
          <cell r="AH19" t="e">
            <v>#VALUE!</v>
          </cell>
          <cell r="AI19">
            <v>0</v>
          </cell>
          <cell r="AJ19" t="e">
            <v>#N/A</v>
          </cell>
          <cell r="AK19" t="e">
            <v>#N/A</v>
          </cell>
          <cell r="AM19">
            <v>1</v>
          </cell>
          <cell r="AN19">
            <v>-1</v>
          </cell>
          <cell r="AO19" t="e">
            <v>#VALUE!</v>
          </cell>
          <cell r="AP19" t="e">
            <v>#VALUE!</v>
          </cell>
          <cell r="AQ19" t="e">
            <v>#VALUE!</v>
          </cell>
          <cell r="AR19" t="e">
            <v>#VALUE!</v>
          </cell>
        </row>
        <row r="20">
          <cell r="I20" t="e">
            <v>#DIV/0!</v>
          </cell>
          <cell r="AC20" t="e">
            <v>#N/A</v>
          </cell>
          <cell r="AD20" t="e">
            <v>#VALUE!</v>
          </cell>
          <cell r="AE20">
            <v>0</v>
          </cell>
          <cell r="AF20">
            <v>0</v>
          </cell>
          <cell r="AG20" t="e">
            <v>#VALUE!</v>
          </cell>
          <cell r="AH20" t="e">
            <v>#VALUE!</v>
          </cell>
          <cell r="AI20">
            <v>0</v>
          </cell>
          <cell r="AJ20" t="e">
            <v>#N/A</v>
          </cell>
          <cell r="AK20" t="e">
            <v>#N/A</v>
          </cell>
          <cell r="AM20">
            <v>1</v>
          </cell>
          <cell r="AN20">
            <v>-1</v>
          </cell>
          <cell r="AO20" t="e">
            <v>#VALUE!</v>
          </cell>
          <cell r="AP20" t="e">
            <v>#VALUE!</v>
          </cell>
          <cell r="AQ20" t="e">
            <v>#VALUE!</v>
          </cell>
          <cell r="AR20" t="e">
            <v>#VALUE!</v>
          </cell>
          <cell r="CA20" t="str">
            <v>.</v>
          </cell>
        </row>
        <row r="21">
          <cell r="AD21" t="e">
            <v>#VALUE!</v>
          </cell>
          <cell r="AE21">
            <v>0</v>
          </cell>
          <cell r="AF21">
            <v>0</v>
          </cell>
          <cell r="AG21" t="e">
            <v>#VALUE!</v>
          </cell>
          <cell r="AH21" t="e">
            <v>#VALUE!</v>
          </cell>
          <cell r="AI21">
            <v>0</v>
          </cell>
          <cell r="AJ21" t="e">
            <v>#N/A</v>
          </cell>
          <cell r="AK21" t="e">
            <v>#N/A</v>
          </cell>
          <cell r="AM21">
            <v>2</v>
          </cell>
          <cell r="AN21">
            <v>-2</v>
          </cell>
          <cell r="AO21" t="e">
            <v>#VALUE!</v>
          </cell>
          <cell r="AP21" t="e">
            <v>#VALUE!</v>
          </cell>
          <cell r="AQ21" t="e">
            <v>#VALUE!</v>
          </cell>
          <cell r="AR21" t="e">
            <v>#VALUE!</v>
          </cell>
          <cell r="CA21" t="str">
            <v>.</v>
          </cell>
        </row>
        <row r="22">
          <cell r="B22" t="str">
            <v>GES</v>
          </cell>
          <cell r="C22" t="str">
            <v>#Calc</v>
          </cell>
          <cell r="D22">
            <v>39</v>
          </cell>
          <cell r="E22">
            <v>48</v>
          </cell>
          <cell r="F22">
            <v>52</v>
          </cell>
          <cell r="G22">
            <v>48</v>
          </cell>
          <cell r="CA22" t="str">
            <v>.</v>
          </cell>
        </row>
        <row r="23">
          <cell r="B23" t="str">
            <v>JNY</v>
          </cell>
          <cell r="C23" t="str">
            <v>#Calc</v>
          </cell>
          <cell r="D23">
            <v>13</v>
          </cell>
          <cell r="E23">
            <v>21</v>
          </cell>
          <cell r="F23">
            <v>25</v>
          </cell>
          <cell r="G23">
            <v>21</v>
          </cell>
          <cell r="AD23" t="e">
            <v>#VALUE!</v>
          </cell>
          <cell r="AE23" t="e">
            <v>#VALUE!</v>
          </cell>
          <cell r="AF23" t="e">
            <v>#VALUE!</v>
          </cell>
          <cell r="AG23" t="e">
            <v>#VALUE!</v>
          </cell>
          <cell r="CA23" t="str">
            <v>.</v>
          </cell>
        </row>
        <row r="24">
          <cell r="B24" t="str">
            <v>LIZ</v>
          </cell>
          <cell r="C24" t="str">
            <v>#Calc</v>
          </cell>
          <cell r="D24">
            <v>2.5</v>
          </cell>
          <cell r="E24">
            <v>6</v>
          </cell>
          <cell r="F24">
            <v>12</v>
          </cell>
          <cell r="G24">
            <v>6</v>
          </cell>
          <cell r="AD24" t="e">
            <v>#VALUE!</v>
          </cell>
          <cell r="AE24" t="e">
            <v>#VALUE!</v>
          </cell>
          <cell r="AF24" t="e">
            <v>#VALUE!</v>
          </cell>
          <cell r="AG24" t="e">
            <v>#VALUE!</v>
          </cell>
          <cell r="CA24" t="str">
            <v>.</v>
          </cell>
        </row>
        <row r="25">
          <cell r="B25" t="str">
            <v>PVH</v>
          </cell>
          <cell r="C25" t="str">
            <v>#Calc</v>
          </cell>
          <cell r="D25">
            <v>42</v>
          </cell>
          <cell r="E25">
            <v>65</v>
          </cell>
          <cell r="F25">
            <v>81</v>
          </cell>
          <cell r="G25">
            <v>65</v>
          </cell>
          <cell r="AD25" t="e">
            <v>#VALUE!</v>
          </cell>
          <cell r="AE25" t="e">
            <v>#VALUE!</v>
          </cell>
          <cell r="AF25" t="e">
            <v>#VALUE!</v>
          </cell>
          <cell r="AG25" t="e">
            <v>#VALUE!</v>
          </cell>
          <cell r="CA25" t="str">
            <v>.</v>
          </cell>
        </row>
        <row r="26">
          <cell r="B26" t="str">
            <v>RL</v>
          </cell>
          <cell r="C26" t="str">
            <v>#Calc</v>
          </cell>
          <cell r="D26">
            <v>60</v>
          </cell>
          <cell r="E26">
            <v>80</v>
          </cell>
          <cell r="F26">
            <v>107</v>
          </cell>
          <cell r="G26">
            <v>80</v>
          </cell>
          <cell r="AD26" t="e">
            <v>#VALUE!</v>
          </cell>
          <cell r="AE26" t="e">
            <v>#VALUE!</v>
          </cell>
          <cell r="AF26" t="e">
            <v>#VALUE!</v>
          </cell>
          <cell r="AG26" t="e">
            <v>#VALUE!</v>
          </cell>
          <cell r="CA26" t="str">
            <v>.</v>
          </cell>
        </row>
        <row r="27">
          <cell r="B27" t="str">
            <v>UA</v>
          </cell>
          <cell r="C27" t="str">
            <v>#Calc</v>
          </cell>
          <cell r="D27">
            <v>21</v>
          </cell>
          <cell r="E27">
            <v>27</v>
          </cell>
          <cell r="F27">
            <v>35</v>
          </cell>
          <cell r="G27">
            <v>27</v>
          </cell>
          <cell r="AD27" t="e">
            <v>#VALUE!</v>
          </cell>
          <cell r="AE27" t="e">
            <v>#VALUE!</v>
          </cell>
          <cell r="AF27" t="e">
            <v>#VALUE!</v>
          </cell>
          <cell r="AG27" t="e">
            <v>#VALUE!</v>
          </cell>
          <cell r="CA27" t="str">
            <v>.</v>
          </cell>
        </row>
        <row r="28">
          <cell r="B28" t="str">
            <v>WRC</v>
          </cell>
          <cell r="C28" t="str">
            <v>#Calc</v>
          </cell>
          <cell r="D28">
            <v>37</v>
          </cell>
          <cell r="E28">
            <v>48</v>
          </cell>
          <cell r="F28">
            <v>63</v>
          </cell>
          <cell r="G28">
            <v>48</v>
          </cell>
          <cell r="AD28" t="e">
            <v>#VALUE!</v>
          </cell>
          <cell r="AE28" t="e">
            <v>#VALUE!</v>
          </cell>
          <cell r="AF28" t="e">
            <v>#VALUE!</v>
          </cell>
          <cell r="AG28" t="e">
            <v>#VALUE!</v>
          </cell>
          <cell r="CA28" t="str">
            <v>.</v>
          </cell>
        </row>
        <row r="29">
          <cell r="AD29" t="e">
            <v>#VALUE!</v>
          </cell>
          <cell r="AE29" t="e">
            <v>#VALUE!</v>
          </cell>
          <cell r="AF29" t="e">
            <v>#VALUE!</v>
          </cell>
          <cell r="AG29" t="e">
            <v>#VALUE!</v>
          </cell>
          <cell r="CA29" t="str">
            <v>.</v>
          </cell>
        </row>
        <row r="30">
          <cell r="AD30" t="e">
            <v>#DIV/0!</v>
          </cell>
          <cell r="AE30" t="e">
            <v>#DIV/0!</v>
          </cell>
          <cell r="AF30" t="e">
            <v>#DIV/0!</v>
          </cell>
          <cell r="AG30" t="e">
            <v>#DIV/0!</v>
          </cell>
          <cell r="CA30" t="str">
            <v>.</v>
          </cell>
        </row>
        <row r="31">
          <cell r="B31" t="str">
            <v>GES</v>
          </cell>
          <cell r="D31" t="e">
            <v>#VALUE!</v>
          </cell>
          <cell r="E31" t="e">
            <v>#VALUE!</v>
          </cell>
          <cell r="F31" t="e">
            <v>#VALUE!</v>
          </cell>
          <cell r="G31" t="e">
            <v>#VALUE!</v>
          </cell>
          <cell r="AD31" t="e">
            <v>#DIV/0!</v>
          </cell>
          <cell r="AE31" t="e">
            <v>#DIV/0!</v>
          </cell>
          <cell r="AF31" t="e">
            <v>#DIV/0!</v>
          </cell>
          <cell r="AG31" t="e">
            <v>#DIV/0!</v>
          </cell>
          <cell r="CA31" t="str">
            <v>.</v>
          </cell>
        </row>
        <row r="32">
          <cell r="B32" t="str">
            <v>JNY</v>
          </cell>
          <cell r="D32" t="e">
            <v>#VALUE!</v>
          </cell>
          <cell r="E32" t="e">
            <v>#VALUE!</v>
          </cell>
          <cell r="F32" t="e">
            <v>#VALUE!</v>
          </cell>
          <cell r="G32" t="e">
            <v>#VALUE!</v>
          </cell>
          <cell r="CA32" t="str">
            <v>.</v>
          </cell>
        </row>
        <row r="33">
          <cell r="B33" t="str">
            <v>LIZ</v>
          </cell>
          <cell r="D33" t="e">
            <v>#VALUE!</v>
          </cell>
          <cell r="E33" t="e">
            <v>#VALUE!</v>
          </cell>
          <cell r="F33" t="e">
            <v>#VALUE!</v>
          </cell>
          <cell r="G33" t="e">
            <v>#VALUE!</v>
          </cell>
          <cell r="CA33" t="str">
            <v>.</v>
          </cell>
        </row>
        <row r="34">
          <cell r="B34" t="str">
            <v>PVH</v>
          </cell>
          <cell r="D34" t="e">
            <v>#VALUE!</v>
          </cell>
          <cell r="E34" t="e">
            <v>#VALUE!</v>
          </cell>
          <cell r="F34" t="e">
            <v>#VALUE!</v>
          </cell>
          <cell r="G34" t="e">
            <v>#VALUE!</v>
          </cell>
          <cell r="CA34" t="str">
            <v>.</v>
          </cell>
        </row>
        <row r="35">
          <cell r="B35" t="str">
            <v>RL</v>
          </cell>
          <cell r="D35" t="e">
            <v>#VALUE!</v>
          </cell>
          <cell r="E35" t="e">
            <v>#VALUE!</v>
          </cell>
          <cell r="F35" t="e">
            <v>#VALUE!</v>
          </cell>
          <cell r="G35" t="e">
            <v>#VALUE!</v>
          </cell>
        </row>
        <row r="36">
          <cell r="B36" t="str">
            <v>UA</v>
          </cell>
          <cell r="D36" t="e">
            <v>#VALUE!</v>
          </cell>
          <cell r="E36" t="e">
            <v>#VALUE!</v>
          </cell>
          <cell r="F36" t="e">
            <v>#VALUE!</v>
          </cell>
          <cell r="G36" t="e">
            <v>#VALUE!</v>
          </cell>
        </row>
        <row r="37">
          <cell r="B37" t="str">
            <v>WRC</v>
          </cell>
          <cell r="D37" t="e">
            <v>#VALUE!</v>
          </cell>
          <cell r="E37" t="e">
            <v>#VALUE!</v>
          </cell>
          <cell r="F37" t="e">
            <v>#VALUE!</v>
          </cell>
          <cell r="G37" t="e">
            <v>#VALUE!</v>
          </cell>
          <cell r="CA37" t="str">
            <v>.</v>
          </cell>
        </row>
        <row r="38">
          <cell r="D38" t="e">
            <v>#VALUE!</v>
          </cell>
          <cell r="E38" t="e">
            <v>#VALUE!</v>
          </cell>
          <cell r="F38" t="e">
            <v>#VALUE!</v>
          </cell>
          <cell r="G38" t="e">
            <v>#VALUE!</v>
          </cell>
          <cell r="I38" t="str">
            <v>click here for link to SmartChart FAQ</v>
          </cell>
          <cell r="CA38" t="str">
            <v>.</v>
          </cell>
        </row>
        <row r="39">
          <cell r="CA39" t="str">
            <v>.</v>
          </cell>
        </row>
        <row r="40">
          <cell r="I40" t="str">
            <v>Do not change the width of the exhibit or font sizes (they are optimized for export to Word).</v>
          </cell>
          <cell r="CA40" t="str">
            <v>.</v>
          </cell>
        </row>
        <row r="41">
          <cell r="CA41" t="str">
            <v>.</v>
          </cell>
        </row>
        <row r="42">
          <cell r="I42" t="str">
            <v>Do not delete any rows or columns (some gray cells are used for calculations).</v>
          </cell>
          <cell r="CA42" t="str">
            <v>.</v>
          </cell>
        </row>
        <row r="43">
          <cell r="B43" t="str">
            <v>Company Name</v>
          </cell>
          <cell r="C43" t="str">
            <v>Ticker</v>
          </cell>
          <cell r="D43" t="str">
            <v>Price</v>
          </cell>
          <cell r="E43" t="str">
            <v>Rating</v>
          </cell>
          <cell r="F43" t="str">
            <v>Price Target</v>
          </cell>
          <cell r="G43" t="str">
            <v>% to Price Target</v>
          </cell>
          <cell r="CA43" t="str">
            <v>.</v>
          </cell>
        </row>
        <row r="44">
          <cell r="B44" t="str">
            <v>Liz Claiborne</v>
          </cell>
          <cell r="C44" t="str">
            <v>PVH</v>
          </cell>
          <cell r="D44" t="str">
            <v>#Calc</v>
          </cell>
          <cell r="E44" t="str">
            <v>Underweight</v>
          </cell>
          <cell r="F44">
            <v>65</v>
          </cell>
          <cell r="G44" t="e">
            <v>#VALUE!</v>
          </cell>
          <cell r="I44" t="str">
            <v>You can move the worksheet into another workbook (please use MOVE; do not COPY)</v>
          </cell>
          <cell r="CA44" t="str">
            <v>.</v>
          </cell>
        </row>
        <row r="45">
          <cell r="B45" t="str">
            <v>Jones Apparel Group</v>
          </cell>
          <cell r="C45" t="str">
            <v>JNY</v>
          </cell>
          <cell r="D45" t="str">
            <v>#Calc</v>
          </cell>
          <cell r="E45" t="str">
            <v>Equal-Weight</v>
          </cell>
          <cell r="F45">
            <v>21</v>
          </cell>
          <cell r="G45" t="e">
            <v>#VALUE!</v>
          </cell>
          <cell r="CA45" t="str">
            <v>.</v>
          </cell>
        </row>
        <row r="46">
          <cell r="B46" t="str">
            <v>Under Armour</v>
          </cell>
          <cell r="C46" t="str">
            <v>WRC</v>
          </cell>
          <cell r="D46" t="str">
            <v>#Calc</v>
          </cell>
          <cell r="E46" t="str">
            <v>Underweight</v>
          </cell>
          <cell r="F46">
            <v>48</v>
          </cell>
          <cell r="G46" t="e">
            <v>#VALUE!</v>
          </cell>
          <cell r="I46" t="str">
            <v>Color palette may be affected after moving the worksheet to another workbook. See instructions in FAQ on the intranet</v>
          </cell>
          <cell r="CA46" t="str">
            <v>.</v>
          </cell>
        </row>
        <row r="47">
          <cell r="B47" t="str">
            <v>Polo Ralph Lauren</v>
          </cell>
          <cell r="C47" t="str">
            <v>GES</v>
          </cell>
          <cell r="D47" t="str">
            <v>#Calc</v>
          </cell>
          <cell r="E47" t="str">
            <v>Equal-Weight</v>
          </cell>
          <cell r="F47">
            <v>48</v>
          </cell>
          <cell r="G47" t="e">
            <v>#VALUE!</v>
          </cell>
          <cell r="CA47" t="str">
            <v>.</v>
          </cell>
        </row>
        <row r="48">
          <cell r="B48" t="str">
            <v>Phillips-Van Heusen</v>
          </cell>
          <cell r="C48" t="str">
            <v>RL</v>
          </cell>
          <cell r="D48" t="str">
            <v>#Calc</v>
          </cell>
          <cell r="E48" t="str">
            <v>Overweight</v>
          </cell>
          <cell r="F48">
            <v>80</v>
          </cell>
          <cell r="G48" t="e">
            <v>#VALUE!</v>
          </cell>
          <cell r="CA48" t="str">
            <v>.</v>
          </cell>
        </row>
        <row r="49">
          <cell r="B49" t="str">
            <v>Guess?</v>
          </cell>
          <cell r="C49" t="str">
            <v>UA</v>
          </cell>
          <cell r="D49" t="str">
            <v>#Calc</v>
          </cell>
          <cell r="E49" t="str">
            <v>Equal-Weight</v>
          </cell>
          <cell r="F49">
            <v>27</v>
          </cell>
          <cell r="G49" t="e">
            <v>#VALUE!</v>
          </cell>
          <cell r="CA49" t="str">
            <v>.</v>
          </cell>
        </row>
        <row r="50">
          <cell r="B50" t="str">
            <v>Warnaco</v>
          </cell>
          <cell r="C50" t="str">
            <v>LIZ</v>
          </cell>
          <cell r="D50" t="str">
            <v>#Calc</v>
          </cell>
          <cell r="E50" t="str">
            <v>Equal-Weight</v>
          </cell>
          <cell r="F50">
            <v>6</v>
          </cell>
          <cell r="G50" t="e">
            <v>#VALUE!</v>
          </cell>
          <cell r="CA50" t="str">
            <v>.</v>
          </cell>
        </row>
        <row r="51">
          <cell r="CA51" t="str">
            <v>.</v>
          </cell>
        </row>
        <row r="52">
          <cell r="CA52" t="str">
            <v>.</v>
          </cell>
        </row>
        <row r="53">
          <cell r="CA53" t="str">
            <v>.</v>
          </cell>
        </row>
        <row r="54">
          <cell r="CA54" t="str">
            <v>.</v>
          </cell>
        </row>
        <row r="55">
          <cell r="CA55" t="str">
            <v>.</v>
          </cell>
        </row>
        <row r="56">
          <cell r="CA56" t="str">
            <v>.</v>
          </cell>
        </row>
        <row r="57">
          <cell r="CA57" t="str">
            <v>.</v>
          </cell>
        </row>
        <row r="58">
          <cell r="CA58" t="str">
            <v>.</v>
          </cell>
        </row>
        <row r="59">
          <cell r="CA59" t="str">
            <v>.</v>
          </cell>
        </row>
        <row r="60">
          <cell r="CA60" t="str">
            <v>.</v>
          </cell>
        </row>
        <row r="61">
          <cell r="CA61" t="str">
            <v>.</v>
          </cell>
        </row>
        <row r="62">
          <cell r="CA62" t="str">
            <v>.</v>
          </cell>
        </row>
        <row r="63">
          <cell r="CA63" t="str">
            <v>.</v>
          </cell>
        </row>
        <row r="64">
          <cell r="CA64" t="str">
            <v>.</v>
          </cell>
        </row>
        <row r="65">
          <cell r="CA65" t="str">
            <v>.</v>
          </cell>
        </row>
        <row r="66">
          <cell r="CA66" t="str">
            <v>.</v>
          </cell>
        </row>
        <row r="67">
          <cell r="CA67" t="str">
            <v>.</v>
          </cell>
        </row>
        <row r="68">
          <cell r="CA68" t="str">
            <v>.</v>
          </cell>
        </row>
        <row r="69">
          <cell r="CA69" t="str">
            <v>.</v>
          </cell>
        </row>
        <row r="70">
          <cell r="CA70" t="str">
            <v>.</v>
          </cell>
        </row>
        <row r="71">
          <cell r="CA71" t="str">
            <v>.</v>
          </cell>
        </row>
        <row r="72">
          <cell r="CA72" t="str">
            <v>.</v>
          </cell>
        </row>
        <row r="73">
          <cell r="CA73" t="str">
            <v>.</v>
          </cell>
        </row>
        <row r="74">
          <cell r="CA74" t="str">
            <v>.</v>
          </cell>
        </row>
        <row r="75">
          <cell r="CA75" t="str">
            <v>.</v>
          </cell>
        </row>
        <row r="76">
          <cell r="CA76" t="str">
            <v>.</v>
          </cell>
        </row>
        <row r="77">
          <cell r="CA77" t="str">
            <v>.</v>
          </cell>
        </row>
        <row r="78">
          <cell r="CA78" t="str">
            <v>.</v>
          </cell>
        </row>
        <row r="79">
          <cell r="CA79" t="str">
            <v>.</v>
          </cell>
        </row>
        <row r="80">
          <cell r="CA80" t="str">
            <v>.</v>
          </cell>
        </row>
        <row r="81">
          <cell r="CA81" t="str">
            <v>.</v>
          </cell>
        </row>
        <row r="82">
          <cell r="CA82" t="str">
            <v>.</v>
          </cell>
        </row>
        <row r="83">
          <cell r="CA83" t="str">
            <v>.</v>
          </cell>
        </row>
        <row r="84">
          <cell r="CA84" t="str">
            <v>.</v>
          </cell>
        </row>
        <row r="85">
          <cell r="CA85" t="str">
            <v>.</v>
          </cell>
        </row>
        <row r="86">
          <cell r="CA86" t="str">
            <v>.</v>
          </cell>
        </row>
        <row r="87">
          <cell r="CA87" t="str">
            <v>.</v>
          </cell>
        </row>
        <row r="88">
          <cell r="CA88" t="str">
            <v>.</v>
          </cell>
        </row>
        <row r="89">
          <cell r="CA89" t="str">
            <v>.</v>
          </cell>
        </row>
        <row r="90">
          <cell r="CA90" t="str">
            <v>.</v>
          </cell>
        </row>
        <row r="91">
          <cell r="CA91" t="str">
            <v>.</v>
          </cell>
        </row>
        <row r="92">
          <cell r="CA92" t="str">
            <v>.</v>
          </cell>
        </row>
        <row r="93">
          <cell r="CA93" t="str">
            <v>.</v>
          </cell>
        </row>
        <row r="94">
          <cell r="CA94" t="str">
            <v>.</v>
          </cell>
        </row>
        <row r="95">
          <cell r="CA95" t="str">
            <v>.</v>
          </cell>
        </row>
        <row r="96">
          <cell r="CA96" t="str">
            <v>.</v>
          </cell>
        </row>
        <row r="97">
          <cell r="CA97" t="str">
            <v>.</v>
          </cell>
        </row>
        <row r="98">
          <cell r="CA98" t="str">
            <v>.</v>
          </cell>
        </row>
        <row r="99">
          <cell r="CA99" t="str">
            <v>.</v>
          </cell>
        </row>
        <row r="100">
          <cell r="CA100" t="str">
            <v>.</v>
          </cell>
        </row>
        <row r="101">
          <cell r="CA101" t="str">
            <v>.</v>
          </cell>
        </row>
        <row r="102">
          <cell r="CA102" t="str">
            <v>.</v>
          </cell>
        </row>
        <row r="103">
          <cell r="CA103" t="str">
            <v>.</v>
          </cell>
        </row>
        <row r="104">
          <cell r="CA104" t="str">
            <v>.</v>
          </cell>
        </row>
        <row r="105">
          <cell r="CA105" t="str">
            <v>.</v>
          </cell>
        </row>
        <row r="106">
          <cell r="CA106" t="str">
            <v>.</v>
          </cell>
        </row>
        <row r="107">
          <cell r="CA107" t="str">
            <v>.</v>
          </cell>
        </row>
        <row r="108">
          <cell r="CA108" t="str">
            <v>.</v>
          </cell>
        </row>
        <row r="109">
          <cell r="CA109" t="str">
            <v>.</v>
          </cell>
        </row>
        <row r="110">
          <cell r="CA110" t="str">
            <v>.</v>
          </cell>
        </row>
        <row r="111">
          <cell r="CA111" t="str">
            <v>.</v>
          </cell>
        </row>
        <row r="112">
          <cell r="CA112" t="str">
            <v>.</v>
          </cell>
        </row>
        <row r="113">
          <cell r="CA113" t="str">
            <v>.</v>
          </cell>
        </row>
        <row r="114">
          <cell r="CA114" t="str">
            <v>.</v>
          </cell>
        </row>
        <row r="115">
          <cell r="CA115" t="str">
            <v>.</v>
          </cell>
        </row>
        <row r="116">
          <cell r="CA116" t="str">
            <v>.</v>
          </cell>
        </row>
        <row r="117">
          <cell r="CA117" t="str">
            <v>.</v>
          </cell>
        </row>
        <row r="118">
          <cell r="CA118" t="str">
            <v>.</v>
          </cell>
        </row>
        <row r="119">
          <cell r="CA119" t="str">
            <v>.</v>
          </cell>
        </row>
        <row r="120">
          <cell r="CA120" t="str">
            <v>.</v>
          </cell>
        </row>
        <row r="121">
          <cell r="CA121" t="str">
            <v>.</v>
          </cell>
        </row>
        <row r="122">
          <cell r="CA122" t="str">
            <v>.</v>
          </cell>
        </row>
        <row r="123">
          <cell r="CA123" t="str">
            <v>.</v>
          </cell>
        </row>
        <row r="124">
          <cell r="CA124" t="str">
            <v>.</v>
          </cell>
        </row>
        <row r="125">
          <cell r="CA125" t="str">
            <v>.</v>
          </cell>
        </row>
        <row r="126">
          <cell r="CA126" t="str">
            <v>.</v>
          </cell>
        </row>
        <row r="127">
          <cell r="CA127" t="str">
            <v>.</v>
          </cell>
        </row>
        <row r="128">
          <cell r="CA128" t="str">
            <v>.</v>
          </cell>
        </row>
        <row r="129">
          <cell r="CA129" t="str">
            <v>.</v>
          </cell>
        </row>
        <row r="130">
          <cell r="CA130" t="str">
            <v>.</v>
          </cell>
        </row>
        <row r="131">
          <cell r="CA131" t="str">
            <v>.</v>
          </cell>
        </row>
        <row r="132">
          <cell r="CA132" t="str">
            <v>.</v>
          </cell>
        </row>
        <row r="133">
          <cell r="CA133" t="str">
            <v>.</v>
          </cell>
        </row>
        <row r="134">
          <cell r="CA134" t="str">
            <v>.</v>
          </cell>
        </row>
        <row r="135">
          <cell r="CA135" t="str">
            <v>.</v>
          </cell>
        </row>
        <row r="136">
          <cell r="CA136" t="str">
            <v>.</v>
          </cell>
        </row>
        <row r="137">
          <cell r="CA137" t="str">
            <v>.</v>
          </cell>
        </row>
        <row r="138">
          <cell r="CA138" t="str">
            <v>.</v>
          </cell>
        </row>
        <row r="139">
          <cell r="CA139" t="str">
            <v>.</v>
          </cell>
        </row>
        <row r="140">
          <cell r="CA140" t="str">
            <v>.</v>
          </cell>
        </row>
        <row r="141">
          <cell r="CA141" t="str">
            <v>.</v>
          </cell>
        </row>
        <row r="142">
          <cell r="CA142" t="str">
            <v>.</v>
          </cell>
        </row>
        <row r="143">
          <cell r="CA143" t="str">
            <v>.</v>
          </cell>
        </row>
        <row r="144">
          <cell r="CA144" t="str">
            <v>.</v>
          </cell>
        </row>
        <row r="145">
          <cell r="CA145" t="str">
            <v>.</v>
          </cell>
        </row>
        <row r="146">
          <cell r="CA146" t="str">
            <v>.</v>
          </cell>
        </row>
        <row r="147">
          <cell r="CA147" t="str">
            <v>.</v>
          </cell>
        </row>
        <row r="148">
          <cell r="CA148" t="str">
            <v>.</v>
          </cell>
        </row>
        <row r="149">
          <cell r="CA149" t="str">
            <v>.</v>
          </cell>
        </row>
        <row r="150">
          <cell r="CA150" t="str">
            <v>.</v>
          </cell>
        </row>
        <row r="151">
          <cell r="CA151" t="str">
            <v>.</v>
          </cell>
        </row>
        <row r="152">
          <cell r="CA152" t="str">
            <v>.</v>
          </cell>
        </row>
        <row r="153">
          <cell r="CA153" t="str">
            <v>.</v>
          </cell>
        </row>
        <row r="154">
          <cell r="CA154" t="str">
            <v>.</v>
          </cell>
        </row>
        <row r="155">
          <cell r="CA155" t="str">
            <v>.</v>
          </cell>
        </row>
        <row r="156">
          <cell r="CA156" t="str">
            <v>.</v>
          </cell>
        </row>
        <row r="157">
          <cell r="CA157" t="str">
            <v>.</v>
          </cell>
        </row>
        <row r="158">
          <cell r="CA158" t="str">
            <v>.</v>
          </cell>
        </row>
        <row r="159">
          <cell r="CA159" t="str">
            <v>.</v>
          </cell>
        </row>
        <row r="160">
          <cell r="CA160" t="str">
            <v>.</v>
          </cell>
        </row>
        <row r="161">
          <cell r="CA161" t="str">
            <v>.</v>
          </cell>
        </row>
        <row r="162">
          <cell r="CA162" t="str">
            <v>.</v>
          </cell>
        </row>
        <row r="163">
          <cell r="CA163" t="str">
            <v>.</v>
          </cell>
        </row>
        <row r="164">
          <cell r="CA164" t="str">
            <v>.</v>
          </cell>
        </row>
        <row r="165">
          <cell r="CA165" t="str">
            <v>.</v>
          </cell>
        </row>
        <row r="166">
          <cell r="CA166" t="str">
            <v>.</v>
          </cell>
        </row>
        <row r="167">
          <cell r="CA167" t="str">
            <v>.</v>
          </cell>
        </row>
        <row r="168">
          <cell r="CA168" t="str">
            <v>.</v>
          </cell>
        </row>
        <row r="169">
          <cell r="CA169" t="str">
            <v>.</v>
          </cell>
        </row>
        <row r="170">
          <cell r="CA170" t="str">
            <v>.</v>
          </cell>
        </row>
        <row r="171">
          <cell r="CA171" t="str">
            <v>.</v>
          </cell>
        </row>
        <row r="172">
          <cell r="CA172" t="str">
            <v>.</v>
          </cell>
        </row>
        <row r="173">
          <cell r="CA173" t="str">
            <v>.</v>
          </cell>
        </row>
        <row r="174">
          <cell r="CA174" t="str">
            <v>.</v>
          </cell>
        </row>
        <row r="175">
          <cell r="CA175" t="str">
            <v>.</v>
          </cell>
        </row>
        <row r="176">
          <cell r="CA176" t="str">
            <v>.</v>
          </cell>
        </row>
        <row r="177">
          <cell r="CA177" t="str">
            <v>.</v>
          </cell>
        </row>
        <row r="178">
          <cell r="CA178" t="str">
            <v>.</v>
          </cell>
        </row>
        <row r="179">
          <cell r="CA179" t="str">
            <v>.</v>
          </cell>
        </row>
        <row r="180">
          <cell r="CA180" t="str">
            <v>.</v>
          </cell>
        </row>
        <row r="181">
          <cell r="CA181" t="str">
            <v>.</v>
          </cell>
        </row>
        <row r="182">
          <cell r="CA182" t="str">
            <v>.</v>
          </cell>
        </row>
        <row r="183">
          <cell r="CA183" t="str">
            <v>.</v>
          </cell>
        </row>
        <row r="184">
          <cell r="CA184" t="str">
            <v>.</v>
          </cell>
        </row>
        <row r="185">
          <cell r="CA185" t="str">
            <v>.</v>
          </cell>
        </row>
        <row r="186">
          <cell r="CA186" t="str">
            <v>.</v>
          </cell>
        </row>
        <row r="187">
          <cell r="CA187" t="str">
            <v>.</v>
          </cell>
        </row>
        <row r="188">
          <cell r="CA188" t="str">
            <v>.</v>
          </cell>
        </row>
        <row r="189">
          <cell r="CA189" t="str">
            <v>.</v>
          </cell>
        </row>
        <row r="190">
          <cell r="CA190" t="str">
            <v>.</v>
          </cell>
        </row>
        <row r="191">
          <cell r="CA191" t="str">
            <v>.</v>
          </cell>
        </row>
        <row r="192">
          <cell r="CA192" t="str">
            <v>.</v>
          </cell>
        </row>
        <row r="193">
          <cell r="CA193" t="str">
            <v>.</v>
          </cell>
        </row>
        <row r="194">
          <cell r="CA194" t="str">
            <v>.</v>
          </cell>
        </row>
        <row r="195">
          <cell r="CA195" t="str">
            <v>.</v>
          </cell>
        </row>
        <row r="196">
          <cell r="CA196" t="str">
            <v>.</v>
          </cell>
        </row>
        <row r="197">
          <cell r="CA197" t="str">
            <v>.</v>
          </cell>
        </row>
        <row r="198">
          <cell r="CA198" t="str">
            <v>.</v>
          </cell>
        </row>
        <row r="199">
          <cell r="CA199" t="str">
            <v>.</v>
          </cell>
        </row>
        <row r="200">
          <cell r="CA200" t="str">
            <v>.</v>
          </cell>
        </row>
        <row r="201">
          <cell r="CA201" t="str">
            <v>.</v>
          </cell>
        </row>
        <row r="202">
          <cell r="CA202" t="str">
            <v>.</v>
          </cell>
        </row>
        <row r="203">
          <cell r="CA203" t="str">
            <v>.</v>
          </cell>
        </row>
        <row r="204">
          <cell r="CA204" t="str">
            <v>.</v>
          </cell>
        </row>
        <row r="205">
          <cell r="CA205" t="str">
            <v>.</v>
          </cell>
        </row>
        <row r="206">
          <cell r="CA206" t="str">
            <v>.</v>
          </cell>
        </row>
        <row r="207">
          <cell r="CA207" t="str">
            <v>.</v>
          </cell>
        </row>
        <row r="208">
          <cell r="CA208" t="str">
            <v>.</v>
          </cell>
        </row>
        <row r="209">
          <cell r="CA209" t="str">
            <v>.</v>
          </cell>
        </row>
        <row r="210">
          <cell r="CA210" t="str">
            <v>.</v>
          </cell>
        </row>
        <row r="211">
          <cell r="CA211" t="str">
            <v>.</v>
          </cell>
        </row>
        <row r="212">
          <cell r="CA212" t="str">
            <v>.</v>
          </cell>
        </row>
        <row r="213">
          <cell r="CA213" t="str">
            <v>.</v>
          </cell>
        </row>
        <row r="214">
          <cell r="CA214" t="str">
            <v>.</v>
          </cell>
        </row>
        <row r="215">
          <cell r="CA215" t="str">
            <v>.</v>
          </cell>
        </row>
        <row r="216">
          <cell r="CA216" t="str">
            <v>.</v>
          </cell>
        </row>
        <row r="217">
          <cell r="CA217" t="str">
            <v>.</v>
          </cell>
        </row>
        <row r="218">
          <cell r="CA218" t="str">
            <v>.</v>
          </cell>
        </row>
        <row r="219">
          <cell r="CA219" t="str">
            <v>.</v>
          </cell>
        </row>
        <row r="220">
          <cell r="CA220" t="str">
            <v>.</v>
          </cell>
        </row>
        <row r="221">
          <cell r="CA221" t="str">
            <v>.</v>
          </cell>
        </row>
        <row r="222">
          <cell r="CA222" t="str">
            <v>.</v>
          </cell>
        </row>
        <row r="223">
          <cell r="CA223" t="str">
            <v>.</v>
          </cell>
        </row>
        <row r="224">
          <cell r="CA224" t="str">
            <v>.</v>
          </cell>
        </row>
        <row r="225">
          <cell r="CA225" t="str">
            <v>.</v>
          </cell>
        </row>
        <row r="226">
          <cell r="CA226" t="str">
            <v>.</v>
          </cell>
        </row>
        <row r="227">
          <cell r="CA227" t="str">
            <v>.</v>
          </cell>
        </row>
        <row r="228">
          <cell r="CA228" t="str">
            <v>.</v>
          </cell>
        </row>
        <row r="229">
          <cell r="CA229" t="str">
            <v>.</v>
          </cell>
        </row>
        <row r="230">
          <cell r="CA230" t="str">
            <v>.</v>
          </cell>
        </row>
        <row r="231">
          <cell r="CA231" t="str">
            <v>.</v>
          </cell>
        </row>
        <row r="232">
          <cell r="CA232" t="str">
            <v>.</v>
          </cell>
        </row>
        <row r="233">
          <cell r="CA233" t="str">
            <v>.</v>
          </cell>
        </row>
        <row r="234">
          <cell r="CA234" t="str">
            <v>.</v>
          </cell>
        </row>
        <row r="235">
          <cell r="CA235" t="str">
            <v>.</v>
          </cell>
        </row>
        <row r="236">
          <cell r="CA236" t="str">
            <v>.</v>
          </cell>
        </row>
        <row r="237">
          <cell r="CA237" t="str">
            <v>.</v>
          </cell>
        </row>
        <row r="238">
          <cell r="CA238" t="str">
            <v>.</v>
          </cell>
        </row>
        <row r="239">
          <cell r="CA239" t="str">
            <v>.</v>
          </cell>
        </row>
        <row r="240">
          <cell r="CA240" t="str">
            <v>.</v>
          </cell>
        </row>
        <row r="241">
          <cell r="CA241" t="str">
            <v>.</v>
          </cell>
        </row>
        <row r="242">
          <cell r="CA242" t="str">
            <v>.</v>
          </cell>
        </row>
        <row r="243">
          <cell r="CA243" t="str">
            <v>.</v>
          </cell>
        </row>
        <row r="244">
          <cell r="CA244" t="str">
            <v>.</v>
          </cell>
        </row>
        <row r="245">
          <cell r="CA245" t="str">
            <v>.</v>
          </cell>
        </row>
        <row r="246">
          <cell r="CA246" t="str">
            <v>.</v>
          </cell>
        </row>
        <row r="247">
          <cell r="CA247" t="str">
            <v>.</v>
          </cell>
        </row>
        <row r="248">
          <cell r="CA248" t="str">
            <v>.</v>
          </cell>
        </row>
        <row r="249">
          <cell r="CA249" t="str">
            <v>.</v>
          </cell>
        </row>
        <row r="250">
          <cell r="CA250" t="str">
            <v>.</v>
          </cell>
        </row>
        <row r="251">
          <cell r="CA251" t="str">
            <v>.</v>
          </cell>
        </row>
        <row r="252">
          <cell r="CA252" t="str">
            <v>.</v>
          </cell>
        </row>
        <row r="253">
          <cell r="CA253" t="str">
            <v>.</v>
          </cell>
        </row>
        <row r="254">
          <cell r="CA254" t="str">
            <v>.</v>
          </cell>
        </row>
        <row r="255">
          <cell r="CA255" t="str">
            <v>.</v>
          </cell>
        </row>
        <row r="256">
          <cell r="CA256" t="str">
            <v>.</v>
          </cell>
        </row>
        <row r="257">
          <cell r="CA257" t="str">
            <v>.</v>
          </cell>
        </row>
        <row r="258">
          <cell r="CA258" t="str">
            <v>.</v>
          </cell>
        </row>
        <row r="259">
          <cell r="CA259" t="str">
            <v>.</v>
          </cell>
        </row>
        <row r="260">
          <cell r="CA260" t="str">
            <v>.</v>
          </cell>
        </row>
        <row r="261">
          <cell r="CA261" t="str">
            <v>.</v>
          </cell>
        </row>
        <row r="262">
          <cell r="CA262" t="str">
            <v>.</v>
          </cell>
        </row>
        <row r="263">
          <cell r="CA263" t="str">
            <v>.</v>
          </cell>
        </row>
        <row r="264">
          <cell r="CA264" t="str">
            <v>.</v>
          </cell>
        </row>
        <row r="265">
          <cell r="CA265" t="str">
            <v>.</v>
          </cell>
        </row>
        <row r="266">
          <cell r="CA266" t="str">
            <v>.</v>
          </cell>
        </row>
        <row r="267">
          <cell r="CA267" t="str">
            <v>.</v>
          </cell>
        </row>
        <row r="268">
          <cell r="CA268" t="str">
            <v>.</v>
          </cell>
        </row>
        <row r="269">
          <cell r="CA269" t="str">
            <v>.</v>
          </cell>
        </row>
        <row r="270">
          <cell r="CA270" t="str">
            <v>.</v>
          </cell>
        </row>
        <row r="271">
          <cell r="CA271" t="str">
            <v>.</v>
          </cell>
        </row>
        <row r="272">
          <cell r="CA272" t="str">
            <v>.</v>
          </cell>
        </row>
        <row r="273">
          <cell r="CA273" t="str">
            <v>.</v>
          </cell>
        </row>
        <row r="274">
          <cell r="CA274" t="str">
            <v>.</v>
          </cell>
        </row>
        <row r="275">
          <cell r="CA275" t="str">
            <v>.</v>
          </cell>
        </row>
        <row r="276">
          <cell r="CA276" t="str">
            <v>.</v>
          </cell>
        </row>
        <row r="277">
          <cell r="CA277" t="str">
            <v>.</v>
          </cell>
        </row>
        <row r="278">
          <cell r="CA278" t="str">
            <v>.</v>
          </cell>
        </row>
        <row r="279">
          <cell r="CA279" t="str">
            <v>.</v>
          </cell>
        </row>
        <row r="280">
          <cell r="CA280" t="str">
            <v>.</v>
          </cell>
        </row>
        <row r="281">
          <cell r="CA281" t="str">
            <v>.</v>
          </cell>
        </row>
        <row r="282">
          <cell r="CA282" t="str">
            <v>.</v>
          </cell>
        </row>
        <row r="283">
          <cell r="CA283" t="str">
            <v>.</v>
          </cell>
        </row>
        <row r="284">
          <cell r="CA284" t="str">
            <v>.</v>
          </cell>
        </row>
        <row r="285">
          <cell r="CA285" t="str">
            <v>.</v>
          </cell>
        </row>
        <row r="286">
          <cell r="CA286" t="str">
            <v>.</v>
          </cell>
        </row>
        <row r="287">
          <cell r="CA287" t="str">
            <v>.</v>
          </cell>
        </row>
        <row r="288">
          <cell r="CA288" t="str">
            <v>.</v>
          </cell>
        </row>
        <row r="289">
          <cell r="CA289" t="str">
            <v>.</v>
          </cell>
        </row>
        <row r="290">
          <cell r="CA290" t="str">
            <v>.</v>
          </cell>
        </row>
        <row r="291">
          <cell r="CA291" t="str">
            <v>.</v>
          </cell>
        </row>
        <row r="292">
          <cell r="CA292" t="str">
            <v>.</v>
          </cell>
        </row>
        <row r="293">
          <cell r="CA293" t="str">
            <v>.</v>
          </cell>
        </row>
        <row r="294">
          <cell r="CA294" t="str">
            <v>.</v>
          </cell>
        </row>
        <row r="295">
          <cell r="CA295" t="str">
            <v>.</v>
          </cell>
        </row>
        <row r="296">
          <cell r="CA296" t="str">
            <v>.</v>
          </cell>
        </row>
        <row r="297">
          <cell r="CA297" t="str">
            <v>.</v>
          </cell>
        </row>
        <row r="298">
          <cell r="CA298" t="str">
            <v>.</v>
          </cell>
        </row>
        <row r="299">
          <cell r="CA299" t="str">
            <v>.</v>
          </cell>
        </row>
        <row r="300">
          <cell r="CA300" t="str">
            <v>.</v>
          </cell>
        </row>
        <row r="301">
          <cell r="CA301" t="str">
            <v>.</v>
          </cell>
        </row>
        <row r="302">
          <cell r="CA302" t="str">
            <v>.</v>
          </cell>
        </row>
        <row r="303">
          <cell r="CA303" t="str">
            <v>.</v>
          </cell>
        </row>
        <row r="304">
          <cell r="CA304" t="str">
            <v>.</v>
          </cell>
        </row>
        <row r="305">
          <cell r="CA305" t="str">
            <v>.</v>
          </cell>
        </row>
        <row r="306">
          <cell r="CA306" t="str">
            <v>.</v>
          </cell>
        </row>
        <row r="307">
          <cell r="CA307" t="str">
            <v>.</v>
          </cell>
        </row>
        <row r="308">
          <cell r="CA308" t="str">
            <v>.</v>
          </cell>
        </row>
        <row r="309">
          <cell r="CA309" t="str">
            <v>.</v>
          </cell>
        </row>
        <row r="310">
          <cell r="CA310" t="str">
            <v>.</v>
          </cell>
        </row>
        <row r="311">
          <cell r="CA311" t="str">
            <v>.</v>
          </cell>
        </row>
        <row r="312">
          <cell r="CA312" t="str">
            <v>.</v>
          </cell>
        </row>
        <row r="313">
          <cell r="CA313" t="str">
            <v>.</v>
          </cell>
        </row>
        <row r="314">
          <cell r="CA314" t="str">
            <v>.</v>
          </cell>
        </row>
        <row r="315">
          <cell r="CA315" t="str">
            <v>.</v>
          </cell>
        </row>
        <row r="316">
          <cell r="CA316" t="str">
            <v>.</v>
          </cell>
        </row>
        <row r="317">
          <cell r="CA317" t="str">
            <v>.</v>
          </cell>
        </row>
        <row r="318">
          <cell r="CA318" t="str">
            <v>.</v>
          </cell>
        </row>
        <row r="319">
          <cell r="CA319" t="str">
            <v>.</v>
          </cell>
        </row>
        <row r="320">
          <cell r="CA320" t="str">
            <v>.</v>
          </cell>
        </row>
        <row r="321">
          <cell r="CA321" t="str">
            <v>.</v>
          </cell>
        </row>
        <row r="322">
          <cell r="CA322" t="str">
            <v>.</v>
          </cell>
        </row>
        <row r="323">
          <cell r="CA323" t="str">
            <v>.</v>
          </cell>
        </row>
        <row r="324">
          <cell r="CA324" t="str">
            <v>.</v>
          </cell>
        </row>
        <row r="325">
          <cell r="CA325" t="str">
            <v>.</v>
          </cell>
        </row>
        <row r="326">
          <cell r="CA326" t="str">
            <v>.</v>
          </cell>
        </row>
        <row r="327">
          <cell r="CA327" t="str">
            <v>.</v>
          </cell>
        </row>
        <row r="328">
          <cell r="CA328" t="str">
            <v>.</v>
          </cell>
        </row>
        <row r="329">
          <cell r="CA329" t="str">
            <v>.</v>
          </cell>
        </row>
        <row r="330">
          <cell r="CA330" t="str">
            <v>.</v>
          </cell>
        </row>
        <row r="331">
          <cell r="CA331" t="str">
            <v>.</v>
          </cell>
        </row>
        <row r="332">
          <cell r="CA332" t="str">
            <v>.</v>
          </cell>
        </row>
        <row r="333">
          <cell r="CA333" t="str">
            <v>.</v>
          </cell>
        </row>
        <row r="334">
          <cell r="CA334" t="str">
            <v>.</v>
          </cell>
        </row>
        <row r="335">
          <cell r="CA335" t="str">
            <v>.</v>
          </cell>
        </row>
        <row r="336">
          <cell r="CA336" t="str">
            <v>.</v>
          </cell>
        </row>
        <row r="337">
          <cell r="CA337" t="str">
            <v>.</v>
          </cell>
        </row>
        <row r="338">
          <cell r="CA338" t="str">
            <v>.</v>
          </cell>
        </row>
        <row r="339">
          <cell r="CA339" t="str">
            <v>.</v>
          </cell>
        </row>
        <row r="340">
          <cell r="CA340" t="str">
            <v>.</v>
          </cell>
        </row>
        <row r="341">
          <cell r="CA341" t="str">
            <v>.</v>
          </cell>
        </row>
        <row r="342">
          <cell r="CA342" t="str">
            <v>.</v>
          </cell>
        </row>
        <row r="343">
          <cell r="CA343" t="str">
            <v>.</v>
          </cell>
        </row>
        <row r="344">
          <cell r="CA344" t="str">
            <v>.</v>
          </cell>
        </row>
        <row r="345">
          <cell r="CA345" t="str">
            <v>.</v>
          </cell>
        </row>
        <row r="346">
          <cell r="CA346" t="str">
            <v>.</v>
          </cell>
        </row>
        <row r="347">
          <cell r="CA347" t="str">
            <v>.</v>
          </cell>
        </row>
        <row r="348">
          <cell r="CA348" t="str">
            <v>.</v>
          </cell>
        </row>
        <row r="349">
          <cell r="CA349" t="str">
            <v>.</v>
          </cell>
        </row>
        <row r="350">
          <cell r="CA350" t="str">
            <v>.</v>
          </cell>
        </row>
        <row r="351">
          <cell r="CA351" t="str">
            <v>.</v>
          </cell>
        </row>
        <row r="352">
          <cell r="CA352" t="str">
            <v>.</v>
          </cell>
        </row>
        <row r="353">
          <cell r="CA353" t="str">
            <v>.</v>
          </cell>
        </row>
        <row r="354">
          <cell r="CA354" t="str">
            <v>.</v>
          </cell>
        </row>
        <row r="355">
          <cell r="CA355" t="str">
            <v>.</v>
          </cell>
        </row>
        <row r="356">
          <cell r="CA356" t="str">
            <v>.</v>
          </cell>
        </row>
        <row r="357">
          <cell r="CA357" t="str">
            <v>.</v>
          </cell>
        </row>
        <row r="358">
          <cell r="CA358" t="str">
            <v>.</v>
          </cell>
        </row>
        <row r="359">
          <cell r="CA359" t="str">
            <v>.</v>
          </cell>
        </row>
        <row r="360">
          <cell r="CA360" t="str">
            <v>.</v>
          </cell>
        </row>
        <row r="361">
          <cell r="CA361" t="str">
            <v>.</v>
          </cell>
        </row>
        <row r="362">
          <cell r="CA362" t="str">
            <v>.</v>
          </cell>
        </row>
        <row r="363">
          <cell r="CA363" t="str">
            <v>.</v>
          </cell>
        </row>
        <row r="364">
          <cell r="CA364" t="str">
            <v>.</v>
          </cell>
        </row>
        <row r="365">
          <cell r="CA365" t="str">
            <v>.</v>
          </cell>
        </row>
        <row r="366">
          <cell r="CA366" t="str">
            <v>.</v>
          </cell>
        </row>
        <row r="367">
          <cell r="CA367" t="str">
            <v>.</v>
          </cell>
        </row>
        <row r="368">
          <cell r="CA368" t="str">
            <v>.</v>
          </cell>
        </row>
        <row r="369">
          <cell r="CA369" t="str">
            <v>.</v>
          </cell>
        </row>
        <row r="370">
          <cell r="CA370" t="str">
            <v>.</v>
          </cell>
        </row>
        <row r="371">
          <cell r="CA371" t="str">
            <v>.</v>
          </cell>
        </row>
        <row r="372">
          <cell r="CA372" t="str">
            <v>.</v>
          </cell>
        </row>
        <row r="373">
          <cell r="CA373" t="str">
            <v>.</v>
          </cell>
        </row>
        <row r="374">
          <cell r="CA374" t="str">
            <v>.</v>
          </cell>
        </row>
        <row r="375">
          <cell r="CA375" t="str">
            <v>.</v>
          </cell>
        </row>
        <row r="376">
          <cell r="CA376" t="str">
            <v>.</v>
          </cell>
        </row>
        <row r="377">
          <cell r="CA377" t="str">
            <v>.</v>
          </cell>
        </row>
        <row r="378">
          <cell r="CA378" t="str">
            <v>.</v>
          </cell>
        </row>
        <row r="379">
          <cell r="CA379" t="str">
            <v>.</v>
          </cell>
        </row>
        <row r="380">
          <cell r="CA380" t="str">
            <v>.</v>
          </cell>
        </row>
        <row r="381">
          <cell r="CA381" t="str">
            <v>.</v>
          </cell>
        </row>
        <row r="382">
          <cell r="CA382" t="str">
            <v>.</v>
          </cell>
        </row>
        <row r="383">
          <cell r="CA383" t="str">
            <v>.</v>
          </cell>
        </row>
        <row r="384">
          <cell r="CA384" t="str">
            <v>.</v>
          </cell>
        </row>
        <row r="385">
          <cell r="CA385" t="str">
            <v>.</v>
          </cell>
        </row>
        <row r="386">
          <cell r="CA386" t="str">
            <v>.</v>
          </cell>
        </row>
        <row r="387">
          <cell r="CA387" t="str">
            <v>.</v>
          </cell>
        </row>
        <row r="388">
          <cell r="CA388" t="str">
            <v>.</v>
          </cell>
        </row>
        <row r="389">
          <cell r="CA389" t="str">
            <v>.</v>
          </cell>
        </row>
        <row r="390">
          <cell r="CA390" t="str">
            <v>.</v>
          </cell>
        </row>
        <row r="391">
          <cell r="CA391" t="str">
            <v>.</v>
          </cell>
        </row>
        <row r="392">
          <cell r="CA392" t="str">
            <v>.</v>
          </cell>
        </row>
        <row r="393">
          <cell r="CA393" t="str">
            <v>.</v>
          </cell>
        </row>
        <row r="394">
          <cell r="CA394" t="str">
            <v>.</v>
          </cell>
        </row>
        <row r="395">
          <cell r="CA395" t="str">
            <v>.</v>
          </cell>
        </row>
        <row r="396">
          <cell r="CA396" t="str">
            <v>.</v>
          </cell>
        </row>
        <row r="397">
          <cell r="CA397" t="str">
            <v>.</v>
          </cell>
        </row>
        <row r="398">
          <cell r="CA398" t="str">
            <v>.</v>
          </cell>
        </row>
        <row r="399">
          <cell r="CA399" t="str">
            <v>.</v>
          </cell>
        </row>
        <row r="400">
          <cell r="CA400" t="str">
            <v>.</v>
          </cell>
        </row>
        <row r="401">
          <cell r="CA401" t="str">
            <v>.</v>
          </cell>
        </row>
        <row r="402">
          <cell r="CA402" t="str">
            <v>.</v>
          </cell>
        </row>
        <row r="403">
          <cell r="CA403" t="str">
            <v>.</v>
          </cell>
        </row>
        <row r="404">
          <cell r="CA404" t="str">
            <v>.</v>
          </cell>
        </row>
        <row r="405">
          <cell r="CA405" t="str">
            <v>.</v>
          </cell>
        </row>
        <row r="406">
          <cell r="CA406" t="str">
            <v>.</v>
          </cell>
        </row>
        <row r="407">
          <cell r="CA407" t="str">
            <v>.</v>
          </cell>
        </row>
        <row r="408">
          <cell r="CA408" t="str">
            <v>.</v>
          </cell>
        </row>
        <row r="409">
          <cell r="CA409" t="str">
            <v>.</v>
          </cell>
        </row>
        <row r="410">
          <cell r="CA410" t="str">
            <v>.</v>
          </cell>
        </row>
        <row r="411">
          <cell r="CA411" t="str">
            <v>.</v>
          </cell>
        </row>
        <row r="412">
          <cell r="CA412" t="str">
            <v>.</v>
          </cell>
        </row>
        <row r="413">
          <cell r="CA413" t="str">
            <v>.</v>
          </cell>
        </row>
        <row r="414">
          <cell r="CA414" t="str">
            <v>.</v>
          </cell>
        </row>
        <row r="415">
          <cell r="CA415" t="str">
            <v>.</v>
          </cell>
        </row>
        <row r="416">
          <cell r="CA416" t="str">
            <v>.</v>
          </cell>
        </row>
        <row r="417">
          <cell r="CA417" t="str">
            <v>.</v>
          </cell>
        </row>
        <row r="418">
          <cell r="CA418" t="str">
            <v>.</v>
          </cell>
        </row>
        <row r="419">
          <cell r="CA419" t="str">
            <v>.</v>
          </cell>
        </row>
        <row r="420">
          <cell r="CA420" t="str">
            <v>.</v>
          </cell>
        </row>
        <row r="421">
          <cell r="CA421" t="str">
            <v>.</v>
          </cell>
        </row>
        <row r="422">
          <cell r="CA422" t="str">
            <v>.</v>
          </cell>
        </row>
        <row r="423">
          <cell r="CA423" t="str">
            <v>.</v>
          </cell>
        </row>
        <row r="424">
          <cell r="CA424" t="str">
            <v>.</v>
          </cell>
        </row>
        <row r="425">
          <cell r="CA425" t="str">
            <v>.</v>
          </cell>
        </row>
        <row r="426">
          <cell r="CA426" t="str">
            <v>.</v>
          </cell>
        </row>
        <row r="427">
          <cell r="CA427" t="str">
            <v>.</v>
          </cell>
        </row>
        <row r="428">
          <cell r="CA428" t="str">
            <v>.</v>
          </cell>
        </row>
        <row r="429">
          <cell r="CA429" t="str">
            <v>.</v>
          </cell>
        </row>
        <row r="430">
          <cell r="CA430" t="str">
            <v>.</v>
          </cell>
        </row>
        <row r="431">
          <cell r="CA431" t="str">
            <v>.</v>
          </cell>
        </row>
        <row r="432">
          <cell r="CA432" t="str">
            <v>.</v>
          </cell>
        </row>
        <row r="433">
          <cell r="CA433" t="str">
            <v>.</v>
          </cell>
        </row>
        <row r="434">
          <cell r="CA434" t="str">
            <v>.</v>
          </cell>
        </row>
        <row r="435">
          <cell r="CA435" t="str">
            <v>.</v>
          </cell>
        </row>
        <row r="436">
          <cell r="CA436" t="str">
            <v>.</v>
          </cell>
        </row>
        <row r="437">
          <cell r="CA437" t="str">
            <v>.</v>
          </cell>
        </row>
        <row r="438">
          <cell r="CA438" t="str">
            <v>.</v>
          </cell>
        </row>
        <row r="439">
          <cell r="CA439" t="str">
            <v>.</v>
          </cell>
        </row>
        <row r="440">
          <cell r="CA440" t="str">
            <v>.</v>
          </cell>
        </row>
        <row r="441">
          <cell r="CA441" t="str">
            <v>.</v>
          </cell>
        </row>
        <row r="442">
          <cell r="CA442" t="str">
            <v>.</v>
          </cell>
        </row>
        <row r="443">
          <cell r="CA443" t="str">
            <v>.</v>
          </cell>
        </row>
        <row r="444">
          <cell r="CA444" t="str">
            <v>.</v>
          </cell>
        </row>
        <row r="445">
          <cell r="CA445" t="str">
            <v>.</v>
          </cell>
        </row>
        <row r="446">
          <cell r="CA446" t="str">
            <v>.</v>
          </cell>
        </row>
        <row r="447">
          <cell r="CA447" t="str">
            <v>.</v>
          </cell>
        </row>
        <row r="448">
          <cell r="CA448" t="str">
            <v>.</v>
          </cell>
        </row>
        <row r="449">
          <cell r="CA449" t="str">
            <v>.</v>
          </cell>
        </row>
        <row r="450">
          <cell r="CA450" t="str">
            <v>.</v>
          </cell>
        </row>
        <row r="451">
          <cell r="CA451" t="str">
            <v>.</v>
          </cell>
        </row>
        <row r="452">
          <cell r="CA452" t="str">
            <v>.</v>
          </cell>
        </row>
        <row r="453">
          <cell r="CA453" t="str">
            <v>.</v>
          </cell>
        </row>
        <row r="454">
          <cell r="CA454" t="str">
            <v>.</v>
          </cell>
        </row>
        <row r="455">
          <cell r="CA455" t="str">
            <v>.</v>
          </cell>
        </row>
        <row r="456">
          <cell r="CA456" t="str">
            <v>.</v>
          </cell>
        </row>
        <row r="457">
          <cell r="CA457" t="str">
            <v>.</v>
          </cell>
        </row>
        <row r="458">
          <cell r="CA458" t="str">
            <v>.</v>
          </cell>
        </row>
        <row r="459">
          <cell r="CA459" t="str">
            <v>.</v>
          </cell>
        </row>
        <row r="460">
          <cell r="CA460" t="str">
            <v>.</v>
          </cell>
        </row>
        <row r="461">
          <cell r="CA461" t="str">
            <v>.</v>
          </cell>
        </row>
        <row r="462">
          <cell r="CA462" t="str">
            <v>.</v>
          </cell>
        </row>
        <row r="463">
          <cell r="CA463" t="str">
            <v>.</v>
          </cell>
        </row>
        <row r="464">
          <cell r="CA464" t="str">
            <v>.</v>
          </cell>
        </row>
        <row r="465">
          <cell r="CA465" t="str">
            <v>.</v>
          </cell>
        </row>
        <row r="466">
          <cell r="CA466" t="str">
            <v>.</v>
          </cell>
        </row>
        <row r="467">
          <cell r="CA467" t="str">
            <v>.</v>
          </cell>
        </row>
        <row r="468">
          <cell r="CA468" t="str">
            <v>.</v>
          </cell>
        </row>
        <row r="469">
          <cell r="CA469" t="str">
            <v>.</v>
          </cell>
        </row>
        <row r="470">
          <cell r="CA470" t="str">
            <v>.</v>
          </cell>
        </row>
        <row r="471">
          <cell r="CA471" t="str">
            <v>.</v>
          </cell>
        </row>
        <row r="472">
          <cell r="CA472" t="str">
            <v>.</v>
          </cell>
        </row>
        <row r="473">
          <cell r="CA473" t="str">
            <v>.</v>
          </cell>
        </row>
        <row r="474">
          <cell r="CA474" t="str">
            <v>.</v>
          </cell>
        </row>
        <row r="475">
          <cell r="CA475" t="str">
            <v>.</v>
          </cell>
        </row>
        <row r="476">
          <cell r="CA476" t="str">
            <v>.</v>
          </cell>
        </row>
        <row r="477">
          <cell r="CA477" t="str">
            <v>.</v>
          </cell>
        </row>
        <row r="478">
          <cell r="CA478" t="str">
            <v>.</v>
          </cell>
        </row>
        <row r="479">
          <cell r="CA479" t="str">
            <v>.</v>
          </cell>
        </row>
        <row r="480">
          <cell r="CA480" t="str">
            <v>.</v>
          </cell>
        </row>
        <row r="481">
          <cell r="CA481" t="str">
            <v>.</v>
          </cell>
        </row>
        <row r="482">
          <cell r="CA482" t="str">
            <v>.</v>
          </cell>
        </row>
        <row r="483">
          <cell r="CA483" t="str">
            <v>.</v>
          </cell>
        </row>
        <row r="484">
          <cell r="CA484" t="str">
            <v>.</v>
          </cell>
        </row>
        <row r="485">
          <cell r="CA485" t="str">
            <v>.</v>
          </cell>
        </row>
        <row r="486">
          <cell r="CA486" t="str">
            <v>.</v>
          </cell>
        </row>
        <row r="487">
          <cell r="CA487" t="str">
            <v>.</v>
          </cell>
        </row>
        <row r="488">
          <cell r="CA488" t="str">
            <v>.</v>
          </cell>
        </row>
        <row r="489">
          <cell r="CA489" t="str">
            <v>.</v>
          </cell>
        </row>
        <row r="490">
          <cell r="CA490" t="str">
            <v>.</v>
          </cell>
        </row>
        <row r="491">
          <cell r="CA491" t="str">
            <v>.</v>
          </cell>
        </row>
        <row r="492">
          <cell r="CA492" t="str">
            <v>.</v>
          </cell>
        </row>
        <row r="493">
          <cell r="CA493" t="str">
            <v>.</v>
          </cell>
        </row>
        <row r="494">
          <cell r="CA494" t="str">
            <v>.</v>
          </cell>
        </row>
        <row r="495">
          <cell r="CA495" t="str">
            <v>.</v>
          </cell>
        </row>
        <row r="496">
          <cell r="CA496" t="str">
            <v>.</v>
          </cell>
        </row>
        <row r="497">
          <cell r="CA497" t="str">
            <v>.</v>
          </cell>
        </row>
        <row r="498">
          <cell r="CA498" t="str">
            <v>.</v>
          </cell>
        </row>
        <row r="499">
          <cell r="CA499" t="str">
            <v>.</v>
          </cell>
        </row>
        <row r="500">
          <cell r="CA500" t="str">
            <v>.</v>
          </cell>
        </row>
        <row r="501">
          <cell r="CA501" t="str">
            <v>.</v>
          </cell>
        </row>
        <row r="502">
          <cell r="CA502" t="str">
            <v>.</v>
          </cell>
        </row>
        <row r="503">
          <cell r="CA503" t="str">
            <v>.</v>
          </cell>
        </row>
        <row r="504">
          <cell r="CA504" t="str">
            <v>.</v>
          </cell>
        </row>
        <row r="505">
          <cell r="CA505" t="str">
            <v>.</v>
          </cell>
        </row>
        <row r="506">
          <cell r="CA506" t="str">
            <v>.</v>
          </cell>
        </row>
        <row r="507">
          <cell r="CA507" t="str">
            <v>.</v>
          </cell>
        </row>
        <row r="508">
          <cell r="CA508" t="str">
            <v>.</v>
          </cell>
        </row>
        <row r="509">
          <cell r="CA509" t="str">
            <v>.</v>
          </cell>
        </row>
        <row r="510">
          <cell r="CA510" t="str">
            <v>.</v>
          </cell>
        </row>
        <row r="511">
          <cell r="CA511" t="str">
            <v>.</v>
          </cell>
        </row>
        <row r="512">
          <cell r="CA512" t="str">
            <v>.</v>
          </cell>
        </row>
        <row r="513">
          <cell r="CA513" t="str">
            <v>.</v>
          </cell>
        </row>
        <row r="514">
          <cell r="CA514" t="str">
            <v>.</v>
          </cell>
        </row>
        <row r="515">
          <cell r="CA515" t="str">
            <v>.</v>
          </cell>
        </row>
        <row r="516">
          <cell r="CA516" t="str">
            <v>.</v>
          </cell>
        </row>
        <row r="517">
          <cell r="CA517" t="str">
            <v>.</v>
          </cell>
        </row>
        <row r="518">
          <cell r="CA518" t="str">
            <v>.</v>
          </cell>
        </row>
        <row r="519">
          <cell r="CA519" t="str">
            <v>.</v>
          </cell>
        </row>
        <row r="520">
          <cell r="CA520" t="str">
            <v>.</v>
          </cell>
        </row>
        <row r="521">
          <cell r="CA521" t="str">
            <v>.</v>
          </cell>
        </row>
        <row r="522">
          <cell r="CA522" t="str">
            <v>.</v>
          </cell>
        </row>
        <row r="523">
          <cell r="CA523" t="str">
            <v>.</v>
          </cell>
        </row>
        <row r="524">
          <cell r="CA524" t="str">
            <v>.</v>
          </cell>
        </row>
        <row r="525">
          <cell r="CA525" t="str">
            <v>.</v>
          </cell>
        </row>
        <row r="526">
          <cell r="CA526" t="str">
            <v>.</v>
          </cell>
        </row>
        <row r="527">
          <cell r="CA527" t="str">
            <v>.</v>
          </cell>
        </row>
        <row r="528">
          <cell r="CA528" t="str">
            <v>.</v>
          </cell>
        </row>
        <row r="529">
          <cell r="CA529" t="str">
            <v>.</v>
          </cell>
        </row>
        <row r="530">
          <cell r="CA530" t="str">
            <v>.</v>
          </cell>
        </row>
        <row r="531">
          <cell r="CA531" t="str">
            <v>.</v>
          </cell>
        </row>
        <row r="532">
          <cell r="CA532" t="str">
            <v>.</v>
          </cell>
        </row>
        <row r="533">
          <cell r="CA533" t="str">
            <v>.</v>
          </cell>
        </row>
        <row r="534">
          <cell r="CA534" t="str">
            <v>.</v>
          </cell>
        </row>
        <row r="535">
          <cell r="CA535" t="str">
            <v>.</v>
          </cell>
        </row>
        <row r="536">
          <cell r="CA536" t="str">
            <v>.</v>
          </cell>
        </row>
        <row r="537">
          <cell r="CA537" t="str">
            <v>.</v>
          </cell>
        </row>
        <row r="538">
          <cell r="CA538" t="str">
            <v>.</v>
          </cell>
        </row>
        <row r="539">
          <cell r="CA539" t="str">
            <v>.</v>
          </cell>
        </row>
        <row r="540">
          <cell r="CA540" t="str">
            <v>.</v>
          </cell>
        </row>
        <row r="541">
          <cell r="CA541" t="str">
            <v>.</v>
          </cell>
        </row>
        <row r="542">
          <cell r="CA542" t="str">
            <v>.</v>
          </cell>
        </row>
        <row r="543">
          <cell r="CA543" t="str">
            <v>.</v>
          </cell>
        </row>
        <row r="544">
          <cell r="CA544" t="str">
            <v>.</v>
          </cell>
        </row>
        <row r="545">
          <cell r="CA545" t="str">
            <v>.</v>
          </cell>
        </row>
        <row r="546">
          <cell r="CA546" t="str">
            <v>.</v>
          </cell>
        </row>
        <row r="547">
          <cell r="CA547" t="str">
            <v>.</v>
          </cell>
        </row>
        <row r="548">
          <cell r="CA548" t="str">
            <v>.</v>
          </cell>
        </row>
        <row r="549">
          <cell r="CA549" t="str">
            <v>.</v>
          </cell>
        </row>
        <row r="550">
          <cell r="CA550" t="str">
            <v>.</v>
          </cell>
        </row>
        <row r="551">
          <cell r="CA551" t="str">
            <v>.</v>
          </cell>
        </row>
        <row r="552">
          <cell r="CA552" t="str">
            <v>.</v>
          </cell>
        </row>
        <row r="553">
          <cell r="CA553" t="str">
            <v>.</v>
          </cell>
        </row>
        <row r="554">
          <cell r="CA554" t="str">
            <v>.</v>
          </cell>
        </row>
        <row r="555">
          <cell r="CA555" t="str">
            <v>.</v>
          </cell>
        </row>
        <row r="556">
          <cell r="CA556" t="str">
            <v>.</v>
          </cell>
        </row>
        <row r="557">
          <cell r="CA557" t="str">
            <v>.</v>
          </cell>
        </row>
        <row r="558">
          <cell r="CA558" t="str">
            <v>.</v>
          </cell>
        </row>
        <row r="559">
          <cell r="CA559" t="str">
            <v>.</v>
          </cell>
        </row>
        <row r="560">
          <cell r="CA560" t="str">
            <v>.</v>
          </cell>
        </row>
        <row r="561">
          <cell r="CA561" t="str">
            <v>.</v>
          </cell>
        </row>
        <row r="562">
          <cell r="CA562" t="str">
            <v>.</v>
          </cell>
        </row>
        <row r="563">
          <cell r="CA563" t="str">
            <v>.</v>
          </cell>
        </row>
        <row r="564">
          <cell r="CA564" t="str">
            <v>.</v>
          </cell>
        </row>
        <row r="565">
          <cell r="CA565" t="str">
            <v>.</v>
          </cell>
        </row>
        <row r="566">
          <cell r="CA566" t="str">
            <v>.</v>
          </cell>
        </row>
        <row r="567">
          <cell r="CA567" t="str">
            <v>.</v>
          </cell>
        </row>
        <row r="568">
          <cell r="CA568" t="str">
            <v>.</v>
          </cell>
        </row>
        <row r="569">
          <cell r="CA569" t="str">
            <v>.</v>
          </cell>
        </row>
        <row r="570">
          <cell r="CA570" t="str">
            <v>.</v>
          </cell>
        </row>
        <row r="571">
          <cell r="CA571" t="str">
            <v>.</v>
          </cell>
        </row>
        <row r="572">
          <cell r="CA572" t="str">
            <v>.</v>
          </cell>
        </row>
        <row r="573">
          <cell r="CA573" t="str">
            <v>.</v>
          </cell>
        </row>
        <row r="574">
          <cell r="CA574" t="str">
            <v>.</v>
          </cell>
        </row>
        <row r="575">
          <cell r="CA575" t="str">
            <v>.</v>
          </cell>
        </row>
        <row r="576">
          <cell r="CA576" t="str">
            <v>.</v>
          </cell>
        </row>
        <row r="577">
          <cell r="CA577" t="str">
            <v>.</v>
          </cell>
        </row>
        <row r="578">
          <cell r="CA578" t="str">
            <v>.</v>
          </cell>
        </row>
        <row r="579">
          <cell r="CA579" t="str">
            <v>.</v>
          </cell>
        </row>
        <row r="580">
          <cell r="CA580" t="str">
            <v>.</v>
          </cell>
        </row>
        <row r="581">
          <cell r="CA581" t="str">
            <v>.</v>
          </cell>
        </row>
        <row r="582">
          <cell r="CA582" t="str">
            <v>.</v>
          </cell>
        </row>
        <row r="583">
          <cell r="CA583" t="str">
            <v>.</v>
          </cell>
        </row>
        <row r="584">
          <cell r="CA584" t="str">
            <v>.</v>
          </cell>
        </row>
        <row r="585">
          <cell r="CA585" t="str">
            <v>.</v>
          </cell>
        </row>
        <row r="586">
          <cell r="CA586" t="str">
            <v>.</v>
          </cell>
        </row>
        <row r="587">
          <cell r="CA587" t="str">
            <v>.</v>
          </cell>
        </row>
        <row r="588">
          <cell r="CA588" t="str">
            <v>.</v>
          </cell>
        </row>
        <row r="589">
          <cell r="CA589" t="str">
            <v>.</v>
          </cell>
        </row>
        <row r="590">
          <cell r="CA590" t="str">
            <v>.</v>
          </cell>
        </row>
        <row r="591">
          <cell r="CA591" t="str">
            <v>.</v>
          </cell>
        </row>
        <row r="592">
          <cell r="CA592" t="str">
            <v>.</v>
          </cell>
        </row>
        <row r="593">
          <cell r="CA593" t="str">
            <v>.</v>
          </cell>
        </row>
        <row r="594">
          <cell r="CA594" t="str">
            <v>.</v>
          </cell>
        </row>
        <row r="595">
          <cell r="CA595" t="str">
            <v>.</v>
          </cell>
        </row>
        <row r="596">
          <cell r="CA596" t="str">
            <v>.</v>
          </cell>
        </row>
        <row r="597">
          <cell r="CA597" t="str">
            <v>.</v>
          </cell>
        </row>
        <row r="598">
          <cell r="CA598" t="str">
            <v>.</v>
          </cell>
        </row>
        <row r="599">
          <cell r="CA599" t="str">
            <v>.</v>
          </cell>
        </row>
        <row r="600">
          <cell r="CA600" t="str">
            <v>.</v>
          </cell>
        </row>
        <row r="601">
          <cell r="CA601" t="str">
            <v>.</v>
          </cell>
        </row>
        <row r="602">
          <cell r="CA602" t="str">
            <v>.</v>
          </cell>
        </row>
        <row r="603">
          <cell r="CA603" t="str">
            <v>.</v>
          </cell>
        </row>
        <row r="604">
          <cell r="CA604" t="str">
            <v>.</v>
          </cell>
        </row>
        <row r="605">
          <cell r="CA605" t="str">
            <v>.</v>
          </cell>
        </row>
        <row r="606">
          <cell r="CA606" t="str">
            <v>.</v>
          </cell>
        </row>
        <row r="607">
          <cell r="CA607" t="str">
            <v>.</v>
          </cell>
        </row>
        <row r="608">
          <cell r="CA608" t="str">
            <v>.</v>
          </cell>
        </row>
        <row r="609">
          <cell r="CA609" t="str">
            <v>.</v>
          </cell>
        </row>
        <row r="610">
          <cell r="CA610" t="str">
            <v>.</v>
          </cell>
        </row>
        <row r="611">
          <cell r="CA611" t="str">
            <v>.</v>
          </cell>
        </row>
        <row r="612">
          <cell r="CA612" t="str">
            <v>.</v>
          </cell>
        </row>
        <row r="613">
          <cell r="CA613" t="str">
            <v>.</v>
          </cell>
        </row>
        <row r="614">
          <cell r="CA614" t="str">
            <v>.</v>
          </cell>
        </row>
        <row r="615">
          <cell r="CA615" t="str">
            <v>.</v>
          </cell>
        </row>
        <row r="616">
          <cell r="CA616" t="str">
            <v>.</v>
          </cell>
        </row>
        <row r="617">
          <cell r="CA617" t="str">
            <v>.</v>
          </cell>
        </row>
        <row r="618">
          <cell r="CA618" t="str">
            <v>.</v>
          </cell>
        </row>
        <row r="619">
          <cell r="CA619" t="str">
            <v>.</v>
          </cell>
        </row>
        <row r="620">
          <cell r="CA620" t="str">
            <v>.</v>
          </cell>
        </row>
        <row r="621">
          <cell r="CA621" t="str">
            <v>.</v>
          </cell>
        </row>
        <row r="622">
          <cell r="CA622" t="str">
            <v>.</v>
          </cell>
        </row>
        <row r="623">
          <cell r="CA623" t="str">
            <v>.</v>
          </cell>
        </row>
        <row r="624">
          <cell r="CA624" t="str">
            <v>.</v>
          </cell>
        </row>
        <row r="625">
          <cell r="CA625" t="str">
            <v>.</v>
          </cell>
        </row>
        <row r="626">
          <cell r="CA626" t="str">
            <v>.</v>
          </cell>
        </row>
        <row r="627">
          <cell r="CA627" t="str">
            <v>.</v>
          </cell>
        </row>
        <row r="628">
          <cell r="CA628" t="str">
            <v>.</v>
          </cell>
        </row>
        <row r="629">
          <cell r="CA629" t="str">
            <v>.</v>
          </cell>
        </row>
        <row r="630">
          <cell r="CA630" t="str">
            <v>.</v>
          </cell>
        </row>
        <row r="631">
          <cell r="CA631" t="str">
            <v>.</v>
          </cell>
        </row>
        <row r="632">
          <cell r="CA632" t="str">
            <v>.</v>
          </cell>
        </row>
        <row r="633">
          <cell r="CA633" t="str">
            <v>.</v>
          </cell>
        </row>
        <row r="634">
          <cell r="CA634" t="str">
            <v>.</v>
          </cell>
        </row>
        <row r="635">
          <cell r="CA635" t="str">
            <v>.</v>
          </cell>
        </row>
        <row r="636">
          <cell r="CA636" t="str">
            <v>.</v>
          </cell>
        </row>
        <row r="637">
          <cell r="CA637" t="str">
            <v>.</v>
          </cell>
        </row>
        <row r="638">
          <cell r="CA638" t="str">
            <v>.</v>
          </cell>
        </row>
        <row r="639">
          <cell r="CA639" t="str">
            <v>.</v>
          </cell>
        </row>
        <row r="640">
          <cell r="CA640" t="str">
            <v>.</v>
          </cell>
        </row>
        <row r="641">
          <cell r="CA641" t="str">
            <v>.</v>
          </cell>
        </row>
        <row r="642">
          <cell r="CA642" t="str">
            <v>.</v>
          </cell>
        </row>
        <row r="643">
          <cell r="CA643" t="str">
            <v>.</v>
          </cell>
        </row>
        <row r="644">
          <cell r="CA644" t="str">
            <v>.</v>
          </cell>
        </row>
        <row r="645">
          <cell r="CA645" t="str">
            <v>.</v>
          </cell>
        </row>
        <row r="646">
          <cell r="CA646" t="str">
            <v>.</v>
          </cell>
        </row>
        <row r="647">
          <cell r="CA647" t="str">
            <v>.</v>
          </cell>
        </row>
        <row r="648">
          <cell r="CA648" t="str">
            <v>.</v>
          </cell>
        </row>
        <row r="649">
          <cell r="CA649" t="str">
            <v>.</v>
          </cell>
        </row>
        <row r="650">
          <cell r="CA650" t="str">
            <v>.</v>
          </cell>
        </row>
        <row r="651">
          <cell r="CA651" t="str">
            <v>.</v>
          </cell>
        </row>
        <row r="652">
          <cell r="CA652" t="str">
            <v>.</v>
          </cell>
        </row>
        <row r="653">
          <cell r="CA653" t="str">
            <v>.</v>
          </cell>
        </row>
        <row r="654">
          <cell r="CA654" t="str">
            <v>.</v>
          </cell>
        </row>
        <row r="655">
          <cell r="CA655" t="str">
            <v>.</v>
          </cell>
        </row>
        <row r="656">
          <cell r="CA656" t="str">
            <v>.</v>
          </cell>
        </row>
        <row r="657">
          <cell r="CA657" t="str">
            <v>.</v>
          </cell>
        </row>
        <row r="658">
          <cell r="CA658" t="str">
            <v>.</v>
          </cell>
        </row>
        <row r="659">
          <cell r="CA659" t="str">
            <v>.</v>
          </cell>
        </row>
        <row r="660">
          <cell r="CA660" t="str">
            <v>.</v>
          </cell>
        </row>
        <row r="661">
          <cell r="CA661" t="str">
            <v>.</v>
          </cell>
        </row>
        <row r="662">
          <cell r="CA662" t="str">
            <v>.</v>
          </cell>
        </row>
        <row r="663">
          <cell r="CA663" t="str">
            <v>.</v>
          </cell>
        </row>
        <row r="664">
          <cell r="CA664" t="str">
            <v>.</v>
          </cell>
        </row>
        <row r="665">
          <cell r="CA665" t="str">
            <v>.</v>
          </cell>
        </row>
        <row r="666">
          <cell r="CA666" t="str">
            <v>.</v>
          </cell>
        </row>
        <row r="667">
          <cell r="CA667" t="str">
            <v>.</v>
          </cell>
        </row>
        <row r="668">
          <cell r="CA668" t="str">
            <v>.</v>
          </cell>
        </row>
        <row r="669">
          <cell r="CA669" t="str">
            <v>.</v>
          </cell>
        </row>
        <row r="670">
          <cell r="CA670" t="str">
            <v>.</v>
          </cell>
        </row>
        <row r="671">
          <cell r="CA671" t="str">
            <v>.</v>
          </cell>
        </row>
        <row r="672">
          <cell r="CA672" t="str">
            <v>.</v>
          </cell>
        </row>
        <row r="673">
          <cell r="CA673" t="str">
            <v>.</v>
          </cell>
        </row>
        <row r="674">
          <cell r="CA674" t="str">
            <v>.</v>
          </cell>
        </row>
        <row r="675">
          <cell r="CA675" t="str">
            <v>.</v>
          </cell>
        </row>
        <row r="676">
          <cell r="CA676" t="str">
            <v>.</v>
          </cell>
        </row>
        <row r="677">
          <cell r="CA677" t="str">
            <v>.</v>
          </cell>
        </row>
        <row r="678">
          <cell r="CA678" t="str">
            <v>.</v>
          </cell>
        </row>
        <row r="679">
          <cell r="CA679" t="str">
            <v>.</v>
          </cell>
        </row>
        <row r="680">
          <cell r="CA680" t="str">
            <v>.</v>
          </cell>
        </row>
        <row r="681">
          <cell r="CA681" t="str">
            <v>.</v>
          </cell>
        </row>
        <row r="682">
          <cell r="CA682" t="str">
            <v>.</v>
          </cell>
        </row>
        <row r="683">
          <cell r="CA683" t="str">
            <v>.</v>
          </cell>
        </row>
        <row r="684">
          <cell r="CA684" t="str">
            <v>.</v>
          </cell>
        </row>
        <row r="685">
          <cell r="CA685" t="str">
            <v>.</v>
          </cell>
        </row>
        <row r="686">
          <cell r="CA686" t="str">
            <v>.</v>
          </cell>
        </row>
        <row r="687">
          <cell r="CA687" t="str">
            <v>.</v>
          </cell>
        </row>
        <row r="688">
          <cell r="CA688" t="str">
            <v>.</v>
          </cell>
        </row>
        <row r="689">
          <cell r="CA689" t="str">
            <v>.</v>
          </cell>
        </row>
        <row r="690">
          <cell r="CA690" t="str">
            <v>.</v>
          </cell>
        </row>
        <row r="691">
          <cell r="CA691" t="str">
            <v>.</v>
          </cell>
        </row>
        <row r="692">
          <cell r="CA692" t="str">
            <v>.</v>
          </cell>
        </row>
        <row r="693">
          <cell r="CA693" t="str">
            <v>.</v>
          </cell>
        </row>
        <row r="694">
          <cell r="CA694" t="str">
            <v>.</v>
          </cell>
        </row>
        <row r="695">
          <cell r="CA695" t="str">
            <v>.</v>
          </cell>
        </row>
        <row r="696">
          <cell r="CA696" t="str">
            <v>.</v>
          </cell>
        </row>
        <row r="697">
          <cell r="CA697" t="str">
            <v>.</v>
          </cell>
        </row>
        <row r="698">
          <cell r="CA698" t="str">
            <v>.</v>
          </cell>
        </row>
        <row r="699">
          <cell r="CA699" t="str">
            <v>.</v>
          </cell>
        </row>
        <row r="700">
          <cell r="CA700" t="str">
            <v>.</v>
          </cell>
        </row>
        <row r="701">
          <cell r="CA701" t="str">
            <v>.</v>
          </cell>
        </row>
        <row r="702">
          <cell r="CA702" t="str">
            <v>.</v>
          </cell>
        </row>
        <row r="703">
          <cell r="CA703" t="str">
            <v>.</v>
          </cell>
        </row>
        <row r="704">
          <cell r="CA704" t="str">
            <v>.</v>
          </cell>
        </row>
        <row r="705">
          <cell r="CA705" t="str">
            <v>.</v>
          </cell>
        </row>
        <row r="706">
          <cell r="CA706" t="str">
            <v>.</v>
          </cell>
        </row>
        <row r="707">
          <cell r="CA707" t="str">
            <v>.</v>
          </cell>
        </row>
        <row r="708">
          <cell r="CA708" t="str">
            <v>.</v>
          </cell>
        </row>
        <row r="709">
          <cell r="CA709" t="str">
            <v>.</v>
          </cell>
        </row>
        <row r="710">
          <cell r="CA710" t="str">
            <v>.</v>
          </cell>
        </row>
        <row r="711">
          <cell r="CA711" t="str">
            <v>.</v>
          </cell>
        </row>
        <row r="712">
          <cell r="CA712" t="str">
            <v>.</v>
          </cell>
        </row>
        <row r="713">
          <cell r="CA713" t="str">
            <v>.</v>
          </cell>
        </row>
        <row r="714">
          <cell r="CA714" t="str">
            <v>.</v>
          </cell>
        </row>
        <row r="715">
          <cell r="CA715" t="str">
            <v>.</v>
          </cell>
        </row>
        <row r="716">
          <cell r="CA716" t="str">
            <v>.</v>
          </cell>
        </row>
        <row r="717">
          <cell r="CA717" t="str">
            <v>.</v>
          </cell>
        </row>
        <row r="718">
          <cell r="CA718" t="str">
            <v>.</v>
          </cell>
        </row>
        <row r="719">
          <cell r="CA719" t="str">
            <v>.</v>
          </cell>
        </row>
        <row r="720">
          <cell r="CA720" t="str">
            <v>.</v>
          </cell>
        </row>
        <row r="721">
          <cell r="CA721" t="str">
            <v>.</v>
          </cell>
        </row>
        <row r="722">
          <cell r="CA722" t="str">
            <v>.</v>
          </cell>
        </row>
        <row r="723">
          <cell r="CA723" t="str">
            <v>.</v>
          </cell>
        </row>
        <row r="724">
          <cell r="CA724" t="str">
            <v>.</v>
          </cell>
        </row>
        <row r="725">
          <cell r="CA725" t="str">
            <v>.</v>
          </cell>
        </row>
        <row r="726">
          <cell r="CA726" t="str">
            <v>.</v>
          </cell>
        </row>
        <row r="727">
          <cell r="CA727" t="str">
            <v>.</v>
          </cell>
        </row>
        <row r="728">
          <cell r="CA728" t="str">
            <v>.</v>
          </cell>
        </row>
        <row r="729">
          <cell r="CA729" t="str">
            <v>.</v>
          </cell>
        </row>
        <row r="730">
          <cell r="CA730" t="str">
            <v>.</v>
          </cell>
        </row>
        <row r="731">
          <cell r="CA731" t="str">
            <v>.</v>
          </cell>
        </row>
        <row r="732">
          <cell r="CA732" t="str">
            <v>.</v>
          </cell>
        </row>
        <row r="733">
          <cell r="CA733" t="str">
            <v>.</v>
          </cell>
        </row>
        <row r="734">
          <cell r="CA734" t="str">
            <v>.</v>
          </cell>
        </row>
        <row r="735">
          <cell r="CA735" t="str">
            <v>.</v>
          </cell>
        </row>
        <row r="736">
          <cell r="CA736" t="str">
            <v>.</v>
          </cell>
        </row>
        <row r="737">
          <cell r="CA737" t="str">
            <v>.</v>
          </cell>
        </row>
        <row r="738">
          <cell r="CA738" t="str">
            <v>.</v>
          </cell>
        </row>
        <row r="739">
          <cell r="CA739" t="str">
            <v>.</v>
          </cell>
        </row>
        <row r="740">
          <cell r="CA740" t="str">
            <v>.</v>
          </cell>
        </row>
        <row r="741">
          <cell r="CA741" t="str">
            <v>.</v>
          </cell>
        </row>
        <row r="742">
          <cell r="CA742" t="str">
            <v>.</v>
          </cell>
        </row>
        <row r="743">
          <cell r="CA743" t="str">
            <v>.</v>
          </cell>
        </row>
        <row r="744">
          <cell r="CA744" t="str">
            <v>.</v>
          </cell>
        </row>
        <row r="745">
          <cell r="CA745" t="str">
            <v>.</v>
          </cell>
        </row>
        <row r="746">
          <cell r="CA746" t="str">
            <v>.</v>
          </cell>
        </row>
        <row r="747">
          <cell r="CA747" t="str">
            <v>.</v>
          </cell>
        </row>
        <row r="748">
          <cell r="CA748" t="str">
            <v>.</v>
          </cell>
        </row>
        <row r="749">
          <cell r="CA749" t="str">
            <v>.</v>
          </cell>
        </row>
        <row r="750">
          <cell r="CA750" t="str">
            <v>.</v>
          </cell>
        </row>
        <row r="751">
          <cell r="CA751" t="str">
            <v>.</v>
          </cell>
        </row>
        <row r="752">
          <cell r="CA752" t="str">
            <v>.</v>
          </cell>
        </row>
        <row r="753">
          <cell r="CA753" t="str">
            <v>.</v>
          </cell>
        </row>
        <row r="754">
          <cell r="CA754" t="str">
            <v>.</v>
          </cell>
        </row>
        <row r="755">
          <cell r="CA755" t="str">
            <v>.</v>
          </cell>
        </row>
        <row r="756">
          <cell r="CA756" t="str">
            <v>.</v>
          </cell>
        </row>
        <row r="757">
          <cell r="CA757" t="str">
            <v>.</v>
          </cell>
        </row>
        <row r="758">
          <cell r="CA758" t="str">
            <v>.</v>
          </cell>
        </row>
        <row r="759">
          <cell r="CA759" t="str">
            <v>.</v>
          </cell>
        </row>
        <row r="760">
          <cell r="CA760" t="str">
            <v>.</v>
          </cell>
        </row>
        <row r="761">
          <cell r="CA761" t="str">
            <v>.</v>
          </cell>
        </row>
        <row r="762">
          <cell r="CA762" t="str">
            <v>.</v>
          </cell>
        </row>
        <row r="763">
          <cell r="CA763" t="str">
            <v>.</v>
          </cell>
        </row>
        <row r="764">
          <cell r="CA764" t="str">
            <v>.</v>
          </cell>
        </row>
        <row r="765">
          <cell r="CA765" t="str">
            <v>.</v>
          </cell>
        </row>
        <row r="766">
          <cell r="CA766" t="str">
            <v>.</v>
          </cell>
        </row>
        <row r="767">
          <cell r="CA767" t="str">
            <v>.</v>
          </cell>
        </row>
        <row r="768">
          <cell r="CA768" t="str">
            <v>.</v>
          </cell>
        </row>
        <row r="769">
          <cell r="CA769" t="str">
            <v>.</v>
          </cell>
        </row>
        <row r="770">
          <cell r="CA770" t="str">
            <v>.</v>
          </cell>
        </row>
        <row r="771">
          <cell r="CA771" t="str">
            <v>.</v>
          </cell>
        </row>
        <row r="772">
          <cell r="CA772" t="str">
            <v>.</v>
          </cell>
        </row>
        <row r="773">
          <cell r="CA773" t="str">
            <v>.</v>
          </cell>
        </row>
        <row r="774">
          <cell r="CA774" t="str">
            <v>.</v>
          </cell>
        </row>
        <row r="775">
          <cell r="CA775" t="str">
            <v>.</v>
          </cell>
        </row>
        <row r="776">
          <cell r="CA776" t="str">
            <v>.</v>
          </cell>
        </row>
        <row r="777">
          <cell r="CA777" t="str">
            <v>.</v>
          </cell>
        </row>
        <row r="778">
          <cell r="CA778" t="str">
            <v>.</v>
          </cell>
        </row>
        <row r="779">
          <cell r="CA779" t="str">
            <v>.</v>
          </cell>
        </row>
        <row r="780">
          <cell r="CA780" t="str">
            <v>.</v>
          </cell>
        </row>
        <row r="781">
          <cell r="CA781" t="str">
            <v>.</v>
          </cell>
        </row>
        <row r="782">
          <cell r="CA782" t="str">
            <v>.</v>
          </cell>
        </row>
        <row r="783">
          <cell r="CA783" t="str">
            <v>.</v>
          </cell>
        </row>
        <row r="784">
          <cell r="CA784" t="str">
            <v>.</v>
          </cell>
        </row>
        <row r="785">
          <cell r="CA785" t="str">
            <v>.</v>
          </cell>
        </row>
        <row r="786">
          <cell r="CA786" t="str">
            <v>.</v>
          </cell>
        </row>
        <row r="787">
          <cell r="CA787" t="str">
            <v>.</v>
          </cell>
        </row>
        <row r="788">
          <cell r="CA788" t="str">
            <v>.</v>
          </cell>
        </row>
        <row r="789">
          <cell r="CA789" t="str">
            <v>.</v>
          </cell>
        </row>
        <row r="790">
          <cell r="CA790" t="str">
            <v>.</v>
          </cell>
        </row>
        <row r="791">
          <cell r="CA791" t="str">
            <v>.</v>
          </cell>
        </row>
        <row r="792">
          <cell r="CA792" t="str">
            <v>.</v>
          </cell>
        </row>
        <row r="793">
          <cell r="CA793" t="str">
            <v>.</v>
          </cell>
        </row>
        <row r="794">
          <cell r="CA794" t="str">
            <v>.</v>
          </cell>
        </row>
        <row r="795">
          <cell r="CA795" t="str">
            <v>.</v>
          </cell>
        </row>
        <row r="796">
          <cell r="CA796" t="str">
            <v>.</v>
          </cell>
        </row>
        <row r="797">
          <cell r="CA797" t="str">
            <v>.</v>
          </cell>
        </row>
        <row r="798">
          <cell r="CA798" t="str">
            <v>.</v>
          </cell>
        </row>
        <row r="799">
          <cell r="CA799" t="str">
            <v>.</v>
          </cell>
        </row>
        <row r="800">
          <cell r="CA800" t="str">
            <v>.</v>
          </cell>
        </row>
        <row r="801">
          <cell r="CA801" t="str">
            <v>.</v>
          </cell>
        </row>
        <row r="802">
          <cell r="CA802" t="str">
            <v>.</v>
          </cell>
        </row>
        <row r="803">
          <cell r="CA803" t="str">
            <v>.</v>
          </cell>
        </row>
        <row r="804">
          <cell r="CA804" t="str">
            <v>.</v>
          </cell>
        </row>
        <row r="805">
          <cell r="CA805" t="str">
            <v>.</v>
          </cell>
        </row>
        <row r="806">
          <cell r="CA806" t="str">
            <v>.</v>
          </cell>
        </row>
        <row r="807">
          <cell r="CA807" t="str">
            <v>.</v>
          </cell>
        </row>
        <row r="808">
          <cell r="CA808" t="str">
            <v>.</v>
          </cell>
        </row>
        <row r="809">
          <cell r="CA809" t="str">
            <v>.</v>
          </cell>
        </row>
        <row r="810">
          <cell r="CA810" t="str">
            <v>.</v>
          </cell>
        </row>
        <row r="811">
          <cell r="CA811" t="str">
            <v>.</v>
          </cell>
        </row>
        <row r="812">
          <cell r="CA812" t="str">
            <v>.</v>
          </cell>
        </row>
        <row r="813">
          <cell r="CA813" t="str">
            <v>.</v>
          </cell>
        </row>
        <row r="814">
          <cell r="CA814" t="str">
            <v>.</v>
          </cell>
        </row>
        <row r="815">
          <cell r="CA815" t="str">
            <v>.</v>
          </cell>
        </row>
        <row r="816">
          <cell r="CA816" t="str">
            <v>.</v>
          </cell>
        </row>
        <row r="817">
          <cell r="CA817" t="str">
            <v>.</v>
          </cell>
        </row>
        <row r="818">
          <cell r="CA818" t="str">
            <v>.</v>
          </cell>
        </row>
        <row r="819">
          <cell r="CA819" t="str">
            <v>.</v>
          </cell>
        </row>
        <row r="820">
          <cell r="CA820" t="str">
            <v>.</v>
          </cell>
        </row>
        <row r="821">
          <cell r="CA821" t="str">
            <v>.</v>
          </cell>
        </row>
        <row r="822">
          <cell r="CA822" t="str">
            <v>.</v>
          </cell>
        </row>
        <row r="823">
          <cell r="CA823" t="str">
            <v>.</v>
          </cell>
        </row>
        <row r="824">
          <cell r="CA824" t="str">
            <v>.</v>
          </cell>
        </row>
        <row r="825">
          <cell r="CA825" t="str">
            <v>.</v>
          </cell>
        </row>
        <row r="826">
          <cell r="CA826" t="str">
            <v>.</v>
          </cell>
        </row>
        <row r="827">
          <cell r="CA827" t="str">
            <v>.</v>
          </cell>
        </row>
        <row r="828">
          <cell r="CA828" t="str">
            <v>.</v>
          </cell>
        </row>
        <row r="829">
          <cell r="CA829" t="str">
            <v>.</v>
          </cell>
        </row>
        <row r="830">
          <cell r="CA830" t="str">
            <v>.</v>
          </cell>
        </row>
        <row r="831">
          <cell r="CA831" t="str">
            <v>.</v>
          </cell>
        </row>
        <row r="832">
          <cell r="CA832" t="str">
            <v>.</v>
          </cell>
        </row>
        <row r="833">
          <cell r="CA833" t="str">
            <v>.</v>
          </cell>
        </row>
        <row r="834">
          <cell r="CA834" t="str">
            <v>.</v>
          </cell>
        </row>
        <row r="835">
          <cell r="CA835" t="str">
            <v>.</v>
          </cell>
        </row>
        <row r="836">
          <cell r="CA836" t="str">
            <v>.</v>
          </cell>
        </row>
        <row r="837">
          <cell r="CA837" t="str">
            <v>.</v>
          </cell>
        </row>
        <row r="838">
          <cell r="CA838" t="str">
            <v>.</v>
          </cell>
        </row>
        <row r="839">
          <cell r="CA839" t="str">
            <v>.</v>
          </cell>
        </row>
        <row r="840">
          <cell r="CA840" t="str">
            <v>.</v>
          </cell>
        </row>
        <row r="841">
          <cell r="CA841" t="str">
            <v>.</v>
          </cell>
        </row>
        <row r="842">
          <cell r="CA842" t="str">
            <v>.</v>
          </cell>
        </row>
        <row r="843">
          <cell r="CA843" t="str">
            <v>.</v>
          </cell>
        </row>
        <row r="844">
          <cell r="CA844" t="str">
            <v>.</v>
          </cell>
        </row>
        <row r="845">
          <cell r="CA845" t="str">
            <v>.</v>
          </cell>
        </row>
        <row r="846">
          <cell r="CA846" t="str">
            <v>.</v>
          </cell>
        </row>
        <row r="847">
          <cell r="CA847" t="str">
            <v>.</v>
          </cell>
        </row>
        <row r="848">
          <cell r="CA848" t="str">
            <v>.</v>
          </cell>
        </row>
        <row r="849">
          <cell r="CA849" t="str">
            <v>.</v>
          </cell>
        </row>
        <row r="850">
          <cell r="CA850" t="str">
            <v>.</v>
          </cell>
        </row>
        <row r="851">
          <cell r="CA851" t="str">
            <v>.</v>
          </cell>
        </row>
        <row r="852">
          <cell r="CA852" t="str">
            <v>.</v>
          </cell>
        </row>
        <row r="853">
          <cell r="CA853" t="str">
            <v>.</v>
          </cell>
        </row>
        <row r="854">
          <cell r="CA854" t="str">
            <v>.</v>
          </cell>
        </row>
        <row r="855">
          <cell r="CA855" t="str">
            <v>.</v>
          </cell>
        </row>
        <row r="856">
          <cell r="CA856" t="str">
            <v>.</v>
          </cell>
        </row>
        <row r="857">
          <cell r="CA857" t="str">
            <v>.</v>
          </cell>
        </row>
        <row r="858">
          <cell r="CA858" t="str">
            <v>.</v>
          </cell>
        </row>
        <row r="859">
          <cell r="CA859" t="str">
            <v>.</v>
          </cell>
        </row>
        <row r="860">
          <cell r="CA860" t="str">
            <v>.</v>
          </cell>
        </row>
        <row r="861">
          <cell r="CA861" t="str">
            <v>.</v>
          </cell>
        </row>
        <row r="862">
          <cell r="CA862" t="str">
            <v>.</v>
          </cell>
        </row>
        <row r="863">
          <cell r="CA863" t="str">
            <v>.</v>
          </cell>
        </row>
        <row r="864">
          <cell r="CA864" t="str">
            <v>.</v>
          </cell>
        </row>
        <row r="865">
          <cell r="CA865" t="str">
            <v>.</v>
          </cell>
        </row>
        <row r="866">
          <cell r="CA866" t="str">
            <v>.</v>
          </cell>
        </row>
        <row r="867">
          <cell r="CA867" t="str">
            <v>.</v>
          </cell>
        </row>
        <row r="868">
          <cell r="CA868" t="str">
            <v>.</v>
          </cell>
        </row>
        <row r="869">
          <cell r="CA869" t="str">
            <v>.</v>
          </cell>
        </row>
        <row r="870">
          <cell r="CA870" t="str">
            <v>.</v>
          </cell>
        </row>
        <row r="871">
          <cell r="CA871" t="str">
            <v>.</v>
          </cell>
        </row>
        <row r="872">
          <cell r="CA872" t="str">
            <v>.</v>
          </cell>
        </row>
        <row r="873">
          <cell r="CA873" t="str">
            <v>.</v>
          </cell>
        </row>
        <row r="874">
          <cell r="CA874" t="str">
            <v>.</v>
          </cell>
        </row>
        <row r="875">
          <cell r="CA875" t="str">
            <v>.</v>
          </cell>
        </row>
        <row r="876">
          <cell r="CA876" t="str">
            <v>.</v>
          </cell>
        </row>
        <row r="877">
          <cell r="CA877" t="str">
            <v>.</v>
          </cell>
        </row>
        <row r="878">
          <cell r="CA878" t="str">
            <v>.</v>
          </cell>
        </row>
        <row r="879">
          <cell r="CA879" t="str">
            <v>.</v>
          </cell>
        </row>
        <row r="880">
          <cell r="CA880" t="str">
            <v>.</v>
          </cell>
        </row>
        <row r="881">
          <cell r="CA881" t="str">
            <v>.</v>
          </cell>
        </row>
        <row r="882">
          <cell r="CA882" t="str">
            <v>.</v>
          </cell>
        </row>
        <row r="883">
          <cell r="CA883" t="str">
            <v>.</v>
          </cell>
        </row>
        <row r="884">
          <cell r="CA884" t="str">
            <v>.</v>
          </cell>
        </row>
        <row r="885">
          <cell r="CA885" t="str">
            <v>.</v>
          </cell>
        </row>
        <row r="886">
          <cell r="CA886" t="str">
            <v>.</v>
          </cell>
        </row>
        <row r="887">
          <cell r="CA887" t="str">
            <v>.</v>
          </cell>
        </row>
        <row r="888">
          <cell r="CA888" t="str">
            <v>.</v>
          </cell>
        </row>
        <row r="889">
          <cell r="CA889" t="str">
            <v>.</v>
          </cell>
        </row>
        <row r="890">
          <cell r="CA890" t="str">
            <v>.</v>
          </cell>
        </row>
        <row r="891">
          <cell r="CA891" t="str">
            <v>.</v>
          </cell>
        </row>
        <row r="892">
          <cell r="CA892" t="str">
            <v>.</v>
          </cell>
        </row>
        <row r="893">
          <cell r="CA893" t="str">
            <v>.</v>
          </cell>
        </row>
        <row r="894">
          <cell r="CA894" t="str">
            <v>.</v>
          </cell>
        </row>
        <row r="895">
          <cell r="CA895" t="str">
            <v>.</v>
          </cell>
        </row>
        <row r="896">
          <cell r="CA896" t="str">
            <v>.</v>
          </cell>
        </row>
        <row r="897">
          <cell r="CA897" t="str">
            <v>.</v>
          </cell>
        </row>
        <row r="898">
          <cell r="CA898" t="str">
            <v>.</v>
          </cell>
        </row>
        <row r="899">
          <cell r="CA899" t="str">
            <v>.</v>
          </cell>
        </row>
        <row r="900">
          <cell r="CA900" t="str">
            <v>.</v>
          </cell>
        </row>
        <row r="901">
          <cell r="CA901" t="str">
            <v>.</v>
          </cell>
        </row>
        <row r="902">
          <cell r="CA902" t="str">
            <v>.</v>
          </cell>
        </row>
        <row r="903">
          <cell r="CA903" t="str">
            <v>.</v>
          </cell>
        </row>
        <row r="904">
          <cell r="CA904" t="str">
            <v>.</v>
          </cell>
        </row>
        <row r="905">
          <cell r="CA905" t="str">
            <v>.</v>
          </cell>
        </row>
        <row r="906">
          <cell r="CA906" t="str">
            <v>.</v>
          </cell>
        </row>
        <row r="907">
          <cell r="CA907" t="str">
            <v>.</v>
          </cell>
        </row>
        <row r="908">
          <cell r="CA908" t="str">
            <v>.</v>
          </cell>
        </row>
        <row r="909">
          <cell r="CA909" t="str">
            <v>.</v>
          </cell>
        </row>
        <row r="910">
          <cell r="CA910" t="str">
            <v>.</v>
          </cell>
        </row>
        <row r="911">
          <cell r="CA911" t="str">
            <v>.</v>
          </cell>
        </row>
        <row r="912">
          <cell r="CA912" t="str">
            <v>.</v>
          </cell>
        </row>
        <row r="913">
          <cell r="CA913" t="str">
            <v>.</v>
          </cell>
        </row>
        <row r="914">
          <cell r="CA914" t="str">
            <v>.</v>
          </cell>
        </row>
        <row r="915">
          <cell r="CA915" t="str">
            <v>.</v>
          </cell>
        </row>
        <row r="916">
          <cell r="CA916" t="str">
            <v>.</v>
          </cell>
        </row>
        <row r="917">
          <cell r="CA917" t="str">
            <v>.</v>
          </cell>
        </row>
        <row r="918">
          <cell r="CA918" t="str">
            <v>.</v>
          </cell>
        </row>
        <row r="919">
          <cell r="CA919" t="str">
            <v>.</v>
          </cell>
        </row>
        <row r="920">
          <cell r="CA920" t="str">
            <v>.</v>
          </cell>
        </row>
        <row r="921">
          <cell r="CA921" t="str">
            <v>.</v>
          </cell>
        </row>
        <row r="922">
          <cell r="CA922" t="str">
            <v>.</v>
          </cell>
        </row>
        <row r="923">
          <cell r="CA923" t="str">
            <v>.</v>
          </cell>
        </row>
        <row r="924">
          <cell r="CA924" t="str">
            <v>.</v>
          </cell>
        </row>
        <row r="925">
          <cell r="CA925" t="str">
            <v>.</v>
          </cell>
        </row>
        <row r="926">
          <cell r="CA926" t="str">
            <v>.</v>
          </cell>
        </row>
        <row r="927">
          <cell r="CA927" t="str">
            <v>.</v>
          </cell>
        </row>
        <row r="928">
          <cell r="CA928" t="str">
            <v>.</v>
          </cell>
        </row>
        <row r="929">
          <cell r="CA929" t="str">
            <v>.</v>
          </cell>
        </row>
        <row r="930">
          <cell r="CA930" t="str">
            <v>.</v>
          </cell>
        </row>
        <row r="931">
          <cell r="CA931" t="str">
            <v>.</v>
          </cell>
        </row>
        <row r="932">
          <cell r="CA932" t="str">
            <v>.</v>
          </cell>
        </row>
        <row r="933">
          <cell r="CA933" t="str">
            <v>.</v>
          </cell>
        </row>
        <row r="934">
          <cell r="CA934" t="str">
            <v>.</v>
          </cell>
        </row>
        <row r="935">
          <cell r="CA935" t="str">
            <v>.</v>
          </cell>
        </row>
        <row r="936">
          <cell r="CA936" t="str">
            <v>.</v>
          </cell>
        </row>
        <row r="937">
          <cell r="CA937" t="str">
            <v>.</v>
          </cell>
        </row>
        <row r="938">
          <cell r="CA938" t="str">
            <v>.</v>
          </cell>
        </row>
        <row r="939">
          <cell r="CA939" t="str">
            <v>.</v>
          </cell>
        </row>
        <row r="940">
          <cell r="CA940" t="str">
            <v>.</v>
          </cell>
        </row>
        <row r="941">
          <cell r="CA941" t="str">
            <v>.</v>
          </cell>
        </row>
        <row r="942">
          <cell r="CA942" t="str">
            <v>.</v>
          </cell>
        </row>
        <row r="943">
          <cell r="CA943" t="str">
            <v>.</v>
          </cell>
        </row>
        <row r="944">
          <cell r="CA944" t="str">
            <v>.</v>
          </cell>
        </row>
        <row r="945">
          <cell r="CA945" t="str">
            <v>.</v>
          </cell>
        </row>
        <row r="946">
          <cell r="CA946" t="str">
            <v>.</v>
          </cell>
        </row>
        <row r="947">
          <cell r="CA947" t="str">
            <v>.</v>
          </cell>
        </row>
        <row r="948">
          <cell r="CA948" t="str">
            <v>.</v>
          </cell>
        </row>
        <row r="949">
          <cell r="CA949" t="str">
            <v>.</v>
          </cell>
        </row>
        <row r="950">
          <cell r="CA950" t="str">
            <v>.</v>
          </cell>
        </row>
        <row r="951">
          <cell r="CA951" t="str">
            <v>.</v>
          </cell>
        </row>
        <row r="952">
          <cell r="CA952" t="str">
            <v>.</v>
          </cell>
        </row>
        <row r="953">
          <cell r="CA953" t="str">
            <v>.</v>
          </cell>
        </row>
        <row r="954">
          <cell r="CA954" t="str">
            <v>.</v>
          </cell>
        </row>
        <row r="955">
          <cell r="CA955" t="str">
            <v>.</v>
          </cell>
        </row>
        <row r="956">
          <cell r="CA956" t="str">
            <v>.</v>
          </cell>
        </row>
        <row r="957">
          <cell r="CA957" t="str">
            <v>.</v>
          </cell>
        </row>
        <row r="958">
          <cell r="CA958" t="str">
            <v>.</v>
          </cell>
        </row>
        <row r="959">
          <cell r="CA959" t="str">
            <v>.</v>
          </cell>
        </row>
        <row r="960">
          <cell r="CA960" t="str">
            <v>.</v>
          </cell>
        </row>
        <row r="961">
          <cell r="CA961" t="str">
            <v>.</v>
          </cell>
        </row>
        <row r="962">
          <cell r="CA962" t="str">
            <v>.</v>
          </cell>
        </row>
        <row r="963">
          <cell r="CA963" t="str">
            <v>.</v>
          </cell>
        </row>
        <row r="964">
          <cell r="CA964" t="str">
            <v>.</v>
          </cell>
        </row>
        <row r="965">
          <cell r="CA965" t="str">
            <v>.</v>
          </cell>
        </row>
        <row r="966">
          <cell r="CA966" t="str">
            <v>.</v>
          </cell>
        </row>
        <row r="967">
          <cell r="CA967" t="str">
            <v>.</v>
          </cell>
        </row>
        <row r="968">
          <cell r="CA968" t="str">
            <v>.</v>
          </cell>
        </row>
        <row r="969">
          <cell r="CA969" t="str">
            <v>.</v>
          </cell>
        </row>
        <row r="970">
          <cell r="CA970" t="str">
            <v>.</v>
          </cell>
        </row>
        <row r="971">
          <cell r="CA971" t="str">
            <v>.</v>
          </cell>
        </row>
        <row r="972">
          <cell r="CA972" t="str">
            <v>.</v>
          </cell>
        </row>
        <row r="973">
          <cell r="CA973" t="str">
            <v>.</v>
          </cell>
        </row>
        <row r="974">
          <cell r="CA974" t="str">
            <v>.</v>
          </cell>
        </row>
        <row r="975">
          <cell r="CA975" t="str">
            <v>.</v>
          </cell>
        </row>
        <row r="976">
          <cell r="CA976" t="str">
            <v>.</v>
          </cell>
        </row>
        <row r="977">
          <cell r="CA977" t="str">
            <v>.</v>
          </cell>
        </row>
        <row r="978">
          <cell r="CA978" t="str">
            <v>.</v>
          </cell>
        </row>
        <row r="979">
          <cell r="CA979" t="str">
            <v>.</v>
          </cell>
        </row>
        <row r="980">
          <cell r="CA980" t="str">
            <v>.</v>
          </cell>
        </row>
        <row r="981">
          <cell r="CA981" t="str">
            <v>.</v>
          </cell>
        </row>
        <row r="982">
          <cell r="CA982" t="str">
            <v>.</v>
          </cell>
        </row>
        <row r="983">
          <cell r="CA983" t="str">
            <v>.</v>
          </cell>
        </row>
        <row r="984">
          <cell r="CA984" t="str">
            <v>.</v>
          </cell>
        </row>
        <row r="985">
          <cell r="CA985" t="str">
            <v>.</v>
          </cell>
        </row>
        <row r="986">
          <cell r="CA986" t="str">
            <v>.</v>
          </cell>
        </row>
        <row r="987">
          <cell r="CA987" t="str">
            <v>.</v>
          </cell>
        </row>
        <row r="988">
          <cell r="CA988" t="str">
            <v>.</v>
          </cell>
        </row>
        <row r="989">
          <cell r="CA989" t="str">
            <v>.</v>
          </cell>
        </row>
        <row r="990">
          <cell r="CA990" t="str">
            <v>.</v>
          </cell>
        </row>
        <row r="991">
          <cell r="CA991" t="str">
            <v>.</v>
          </cell>
        </row>
        <row r="992">
          <cell r="CA992" t="str">
            <v>.</v>
          </cell>
        </row>
        <row r="993">
          <cell r="CA993" t="str">
            <v>.</v>
          </cell>
        </row>
        <row r="994">
          <cell r="CA994" t="str">
            <v>.</v>
          </cell>
        </row>
        <row r="995">
          <cell r="CA995" t="str">
            <v>.</v>
          </cell>
        </row>
        <row r="996">
          <cell r="CA996" t="str">
            <v>.</v>
          </cell>
        </row>
        <row r="997">
          <cell r="CA997" t="str">
            <v>.</v>
          </cell>
        </row>
        <row r="998">
          <cell r="CA998" t="str">
            <v>.</v>
          </cell>
        </row>
        <row r="999">
          <cell r="A999" t="str">
            <v>.</v>
          </cell>
          <cell r="B999" t="str">
            <v>.</v>
          </cell>
          <cell r="G999" t="str">
            <v>.</v>
          </cell>
          <cell r="I999" t="str">
            <v>.</v>
          </cell>
          <cell r="W999" t="str">
            <v>.</v>
          </cell>
          <cell r="AS999" t="str">
            <v>.</v>
          </cell>
          <cell r="AT999" t="str">
            <v>.</v>
          </cell>
          <cell r="AU999" t="str">
            <v>.</v>
          </cell>
          <cell r="AV999" t="str">
            <v>.</v>
          </cell>
          <cell r="AW999" t="str">
            <v>.</v>
          </cell>
          <cell r="AX999" t="str">
            <v>.</v>
          </cell>
          <cell r="AY999" t="str">
            <v>.</v>
          </cell>
          <cell r="AZ999" t="str">
            <v>.</v>
          </cell>
          <cell r="BA999" t="str">
            <v>.</v>
          </cell>
          <cell r="BB999" t="str">
            <v>.</v>
          </cell>
          <cell r="BC999" t="str">
            <v>.</v>
          </cell>
          <cell r="BD999" t="str">
            <v>.</v>
          </cell>
          <cell r="BE999" t="str">
            <v>.</v>
          </cell>
          <cell r="BF999" t="str">
            <v>.</v>
          </cell>
          <cell r="BG999" t="str">
            <v>.</v>
          </cell>
          <cell r="BH999" t="str">
            <v>.</v>
          </cell>
          <cell r="BI999" t="str">
            <v>.</v>
          </cell>
          <cell r="BJ999" t="str">
            <v>.</v>
          </cell>
          <cell r="BK999" t="str">
            <v>.</v>
          </cell>
          <cell r="BL999" t="str">
            <v>.</v>
          </cell>
          <cell r="BM999" t="str">
            <v>.</v>
          </cell>
          <cell r="BN999" t="str">
            <v>.</v>
          </cell>
          <cell r="BO999" t="str">
            <v>.</v>
          </cell>
          <cell r="BP999" t="str">
            <v>.</v>
          </cell>
          <cell r="BQ999" t="str">
            <v>.</v>
          </cell>
          <cell r="BR999" t="str">
            <v>.</v>
          </cell>
          <cell r="BS999" t="str">
            <v>.</v>
          </cell>
          <cell r="BT999" t="str">
            <v>.</v>
          </cell>
          <cell r="BU999" t="str">
            <v>.</v>
          </cell>
          <cell r="BV999" t="str">
            <v>.</v>
          </cell>
          <cell r="BW999" t="str">
            <v>.</v>
          </cell>
          <cell r="BX999" t="str">
            <v>.</v>
          </cell>
          <cell r="BY999" t="str">
            <v>.</v>
          </cell>
          <cell r="BZ999" t="str">
            <v>.</v>
          </cell>
          <cell r="CA999" t="str">
            <v>.</v>
          </cell>
        </row>
      </sheetData>
      <sheetData sheetId="13">
        <row r="1">
          <cell r="C1" t="str">
            <v>mstag:revenueNet</v>
          </cell>
          <cell r="G1" t="str">
            <v>Total Sales % Change</v>
          </cell>
          <cell r="K1" t="str">
            <v>Operating Margin</v>
          </cell>
          <cell r="O1" t="str">
            <v>mstag:adjEpsForConsensus</v>
          </cell>
        </row>
        <row r="2">
          <cell r="C2" t="str">
            <v>Sales</v>
          </cell>
          <cell r="G2" t="str">
            <v>Sales Growth</v>
          </cell>
          <cell r="K2" t="str">
            <v>Operating Margin</v>
          </cell>
          <cell r="O2" t="str">
            <v>EPS</v>
          </cell>
        </row>
        <row r="3">
          <cell r="A3" t="str">
            <v>Name</v>
          </cell>
          <cell r="B3" t="str">
            <v>Ticker</v>
          </cell>
          <cell r="C3" t="str">
            <v>MS</v>
          </cell>
          <cell r="D3" t="str">
            <v>Cons.</v>
          </cell>
          <cell r="E3" t="str">
            <v>MS vs C</v>
          </cell>
          <cell r="G3" t="str">
            <v>MS</v>
          </cell>
          <cell r="H3" t="str">
            <v>Cons.</v>
          </cell>
          <cell r="I3" t="str">
            <v>MS vs C</v>
          </cell>
          <cell r="K3" t="str">
            <v>MS</v>
          </cell>
          <cell r="L3" t="str">
            <v>Cons.</v>
          </cell>
          <cell r="M3" t="str">
            <v>MS vs C</v>
          </cell>
          <cell r="O3" t="str">
            <v>MS</v>
          </cell>
          <cell r="P3" t="str">
            <v>Cons.</v>
          </cell>
          <cell r="Q3" t="str">
            <v>MS vs C</v>
          </cell>
          <cell r="S3" t="str">
            <v>Name</v>
          </cell>
          <cell r="T3" t="str">
            <v>Ticker</v>
          </cell>
          <cell r="U3" t="str">
            <v>Release Date</v>
          </cell>
          <cell r="V3" t="str">
            <v>Release Time</v>
          </cell>
          <cell r="W3" t="str">
            <v>Conf Call Date</v>
          </cell>
          <cell r="X3" t="str">
            <v>Conf Call Time</v>
          </cell>
          <cell r="Y3" t="str">
            <v>Confirmed/Projected</v>
          </cell>
          <cell r="AB3" t="str">
            <v>UA</v>
          </cell>
          <cell r="AC3" t="str">
            <v>JNY</v>
          </cell>
          <cell r="AD3" t="str">
            <v>RL</v>
          </cell>
          <cell r="AE3" t="str">
            <v>WRC</v>
          </cell>
          <cell r="AF3" t="str">
            <v>LIZ</v>
          </cell>
          <cell r="AG3" t="str">
            <v>PVH</v>
          </cell>
          <cell r="AH3" t="str">
            <v>GES</v>
          </cell>
          <cell r="AI3" t="str">
            <v>Group Average</v>
          </cell>
        </row>
        <row r="4">
          <cell r="A4" t="str">
            <v>3Q09</v>
          </cell>
          <cell r="S4" t="str">
            <v>Under Armour</v>
          </cell>
          <cell r="T4" t="str">
            <v>UA</v>
          </cell>
          <cell r="U4" t="str">
            <v>7:00am</v>
          </cell>
          <cell r="V4">
            <v>0</v>
          </cell>
          <cell r="W4" t="str">
            <v>7:00am</v>
          </cell>
          <cell r="X4">
            <v>0</v>
          </cell>
          <cell r="Y4" t="str">
            <v>Confirmed</v>
          </cell>
          <cell r="AA4" t="str">
            <v>Sales</v>
          </cell>
          <cell r="AB4">
            <v>214.78640832525764</v>
          </cell>
          <cell r="AC4">
            <v>866.81399336316736</v>
          </cell>
          <cell r="AD4">
            <v>1269.2502193813905</v>
          </cell>
          <cell r="AE4">
            <v>597.08067638411103</v>
          </cell>
          <cell r="AF4">
            <v>628.96346254952391</v>
          </cell>
          <cell r="AG4">
            <v>599.47275927416752</v>
          </cell>
          <cell r="AH4">
            <v>512.7152527089213</v>
          </cell>
        </row>
        <row r="5">
          <cell r="A5" t="str">
            <v>Under Armour</v>
          </cell>
          <cell r="B5" t="str">
            <v>UA</v>
          </cell>
          <cell r="C5" t="e">
            <v>#N/A</v>
          </cell>
          <cell r="D5">
            <v>214.86</v>
          </cell>
          <cell r="E5" t="e">
            <v>#N/A</v>
          </cell>
          <cell r="G5" t="e">
            <v>#N/A</v>
          </cell>
          <cell r="H5">
            <v>7.4300000000000033E-2</v>
          </cell>
          <cell r="I5" t="e">
            <v>#N/A</v>
          </cell>
          <cell r="K5" t="e">
            <v>#N/A</v>
          </cell>
          <cell r="L5">
            <v>4.3015768407335002E-2</v>
          </cell>
          <cell r="M5" t="e">
            <v>#N/A</v>
          </cell>
          <cell r="O5" t="e">
            <v>#N/A</v>
          </cell>
          <cell r="P5">
            <v>0.10034075000000001</v>
          </cell>
          <cell r="Q5" t="e">
            <v>#N/A</v>
          </cell>
          <cell r="S5" t="str">
            <v>Jones Apparel Group</v>
          </cell>
          <cell r="T5" t="str">
            <v>JNY</v>
          </cell>
          <cell r="U5" t="str">
            <v>7:00am</v>
          </cell>
          <cell r="V5">
            <v>0</v>
          </cell>
          <cell r="W5" t="str">
            <v>7:00am</v>
          </cell>
          <cell r="X5">
            <v>0</v>
          </cell>
          <cell r="Y5" t="str">
            <v>Confirmed</v>
          </cell>
          <cell r="AA5" t="str">
            <v>Sales Growth</v>
          </cell>
          <cell r="AB5">
            <v>7.3932041626288303E-2</v>
          </cell>
          <cell r="AC5">
            <v>-2.8997430981105077E-2</v>
          </cell>
          <cell r="AD5">
            <v>3.663036538826403E-2</v>
          </cell>
          <cell r="AE5">
            <v>0.11013728215637064</v>
          </cell>
          <cell r="AF5">
            <v>-0.19329011492176262</v>
          </cell>
          <cell r="AG5">
            <v>7.5432137550643708E-2</v>
          </cell>
          <cell r="AH5">
            <v>0.16208996060507874</v>
          </cell>
          <cell r="AI5">
            <v>3.3704891631968249E-2</v>
          </cell>
        </row>
        <row r="6">
          <cell r="A6" t="str">
            <v>Jones Apparel</v>
          </cell>
          <cell r="B6" t="str">
            <v>JNY</v>
          </cell>
          <cell r="C6" t="e">
            <v>#N/A</v>
          </cell>
          <cell r="D6">
            <v>864.08680000000004</v>
          </cell>
          <cell r="E6" t="e">
            <v>#N/A</v>
          </cell>
          <cell r="G6" t="e">
            <v>#N/A</v>
          </cell>
          <cell r="H6">
            <v>-3.2052425226839709E-2</v>
          </cell>
          <cell r="I6" t="e">
            <v>#N/A</v>
          </cell>
          <cell r="K6" t="e">
            <v>#N/A</v>
          </cell>
          <cell r="L6">
            <v>6.2044600148966518E-2</v>
          </cell>
          <cell r="M6" t="e">
            <v>#N/A</v>
          </cell>
          <cell r="O6" t="e">
            <v>#N/A</v>
          </cell>
          <cell r="P6">
            <v>0.3370881</v>
          </cell>
          <cell r="Q6" t="e">
            <v>#N/A</v>
          </cell>
          <cell r="S6" t="str">
            <v>Polo Ralph Lauren</v>
          </cell>
          <cell r="T6" t="str">
            <v>RL</v>
          </cell>
          <cell r="U6" t="str">
            <v>8:00am</v>
          </cell>
          <cell r="V6">
            <v>0</v>
          </cell>
          <cell r="W6" t="str">
            <v>8:00am</v>
          </cell>
          <cell r="X6">
            <v>0</v>
          </cell>
          <cell r="Y6" t="str">
            <v>Confirmed</v>
          </cell>
        </row>
        <row r="7">
          <cell r="A7" t="str">
            <v>Ralph Lauren</v>
          </cell>
          <cell r="B7" t="str">
            <v>RL</v>
          </cell>
          <cell r="C7" t="e">
            <v>#N/A</v>
          </cell>
          <cell r="D7">
            <v>1236.9849999999999</v>
          </cell>
          <cell r="E7" t="e">
            <v>#N/A</v>
          </cell>
          <cell r="G7" t="e">
            <v>#N/A</v>
          </cell>
          <cell r="H7">
            <v>1.0278503756941948E-2</v>
          </cell>
          <cell r="I7" t="e">
            <v>#N/A</v>
          </cell>
          <cell r="K7" t="e">
            <v>#N/A</v>
          </cell>
          <cell r="L7">
            <v>7.646775021524109E-2</v>
          </cell>
          <cell r="M7" t="e">
            <v>#N/A</v>
          </cell>
          <cell r="O7" t="e">
            <v>#N/A</v>
          </cell>
          <cell r="P7">
            <v>0.61383189999999999</v>
          </cell>
          <cell r="Q7" t="e">
            <v>#N/A</v>
          </cell>
          <cell r="S7" t="str">
            <v>Warnaco</v>
          </cell>
          <cell r="T7" t="str">
            <v>WRC</v>
          </cell>
          <cell r="U7" t="str">
            <v>7:30am</v>
          </cell>
          <cell r="V7">
            <v>0</v>
          </cell>
          <cell r="W7" t="str">
            <v>7:30am</v>
          </cell>
          <cell r="X7">
            <v>0</v>
          </cell>
          <cell r="Y7" t="str">
            <v>Projected</v>
          </cell>
          <cell r="AA7" t="str">
            <v>Gross Profit</v>
          </cell>
          <cell r="AB7">
            <v>101.32656205948193</v>
          </cell>
          <cell r="AC7">
            <v>307.8665876663847</v>
          </cell>
          <cell r="AD7">
            <v>723.63931521014706</v>
          </cell>
          <cell r="AE7">
            <v>263.80059562174603</v>
          </cell>
          <cell r="AF7">
            <v>318.17316651223837</v>
          </cell>
          <cell r="AG7">
            <v>296.78759848752674</v>
          </cell>
          <cell r="AH7">
            <v>221.18263057082578</v>
          </cell>
        </row>
        <row r="8">
          <cell r="A8" t="str">
            <v>Warnaco</v>
          </cell>
          <cell r="B8" t="str">
            <v>WRC</v>
          </cell>
          <cell r="C8" t="e">
            <v>#N/A</v>
          </cell>
          <cell r="D8">
            <v>576.10699999999997</v>
          </cell>
          <cell r="E8" t="e">
            <v>#N/A</v>
          </cell>
          <cell r="G8" t="e">
            <v>#N/A</v>
          </cell>
          <cell r="H8">
            <v>7.1141446218605964E-2</v>
          </cell>
          <cell r="I8" t="e">
            <v>#N/A</v>
          </cell>
          <cell r="K8" t="e">
            <v>#N/A</v>
          </cell>
          <cell r="L8">
            <v>0.13685265063607979</v>
          </cell>
          <cell r="M8" t="e">
            <v>#N/A</v>
          </cell>
          <cell r="O8" t="e">
            <v>#N/A</v>
          </cell>
          <cell r="P8">
            <v>1.0554539999999999</v>
          </cell>
          <cell r="Q8" t="e">
            <v>#N/A</v>
          </cell>
          <cell r="S8" t="str">
            <v>Liz Claiborne</v>
          </cell>
          <cell r="T8" t="str">
            <v>LIZ</v>
          </cell>
          <cell r="U8" t="str">
            <v>7:00am</v>
          </cell>
          <cell r="V8">
            <v>0</v>
          </cell>
          <cell r="W8" t="str">
            <v>7:00am</v>
          </cell>
          <cell r="X8">
            <v>0</v>
          </cell>
          <cell r="Y8" t="str">
            <v>Projected</v>
          </cell>
          <cell r="AA8" t="str">
            <v>Gross Margin</v>
          </cell>
          <cell r="AB8">
            <v>0.47175500000000004</v>
          </cell>
          <cell r="AC8">
            <v>0.35517030184513698</v>
          </cell>
          <cell r="AD8">
            <v>0.57013132963083968</v>
          </cell>
          <cell r="AE8">
            <v>0.44181733902243908</v>
          </cell>
          <cell r="AF8">
            <v>0.5058690773904625</v>
          </cell>
          <cell r="AG8">
            <v>0.49508104229268507</v>
          </cell>
          <cell r="AH8">
            <v>0.43139467648409435</v>
          </cell>
          <cell r="AI8">
            <v>0.46731696666652262</v>
          </cell>
        </row>
        <row r="9">
          <cell r="A9" t="str">
            <v>Liz Claiborne</v>
          </cell>
          <cell r="B9" t="str">
            <v>LIZ</v>
          </cell>
          <cell r="C9" t="e">
            <v>#N/A</v>
          </cell>
          <cell r="D9">
            <v>833.25</v>
          </cell>
          <cell r="E9" t="e">
            <v>#N/A</v>
          </cell>
          <cell r="G9" t="e">
            <v>#N/A</v>
          </cell>
          <cell r="H9">
            <v>6.8728235844882191E-2</v>
          </cell>
          <cell r="I9" t="e">
            <v>#N/A</v>
          </cell>
          <cell r="K9" t="e">
            <v>#N/A</v>
          </cell>
          <cell r="L9" t="str">
            <v>NA</v>
          </cell>
          <cell r="M9" t="e">
            <v>#N/A</v>
          </cell>
          <cell r="O9" t="e">
            <v>#N/A</v>
          </cell>
          <cell r="P9">
            <v>-0.19700000000000001</v>
          </cell>
          <cell r="Q9" t="e">
            <v>#N/A</v>
          </cell>
          <cell r="S9" t="str">
            <v>Phillips-Van Heusen</v>
          </cell>
          <cell r="T9" t="str">
            <v>PVH</v>
          </cell>
          <cell r="U9" t="str">
            <v>4:00pm</v>
          </cell>
          <cell r="V9">
            <v>0</v>
          </cell>
          <cell r="W9" t="e">
            <v>#VALUE!</v>
          </cell>
          <cell r="X9">
            <v>0</v>
          </cell>
          <cell r="Y9" t="str">
            <v>Confirmed</v>
          </cell>
          <cell r="AA9" t="str">
            <v>Gross Margin ∆</v>
          </cell>
          <cell r="AB9">
            <v>190.00000000000017</v>
          </cell>
          <cell r="AC9">
            <v>260.26546935474846</v>
          </cell>
          <cell r="AD9">
            <v>520.00000000000045</v>
          </cell>
          <cell r="AE9">
            <v>201.9322496706244</v>
          </cell>
          <cell r="AF9">
            <v>580.13908824475823</v>
          </cell>
          <cell r="AG9">
            <v>59.999999999999496</v>
          </cell>
          <cell r="AH9">
            <v>290.76912018465293</v>
          </cell>
          <cell r="AI9">
            <v>300.44370392211198</v>
          </cell>
        </row>
        <row r="10">
          <cell r="A10" t="str">
            <v>Phillips Van Heusen</v>
          </cell>
          <cell r="B10" t="str">
            <v>PVH</v>
          </cell>
          <cell r="C10" t="e">
            <v>#N/A</v>
          </cell>
          <cell r="D10">
            <v>582.41770000000008</v>
          </cell>
          <cell r="E10" t="e">
            <v>#N/A</v>
          </cell>
          <cell r="G10" t="e">
            <v>#N/A</v>
          </cell>
          <cell r="H10">
            <v>4.4835986904067981E-2</v>
          </cell>
          <cell r="I10" t="e">
            <v>#N/A</v>
          </cell>
          <cell r="K10" t="e">
            <v>#N/A</v>
          </cell>
          <cell r="L10">
            <v>0.12305821062787069</v>
          </cell>
          <cell r="M10" t="e">
            <v>#N/A</v>
          </cell>
          <cell r="O10" t="e">
            <v>#N/A</v>
          </cell>
          <cell r="P10">
            <v>0.73555549999999992</v>
          </cell>
          <cell r="Q10" t="e">
            <v>#N/A</v>
          </cell>
          <cell r="S10" t="str">
            <v>Guess</v>
          </cell>
          <cell r="T10" t="str">
            <v>GES</v>
          </cell>
          <cell r="U10" t="str">
            <v>4:00pm</v>
          </cell>
          <cell r="V10">
            <v>0</v>
          </cell>
          <cell r="W10" t="str">
            <v>4:00pm</v>
          </cell>
          <cell r="X10">
            <v>0</v>
          </cell>
          <cell r="Y10" t="str">
            <v>Projected</v>
          </cell>
        </row>
        <row r="11">
          <cell r="A11" t="str">
            <v>Guess</v>
          </cell>
          <cell r="B11" t="str">
            <v>GES</v>
          </cell>
          <cell r="C11" t="e">
            <v>#N/A</v>
          </cell>
          <cell r="D11">
            <v>505.16060000000004</v>
          </cell>
          <cell r="E11" t="e">
            <v>#N/A</v>
          </cell>
          <cell r="G11" t="e">
            <v>#N/A</v>
          </cell>
          <cell r="H11">
            <v>0.14496703316628956</v>
          </cell>
          <cell r="I11" t="e">
            <v>#N/A</v>
          </cell>
          <cell r="K11" t="e">
            <v>#N/A</v>
          </cell>
          <cell r="L11">
            <v>0.13145639228395881</v>
          </cell>
          <cell r="M11" t="e">
            <v>#N/A</v>
          </cell>
          <cell r="O11" t="e">
            <v>#N/A</v>
          </cell>
          <cell r="P11">
            <v>0.48545459999999996</v>
          </cell>
          <cell r="Q11" t="e">
            <v>#N/A</v>
          </cell>
          <cell r="AA11" t="str">
            <v>SG&amp;A</v>
          </cell>
          <cell r="AB11">
            <v>91.201999999999998</v>
          </cell>
          <cell r="AC11">
            <v>242.72567459367625</v>
          </cell>
          <cell r="AD11">
            <v>617.58926113190068</v>
          </cell>
          <cell r="AE11">
            <v>179.21286391771531</v>
          </cell>
          <cell r="AF11">
            <v>349.54764148875796</v>
          </cell>
          <cell r="AG11">
            <v>225.35576</v>
          </cell>
          <cell r="AH11">
            <v>152.75932179216377</v>
          </cell>
        </row>
        <row r="12">
          <cell r="AA12" t="str">
            <v>SG&amp;A Growth</v>
          </cell>
          <cell r="AB12">
            <v>0.10340572258181591</v>
          </cell>
          <cell r="AC12">
            <v>-7.6710589627362324E-3</v>
          </cell>
          <cell r="AD12">
            <v>0.18607501657749315</v>
          </cell>
          <cell r="AE12">
            <v>0.18480010523413548</v>
          </cell>
          <cell r="AF12">
            <v>-0.11021486466988772</v>
          </cell>
          <cell r="AG12">
            <v>3.0000000000000027E-2</v>
          </cell>
          <cell r="AH12">
            <v>0.17989110746328296</v>
          </cell>
          <cell r="AI12">
            <v>8.0898004032014789E-2</v>
          </cell>
        </row>
        <row r="13">
          <cell r="A13" t="str">
            <v>4Q09</v>
          </cell>
          <cell r="AA13" t="str">
            <v>Expense Ratio</v>
          </cell>
          <cell r="AB13">
            <v>0.42461718463064951</v>
          </cell>
          <cell r="AC13">
            <v>0.28002048473158642</v>
          </cell>
          <cell r="AD13">
            <v>0.4865780219702483</v>
          </cell>
          <cell r="AE13">
            <v>0.30014849082542566</v>
          </cell>
          <cell r="AF13">
            <v>0.55575190341240999</v>
          </cell>
          <cell r="AG13">
            <v>0.37592327009630483</v>
          </cell>
          <cell r="AH13">
            <v>0.29794183220620568</v>
          </cell>
          <cell r="AI13">
            <v>0.3887115982675472</v>
          </cell>
        </row>
        <row r="14">
          <cell r="A14" t="str">
            <v>Under Armour</v>
          </cell>
          <cell r="B14" t="str">
            <v>UA</v>
          </cell>
          <cell r="C14" t="e">
            <v>#N/A</v>
          </cell>
          <cell r="D14">
            <v>187.67500000000001</v>
          </cell>
          <cell r="E14" t="e">
            <v>#N/A</v>
          </cell>
          <cell r="G14" t="e">
            <v>#N/A</v>
          </cell>
          <cell r="H14">
            <v>4.6832032753417963E-2</v>
          </cell>
          <cell r="I14" t="e">
            <v>#N/A</v>
          </cell>
          <cell r="K14" t="e">
            <v>#N/A</v>
          </cell>
          <cell r="L14">
            <v>2.0807481017716796E-2</v>
          </cell>
          <cell r="M14" t="e">
            <v>#N/A</v>
          </cell>
          <cell r="O14" t="e">
            <v>#N/A</v>
          </cell>
          <cell r="P14">
            <v>3.6795920000000003E-2</v>
          </cell>
          <cell r="Q14" t="e">
            <v>#N/A</v>
          </cell>
          <cell r="AA14" t="str">
            <v>Expense Ratio ∆</v>
          </cell>
          <cell r="AB14">
            <v>113.4218463064951</v>
          </cell>
          <cell r="AC14">
            <v>60.179853506112103</v>
          </cell>
          <cell r="AD14">
            <v>613.08502205465516</v>
          </cell>
          <cell r="AE14">
            <v>189.14527073854603</v>
          </cell>
          <cell r="AF14">
            <v>518.8806445593508</v>
          </cell>
          <cell r="AG14">
            <v>-165.81551180100129</v>
          </cell>
          <cell r="AH14">
            <v>44.950811788961317</v>
          </cell>
          <cell r="AI14">
            <v>196.2639910218742</v>
          </cell>
        </row>
        <row r="15">
          <cell r="A15" t="str">
            <v>Jones Apparel</v>
          </cell>
          <cell r="B15" t="str">
            <v>JNY</v>
          </cell>
          <cell r="C15" t="e">
            <v>#N/A</v>
          </cell>
          <cell r="D15">
            <v>798.6</v>
          </cell>
          <cell r="E15" t="e">
            <v>#N/A</v>
          </cell>
          <cell r="G15" t="e">
            <v>#N/A</v>
          </cell>
          <cell r="H15">
            <v>-5.8032554847841422E-2</v>
          </cell>
          <cell r="I15" t="e">
            <v>#N/A</v>
          </cell>
          <cell r="K15" t="e">
            <v>#N/A</v>
          </cell>
          <cell r="L15">
            <v>2.8737791134485349E-2</v>
          </cell>
          <cell r="M15" t="e">
            <v>#N/A</v>
          </cell>
          <cell r="O15" t="e">
            <v>#N/A</v>
          </cell>
          <cell r="P15">
            <v>8.1000000000000003E-2</v>
          </cell>
          <cell r="Q15" t="e">
            <v>#N/A</v>
          </cell>
        </row>
        <row r="16">
          <cell r="A16" t="str">
            <v>Ralph Lauren</v>
          </cell>
          <cell r="B16" t="str">
            <v>RL</v>
          </cell>
          <cell r="C16" t="e">
            <v>#N/A</v>
          </cell>
          <cell r="D16">
            <v>1108.462</v>
          </cell>
          <cell r="E16" t="e">
            <v>#N/A</v>
          </cell>
          <cell r="G16" t="e">
            <v>#N/A</v>
          </cell>
          <cell r="H16">
            <v>-0.10888174290537811</v>
          </cell>
          <cell r="I16" t="e">
            <v>#N/A</v>
          </cell>
          <cell r="K16" t="e">
            <v>#N/A</v>
          </cell>
          <cell r="L16">
            <v>0.112385900463886</v>
          </cell>
          <cell r="M16" t="e">
            <v>#N/A</v>
          </cell>
          <cell r="O16" t="e">
            <v>#N/A</v>
          </cell>
          <cell r="P16">
            <v>0.82237299999999991</v>
          </cell>
          <cell r="Q16" t="e">
            <v>#N/A</v>
          </cell>
          <cell r="AA16" t="str">
            <v>Operating Income</v>
          </cell>
          <cell r="AB16">
            <v>10.124562059481931</v>
          </cell>
          <cell r="AC16">
            <v>65.140913072708457</v>
          </cell>
          <cell r="AD16">
            <v>100.75005407824642</v>
          </cell>
          <cell r="AE16">
            <v>81.937834011523449</v>
          </cell>
          <cell r="AF16">
            <v>-31.374474976519593</v>
          </cell>
          <cell r="AG16">
            <v>71.431838487526733</v>
          </cell>
          <cell r="AH16">
            <v>68.423308778662005</v>
          </cell>
        </row>
        <row r="17">
          <cell r="A17" t="str">
            <v>Warnaco</v>
          </cell>
          <cell r="B17" t="str">
            <v>WRC</v>
          </cell>
          <cell r="C17" t="e">
            <v>#N/A</v>
          </cell>
          <cell r="D17">
            <v>0.10290132050622826</v>
          </cell>
          <cell r="E17" t="e">
            <v>#N/A</v>
          </cell>
          <cell r="G17" t="e">
            <v>#N/A</v>
          </cell>
          <cell r="H17">
            <v>-0.99976890544669572</v>
          </cell>
          <cell r="I17" t="e">
            <v>#N/A</v>
          </cell>
          <cell r="K17" t="e">
            <v>#N/A</v>
          </cell>
          <cell r="L17">
            <v>15</v>
          </cell>
          <cell r="M17" t="e">
            <v>#N/A</v>
          </cell>
          <cell r="O17" t="e">
            <v>#N/A</v>
          </cell>
          <cell r="P17">
            <v>6.2026000000000039</v>
          </cell>
          <cell r="Q17" t="e">
            <v>#N/A</v>
          </cell>
          <cell r="AA17" t="str">
            <v>Operating Margin</v>
          </cell>
          <cell r="AB17">
            <v>4.7137815369350543E-2</v>
          </cell>
          <cell r="AC17">
            <v>7.5149817113550565E-2</v>
          </cell>
          <cell r="AD17">
            <v>7.9377614074670144E-2</v>
          </cell>
          <cell r="AE17">
            <v>0.13723075834196249</v>
          </cell>
          <cell r="AF17">
            <v>-4.9882826021947498E-2</v>
          </cell>
          <cell r="AG17">
            <v>0.11915777219638023</v>
          </cell>
          <cell r="AH17">
            <v>0.13345284427788864</v>
          </cell>
          <cell r="AI17">
            <v>7.7374827907407878E-2</v>
          </cell>
        </row>
        <row r="18">
          <cell r="A18" t="str">
            <v>Liz Claiborne</v>
          </cell>
          <cell r="B18" t="str">
            <v>LIZ</v>
          </cell>
          <cell r="C18">
            <v>829.95670917128177</v>
          </cell>
          <cell r="D18">
            <v>586.43330000000003</v>
          </cell>
          <cell r="E18">
            <v>0.41526190475759428</v>
          </cell>
          <cell r="G18">
            <v>-9.9423699661363663E-2</v>
          </cell>
          <cell r="H18">
            <v>-0.35639741300499461</v>
          </cell>
          <cell r="I18">
            <v>2569.7371334363097</v>
          </cell>
          <cell r="K18">
            <v>-2.3757520567743219E-3</v>
          </cell>
          <cell r="L18">
            <v>-2.6772013117263294E-2</v>
          </cell>
          <cell r="M18">
            <v>243.9626106048897</v>
          </cell>
          <cell r="O18">
            <v>-9.6899689599035332E-2</v>
          </cell>
          <cell r="P18">
            <v>-0.28250000000000003</v>
          </cell>
          <cell r="Q18">
            <v>0.1856003104009647</v>
          </cell>
          <cell r="AA18" t="str">
            <v>Operating Margin ∆</v>
          </cell>
          <cell r="AB18">
            <v>76.578153693505413</v>
          </cell>
          <cell r="AC18">
            <v>200.08561584863631</v>
          </cell>
          <cell r="AD18">
            <v>-92.372176796585023</v>
          </cell>
          <cell r="AE18">
            <v>12.786978932077808</v>
          </cell>
          <cell r="AF18">
            <v>61.258443685408075</v>
          </cell>
          <cell r="AG18">
            <v>225.81551180100053</v>
          </cell>
          <cell r="AH18">
            <v>245.81830839569164</v>
          </cell>
          <cell r="AI18">
            <v>104.28154793710496</v>
          </cell>
        </row>
        <row r="19">
          <cell r="A19" t="str">
            <v>Phillips Van Heusen</v>
          </cell>
          <cell r="B19" t="str">
            <v>PVH</v>
          </cell>
          <cell r="C19" t="e">
            <v>#N/A</v>
          </cell>
          <cell r="D19">
            <v>576.50450000000001</v>
          </cell>
          <cell r="E19" t="e">
            <v>#N/A</v>
          </cell>
          <cell r="G19" t="e">
            <v>#N/A</v>
          </cell>
          <cell r="H19">
            <v>2.7115458278771154E-2</v>
          </cell>
          <cell r="I19" t="e">
            <v>#N/A</v>
          </cell>
          <cell r="K19" t="e">
            <v>#N/A</v>
          </cell>
          <cell r="L19">
            <v>0.12509456561050261</v>
          </cell>
          <cell r="M19" t="e">
            <v>#N/A</v>
          </cell>
          <cell r="O19" t="e">
            <v>#N/A</v>
          </cell>
          <cell r="P19">
            <v>0.68888879999999997</v>
          </cell>
          <cell r="Q19" t="e">
            <v>#N/A</v>
          </cell>
        </row>
        <row r="20">
          <cell r="A20" t="str">
            <v>Guess</v>
          </cell>
          <cell r="B20" t="str">
            <v>GES</v>
          </cell>
          <cell r="C20">
            <v>617.47692860256416</v>
          </cell>
          <cell r="D20">
            <v>590.62139999999999</v>
          </cell>
          <cell r="E20">
            <v>4.5469955207454671E-2</v>
          </cell>
          <cell r="G20">
            <v>0.10053456538856853</v>
          </cell>
          <cell r="H20">
            <v>5.2669720355748684E-2</v>
          </cell>
          <cell r="I20">
            <v>478.64845032819846</v>
          </cell>
          <cell r="K20">
            <v>0.1883119414517091</v>
          </cell>
          <cell r="L20">
            <v>0.18074387416371979</v>
          </cell>
          <cell r="M20">
            <v>75.680672879893109</v>
          </cell>
          <cell r="O20">
            <v>0.84066480668887278</v>
          </cell>
          <cell r="P20">
            <v>0.77545449999999994</v>
          </cell>
          <cell r="Q20">
            <v>6.5210306688872843E-2</v>
          </cell>
          <cell r="AA20" t="str">
            <v>EPS</v>
          </cell>
          <cell r="AB20">
            <v>0.10824466868765577</v>
          </cell>
          <cell r="AC20">
            <v>0.38370956721072103</v>
          </cell>
          <cell r="AD20">
            <v>0.63294858177896596</v>
          </cell>
          <cell r="AE20">
            <v>1.0792630922177753</v>
          </cell>
          <cell r="AF20">
            <v>-0.40562658531416712</v>
          </cell>
          <cell r="AG20">
            <v>0.55991220629973937</v>
          </cell>
          <cell r="AH20">
            <v>0.5042002207324322</v>
          </cell>
        </row>
        <row r="21">
          <cell r="AA21" t="str">
            <v>EPS Growth</v>
          </cell>
          <cell r="AB21">
            <v>0</v>
          </cell>
          <cell r="AC21">
            <v>0.36798361325009821</v>
          </cell>
          <cell r="AD21">
            <v>0.18607501657749315</v>
          </cell>
          <cell r="AE21">
            <v>0.11505908224347494</v>
          </cell>
          <cell r="AF21">
            <v>8.8453585105013444E-2</v>
          </cell>
          <cell r="AG21">
            <v>5.1789170036681265E-2</v>
          </cell>
          <cell r="AH21">
            <v>0.43586015999772165</v>
          </cell>
          <cell r="AI21">
            <v>0.17788866103006895</v>
          </cell>
        </row>
        <row r="22">
          <cell r="A22">
            <v>2009</v>
          </cell>
        </row>
        <row r="23">
          <cell r="A23" t="str">
            <v>Under Armour</v>
          </cell>
          <cell r="B23" t="str">
            <v>UA</v>
          </cell>
          <cell r="C23">
            <v>955.61670873865933</v>
          </cell>
          <cell r="D23">
            <v>953.822</v>
          </cell>
          <cell r="E23">
            <v>1.8815971309733559E-3</v>
          </cell>
          <cell r="G23">
            <v>0.11583890064310176</v>
          </cell>
          <cell r="H23">
            <v>0.31470985527222606</v>
          </cell>
          <cell r="I23">
            <v>-1988.709546291243</v>
          </cell>
          <cell r="K23">
            <v>9.9650993469039648E-2</v>
          </cell>
          <cell r="L23">
            <v>9.9845065431495614E-2</v>
          </cell>
          <cell r="M23">
            <v>-1.9407196245596614</v>
          </cell>
          <cell r="O23">
            <v>1.0485101164267066</v>
          </cell>
          <cell r="P23">
            <v>1.0471139999999999</v>
          </cell>
          <cell r="Q23">
            <v>1.3961164267066728E-3</v>
          </cell>
        </row>
        <row r="24">
          <cell r="A24" t="str">
            <v>Jones Apparel</v>
          </cell>
          <cell r="B24" t="str">
            <v>JNY</v>
          </cell>
          <cell r="C24">
            <v>3407.1067162675386</v>
          </cell>
          <cell r="D24">
            <v>3381.18</v>
          </cell>
          <cell r="E24">
            <v>7.6679491383300213E-3</v>
          </cell>
          <cell r="G24">
            <v>2.3032283289556199E-2</v>
          </cell>
          <cell r="H24">
            <v>1.5247417727600077E-2</v>
          </cell>
          <cell r="I24">
            <v>77.848655619561228</v>
          </cell>
          <cell r="K24">
            <v>7.1075925880296348E-2</v>
          </cell>
          <cell r="L24">
            <v>6.9552345630815277E-2</v>
          </cell>
          <cell r="M24">
            <v>15.235802494810713</v>
          </cell>
          <cell r="O24">
            <v>1.3645274997482593</v>
          </cell>
          <cell r="P24">
            <v>1.3541859999999999</v>
          </cell>
          <cell r="Q24">
            <v>1.0341499748259375E-2</v>
          </cell>
        </row>
        <row r="25">
          <cell r="A25" t="str">
            <v>Ralph Lauren</v>
          </cell>
          <cell r="B25" t="str">
            <v>RL</v>
          </cell>
          <cell r="C25">
            <v>4911.05021938139</v>
          </cell>
          <cell r="D25">
            <v>4875.2759999999998</v>
          </cell>
          <cell r="E25">
            <v>7.3378859743304936E-3</v>
          </cell>
          <cell r="G25">
            <v>-2.1488728729125883E-2</v>
          </cell>
          <cell r="H25">
            <v>-2.8616629141843819E-2</v>
          </cell>
          <cell r="I25">
            <v>71.279004127179363</v>
          </cell>
          <cell r="K25">
            <v>0.13230368761329642</v>
          </cell>
          <cell r="L25">
            <v>0.13159769826364703</v>
          </cell>
          <cell r="M25">
            <v>7.0598934964938298</v>
          </cell>
          <cell r="O25">
            <v>4.3340293193425694</v>
          </cell>
          <cell r="P25">
            <v>4.2647000000000004</v>
          </cell>
          <cell r="Q25">
            <v>6.9329319342569029E-2</v>
          </cell>
        </row>
        <row r="26">
          <cell r="A26" t="str">
            <v>Warnaco</v>
          </cell>
          <cell r="B26" t="str">
            <v>WRC</v>
          </cell>
          <cell r="C26">
            <v>2019.626</v>
          </cell>
          <cell r="D26">
            <v>2178.1950000000002</v>
          </cell>
          <cell r="E26">
            <v>-7.2798349091793946E-2</v>
          </cell>
          <cell r="G26">
            <v>-2.0953060548784763E-2</v>
          </cell>
          <cell r="H26">
            <v>5.591587169007517E-2</v>
          </cell>
          <cell r="I26">
            <v>-768.68932238859929</v>
          </cell>
          <cell r="K26">
            <v>0.11270849157220193</v>
          </cell>
          <cell r="L26">
            <v>0.11457160630705698</v>
          </cell>
          <cell r="M26">
            <v>-18.63114734855051</v>
          </cell>
          <cell r="O26">
            <v>2.8241511390163154</v>
          </cell>
          <cell r="P26">
            <v>3.2527269999999997</v>
          </cell>
          <cell r="Q26">
            <v>-0.42857586098368428</v>
          </cell>
        </row>
        <row r="27">
          <cell r="A27" t="str">
            <v>Liz Claiborne</v>
          </cell>
          <cell r="B27" t="str">
            <v>LIZ</v>
          </cell>
          <cell r="C27">
            <v>3011.8590000000004</v>
          </cell>
          <cell r="D27">
            <v>2703.2330000000002</v>
          </cell>
          <cell r="E27">
            <v>0.11416921885756803</v>
          </cell>
          <cell r="G27">
            <v>-0.24419076193253286</v>
          </cell>
          <cell r="H27">
            <v>-0.32163873738816018</v>
          </cell>
          <cell r="I27">
            <v>774.47975455627318</v>
          </cell>
          <cell r="K27">
            <v>-4.5223896603393245E-2</v>
          </cell>
          <cell r="L27">
            <v>4.7474017223080658E-3</v>
          </cell>
          <cell r="M27">
            <v>-499.71298325701309</v>
          </cell>
          <cell r="O27">
            <v>-1.4655063139449973</v>
          </cell>
          <cell r="P27">
            <v>-0.43044179999999999</v>
          </cell>
          <cell r="Q27">
            <v>-1.0350645139449974</v>
          </cell>
        </row>
        <row r="28">
          <cell r="A28" t="str">
            <v>Phillips Van Heusen</v>
          </cell>
          <cell r="B28" t="str">
            <v>PVH</v>
          </cell>
          <cell r="C28">
            <v>3749.1064498860405</v>
          </cell>
          <cell r="D28">
            <v>3066.89</v>
          </cell>
          <cell r="E28">
            <v>0.22244568598353398</v>
          </cell>
          <cell r="G28">
            <v>0.56295409943259211</v>
          </cell>
          <cell r="H28">
            <v>0.27854686498819592</v>
          </cell>
          <cell r="I28">
            <v>2844.0723444439618</v>
          </cell>
          <cell r="K28">
            <v>0.12811321863881991</v>
          </cell>
          <cell r="L28">
            <v>0.12899083436314965</v>
          </cell>
          <cell r="M28">
            <v>-8.7761572432973338</v>
          </cell>
          <cell r="O28">
            <v>3.6497830573148669</v>
          </cell>
          <cell r="P28">
            <v>3.4630000000000001</v>
          </cell>
          <cell r="Q28">
            <v>0.18678305731486677</v>
          </cell>
        </row>
        <row r="29">
          <cell r="A29" t="str">
            <v>Guess</v>
          </cell>
          <cell r="B29" t="str">
            <v>GES</v>
          </cell>
          <cell r="C29">
            <v>2339.5358472059361</v>
          </cell>
          <cell r="D29">
            <v>2363.75</v>
          </cell>
          <cell r="E29">
            <v>-1.0243956761105788E-2</v>
          </cell>
          <cell r="G29">
            <v>9.9165242576548573E-2</v>
          </cell>
          <cell r="H29">
            <v>0.11054158252938984</v>
          </cell>
          <cell r="I29">
            <v>-113.76339952841263</v>
          </cell>
          <cell r="K29">
            <v>0.1733295159390906</v>
          </cell>
          <cell r="L29">
            <v>0.17557652035959809</v>
          </cell>
          <cell r="M29">
            <v>-22.470044205074867</v>
          </cell>
          <cell r="O29">
            <v>2.9820721986947794</v>
          </cell>
          <cell r="P29">
            <v>3.0154540000000001</v>
          </cell>
          <cell r="Q29">
            <v>-3.3381801305220726E-2</v>
          </cell>
        </row>
        <row r="30">
          <cell r="A30" t="str">
            <v>Q2E2009E</v>
          </cell>
        </row>
        <row r="31">
          <cell r="A31" t="str">
            <v>Q3E2009E</v>
          </cell>
        </row>
        <row r="32">
          <cell r="A32" t="str">
            <v>Q4E2009E</v>
          </cell>
        </row>
      </sheetData>
      <sheetData sheetId="14"/>
      <sheetData sheetId="15">
        <row r="2">
          <cell r="A2" t="str">
            <v>Comps - 1H vs 2H</v>
          </cell>
        </row>
        <row r="4">
          <cell r="A4" t="str">
            <v>All</v>
          </cell>
        </row>
        <row r="5">
          <cell r="B5">
            <v>2005</v>
          </cell>
          <cell r="C5">
            <v>2006</v>
          </cell>
          <cell r="D5">
            <v>2007</v>
          </cell>
          <cell r="E5">
            <v>2008</v>
          </cell>
          <cell r="F5">
            <v>2009</v>
          </cell>
        </row>
        <row r="6">
          <cell r="A6" t="str">
            <v>1H Average</v>
          </cell>
          <cell r="B6">
            <v>7.343394807078546E-2</v>
          </cell>
          <cell r="C6">
            <v>3.6103699295473378E-2</v>
          </cell>
          <cell r="D6">
            <v>3.5750000000000004E-2</v>
          </cell>
          <cell r="E6">
            <v>-6.4642857142857158E-3</v>
          </cell>
          <cell r="F6">
            <v>-7.9104931190213501E-2</v>
          </cell>
          <cell r="I6" t="str">
            <v>adjust for COH, TJX</v>
          </cell>
        </row>
        <row r="7">
          <cell r="A7" t="str">
            <v>2H Average</v>
          </cell>
          <cell r="B7">
            <v>6.6390123171896021E-2</v>
          </cell>
          <cell r="C7">
            <v>5.727112891066783E-2</v>
          </cell>
          <cell r="D7">
            <v>1.8832722098564406E-2</v>
          </cell>
          <cell r="E7">
            <v>-7.3265786902211694E-2</v>
          </cell>
          <cell r="F7">
            <v>-3.1323701477169409E-3</v>
          </cell>
        </row>
        <row r="10">
          <cell r="A10" t="str">
            <v>Inventory performance - Gross Margin perf</v>
          </cell>
        </row>
        <row r="11">
          <cell r="B11">
            <v>2005</v>
          </cell>
          <cell r="C11">
            <v>2006</v>
          </cell>
          <cell r="D11">
            <v>2007</v>
          </cell>
          <cell r="E11">
            <v>2008</v>
          </cell>
          <cell r="F11">
            <v>2009</v>
          </cell>
        </row>
        <row r="12">
          <cell r="A12" t="str">
            <v>Avg. y/y inventory change</v>
          </cell>
          <cell r="B12">
            <v>5.7284524754549301E-2</v>
          </cell>
          <cell r="C12">
            <v>0.16859864286702</v>
          </cell>
          <cell r="D12">
            <v>-3.0164244389156207E-2</v>
          </cell>
          <cell r="E12">
            <v>-8.3614642141829371E-2</v>
          </cell>
          <cell r="F12">
            <v>-8.9823836642227775E-2</v>
          </cell>
          <cell r="G12" t="str">
            <v>inv</v>
          </cell>
        </row>
        <row r="13">
          <cell r="A13" t="str">
            <v>Avg. GM change, bps</v>
          </cell>
          <cell r="B13">
            <v>-46.259275288913322</v>
          </cell>
          <cell r="C13">
            <v>43.577692302823763</v>
          </cell>
          <cell r="D13">
            <v>2.0201815697073249</v>
          </cell>
          <cell r="E13">
            <v>-136.05015774008214</v>
          </cell>
          <cell r="F13">
            <v>115.57467902423799</v>
          </cell>
          <cell r="G13" t="str">
            <v>gm chg</v>
          </cell>
        </row>
        <row r="14">
          <cell r="B14">
            <v>2005</v>
          </cell>
          <cell r="C14">
            <v>2006</v>
          </cell>
          <cell r="D14">
            <v>2007</v>
          </cell>
          <cell r="E14">
            <v>2008</v>
          </cell>
          <cell r="F14">
            <v>2009</v>
          </cell>
        </row>
        <row r="15">
          <cell r="A15" t="str">
            <v>Avg. y/y inventory change - dept store</v>
          </cell>
          <cell r="B15">
            <v>6.4354638711914907E-4</v>
          </cell>
          <cell r="C15">
            <v>0.22375429462687266</v>
          </cell>
          <cell r="D15">
            <v>-7.9138376331201309E-3</v>
          </cell>
          <cell r="E15">
            <v>-0.11582389939374201</v>
          </cell>
          <cell r="F15">
            <v>-7.9383150790566556E-2</v>
          </cell>
          <cell r="G15" t="str">
            <v>inv</v>
          </cell>
        </row>
        <row r="16">
          <cell r="A16" t="str">
            <v>Avg. GM change, bps</v>
          </cell>
          <cell r="B16">
            <v>-20.136216979536993</v>
          </cell>
          <cell r="C16">
            <v>74.57171959282671</v>
          </cell>
          <cell r="D16">
            <v>3.9521848350601987</v>
          </cell>
          <cell r="E16">
            <v>-154.32368383100911</v>
          </cell>
          <cell r="F16">
            <v>191.11845927863604</v>
          </cell>
          <cell r="G16" t="str">
            <v>gm chg</v>
          </cell>
        </row>
        <row r="17">
          <cell r="B17">
            <v>2005</v>
          </cell>
          <cell r="C17">
            <v>2006</v>
          </cell>
          <cell r="D17">
            <v>2007</v>
          </cell>
          <cell r="E17">
            <v>2008</v>
          </cell>
          <cell r="F17">
            <v>2009</v>
          </cell>
        </row>
        <row r="18">
          <cell r="A18" t="str">
            <v>Avg. y/y inventory change - spec</v>
          </cell>
          <cell r="B18">
            <v>0.11392550312197945</v>
          </cell>
          <cell r="C18">
            <v>0.11344299110716731</v>
          </cell>
          <cell r="D18">
            <v>-5.2414651145192281E-2</v>
          </cell>
          <cell r="E18">
            <v>-5.140538488991675E-2</v>
          </cell>
          <cell r="F18">
            <v>-0.10026452249388899</v>
          </cell>
          <cell r="G18" t="str">
            <v>inv</v>
          </cell>
        </row>
        <row r="19">
          <cell r="A19" t="str">
            <v>Avg. GM change, bps</v>
          </cell>
          <cell r="B19">
            <v>-72.382333598289662</v>
          </cell>
          <cell r="C19">
            <v>12.583665012820811</v>
          </cell>
          <cell r="D19">
            <v>8.8178304354443071E-2</v>
          </cell>
          <cell r="E19">
            <v>-117.77663164915512</v>
          </cell>
          <cell r="F19">
            <v>40.030898769839915</v>
          </cell>
          <cell r="G19" t="str">
            <v>gm chg</v>
          </cell>
        </row>
        <row r="24">
          <cell r="A24" t="str">
            <v>Gross margins over past five years: peak (shaded), trough (outlined)</v>
          </cell>
        </row>
        <row r="25">
          <cell r="B25" t="str">
            <v>High</v>
          </cell>
          <cell r="C25" t="str">
            <v>Low</v>
          </cell>
        </row>
        <row r="27">
          <cell r="B27">
            <v>2005</v>
          </cell>
          <cell r="C27">
            <v>2006</v>
          </cell>
          <cell r="D27">
            <v>2007</v>
          </cell>
          <cell r="E27">
            <v>2008</v>
          </cell>
          <cell r="F27">
            <v>2009</v>
          </cell>
          <cell r="G27">
            <v>2010</v>
          </cell>
          <cell r="I27" t="str">
            <v>max</v>
          </cell>
          <cell r="J27" t="str">
            <v>min</v>
          </cell>
          <cell r="K27" t="str">
            <v>2010 vs peak</v>
          </cell>
        </row>
        <row r="28">
          <cell r="A28" t="str">
            <v>JCP</v>
          </cell>
          <cell r="B28">
            <v>0.3828337149246579</v>
          </cell>
          <cell r="C28">
            <v>0.39235117686260546</v>
          </cell>
          <cell r="D28">
            <v>0.38593358921258969</v>
          </cell>
          <cell r="E28">
            <v>0.37411138446832803</v>
          </cell>
          <cell r="F28">
            <v>0.39356446279921997</v>
          </cell>
          <cell r="G28">
            <v>0.39605323146481297</v>
          </cell>
          <cell r="I28">
            <v>0.39605323146481297</v>
          </cell>
          <cell r="J28">
            <v>0.37411138446832803</v>
          </cell>
          <cell r="K28">
            <v>0</v>
          </cell>
        </row>
        <row r="29">
          <cell r="A29" t="str">
            <v>JWN</v>
          </cell>
          <cell r="B29">
            <v>0.36705055232607831</v>
          </cell>
          <cell r="C29">
            <v>0.37458966546886718</v>
          </cell>
          <cell r="D29">
            <v>0.37400380207376371</v>
          </cell>
          <cell r="E29">
            <v>0.34513532746351461</v>
          </cell>
          <cell r="F29">
            <v>0.35480745943327685</v>
          </cell>
          <cell r="G29">
            <v>0.36371218664159566</v>
          </cell>
          <cell r="I29">
            <v>0.37458966546886718</v>
          </cell>
          <cell r="J29">
            <v>0.34513532746351461</v>
          </cell>
          <cell r="K29">
            <v>-108.77478827271526</v>
          </cell>
        </row>
        <row r="30">
          <cell r="A30" t="str">
            <v>KSS</v>
          </cell>
          <cell r="B30">
            <v>0.35521033860112516</v>
          </cell>
          <cell r="C30">
            <v>0.3636492487376406</v>
          </cell>
          <cell r="D30">
            <v>0.36507281302925265</v>
          </cell>
          <cell r="E30">
            <v>0.36947488849160115</v>
          </cell>
          <cell r="F30">
            <v>0.37823834196891193</v>
          </cell>
          <cell r="G30">
            <v>0.38389063407855639</v>
          </cell>
          <cell r="I30">
            <v>0.38389063407855639</v>
          </cell>
          <cell r="J30">
            <v>0.35521033860112516</v>
          </cell>
          <cell r="K30">
            <v>0</v>
          </cell>
        </row>
        <row r="31">
          <cell r="A31" t="str">
            <v>M</v>
          </cell>
          <cell r="B31">
            <v>0.40723537293434564</v>
          </cell>
          <cell r="C31">
            <v>0.40604375231738965</v>
          </cell>
          <cell r="D31">
            <v>0.40421084634971305</v>
          </cell>
          <cell r="E31">
            <v>0.39703519202956772</v>
          </cell>
          <cell r="F31">
            <v>0.4051258035676274</v>
          </cell>
          <cell r="G31">
            <v>0.40740177504153008</v>
          </cell>
          <cell r="I31">
            <v>0.40740177504153008</v>
          </cell>
          <cell r="J31">
            <v>0.39703519202956772</v>
          </cell>
          <cell r="K31">
            <v>0</v>
          </cell>
        </row>
        <row r="32">
          <cell r="A32" t="str">
            <v>SKS</v>
          </cell>
          <cell r="B32">
            <v>0.36838636693297744</v>
          </cell>
          <cell r="C32">
            <v>0.38629518405253327</v>
          </cell>
          <cell r="D32">
            <v>0.39013022290713839</v>
          </cell>
          <cell r="E32">
            <v>0.32085279404442968</v>
          </cell>
          <cell r="F32">
            <v>0.36470630800811976</v>
          </cell>
          <cell r="G32">
            <v>0.38074593530189327</v>
          </cell>
          <cell r="I32">
            <v>0.39013022290713839</v>
          </cell>
          <cell r="J32">
            <v>0.32085279404442968</v>
          </cell>
          <cell r="K32">
            <v>-93.842876052451231</v>
          </cell>
        </row>
        <row r="33">
          <cell r="A33" t="str">
            <v>Dept. store avg</v>
          </cell>
          <cell r="B33">
            <v>0.37614326914383689</v>
          </cell>
          <cell r="C33">
            <v>0.38458580548780724</v>
          </cell>
          <cell r="D33">
            <v>0.38387025471449154</v>
          </cell>
          <cell r="E33">
            <v>0.36132191729948826</v>
          </cell>
          <cell r="F33">
            <v>0.37928847515543118</v>
          </cell>
          <cell r="G33">
            <v>0.3863607525056777</v>
          </cell>
          <cell r="I33">
            <v>0.26466022730826666</v>
          </cell>
          <cell r="J33">
            <v>0.22078245953473774</v>
          </cell>
          <cell r="K33">
            <v>0</v>
          </cell>
        </row>
        <row r="34">
          <cell r="I34">
            <v>0.26683303831625027</v>
          </cell>
          <cell r="J34">
            <v>0.23491384996800246</v>
          </cell>
          <cell r="K34">
            <v>0</v>
          </cell>
        </row>
        <row r="35">
          <cell r="A35" t="str">
            <v>ROST</v>
          </cell>
          <cell r="B35">
            <v>0.22078245953473774</v>
          </cell>
          <cell r="C35">
            <v>0.22488972588107092</v>
          </cell>
          <cell r="D35">
            <v>0.22710357389829849</v>
          </cell>
          <cell r="E35">
            <v>0.2358202622546326</v>
          </cell>
          <cell r="F35">
            <v>0.25847437986596433</v>
          </cell>
          <cell r="G35">
            <v>0.26466022730826666</v>
          </cell>
          <cell r="I35">
            <v>0.67253982532430046</v>
          </cell>
          <cell r="J35">
            <v>0.64275377929795496</v>
          </cell>
          <cell r="K35">
            <v>-297.86046026345491</v>
          </cell>
        </row>
        <row r="36">
          <cell r="A36" t="str">
            <v>TJX</v>
          </cell>
          <cell r="B36">
            <v>0.23491384996800246</v>
          </cell>
          <cell r="C36">
            <v>0.24079410561679626</v>
          </cell>
          <cell r="D36">
            <v>0.24492454085068949</v>
          </cell>
          <cell r="E36">
            <v>0.24092296088766529</v>
          </cell>
          <cell r="F36">
            <v>0.26221897549166406</v>
          </cell>
          <cell r="G36">
            <v>0.26683303831625027</v>
          </cell>
          <cell r="I36">
            <v>0.38266153944036096</v>
          </cell>
          <cell r="J36">
            <v>0.30097222810369439</v>
          </cell>
          <cell r="K36">
            <v>0</v>
          </cell>
        </row>
        <row r="37">
          <cell r="A37" t="str">
            <v>Off-price avg</v>
          </cell>
          <cell r="B37">
            <v>0.2278481547513701</v>
          </cell>
          <cell r="C37">
            <v>0.23284191574893359</v>
          </cell>
          <cell r="D37">
            <v>0.23601405737449399</v>
          </cell>
          <cell r="E37">
            <v>0.23837161157114894</v>
          </cell>
          <cell r="F37">
            <v>0.2603466776788142</v>
          </cell>
          <cell r="G37">
            <v>0.26574663281225847</v>
          </cell>
          <cell r="I37">
            <v>0.47968246595255026</v>
          </cell>
          <cell r="J37">
            <v>0.38724779790259878</v>
          </cell>
          <cell r="K37">
            <v>-557.89561500711568</v>
          </cell>
        </row>
        <row r="38">
          <cell r="I38">
            <v>0.38266153944036096</v>
          </cell>
          <cell r="J38">
            <v>0.30097222810369439</v>
          </cell>
          <cell r="K38">
            <v>0</v>
          </cell>
        </row>
        <row r="39">
          <cell r="A39" t="str">
            <v>ANF</v>
          </cell>
          <cell r="B39">
            <v>0.66982483696775197</v>
          </cell>
          <cell r="C39">
            <v>0.67008193227159563</v>
          </cell>
          <cell r="D39">
            <v>0.67253982532430046</v>
          </cell>
          <cell r="E39">
            <v>0.66907487449258141</v>
          </cell>
          <cell r="F39">
            <v>0.6431673566946946</v>
          </cell>
          <cell r="G39">
            <v>0.64275377929795496</v>
          </cell>
          <cell r="I39">
            <v>0.77715250839458938</v>
          </cell>
          <cell r="J39">
            <v>0.7189701306436096</v>
          </cell>
          <cell r="K39">
            <v>-534.41365481116327</v>
          </cell>
        </row>
        <row r="40">
          <cell r="A40" t="str">
            <v>ARO</v>
          </cell>
          <cell r="B40">
            <v>0.30097222810369439</v>
          </cell>
          <cell r="C40">
            <v>0.31702127358463861</v>
          </cell>
          <cell r="D40">
            <v>0.34456092567946972</v>
          </cell>
          <cell r="E40">
            <v>0.34694841930469456</v>
          </cell>
          <cell r="F40">
            <v>0.38094484340423429</v>
          </cell>
          <cell r="G40">
            <v>0.38266153944036096</v>
          </cell>
          <cell r="I40">
            <v>0.40988133878454813</v>
          </cell>
          <cell r="J40">
            <v>0.35527224769201782</v>
          </cell>
          <cell r="K40">
            <v>0</v>
          </cell>
        </row>
        <row r="41">
          <cell r="A41" t="str">
            <v>AEO</v>
          </cell>
          <cell r="B41">
            <v>0.46338441369841543</v>
          </cell>
          <cell r="C41">
            <v>0.47968246595255026</v>
          </cell>
          <cell r="D41">
            <v>0.46577507045678512</v>
          </cell>
          <cell r="E41">
            <v>0.39281461528089534</v>
          </cell>
          <cell r="F41">
            <v>0.38724779790259878</v>
          </cell>
          <cell r="G41">
            <v>0.42389290445183869</v>
          </cell>
          <cell r="I41">
            <v>0.37612621984111183</v>
          </cell>
          <cell r="J41">
            <v>0.33246659377546584</v>
          </cell>
          <cell r="K41">
            <v>-160.31477906032765</v>
          </cell>
        </row>
        <row r="42">
          <cell r="A42" t="str">
            <v>COH</v>
          </cell>
          <cell r="B42">
            <v>0.76742019151131191</v>
          </cell>
          <cell r="C42">
            <v>0.77715250839458938</v>
          </cell>
          <cell r="D42">
            <v>0.77436175001607688</v>
          </cell>
          <cell r="E42">
            <v>0.75677047948019927</v>
          </cell>
          <cell r="F42">
            <v>0.7189701306436096</v>
          </cell>
          <cell r="G42">
            <v>0.72371114291347305</v>
          </cell>
          <cell r="I42">
            <v>0.41328451675268396</v>
          </cell>
          <cell r="J42">
            <v>0.36900034865197429</v>
          </cell>
          <cell r="K42">
            <v>0</v>
          </cell>
        </row>
        <row r="43">
          <cell r="A43" t="str">
            <v>GPS</v>
          </cell>
          <cell r="B43">
            <v>0.36634837421207012</v>
          </cell>
          <cell r="C43">
            <v>0.35527224769201782</v>
          </cell>
          <cell r="D43">
            <v>0.36122565501490833</v>
          </cell>
          <cell r="E43">
            <v>0.37498278948093078</v>
          </cell>
          <cell r="F43">
            <v>0.40318377121927162</v>
          </cell>
          <cell r="G43">
            <v>0.40988133878454813</v>
          </cell>
        </row>
        <row r="44">
          <cell r="A44" t="str">
            <v>LTD</v>
          </cell>
          <cell r="B44">
            <v>0.35680728062464451</v>
          </cell>
          <cell r="C44">
            <v>0.37612621984111183</v>
          </cell>
          <cell r="D44">
            <v>0.34339067881529917</v>
          </cell>
          <cell r="E44">
            <v>0.33246659377546584</v>
          </cell>
          <cell r="F44">
            <v>0.35077650699768259</v>
          </cell>
          <cell r="G44">
            <v>0.36009474193507907</v>
          </cell>
        </row>
        <row r="45">
          <cell r="A45" t="str">
            <v>URBN</v>
          </cell>
          <cell r="B45">
            <v>0.41077110576161491</v>
          </cell>
          <cell r="C45">
            <v>0.36900034865197429</v>
          </cell>
          <cell r="D45">
            <v>0.38254481589468625</v>
          </cell>
          <cell r="E45">
            <v>0.38889730723235016</v>
          </cell>
          <cell r="F45">
            <v>0.40568630132391381</v>
          </cell>
          <cell r="G45">
            <v>0.41328451675268396</v>
          </cell>
        </row>
        <row r="46">
          <cell r="A46" t="str">
            <v>Specialty avg</v>
          </cell>
          <cell r="B46">
            <v>0.47650406155421482</v>
          </cell>
          <cell r="C46">
            <v>0.47776242805549679</v>
          </cell>
          <cell r="D46">
            <v>0.47777124588593228</v>
          </cell>
          <cell r="E46">
            <v>0.46599358272101682</v>
          </cell>
          <cell r="F46">
            <v>0.46999667259800076</v>
          </cell>
          <cell r="G46">
            <v>0.47946856622513412</v>
          </cell>
        </row>
        <row r="57">
          <cell r="A57" t="str">
            <v>SG&amp;A Growth vs Sales Growth - Comps Growth</v>
          </cell>
        </row>
        <row r="58">
          <cell r="A58" t="str">
            <v>SG&amp;A growth</v>
          </cell>
          <cell r="B58">
            <v>2005</v>
          </cell>
          <cell r="C58">
            <v>2006</v>
          </cell>
          <cell r="D58">
            <v>2007</v>
          </cell>
          <cell r="E58">
            <v>2008</v>
          </cell>
          <cell r="F58">
            <v>2009</v>
          </cell>
          <cell r="G58">
            <v>2010</v>
          </cell>
        </row>
        <row r="59">
          <cell r="A59" t="str">
            <v>JCP</v>
          </cell>
          <cell r="B59">
            <v>1.9800181653042648E-2</v>
          </cell>
          <cell r="C59">
            <v>5.753473459209113E-2</v>
          </cell>
          <cell r="D59">
            <v>-1.8191005558362838E-2</v>
          </cell>
          <cell r="E59">
            <v>-4.1173443129182141E-3</v>
          </cell>
          <cell r="F59">
            <v>7.5279931093884533E-2</v>
          </cell>
          <cell r="G59">
            <v>7.7272891567914392E-4</v>
          </cell>
        </row>
        <row r="60">
          <cell r="A60" t="str">
            <v>JWN</v>
          </cell>
          <cell r="B60">
            <v>3.9813724456535526E-2</v>
          </cell>
          <cell r="C60">
            <v>9.3397522500006991E-2</v>
          </cell>
          <cell r="D60">
            <v>2.7392578486396646E-2</v>
          </cell>
          <cell r="E60">
            <v>1.1944333793828088E-2</v>
          </cell>
          <cell r="F60">
            <v>3.2259253272450383E-2</v>
          </cell>
          <cell r="G60">
            <v>5.0834702266653098E-2</v>
          </cell>
        </row>
        <row r="61">
          <cell r="A61" t="str">
            <v>KSS</v>
          </cell>
          <cell r="B61">
            <v>0.14732221151534408</v>
          </cell>
          <cell r="C61">
            <v>0.15252033069006243</v>
          </cell>
          <cell r="D61">
            <v>8.2391009909547508E-2</v>
          </cell>
          <cell r="E61">
            <v>6.4681760393843435E-2</v>
          </cell>
          <cell r="F61">
            <v>5.2839643680853365E-2</v>
          </cell>
          <cell r="G61">
            <v>6.0426926393679858E-2</v>
          </cell>
        </row>
        <row r="62">
          <cell r="A62" t="str">
            <v>M</v>
          </cell>
          <cell r="B62">
            <v>0.41553437436625429</v>
          </cell>
          <cell r="C62">
            <v>0.24326647564469916</v>
          </cell>
          <cell r="D62">
            <v>-1.4289006683567695E-2</v>
          </cell>
          <cell r="E62">
            <v>-1.1222819733458067E-2</v>
          </cell>
          <cell r="F62">
            <v>-4.6819579096713193E-2</v>
          </cell>
          <cell r="G62">
            <v>2.3079369153637952E-2</v>
          </cell>
        </row>
        <row r="63">
          <cell r="A63" t="str">
            <v>SKS</v>
          </cell>
          <cell r="B63">
            <v>6.2793070223896574E-3</v>
          </cell>
          <cell r="C63">
            <v>-6.4508354494813736E-2</v>
          </cell>
          <cell r="D63">
            <v>7.7426248732044733E-2</v>
          </cell>
          <cell r="E63">
            <v>-5.5058117202405166E-2</v>
          </cell>
          <cell r="F63">
            <v>-0.13106406133853599</v>
          </cell>
          <cell r="G63">
            <v>4.8787028931422949E-2</v>
          </cell>
        </row>
        <row r="64">
          <cell r="A64" t="str">
            <v>ROST</v>
          </cell>
          <cell r="B64">
            <v>0.16494036504740994</v>
          </cell>
          <cell r="C64">
            <v>0.12646317141425123</v>
          </cell>
          <cell r="D64">
            <v>8.4432460867660764E-2</v>
          </cell>
          <cell r="E64">
            <v>0.10981272658003349</v>
          </cell>
          <cell r="F64">
            <v>8.8707414272316543E-2</v>
          </cell>
          <cell r="G64">
            <v>7.1078079459742538E-2</v>
          </cell>
        </row>
        <row r="65">
          <cell r="A65" t="str">
            <v>TJX</v>
          </cell>
          <cell r="B65">
            <v>6.6846265118965631E-2</v>
          </cell>
          <cell r="C65">
            <v>8.4496792669717324E-2</v>
          </cell>
          <cell r="D65">
            <v>4.0062234300518362E-2</v>
          </cell>
          <cell r="E65">
            <v>3.6026224389584804E-2</v>
          </cell>
          <cell r="F65">
            <v>5.9267136455885217E-2</v>
          </cell>
          <cell r="G65">
            <v>6.6782449189689119E-2</v>
          </cell>
        </row>
        <row r="66">
          <cell r="A66" t="str">
            <v>ANF</v>
          </cell>
          <cell r="B66">
            <v>0.32517499320921894</v>
          </cell>
          <cell r="C66">
            <v>0.19254496302912805</v>
          </cell>
          <cell r="D66">
            <v>0.13770236688854931</v>
          </cell>
          <cell r="E66">
            <v>6.9262730911323844E-2</v>
          </cell>
          <cell r="F66">
            <v>-5.1157205166412423E-2</v>
          </cell>
          <cell r="G66">
            <v>2.6799926349323933E-2</v>
          </cell>
        </row>
        <row r="67">
          <cell r="A67" t="str">
            <v>ARO</v>
          </cell>
          <cell r="B67">
            <v>0.23408904373916317</v>
          </cell>
          <cell r="C67">
            <v>0.27612268987509014</v>
          </cell>
          <cell r="D67">
            <v>0.19351754700831103</v>
          </cell>
          <cell r="E67">
            <v>0.17373375168086058</v>
          </cell>
          <cell r="F67">
            <v>0.14210745461130436</v>
          </cell>
          <cell r="G67">
            <v>8.7894294822347341E-2</v>
          </cell>
        </row>
        <row r="68">
          <cell r="A68" t="str">
            <v>AEO</v>
          </cell>
          <cell r="B68">
            <v>0.21365220252042727</v>
          </cell>
          <cell r="C68">
            <v>0.22738915166099627</v>
          </cell>
          <cell r="D68">
            <v>7.4477882594383704E-2</v>
          </cell>
          <cell r="E68">
            <v>2.6372381778014153E-2</v>
          </cell>
          <cell r="F68">
            <v>3.0263977080299265E-2</v>
          </cell>
          <cell r="G68">
            <v>-3.6504660730932281E-2</v>
          </cell>
        </row>
        <row r="69">
          <cell r="A69" t="str">
            <v>COH</v>
          </cell>
          <cell r="B69">
            <v>0.26445354341591498</v>
          </cell>
          <cell r="C69">
            <v>0.18441894189124874</v>
          </cell>
          <cell r="D69">
            <v>0.18771473109049008</v>
          </cell>
          <cell r="E69">
            <v>0.19258655638317834</v>
          </cell>
          <cell r="F69">
            <v>7.6928088712685527E-2</v>
          </cell>
          <cell r="G69">
            <v>7.5120685716945523E-2</v>
          </cell>
        </row>
        <row r="70">
          <cell r="A70" t="str">
            <v>GPS</v>
          </cell>
          <cell r="B70">
            <v>-2.583798882681565E-2</v>
          </cell>
          <cell r="C70">
            <v>6.9772998805256892E-2</v>
          </cell>
          <cell r="D70">
            <v>-2.9484029484029506E-2</v>
          </cell>
          <cell r="E70">
            <v>-0.10264672036823941</v>
          </cell>
          <cell r="F70">
            <v>3.5906642728904536E-3</v>
          </cell>
          <cell r="G70">
            <v>1.8430965572890257E-2</v>
          </cell>
        </row>
        <row r="71">
          <cell r="A71" t="str">
            <v>LTD</v>
          </cell>
          <cell r="B71">
            <v>5.3515321049683484E-2</v>
          </cell>
          <cell r="C71">
            <v>0.13772363610993166</v>
          </cell>
          <cell r="D71">
            <v>-8.2824685886191962E-2</v>
          </cell>
          <cell r="E71">
            <v>-0.12049140453224649</v>
          </cell>
          <cell r="F71">
            <v>-5.3496757540580586E-2</v>
          </cell>
          <cell r="G71">
            <v>2.7337611856118382E-2</v>
          </cell>
        </row>
        <row r="72">
          <cell r="A72" t="str">
            <v>URBN</v>
          </cell>
          <cell r="B72">
            <v>0.27377825867719996</v>
          </cell>
          <cell r="C72">
            <v>0.18731418062159033</v>
          </cell>
          <cell r="D72">
            <v>0.2219100343136573</v>
          </cell>
          <cell r="E72">
            <v>0.17683691132289447</v>
          </cell>
          <cell r="F72">
            <v>7.9986861268032561E-2</v>
          </cell>
          <cell r="G72">
            <v>0.13189366124946944</v>
          </cell>
        </row>
        <row r="73">
          <cell r="A73" t="str">
            <v>Average</v>
          </cell>
          <cell r="B73">
            <v>0.15709727164033813</v>
          </cell>
          <cell r="C73">
            <v>0.14060408821494691</v>
          </cell>
          <cell r="D73">
            <v>7.0159883327100533E-2</v>
          </cell>
          <cell r="E73">
            <v>4.0551497934592416E-2</v>
          </cell>
          <cell r="F73">
            <v>2.5620915827025716E-2</v>
          </cell>
          <cell r="G73">
            <v>4.6623840653333373E-2</v>
          </cell>
        </row>
        <row r="75">
          <cell r="A75" t="str">
            <v>Total Sales</v>
          </cell>
          <cell r="B75">
            <v>2005</v>
          </cell>
          <cell r="C75">
            <v>2006</v>
          </cell>
          <cell r="D75">
            <v>2007</v>
          </cell>
          <cell r="E75">
            <v>2008</v>
          </cell>
          <cell r="F75">
            <v>2009</v>
          </cell>
          <cell r="G75">
            <v>2010</v>
          </cell>
        </row>
        <row r="76">
          <cell r="A76" t="str">
            <v>JCP</v>
          </cell>
          <cell r="B76">
            <v>3.7853669319186656E-2</v>
          </cell>
          <cell r="C76">
            <v>5.9745913423140395E-2</v>
          </cell>
          <cell r="D76">
            <v>-2.1181637743851178E-3</v>
          </cell>
          <cell r="E76">
            <v>-6.9204061506389691E-2</v>
          </cell>
          <cell r="F76">
            <v>-5.0252606220807183E-2</v>
          </cell>
          <cell r="G76">
            <v>1.4165050052032502E-2</v>
          </cell>
        </row>
        <row r="77">
          <cell r="A77" t="str">
            <v>JWN</v>
          </cell>
          <cell r="B77">
            <v>8.2900681814389365E-2</v>
          </cell>
          <cell r="C77">
            <v>0.10852364459071628</v>
          </cell>
          <cell r="D77">
            <v>3.1202595863094373E-2</v>
          </cell>
          <cell r="E77">
            <v>-6.0809391770148324E-2</v>
          </cell>
          <cell r="F77">
            <v>-3.9802195151369402E-3</v>
          </cell>
          <cell r="G77">
            <v>8.1553241749334093E-2</v>
          </cell>
        </row>
        <row r="78">
          <cell r="A78" t="str">
            <v>KSS</v>
          </cell>
          <cell r="B78">
            <v>0.14541865016622935</v>
          </cell>
          <cell r="C78">
            <v>0.16289124173643121</v>
          </cell>
          <cell r="D78">
            <v>5.7002363958193802E-2</v>
          </cell>
          <cell r="E78">
            <v>-5.147598900064887E-3</v>
          </cell>
          <cell r="F78">
            <v>4.8087425025474362E-2</v>
          </cell>
          <cell r="G78">
            <v>7.6911540806537948E-2</v>
          </cell>
        </row>
        <row r="79">
          <cell r="A79" t="str">
            <v>M</v>
          </cell>
          <cell r="B79">
            <v>0.41924442190669375</v>
          </cell>
          <cell r="C79">
            <v>0.20455560518088434</v>
          </cell>
          <cell r="D79">
            <v>-2.4360400444938812E-2</v>
          </cell>
          <cell r="E79">
            <v>-5.4003724394785846E-2</v>
          </cell>
          <cell r="F79">
            <v>-5.6363490278000916E-2</v>
          </cell>
          <cell r="G79">
            <v>4.4939125238239175E-2</v>
          </cell>
        </row>
        <row r="80">
          <cell r="A80" t="str">
            <v>SKS</v>
          </cell>
          <cell r="B80">
            <v>4.1041179597807176E-3</v>
          </cell>
          <cell r="C80">
            <v>5.8189569068934466E-2</v>
          </cell>
          <cell r="D80">
            <v>0.11041825467525013</v>
          </cell>
          <cell r="E80">
            <v>-6.9761287103328296E-2</v>
          </cell>
          <cell r="F80">
            <v>-0.13539452228728877</v>
          </cell>
          <cell r="G80">
            <v>4.2572459349391245E-2</v>
          </cell>
        </row>
        <row r="81">
          <cell r="A81" t="str">
            <v>ROST</v>
          </cell>
          <cell r="B81">
            <v>0.16608270302524297</v>
          </cell>
          <cell r="C81">
            <v>0.12661980887018864</v>
          </cell>
          <cell r="D81">
            <v>7.270856933580605E-2</v>
          </cell>
          <cell r="E81">
            <v>8.5507761063540411E-2</v>
          </cell>
          <cell r="F81">
            <v>0.10762550725477826</v>
          </cell>
          <cell r="G81">
            <v>8.6251364890475912E-2</v>
          </cell>
        </row>
        <row r="82">
          <cell r="A82" t="str">
            <v>TJX</v>
          </cell>
          <cell r="B82">
            <v>6.990050546877602E-2</v>
          </cell>
          <cell r="C82">
            <v>9.07933802470966E-2</v>
          </cell>
          <cell r="D82">
            <v>5.3554061483729987E-2</v>
          </cell>
          <cell r="E82">
            <v>3.6144893041429649E-2</v>
          </cell>
          <cell r="F82">
            <v>6.7840662164619481E-2</v>
          </cell>
          <cell r="G82">
            <v>8.7128931474232285E-2</v>
          </cell>
        </row>
        <row r="83">
          <cell r="A83" t="str">
            <v>ANF</v>
          </cell>
          <cell r="B83">
            <v>0.36952802567119236</v>
          </cell>
          <cell r="C83">
            <v>0.18640947573915412</v>
          </cell>
          <cell r="D83">
            <v>0.12650966330671687</v>
          </cell>
          <cell r="E83">
            <v>-5.8275418038866378E-2</v>
          </cell>
          <cell r="F83">
            <v>-0.1594210427670959</v>
          </cell>
          <cell r="G83">
            <v>7.9942840110693636E-2</v>
          </cell>
        </row>
        <row r="84">
          <cell r="A84" t="str">
            <v>ARO</v>
          </cell>
          <cell r="B84">
            <v>0.24904792721932512</v>
          </cell>
          <cell r="C84">
            <v>0.17342260992886604</v>
          </cell>
          <cell r="D84">
            <v>0.12027599617324558</v>
          </cell>
          <cell r="E84">
            <v>0.1909747641302364</v>
          </cell>
          <cell r="F84">
            <v>0.1827463987598188</v>
          </cell>
          <cell r="G84">
            <v>8.975332030843397E-2</v>
          </cell>
        </row>
        <row r="85">
          <cell r="A85" t="str">
            <v>AEO</v>
          </cell>
          <cell r="B85">
            <v>0.23427141977024735</v>
          </cell>
          <cell r="C85">
            <v>0.20346887675164371</v>
          </cell>
          <cell r="D85">
            <v>9.3404365645830545E-2</v>
          </cell>
          <cell r="E85">
            <v>-2.1797992353912776E-2</v>
          </cell>
          <cell r="F85">
            <v>5.8250471674914372E-4</v>
          </cell>
          <cell r="G85">
            <v>-5.5028288935698999E-4</v>
          </cell>
        </row>
        <row r="86">
          <cell r="A86" t="str">
            <v>COH</v>
          </cell>
          <cell r="B86">
            <v>0.29820325394954028</v>
          </cell>
          <cell r="C86">
            <v>0.23211241239350389</v>
          </cell>
          <cell r="D86">
            <v>0.283708542886415</v>
          </cell>
          <cell r="E86">
            <v>0.21753514700343279</v>
          </cell>
          <cell r="F86">
            <v>1.5628669527411265E-2</v>
          </cell>
          <cell r="G86">
            <v>7.6036142797213824E-2</v>
          </cell>
        </row>
        <row r="87">
          <cell r="A87" t="str">
            <v>GPS</v>
          </cell>
          <cell r="B87">
            <v>-1.4999692629249384E-2</v>
          </cell>
          <cell r="C87">
            <v>-6.2410285215003247E-3</v>
          </cell>
          <cell r="D87">
            <v>-1.0048357721534895E-2</v>
          </cell>
          <cell r="E87">
            <v>-7.8474909598426734E-2</v>
          </cell>
          <cell r="F87">
            <v>-2.2649043095139709E-2</v>
          </cell>
          <cell r="G87">
            <v>-9.811269648707488E-3</v>
          </cell>
          <cell r="M87">
            <v>2005</v>
          </cell>
          <cell r="N87">
            <v>2006</v>
          </cell>
          <cell r="O87">
            <v>2007</v>
          </cell>
          <cell r="P87">
            <v>2008</v>
          </cell>
          <cell r="Q87">
            <v>2009</v>
          </cell>
          <cell r="R87">
            <v>2010</v>
          </cell>
        </row>
        <row r="88">
          <cell r="A88" t="str">
            <v>LTD</v>
          </cell>
          <cell r="B88">
            <v>2.7761409272991866E-2</v>
          </cell>
          <cell r="C88">
            <v>0.10353710119447745</v>
          </cell>
          <cell r="D88">
            <v>-5.476319535113694E-2</v>
          </cell>
          <cell r="E88">
            <v>-0.10346635775899038</v>
          </cell>
          <cell r="F88">
            <v>-4.5358626808516544E-2</v>
          </cell>
          <cell r="G88">
            <v>5.5396224187859611E-2</v>
          </cell>
          <cell r="L88" t="str">
            <v>Avg - Dept Stores SG&amp;A growth</v>
          </cell>
          <cell r="M88">
            <v>0.12293377559713455</v>
          </cell>
          <cell r="N88">
            <v>9.9024381859430646E-2</v>
          </cell>
          <cell r="O88">
            <v>3.9889217150605352E-2</v>
          </cell>
          <cell r="P88">
            <v>2.1723823415501196E-2</v>
          </cell>
          <cell r="Q88">
            <v>1.8638534048591553E-2</v>
          </cell>
          <cell r="R88">
            <v>4.5965897758643522E-2</v>
          </cell>
        </row>
        <row r="89">
          <cell r="A89" t="str">
            <v>URBN</v>
          </cell>
          <cell r="B89">
            <v>0.31936816671700385</v>
          </cell>
          <cell r="C89">
            <v>0.12142583098542548</v>
          </cell>
          <cell r="D89">
            <v>0.23107950653089637</v>
          </cell>
          <cell r="E89">
            <v>0.21681289148411786</v>
          </cell>
          <cell r="F89">
            <v>5.6249856918443086E-2</v>
          </cell>
          <cell r="G89">
            <v>0.16704157529874619</v>
          </cell>
          <cell r="L89" t="str">
            <v>Avg - Dept Stores comps</v>
          </cell>
          <cell r="M89">
            <v>3.700780088861149E-2</v>
          </cell>
          <cell r="N89">
            <v>4.9142857142857134E-2</v>
          </cell>
          <cell r="O89">
            <v>2.4985142157499068E-2</v>
          </cell>
          <cell r="P89">
            <v>-4.8227770048997518E-2</v>
          </cell>
          <cell r="Q89">
            <v>-2.4653980686388615E-2</v>
          </cell>
          <cell r="R89">
            <v>4.1239107147145793E-2</v>
          </cell>
        </row>
        <row r="90">
          <cell r="A90" t="str">
            <v>Average</v>
          </cell>
          <cell r="B90">
            <v>0.17204894711652502</v>
          </cell>
          <cell r="C90">
            <v>0.13038960297064014</v>
          </cell>
          <cell r="D90">
            <v>7.7755271611941637E-2</v>
          </cell>
          <cell r="E90">
            <v>1.6145336806988844E-2</v>
          </cell>
          <cell r="F90">
            <v>3.815338139506027E-4</v>
          </cell>
          <cell r="G90">
            <v>6.3666447408937565E-2</v>
          </cell>
          <cell r="M90">
            <v>2005</v>
          </cell>
          <cell r="N90">
            <v>2006</v>
          </cell>
          <cell r="O90">
            <v>2007</v>
          </cell>
          <cell r="P90">
            <v>2008</v>
          </cell>
          <cell r="Q90">
            <v>2009</v>
          </cell>
          <cell r="R90">
            <v>2010</v>
          </cell>
        </row>
        <row r="91">
          <cell r="L91" t="str">
            <v>Avg - Specialty SG&amp;A growth</v>
          </cell>
          <cell r="M91">
            <v>0.19126076768354175</v>
          </cell>
          <cell r="N91">
            <v>0.18218379457046316</v>
          </cell>
          <cell r="O91">
            <v>0.10043054950359571</v>
          </cell>
          <cell r="P91">
            <v>5.937917245368364E-2</v>
          </cell>
          <cell r="Q91">
            <v>3.260329760545988E-2</v>
          </cell>
          <cell r="R91">
            <v>4.7281783548023225E-2</v>
          </cell>
        </row>
        <row r="92">
          <cell r="L92" t="str">
            <v>Avg - Specialty comps</v>
          </cell>
          <cell r="M92">
            <v>9.7285714285714295E-2</v>
          </cell>
          <cell r="N92">
            <v>4.2153599874490209E-2</v>
          </cell>
          <cell r="O92">
            <v>3.5857142857142858E-2</v>
          </cell>
          <cell r="P92">
            <v>-2.5435212735340273E-2</v>
          </cell>
          <cell r="Q92">
            <v>-4.6189359134132642E-2</v>
          </cell>
          <cell r="R92">
            <v>2.7112424455829794E-2</v>
          </cell>
        </row>
        <row r="93">
          <cell r="A93" t="str">
            <v>SG&amp;A growth less sales growth</v>
          </cell>
        </row>
        <row r="94">
          <cell r="B94">
            <v>2005</v>
          </cell>
          <cell r="C94">
            <v>2006</v>
          </cell>
          <cell r="D94">
            <v>2007</v>
          </cell>
          <cell r="E94">
            <v>2008</v>
          </cell>
          <cell r="F94">
            <v>2009</v>
          </cell>
          <cell r="G94">
            <v>2010</v>
          </cell>
        </row>
        <row r="95">
          <cell r="A95" t="str">
            <v>JCP</v>
          </cell>
          <cell r="B95">
            <v>-180.53487666144008</v>
          </cell>
          <cell r="C95">
            <v>-22.111788310492653</v>
          </cell>
          <cell r="D95">
            <v>-160.72841783977719</v>
          </cell>
          <cell r="E95">
            <v>650.86717193471475</v>
          </cell>
          <cell r="F95">
            <v>1255.3253731469172</v>
          </cell>
          <cell r="G95">
            <v>-133.92321136353357</v>
          </cell>
        </row>
        <row r="96">
          <cell r="A96" t="str">
            <v>JWN</v>
          </cell>
          <cell r="B96">
            <v>-430.86957357853839</v>
          </cell>
          <cell r="C96">
            <v>-151.26122090709293</v>
          </cell>
          <cell r="D96">
            <v>-38.100173766977278</v>
          </cell>
          <cell r="E96">
            <v>727.53725563976411</v>
          </cell>
          <cell r="F96">
            <v>362.39472787587323</v>
          </cell>
          <cell r="G96">
            <v>-307.18539482680995</v>
          </cell>
        </row>
        <row r="97">
          <cell r="A97" t="str">
            <v>KSS</v>
          </cell>
          <cell r="B97">
            <v>19.035613491147352</v>
          </cell>
          <cell r="C97">
            <v>-103.70911046368781</v>
          </cell>
          <cell r="D97">
            <v>253.88645951353706</v>
          </cell>
          <cell r="E97">
            <v>698.29359293908317</v>
          </cell>
          <cell r="F97">
            <v>47.522186553790036</v>
          </cell>
          <cell r="G97">
            <v>-164.8461441285809</v>
          </cell>
        </row>
        <row r="98">
          <cell r="A98" t="str">
            <v>M</v>
          </cell>
          <cell r="B98">
            <v>-37.100475404394651</v>
          </cell>
          <cell r="C98">
            <v>387.10870463814831</v>
          </cell>
          <cell r="D98">
            <v>100.71393761371117</v>
          </cell>
          <cell r="E98">
            <v>427.80904661327781</v>
          </cell>
          <cell r="F98">
            <v>95.439111812877229</v>
          </cell>
          <cell r="G98">
            <v>-218.59756084601224</v>
          </cell>
        </row>
        <row r="99">
          <cell r="A99" t="str">
            <v>SKS</v>
          </cell>
          <cell r="B99">
            <v>21.751890626089398</v>
          </cell>
          <cell r="C99">
            <v>-1226.9792356374819</v>
          </cell>
          <cell r="D99">
            <v>-329.92005943205396</v>
          </cell>
          <cell r="E99">
            <v>147.03169900923129</v>
          </cell>
          <cell r="F99">
            <v>43.304609487527792</v>
          </cell>
          <cell r="G99">
            <v>62.145695820317037</v>
          </cell>
        </row>
        <row r="100">
          <cell r="A100" t="str">
            <v>ROST</v>
          </cell>
          <cell r="B100">
            <v>-11.4233797783303</v>
          </cell>
          <cell r="C100">
            <v>-1.5663745593741396</v>
          </cell>
          <cell r="D100">
            <v>117.23891531854713</v>
          </cell>
          <cell r="E100">
            <v>243.04965516493081</v>
          </cell>
          <cell r="F100">
            <v>-189.18092982461721</v>
          </cell>
          <cell r="G100">
            <v>-151.73285430733375</v>
          </cell>
        </row>
        <row r="101">
          <cell r="A101" t="str">
            <v>TJX</v>
          </cell>
          <cell r="B101">
            <v>-30.542403498103887</v>
          </cell>
          <cell r="C101">
            <v>-62.96587577379276</v>
          </cell>
          <cell r="D101">
            <v>-134.91827183211623</v>
          </cell>
          <cell r="E101">
            <v>-1.1866865184484432</v>
          </cell>
          <cell r="F101">
            <v>-85.735257087342646</v>
          </cell>
          <cell r="G101">
            <v>-203.46482284543166</v>
          </cell>
        </row>
        <row r="102">
          <cell r="A102" t="str">
            <v>ANF</v>
          </cell>
          <cell r="B102">
            <v>-443.53032461973419</v>
          </cell>
          <cell r="C102">
            <v>61.354872899739291</v>
          </cell>
          <cell r="D102">
            <v>111.92703581832441</v>
          </cell>
          <cell r="E102">
            <v>1275.3814895019023</v>
          </cell>
          <cell r="F102">
            <v>1082.6383760068347</v>
          </cell>
          <cell r="G102">
            <v>-531.42913761369698</v>
          </cell>
        </row>
        <row r="103">
          <cell r="A103" t="str">
            <v>ARO</v>
          </cell>
          <cell r="B103">
            <v>-149.58883480161944</v>
          </cell>
          <cell r="C103">
            <v>1027.000799462241</v>
          </cell>
          <cell r="D103">
            <v>732.41550835065448</v>
          </cell>
          <cell r="E103">
            <v>-172.41012449375813</v>
          </cell>
          <cell r="F103">
            <v>-406.38944148514435</v>
          </cell>
          <cell r="G103">
            <v>-18.590254860866295</v>
          </cell>
        </row>
        <row r="104">
          <cell r="A104" t="str">
            <v>AEO</v>
          </cell>
          <cell r="B104">
            <v>-206.19217249820076</v>
          </cell>
          <cell r="C104">
            <v>239.20274909352557</v>
          </cell>
          <cell r="D104">
            <v>-189.2648305144684</v>
          </cell>
          <cell r="E104">
            <v>481.70374131926928</v>
          </cell>
          <cell r="F104">
            <v>296.8147236355012</v>
          </cell>
          <cell r="G104">
            <v>-359.54377841575291</v>
          </cell>
        </row>
        <row r="105">
          <cell r="A105" t="str">
            <v>COH</v>
          </cell>
          <cell r="B105">
            <v>-337.49710533625301</v>
          </cell>
          <cell r="C105">
            <v>-476.93470502255144</v>
          </cell>
          <cell r="D105">
            <v>-959.93811795924921</v>
          </cell>
          <cell r="E105">
            <v>-249.48590620254453</v>
          </cell>
          <cell r="F105">
            <v>612.99419185274257</v>
          </cell>
          <cell r="G105">
            <v>-9.1545708026830042</v>
          </cell>
        </row>
        <row r="106">
          <cell r="A106" t="str">
            <v>GPS</v>
          </cell>
          <cell r="B106">
            <v>-108.38296197566267</v>
          </cell>
          <cell r="C106">
            <v>760.14027326757218</v>
          </cell>
          <cell r="D106">
            <v>-194.3567176249461</v>
          </cell>
          <cell r="E106">
            <v>-241.71810769812674</v>
          </cell>
          <cell r="F106">
            <v>262.39707368030162</v>
          </cell>
          <cell r="G106">
            <v>282.42235221597747</v>
          </cell>
        </row>
        <row r="107">
          <cell r="A107" t="str">
            <v>LTD</v>
          </cell>
          <cell r="B107">
            <v>257.53911776691621</v>
          </cell>
          <cell r="C107">
            <v>341.86534915454206</v>
          </cell>
          <cell r="D107">
            <v>-280.6149053505502</v>
          </cell>
          <cell r="E107">
            <v>-170.25046773256113</v>
          </cell>
          <cell r="F107">
            <v>-81.381307320640417</v>
          </cell>
          <cell r="G107">
            <v>-280.58612331741227</v>
          </cell>
        </row>
        <row r="108">
          <cell r="A108" t="str">
            <v>URBN</v>
          </cell>
          <cell r="B108">
            <v>-455.89908039803896</v>
          </cell>
          <cell r="C108">
            <v>658.88349636164855</v>
          </cell>
          <cell r="D108">
            <v>-91.694722172390726</v>
          </cell>
          <cell r="E108">
            <v>-399.7598016122339</v>
          </cell>
          <cell r="F108">
            <v>237.37004349589475</v>
          </cell>
          <cell r="G108">
            <v>-351.4791404927675</v>
          </cell>
        </row>
        <row r="109">
          <cell r="A109" t="str">
            <v>Average</v>
          </cell>
          <cell r="B109">
            <v>-149.51675476186884</v>
          </cell>
          <cell r="C109">
            <v>102.14485244306739</v>
          </cell>
          <cell r="D109">
            <v>-75.953882848411084</v>
          </cell>
          <cell r="E109">
            <v>244.06161127603579</v>
          </cell>
          <cell r="F109">
            <v>252.39382013075115</v>
          </cell>
          <cell r="G109">
            <v>-170.42606755604191</v>
          </cell>
        </row>
        <row r="111">
          <cell r="A111" t="str">
            <v>Avg - Dept Stores</v>
          </cell>
          <cell r="B111">
            <v>-92.811886400510062</v>
          </cell>
          <cell r="C111">
            <v>-168.78355728768199</v>
          </cell>
          <cell r="D111">
            <v>-27.403944346447041</v>
          </cell>
          <cell r="E111">
            <v>413.34310496893619</v>
          </cell>
          <cell r="F111">
            <v>218.43854599500369</v>
          </cell>
          <cell r="G111">
            <v>-159.65775607105499</v>
          </cell>
        </row>
        <row r="113">
          <cell r="A113" t="str">
            <v>Avg - Spec</v>
          </cell>
          <cell r="B113">
            <v>-206.22162312322754</v>
          </cell>
          <cell r="C113">
            <v>373.07326217381677</v>
          </cell>
          <cell r="D113">
            <v>-124.50382135037511</v>
          </cell>
          <cell r="E113">
            <v>74.780117583135308</v>
          </cell>
          <cell r="F113">
            <v>286.34909426649858</v>
          </cell>
          <cell r="G113">
            <v>-181.19437904102878</v>
          </cell>
        </row>
        <row r="116">
          <cell r="A116" t="str">
            <v>2009 - in Order</v>
          </cell>
          <cell r="B116" t="str">
            <v>(hardcoded)</v>
          </cell>
        </row>
        <row r="117">
          <cell r="A117" t="str">
            <v>TJX</v>
          </cell>
          <cell r="B117">
            <v>-214.23431782687351</v>
          </cell>
        </row>
        <row r="118">
          <cell r="A118" t="str">
            <v>ARO</v>
          </cell>
          <cell r="B118">
            <v>-160.93243556556169</v>
          </cell>
        </row>
        <row r="119">
          <cell r="A119" t="str">
            <v>ROST</v>
          </cell>
          <cell r="B119">
            <v>-139.48426974530469</v>
          </cell>
        </row>
        <row r="120">
          <cell r="A120" t="str">
            <v>LTD</v>
          </cell>
          <cell r="B120">
            <v>-26.472566827170361</v>
          </cell>
        </row>
        <row r="121">
          <cell r="A121" t="str">
            <v>KSS</v>
          </cell>
          <cell r="B121">
            <v>19.20113782717614</v>
          </cell>
        </row>
        <row r="122">
          <cell r="A122" t="str">
            <v>SKS</v>
          </cell>
          <cell r="B122">
            <v>187.91141726734796</v>
          </cell>
        </row>
        <row r="123">
          <cell r="A123" t="str">
            <v>URBN</v>
          </cell>
          <cell r="B123">
            <v>210.07871886226326</v>
          </cell>
        </row>
        <row r="124">
          <cell r="A124" t="str">
            <v>AEO</v>
          </cell>
          <cell r="B124">
            <v>211.26231705635544</v>
          </cell>
        </row>
        <row r="125">
          <cell r="A125" t="str">
            <v>M</v>
          </cell>
          <cell r="B125">
            <v>256.49965099774573</v>
          </cell>
        </row>
        <row r="126">
          <cell r="A126" t="str">
            <v>GPS</v>
          </cell>
          <cell r="B126">
            <v>265.45830679659764</v>
          </cell>
        </row>
        <row r="127">
          <cell r="A127" t="str">
            <v>JWN</v>
          </cell>
          <cell r="B127">
            <v>341.94187585199984</v>
          </cell>
        </row>
        <row r="128">
          <cell r="A128" t="str">
            <v>COH</v>
          </cell>
          <cell r="B128">
            <v>612.99419185274257</v>
          </cell>
        </row>
        <row r="129">
          <cell r="A129" t="str">
            <v>ANF</v>
          </cell>
          <cell r="B129">
            <v>1018.4323376746818</v>
          </cell>
        </row>
        <row r="130">
          <cell r="A130" t="str">
            <v>JCP</v>
          </cell>
          <cell r="B130">
            <v>1358.9998352094078</v>
          </cell>
        </row>
        <row r="132">
          <cell r="A132" t="str">
            <v>2008 - in Order</v>
          </cell>
          <cell r="B132" t="str">
            <v>(hardcoded)</v>
          </cell>
        </row>
        <row r="133">
          <cell r="A133" t="str">
            <v>URBN</v>
          </cell>
          <cell r="B133">
            <v>-399.7598016122339</v>
          </cell>
        </row>
        <row r="134">
          <cell r="A134" t="str">
            <v>COH</v>
          </cell>
          <cell r="B134">
            <v>-249.48590620254453</v>
          </cell>
        </row>
        <row r="135">
          <cell r="A135" t="str">
            <v>GPS</v>
          </cell>
          <cell r="B135">
            <v>-241.71810769812674</v>
          </cell>
        </row>
        <row r="136">
          <cell r="A136" t="str">
            <v>ARO</v>
          </cell>
          <cell r="B136">
            <v>-172.41012449375813</v>
          </cell>
        </row>
        <row r="137">
          <cell r="A137" t="str">
            <v>LTD</v>
          </cell>
          <cell r="B137">
            <v>-170.25046773256113</v>
          </cell>
        </row>
        <row r="138">
          <cell r="A138" t="str">
            <v>TJX</v>
          </cell>
          <cell r="B138">
            <v>-1.1866865184484432</v>
          </cell>
        </row>
        <row r="139">
          <cell r="A139" t="str">
            <v>SKS</v>
          </cell>
          <cell r="B139">
            <v>159.52008591213817</v>
          </cell>
        </row>
        <row r="140">
          <cell r="A140" t="str">
            <v>ROST</v>
          </cell>
          <cell r="B140">
            <v>243.04965516493081</v>
          </cell>
        </row>
        <row r="141">
          <cell r="A141" t="str">
            <v>M</v>
          </cell>
          <cell r="B141">
            <v>427.80904661327781</v>
          </cell>
        </row>
        <row r="142">
          <cell r="A142" t="str">
            <v>AEO</v>
          </cell>
          <cell r="B142">
            <v>481.70374131926928</v>
          </cell>
        </row>
        <row r="143">
          <cell r="A143" t="str">
            <v>JCP</v>
          </cell>
          <cell r="B143">
            <v>650.86717193471475</v>
          </cell>
        </row>
        <row r="144">
          <cell r="A144" t="str">
            <v>KSS</v>
          </cell>
          <cell r="B144">
            <v>698.29359293908317</v>
          </cell>
        </row>
        <row r="145">
          <cell r="A145" t="str">
            <v>JWN</v>
          </cell>
          <cell r="B145">
            <v>727.53725563976411</v>
          </cell>
        </row>
        <row r="146">
          <cell r="A146" t="str">
            <v>ANF</v>
          </cell>
          <cell r="B146">
            <v>1212.4880986772769</v>
          </cell>
        </row>
        <row r="148">
          <cell r="A148" t="str">
            <v>2007 - in Order</v>
          </cell>
          <cell r="B148" t="str">
            <v>(hardcoded)</v>
          </cell>
        </row>
        <row r="149">
          <cell r="A149" t="str">
            <v>COH</v>
          </cell>
          <cell r="B149">
            <v>-959.93811795924921</v>
          </cell>
        </row>
        <row r="150">
          <cell r="A150" t="str">
            <v>SKS</v>
          </cell>
          <cell r="B150">
            <v>-329.92005943205396</v>
          </cell>
        </row>
        <row r="151">
          <cell r="A151" t="str">
            <v>LTD</v>
          </cell>
          <cell r="B151">
            <v>-280.6149053505502</v>
          </cell>
        </row>
        <row r="152">
          <cell r="A152" t="str">
            <v>GPS</v>
          </cell>
          <cell r="B152">
            <v>-194.3567176249461</v>
          </cell>
        </row>
        <row r="153">
          <cell r="A153" t="str">
            <v>AEO</v>
          </cell>
          <cell r="B153">
            <v>-189.2648305144684</v>
          </cell>
        </row>
        <row r="154">
          <cell r="A154" t="str">
            <v>JCP</v>
          </cell>
          <cell r="B154">
            <v>-160.72841783977719</v>
          </cell>
        </row>
        <row r="155">
          <cell r="A155" t="str">
            <v>TJX</v>
          </cell>
          <cell r="B155">
            <v>-134.91827183211623</v>
          </cell>
        </row>
        <row r="156">
          <cell r="A156" t="str">
            <v>URBN</v>
          </cell>
          <cell r="B156">
            <v>-91.694722172390726</v>
          </cell>
        </row>
        <row r="157">
          <cell r="A157" t="str">
            <v>JWN</v>
          </cell>
          <cell r="B157">
            <v>-38.100173766977278</v>
          </cell>
        </row>
        <row r="158">
          <cell r="A158" t="str">
            <v>M</v>
          </cell>
          <cell r="B158">
            <v>100.71393761371117</v>
          </cell>
        </row>
        <row r="159">
          <cell r="A159" t="str">
            <v>ROST</v>
          </cell>
          <cell r="B159">
            <v>117.23891531854713</v>
          </cell>
        </row>
        <row r="160">
          <cell r="A160" t="str">
            <v>ANF</v>
          </cell>
          <cell r="B160">
            <v>119.36625141564683</v>
          </cell>
        </row>
        <row r="161">
          <cell r="A161" t="str">
            <v>KSS</v>
          </cell>
          <cell r="B161">
            <v>253.88645951353706</v>
          </cell>
        </row>
        <row r="162">
          <cell r="A162" t="str">
            <v>ARO</v>
          </cell>
          <cell r="B162">
            <v>732.41550835065448</v>
          </cell>
        </row>
        <row r="165">
          <cell r="A165" t="str">
            <v>Operating margin per quarter - dept store and softines averages</v>
          </cell>
        </row>
        <row r="166">
          <cell r="B166" t="str">
            <v>1Q05</v>
          </cell>
          <cell r="C166" t="str">
            <v>2Q05</v>
          </cell>
          <cell r="D166" t="str">
            <v>3Q05</v>
          </cell>
          <cell r="E166" t="str">
            <v>4Q05</v>
          </cell>
          <cell r="F166" t="str">
            <v>1Q06</v>
          </cell>
          <cell r="G166" t="str">
            <v>2Q06</v>
          </cell>
          <cell r="H166" t="str">
            <v>3Q06</v>
          </cell>
          <cell r="I166" t="str">
            <v>4Q06</v>
          </cell>
          <cell r="J166" t="str">
            <v>1Q07</v>
          </cell>
          <cell r="K166" t="str">
            <v>2Q07</v>
          </cell>
          <cell r="L166" t="str">
            <v>3Q07</v>
          </cell>
          <cell r="M166" t="str">
            <v>4Q07</v>
          </cell>
          <cell r="N166" t="str">
            <v>1Q08</v>
          </cell>
          <cell r="O166" t="str">
            <v>2Q08</v>
          </cell>
          <cell r="P166" t="str">
            <v>3Q08</v>
          </cell>
          <cell r="Q166" t="str">
            <v>4Q08</v>
          </cell>
          <cell r="R166" t="str">
            <v>1Q09</v>
          </cell>
          <cell r="S166" t="str">
            <v>2Q09</v>
          </cell>
          <cell r="T166" t="str">
            <v>3Q09</v>
          </cell>
          <cell r="U166" t="str">
            <v>4Q09</v>
          </cell>
        </row>
        <row r="167">
          <cell r="A167" t="str">
            <v>Department Stores Average</v>
          </cell>
          <cell r="B167">
            <v>6.8895458045228869E-2</v>
          </cell>
          <cell r="C167">
            <v>5.0381614729388138E-2</v>
          </cell>
          <cell r="D167">
            <v>5.8850908929155663E-2</v>
          </cell>
          <cell r="E167">
            <v>9.61852868874606E-2</v>
          </cell>
          <cell r="F167">
            <v>7.2635663425478267E-2</v>
          </cell>
          <cell r="G167">
            <v>5.944892792875256E-2</v>
          </cell>
          <cell r="H167">
            <v>8.0497421892793006E-2</v>
          </cell>
          <cell r="I167">
            <v>0.1127214661643382</v>
          </cell>
          <cell r="J167">
            <v>8.4050034085017683E-2</v>
          </cell>
          <cell r="K167">
            <v>6.804467912976582E-2</v>
          </cell>
          <cell r="L167">
            <v>7.7674969272626404E-2</v>
          </cell>
          <cell r="M167">
            <v>0.11086515574020774</v>
          </cell>
          <cell r="N167">
            <v>6.8356473350861688E-2</v>
          </cell>
          <cell r="O167">
            <v>6.0966790403798217E-2</v>
          </cell>
          <cell r="P167">
            <v>4.9309735773725973E-2</v>
          </cell>
          <cell r="Q167">
            <v>5.6946938565969989E-2</v>
          </cell>
          <cell r="R167">
            <v>5.1272690672644061E-2</v>
          </cell>
          <cell r="S167">
            <v>4.8279382532345698E-2</v>
          </cell>
          <cell r="T167">
            <v>6.4633547072114189E-2</v>
          </cell>
          <cell r="U167">
            <v>0.1020897665719154</v>
          </cell>
        </row>
        <row r="168">
          <cell r="B168" t="str">
            <v>1Q05</v>
          </cell>
          <cell r="C168" t="str">
            <v>2Q05</v>
          </cell>
          <cell r="D168" t="str">
            <v>3Q05</v>
          </cell>
          <cell r="E168" t="str">
            <v>4Q05</v>
          </cell>
          <cell r="F168" t="str">
            <v>1Q06</v>
          </cell>
          <cell r="G168" t="str">
            <v>2Q06</v>
          </cell>
          <cell r="H168" t="str">
            <v>3Q06</v>
          </cell>
          <cell r="I168" t="str">
            <v>4Q06</v>
          </cell>
          <cell r="J168" t="str">
            <v>1Q07</v>
          </cell>
          <cell r="K168" t="str">
            <v>2Q07</v>
          </cell>
          <cell r="L168" t="str">
            <v>3Q07</v>
          </cell>
          <cell r="M168" t="str">
            <v>4Q07</v>
          </cell>
          <cell r="N168" t="str">
            <v>1Q08</v>
          </cell>
          <cell r="O168" t="str">
            <v>2Q08</v>
          </cell>
          <cell r="P168" t="str">
            <v>3Q08</v>
          </cell>
          <cell r="Q168" t="str">
            <v>4Q08</v>
          </cell>
          <cell r="R168" t="str">
            <v>1Q09</v>
          </cell>
          <cell r="S168" t="str">
            <v>2Q09</v>
          </cell>
          <cell r="T168" t="str">
            <v>3Q09</v>
          </cell>
          <cell r="U168" t="str">
            <v>4Q09</v>
          </cell>
        </row>
        <row r="169">
          <cell r="A169" t="str">
            <v>Specialty Stores</v>
          </cell>
          <cell r="B169">
            <v>0.15422920734198622</v>
          </cell>
          <cell r="C169">
            <v>0.14889808899378965</v>
          </cell>
          <cell r="D169">
            <v>0.1604035975191784</v>
          </cell>
          <cell r="E169">
            <v>0.21862254168681086</v>
          </cell>
          <cell r="F169">
            <v>0.14336442322773496</v>
          </cell>
          <cell r="G169">
            <v>0.13910215874741497</v>
          </cell>
          <cell r="H169">
            <v>0.16214181785163623</v>
          </cell>
          <cell r="I169">
            <v>0.21167570055926174</v>
          </cell>
          <cell r="J169">
            <v>0.14278819378862215</v>
          </cell>
          <cell r="K169">
            <v>0.14759061099706394</v>
          </cell>
          <cell r="L169">
            <v>0.16636766252483629</v>
          </cell>
          <cell r="M169">
            <v>0.21528973973658486</v>
          </cell>
          <cell r="N169">
            <v>0.13864206934579909</v>
          </cell>
          <cell r="O169">
            <v>0.15729483083185869</v>
          </cell>
          <cell r="P169">
            <v>0.14512414393148346</v>
          </cell>
          <cell r="Q169">
            <v>0.1573688038954609</v>
          </cell>
          <cell r="R169">
            <v>9.5018026082193244E-2</v>
          </cell>
          <cell r="S169">
            <v>0.12412464617273845</v>
          </cell>
          <cell r="T169">
            <v>0.14216244672037553</v>
          </cell>
          <cell r="U169">
            <v>0.19155284062283701</v>
          </cell>
        </row>
        <row r="171">
          <cell r="A171" t="str">
            <v>Group by quarter</v>
          </cell>
        </row>
        <row r="172">
          <cell r="B172" t="str">
            <v>1Q05</v>
          </cell>
          <cell r="C172" t="str">
            <v>1Q06</v>
          </cell>
          <cell r="D172" t="str">
            <v>1Q07</v>
          </cell>
          <cell r="E172" t="str">
            <v>1Q08</v>
          </cell>
          <cell r="F172" t="str">
            <v>1Q09</v>
          </cell>
          <cell r="G172" t="str">
            <v>2Q05</v>
          </cell>
          <cell r="H172" t="str">
            <v>2Q06</v>
          </cell>
          <cell r="I172" t="str">
            <v>2Q07</v>
          </cell>
          <cell r="J172" t="str">
            <v>2Q08</v>
          </cell>
          <cell r="K172" t="str">
            <v>2Q09</v>
          </cell>
          <cell r="L172" t="str">
            <v>3Q05</v>
          </cell>
          <cell r="M172" t="str">
            <v>3Q06</v>
          </cell>
          <cell r="N172" t="str">
            <v>3Q07</v>
          </cell>
          <cell r="O172" t="str">
            <v>3Q08</v>
          </cell>
          <cell r="P172" t="str">
            <v>3Q09</v>
          </cell>
          <cell r="Q172" t="str">
            <v>4Q05</v>
          </cell>
          <cell r="R172" t="str">
            <v>4Q06</v>
          </cell>
          <cell r="S172" t="str">
            <v>4Q07</v>
          </cell>
          <cell r="T172" t="str">
            <v>4Q08</v>
          </cell>
          <cell r="U172" t="str">
            <v>4Q09</v>
          </cell>
        </row>
        <row r="173">
          <cell r="A173" t="str">
            <v>Department Stores Average</v>
          </cell>
          <cell r="B173">
            <v>6.8895458045228869E-2</v>
          </cell>
          <cell r="C173">
            <v>7.2635663425478267E-2</v>
          </cell>
          <cell r="D173">
            <v>8.4050034085017683E-2</v>
          </cell>
          <cell r="E173">
            <v>6.8356473350861688E-2</v>
          </cell>
          <cell r="F173">
            <v>5.1272690672644061E-2</v>
          </cell>
          <cell r="G173">
            <v>5.0381614729388138E-2</v>
          </cell>
          <cell r="H173">
            <v>5.944892792875256E-2</v>
          </cell>
          <cell r="I173">
            <v>6.804467912976582E-2</v>
          </cell>
          <cell r="J173">
            <v>6.0966790403798217E-2</v>
          </cell>
          <cell r="K173">
            <v>4.8279382532345698E-2</v>
          </cell>
          <cell r="L173">
            <v>5.8850908929155663E-2</v>
          </cell>
          <cell r="M173">
            <v>8.0497421892793006E-2</v>
          </cell>
          <cell r="N173">
            <v>7.7674969272626404E-2</v>
          </cell>
          <cell r="O173">
            <v>4.9309735773725973E-2</v>
          </cell>
          <cell r="P173">
            <v>6.4633547072114189E-2</v>
          </cell>
          <cell r="Q173">
            <v>9.61852868874606E-2</v>
          </cell>
          <cell r="R173">
            <v>0.1127214661643382</v>
          </cell>
          <cell r="S173">
            <v>0.11086515574020774</v>
          </cell>
          <cell r="T173">
            <v>5.6946938565969989E-2</v>
          </cell>
          <cell r="U173">
            <v>0.1020897665719154</v>
          </cell>
        </row>
        <row r="174">
          <cell r="B174" t="str">
            <v>1Q05</v>
          </cell>
          <cell r="C174" t="str">
            <v>1Q06</v>
          </cell>
          <cell r="D174" t="str">
            <v>1Q07</v>
          </cell>
          <cell r="E174" t="str">
            <v>1Q08</v>
          </cell>
          <cell r="F174" t="str">
            <v>1Q09</v>
          </cell>
          <cell r="G174" t="str">
            <v>2Q05</v>
          </cell>
          <cell r="H174" t="str">
            <v>2Q06</v>
          </cell>
          <cell r="I174" t="str">
            <v>2Q07</v>
          </cell>
          <cell r="J174" t="str">
            <v>2Q08</v>
          </cell>
          <cell r="K174" t="str">
            <v>2Q09</v>
          </cell>
          <cell r="L174" t="str">
            <v>3Q05</v>
          </cell>
          <cell r="M174" t="str">
            <v>3Q06</v>
          </cell>
          <cell r="N174" t="str">
            <v>3Q07</v>
          </cell>
          <cell r="O174" t="str">
            <v>3Q08</v>
          </cell>
          <cell r="P174" t="str">
            <v>3Q09</v>
          </cell>
          <cell r="Q174" t="str">
            <v>4Q05</v>
          </cell>
          <cell r="R174" t="str">
            <v>4Q06</v>
          </cell>
          <cell r="S174" t="str">
            <v>4Q07</v>
          </cell>
          <cell r="T174" t="str">
            <v>4Q08</v>
          </cell>
          <cell r="U174" t="str">
            <v>4Q09</v>
          </cell>
        </row>
        <row r="175">
          <cell r="A175" t="str">
            <v>Specialty Stores</v>
          </cell>
          <cell r="B175">
            <v>0.15422920734198622</v>
          </cell>
          <cell r="C175">
            <v>0.14336442322773496</v>
          </cell>
          <cell r="D175">
            <v>0.14278819378862215</v>
          </cell>
          <cell r="E175">
            <v>0.13864206934579909</v>
          </cell>
          <cell r="F175">
            <v>9.5018026082193244E-2</v>
          </cell>
          <cell r="G175">
            <v>0.14889808899378965</v>
          </cell>
          <cell r="H175">
            <v>0.13910215874741497</v>
          </cell>
          <cell r="I175">
            <v>0.14759061099706394</v>
          </cell>
          <cell r="J175">
            <v>0.15729483083185869</v>
          </cell>
          <cell r="K175">
            <v>0.12412464617273845</v>
          </cell>
          <cell r="L175">
            <v>0.1604035975191784</v>
          </cell>
          <cell r="M175">
            <v>0.16214181785163623</v>
          </cell>
          <cell r="N175">
            <v>0.16636766252483629</v>
          </cell>
          <cell r="O175">
            <v>0.14512414393148346</v>
          </cell>
          <cell r="P175">
            <v>0.14216244672037553</v>
          </cell>
          <cell r="Q175">
            <v>0.21862254168681086</v>
          </cell>
          <cell r="R175">
            <v>0.21167570055926174</v>
          </cell>
          <cell r="S175">
            <v>0.21528973973658486</v>
          </cell>
          <cell r="T175">
            <v>0.1573688038954609</v>
          </cell>
          <cell r="U175">
            <v>0.19155284062283701</v>
          </cell>
        </row>
        <row r="177">
          <cell r="A177" t="str">
            <v>Teen retail comps - monthly</v>
          </cell>
        </row>
        <row r="178">
          <cell r="B178">
            <v>38353</v>
          </cell>
          <cell r="C178">
            <v>38384</v>
          </cell>
          <cell r="D178">
            <v>38415</v>
          </cell>
          <cell r="E178">
            <v>38446</v>
          </cell>
          <cell r="F178">
            <v>38477</v>
          </cell>
          <cell r="G178">
            <v>38508</v>
          </cell>
          <cell r="H178">
            <v>38539</v>
          </cell>
          <cell r="I178">
            <v>38570</v>
          </cell>
          <cell r="J178">
            <v>38601</v>
          </cell>
          <cell r="K178">
            <v>38632</v>
          </cell>
          <cell r="L178">
            <v>38663</v>
          </cell>
          <cell r="M178">
            <v>38694</v>
          </cell>
          <cell r="N178">
            <v>38725</v>
          </cell>
          <cell r="O178">
            <v>38756</v>
          </cell>
          <cell r="P178">
            <v>38787</v>
          </cell>
          <cell r="Q178">
            <v>38818</v>
          </cell>
          <cell r="R178">
            <v>38849</v>
          </cell>
          <cell r="S178">
            <v>38880</v>
          </cell>
          <cell r="T178">
            <v>38911</v>
          </cell>
          <cell r="U178">
            <v>38942</v>
          </cell>
          <cell r="V178">
            <v>38973</v>
          </cell>
          <cell r="W178">
            <v>39004</v>
          </cell>
          <cell r="X178">
            <v>39035</v>
          </cell>
          <cell r="Y178">
            <v>39066</v>
          </cell>
          <cell r="Z178">
            <v>39097</v>
          </cell>
          <cell r="AA178">
            <v>39128</v>
          </cell>
          <cell r="AB178">
            <v>39159</v>
          </cell>
          <cell r="AC178">
            <v>39190</v>
          </cell>
          <cell r="AD178">
            <v>39221</v>
          </cell>
          <cell r="AE178">
            <v>39252</v>
          </cell>
          <cell r="AF178">
            <v>39283</v>
          </cell>
          <cell r="AG178">
            <v>39314</v>
          </cell>
          <cell r="AH178">
            <v>39345</v>
          </cell>
          <cell r="AI178">
            <v>39376</v>
          </cell>
          <cell r="AJ178">
            <v>39407</v>
          </cell>
          <cell r="AK178">
            <v>39438</v>
          </cell>
          <cell r="AL178">
            <v>39469</v>
          </cell>
          <cell r="AM178">
            <v>39500</v>
          </cell>
          <cell r="AN178">
            <v>39531</v>
          </cell>
          <cell r="AO178">
            <v>39562</v>
          </cell>
          <cell r="AP178">
            <v>39593</v>
          </cell>
          <cell r="AQ178">
            <v>39624</v>
          </cell>
          <cell r="AR178">
            <v>39655</v>
          </cell>
          <cell r="AS178">
            <v>39686</v>
          </cell>
          <cell r="AT178">
            <v>39717</v>
          </cell>
          <cell r="AU178">
            <v>39748</v>
          </cell>
          <cell r="AV178">
            <v>39779</v>
          </cell>
          <cell r="AW178">
            <v>39810</v>
          </cell>
          <cell r="AX178">
            <v>39841</v>
          </cell>
          <cell r="AY178">
            <v>39872</v>
          </cell>
          <cell r="AZ178">
            <v>39903</v>
          </cell>
          <cell r="BA178">
            <v>39933</v>
          </cell>
          <cell r="BB178">
            <v>39964</v>
          </cell>
          <cell r="BC178">
            <v>39994</v>
          </cell>
          <cell r="BD178">
            <v>40024</v>
          </cell>
          <cell r="BE178">
            <v>40054</v>
          </cell>
          <cell r="BF178">
            <v>40084</v>
          </cell>
          <cell r="BG178">
            <v>40114</v>
          </cell>
          <cell r="BH178">
            <v>40144</v>
          </cell>
          <cell r="BI178">
            <v>40174</v>
          </cell>
          <cell r="IV178">
            <v>31</v>
          </cell>
        </row>
        <row r="179">
          <cell r="A179" t="str">
            <v>ARO</v>
          </cell>
          <cell r="B179">
            <v>9.0999999999999998E-2</v>
          </cell>
          <cell r="C179">
            <v>0</v>
          </cell>
          <cell r="D179">
            <v>0</v>
          </cell>
          <cell r="E179">
            <v>0</v>
          </cell>
          <cell r="F179">
            <v>0.13400000000000001</v>
          </cell>
          <cell r="G179">
            <v>6.8000000000000005E-2</v>
          </cell>
          <cell r="H179">
            <v>-5.7000000000000002E-2</v>
          </cell>
          <cell r="I179">
            <v>-4.9000000000000002E-2</v>
          </cell>
          <cell r="J179">
            <v>0.02</v>
          </cell>
          <cell r="K179">
            <v>-4.2000000000000003E-2</v>
          </cell>
          <cell r="L179">
            <v>1.2999999999999999E-2</v>
          </cell>
          <cell r="M179">
            <v>-4.2000000000000003E-2</v>
          </cell>
          <cell r="N179">
            <v>-2.5000000000000001E-2</v>
          </cell>
          <cell r="O179">
            <v>0</v>
          </cell>
          <cell r="P179">
            <v>0</v>
          </cell>
          <cell r="Q179">
            <v>0</v>
          </cell>
          <cell r="R179">
            <v>-5.3999999999999999E-2</v>
          </cell>
          <cell r="S179">
            <v>-9.2999999999999999E-2</v>
          </cell>
          <cell r="T179">
            <v>8.4000000000000005E-2</v>
          </cell>
          <cell r="U179">
            <v>-1.0999999999999999E-2</v>
          </cell>
          <cell r="V179">
            <v>5.2999999999999999E-2</v>
          </cell>
          <cell r="W179">
            <v>-1.9E-2</v>
          </cell>
          <cell r="X179">
            <v>3.3000000000000002E-2</v>
          </cell>
          <cell r="Y179">
            <v>8.5000000000000006E-2</v>
          </cell>
          <cell r="Z179">
            <v>5.6000000000000001E-2</v>
          </cell>
          <cell r="AA179">
            <v>0</v>
          </cell>
          <cell r="AB179">
            <v>0</v>
          </cell>
          <cell r="AC179">
            <v>0</v>
          </cell>
          <cell r="AD179">
            <v>2.3E-2</v>
          </cell>
          <cell r="AE179">
            <v>0.159</v>
          </cell>
          <cell r="AF179">
            <v>-0.14000000000000001</v>
          </cell>
          <cell r="AG179">
            <v>1.9E-2</v>
          </cell>
          <cell r="AH179">
            <v>2E-3</v>
          </cell>
          <cell r="AI179">
            <v>-0.11899999999999999</v>
          </cell>
          <cell r="AJ179">
            <v>1.7000000000000001E-2</v>
          </cell>
          <cell r="AK179">
            <v>1.2999999999999999E-2</v>
          </cell>
          <cell r="AL179">
            <v>0.03</v>
          </cell>
          <cell r="AM179">
            <v>0</v>
          </cell>
          <cell r="AN179">
            <v>0</v>
          </cell>
          <cell r="AO179">
            <v>0</v>
          </cell>
          <cell r="AP179">
            <v>7.0000000000000007E-2</v>
          </cell>
          <cell r="AQ179">
            <v>2.5000000000000001E-2</v>
          </cell>
          <cell r="AR179">
            <v>0.25</v>
          </cell>
          <cell r="AS179">
            <v>0.06</v>
          </cell>
          <cell r="AT179">
            <v>0.12</v>
          </cell>
          <cell r="AU179">
            <v>0.13</v>
          </cell>
          <cell r="AV179">
            <v>0.13</v>
          </cell>
          <cell r="AW179">
            <v>0.05</v>
          </cell>
          <cell r="AX179">
            <v>0.01</v>
          </cell>
          <cell r="AY179">
            <v>0</v>
          </cell>
          <cell r="AZ179">
            <v>0</v>
          </cell>
          <cell r="BA179">
            <v>0</v>
          </cell>
          <cell r="BB179">
            <v>0.11</v>
          </cell>
          <cell r="BC179">
            <v>0.03</v>
          </cell>
          <cell r="BD179">
            <v>0.2</v>
          </cell>
          <cell r="BE179">
            <v>0.19</v>
          </cell>
          <cell r="BF179">
            <v>0.12</v>
          </cell>
          <cell r="BG179">
            <v>0.06</v>
          </cell>
          <cell r="BH179">
            <v>0.19</v>
          </cell>
          <cell r="BI179">
            <v>0.12</v>
          </cell>
        </row>
        <row r="182">
          <cell r="A182" t="str">
            <v>URBN sales productivity by division</v>
          </cell>
        </row>
        <row r="183">
          <cell r="A183" t="str">
            <v>LTM Sales/Gross Average Sq. Ft.</v>
          </cell>
          <cell r="N183" t="str">
            <v>2000-2009</v>
          </cell>
        </row>
        <row r="184">
          <cell r="B184">
            <v>2000</v>
          </cell>
          <cell r="C184">
            <v>2001</v>
          </cell>
          <cell r="D184">
            <v>2002</v>
          </cell>
          <cell r="E184">
            <v>2003</v>
          </cell>
          <cell r="F184">
            <v>2004</v>
          </cell>
          <cell r="G184">
            <v>2005</v>
          </cell>
          <cell r="H184">
            <v>2006</v>
          </cell>
          <cell r="I184">
            <v>2007</v>
          </cell>
          <cell r="J184">
            <v>2008</v>
          </cell>
          <cell r="K184" t="str">
            <v>2009</v>
          </cell>
          <cell r="L184">
            <v>2010</v>
          </cell>
          <cell r="N184" t="str">
            <v>Max</v>
          </cell>
          <cell r="O184" t="str">
            <v>Min</v>
          </cell>
          <cell r="P184" t="str">
            <v>2010 vs max</v>
          </cell>
        </row>
        <row r="185">
          <cell r="A185" t="str">
            <v>Urban Outfitters (division)</v>
          </cell>
          <cell r="B185">
            <v>270.96178184451503</v>
          </cell>
          <cell r="C185">
            <v>264.44541967873494</v>
          </cell>
          <cell r="D185">
            <v>284.4972339992741</v>
          </cell>
          <cell r="E185">
            <v>318.46555482575133</v>
          </cell>
          <cell r="F185">
            <v>382.65593609442482</v>
          </cell>
          <cell r="G185">
            <v>421.72142644903295</v>
          </cell>
          <cell r="H185">
            <v>387.50814312663522</v>
          </cell>
          <cell r="I185">
            <v>387.49369418039146</v>
          </cell>
          <cell r="J185">
            <v>408.70311941571555</v>
          </cell>
          <cell r="K185">
            <v>368.97415400758092</v>
          </cell>
          <cell r="L185">
            <v>394.65492014811076</v>
          </cell>
          <cell r="N185">
            <v>421.72142644903295</v>
          </cell>
          <cell r="O185">
            <v>264.44541967873494</v>
          </cell>
          <cell r="P185">
            <v>-6.4181008133323503E-2</v>
          </cell>
        </row>
        <row r="186">
          <cell r="A186" t="str">
            <v>Anthropologie</v>
          </cell>
          <cell r="B186">
            <v>280.14666638523443</v>
          </cell>
          <cell r="C186">
            <v>307.40807612789365</v>
          </cell>
          <cell r="D186">
            <v>330.99998331831983</v>
          </cell>
          <cell r="E186">
            <v>348.37875117971998</v>
          </cell>
          <cell r="F186">
            <v>432.85046981315469</v>
          </cell>
          <cell r="G186">
            <v>442.81396763923766</v>
          </cell>
          <cell r="H186">
            <v>413.58764694304784</v>
          </cell>
          <cell r="I186">
            <v>459.54237922896903</v>
          </cell>
          <cell r="J186">
            <v>468.68309808032865</v>
          </cell>
          <cell r="K186">
            <v>454.35598884429891</v>
          </cell>
          <cell r="L186">
            <v>466.43259180928817</v>
          </cell>
          <cell r="N186">
            <v>468.68309808032865</v>
          </cell>
          <cell r="O186">
            <v>280.14666638523443</v>
          </cell>
          <cell r="P186">
            <v>-4.8017653725049847E-3</v>
          </cell>
        </row>
        <row r="187">
          <cell r="A187" t="str">
            <v>Free People (Retail)</v>
          </cell>
          <cell r="B187" t="str">
            <v>NM</v>
          </cell>
          <cell r="C187" t="str">
            <v>NM</v>
          </cell>
          <cell r="D187">
            <v>82.727272727267646</v>
          </cell>
          <cell r="E187">
            <v>394.54545454548133</v>
          </cell>
          <cell r="F187">
            <v>312.64762722782973</v>
          </cell>
          <cell r="G187">
            <v>306.08120521771826</v>
          </cell>
          <cell r="H187">
            <v>444.39894439894516</v>
          </cell>
          <cell r="I187">
            <v>408.45371602356954</v>
          </cell>
          <cell r="J187">
            <v>412.08895647215564</v>
          </cell>
          <cell r="K187">
            <v>406.20772163645915</v>
          </cell>
          <cell r="L187">
            <v>357.74086573642296</v>
          </cell>
          <cell r="N187">
            <v>444.39894439894516</v>
          </cell>
          <cell r="O187">
            <v>82.727272727267646</v>
          </cell>
          <cell r="P187">
            <v>-0.19500064020117847</v>
          </cell>
        </row>
        <row r="188">
          <cell r="A188" t="str">
            <v>Terrain</v>
          </cell>
          <cell r="B188" t="str">
            <v>NM</v>
          </cell>
          <cell r="C188" t="str">
            <v>NM</v>
          </cell>
          <cell r="D188" t="str">
            <v>NM</v>
          </cell>
          <cell r="E188" t="str">
            <v>NM</v>
          </cell>
          <cell r="F188" t="str">
            <v>NM</v>
          </cell>
          <cell r="G188" t="str">
            <v>NM</v>
          </cell>
          <cell r="H188" t="str">
            <v>NM</v>
          </cell>
          <cell r="I188" t="str">
            <v>NM</v>
          </cell>
          <cell r="J188">
            <v>297.68421052631578</v>
          </cell>
          <cell r="K188">
            <v>329.4736842105263</v>
          </cell>
          <cell r="L188">
            <v>152.85087719298247</v>
          </cell>
          <cell r="N188">
            <v>329.4736842105263</v>
          </cell>
          <cell r="O188">
            <v>297.68421052631578</v>
          </cell>
          <cell r="P188">
            <v>-0.5360756123535676</v>
          </cell>
        </row>
        <row r="190">
          <cell r="A190" t="str">
            <v>Urban Outfitters (division)</v>
          </cell>
          <cell r="C190">
            <v>-2.4049008393070559E-2</v>
          </cell>
          <cell r="D190">
            <v>7.5825908971686395E-2</v>
          </cell>
          <cell r="E190">
            <v>0.1193977190884179</v>
          </cell>
          <cell r="F190">
            <v>0.20156145710576245</v>
          </cell>
          <cell r="G190">
            <v>0.10209038112234659</v>
          </cell>
          <cell r="H190">
            <v>-8.1127685663210158E-2</v>
          </cell>
          <cell r="I190">
            <v>-3.7286819645099278E-5</v>
          </cell>
          <cell r="J190">
            <v>5.4734891312709699E-2</v>
          </cell>
          <cell r="K190">
            <v>-9.7207394611842912E-2</v>
          </cell>
          <cell r="L190">
            <v>6.9600447244340558E-2</v>
          </cell>
        </row>
        <row r="191">
          <cell r="A191" t="str">
            <v>Anthropologie</v>
          </cell>
          <cell r="C191">
            <v>9.731120521409875E-2</v>
          </cell>
          <cell r="D191">
            <v>7.6744591383510086E-2</v>
          </cell>
          <cell r="E191">
            <v>5.2503833043058279E-2</v>
          </cell>
          <cell r="F191">
            <v>0.24247092667789549</v>
          </cell>
          <cell r="G191">
            <v>2.3018336633396475E-2</v>
          </cell>
          <cell r="H191">
            <v>-6.6001352333132868E-2</v>
          </cell>
          <cell r="I191">
            <v>0.11111243922681591</v>
          </cell>
          <cell r="J191">
            <v>1.9890915973182155E-2</v>
          </cell>
          <cell r="K191">
            <v>-3.056886261679137E-2</v>
          </cell>
          <cell r="L191">
            <v>2.6579605554902797E-2</v>
          </cell>
        </row>
        <row r="192">
          <cell r="A192" t="str">
            <v>Free People (Retail)</v>
          </cell>
          <cell r="C192" t="e">
            <v>#VALUE!</v>
          </cell>
          <cell r="D192" t="e">
            <v>#VALUE!</v>
          </cell>
          <cell r="E192">
            <v>3.7692307692313856</v>
          </cell>
          <cell r="F192">
            <v>-0.20757513836269736</v>
          </cell>
          <cell r="G192">
            <v>-2.100262864085789E-2</v>
          </cell>
          <cell r="H192">
            <v>0.4518988321509001</v>
          </cell>
          <cell r="I192">
            <v>-8.0885044459302113E-2</v>
          </cell>
          <cell r="J192">
            <v>8.9000058170025653E-3</v>
          </cell>
          <cell r="K192">
            <v>-1.4271760364667485E-2</v>
          </cell>
          <cell r="L192">
            <v>-0.11931544704463359</v>
          </cell>
        </row>
        <row r="193">
          <cell r="A193" t="str">
            <v>Terrain</v>
          </cell>
          <cell r="C193" t="e">
            <v>#VALUE!</v>
          </cell>
          <cell r="D193" t="e">
            <v>#VALUE!</v>
          </cell>
          <cell r="E193" t="e">
            <v>#VALUE!</v>
          </cell>
          <cell r="F193" t="e">
            <v>#VALUE!</v>
          </cell>
          <cell r="G193" t="e">
            <v>#VALUE!</v>
          </cell>
          <cell r="H193" t="e">
            <v>#VALUE!</v>
          </cell>
          <cell r="I193" t="e">
            <v>#VALUE!</v>
          </cell>
          <cell r="J193" t="e">
            <v>#VALUE!</v>
          </cell>
          <cell r="K193">
            <v>0.10678925035360676</v>
          </cell>
          <cell r="L193">
            <v>-0.5360756123535676</v>
          </cell>
        </row>
        <row r="196">
          <cell r="A196" t="str">
            <v>GAP - Gap division sales productivity</v>
          </cell>
          <cell r="B196">
            <v>2000</v>
          </cell>
          <cell r="C196">
            <v>2001</v>
          </cell>
          <cell r="D196">
            <v>2002</v>
          </cell>
          <cell r="E196">
            <v>2003</v>
          </cell>
          <cell r="F196">
            <v>2004</v>
          </cell>
          <cell r="G196">
            <v>2005</v>
          </cell>
          <cell r="H196">
            <v>2006</v>
          </cell>
          <cell r="I196">
            <v>2007</v>
          </cell>
          <cell r="J196">
            <v>2008</v>
          </cell>
          <cell r="K196" t="str">
            <v>2009</v>
          </cell>
          <cell r="L196">
            <v>2010</v>
          </cell>
          <cell r="N196" t="str">
            <v>Max</v>
          </cell>
          <cell r="O196" t="str">
            <v>Min</v>
          </cell>
          <cell r="P196" t="str">
            <v>2010 vs max</v>
          </cell>
        </row>
        <row r="197">
          <cell r="A197" t="str">
            <v>Gap (division)</v>
          </cell>
          <cell r="B197" t="str">
            <v>NM</v>
          </cell>
          <cell r="C197">
            <v>395.07042253521126</v>
          </cell>
          <cell r="D197">
            <v>380.1398601398601</v>
          </cell>
          <cell r="E197">
            <v>414.12186379928318</v>
          </cell>
          <cell r="F197">
            <v>429.60747663551405</v>
          </cell>
          <cell r="G197">
            <v>420.11650485436894</v>
          </cell>
          <cell r="H197">
            <v>408.27037773359842</v>
          </cell>
          <cell r="I197">
            <v>392.63157894736844</v>
          </cell>
          <cell r="J197">
            <v>373.60995850622402</v>
          </cell>
          <cell r="K197">
            <v>354.94646680942179</v>
          </cell>
          <cell r="L197">
            <v>354.82623096253781</v>
          </cell>
          <cell r="N197">
            <v>429.60747663551405</v>
          </cell>
          <cell r="O197">
            <v>354.94646680942179</v>
          </cell>
          <cell r="P197">
            <v>-0.17406877147164235</v>
          </cell>
        </row>
        <row r="199">
          <cell r="A199" t="str">
            <v>VS calculations</v>
          </cell>
          <cell r="C199">
            <v>2001</v>
          </cell>
          <cell r="D199">
            <v>2002</v>
          </cell>
          <cell r="E199">
            <v>2003</v>
          </cell>
          <cell r="F199">
            <v>2004</v>
          </cell>
          <cell r="G199">
            <v>2005</v>
          </cell>
          <cell r="H199">
            <v>2006</v>
          </cell>
          <cell r="I199">
            <v>2007</v>
          </cell>
          <cell r="J199">
            <v>2008</v>
          </cell>
          <cell r="K199">
            <v>2009</v>
          </cell>
          <cell r="L199" t="str">
            <v>2010E</v>
          </cell>
          <cell r="N199" t="str">
            <v>Max</v>
          </cell>
          <cell r="O199" t="str">
            <v>Min</v>
          </cell>
          <cell r="P199" t="str">
            <v>2010 vs max</v>
          </cell>
        </row>
        <row r="200">
          <cell r="A200" t="str">
            <v>Victoria's Secret Stores</v>
          </cell>
          <cell r="C200">
            <v>550.8625136110951</v>
          </cell>
          <cell r="D200">
            <v>577.77050253724008</v>
          </cell>
          <cell r="E200">
            <v>601.54543032240872</v>
          </cell>
          <cell r="F200">
            <v>648.74439929144523</v>
          </cell>
          <cell r="G200">
            <v>652.34070550129047</v>
          </cell>
          <cell r="H200">
            <v>731.47827806059399</v>
          </cell>
          <cell r="I200">
            <v>682.69936370814185</v>
          </cell>
          <cell r="J200">
            <v>613.98471323961724</v>
          </cell>
          <cell r="K200">
            <v>578.92143670427492</v>
          </cell>
          <cell r="L200">
            <v>627.9275198661386</v>
          </cell>
          <cell r="N200">
            <v>731.47827806059399</v>
          </cell>
          <cell r="O200">
            <v>550.8625136110951</v>
          </cell>
          <cell r="P200">
            <v>-0.14156368179381196</v>
          </cell>
        </row>
        <row r="202">
          <cell r="A202" t="str">
            <v>AEO calculations</v>
          </cell>
          <cell r="B202">
            <v>2000</v>
          </cell>
          <cell r="C202">
            <v>2001</v>
          </cell>
          <cell r="D202">
            <v>2002</v>
          </cell>
          <cell r="E202">
            <v>2003</v>
          </cell>
          <cell r="F202">
            <v>2004</v>
          </cell>
          <cell r="G202">
            <v>2005</v>
          </cell>
          <cell r="H202">
            <v>2006</v>
          </cell>
          <cell r="I202">
            <v>2007</v>
          </cell>
          <cell r="J202">
            <v>2008</v>
          </cell>
          <cell r="K202" t="str">
            <v>2009</v>
          </cell>
          <cell r="L202">
            <v>2010</v>
          </cell>
          <cell r="N202" t="str">
            <v>Max</v>
          </cell>
          <cell r="O202" t="str">
            <v>Min</v>
          </cell>
          <cell r="P202" t="str">
            <v>2010 vs max</v>
          </cell>
        </row>
        <row r="203">
          <cell r="A203" t="str">
            <v>aerie</v>
          </cell>
          <cell r="B203" t="str">
            <v>NA</v>
          </cell>
          <cell r="C203" t="str">
            <v>NA</v>
          </cell>
          <cell r="D203" t="str">
            <v>NA</v>
          </cell>
          <cell r="E203" t="str">
            <v>NA</v>
          </cell>
          <cell r="F203" t="str">
            <v>NA</v>
          </cell>
          <cell r="G203" t="str">
            <v>NA</v>
          </cell>
          <cell r="H203" t="str">
            <v>NA</v>
          </cell>
          <cell r="I203">
            <v>65.076999999999998</v>
          </cell>
          <cell r="J203">
            <v>338.88775000000004</v>
          </cell>
          <cell r="K203">
            <v>514.66875000000005</v>
          </cell>
          <cell r="L203">
            <v>567.74511678832118</v>
          </cell>
          <cell r="N203">
            <v>514.66875000000005</v>
          </cell>
          <cell r="O203">
            <v>65.076999999999998</v>
          </cell>
          <cell r="P203">
            <v>0.10312723822521019</v>
          </cell>
        </row>
      </sheetData>
      <sheetData sheetId="16"/>
      <sheetData sheetId="17"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s>
    <sheetDataSet>
      <sheetData sheetId="0" refreshError="1"/>
      <sheetData sheetId="1" refreshError="1"/>
      <sheetData sheetId="2" refreshError="1"/>
      <sheetData sheetId="3" refreshError="1"/>
      <sheetData sheetId="4" refreshError="1">
        <row r="3">
          <cell r="A3" t="str">
            <v>Base</v>
          </cell>
          <cell r="B3">
            <v>40</v>
          </cell>
        </row>
        <row r="4">
          <cell r="A4" t="str">
            <v>Price Target</v>
          </cell>
          <cell r="B4">
            <v>40</v>
          </cell>
          <cell r="S4" t="str">
            <v>Bear</v>
          </cell>
          <cell r="U4" t="str">
            <v>Base</v>
          </cell>
          <cell r="X4" t="str">
            <v>Bull</v>
          </cell>
        </row>
        <row r="5">
          <cell r="R5">
            <v>-30</v>
          </cell>
          <cell r="S5">
            <v>-30</v>
          </cell>
          <cell r="U5">
            <v>40</v>
          </cell>
          <cell r="X5">
            <v>17</v>
          </cell>
          <cell r="Z5">
            <v>17</v>
          </cell>
        </row>
        <row r="6">
          <cell r="C6" t="str">
            <v>Bear</v>
          </cell>
          <cell r="S6" t="str">
            <v>-space2</v>
          </cell>
          <cell r="T6" t="str">
            <v>-bear</v>
          </cell>
          <cell r="U6" t="str">
            <v>-space1</v>
          </cell>
          <cell r="V6" t="str">
            <v>+space1</v>
          </cell>
          <cell r="W6" t="str">
            <v>+bull</v>
          </cell>
          <cell r="X6" t="str">
            <v>+space2</v>
          </cell>
        </row>
        <row r="7">
          <cell r="A7" t="str">
            <v>Binary driver one</v>
          </cell>
          <cell r="C7">
            <v>-5</v>
          </cell>
          <cell r="S7">
            <v>-23</v>
          </cell>
          <cell r="T7">
            <v>-7</v>
          </cell>
          <cell r="U7">
            <v>0</v>
          </cell>
          <cell r="V7">
            <v>0</v>
          </cell>
          <cell r="W7">
            <v>3</v>
          </cell>
          <cell r="X7">
            <v>14</v>
          </cell>
          <cell r="Y7">
            <v>17</v>
          </cell>
        </row>
        <row r="8">
          <cell r="A8" t="str">
            <v>Binary driver two</v>
          </cell>
          <cell r="C8">
            <v>-5</v>
          </cell>
          <cell r="S8">
            <v>-18</v>
          </cell>
          <cell r="T8">
            <v>-5</v>
          </cell>
          <cell r="U8">
            <v>-7</v>
          </cell>
          <cell r="V8">
            <v>3</v>
          </cell>
          <cell r="W8">
            <v>2</v>
          </cell>
          <cell r="X8">
            <v>12</v>
          </cell>
          <cell r="Y8">
            <v>17</v>
          </cell>
        </row>
        <row r="9">
          <cell r="A9" t="str">
            <v>Binary driver three</v>
          </cell>
          <cell r="C9">
            <v>-6</v>
          </cell>
          <cell r="S9">
            <v>-12</v>
          </cell>
          <cell r="T9">
            <v>-6</v>
          </cell>
          <cell r="U9">
            <v>-12</v>
          </cell>
          <cell r="V9">
            <v>5</v>
          </cell>
          <cell r="W9">
            <v>3</v>
          </cell>
          <cell r="X9">
            <v>9</v>
          </cell>
          <cell r="Y9">
            <v>17</v>
          </cell>
        </row>
        <row r="10">
          <cell r="A10" t="str">
            <v>Bull only driver one</v>
          </cell>
          <cell r="C10">
            <v>0</v>
          </cell>
          <cell r="S10">
            <v>-12</v>
          </cell>
          <cell r="U10">
            <v>-18</v>
          </cell>
          <cell r="V10">
            <v>8</v>
          </cell>
          <cell r="W10">
            <v>4</v>
          </cell>
          <cell r="X10">
            <v>5</v>
          </cell>
          <cell r="Y10">
            <v>17</v>
          </cell>
        </row>
        <row r="11">
          <cell r="A11" t="str">
            <v>Bull only driver two</v>
          </cell>
          <cell r="C11">
            <v>0</v>
          </cell>
          <cell r="S11">
            <v>-12</v>
          </cell>
          <cell r="U11">
            <v>-18</v>
          </cell>
          <cell r="V11">
            <v>12</v>
          </cell>
          <cell r="W11">
            <v>5</v>
          </cell>
          <cell r="X11">
            <v>0</v>
          </cell>
          <cell r="Y11">
            <v>17</v>
          </cell>
        </row>
        <row r="12">
          <cell r="A12" t="str">
            <v>Bear only driver one</v>
          </cell>
          <cell r="C12">
            <v>-4</v>
          </cell>
          <cell r="S12">
            <v>-8</v>
          </cell>
          <cell r="T12">
            <v>-4</v>
          </cell>
          <cell r="U12">
            <v>-18</v>
          </cell>
          <cell r="V12">
            <v>17</v>
          </cell>
          <cell r="X12">
            <v>0</v>
          </cell>
          <cell r="Y12">
            <v>17</v>
          </cell>
        </row>
        <row r="13">
          <cell r="A13" t="str">
            <v>Bear only driver two</v>
          </cell>
          <cell r="C13">
            <v>-3</v>
          </cell>
          <cell r="S13">
            <v>-5</v>
          </cell>
          <cell r="T13">
            <v>-3</v>
          </cell>
          <cell r="U13">
            <v>-22</v>
          </cell>
          <cell r="V13">
            <v>17</v>
          </cell>
          <cell r="X13">
            <v>0</v>
          </cell>
          <cell r="Y13">
            <v>17</v>
          </cell>
        </row>
        <row r="14">
          <cell r="A14" t="str">
            <v>Bear only driver three</v>
          </cell>
          <cell r="C14">
            <v>-5</v>
          </cell>
          <cell r="S14">
            <v>0</v>
          </cell>
          <cell r="T14">
            <v>-5</v>
          </cell>
          <cell r="U14">
            <v>-25</v>
          </cell>
          <cell r="V14">
            <v>17</v>
          </cell>
          <cell r="X14">
            <v>0</v>
          </cell>
          <cell r="Y14">
            <v>17</v>
          </cell>
        </row>
        <row r="15">
          <cell r="C15">
            <v>0</v>
          </cell>
        </row>
        <row r="16">
          <cell r="S16" t="str">
            <v>-space1</v>
          </cell>
          <cell r="T16" t="str">
            <v>-bear</v>
          </cell>
          <cell r="U16" t="str">
            <v>-space2</v>
          </cell>
          <cell r="V16" t="str">
            <v>+space1</v>
          </cell>
          <cell r="W16" t="str">
            <v>+bull</v>
          </cell>
          <cell r="X16" t="str">
            <v>+space2</v>
          </cell>
          <cell r="Y16" t="str">
            <v>Bear 
10.00</v>
          </cell>
          <cell r="Z16" t="str">
            <v>Base 
40.00</v>
          </cell>
          <cell r="AA16" t="str">
            <v>Bull
57.00</v>
          </cell>
          <cell r="AB16" t="str">
            <v/>
          </cell>
        </row>
        <row r="18">
          <cell r="R18" t="str">
            <v>Binary driver one</v>
          </cell>
          <cell r="S18">
            <v>0</v>
          </cell>
          <cell r="T18">
            <v>-5</v>
          </cell>
          <cell r="U18">
            <v>-23</v>
          </cell>
          <cell r="V18">
            <v>0</v>
          </cell>
          <cell r="W18">
            <v>3</v>
          </cell>
          <cell r="X18">
            <v>14</v>
          </cell>
          <cell r="Y18">
            <v>-30</v>
          </cell>
          <cell r="Z18">
            <v>0</v>
          </cell>
          <cell r="AA18">
            <v>17</v>
          </cell>
          <cell r="AB18" t="str">
            <v/>
          </cell>
        </row>
        <row r="19">
          <cell r="R19" t="str">
            <v>Binary driver two</v>
          </cell>
          <cell r="S19">
            <v>-7</v>
          </cell>
          <cell r="T19">
            <v>-5</v>
          </cell>
          <cell r="U19">
            <v>-18</v>
          </cell>
          <cell r="V19">
            <v>3</v>
          </cell>
          <cell r="W19">
            <v>2</v>
          </cell>
          <cell r="X19">
            <v>12</v>
          </cell>
          <cell r="Y19">
            <v>-30</v>
          </cell>
          <cell r="Z19">
            <v>0</v>
          </cell>
          <cell r="AA19">
            <v>17</v>
          </cell>
          <cell r="AB19" t="str">
            <v/>
          </cell>
        </row>
        <row r="20">
          <cell r="R20" t="str">
            <v>Binary driver three</v>
          </cell>
          <cell r="S20">
            <v>-12</v>
          </cell>
          <cell r="T20">
            <v>-6</v>
          </cell>
          <cell r="U20">
            <v>-12</v>
          </cell>
          <cell r="V20">
            <v>5</v>
          </cell>
          <cell r="W20">
            <v>3</v>
          </cell>
          <cell r="X20">
            <v>9</v>
          </cell>
          <cell r="Y20">
            <v>-30</v>
          </cell>
          <cell r="Z20">
            <v>0</v>
          </cell>
          <cell r="AA20">
            <v>17</v>
          </cell>
          <cell r="AB20" t="str">
            <v/>
          </cell>
        </row>
        <row r="21">
          <cell r="R21" t="str">
            <v>Bull only driver one</v>
          </cell>
          <cell r="S21">
            <v>-18</v>
          </cell>
          <cell r="T21">
            <v>0</v>
          </cell>
          <cell r="U21">
            <v>-12</v>
          </cell>
          <cell r="V21">
            <v>8</v>
          </cell>
          <cell r="W21">
            <v>4</v>
          </cell>
          <cell r="X21">
            <v>5</v>
          </cell>
          <cell r="Y21">
            <v>-30</v>
          </cell>
          <cell r="Z21">
            <v>0</v>
          </cell>
          <cell r="AA21">
            <v>17</v>
          </cell>
          <cell r="AB21" t="str">
            <v/>
          </cell>
        </row>
        <row r="22">
          <cell r="R22" t="str">
            <v>Bull only driver two</v>
          </cell>
          <cell r="S22">
            <v>-18</v>
          </cell>
          <cell r="T22">
            <v>0</v>
          </cell>
          <cell r="U22">
            <v>-12</v>
          </cell>
          <cell r="V22">
            <v>12</v>
          </cell>
          <cell r="W22">
            <v>5</v>
          </cell>
          <cell r="X22">
            <v>0</v>
          </cell>
          <cell r="Y22">
            <v>-30</v>
          </cell>
          <cell r="Z22">
            <v>0</v>
          </cell>
          <cell r="AA22">
            <v>17</v>
          </cell>
          <cell r="AB22" t="str">
            <v/>
          </cell>
        </row>
        <row r="23">
          <cell r="R23" t="str">
            <v>Bear only driver one</v>
          </cell>
          <cell r="S23">
            <v>-18</v>
          </cell>
          <cell r="T23">
            <v>-4</v>
          </cell>
          <cell r="U23">
            <v>-8</v>
          </cell>
          <cell r="V23">
            <v>17</v>
          </cell>
          <cell r="W23">
            <v>0</v>
          </cell>
          <cell r="X23">
            <v>0</v>
          </cell>
          <cell r="Y23">
            <v>-30</v>
          </cell>
          <cell r="Z23">
            <v>0</v>
          </cell>
          <cell r="AA23">
            <v>17</v>
          </cell>
          <cell r="AB23" t="str">
            <v/>
          </cell>
        </row>
        <row r="24">
          <cell r="R24" t="str">
            <v>Bear only driver two</v>
          </cell>
          <cell r="S24">
            <v>-22</v>
          </cell>
          <cell r="T24">
            <v>-3</v>
          </cell>
          <cell r="U24">
            <v>-5</v>
          </cell>
          <cell r="V24">
            <v>17</v>
          </cell>
          <cell r="W24">
            <v>0</v>
          </cell>
          <cell r="X24">
            <v>0</v>
          </cell>
          <cell r="Y24">
            <v>-30</v>
          </cell>
          <cell r="Z24">
            <v>0</v>
          </cell>
          <cell r="AA24">
            <v>17</v>
          </cell>
          <cell r="AB24" t="str">
            <v/>
          </cell>
        </row>
        <row r="25">
          <cell r="R25" t="str">
            <v>Bear only driver three</v>
          </cell>
          <cell r="S25">
            <v>-25</v>
          </cell>
          <cell r="T25">
            <v>-5</v>
          </cell>
          <cell r="U25">
            <v>0</v>
          </cell>
          <cell r="V25">
            <v>17</v>
          </cell>
          <cell r="W25">
            <v>0</v>
          </cell>
          <cell r="X25">
            <v>0</v>
          </cell>
          <cell r="Y25">
            <v>-30</v>
          </cell>
          <cell r="Z25">
            <v>0</v>
          </cell>
          <cell r="AA25">
            <v>17</v>
          </cell>
          <cell r="AB25" t="str">
            <v/>
          </cell>
        </row>
        <row r="26">
          <cell r="Y26">
            <v>-30</v>
          </cell>
          <cell r="Z26">
            <v>0</v>
          </cell>
          <cell r="AA26">
            <v>17</v>
          </cell>
          <cell r="AB26" t="str">
            <v/>
          </cell>
        </row>
        <row r="27">
          <cell r="Y27">
            <v>-30</v>
          </cell>
          <cell r="Z27">
            <v>0</v>
          </cell>
          <cell r="AA27">
            <v>17</v>
          </cell>
          <cell r="AB27" t="str">
            <v/>
          </cell>
        </row>
        <row r="29">
          <cell r="AA29" t="str">
            <v>Note: Price Target = Base Case unless otherwise indicated.</v>
          </cell>
        </row>
        <row r="31">
          <cell r="R31" t="str">
            <v>Bear</v>
          </cell>
          <cell r="S31">
            <v>10</v>
          </cell>
        </row>
        <row r="32">
          <cell r="S32">
            <v>20</v>
          </cell>
        </row>
        <row r="33">
          <cell r="R33" t="str">
            <v>Bull</v>
          </cell>
          <cell r="S33">
            <v>57</v>
          </cell>
        </row>
      </sheetData>
      <sheetData sheetId="5" refreshError="1"/>
      <sheetData sheetId="6"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Binary driver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Binary driver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7" refreshError="1"/>
      <sheetData sheetId="8"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Driver number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Driver number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9" refreshError="1"/>
      <sheetData sheetId="10" refreshError="1"/>
      <sheetData sheetId="11" refreshError="1"/>
      <sheetData sheetId="12" refreshError="1"/>
      <sheetData sheetId="13" refreshError="1"/>
      <sheetData sheetId="14" refreshError="1"/>
      <sheetData sheetId="15" refreshError="1">
        <row r="4">
          <cell r="C4" t="str">
            <v>Bear</v>
          </cell>
          <cell r="E4" t="str">
            <v>Base</v>
          </cell>
          <cell r="H4" t="str">
            <v>Bull</v>
          </cell>
        </row>
        <row r="5">
          <cell r="B5">
            <v>-36</v>
          </cell>
          <cell r="C5">
            <v>-36</v>
          </cell>
          <cell r="E5">
            <v>40</v>
          </cell>
          <cell r="H5">
            <v>18</v>
          </cell>
          <cell r="J5">
            <v>18</v>
          </cell>
        </row>
        <row r="6">
          <cell r="A6" t="str">
            <v>check</v>
          </cell>
          <cell r="C6" t="str">
            <v>-space2</v>
          </cell>
          <cell r="D6" t="str">
            <v>-bear</v>
          </cell>
          <cell r="E6" t="str">
            <v>-space1</v>
          </cell>
          <cell r="F6" t="str">
            <v>+space1</v>
          </cell>
          <cell r="G6" t="str">
            <v>+bull</v>
          </cell>
          <cell r="H6" t="str">
            <v>+space2</v>
          </cell>
        </row>
        <row r="7">
          <cell r="A7">
            <v>-36</v>
          </cell>
          <cell r="B7" t="str">
            <v>This is long label number one</v>
          </cell>
          <cell r="C7">
            <v>-32</v>
          </cell>
          <cell r="D7">
            <v>-4</v>
          </cell>
          <cell r="E7">
            <v>0</v>
          </cell>
          <cell r="F7">
            <v>0</v>
          </cell>
          <cell r="G7">
            <v>4</v>
          </cell>
          <cell r="H7">
            <v>14</v>
          </cell>
          <cell r="I7">
            <v>18</v>
          </cell>
        </row>
        <row r="8">
          <cell r="A8">
            <v>-36</v>
          </cell>
          <cell r="B8" t="str">
            <v>This is long label number two</v>
          </cell>
          <cell r="C8">
            <v>-27</v>
          </cell>
          <cell r="D8">
            <v>-5</v>
          </cell>
          <cell r="E8">
            <v>-4</v>
          </cell>
          <cell r="F8">
            <v>4</v>
          </cell>
          <cell r="G8">
            <v>2</v>
          </cell>
          <cell r="H8">
            <v>12</v>
          </cell>
          <cell r="I8">
            <v>18</v>
          </cell>
        </row>
        <row r="9">
          <cell r="A9">
            <v>-36</v>
          </cell>
          <cell r="B9" t="str">
            <v>This is long label number three</v>
          </cell>
          <cell r="C9">
            <v>-21</v>
          </cell>
          <cell r="D9">
            <v>-6</v>
          </cell>
          <cell r="E9">
            <v>-9</v>
          </cell>
          <cell r="F9">
            <v>6</v>
          </cell>
          <cell r="G9">
            <v>3</v>
          </cell>
          <cell r="H9">
            <v>9</v>
          </cell>
          <cell r="I9">
            <v>18</v>
          </cell>
        </row>
        <row r="10">
          <cell r="A10">
            <v>-36</v>
          </cell>
          <cell r="B10" t="str">
            <v>This is long label number four</v>
          </cell>
          <cell r="C10">
            <v>-17</v>
          </cell>
          <cell r="D10">
            <v>-4</v>
          </cell>
          <cell r="E10">
            <v>-15</v>
          </cell>
          <cell r="F10">
            <v>9</v>
          </cell>
          <cell r="G10">
            <v>4</v>
          </cell>
          <cell r="H10">
            <v>5</v>
          </cell>
          <cell r="I10">
            <v>18</v>
          </cell>
        </row>
        <row r="11">
          <cell r="A11">
            <v>-36</v>
          </cell>
          <cell r="B11" t="str">
            <v>This is long label number five</v>
          </cell>
          <cell r="C11">
            <v>-12</v>
          </cell>
          <cell r="D11">
            <v>-5</v>
          </cell>
          <cell r="E11">
            <v>-19</v>
          </cell>
          <cell r="F11">
            <v>13</v>
          </cell>
          <cell r="G11">
            <v>5</v>
          </cell>
          <cell r="H11">
            <v>0</v>
          </cell>
          <cell r="I11">
            <v>18</v>
          </cell>
        </row>
        <row r="12">
          <cell r="A12">
            <v>-36</v>
          </cell>
          <cell r="B12" t="str">
            <v>This is long label number six</v>
          </cell>
          <cell r="C12">
            <v>-8</v>
          </cell>
          <cell r="D12">
            <v>-4</v>
          </cell>
          <cell r="E12">
            <v>-24</v>
          </cell>
          <cell r="F12">
            <v>18</v>
          </cell>
          <cell r="H12">
            <v>0</v>
          </cell>
          <cell r="I12">
            <v>18</v>
          </cell>
        </row>
        <row r="13">
          <cell r="A13">
            <v>-36</v>
          </cell>
          <cell r="B13" t="str">
            <v>This is long label number seven</v>
          </cell>
          <cell r="C13">
            <v>-5</v>
          </cell>
          <cell r="D13">
            <v>-3</v>
          </cell>
          <cell r="E13">
            <v>-28</v>
          </cell>
          <cell r="F13">
            <v>18</v>
          </cell>
          <cell r="H13">
            <v>0</v>
          </cell>
          <cell r="I13">
            <v>18</v>
          </cell>
        </row>
        <row r="14">
          <cell r="A14">
            <v>-36</v>
          </cell>
          <cell r="B14" t="str">
            <v>This is long label number eight</v>
          </cell>
          <cell r="C14">
            <v>0</v>
          </cell>
          <cell r="D14">
            <v>-5</v>
          </cell>
          <cell r="E14">
            <v>-31</v>
          </cell>
          <cell r="F14">
            <v>18</v>
          </cell>
          <cell r="H14">
            <v>0</v>
          </cell>
          <cell r="I14">
            <v>18</v>
          </cell>
        </row>
        <row r="16">
          <cell r="C16" t="str">
            <v>-space1</v>
          </cell>
          <cell r="D16" t="str">
            <v>-bear</v>
          </cell>
          <cell r="E16" t="str">
            <v>-space2</v>
          </cell>
          <cell r="F16" t="str">
            <v>+space1</v>
          </cell>
          <cell r="G16" t="str">
            <v>+bull</v>
          </cell>
          <cell r="H16" t="str">
            <v>+space2</v>
          </cell>
          <cell r="I16" t="str">
            <v>Bear  4.00</v>
          </cell>
          <cell r="J16" t="str">
            <v>Base  40.00</v>
          </cell>
          <cell r="K16" t="str">
            <v>Bull: 58.00</v>
          </cell>
          <cell r="L16" t="str">
            <v>PT:
42.00</v>
          </cell>
        </row>
        <row r="18">
          <cell r="B18" t="str">
            <v>Driver number one</v>
          </cell>
          <cell r="C18">
            <v>0</v>
          </cell>
          <cell r="D18">
            <v>-4</v>
          </cell>
          <cell r="E18">
            <v>-32</v>
          </cell>
          <cell r="F18">
            <v>0</v>
          </cell>
          <cell r="G18">
            <v>4</v>
          </cell>
          <cell r="H18">
            <v>14</v>
          </cell>
          <cell r="I18">
            <v>-36</v>
          </cell>
          <cell r="J18">
            <v>0</v>
          </cell>
          <cell r="K18">
            <v>18</v>
          </cell>
          <cell r="L18">
            <v>2</v>
          </cell>
        </row>
        <row r="19">
          <cell r="B19" t="str">
            <v>Driver number two</v>
          </cell>
          <cell r="C19">
            <v>-4</v>
          </cell>
          <cell r="D19">
            <v>-5</v>
          </cell>
          <cell r="E19">
            <v>-27</v>
          </cell>
          <cell r="F19">
            <v>4</v>
          </cell>
          <cell r="G19">
            <v>2</v>
          </cell>
          <cell r="H19">
            <v>12</v>
          </cell>
          <cell r="I19">
            <v>-36</v>
          </cell>
          <cell r="J19">
            <v>0</v>
          </cell>
          <cell r="K19">
            <v>18</v>
          </cell>
          <cell r="L19">
            <v>2</v>
          </cell>
        </row>
        <row r="20">
          <cell r="B20" t="str">
            <v>Driver number three</v>
          </cell>
          <cell r="C20">
            <v>-9</v>
          </cell>
          <cell r="D20">
            <v>-6</v>
          </cell>
          <cell r="E20">
            <v>-21</v>
          </cell>
          <cell r="F20">
            <v>6</v>
          </cell>
          <cell r="G20">
            <v>3</v>
          </cell>
          <cell r="H20">
            <v>9</v>
          </cell>
          <cell r="I20">
            <v>-36</v>
          </cell>
          <cell r="J20">
            <v>0</v>
          </cell>
          <cell r="K20">
            <v>18</v>
          </cell>
          <cell r="L20">
            <v>2</v>
          </cell>
        </row>
        <row r="21">
          <cell r="B21" t="str">
            <v>Driver number four</v>
          </cell>
          <cell r="C21">
            <v>-15</v>
          </cell>
          <cell r="D21">
            <v>-4</v>
          </cell>
          <cell r="E21">
            <v>-17</v>
          </cell>
          <cell r="F21">
            <v>9</v>
          </cell>
          <cell r="G21">
            <v>4</v>
          </cell>
          <cell r="H21">
            <v>5</v>
          </cell>
          <cell r="I21">
            <v>-36</v>
          </cell>
          <cell r="J21">
            <v>0</v>
          </cell>
          <cell r="K21">
            <v>18</v>
          </cell>
          <cell r="L21">
            <v>2</v>
          </cell>
        </row>
        <row r="22">
          <cell r="B22" t="str">
            <v>Driver number five</v>
          </cell>
          <cell r="C22">
            <v>-19</v>
          </cell>
          <cell r="D22">
            <v>-5</v>
          </cell>
          <cell r="E22">
            <v>-12</v>
          </cell>
          <cell r="F22">
            <v>13</v>
          </cell>
          <cell r="G22">
            <v>5</v>
          </cell>
          <cell r="H22">
            <v>0</v>
          </cell>
          <cell r="I22">
            <v>-36</v>
          </cell>
          <cell r="J22">
            <v>0</v>
          </cell>
          <cell r="K22">
            <v>18</v>
          </cell>
          <cell r="L22">
            <v>2</v>
          </cell>
        </row>
        <row r="23">
          <cell r="B23" t="str">
            <v>Driver number six</v>
          </cell>
          <cell r="C23">
            <v>-24</v>
          </cell>
          <cell r="D23">
            <v>-4</v>
          </cell>
          <cell r="E23">
            <v>-8</v>
          </cell>
          <cell r="F23">
            <v>18</v>
          </cell>
          <cell r="G23">
            <v>0</v>
          </cell>
          <cell r="H23">
            <v>0</v>
          </cell>
          <cell r="I23">
            <v>-36</v>
          </cell>
          <cell r="J23">
            <v>0</v>
          </cell>
          <cell r="K23">
            <v>18</v>
          </cell>
          <cell r="L23">
            <v>2</v>
          </cell>
        </row>
        <row r="24">
          <cell r="B24" t="str">
            <v>Driver number seven</v>
          </cell>
          <cell r="C24">
            <v>-28</v>
          </cell>
          <cell r="D24">
            <v>-3</v>
          </cell>
          <cell r="E24">
            <v>-5</v>
          </cell>
          <cell r="F24">
            <v>18</v>
          </cell>
          <cell r="G24">
            <v>0</v>
          </cell>
          <cell r="H24">
            <v>0</v>
          </cell>
          <cell r="I24">
            <v>-36</v>
          </cell>
          <cell r="J24">
            <v>0</v>
          </cell>
          <cell r="K24">
            <v>18</v>
          </cell>
          <cell r="L24">
            <v>2</v>
          </cell>
        </row>
        <row r="25">
          <cell r="B25" t="str">
            <v>Driver number eight</v>
          </cell>
          <cell r="C25">
            <v>-31</v>
          </cell>
          <cell r="D25">
            <v>-5</v>
          </cell>
          <cell r="E25">
            <v>0</v>
          </cell>
          <cell r="F25">
            <v>18</v>
          </cell>
          <cell r="G25">
            <v>0</v>
          </cell>
          <cell r="H25">
            <v>0</v>
          </cell>
          <cell r="I25">
            <v>-36</v>
          </cell>
          <cell r="J25">
            <v>0</v>
          </cell>
          <cell r="K25">
            <v>18</v>
          </cell>
          <cell r="L25">
            <v>2</v>
          </cell>
        </row>
        <row r="26">
          <cell r="I26">
            <v>-36</v>
          </cell>
          <cell r="J26">
            <v>0</v>
          </cell>
          <cell r="K26">
            <v>18</v>
          </cell>
          <cell r="L26">
            <v>2</v>
          </cell>
        </row>
        <row r="27">
          <cell r="I27">
            <v>-36</v>
          </cell>
          <cell r="J27">
            <v>0</v>
          </cell>
          <cell r="K27">
            <v>18</v>
          </cell>
          <cell r="L27">
            <v>2</v>
          </cell>
        </row>
        <row r="28">
          <cell r="B28" t="str">
            <v>Bear</v>
          </cell>
          <cell r="C28">
            <v>4</v>
          </cell>
        </row>
        <row r="29">
          <cell r="B29" t="str">
            <v>Base</v>
          </cell>
          <cell r="C29">
            <v>40</v>
          </cell>
        </row>
        <row r="30">
          <cell r="B30" t="str">
            <v>Bull</v>
          </cell>
          <cell r="C30">
            <v>58</v>
          </cell>
        </row>
        <row r="31">
          <cell r="B31" t="str">
            <v>Price Target</v>
          </cell>
          <cell r="C31">
            <v>42</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nce"/>
      <sheetName val="Sensitivity Analysis"/>
      <sheetName val="Productivity"/>
      <sheetName val="Income"/>
      <sheetName val="NY UPLOAD shadow"/>
      <sheetName val="Bal Sht"/>
      <sheetName val="__FDSCACHE__"/>
      <sheetName val="mwareTaxoPres"/>
      <sheetName val="mwareValPrintout"/>
      <sheetName val="CF"/>
      <sheetName val="Margins"/>
      <sheetName val="RNOA - ROE"/>
      <sheetName val="LEASES NEW"/>
      <sheetName val="LEASES"/>
      <sheetName val="VALUATION"/>
      <sheetName val="Capex-sq ft"/>
      <sheetName val="Capex-sq ft vs RNOA"/>
      <sheetName val="LINKED DATA"/>
      <sheetName val="NY UPLOAD"/>
      <sheetName val="mwarePreview"/>
      <sheetName val="mwareDates"/>
      <sheetName val="StoreLocations"/>
      <sheetName val="mwareSettings"/>
      <sheetName val="MainCode"/>
      <sheetName val="KSS_working"/>
      <sheetName val="MWare_Cached"/>
      <sheetName val="Credit Analysis"/>
      <sheetName val="Cash Flow"/>
      <sheetName val="Store Productivity"/>
      <sheetName val="P Map"/>
      <sheetName val="MW-Cache"/>
      <sheetName val="MWA RR"/>
      <sheetName val="Open Platform"/>
      <sheetName val="css"/>
      <sheetName val="Restatements"/>
      <sheetName val="Balance Sheet"/>
      <sheetName val="Comp breakdown"/>
      <sheetName val="online"/>
      <sheetName val="Variance-2Q11"/>
      <sheetName val="Variance-1Q11"/>
      <sheetName val="msri"/>
      <sheetName val="Sheet1"/>
    </sheetNames>
    <sheetDataSet>
      <sheetData sheetId="0"/>
      <sheetData sheetId="1"/>
      <sheetData sheetId="2"/>
      <sheetData sheetId="3" refreshError="1"/>
      <sheetData sheetId="4"/>
      <sheetData sheetId="5" refreshError="1">
        <row r="1">
          <cell r="A1" t="str">
            <v>KOHL's CORPORATION</v>
          </cell>
        </row>
        <row r="18">
          <cell r="E18" t="str">
            <v>Not Reviewed</v>
          </cell>
        </row>
        <row r="19">
          <cell r="E19">
            <v>1991</v>
          </cell>
          <cell r="F19">
            <v>1992</v>
          </cell>
          <cell r="G19">
            <v>1993</v>
          </cell>
          <cell r="H19" t="str">
            <v>1994</v>
          </cell>
          <cell r="I19" t="str">
            <v>1995</v>
          </cell>
          <cell r="J19" t="str">
            <v>1996</v>
          </cell>
          <cell r="K19" t="str">
            <v>1997</v>
          </cell>
        </row>
        <row r="22">
          <cell r="E22">
            <v>0.86699999999999999</v>
          </cell>
          <cell r="F22">
            <v>4.2219999999999995</v>
          </cell>
          <cell r="G22">
            <v>8.5109999999999992</v>
          </cell>
          <cell r="H22">
            <v>30.405999999999999</v>
          </cell>
          <cell r="I22">
            <v>2.819</v>
          </cell>
          <cell r="J22">
            <v>8.9060000000000006</v>
          </cell>
          <cell r="K22">
            <v>46.231333999999919</v>
          </cell>
        </row>
        <row r="23">
          <cell r="K23">
            <v>0</v>
          </cell>
        </row>
        <row r="24">
          <cell r="E24">
            <v>0</v>
          </cell>
          <cell r="F24">
            <v>45.96</v>
          </cell>
          <cell r="G24">
            <v>0</v>
          </cell>
          <cell r="H24">
            <v>0</v>
          </cell>
          <cell r="I24">
            <v>0</v>
          </cell>
          <cell r="J24">
            <v>0</v>
          </cell>
          <cell r="K24">
            <v>0</v>
          </cell>
        </row>
        <row r="25">
          <cell r="K25">
            <v>0</v>
          </cell>
        </row>
        <row r="26">
          <cell r="E26">
            <v>135.023</v>
          </cell>
          <cell r="F26">
            <v>159.39699999999999</v>
          </cell>
          <cell r="G26">
            <v>190.46899999999999</v>
          </cell>
          <cell r="H26">
            <v>247.96600000000001</v>
          </cell>
          <cell r="I26">
            <v>320.32499999999999</v>
          </cell>
          <cell r="J26">
            <v>423.20699999999999</v>
          </cell>
          <cell r="K26">
            <v>515.79</v>
          </cell>
        </row>
        <row r="27">
          <cell r="E27">
            <v>0.52100000000000002</v>
          </cell>
          <cell r="F27">
            <v>1.5469999999999999</v>
          </cell>
          <cell r="G27">
            <v>3.19</v>
          </cell>
          <cell r="H27">
            <v>7.851</v>
          </cell>
          <cell r="I27">
            <v>7.02</v>
          </cell>
          <cell r="J27">
            <v>33.045000000000002</v>
          </cell>
          <cell r="K27">
            <v>251.49100000000001</v>
          </cell>
        </row>
        <row r="28">
          <cell r="E28">
            <v>136.41099999999997</v>
          </cell>
          <cell r="F28">
            <v>211.126</v>
          </cell>
          <cell r="G28">
            <v>202.17</v>
          </cell>
          <cell r="H28">
            <v>286.22300000000001</v>
          </cell>
          <cell r="I28">
            <v>330.16399999999999</v>
          </cell>
          <cell r="J28">
            <v>465.15800000000002</v>
          </cell>
          <cell r="K28">
            <v>813.5123339999999</v>
          </cell>
        </row>
        <row r="30">
          <cell r="E30">
            <v>0</v>
          </cell>
          <cell r="F30">
            <v>3.75</v>
          </cell>
          <cell r="G30">
            <v>2.835</v>
          </cell>
          <cell r="H30">
            <v>0</v>
          </cell>
          <cell r="I30">
            <v>0</v>
          </cell>
          <cell r="J30">
            <v>0</v>
          </cell>
          <cell r="K30">
            <v>0</v>
          </cell>
        </row>
        <row r="31">
          <cell r="E31">
            <v>3.5569999999999999</v>
          </cell>
          <cell r="F31">
            <v>0</v>
          </cell>
          <cell r="G31">
            <v>0</v>
          </cell>
          <cell r="H31">
            <v>4.4409999999999998</v>
          </cell>
          <cell r="I31">
            <v>4.5640000000000001</v>
          </cell>
          <cell r="J31">
            <v>7.6150000000000002</v>
          </cell>
          <cell r="K31">
            <v>0</v>
          </cell>
        </row>
        <row r="32">
          <cell r="E32">
            <v>107.276</v>
          </cell>
          <cell r="F32">
            <v>141.196</v>
          </cell>
          <cell r="G32">
            <v>186.626</v>
          </cell>
          <cell r="H32">
            <v>298.73700000000002</v>
          </cell>
          <cell r="I32">
            <v>409.16800000000001</v>
          </cell>
          <cell r="J32">
            <v>596.22699999999998</v>
          </cell>
          <cell r="K32">
            <v>749.649</v>
          </cell>
        </row>
        <row r="34">
          <cell r="E34">
            <v>31.004000000000001</v>
          </cell>
          <cell r="F34">
            <v>27.532</v>
          </cell>
          <cell r="G34">
            <v>25.533000000000001</v>
          </cell>
          <cell r="H34">
            <v>23.577999999999999</v>
          </cell>
          <cell r="I34">
            <v>20.491</v>
          </cell>
          <cell r="J34">
            <v>18.076000000000001</v>
          </cell>
          <cell r="K34">
            <v>15.849</v>
          </cell>
        </row>
        <row r="35">
          <cell r="E35">
            <v>9.5370000000000008</v>
          </cell>
          <cell r="F35">
            <v>5.05</v>
          </cell>
          <cell r="G35">
            <v>1.1870000000000001</v>
          </cell>
          <cell r="H35">
            <v>0</v>
          </cell>
          <cell r="I35">
            <v>0</v>
          </cell>
          <cell r="J35">
            <v>0</v>
          </cell>
          <cell r="K35">
            <v>12.643000000000001</v>
          </cell>
        </row>
        <row r="36">
          <cell r="E36">
            <v>61.293999999999997</v>
          </cell>
          <cell r="F36">
            <v>56.137999999999998</v>
          </cell>
          <cell r="G36">
            <v>50.938000000000002</v>
          </cell>
          <cell r="H36">
            <v>45.738</v>
          </cell>
          <cell r="I36">
            <v>40.537999999999997</v>
          </cell>
          <cell r="J36">
            <v>35.338000000000001</v>
          </cell>
          <cell r="K36">
            <v>30.138000000000002</v>
          </cell>
        </row>
        <row r="38">
          <cell r="E38">
            <v>349.07899999999995</v>
          </cell>
          <cell r="F38">
            <v>444.79199999999997</v>
          </cell>
          <cell r="G38">
            <v>469.28899999999999</v>
          </cell>
          <cell r="H38">
            <v>658.7170000000001</v>
          </cell>
          <cell r="I38">
            <v>804.92499999999995</v>
          </cell>
          <cell r="J38">
            <v>1122.414</v>
          </cell>
          <cell r="K38">
            <v>1621.7913339999998</v>
          </cell>
        </row>
        <row r="42">
          <cell r="E42">
            <v>44.499000000000002</v>
          </cell>
          <cell r="F42">
            <v>54.131</v>
          </cell>
          <cell r="G42">
            <v>56.191000000000003</v>
          </cell>
          <cell r="H42">
            <v>98.344999999999999</v>
          </cell>
          <cell r="I42">
            <v>68.81</v>
          </cell>
          <cell r="J42">
            <v>126.548</v>
          </cell>
          <cell r="K42">
            <v>150.679</v>
          </cell>
        </row>
        <row r="43">
          <cell r="E43">
            <v>35.578000000000003</v>
          </cell>
          <cell r="F43">
            <v>40.93</v>
          </cell>
          <cell r="G43">
            <v>41.875999999999998</v>
          </cell>
          <cell r="H43">
            <v>52.363</v>
          </cell>
          <cell r="I43">
            <v>57.259</v>
          </cell>
          <cell r="J43">
            <v>79.593999999999994</v>
          </cell>
          <cell r="K43">
            <v>95.185000000000002</v>
          </cell>
        </row>
        <row r="44">
          <cell r="E44">
            <v>8.31</v>
          </cell>
          <cell r="F44">
            <v>8.1890000000000001</v>
          </cell>
          <cell r="G44">
            <v>13.965</v>
          </cell>
          <cell r="H44">
            <v>14.178000000000001</v>
          </cell>
          <cell r="I44">
            <v>21.628</v>
          </cell>
          <cell r="J44">
            <v>25.47</v>
          </cell>
          <cell r="K44">
            <v>38.481999999999999</v>
          </cell>
        </row>
        <row r="45">
          <cell r="E45">
            <v>3.4350000000000001</v>
          </cell>
          <cell r="F45">
            <v>1.2450000000000001</v>
          </cell>
          <cell r="G45">
            <v>2.3809999999999998</v>
          </cell>
          <cell r="H45">
            <v>5.4379999999999997</v>
          </cell>
          <cell r="I45">
            <v>5.6740000000000004</v>
          </cell>
          <cell r="J45">
            <v>2.544</v>
          </cell>
          <cell r="K45">
            <v>0</v>
          </cell>
        </row>
        <row r="46">
          <cell r="I46">
            <v>0</v>
          </cell>
          <cell r="J46">
            <v>0</v>
          </cell>
          <cell r="K46">
            <v>0</v>
          </cell>
        </row>
        <row r="47">
          <cell r="E47">
            <v>1.0009999999999999</v>
          </cell>
          <cell r="F47">
            <v>1.0669999999999999</v>
          </cell>
          <cell r="G47">
            <v>0.90100000000000002</v>
          </cell>
          <cell r="H47">
            <v>1.262</v>
          </cell>
          <cell r="I47">
            <v>1.425</v>
          </cell>
          <cell r="J47">
            <v>1.663</v>
          </cell>
          <cell r="K47">
            <v>1.845</v>
          </cell>
        </row>
        <row r="48">
          <cell r="E48">
            <v>92.823000000000008</v>
          </cell>
          <cell r="F48">
            <v>105.562</v>
          </cell>
          <cell r="G48">
            <v>115.31400000000001</v>
          </cell>
          <cell r="H48">
            <v>171.58599999999998</v>
          </cell>
          <cell r="I48">
            <v>154.79600000000002</v>
          </cell>
          <cell r="J48">
            <v>235.81900000000002</v>
          </cell>
          <cell r="K48">
            <v>286.19100000000003</v>
          </cell>
        </row>
        <row r="50">
          <cell r="E50">
            <v>211.125</v>
          </cell>
          <cell r="F50">
            <v>95.096000000000004</v>
          </cell>
          <cell r="G50">
            <v>51.851999999999997</v>
          </cell>
          <cell r="H50">
            <v>108.777</v>
          </cell>
          <cell r="I50">
            <v>187.69900000000001</v>
          </cell>
          <cell r="J50">
            <v>312.03100000000001</v>
          </cell>
          <cell r="K50">
            <v>310.36599999999999</v>
          </cell>
        </row>
        <row r="51">
          <cell r="E51">
            <v>13.407</v>
          </cell>
          <cell r="F51">
            <v>11.791</v>
          </cell>
          <cell r="G51">
            <v>15.134</v>
          </cell>
          <cell r="H51">
            <v>20.317</v>
          </cell>
          <cell r="I51">
            <v>30.731000000000002</v>
          </cell>
          <cell r="J51">
            <v>38.731000000000002</v>
          </cell>
          <cell r="K51">
            <v>45.103999999999999</v>
          </cell>
        </row>
        <row r="52">
          <cell r="E52">
            <v>7.4489999999999998</v>
          </cell>
          <cell r="F52">
            <v>24.948</v>
          </cell>
          <cell r="G52">
            <v>24.486999999999998</v>
          </cell>
          <cell r="H52">
            <v>23.788</v>
          </cell>
          <cell r="I52">
            <v>21.061</v>
          </cell>
          <cell r="J52">
            <v>18.361999999999998</v>
          </cell>
          <cell r="K52">
            <v>25.277999999999999</v>
          </cell>
        </row>
        <row r="53">
          <cell r="E53">
            <v>231.98100000000002</v>
          </cell>
          <cell r="F53">
            <v>131.83500000000001</v>
          </cell>
          <cell r="G53">
            <v>91.472999999999985</v>
          </cell>
          <cell r="H53">
            <v>152.88200000000001</v>
          </cell>
          <cell r="I53">
            <v>239.49100000000001</v>
          </cell>
          <cell r="J53">
            <v>369.12400000000002</v>
          </cell>
          <cell r="K53">
            <v>380.74799999999999</v>
          </cell>
        </row>
        <row r="55">
          <cell r="E55">
            <v>1.0880000000000001</v>
          </cell>
          <cell r="F55">
            <v>1.472</v>
          </cell>
          <cell r="G55">
            <v>1.468</v>
          </cell>
          <cell r="H55">
            <v>1.47</v>
          </cell>
          <cell r="I55">
            <v>1.474</v>
          </cell>
          <cell r="J55">
            <v>1.478</v>
          </cell>
          <cell r="K55">
            <v>1.5780000000000001</v>
          </cell>
        </row>
        <row r="56">
          <cell r="E56">
            <v>0</v>
          </cell>
          <cell r="F56">
            <v>0</v>
          </cell>
          <cell r="G56">
            <v>0</v>
          </cell>
          <cell r="H56">
            <v>0</v>
          </cell>
          <cell r="I56">
            <v>0</v>
          </cell>
          <cell r="J56">
            <v>0</v>
          </cell>
          <cell r="K56">
            <v>0</v>
          </cell>
        </row>
        <row r="57">
          <cell r="E57">
            <v>23.928000000000001</v>
          </cell>
          <cell r="F57">
            <v>180.08600000000001</v>
          </cell>
          <cell r="G57">
            <v>181.29599999999999</v>
          </cell>
          <cell r="H57">
            <v>184.53</v>
          </cell>
          <cell r="I57">
            <v>188.19799999999998</v>
          </cell>
          <cell r="J57">
            <v>192.61199999999999</v>
          </cell>
          <cell r="K57">
            <v>488.55</v>
          </cell>
        </row>
        <row r="58">
          <cell r="E58">
            <v>-0.72499999999999998</v>
          </cell>
          <cell r="F58">
            <v>25.846</v>
          </cell>
          <cell r="G58">
            <v>79.739000000000004</v>
          </cell>
          <cell r="H58">
            <v>148.251</v>
          </cell>
          <cell r="I58">
            <v>220.90299999999999</v>
          </cell>
          <cell r="J58">
            <v>323.38099999999997</v>
          </cell>
          <cell r="K58">
            <v>464.654</v>
          </cell>
        </row>
        <row r="59">
          <cell r="K59">
            <v>0</v>
          </cell>
        </row>
        <row r="60">
          <cell r="E60">
            <v>24.291</v>
          </cell>
          <cell r="F60">
            <v>207.40400000000002</v>
          </cell>
          <cell r="G60">
            <v>262.50299999999999</v>
          </cell>
          <cell r="H60">
            <v>334.25099999999998</v>
          </cell>
          <cell r="I60">
            <v>410.57499999999993</v>
          </cell>
          <cell r="J60">
            <v>517.471</v>
          </cell>
          <cell r="K60">
            <v>954.78199999999993</v>
          </cell>
        </row>
        <row r="62">
          <cell r="E62">
            <v>349.09500000000003</v>
          </cell>
          <cell r="F62">
            <v>444.80100000000004</v>
          </cell>
          <cell r="G62">
            <v>469.28999999999996</v>
          </cell>
          <cell r="H62">
            <v>658.71899999999994</v>
          </cell>
          <cell r="I62">
            <v>804.86199999999997</v>
          </cell>
          <cell r="J62">
            <v>1122.414</v>
          </cell>
          <cell r="K62">
            <v>1621.721</v>
          </cell>
        </row>
        <row r="66">
          <cell r="H66">
            <v>110.039</v>
          </cell>
          <cell r="I66">
            <v>189.12400000000002</v>
          </cell>
          <cell r="J66">
            <v>313.69400000000002</v>
          </cell>
          <cell r="K66">
            <v>312.21100000000001</v>
          </cell>
        </row>
        <row r="67">
          <cell r="H67">
            <v>79.63300000000001</v>
          </cell>
          <cell r="I67">
            <v>186.30500000000004</v>
          </cell>
          <cell r="J67">
            <v>304.78800000000001</v>
          </cell>
          <cell r="K67">
            <v>265.97966600000007</v>
          </cell>
        </row>
        <row r="68">
          <cell r="H68">
            <v>444.28999999999996</v>
          </cell>
          <cell r="I68">
            <v>599.69899999999996</v>
          </cell>
          <cell r="J68">
            <v>831.16499999999996</v>
          </cell>
          <cell r="K68">
            <v>1266.9929999999999</v>
          </cell>
        </row>
        <row r="69">
          <cell r="H69">
            <v>432.77600000000001</v>
          </cell>
          <cell r="I69">
            <v>639.49800000000005</v>
          </cell>
          <cell r="J69">
            <v>883.03100000000006</v>
          </cell>
          <cell r="K69">
            <v>1302.9659999999999</v>
          </cell>
        </row>
        <row r="70">
          <cell r="H70">
            <v>413.88400000000001</v>
          </cell>
          <cell r="I70">
            <v>596.87999999999988</v>
          </cell>
          <cell r="J70">
            <v>822.25900000000001</v>
          </cell>
          <cell r="K70">
            <v>1220.7616659999999</v>
          </cell>
        </row>
        <row r="71">
          <cell r="H71">
            <v>0.32921068298972933</v>
          </cell>
          <cell r="I71">
            <v>0.46063204043110284</v>
          </cell>
          <cell r="J71">
            <v>0.60620595163786961</v>
          </cell>
          <cell r="K71">
            <v>0.32699715746631169</v>
          </cell>
        </row>
        <row r="72">
          <cell r="H72">
            <v>0.24767381665128635</v>
          </cell>
          <cell r="I72">
            <v>0.3153648747121473</v>
          </cell>
          <cell r="J72">
            <v>0.37741483339649773</v>
          </cell>
          <cell r="K72">
            <v>0.2464188831351081</v>
          </cell>
        </row>
        <row r="73">
          <cell r="H73">
            <v>0.17923653469580683</v>
          </cell>
          <cell r="I73">
            <v>0.31066418319857136</v>
          </cell>
          <cell r="J73">
            <v>0.36669975275667288</v>
          </cell>
          <cell r="K73">
            <v>0.20992986228021787</v>
          </cell>
        </row>
        <row r="75">
          <cell r="K75">
            <v>641.82207210392835</v>
          </cell>
        </row>
        <row r="76">
          <cell r="K76">
            <v>0.99921560325176684</v>
          </cell>
        </row>
        <row r="77">
          <cell r="K77">
            <v>0.49980382387298367</v>
          </cell>
        </row>
        <row r="78">
          <cell r="K78">
            <v>0.4755839113861009</v>
          </cell>
        </row>
        <row r="81">
          <cell r="K81">
            <v>482.93499999999995</v>
          </cell>
        </row>
        <row r="82">
          <cell r="K82">
            <v>527.32133399999987</v>
          </cell>
        </row>
        <row r="83">
          <cell r="K83">
            <v>481.08999999999992</v>
          </cell>
        </row>
        <row r="84">
          <cell r="K84">
            <v>0.15721463855240572</v>
          </cell>
        </row>
        <row r="85">
          <cell r="K85">
            <v>2.8425503737014783</v>
          </cell>
        </row>
        <row r="86">
          <cell r="K86">
            <v>0.16154013927761499</v>
          </cell>
        </row>
        <row r="89">
          <cell r="K89">
            <v>3.0586693832570893</v>
          </cell>
        </row>
        <row r="91">
          <cell r="K91">
            <v>2.2302150368169209</v>
          </cell>
        </row>
        <row r="92">
          <cell r="K92">
            <v>1.6985985638606509</v>
          </cell>
        </row>
        <row r="94">
          <cell r="K94" t="str">
            <v>NM</v>
          </cell>
        </row>
        <row r="95">
          <cell r="F95">
            <v>4.9206575640241841</v>
          </cell>
          <cell r="G95">
            <v>4.9669073302350046</v>
          </cell>
          <cell r="H95">
            <v>4.7375414827739579</v>
          </cell>
          <cell r="I95">
            <v>4.5612230353815217</v>
          </cell>
          <cell r="J95">
            <v>4.3130302394516988</v>
          </cell>
          <cell r="K95">
            <v>4.3590362908507698</v>
          </cell>
        </row>
        <row r="96">
          <cell r="K96">
            <v>14.764514278912229</v>
          </cell>
        </row>
        <row r="98">
          <cell r="K98">
            <v>20.372193451259413</v>
          </cell>
        </row>
        <row r="99">
          <cell r="K99">
            <v>83.734104431776032</v>
          </cell>
        </row>
        <row r="100">
          <cell r="K100">
            <v>24.721436351029848</v>
          </cell>
        </row>
        <row r="101">
          <cell r="K101">
            <v>79.384861532005587</v>
          </cell>
        </row>
        <row r="103">
          <cell r="K103">
            <v>4.9240151577538395E-2</v>
          </cell>
        </row>
        <row r="104">
          <cell r="K104">
            <v>0.29213245700769697</v>
          </cell>
        </row>
        <row r="105">
          <cell r="K105">
            <v>7.3625462422082705E-2</v>
          </cell>
        </row>
        <row r="106">
          <cell r="K106" t="str">
            <v>NM</v>
          </cell>
        </row>
        <row r="108">
          <cell r="K108">
            <v>0.25202766983246527</v>
          </cell>
        </row>
        <row r="109">
          <cell r="K109">
            <v>0.21876528507326198</v>
          </cell>
        </row>
        <row r="110">
          <cell r="K110">
            <v>2.8340109890109888</v>
          </cell>
        </row>
        <row r="112">
          <cell r="K112">
            <v>42.04626972740315</v>
          </cell>
        </row>
        <row r="117">
          <cell r="E117">
            <v>1.6635791033716272</v>
          </cell>
          <cell r="F117">
            <v>0.22936187660501928</v>
          </cell>
          <cell r="G117">
            <v>0.236906451702146</v>
          </cell>
          <cell r="H117">
            <v>0.22961555347764659</v>
          </cell>
          <cell r="I117">
            <v>0.19508448953178376</v>
          </cell>
          <cell r="J117">
            <v>0.22144591970656607</v>
          </cell>
          <cell r="K117">
            <v>0.19189138551594048</v>
          </cell>
        </row>
        <row r="118">
          <cell r="E118">
            <v>0.11576176166426569</v>
          </cell>
          <cell r="F118">
            <v>6.6940346731395844E-2</v>
          </cell>
          <cell r="G118">
            <v>0.12178789407065713</v>
          </cell>
          <cell r="H118">
            <v>0.12147453116384087</v>
          </cell>
          <cell r="I118">
            <v>9.9275642541004114E-2</v>
          </cell>
          <cell r="J118">
            <v>0.10662991824479233</v>
          </cell>
          <cell r="K118">
            <v>0.10294880798449754</v>
          </cell>
        </row>
        <row r="119">
          <cell r="E119">
            <v>0.89725358159523216</v>
          </cell>
          <cell r="F119">
            <v>0.3167768565094361</v>
          </cell>
          <cell r="G119">
            <v>0.16733384931611137</v>
          </cell>
          <cell r="H119">
            <v>0.24767381665128635</v>
          </cell>
          <cell r="I119">
            <v>0.3153648747121473</v>
          </cell>
          <cell r="J119">
            <v>0.37741483339649773</v>
          </cell>
          <cell r="K119">
            <v>0.2464188831351081</v>
          </cell>
        </row>
        <row r="120">
          <cell r="E120">
            <v>212.126</v>
          </cell>
          <cell r="F120">
            <v>96.162999999999997</v>
          </cell>
          <cell r="G120">
            <v>52.753</v>
          </cell>
          <cell r="H120">
            <v>110.039</v>
          </cell>
          <cell r="I120">
            <v>189.12400000000002</v>
          </cell>
          <cell r="J120">
            <v>313.69400000000002</v>
          </cell>
          <cell r="K120">
            <v>312.21100000000001</v>
          </cell>
        </row>
        <row r="121">
          <cell r="H121">
            <v>79.63300000000001</v>
          </cell>
          <cell r="I121">
            <v>186.30500000000004</v>
          </cell>
          <cell r="J121">
            <v>304.78800000000001</v>
          </cell>
          <cell r="K121">
            <v>265.97966600000007</v>
          </cell>
        </row>
        <row r="122">
          <cell r="E122">
            <v>0.89681669894994398</v>
          </cell>
          <cell r="F122">
            <v>0.31436694214876032</v>
          </cell>
          <cell r="G122">
            <v>0.16494727298754594</v>
          </cell>
          <cell r="H122">
            <v>0.24553075652103257</v>
          </cell>
          <cell r="I122">
            <v>0.31373417531097797</v>
          </cell>
          <cell r="J122">
            <v>0.37616666385373393</v>
          </cell>
          <cell r="K122">
            <v>0.24531991514036303</v>
          </cell>
        </row>
        <row r="123">
          <cell r="E123">
            <v>0.11402084115659032</v>
          </cell>
          <cell r="F123">
            <v>0.79384836793434999</v>
          </cell>
          <cell r="G123">
            <v>0.89576792880347245</v>
          </cell>
          <cell r="H123">
            <v>1.13830975554935</v>
          </cell>
          <cell r="I123">
            <v>1.3949383689167332</v>
          </cell>
          <cell r="J123">
            <v>1.7277829716193656</v>
          </cell>
          <cell r="K123">
            <v>3.0586693832570893</v>
          </cell>
        </row>
        <row r="124">
          <cell r="E124">
            <v>0.10406496432594863</v>
          </cell>
          <cell r="F124">
            <v>0.23522949966317577</v>
          </cell>
          <cell r="G124">
            <v>0.22107982310065297</v>
          </cell>
          <cell r="H124">
            <v>0.32521676349791157</v>
          </cell>
          <cell r="I124">
            <v>9.2871315385347819E-2</v>
          </cell>
          <cell r="J124">
            <v>0.34799666110183597</v>
          </cell>
          <cell r="K124">
            <v>-0.16095050551647275</v>
          </cell>
        </row>
        <row r="125">
          <cell r="E125">
            <v>0</v>
          </cell>
          <cell r="F125">
            <v>0</v>
          </cell>
          <cell r="G125">
            <v>-8.774957915148417E-3</v>
          </cell>
          <cell r="H125">
            <v>-1.4346026150756242E-3</v>
          </cell>
          <cell r="I125">
            <v>-1.9593420983969921E-3</v>
          </cell>
          <cell r="J125">
            <v>-6.6998451551744719E-4</v>
          </cell>
          <cell r="K125">
            <v>-1.8190551889011734E-4</v>
          </cell>
        </row>
        <row r="127">
          <cell r="E127">
            <v>0.21764809235733987</v>
          </cell>
          <cell r="F127">
            <v>0.22004914615458948</v>
          </cell>
          <cell r="G127">
            <v>0.21921309830171393</v>
          </cell>
          <cell r="H127">
            <v>0.23876127531409114</v>
          </cell>
          <cell r="I127">
            <v>0.24715462585963052</v>
          </cell>
          <cell r="J127">
            <v>0.26393723985585971</v>
          </cell>
          <cell r="K127">
            <v>0.25202766983246527</v>
          </cell>
        </row>
        <row r="128">
          <cell r="E128">
            <v>4.5945727764899313</v>
          </cell>
          <cell r="F128">
            <v>4.9206575640241841</v>
          </cell>
          <cell r="G128">
            <v>4.9669073302350046</v>
          </cell>
          <cell r="H128">
            <v>4.7375414827739579</v>
          </cell>
          <cell r="I128">
            <v>4.5612230353815217</v>
          </cell>
          <cell r="J128">
            <v>4.3130302394516988</v>
          </cell>
          <cell r="K128">
            <v>4.3590362908507698</v>
          </cell>
        </row>
        <row r="129">
          <cell r="E129">
            <v>4.7820774456039904E-2</v>
          </cell>
          <cell r="F129">
            <v>4.9351054286068542E-2</v>
          </cell>
          <cell r="G129">
            <v>4.3033637476201342E-2</v>
          </cell>
          <cell r="H129">
            <v>6.3280998648735612E-2</v>
          </cell>
          <cell r="I129">
            <v>3.5733036155227091E-2</v>
          </cell>
          <cell r="J129">
            <v>5.2982206405693948E-2</v>
          </cell>
          <cell r="K129">
            <v>4.9240151577538395E-2</v>
          </cell>
        </row>
        <row r="130">
          <cell r="E130">
            <v>0.32956607392814558</v>
          </cell>
          <cell r="F130">
            <v>0.33959861226999255</v>
          </cell>
          <cell r="G130">
            <v>0.29501388677422574</v>
          </cell>
          <cell r="H130">
            <v>0.39660679286676398</v>
          </cell>
          <cell r="I130">
            <v>0.2148130804651526</v>
          </cell>
          <cell r="J130">
            <v>0.29902151902024304</v>
          </cell>
          <cell r="K130">
            <v>0.29213245700769697</v>
          </cell>
        </row>
        <row r="131">
          <cell r="E131">
            <v>17.454582676454564</v>
          </cell>
          <cell r="F131">
            <v>16.410517880195759</v>
          </cell>
          <cell r="G131">
            <v>15.419357976206705</v>
          </cell>
          <cell r="H131">
            <v>18.147365034425071</v>
          </cell>
          <cell r="I131">
            <v>15.841656847568299</v>
          </cell>
          <cell r="J131">
            <v>14.926872514130206</v>
          </cell>
          <cell r="K131">
            <v>16.533509374252471</v>
          </cell>
        </row>
        <row r="132">
          <cell r="E132">
            <v>5.5989176142378001E-4</v>
          </cell>
          <cell r="F132">
            <v>1.4103948011407149E-3</v>
          </cell>
          <cell r="G132">
            <v>2.4430478822067996E-3</v>
          </cell>
          <cell r="H132">
            <v>5.0517984685670165E-3</v>
          </cell>
          <cell r="I132">
            <v>3.6454863218964417E-3</v>
          </cell>
          <cell r="J132">
            <v>1.3835042913962739E-2</v>
          </cell>
          <cell r="K132">
            <v>8.2184345266339109E-2</v>
          </cell>
        </row>
        <row r="133">
          <cell r="E133">
            <v>3.823383702098896E-2</v>
          </cell>
          <cell r="F133">
            <v>3.731574609611471E-2</v>
          </cell>
          <cell r="G133">
            <v>3.2070555835514714E-2</v>
          </cell>
          <cell r="H133">
            <v>3.3693456019561162E-2</v>
          </cell>
          <cell r="I133">
            <v>2.9734601325565296E-2</v>
          </cell>
          <cell r="J133">
            <v>3.3323843416370104E-2</v>
          </cell>
          <cell r="K133">
            <v>3.1105355277828976E-2</v>
          </cell>
        </row>
        <row r="134">
          <cell r="E134">
            <v>8.0050551455772313E-3</v>
          </cell>
          <cell r="F134">
            <v>2.2745009372242119E-2</v>
          </cell>
          <cell r="G134">
            <v>1.8753264417428809E-2</v>
          </cell>
          <cell r="H134">
            <v>1.5306608326362527E-2</v>
          </cell>
          <cell r="I134">
            <v>1.093697826573518E-2</v>
          </cell>
          <cell r="J134">
            <v>7.6876700858279244E-3</v>
          </cell>
          <cell r="K134">
            <v>8.2605575533220652E-3</v>
          </cell>
        </row>
        <row r="135">
          <cell r="K135">
            <v>0.14322767580193929</v>
          </cell>
        </row>
      </sheetData>
      <sheetData sheetId="6"/>
      <sheetData sheetId="7"/>
      <sheetData sheetId="8"/>
      <sheetData sheetId="9" refreshError="1">
        <row r="1">
          <cell r="AX1" t="str">
            <v>KOHL's CORPORATION</v>
          </cell>
        </row>
        <row r="5">
          <cell r="D5">
            <v>1990</v>
          </cell>
          <cell r="E5">
            <v>1991</v>
          </cell>
          <cell r="F5">
            <v>1992</v>
          </cell>
          <cell r="G5" t="str">
            <v>1993</v>
          </cell>
          <cell r="H5" t="str">
            <v>1994</v>
          </cell>
          <cell r="I5" t="str">
            <v>1995</v>
          </cell>
          <cell r="J5" t="str">
            <v>1996</v>
          </cell>
          <cell r="K5" t="str">
            <v>1997</v>
          </cell>
        </row>
        <row r="7">
          <cell r="D7">
            <v>11.489999999999924</v>
          </cell>
          <cell r="E7">
            <v>20.205000000000098</v>
          </cell>
          <cell r="F7">
            <v>26.570999999999973</v>
          </cell>
          <cell r="G7">
            <v>55.662000000000162</v>
          </cell>
          <cell r="H7">
            <v>68.511999999999745</v>
          </cell>
          <cell r="I7">
            <v>72.652000000000172</v>
          </cell>
          <cell r="J7">
            <v>102.7559999999999</v>
          </cell>
          <cell r="K7">
            <v>141.25633399999995</v>
          </cell>
        </row>
        <row r="10">
          <cell r="D10">
            <v>17.777000000000001</v>
          </cell>
          <cell r="E10">
            <v>19.145</v>
          </cell>
          <cell r="F10">
            <v>20.895</v>
          </cell>
          <cell r="G10">
            <v>23.978999999999999</v>
          </cell>
          <cell r="H10">
            <v>27.472000000000001</v>
          </cell>
          <cell r="I10">
            <v>34.008000000000003</v>
          </cell>
          <cell r="J10">
            <v>44.216000000000001</v>
          </cell>
          <cell r="K10">
            <v>57.723999999999997</v>
          </cell>
        </row>
        <row r="11">
          <cell r="J11">
            <v>0</v>
          </cell>
          <cell r="K11">
            <v>0</v>
          </cell>
        </row>
        <row r="12">
          <cell r="D12">
            <v>0</v>
          </cell>
          <cell r="E12">
            <v>0</v>
          </cell>
          <cell r="F12">
            <v>17.734999999999999</v>
          </cell>
          <cell r="G12">
            <v>0</v>
          </cell>
          <cell r="H12">
            <v>0</v>
          </cell>
          <cell r="I12">
            <v>0</v>
          </cell>
          <cell r="J12">
            <v>0</v>
          </cell>
          <cell r="K12">
            <v>0</v>
          </cell>
        </row>
        <row r="13">
          <cell r="D13">
            <v>3.411</v>
          </cell>
          <cell r="E13">
            <v>0.63100000000000001</v>
          </cell>
          <cell r="F13">
            <v>-3.806</v>
          </cell>
          <cell r="G13">
            <v>4.4790000000000001</v>
          </cell>
          <cell r="H13">
            <v>8.24</v>
          </cell>
          <cell r="I13">
            <v>10.65</v>
          </cell>
          <cell r="J13">
            <v>4.87</v>
          </cell>
          <cell r="K13">
            <v>-2.786</v>
          </cell>
        </row>
        <row r="14">
          <cell r="D14">
            <v>2.512</v>
          </cell>
          <cell r="E14">
            <v>2.33</v>
          </cell>
          <cell r="F14">
            <v>0</v>
          </cell>
          <cell r="G14">
            <v>0</v>
          </cell>
          <cell r="H14">
            <v>0</v>
          </cell>
          <cell r="I14">
            <v>0</v>
          </cell>
          <cell r="J14">
            <v>0</v>
          </cell>
          <cell r="K14">
            <v>0</v>
          </cell>
        </row>
        <row r="15">
          <cell r="D15">
            <v>0</v>
          </cell>
          <cell r="E15">
            <v>-2.1640000000000001</v>
          </cell>
          <cell r="F15">
            <v>0</v>
          </cell>
          <cell r="G15">
            <v>0</v>
          </cell>
          <cell r="H15">
            <v>0</v>
          </cell>
          <cell r="I15">
            <v>0</v>
          </cell>
          <cell r="J15">
            <v>0</v>
          </cell>
          <cell r="K15">
            <v>0</v>
          </cell>
        </row>
        <row r="16">
          <cell r="D16">
            <v>0</v>
          </cell>
          <cell r="E16">
            <v>0</v>
          </cell>
          <cell r="F16">
            <v>3.4540000000000002</v>
          </cell>
          <cell r="G16">
            <v>2.8690000000000002</v>
          </cell>
          <cell r="H16">
            <v>0</v>
          </cell>
          <cell r="I16">
            <v>0</v>
          </cell>
          <cell r="J16">
            <v>0</v>
          </cell>
          <cell r="K16">
            <v>0</v>
          </cell>
        </row>
        <row r="17">
          <cell r="D17">
            <v>0.183</v>
          </cell>
          <cell r="E17">
            <v>0.96799999999999997</v>
          </cell>
          <cell r="F17">
            <v>2.101</v>
          </cell>
          <cell r="G17">
            <v>2.3769999999999998</v>
          </cell>
          <cell r="H17">
            <v>3.23</v>
          </cell>
          <cell r="I17">
            <v>1.2150000000000001</v>
          </cell>
          <cell r="J17">
            <v>1.843</v>
          </cell>
          <cell r="K17">
            <v>2.7839999999999998</v>
          </cell>
        </row>
        <row r="18">
          <cell r="D18">
            <v>14.481999999999999</v>
          </cell>
          <cell r="E18">
            <v>-18.945</v>
          </cell>
          <cell r="F18">
            <v>-5.4929999999999994</v>
          </cell>
          <cell r="G18">
            <v>-24.579000000000001</v>
          </cell>
          <cell r="H18">
            <v>-11.957999999999997</v>
          </cell>
          <cell r="I18">
            <v>-91.189999999999984</v>
          </cell>
          <cell r="J18">
            <v>-49.46</v>
          </cell>
          <cell r="K18">
            <v>-249.22</v>
          </cell>
        </row>
        <row r="26">
          <cell r="D26">
            <v>49.854999999999926</v>
          </cell>
          <cell r="E26">
            <v>22.170000000000094</v>
          </cell>
          <cell r="F26">
            <v>61.456999999999958</v>
          </cell>
          <cell r="G26">
            <v>64.787000000000148</v>
          </cell>
          <cell r="H26">
            <v>95.495999999999754</v>
          </cell>
          <cell r="I26">
            <v>27.335000000000193</v>
          </cell>
          <cell r="J26">
            <v>104.22499999999988</v>
          </cell>
          <cell r="K26">
            <v>-50.241666000000066</v>
          </cell>
        </row>
        <row r="28">
          <cell r="D28">
            <v>-7.5609999999999999</v>
          </cell>
          <cell r="E28">
            <v>-17.396000000000001</v>
          </cell>
          <cell r="F28">
            <v>-37.076000000000001</v>
          </cell>
          <cell r="G28">
            <v>-58.793999999999997</v>
          </cell>
          <cell r="H28">
            <v>-107.526</v>
          </cell>
          <cell r="I28">
            <v>-132.40899999999999</v>
          </cell>
          <cell r="J28">
            <v>-223.423</v>
          </cell>
          <cell r="K28">
            <v>-202.73500000000001</v>
          </cell>
        </row>
        <row r="29">
          <cell r="D29" t="str">
            <v xml:space="preserve">0  </v>
          </cell>
          <cell r="E29" t="str">
            <v xml:space="preserve">0  </v>
          </cell>
          <cell r="F29">
            <v>0</v>
          </cell>
          <cell r="G29">
            <v>4.1180000000000003</v>
          </cell>
          <cell r="H29">
            <v>0.94499999999999995</v>
          </cell>
          <cell r="I29">
            <v>1.577</v>
          </cell>
          <cell r="J29">
            <v>0.752</v>
          </cell>
          <cell r="K29">
            <v>0.29499999999999998</v>
          </cell>
        </row>
        <row r="30">
          <cell r="D30">
            <v>-0.51800000000000002</v>
          </cell>
          <cell r="E30">
            <v>-0.65600000000000003</v>
          </cell>
          <cell r="F30">
            <v>-4.117</v>
          </cell>
          <cell r="G30">
            <v>-0.29599999999999999</v>
          </cell>
          <cell r="H30">
            <v>-0.48499999999999999</v>
          </cell>
          <cell r="I30">
            <v>-0.52400000000000002</v>
          </cell>
          <cell r="J30">
            <v>-2.0630000000000002</v>
          </cell>
          <cell r="K30">
            <v>-6.5339999999999998</v>
          </cell>
        </row>
        <row r="32">
          <cell r="D32">
            <v>-8.0790000000000006</v>
          </cell>
          <cell r="E32">
            <v>-18.052</v>
          </cell>
          <cell r="F32">
            <v>-41.192999999999998</v>
          </cell>
          <cell r="G32">
            <v>-54.971999999999994</v>
          </cell>
          <cell r="H32">
            <v>-107.066</v>
          </cell>
          <cell r="I32">
            <v>-131.35599999999999</v>
          </cell>
          <cell r="J32">
            <v>-224.73399999999998</v>
          </cell>
          <cell r="K32">
            <v>-208.97400000000002</v>
          </cell>
        </row>
        <row r="33">
          <cell r="D33">
            <v>42.293999999999926</v>
          </cell>
          <cell r="E33">
            <v>4.7740000000000933</v>
          </cell>
          <cell r="F33">
            <v>24.380999999999958</v>
          </cell>
          <cell r="G33">
            <v>5.9930000000001513</v>
          </cell>
          <cell r="H33">
            <v>-12.030000000000243</v>
          </cell>
          <cell r="I33">
            <v>-105.0739999999998</v>
          </cell>
          <cell r="J33">
            <v>-119.19800000000012</v>
          </cell>
          <cell r="K33">
            <v>-252.97666600000008</v>
          </cell>
        </row>
        <row r="35">
          <cell r="D35">
            <v>0</v>
          </cell>
          <cell r="E35">
            <v>0</v>
          </cell>
          <cell r="F35">
            <v>0</v>
          </cell>
          <cell r="G35">
            <v>0</v>
          </cell>
          <cell r="H35">
            <v>0</v>
          </cell>
          <cell r="I35">
            <v>0</v>
          </cell>
          <cell r="J35">
            <v>0</v>
          </cell>
          <cell r="K35">
            <v>0</v>
          </cell>
        </row>
        <row r="36">
          <cell r="D36">
            <v>3.363</v>
          </cell>
          <cell r="E36">
            <v>6.7000000000000004E-2</v>
          </cell>
          <cell r="F36">
            <v>3.5569999999999999</v>
          </cell>
          <cell r="G36">
            <v>0</v>
          </cell>
          <cell r="H36">
            <v>0</v>
          </cell>
          <cell r="I36">
            <v>0</v>
          </cell>
          <cell r="J36">
            <v>0</v>
          </cell>
          <cell r="K36">
            <v>0</v>
          </cell>
        </row>
        <row r="37">
          <cell r="D37">
            <v>3.419</v>
          </cell>
          <cell r="E37">
            <v>0</v>
          </cell>
          <cell r="F37">
            <v>-0.252</v>
          </cell>
          <cell r="G37">
            <v>-76.045000000000002</v>
          </cell>
          <cell r="H37">
            <v>0</v>
          </cell>
          <cell r="I37">
            <v>0</v>
          </cell>
          <cell r="J37">
            <v>0</v>
          </cell>
          <cell r="K37">
            <v>0</v>
          </cell>
        </row>
        <row r="38">
          <cell r="D38">
            <v>0</v>
          </cell>
          <cell r="E38">
            <v>0</v>
          </cell>
          <cell r="F38">
            <v>0</v>
          </cell>
          <cell r="G38">
            <v>0</v>
          </cell>
          <cell r="H38">
            <v>60</v>
          </cell>
          <cell r="I38">
            <v>0</v>
          </cell>
          <cell r="J38">
            <v>200</v>
          </cell>
          <cell r="K38">
            <v>0</v>
          </cell>
        </row>
        <row r="39">
          <cell r="D39">
            <v>-14</v>
          </cell>
          <cell r="E39">
            <v>6</v>
          </cell>
          <cell r="F39">
            <v>-6</v>
          </cell>
          <cell r="G39">
            <v>27</v>
          </cell>
          <cell r="H39">
            <v>-27</v>
          </cell>
          <cell r="I39">
            <v>74</v>
          </cell>
          <cell r="J39">
            <v>-74</v>
          </cell>
          <cell r="K39">
            <v>0</v>
          </cell>
        </row>
        <row r="40">
          <cell r="D40">
            <v>0</v>
          </cell>
          <cell r="E40">
            <v>0</v>
          </cell>
          <cell r="F40">
            <v>-105</v>
          </cell>
          <cell r="G40">
            <v>0</v>
          </cell>
          <cell r="H40">
            <v>0</v>
          </cell>
          <cell r="I40">
            <v>0</v>
          </cell>
          <cell r="J40">
            <v>0</v>
          </cell>
          <cell r="K40">
            <v>0</v>
          </cell>
        </row>
        <row r="41">
          <cell r="D41">
            <v>0</v>
          </cell>
          <cell r="E41">
            <v>-9.2170000000000005</v>
          </cell>
          <cell r="F41">
            <v>-13.173999999999999</v>
          </cell>
          <cell r="G41">
            <v>0</v>
          </cell>
          <cell r="H41">
            <v>0</v>
          </cell>
          <cell r="I41">
            <v>0</v>
          </cell>
          <cell r="J41">
            <v>0</v>
          </cell>
          <cell r="K41">
            <v>0</v>
          </cell>
        </row>
        <row r="42">
          <cell r="D42">
            <v>-34.491</v>
          </cell>
          <cell r="E42">
            <v>-0.85799999999999998</v>
          </cell>
          <cell r="F42">
            <v>-0.79800000000000004</v>
          </cell>
          <cell r="G42">
            <v>-0.76300000000000001</v>
          </cell>
          <cell r="H42">
            <v>-0.98799999999999999</v>
          </cell>
          <cell r="I42">
            <v>-1.3029999999999999</v>
          </cell>
          <cell r="J42">
            <v>-1.43</v>
          </cell>
          <cell r="K42">
            <v>-1.4830000000000001</v>
          </cell>
        </row>
        <row r="43">
          <cell r="D43">
            <v>0</v>
          </cell>
          <cell r="E43">
            <v>0</v>
          </cell>
          <cell r="F43">
            <v>104.758</v>
          </cell>
          <cell r="G43">
            <v>46.051000000000002</v>
          </cell>
          <cell r="H43">
            <v>1.4530000000000001</v>
          </cell>
          <cell r="I43">
            <v>3.7370000000000001</v>
          </cell>
          <cell r="J43">
            <v>4.3550000000000004</v>
          </cell>
          <cell r="K43">
            <v>296.03800000000001</v>
          </cell>
        </row>
        <row r="45">
          <cell r="D45">
            <v>0</v>
          </cell>
          <cell r="E45">
            <v>0</v>
          </cell>
          <cell r="F45">
            <v>0</v>
          </cell>
          <cell r="G45">
            <v>0</v>
          </cell>
          <cell r="H45">
            <v>0</v>
          </cell>
          <cell r="I45">
            <v>0</v>
          </cell>
          <cell r="J45">
            <v>-2.0110000000000001</v>
          </cell>
          <cell r="K45">
            <v>-0.10100000000000001</v>
          </cell>
        </row>
        <row r="47">
          <cell r="D47">
            <v>-41.709000000000003</v>
          </cell>
          <cell r="E47">
            <v>-4.008</v>
          </cell>
          <cell r="F47">
            <v>-16.909000000000006</v>
          </cell>
          <cell r="G47">
            <v>-3.7569999999999979</v>
          </cell>
          <cell r="H47">
            <v>33.465000000000003</v>
          </cell>
          <cell r="I47">
            <v>76.433999999999997</v>
          </cell>
          <cell r="J47">
            <v>126.91399999999999</v>
          </cell>
          <cell r="K47">
            <v>294.45400000000001</v>
          </cell>
        </row>
        <row r="49">
          <cell r="D49">
            <v>6.6999999999922011E-2</v>
          </cell>
          <cell r="E49">
            <v>0.11000000000009447</v>
          </cell>
          <cell r="F49">
            <v>3.3549999999999542</v>
          </cell>
          <cell r="G49">
            <v>6.0580000000001561</v>
          </cell>
          <cell r="H49">
            <v>21.894999999999754</v>
          </cell>
          <cell r="I49">
            <v>-27.586999999999804</v>
          </cell>
          <cell r="J49">
            <v>6.4049999999998875</v>
          </cell>
          <cell r="K49">
            <v>35.238333999999952</v>
          </cell>
        </row>
        <row r="50">
          <cell r="D50" t="str">
            <v>=====</v>
          </cell>
          <cell r="E50" t="str">
            <v>=====</v>
          </cell>
          <cell r="F50" t="str">
            <v>=====</v>
          </cell>
          <cell r="G50" t="str">
            <v>=====</v>
          </cell>
          <cell r="H50" t="str">
            <v>=====</v>
          </cell>
          <cell r="I50" t="str">
            <v>=====</v>
          </cell>
          <cell r="J50" t="str">
            <v>=====</v>
          </cell>
          <cell r="K50" t="str">
            <v>=====</v>
          </cell>
        </row>
        <row r="51">
          <cell r="D51">
            <v>0.69</v>
          </cell>
          <cell r="E51">
            <v>0.75699999999992196</v>
          </cell>
          <cell r="F51">
            <v>0.86700000000001642</v>
          </cell>
          <cell r="G51">
            <v>4.2219999999999711</v>
          </cell>
          <cell r="H51">
            <v>10.280000000000127</v>
          </cell>
          <cell r="I51">
            <v>32.174999999999883</v>
          </cell>
          <cell r="J51">
            <v>4.5880000000000791</v>
          </cell>
          <cell r="K51">
            <v>10.992999999999967</v>
          </cell>
        </row>
        <row r="52">
          <cell r="D52">
            <v>0.75699999999992196</v>
          </cell>
          <cell r="E52">
            <v>0.86700000000001642</v>
          </cell>
          <cell r="F52">
            <v>4.2219999999999711</v>
          </cell>
          <cell r="G52">
            <v>10.280000000000127</v>
          </cell>
          <cell r="H52">
            <v>32.174999999999883</v>
          </cell>
          <cell r="I52">
            <v>4.5880000000000791</v>
          </cell>
          <cell r="J52">
            <v>10.992999999999967</v>
          </cell>
          <cell r="K52">
            <v>46.231333999999919</v>
          </cell>
        </row>
        <row r="54">
          <cell r="D54">
            <v>6.6999999999922011E-2</v>
          </cell>
          <cell r="E54">
            <v>0.11000000000009447</v>
          </cell>
          <cell r="F54">
            <v>3.3549999999999547</v>
          </cell>
          <cell r="G54">
            <v>6.0580000000001561</v>
          </cell>
          <cell r="H54">
            <v>21.894999999999754</v>
          </cell>
          <cell r="I54">
            <v>-27.586999999999804</v>
          </cell>
          <cell r="J54">
            <v>6.4049999999998875</v>
          </cell>
          <cell r="K54">
            <v>35.238333999999952</v>
          </cell>
        </row>
        <row r="65">
          <cell r="D65">
            <v>17.777000000000001</v>
          </cell>
          <cell r="E65">
            <v>19.145</v>
          </cell>
          <cell r="F65">
            <v>20.895</v>
          </cell>
          <cell r="G65">
            <v>23.978999999999999</v>
          </cell>
          <cell r="H65">
            <v>27.472000000000001</v>
          </cell>
          <cell r="I65">
            <v>34.008000000000003</v>
          </cell>
          <cell r="J65">
            <v>44.216000000000001</v>
          </cell>
          <cell r="K65">
            <v>57.723999999999997</v>
          </cell>
        </row>
        <row r="69">
          <cell r="K69">
            <v>296.03800000000001</v>
          </cell>
        </row>
        <row r="71">
          <cell r="K71">
            <v>0</v>
          </cell>
        </row>
        <row r="73">
          <cell r="K73">
            <v>0</v>
          </cell>
        </row>
        <row r="74">
          <cell r="K74">
            <v>0</v>
          </cell>
        </row>
        <row r="82">
          <cell r="K82">
            <v>1.8863534465066972E-2</v>
          </cell>
        </row>
        <row r="83">
          <cell r="K83">
            <v>9.6815474643047031E-2</v>
          </cell>
        </row>
        <row r="86">
          <cell r="K86">
            <v>0.12500683395561912</v>
          </cell>
        </row>
        <row r="87">
          <cell r="I87">
            <v>6.8759999771507971E-2</v>
          </cell>
          <cell r="J87">
            <v>9.3541134603307513E-2</v>
          </cell>
          <cell r="K87">
            <v>6.6251449306620344E-2</v>
          </cell>
        </row>
        <row r="88">
          <cell r="K88">
            <v>0.34002988794536315</v>
          </cell>
        </row>
        <row r="89">
          <cell r="K89">
            <v>6.6155046724207578E-2</v>
          </cell>
        </row>
        <row r="90">
          <cell r="K90">
            <v>9.6402582412766225E-5</v>
          </cell>
        </row>
        <row r="91">
          <cell r="K91">
            <v>3.5070334696140257</v>
          </cell>
        </row>
        <row r="92">
          <cell r="H92">
            <v>1.1259738627795957</v>
          </cell>
          <cell r="I92">
            <v>4.8439363453447619</v>
          </cell>
          <cell r="J92">
            <v>2.1436603502038882</v>
          </cell>
          <cell r="K92">
            <v>-4.0351966035521141</v>
          </cell>
        </row>
        <row r="93">
          <cell r="K93">
            <v>-0.81041743871653937</v>
          </cell>
        </row>
        <row r="94">
          <cell r="K94">
            <v>0.2464188831351081</v>
          </cell>
        </row>
        <row r="95">
          <cell r="K95">
            <v>1.2557061683461422E-2</v>
          </cell>
        </row>
        <row r="96">
          <cell r="K96">
            <v>0</v>
          </cell>
        </row>
        <row r="98">
          <cell r="F98">
            <v>37.076000000000001</v>
          </cell>
          <cell r="G98">
            <v>58.793999999999997</v>
          </cell>
          <cell r="H98">
            <v>107.526</v>
          </cell>
          <cell r="I98">
            <v>132.40899999999999</v>
          </cell>
          <cell r="J98">
            <v>193.423</v>
          </cell>
          <cell r="K98">
            <v>202.73500000000001</v>
          </cell>
        </row>
        <row r="99">
          <cell r="F99">
            <v>84.263636363636365</v>
          </cell>
          <cell r="G99">
            <v>78.183510638297875</v>
          </cell>
          <cell r="H99">
            <v>82.648731744811684</v>
          </cell>
          <cell r="I99">
            <v>85.205276705276702</v>
          </cell>
          <cell r="J99">
            <v>114.72301304863582</v>
          </cell>
          <cell r="K99">
            <v>92.018427741466922</v>
          </cell>
        </row>
        <row r="100">
          <cell r="I100">
            <v>13.085561151581773</v>
          </cell>
          <cell r="J100">
            <v>16.675309566165776</v>
          </cell>
          <cell r="K100">
            <v>15.120723513002096</v>
          </cell>
        </row>
        <row r="101">
          <cell r="I101">
            <v>30</v>
          </cell>
          <cell r="J101">
            <v>35</v>
          </cell>
          <cell r="K101">
            <v>44</v>
          </cell>
        </row>
        <row r="102">
          <cell r="J102">
            <v>44.684600000000003</v>
          </cell>
          <cell r="K102">
            <v>22.526111111111113</v>
          </cell>
        </row>
      </sheetData>
      <sheetData sheetId="10"/>
      <sheetData sheetId="11" refreshError="1">
        <row r="1">
          <cell r="A1" t="str">
            <v>Kohl's</v>
          </cell>
          <cell r="AL1" t="str">
            <v>ElementName</v>
          </cell>
          <cell r="AM1" t="str">
            <v>ScaleOverride</v>
          </cell>
          <cell r="AN1" t="str">
            <v>UnitOverride</v>
          </cell>
          <cell r="AO1" t="str">
            <v>ReverseSign</v>
          </cell>
          <cell r="AP1" t="str">
            <v>IsDrivingAssumption</v>
          </cell>
          <cell r="AQ1" t="str">
            <v>SegmentID</v>
          </cell>
        </row>
        <row r="2">
          <cell r="A2" t="str">
            <v>Adjusted ROIC (RNOA)</v>
          </cell>
        </row>
        <row r="3">
          <cell r="A3" t="str">
            <v>($ Millions)</v>
          </cell>
        </row>
        <row r="5">
          <cell r="O5">
            <v>1995</v>
          </cell>
          <cell r="P5">
            <v>1996</v>
          </cell>
          <cell r="Q5">
            <v>1997</v>
          </cell>
          <cell r="R5">
            <v>1998</v>
          </cell>
          <cell r="S5">
            <v>1999</v>
          </cell>
          <cell r="T5">
            <v>2000</v>
          </cell>
          <cell r="U5">
            <v>2001</v>
          </cell>
          <cell r="V5">
            <v>2002</v>
          </cell>
          <cell r="W5">
            <v>2003</v>
          </cell>
          <cell r="X5">
            <v>2004</v>
          </cell>
          <cell r="Y5">
            <v>2005</v>
          </cell>
          <cell r="Z5" t="str">
            <v>2006E</v>
          </cell>
          <cell r="AA5" t="str">
            <v>2007E</v>
          </cell>
          <cell r="AB5" t="str">
            <v>2008E</v>
          </cell>
          <cell r="AC5" t="str">
            <v>2009E</v>
          </cell>
          <cell r="AD5" t="str">
            <v>2010E</v>
          </cell>
          <cell r="AE5" t="str">
            <v>2011E</v>
          </cell>
          <cell r="AF5" t="str">
            <v>2012E</v>
          </cell>
          <cell r="AG5" t="str">
            <v>2013E</v>
          </cell>
          <cell r="AH5" t="str">
            <v>2014E</v>
          </cell>
          <cell r="AI5" t="str">
            <v>2015E</v>
          </cell>
        </row>
        <row r="7">
          <cell r="A7" t="str">
            <v>REPORTED ROIC CALCULATION</v>
          </cell>
        </row>
        <row r="8">
          <cell r="A8" t="str">
            <v>Reported EBIT</v>
          </cell>
          <cell r="O8">
            <v>149.93100000000015</v>
          </cell>
          <cell r="P8">
            <v>189.26799999999992</v>
          </cell>
          <cell r="Q8">
            <v>258.82599999999991</v>
          </cell>
          <cell r="R8">
            <v>322.7999999999995</v>
          </cell>
          <cell r="S8">
            <v>448.94299999999959</v>
          </cell>
          <cell r="T8">
            <v>634.93300000000102</v>
          </cell>
          <cell r="U8">
            <v>840.96800000000042</v>
          </cell>
          <cell r="V8">
            <v>1077.6660000000002</v>
          </cell>
          <cell r="W8">
            <v>1006.8019999999988</v>
          </cell>
          <cell r="X8">
            <v>1193.4550000000011</v>
          </cell>
          <cell r="Y8">
            <v>1413.6999999999985</v>
          </cell>
          <cell r="Z8">
            <v>1725.2856217929707</v>
          </cell>
          <cell r="AA8">
            <v>1974.8756841554095</v>
          </cell>
          <cell r="AB8">
            <v>2285.1173521012452</v>
          </cell>
          <cell r="AC8">
            <v>2589.6116377844542</v>
          </cell>
          <cell r="AD8">
            <v>2804.3298482756736</v>
          </cell>
          <cell r="AE8">
            <v>3017.6957745184318</v>
          </cell>
          <cell r="AF8">
            <v>3221.2211916262959</v>
          </cell>
          <cell r="AG8">
            <v>3420.3923367261818</v>
          </cell>
          <cell r="AH8">
            <v>3618.1821243779286</v>
          </cell>
          <cell r="AI8">
            <v>3814.5629274325765</v>
          </cell>
        </row>
        <row r="9">
          <cell r="A9" t="str">
            <v>Taxes on EBIT</v>
          </cell>
          <cell r="O9">
            <v>-61.176206821533604</v>
          </cell>
          <cell r="P9">
            <v>-75.96257716462955</v>
          </cell>
          <cell r="Q9">
            <v>-103.28381861238691</v>
          </cell>
          <cell r="R9">
            <v>-132.25060274724547</v>
          </cell>
          <cell r="S9">
            <v>-173.46541019014651</v>
          </cell>
          <cell r="T9">
            <v>-248.05317806546819</v>
          </cell>
          <cell r="U9">
            <v>-323.46223651557739</v>
          </cell>
          <cell r="V9">
            <v>-407.35843785340876</v>
          </cell>
          <cell r="W9">
            <v>-380.55389720250668</v>
          </cell>
          <cell r="X9">
            <v>-451.08289416292371</v>
          </cell>
          <cell r="Y9">
            <v>-534.47031435965152</v>
          </cell>
          <cell r="Z9">
            <v>-646.80913090798003</v>
          </cell>
          <cell r="AA9">
            <v>-746.50300861074481</v>
          </cell>
          <cell r="AB9">
            <v>-863.77435909427072</v>
          </cell>
          <cell r="AC9">
            <v>-978.87319908252368</v>
          </cell>
          <cell r="AD9">
            <v>-1060.0366826482045</v>
          </cell>
          <cell r="AE9">
            <v>-1140.6890027679674</v>
          </cell>
          <cell r="AF9">
            <v>-1217.6216104347398</v>
          </cell>
          <cell r="AG9">
            <v>-1292.9083032824965</v>
          </cell>
          <cell r="AH9">
            <v>-1367.6728430148571</v>
          </cell>
          <cell r="AI9">
            <v>-1441.904786569514</v>
          </cell>
        </row>
        <row r="10">
          <cell r="A10" t="str">
            <v>Net Operating Profit After-Tax (NOPAT)</v>
          </cell>
          <cell r="O10">
            <v>88.754793178466542</v>
          </cell>
          <cell r="P10">
            <v>113.30542283537036</v>
          </cell>
          <cell r="Q10">
            <v>155.542181387613</v>
          </cell>
          <cell r="R10">
            <v>190.54939725275403</v>
          </cell>
          <cell r="S10">
            <v>275.47758980985304</v>
          </cell>
          <cell r="T10">
            <v>386.87982193453286</v>
          </cell>
          <cell r="U10">
            <v>517.50576348442303</v>
          </cell>
          <cell r="V10">
            <v>670.30756214659141</v>
          </cell>
          <cell r="W10">
            <v>626.24810279749204</v>
          </cell>
          <cell r="X10">
            <v>742.37210583707736</v>
          </cell>
          <cell r="Y10">
            <v>879.22968564034693</v>
          </cell>
          <cell r="Z10">
            <v>1078.4764908849907</v>
          </cell>
          <cell r="AA10">
            <v>1228.3726755446646</v>
          </cell>
          <cell r="AB10">
            <v>1421.3429930069744</v>
          </cell>
          <cell r="AC10">
            <v>1610.7384387019306</v>
          </cell>
          <cell r="AD10">
            <v>1744.2931656274691</v>
          </cell>
          <cell r="AE10">
            <v>1877.0067717504644</v>
          </cell>
          <cell r="AF10">
            <v>2003.5995811915561</v>
          </cell>
          <cell r="AG10">
            <v>2127.4840334436853</v>
          </cell>
          <cell r="AH10">
            <v>2250.5092813630718</v>
          </cell>
          <cell r="AI10">
            <v>2372.6581408630627</v>
          </cell>
        </row>
        <row r="12">
          <cell r="A12" t="str">
            <v>Current Operating Assets</v>
          </cell>
          <cell r="O12">
            <v>327.34499999999997</v>
          </cell>
          <cell r="P12">
            <v>456.25200000000001</v>
          </cell>
          <cell r="Q12">
            <v>767.28099999999995</v>
          </cell>
          <cell r="R12">
            <v>904.84399999999994</v>
          </cell>
          <cell r="S12">
            <v>1328.415</v>
          </cell>
          <cell r="T12">
            <v>1749.6759999999999</v>
          </cell>
          <cell r="U12">
            <v>2127.9450000000002</v>
          </cell>
          <cell r="V12">
            <v>2718.018</v>
          </cell>
          <cell r="W12">
            <v>2877.8629999999998</v>
          </cell>
          <cell r="X12">
            <v>3437.8530000000005</v>
          </cell>
          <cell r="Y12">
            <v>3979.1360000000004</v>
          </cell>
          <cell r="Z12">
            <v>2829.4780964114075</v>
          </cell>
          <cell r="AA12">
            <v>3002.1822663352887</v>
          </cell>
          <cell r="AB12">
            <v>3343.3347563811667</v>
          </cell>
          <cell r="AC12">
            <v>3693.3585319687004</v>
          </cell>
          <cell r="AD12">
            <v>4026.9974472226086</v>
          </cell>
          <cell r="AE12">
            <v>4367.3091407815955</v>
          </cell>
          <cell r="AF12">
            <v>4701.4384809810354</v>
          </cell>
          <cell r="AG12">
            <v>5042.2504079844639</v>
          </cell>
          <cell r="AH12">
            <v>5389.8785735279616</v>
          </cell>
          <cell r="AI12">
            <v>5744.4593023823281</v>
          </cell>
        </row>
        <row r="13">
          <cell r="A13" t="str">
            <v>Fixed Operating Assets</v>
          </cell>
          <cell r="O13">
            <v>434.22300000000001</v>
          </cell>
          <cell r="P13">
            <v>657.25599999999997</v>
          </cell>
          <cell r="Q13">
            <v>808.27900000000011</v>
          </cell>
          <cell r="R13">
            <v>1029.6569999999999</v>
          </cell>
          <cell r="S13">
            <v>1574.9389999999999</v>
          </cell>
          <cell r="T13">
            <v>1961.2570000000001</v>
          </cell>
          <cell r="U13">
            <v>2454.5420000000004</v>
          </cell>
          <cell r="V13">
            <v>3022.4090000000001</v>
          </cell>
          <cell r="W13">
            <v>3665.8540000000003</v>
          </cell>
          <cell r="X13">
            <v>4335.8620000000001</v>
          </cell>
          <cell r="Y13">
            <v>4886.9859999999999</v>
          </cell>
          <cell r="Z13">
            <v>5677.458813450583</v>
          </cell>
          <cell r="AA13">
            <v>6258.8192767324581</v>
          </cell>
          <cell r="AB13">
            <v>6899.319751830184</v>
          </cell>
          <cell r="AC13">
            <v>7595.0831474923125</v>
          </cell>
          <cell r="AD13">
            <v>8329.064204773962</v>
          </cell>
          <cell r="AE13">
            <v>9096.3806284492384</v>
          </cell>
          <cell r="AF13">
            <v>9887.462477387724</v>
          </cell>
          <cell r="AG13">
            <v>10697.420279744549</v>
          </cell>
          <cell r="AH13">
            <v>11521.266774237944</v>
          </cell>
          <cell r="AI13">
            <v>12353.914954360505</v>
          </cell>
        </row>
        <row r="14">
          <cell r="A14" t="str">
            <v>[A] Operating Assets</v>
          </cell>
          <cell r="O14">
            <v>761.56799999999998</v>
          </cell>
          <cell r="P14">
            <v>1113.508</v>
          </cell>
          <cell r="Q14">
            <v>1575.56</v>
          </cell>
          <cell r="R14">
            <v>1934.5009999999997</v>
          </cell>
          <cell r="S14">
            <v>2903.3539999999998</v>
          </cell>
          <cell r="T14">
            <v>3710.933</v>
          </cell>
          <cell r="U14">
            <v>4582.487000000001</v>
          </cell>
          <cell r="V14">
            <v>5740.4269999999997</v>
          </cell>
          <cell r="W14">
            <v>6543.7170000000006</v>
          </cell>
          <cell r="X14">
            <v>7773.7150000000001</v>
          </cell>
          <cell r="Y14">
            <v>8866.1219999999994</v>
          </cell>
          <cell r="Z14">
            <v>8506.93690986199</v>
          </cell>
          <cell r="AA14">
            <v>9261.0015430677468</v>
          </cell>
          <cell r="AB14">
            <v>10242.654508211352</v>
          </cell>
          <cell r="AC14">
            <v>11288.441679461013</v>
          </cell>
          <cell r="AD14">
            <v>12356.06165199657</v>
          </cell>
          <cell r="AE14">
            <v>13463.689769230834</v>
          </cell>
          <cell r="AF14">
            <v>14588.900958368758</v>
          </cell>
          <cell r="AG14">
            <v>15739.670687729013</v>
          </cell>
          <cell r="AH14">
            <v>16911.145347765905</v>
          </cell>
          <cell r="AI14">
            <v>18098.374256742834</v>
          </cell>
        </row>
        <row r="15">
          <cell r="A15" t="str">
            <v>Current Operating Liabilities</v>
          </cell>
          <cell r="O15">
            <v>153.37100000000001</v>
          </cell>
          <cell r="P15">
            <v>234.15600000000001</v>
          </cell>
          <cell r="Q15">
            <v>284.346</v>
          </cell>
          <cell r="R15">
            <v>378.69799999999998</v>
          </cell>
          <cell r="S15">
            <v>537.82299999999998</v>
          </cell>
          <cell r="T15">
            <v>701.72900000000004</v>
          </cell>
          <cell r="U15">
            <v>863.55300000000011</v>
          </cell>
          <cell r="V15">
            <v>1152.528</v>
          </cell>
          <cell r="W15">
            <v>1110.087</v>
          </cell>
          <cell r="X15">
            <v>1452.5939999999998</v>
          </cell>
          <cell r="Y15">
            <v>1638.5139999999999</v>
          </cell>
          <cell r="Z15">
            <v>1818.6010135754152</v>
          </cell>
          <cell r="AA15">
            <v>1978.4512391587411</v>
          </cell>
          <cell r="AB15">
            <v>2194.0838920695546</v>
          </cell>
          <cell r="AC15">
            <v>2415.6878990132618</v>
          </cell>
          <cell r="AD15">
            <v>2624.493145794896</v>
          </cell>
          <cell r="AE15">
            <v>2837.4744975121625</v>
          </cell>
          <cell r="AF15">
            <v>3046.5866728237065</v>
          </cell>
          <cell r="AG15">
            <v>3259.8810916414809</v>
          </cell>
          <cell r="AH15">
            <v>3477.4413988356114</v>
          </cell>
          <cell r="AI15">
            <v>3699.3529121736233</v>
          </cell>
        </row>
        <row r="16">
          <cell r="A16" t="str">
            <v>Fixed Operating Liabilities</v>
          </cell>
          <cell r="O16">
            <v>51.792000000000002</v>
          </cell>
          <cell r="P16">
            <v>57.093000000000004</v>
          </cell>
          <cell r="Q16">
            <v>70.382000000000005</v>
          </cell>
          <cell r="R16">
            <v>82.173000000000002</v>
          </cell>
          <cell r="S16">
            <v>99.753999999999991</v>
          </cell>
          <cell r="T16">
            <v>126.137</v>
          </cell>
          <cell r="U16">
            <v>162.78899999999999</v>
          </cell>
          <cell r="V16">
            <v>236.81</v>
          </cell>
          <cell r="W16">
            <v>343.65199999999999</v>
          </cell>
          <cell r="X16">
            <v>385.90199999999999</v>
          </cell>
          <cell r="Y16">
            <v>403.14099999999996</v>
          </cell>
          <cell r="Z16">
            <v>1229.9936914383854</v>
          </cell>
          <cell r="AA16">
            <v>1199.2326914383832</v>
          </cell>
          <cell r="AB16">
            <v>1318.4716914383846</v>
          </cell>
          <cell r="AC16">
            <v>1362.7106914383851</v>
          </cell>
          <cell r="AD16">
            <v>1406.9496914383847</v>
          </cell>
          <cell r="AE16">
            <v>1451.1886914383842</v>
          </cell>
          <cell r="AF16">
            <v>1495.427691438382</v>
          </cell>
          <cell r="AG16">
            <v>1539.6666914383852</v>
          </cell>
          <cell r="AH16">
            <v>1583.9056914383812</v>
          </cell>
          <cell r="AI16">
            <v>1628.1446914383862</v>
          </cell>
        </row>
        <row r="17">
          <cell r="A17" t="str">
            <v>[B] Operating Liabilities</v>
          </cell>
          <cell r="O17">
            <v>205.16300000000001</v>
          </cell>
          <cell r="P17">
            <v>291.24900000000002</v>
          </cell>
          <cell r="Q17">
            <v>354.72800000000001</v>
          </cell>
          <cell r="R17">
            <v>460.87099999999998</v>
          </cell>
          <cell r="S17">
            <v>637.577</v>
          </cell>
          <cell r="T17">
            <v>827.86599999999999</v>
          </cell>
          <cell r="U17">
            <v>1026.3420000000001</v>
          </cell>
          <cell r="V17">
            <v>1389.338</v>
          </cell>
          <cell r="W17">
            <v>1453.739</v>
          </cell>
          <cell r="X17">
            <v>1838.4959999999999</v>
          </cell>
          <cell r="Y17">
            <v>2041.6549999999997</v>
          </cell>
          <cell r="Z17">
            <v>3048.5947050138006</v>
          </cell>
          <cell r="AA17">
            <v>3177.6839305971243</v>
          </cell>
          <cell r="AB17">
            <v>3512.5555835079394</v>
          </cell>
          <cell r="AC17">
            <v>3778.3985904516467</v>
          </cell>
          <cell r="AD17">
            <v>4031.4428372332804</v>
          </cell>
          <cell r="AE17">
            <v>4288.663188950547</v>
          </cell>
          <cell r="AF17">
            <v>4542.0143642620887</v>
          </cell>
          <cell r="AG17">
            <v>4799.5477830798663</v>
          </cell>
          <cell r="AH17">
            <v>5061.3470902739928</v>
          </cell>
          <cell r="AI17">
            <v>5327.4976036120097</v>
          </cell>
        </row>
        <row r="18">
          <cell r="A18" t="str">
            <v xml:space="preserve">REPORTED NET OPERATING ASSETS [A] - [B] </v>
          </cell>
          <cell r="O18">
            <v>556.40499999999997</v>
          </cell>
          <cell r="P18">
            <v>822.25900000000001</v>
          </cell>
          <cell r="Q18">
            <v>1220.8319999999999</v>
          </cell>
          <cell r="R18">
            <v>1473.6299999999997</v>
          </cell>
          <cell r="S18">
            <v>2265.777</v>
          </cell>
          <cell r="T18">
            <v>2883.067</v>
          </cell>
          <cell r="U18">
            <v>3556.1450000000009</v>
          </cell>
          <cell r="V18">
            <v>4351.0889999999999</v>
          </cell>
          <cell r="W18">
            <v>5089.978000000001</v>
          </cell>
          <cell r="X18">
            <v>5935.2190000000001</v>
          </cell>
          <cell r="Y18">
            <v>6824.4669999999996</v>
          </cell>
          <cell r="Z18">
            <v>5458.3422048481898</v>
          </cell>
          <cell r="AA18">
            <v>6083.3176124706224</v>
          </cell>
          <cell r="AB18">
            <v>6730.0989247034122</v>
          </cell>
          <cell r="AC18">
            <v>7510.0430890093667</v>
          </cell>
          <cell r="AD18">
            <v>8324.6188147632893</v>
          </cell>
          <cell r="AE18">
            <v>9175.026580280286</v>
          </cell>
          <cell r="AF18">
            <v>10046.886594106669</v>
          </cell>
          <cell r="AG18">
            <v>10940.122904649146</v>
          </cell>
          <cell r="AH18">
            <v>11849.798257491911</v>
          </cell>
          <cell r="AI18">
            <v>12770.876653130825</v>
          </cell>
        </row>
        <row r="20">
          <cell r="A20" t="str">
            <v>Debt (STD + LTD)</v>
          </cell>
          <cell r="O20">
            <v>-189.12400000000002</v>
          </cell>
          <cell r="P20">
            <v>-313.69400000000002</v>
          </cell>
          <cell r="Q20">
            <v>-312.21100000000001</v>
          </cell>
          <cell r="R20">
            <v>-312.44499999999999</v>
          </cell>
          <cell r="S20">
            <v>-591.58199999999999</v>
          </cell>
          <cell r="T20">
            <v>-824.649</v>
          </cell>
          <cell r="U20">
            <v>-1111.838</v>
          </cell>
          <cell r="V20">
            <v>-1414.248</v>
          </cell>
          <cell r="W20">
            <v>-1088.502</v>
          </cell>
          <cell r="X20">
            <v>-1106.905</v>
          </cell>
          <cell r="Y20">
            <v>-1154.0450000000001</v>
          </cell>
          <cell r="Z20">
            <v>-891.31400000000008</v>
          </cell>
          <cell r="AA20">
            <v>-891.31400000000008</v>
          </cell>
          <cell r="AB20">
            <v>-816.31400000000008</v>
          </cell>
          <cell r="AC20">
            <v>-816.31400000000008</v>
          </cell>
          <cell r="AD20">
            <v>-816.31400000000008</v>
          </cell>
          <cell r="AE20">
            <v>-816.31400000000008</v>
          </cell>
          <cell r="AF20">
            <v>-816.31400000000008</v>
          </cell>
          <cell r="AG20">
            <v>-816.31400000000008</v>
          </cell>
          <cell r="AH20">
            <v>-816.31400000000008</v>
          </cell>
          <cell r="AI20">
            <v>-816.31400000000008</v>
          </cell>
        </row>
        <row r="21">
          <cell r="A21" t="str">
            <v>Preferred Stock</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row>
        <row r="22">
          <cell r="A22" t="str">
            <v>Cash and Cash Equivalents</v>
          </cell>
          <cell r="O22">
            <v>2.819</v>
          </cell>
          <cell r="P22">
            <v>8.9060000000000006</v>
          </cell>
          <cell r="Q22">
            <v>46.231333999999919</v>
          </cell>
          <cell r="R22">
            <v>1.1749199999994246</v>
          </cell>
          <cell r="S22">
            <v>11.592919999999147</v>
          </cell>
          <cell r="T22">
            <v>143.60992000000033</v>
          </cell>
          <cell r="U22">
            <v>347.08792000000079</v>
          </cell>
          <cell r="V22">
            <v>577.06392000000096</v>
          </cell>
          <cell r="W22">
            <v>147.04391999999999</v>
          </cell>
          <cell r="X22">
            <v>205.61680800000096</v>
          </cell>
          <cell r="Y22">
            <v>287.01158760398897</v>
          </cell>
          <cell r="Z22">
            <v>664.77598234496054</v>
          </cell>
          <cell r="AA22">
            <v>749.56693181006926</v>
          </cell>
          <cell r="AB22">
            <v>784.31864108182367</v>
          </cell>
          <cell r="AC22">
            <v>902.44132613349325</v>
          </cell>
          <cell r="AD22">
            <v>1021.2008494458587</v>
          </cell>
          <cell r="AE22">
            <v>1137.2254893536481</v>
          </cell>
          <cell r="AF22">
            <v>1308.774240628642</v>
          </cell>
          <cell r="AG22">
            <v>1433.2146976751678</v>
          </cell>
          <cell r="AH22">
            <v>1614.6249105762963</v>
          </cell>
          <cell r="AI22">
            <v>1757.1600586667637</v>
          </cell>
        </row>
        <row r="23">
          <cell r="A23" t="str">
            <v>Other Financial Investments</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row>
        <row r="24">
          <cell r="A24" t="str">
            <v xml:space="preserve">   Net (Debt)/Cash</v>
          </cell>
          <cell r="O24">
            <v>-186.30500000000004</v>
          </cell>
          <cell r="P24">
            <v>-304.78800000000001</v>
          </cell>
          <cell r="Q24">
            <v>-265.97966600000007</v>
          </cell>
          <cell r="R24">
            <v>-311.27008000000058</v>
          </cell>
          <cell r="S24">
            <v>-579.98908000000085</v>
          </cell>
          <cell r="T24">
            <v>-681.03907999999967</v>
          </cell>
          <cell r="U24">
            <v>-764.75007999999912</v>
          </cell>
          <cell r="V24">
            <v>-837.18407999999908</v>
          </cell>
          <cell r="W24">
            <v>-941.45808</v>
          </cell>
          <cell r="X24">
            <v>-901.28819199999907</v>
          </cell>
          <cell r="Y24">
            <v>-867.03341239601104</v>
          </cell>
          <cell r="Z24">
            <v>-226.53801765503954</v>
          </cell>
          <cell r="AA24">
            <v>-141.74706818993081</v>
          </cell>
          <cell r="AB24">
            <v>-31.995358918176407</v>
          </cell>
          <cell r="AC24">
            <v>86.12732613349317</v>
          </cell>
          <cell r="AD24">
            <v>204.88684944585862</v>
          </cell>
          <cell r="AE24">
            <v>320.91148935364799</v>
          </cell>
          <cell r="AF24">
            <v>492.46024062864194</v>
          </cell>
          <cell r="AG24">
            <v>616.90069767516775</v>
          </cell>
          <cell r="AH24">
            <v>798.31091057629624</v>
          </cell>
          <cell r="AI24">
            <v>940.84605866676361</v>
          </cell>
        </row>
        <row r="25">
          <cell r="A25" t="str">
            <v>+ Common Share Capital</v>
          </cell>
          <cell r="O25">
            <v>410.57499999999993</v>
          </cell>
          <cell r="P25">
            <v>517.471</v>
          </cell>
          <cell r="Q25">
            <v>954.78199999999993</v>
          </cell>
          <cell r="R25">
            <v>1162.779</v>
          </cell>
          <cell r="S25">
            <v>1685.5029999999999</v>
          </cell>
          <cell r="T25">
            <v>2202.6390000000001</v>
          </cell>
          <cell r="U25">
            <v>2791.4059999999999</v>
          </cell>
          <cell r="V25">
            <v>3511.9169999999999</v>
          </cell>
          <cell r="W25">
            <v>4148.509</v>
          </cell>
          <cell r="X25">
            <v>5033.8980000000001</v>
          </cell>
          <cell r="Y25">
            <v>5957.3379999999997</v>
          </cell>
          <cell r="Z25">
            <v>5231.8041871931509</v>
          </cell>
          <cell r="AA25">
            <v>5941.5705442806902</v>
          </cell>
          <cell r="AB25">
            <v>6698.1035657852353</v>
          </cell>
          <cell r="AC25">
            <v>7596.1704151428603</v>
          </cell>
          <cell r="AD25">
            <v>8529.5056642091495</v>
          </cell>
          <cell r="AE25">
            <v>9495.938069633934</v>
          </cell>
          <cell r="AF25">
            <v>10539.34683473531</v>
          </cell>
          <cell r="AG25">
            <v>11557.023602324314</v>
          </cell>
          <cell r="AH25">
            <v>12648.109168068206</v>
          </cell>
          <cell r="AI25">
            <v>13711.722711797587</v>
          </cell>
        </row>
        <row r="26">
          <cell r="A26" t="str">
            <v>+ Minority  Shares</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row>
        <row r="27">
          <cell r="A27" t="str">
            <v>REPORTED INVESTED CAPITAL</v>
          </cell>
          <cell r="O27">
            <v>596.88</v>
          </cell>
          <cell r="P27">
            <v>822.25900000000001</v>
          </cell>
          <cell r="Q27">
            <v>1220.7616659999999</v>
          </cell>
          <cell r="R27">
            <v>1474.0490800000007</v>
          </cell>
          <cell r="S27">
            <v>2265.4920800000009</v>
          </cell>
          <cell r="T27">
            <v>2883.6780799999997</v>
          </cell>
          <cell r="U27">
            <v>3556.1560799999988</v>
          </cell>
          <cell r="V27">
            <v>4349.1010799999985</v>
          </cell>
          <cell r="W27">
            <v>5089.9670800000004</v>
          </cell>
          <cell r="X27">
            <v>5935.1861919999992</v>
          </cell>
          <cell r="Y27">
            <v>6824.3714123960108</v>
          </cell>
          <cell r="Z27">
            <v>5458.3422048481907</v>
          </cell>
          <cell r="AA27">
            <v>6083.3176124706206</v>
          </cell>
          <cell r="AB27">
            <v>6730.0989247034122</v>
          </cell>
          <cell r="AC27">
            <v>7510.0430890093667</v>
          </cell>
          <cell r="AD27">
            <v>8324.6188147632911</v>
          </cell>
          <cell r="AE27">
            <v>9175.026580280286</v>
          </cell>
          <cell r="AF27">
            <v>10046.886594106669</v>
          </cell>
          <cell r="AG27">
            <v>10940.122904649146</v>
          </cell>
          <cell r="AH27">
            <v>11849.79825749191</v>
          </cell>
          <cell r="AI27">
            <v>12770.876653130823</v>
          </cell>
        </row>
        <row r="29">
          <cell r="A29" t="str">
            <v>NOPAT/NOA = REPORTED RNOA (BOP):</v>
          </cell>
          <cell r="O29">
            <v>15.951472969952921</v>
          </cell>
          <cell r="P29">
            <v>20.363839799313517</v>
          </cell>
          <cell r="Q29">
            <v>18.916446203399779</v>
          </cell>
          <cell r="R29">
            <v>15.608158800945096</v>
          </cell>
          <cell r="S29">
            <v>18.693809830815951</v>
          </cell>
          <cell r="T29">
            <v>17.074929348057328</v>
          </cell>
          <cell r="U29">
            <v>17.949834793448193</v>
          </cell>
          <cell r="V29">
            <v>18.84927532894725</v>
          </cell>
          <cell r="W29">
            <v>14.392904920986267</v>
          </cell>
          <cell r="X29">
            <v>14.584976709861561</v>
          </cell>
          <cell r="Y29">
            <v>14.813769898639745</v>
          </cell>
          <cell r="Z29">
            <v>15.803087492180573</v>
          </cell>
          <cell r="AA29">
            <v>22.50450099031174</v>
          </cell>
          <cell r="AB29">
            <v>23.364602730807</v>
          </cell>
          <cell r="AC29">
            <v>23.933354572093663</v>
          </cell>
          <cell r="AD29">
            <v>23.226140582071615</v>
          </cell>
          <cell r="AE29">
            <v>22.547660301534624</v>
          </cell>
          <cell r="AF29">
            <v>21.837534351103194</v>
          </cell>
          <cell r="AG29">
            <v>21.175555367486986</v>
          </cell>
          <cell r="AH29">
            <v>20.57115172268027</v>
          </cell>
          <cell r="AI29">
            <v>20.022772449842968</v>
          </cell>
        </row>
        <row r="31">
          <cell r="A31" t="str">
            <v>WACC:</v>
          </cell>
        </row>
        <row r="32">
          <cell r="A32" t="str">
            <v>Total Debt</v>
          </cell>
          <cell r="O32">
            <v>189.12400000000002</v>
          </cell>
          <cell r="P32">
            <v>313.69400000000002</v>
          </cell>
          <cell r="Q32">
            <v>312.21100000000001</v>
          </cell>
          <cell r="R32">
            <v>312.44499999999999</v>
          </cell>
          <cell r="S32">
            <v>591.58199999999999</v>
          </cell>
          <cell r="T32">
            <v>824.649</v>
          </cell>
          <cell r="U32">
            <v>1111.838</v>
          </cell>
          <cell r="V32">
            <v>1414.248</v>
          </cell>
          <cell r="W32">
            <v>1088.502</v>
          </cell>
          <cell r="X32">
            <v>1106.905</v>
          </cell>
          <cell r="Y32">
            <v>1154.0450000000001</v>
          </cell>
          <cell r="Z32">
            <v>891.31400000000008</v>
          </cell>
          <cell r="AA32">
            <v>891.31400000000008</v>
          </cell>
          <cell r="AB32">
            <v>816.31400000000008</v>
          </cell>
          <cell r="AC32">
            <v>816.31400000000008</v>
          </cell>
          <cell r="AD32">
            <v>816.31400000000008</v>
          </cell>
          <cell r="AE32">
            <v>816.31400000000008</v>
          </cell>
          <cell r="AF32">
            <v>816.31400000000008</v>
          </cell>
          <cell r="AG32">
            <v>816.31400000000008</v>
          </cell>
          <cell r="AH32">
            <v>816.31400000000008</v>
          </cell>
          <cell r="AI32">
            <v>816.31400000000008</v>
          </cell>
        </row>
        <row r="33">
          <cell r="A33" t="str">
            <v>Average Annual Stock Price</v>
          </cell>
          <cell r="O33">
            <v>6.19921875</v>
          </cell>
          <cell r="P33">
            <v>8.7890625</v>
          </cell>
          <cell r="Q33">
            <v>15.5234375</v>
          </cell>
          <cell r="R33">
            <v>25.734375</v>
          </cell>
          <cell r="S33">
            <v>35.9375</v>
          </cell>
          <cell r="T33">
            <v>57.515625</v>
          </cell>
          <cell r="U33">
            <v>60.06</v>
          </cell>
          <cell r="V33">
            <v>62.629999999999995</v>
          </cell>
          <cell r="W33">
            <v>54.129999999999995</v>
          </cell>
          <cell r="X33">
            <v>45</v>
          </cell>
          <cell r="Y33">
            <v>55</v>
          </cell>
          <cell r="Z33">
            <v>71.748971193415642</v>
          </cell>
          <cell r="AA33">
            <v>87.139917695473258</v>
          </cell>
          <cell r="AB33">
            <v>104.11522633744856</v>
          </cell>
          <cell r="AC33">
            <v>121.76954732510289</v>
          </cell>
          <cell r="AD33">
            <v>136.25514403292181</v>
          </cell>
          <cell r="AE33">
            <v>151.41975308641977</v>
          </cell>
          <cell r="AF33">
            <v>167.26337448559673</v>
          </cell>
          <cell r="AG33">
            <v>183.78600823045269</v>
          </cell>
          <cell r="AH33">
            <v>201.66666666666671</v>
          </cell>
          <cell r="AI33">
            <v>220.67901234567907</v>
          </cell>
        </row>
        <row r="34">
          <cell r="A34" t="str">
            <v>Shares Outstanding</v>
          </cell>
          <cell r="O34">
            <v>294.33199999999999</v>
          </cell>
          <cell r="P34">
            <v>299.5</v>
          </cell>
          <cell r="Q34">
            <v>312.15600000000001</v>
          </cell>
          <cell r="R34">
            <v>325.26600000000002</v>
          </cell>
          <cell r="S34">
            <v>333.85599999999999</v>
          </cell>
          <cell r="T34">
            <v>338.82799999999997</v>
          </cell>
          <cell r="U34">
            <v>342.91824999999994</v>
          </cell>
          <cell r="V34">
            <v>344.81324999999998</v>
          </cell>
          <cell r="W34">
            <v>343.74800000000005</v>
          </cell>
          <cell r="X34">
            <v>344.65674999999999</v>
          </cell>
          <cell r="Y34">
            <v>346.51800000000003</v>
          </cell>
          <cell r="Z34">
            <v>333.43993436117614</v>
          </cell>
          <cell r="AA34">
            <v>314.17033851636972</v>
          </cell>
          <cell r="AB34">
            <v>305.91216318085549</v>
          </cell>
          <cell r="AC34">
            <v>297.05964946892175</v>
          </cell>
          <cell r="AD34">
            <v>288.13035520118262</v>
          </cell>
          <cell r="AE34">
            <v>278.92702932013123</v>
          </cell>
          <cell r="AF34">
            <v>269.80831011214366</v>
          </cell>
          <cell r="AG34">
            <v>260.64258719689843</v>
          </cell>
          <cell r="AH34">
            <v>251.47492197970041</v>
          </cell>
          <cell r="AI34">
            <v>242.41673196347816</v>
          </cell>
        </row>
        <row r="35">
          <cell r="A35" t="str">
            <v>Market Capitalization</v>
          </cell>
          <cell r="O35">
            <v>1824.6284531249999</v>
          </cell>
          <cell r="P35">
            <v>2632.32421875</v>
          </cell>
          <cell r="Q35">
            <v>4845.7341562500005</v>
          </cell>
          <cell r="R35">
            <v>8370.5172187500011</v>
          </cell>
          <cell r="S35">
            <v>11997.949999999999</v>
          </cell>
          <cell r="T35">
            <v>19487.9041875</v>
          </cell>
          <cell r="U35">
            <v>20595.670094999998</v>
          </cell>
          <cell r="V35">
            <v>21595.653847499998</v>
          </cell>
          <cell r="W35">
            <v>18607.079240000003</v>
          </cell>
          <cell r="X35">
            <v>15509.553749999999</v>
          </cell>
          <cell r="Y35">
            <v>19058.490000000002</v>
          </cell>
          <cell r="Z35">
            <v>23923.972245214431</v>
          </cell>
          <cell r="AA35">
            <v>27376.777440675429</v>
          </cell>
          <cell r="AB35">
            <v>31850.114108953268</v>
          </cell>
          <cell r="AC35">
            <v>36172.819044384341</v>
          </cell>
          <cell r="AD35">
            <v>39259.243048194061</v>
          </cell>
          <cell r="AE35">
            <v>42235.061908782838</v>
          </cell>
          <cell r="AF35">
            <v>45129.048413613498</v>
          </cell>
          <cell r="AG35">
            <v>47902.460675775663</v>
          </cell>
          <cell r="AH35">
            <v>50714.109265906263</v>
          </cell>
          <cell r="AI35">
            <v>53496.284985767568</v>
          </cell>
        </row>
        <row r="36">
          <cell r="A36" t="str">
            <v>Total Capital Outstanding</v>
          </cell>
          <cell r="O36">
            <v>2013.7524531249999</v>
          </cell>
          <cell r="P36">
            <v>2946.01821875</v>
          </cell>
          <cell r="Q36">
            <v>5157.9451562500008</v>
          </cell>
          <cell r="R36">
            <v>8682.9622187500008</v>
          </cell>
          <cell r="S36">
            <v>12589.531999999999</v>
          </cell>
          <cell r="T36">
            <v>20312.553187500002</v>
          </cell>
          <cell r="U36">
            <v>21707.508094999997</v>
          </cell>
          <cell r="V36">
            <v>23009.901847499998</v>
          </cell>
          <cell r="W36">
            <v>19695.581240000003</v>
          </cell>
          <cell r="X36">
            <v>16616.458749999998</v>
          </cell>
          <cell r="Y36">
            <v>20212.535000000003</v>
          </cell>
          <cell r="Z36">
            <v>24815.286245214429</v>
          </cell>
          <cell r="AA36">
            <v>28268.091440675427</v>
          </cell>
          <cell r="AB36">
            <v>32666.428108953267</v>
          </cell>
          <cell r="AC36">
            <v>36989.13304438434</v>
          </cell>
          <cell r="AD36">
            <v>40075.557048194059</v>
          </cell>
          <cell r="AE36">
            <v>43051.375908782837</v>
          </cell>
          <cell r="AF36">
            <v>45945.362413613497</v>
          </cell>
          <cell r="AG36">
            <v>48718.774675775661</v>
          </cell>
          <cell r="AH36">
            <v>51530.423265906262</v>
          </cell>
          <cell r="AI36">
            <v>54312.598985767567</v>
          </cell>
        </row>
        <row r="37">
          <cell r="A37" t="str">
            <v>[A] Debt/Capital Ratio (%)</v>
          </cell>
          <cell r="O37">
            <v>9.3916210856260847</v>
          </cell>
          <cell r="P37">
            <v>10.648067211651558</v>
          </cell>
          <cell r="Q37">
            <v>6.0530112388203037</v>
          </cell>
          <cell r="R37">
            <v>3.5983687608971255</v>
          </cell>
          <cell r="S37">
            <v>4.6989991367431294</v>
          </cell>
          <cell r="T37">
            <v>4.0597998311087498</v>
          </cell>
          <cell r="U37">
            <v>5.1219052649165899</v>
          </cell>
          <cell r="V37">
            <v>6.146258290769965</v>
          </cell>
          <cell r="W37">
            <v>5.5266305001923355</v>
          </cell>
          <cell r="X37">
            <v>6.6614975949673996</v>
          </cell>
          <cell r="Y37">
            <v>5.7095510286067528</v>
          </cell>
          <cell r="Z37">
            <v>3.591794151364617</v>
          </cell>
          <cell r="AA37">
            <v>3.1530745606598449</v>
          </cell>
          <cell r="AB37">
            <v>2.4989386573803682</v>
          </cell>
          <cell r="AC37">
            <v>2.2069022245546579</v>
          </cell>
          <cell r="AD37">
            <v>2.0369373756135625</v>
          </cell>
          <cell r="AE37">
            <v>1.8961391657483944</v>
          </cell>
          <cell r="AF37">
            <v>1.7767059766583282</v>
          </cell>
          <cell r="AG37">
            <v>1.6755634874493144</v>
          </cell>
          <cell r="AH37">
            <v>1.5841399085500867</v>
          </cell>
          <cell r="AI37">
            <v>1.5029919673221905</v>
          </cell>
        </row>
        <row r="38">
          <cell r="A38" t="str">
            <v>[C] Equity/Capital Ratio (%)</v>
          </cell>
          <cell r="O38">
            <v>90.608378914373915</v>
          </cell>
          <cell r="P38">
            <v>89.351932788348449</v>
          </cell>
          <cell r="Q38">
            <v>93.946988761179696</v>
          </cell>
          <cell r="R38">
            <v>96.401631239102869</v>
          </cell>
          <cell r="S38">
            <v>95.301000863256874</v>
          </cell>
          <cell r="T38">
            <v>95.940200168891252</v>
          </cell>
          <cell r="U38">
            <v>94.878094735083408</v>
          </cell>
          <cell r="V38">
            <v>93.853741709230036</v>
          </cell>
          <cell r="W38">
            <v>94.47336949980766</v>
          </cell>
          <cell r="X38">
            <v>93.3385024050326</v>
          </cell>
          <cell r="Y38">
            <v>94.290448971393246</v>
          </cell>
          <cell r="Z38">
            <v>96.40820584863539</v>
          </cell>
          <cell r="AA38">
            <v>96.846925439340154</v>
          </cell>
          <cell r="AB38">
            <v>97.501061342619636</v>
          </cell>
          <cell r="AC38">
            <v>97.793097775445347</v>
          </cell>
          <cell r="AD38">
            <v>97.963062624386438</v>
          </cell>
          <cell r="AE38">
            <v>98.103860834251606</v>
          </cell>
          <cell r="AF38">
            <v>98.223294023341666</v>
          </cell>
          <cell r="AG38">
            <v>98.32443651255069</v>
          </cell>
          <cell r="AH38">
            <v>98.415860091449915</v>
          </cell>
          <cell r="AI38">
            <v>98.497008032677812</v>
          </cell>
        </row>
        <row r="39">
          <cell r="A39" t="str">
            <v>Cost of Debt:</v>
          </cell>
        </row>
        <row r="40">
          <cell r="A40" t="str">
            <v xml:space="preserve">   Marginal Cost of Debt</v>
          </cell>
          <cell r="O40">
            <v>8</v>
          </cell>
          <cell r="P40">
            <v>8</v>
          </cell>
          <cell r="Q40">
            <v>8</v>
          </cell>
          <cell r="R40">
            <v>8</v>
          </cell>
          <cell r="S40">
            <v>8</v>
          </cell>
          <cell r="T40">
            <v>7.5</v>
          </cell>
          <cell r="U40">
            <v>7</v>
          </cell>
          <cell r="V40">
            <v>7.5</v>
          </cell>
          <cell r="W40">
            <v>8</v>
          </cell>
          <cell r="X40">
            <v>7.5</v>
          </cell>
          <cell r="Y40">
            <v>7</v>
          </cell>
          <cell r="Z40">
            <v>8</v>
          </cell>
          <cell r="AA40">
            <v>8.1999999999999993</v>
          </cell>
          <cell r="AB40">
            <v>8.3000000000000007</v>
          </cell>
          <cell r="AC40">
            <v>8.5</v>
          </cell>
          <cell r="AD40">
            <v>8.5</v>
          </cell>
          <cell r="AE40">
            <v>8.6</v>
          </cell>
          <cell r="AF40">
            <v>8.6999999999999993</v>
          </cell>
          <cell r="AG40">
            <v>8.7999999999999989</v>
          </cell>
          <cell r="AH40">
            <v>8.8999999999999986</v>
          </cell>
          <cell r="AI40">
            <v>8.9999999999999982</v>
          </cell>
        </row>
        <row r="41">
          <cell r="A41" t="str">
            <v>x Marginal Tax Rate (%)</v>
          </cell>
          <cell r="O41">
            <v>40.802907218342796</v>
          </cell>
          <cell r="P41">
            <v>40.134928865222633</v>
          </cell>
          <cell r="Q41">
            <v>39.904730827809779</v>
          </cell>
          <cell r="R41">
            <v>40.969827369035215</v>
          </cell>
          <cell r="S41">
            <v>38.638626772250973</v>
          </cell>
          <cell r="T41">
            <v>39.067614703514828</v>
          </cell>
          <cell r="U41">
            <v>38.463084982493648</v>
          </cell>
          <cell r="V41">
            <v>37.80006401365624</v>
          </cell>
          <cell r="W41">
            <v>37.798285780372623</v>
          </cell>
          <cell r="X41">
            <v>37.796388985166871</v>
          </cell>
          <cell r="Y41">
            <v>37.806487540471963</v>
          </cell>
          <cell r="Z41">
            <v>37.48997399258424</v>
          </cell>
          <cell r="AA41">
            <v>37.799999999999997</v>
          </cell>
          <cell r="AB41">
            <v>37.799999999999997</v>
          </cell>
          <cell r="AC41">
            <v>37.799999999999997</v>
          </cell>
          <cell r="AD41">
            <v>37.799999999999997</v>
          </cell>
          <cell r="AE41">
            <v>37.800000000000004</v>
          </cell>
          <cell r="AF41">
            <v>37.799999999999997</v>
          </cell>
          <cell r="AG41">
            <v>37.799999999999997</v>
          </cell>
          <cell r="AH41">
            <v>37.799999999999997</v>
          </cell>
          <cell r="AI41">
            <v>37.799999999999997</v>
          </cell>
        </row>
        <row r="42">
          <cell r="A42" t="str">
            <v>[B] Cost of Debt</v>
          </cell>
          <cell r="O42">
            <v>4.7357674225325761</v>
          </cell>
          <cell r="P42">
            <v>4.7892056907821896</v>
          </cell>
          <cell r="Q42">
            <v>4.8076215337752179</v>
          </cell>
          <cell r="R42">
            <v>4.7224138104771827</v>
          </cell>
          <cell r="S42">
            <v>4.9089098582199222</v>
          </cell>
          <cell r="T42">
            <v>4.5699288972363874</v>
          </cell>
          <cell r="U42">
            <v>4.3075840512254446</v>
          </cell>
          <cell r="V42">
            <v>4.6649951989757819</v>
          </cell>
          <cell r="W42">
            <v>4.9761371375701904</v>
          </cell>
          <cell r="X42">
            <v>4.6652708261124847</v>
          </cell>
          <cell r="Y42">
            <v>4.3535458721669622</v>
          </cell>
          <cell r="Z42">
            <v>5.0008020805932611</v>
          </cell>
          <cell r="AA42">
            <v>5.1003999999999996</v>
          </cell>
          <cell r="AB42">
            <v>5.1626000000000012</v>
          </cell>
          <cell r="AC42">
            <v>5.2870000000000008</v>
          </cell>
          <cell r="AD42">
            <v>5.2870000000000008</v>
          </cell>
          <cell r="AE42">
            <v>5.3491999999999997</v>
          </cell>
          <cell r="AF42">
            <v>5.4113999999999995</v>
          </cell>
          <cell r="AG42">
            <v>5.4736000000000002</v>
          </cell>
          <cell r="AH42">
            <v>5.5357999999999992</v>
          </cell>
          <cell r="AI42">
            <v>5.5979999999999999</v>
          </cell>
        </row>
        <row r="43">
          <cell r="A43" t="str">
            <v>Cost of Equity:</v>
          </cell>
        </row>
        <row r="44">
          <cell r="A44" t="str">
            <v xml:space="preserve">   Beta</v>
          </cell>
          <cell r="O44">
            <v>1.1000000000000001</v>
          </cell>
          <cell r="P44">
            <v>1.1000000000000001</v>
          </cell>
          <cell r="Q44">
            <v>1.1000000000000001</v>
          </cell>
          <cell r="R44">
            <v>1.1000000000000001</v>
          </cell>
          <cell r="S44">
            <v>1.1000000000000001</v>
          </cell>
          <cell r="T44">
            <v>1.1000000000000001</v>
          </cell>
          <cell r="U44">
            <v>1.1000000000000001</v>
          </cell>
          <cell r="V44">
            <v>1.1000000000000001</v>
          </cell>
          <cell r="W44">
            <v>1.1000000000000001</v>
          </cell>
          <cell r="X44">
            <v>1.1000000000000001</v>
          </cell>
          <cell r="Y44">
            <v>1.1000000000000001</v>
          </cell>
          <cell r="Z44">
            <v>1.1000000000000001</v>
          </cell>
          <cell r="AA44">
            <v>1.1000000000000001</v>
          </cell>
          <cell r="AB44">
            <v>1.1000000000000001</v>
          </cell>
          <cell r="AC44">
            <v>1.1000000000000001</v>
          </cell>
          <cell r="AD44">
            <v>1.1000000000000001</v>
          </cell>
          <cell r="AE44">
            <v>1.1000000000000001</v>
          </cell>
          <cell r="AF44">
            <v>1.1000000000000001</v>
          </cell>
          <cell r="AG44">
            <v>1.1000000000000001</v>
          </cell>
          <cell r="AH44">
            <v>1.1000000000000001</v>
          </cell>
          <cell r="AI44">
            <v>1.1000000000000001</v>
          </cell>
        </row>
        <row r="45">
          <cell r="A45" t="str">
            <v>x Equity Risk Premium (%)</v>
          </cell>
          <cell r="O45">
            <v>4</v>
          </cell>
          <cell r="P45">
            <v>4</v>
          </cell>
          <cell r="Q45">
            <v>4</v>
          </cell>
          <cell r="R45">
            <v>4</v>
          </cell>
          <cell r="S45">
            <v>4</v>
          </cell>
          <cell r="T45">
            <v>4</v>
          </cell>
          <cell r="U45">
            <v>4</v>
          </cell>
          <cell r="V45">
            <v>4</v>
          </cell>
          <cell r="W45">
            <v>4</v>
          </cell>
          <cell r="X45">
            <v>4</v>
          </cell>
          <cell r="Y45">
            <v>4</v>
          </cell>
          <cell r="Z45">
            <v>4</v>
          </cell>
          <cell r="AA45">
            <v>4</v>
          </cell>
          <cell r="AB45">
            <v>4</v>
          </cell>
          <cell r="AC45">
            <v>4</v>
          </cell>
          <cell r="AD45">
            <v>4</v>
          </cell>
          <cell r="AE45">
            <v>4</v>
          </cell>
          <cell r="AF45">
            <v>4.5</v>
          </cell>
          <cell r="AG45">
            <v>4.5</v>
          </cell>
          <cell r="AH45">
            <v>4.5</v>
          </cell>
          <cell r="AI45">
            <v>4.5</v>
          </cell>
        </row>
        <row r="46">
          <cell r="A46" t="str">
            <v>+ Risk Free Rate (%)</v>
          </cell>
          <cell r="O46">
            <v>6.2880000000000003</v>
          </cell>
          <cell r="P46">
            <v>6.5449999999999999</v>
          </cell>
          <cell r="Q46">
            <v>6.3220000000000001</v>
          </cell>
          <cell r="R46">
            <v>5.0449999999999999</v>
          </cell>
          <cell r="S46">
            <v>5.8470000000000004</v>
          </cell>
          <cell r="T46">
            <v>5.74</v>
          </cell>
          <cell r="U46">
            <v>5</v>
          </cell>
          <cell r="V46">
            <v>4.4000000000000004</v>
          </cell>
          <cell r="W46">
            <v>4</v>
          </cell>
          <cell r="X46">
            <v>4.5</v>
          </cell>
          <cell r="Y46">
            <v>4.7</v>
          </cell>
          <cell r="Z46">
            <v>5</v>
          </cell>
          <cell r="AA46">
            <v>5.2</v>
          </cell>
          <cell r="AB46">
            <v>5.3</v>
          </cell>
          <cell r="AC46">
            <v>5.5</v>
          </cell>
          <cell r="AD46">
            <v>5.5</v>
          </cell>
          <cell r="AE46">
            <v>5.6</v>
          </cell>
          <cell r="AF46">
            <v>5.6999999999999993</v>
          </cell>
          <cell r="AG46">
            <v>5.7999999999999989</v>
          </cell>
          <cell r="AH46">
            <v>5.8999999999999986</v>
          </cell>
          <cell r="AI46">
            <v>5.9999999999999982</v>
          </cell>
        </row>
        <row r="47">
          <cell r="A47" t="str">
            <v>[D] Cost of Equity (%)</v>
          </cell>
          <cell r="O47">
            <v>10.688000000000001</v>
          </cell>
          <cell r="P47">
            <v>10.945</v>
          </cell>
          <cell r="Q47">
            <v>10.722000000000001</v>
          </cell>
          <cell r="R47">
            <v>9.4450000000000003</v>
          </cell>
          <cell r="S47">
            <v>10.247</v>
          </cell>
          <cell r="T47">
            <v>10.14</v>
          </cell>
          <cell r="U47">
            <v>9.4</v>
          </cell>
          <cell r="V47">
            <v>8.8000000000000007</v>
          </cell>
          <cell r="W47">
            <v>8.4</v>
          </cell>
          <cell r="X47">
            <v>8.9</v>
          </cell>
          <cell r="Y47">
            <v>9.1000000000000014</v>
          </cell>
          <cell r="Z47">
            <v>9.4</v>
          </cell>
          <cell r="AA47">
            <v>9.6000000000000014</v>
          </cell>
          <cell r="AB47">
            <v>9.6999999999999993</v>
          </cell>
          <cell r="AC47">
            <v>9.9</v>
          </cell>
          <cell r="AD47">
            <v>9.9</v>
          </cell>
          <cell r="AE47">
            <v>10</v>
          </cell>
          <cell r="AF47">
            <v>10.649999999999999</v>
          </cell>
          <cell r="AG47">
            <v>10.75</v>
          </cell>
          <cell r="AH47">
            <v>10.849999999999998</v>
          </cell>
          <cell r="AI47">
            <v>10.95</v>
          </cell>
        </row>
        <row r="48">
          <cell r="A48" t="str">
            <v>[A x B] + [C x D] = WACC:</v>
          </cell>
          <cell r="O48">
            <v>10.128988870189065</v>
          </cell>
          <cell r="P48">
            <v>10.289526884543466</v>
          </cell>
          <cell r="Q48">
            <v>10.364002006733045</v>
          </cell>
          <cell r="R48">
            <v>9.2750639338497685</v>
          </cell>
          <cell r="S48">
            <v>9.9961631903191837</v>
          </cell>
          <cell r="T48">
            <v>9.9138662627773648</v>
          </cell>
          <cell r="U48">
            <v>9.1391712794082629</v>
          </cell>
          <cell r="V48">
            <v>8.5458519245933129</v>
          </cell>
          <cell r="W48">
            <v>8.2107757507601953</v>
          </cell>
          <cell r="X48">
            <v>8.6179036179281017</v>
          </cell>
          <cell r="Y48">
            <v>8.828998779521962</v>
          </cell>
          <cell r="Z48">
            <v>9.2419898664237952</v>
          </cell>
          <cell r="AA48">
            <v>9.4581242570685511</v>
          </cell>
          <cell r="AB48">
            <v>9.5866131573600235</v>
          </cell>
          <cell r="AC48">
            <v>9.7981956003812947</v>
          </cell>
          <cell r="AD48">
            <v>9.8060360788629453</v>
          </cell>
          <cell r="AE48">
            <v>9.9118143596793722</v>
          </cell>
          <cell r="AF48">
            <v>10.556925480706774</v>
          </cell>
          <cell r="AG48">
            <v>10.661590568148226</v>
          </cell>
          <cell r="AH48">
            <v>10.765815636979831</v>
          </cell>
          <cell r="AI48">
            <v>10.869559869908917</v>
          </cell>
        </row>
        <row r="50">
          <cell r="A50" t="str">
            <v>REPORTED (ROIC - WACC)</v>
          </cell>
          <cell r="O50">
            <v>5.8224840997638552</v>
          </cell>
          <cell r="P50">
            <v>10.074312914770051</v>
          </cell>
          <cell r="Q50">
            <v>8.5524441966667339</v>
          </cell>
          <cell r="R50">
            <v>6.333094867095328</v>
          </cell>
          <cell r="S50">
            <v>8.6976466404967674</v>
          </cell>
          <cell r="T50">
            <v>7.161063085279963</v>
          </cell>
          <cell r="U50">
            <v>8.8106635140399305</v>
          </cell>
          <cell r="V50">
            <v>10.303423404353937</v>
          </cell>
          <cell r="W50">
            <v>6.1821291702260712</v>
          </cell>
          <cell r="X50">
            <v>5.9670730919334591</v>
          </cell>
          <cell r="Y50">
            <v>5.9847711191177826</v>
          </cell>
          <cell r="Z50">
            <v>6.5610976257567781</v>
          </cell>
          <cell r="AA50">
            <v>13.046376733243189</v>
          </cell>
          <cell r="AB50">
            <v>13.777989573446977</v>
          </cell>
          <cell r="AC50">
            <v>14.135158971712368</v>
          </cell>
          <cell r="AD50">
            <v>13.42010450320867</v>
          </cell>
          <cell r="AE50">
            <v>12.635845941855251</v>
          </cell>
          <cell r="AF50">
            <v>11.280608870396421</v>
          </cell>
          <cell r="AG50">
            <v>10.51396479933876</v>
          </cell>
          <cell r="AH50">
            <v>9.8053360857004392</v>
          </cell>
          <cell r="AI50">
            <v>9.1532125799340509</v>
          </cell>
        </row>
        <row r="52">
          <cell r="A52" t="str">
            <v>ADJUSTED ROIC - OPERATING LEASES AND GOODWILL AMORTIZATION</v>
          </cell>
        </row>
        <row r="53">
          <cell r="A53" t="str">
            <v>Reported EBIT</v>
          </cell>
          <cell r="O53">
            <v>149.93100000000015</v>
          </cell>
          <cell r="P53">
            <v>189.26799999999992</v>
          </cell>
          <cell r="Q53">
            <v>258.82599999999991</v>
          </cell>
          <cell r="R53">
            <v>322.7999999999995</v>
          </cell>
          <cell r="S53">
            <v>448.94299999999959</v>
          </cell>
          <cell r="T53">
            <v>634.93300000000102</v>
          </cell>
          <cell r="U53">
            <v>840.96800000000042</v>
          </cell>
          <cell r="V53">
            <v>1077.6660000000002</v>
          </cell>
          <cell r="W53">
            <v>1006.8019999999988</v>
          </cell>
          <cell r="X53">
            <v>1193.4550000000011</v>
          </cell>
          <cell r="Y53">
            <v>1413.6999999999985</v>
          </cell>
          <cell r="Z53">
            <v>1725.2856217929707</v>
          </cell>
          <cell r="AA53">
            <v>1974.8756841554095</v>
          </cell>
          <cell r="AB53">
            <v>2285.1173521012452</v>
          </cell>
          <cell r="AC53">
            <v>2589.6116377844542</v>
          </cell>
          <cell r="AD53">
            <v>2804.3298482756736</v>
          </cell>
          <cell r="AE53">
            <v>3017.6957745184318</v>
          </cell>
          <cell r="AF53">
            <v>3221.2211916262959</v>
          </cell>
          <cell r="AG53">
            <v>3420.3923367261818</v>
          </cell>
          <cell r="AH53">
            <v>3618.1821243779286</v>
          </cell>
          <cell r="AI53">
            <v>3814.5629274325765</v>
          </cell>
        </row>
        <row r="54">
          <cell r="A54" t="str">
            <v>Operating Lease Adjustments:</v>
          </cell>
        </row>
        <row r="55">
          <cell r="A55" t="str">
            <v xml:space="preserve">   Old Rent Expense Reversed</v>
          </cell>
          <cell r="O55">
            <v>0</v>
          </cell>
          <cell r="P55">
            <v>56.673000000000002</v>
          </cell>
          <cell r="Q55">
            <v>77.7</v>
          </cell>
          <cell r="R55">
            <v>94.143000000000001</v>
          </cell>
          <cell r="S55">
            <v>128.886</v>
          </cell>
          <cell r="T55">
            <v>162.517</v>
          </cell>
          <cell r="U55">
            <v>186.09</v>
          </cell>
          <cell r="V55">
            <v>232.41900000000001</v>
          </cell>
          <cell r="W55">
            <v>286.452</v>
          </cell>
          <cell r="X55">
            <v>314.572</v>
          </cell>
          <cell r="Y55">
            <v>340.54</v>
          </cell>
          <cell r="Z55">
            <v>405.24259999999998</v>
          </cell>
          <cell r="AA55">
            <v>482.23869399999995</v>
          </cell>
          <cell r="AB55">
            <v>573.86404585999992</v>
          </cell>
          <cell r="AC55">
            <v>573.86404585999992</v>
          </cell>
          <cell r="AD55">
            <v>574.04604303200006</v>
          </cell>
          <cell r="AE55">
            <v>565.53599008200001</v>
          </cell>
          <cell r="AF55">
            <v>558.97398093599986</v>
          </cell>
          <cell r="AG55">
            <v>555.50086823699985</v>
          </cell>
          <cell r="AH55">
            <v>539.60038197659992</v>
          </cell>
          <cell r="AI55">
            <v>540.19593953656079</v>
          </cell>
        </row>
        <row r="56">
          <cell r="A56" t="str">
            <v>+ Depreciation Exp if Were Owned</v>
          </cell>
          <cell r="O56">
            <v>0</v>
          </cell>
          <cell r="P56">
            <v>-43.042791539534356</v>
          </cell>
          <cell r="Q56">
            <v>-51.061110072431063</v>
          </cell>
          <cell r="R56">
            <v>-60.380396599478246</v>
          </cell>
          <cell r="S56">
            <v>-82.267088098605569</v>
          </cell>
          <cell r="T56">
            <v>-95.370905372869402</v>
          </cell>
          <cell r="U56">
            <v>-117.50593192787031</v>
          </cell>
          <cell r="V56">
            <v>-148.06895783237979</v>
          </cell>
          <cell r="W56">
            <v>-169.18127845946719</v>
          </cell>
          <cell r="X56">
            <v>-208.48935720519728</v>
          </cell>
          <cell r="Y56">
            <v>-221.60148130698576</v>
          </cell>
          <cell r="Z56">
            <v>-254.70497085870846</v>
          </cell>
          <cell r="AA56">
            <v>-294.47734081994173</v>
          </cell>
          <cell r="AB56">
            <v>-342.14017238113058</v>
          </cell>
          <cell r="AC56">
            <v>-341.30654000568023</v>
          </cell>
          <cell r="AD56">
            <v>-340.57294351528401</v>
          </cell>
          <cell r="AE56">
            <v>-339.92737860373529</v>
          </cell>
          <cell r="AF56">
            <v>-339.3592814815724</v>
          </cell>
          <cell r="AG56">
            <v>-338.85935601406908</v>
          </cell>
          <cell r="AH56">
            <v>-338.41942160266615</v>
          </cell>
          <cell r="AI56">
            <v>-338.03227932063157</v>
          </cell>
        </row>
        <row r="57">
          <cell r="A57" t="str">
            <v>Total Lease Adjustment</v>
          </cell>
          <cell r="O57">
            <v>0</v>
          </cell>
          <cell r="P57">
            <v>13.630208460465646</v>
          </cell>
          <cell r="Q57">
            <v>26.63888992756894</v>
          </cell>
          <cell r="R57">
            <v>33.762603400521755</v>
          </cell>
          <cell r="S57">
            <v>46.618911901394426</v>
          </cell>
          <cell r="T57">
            <v>67.146094627130594</v>
          </cell>
          <cell r="U57">
            <v>68.584068072129696</v>
          </cell>
          <cell r="V57">
            <v>84.350042167620217</v>
          </cell>
          <cell r="W57">
            <v>117.2707215405328</v>
          </cell>
          <cell r="X57">
            <v>106.08264279480272</v>
          </cell>
          <cell r="Y57">
            <v>118.93851869301426</v>
          </cell>
          <cell r="Z57">
            <v>150.53762914129152</v>
          </cell>
          <cell r="AA57">
            <v>187.76135318005822</v>
          </cell>
          <cell r="AB57">
            <v>231.72387347886934</v>
          </cell>
          <cell r="AC57">
            <v>232.55750585431969</v>
          </cell>
          <cell r="AD57">
            <v>233.47309951671605</v>
          </cell>
          <cell r="AE57">
            <v>225.60861147826472</v>
          </cell>
          <cell r="AF57">
            <v>219.61469945442747</v>
          </cell>
          <cell r="AG57">
            <v>216.64151222293077</v>
          </cell>
          <cell r="AH57">
            <v>201.18096037393377</v>
          </cell>
          <cell r="AI57">
            <v>202.16366021592921</v>
          </cell>
        </row>
        <row r="58">
          <cell r="A58" t="str">
            <v>Tax Adjustments:</v>
          </cell>
        </row>
        <row r="59">
          <cell r="A59" t="str">
            <v xml:space="preserve">   Taxes</v>
          </cell>
          <cell r="O59">
            <v>-42.955150000000053</v>
          </cell>
          <cell r="P59">
            <v>-60.076099999999961</v>
          </cell>
          <cell r="Q59">
            <v>-82.26889999999996</v>
          </cell>
          <cell r="R59">
            <v>-105.58939999999983</v>
          </cell>
          <cell r="S59">
            <v>-147.62299999999985</v>
          </cell>
          <cell r="T59">
            <v>-208.71200000000036</v>
          </cell>
          <cell r="U59">
            <v>-276.79995000000014</v>
          </cell>
          <cell r="V59">
            <v>-357.57995000000005</v>
          </cell>
          <cell r="W59">
            <v>-326.84259999999955</v>
          </cell>
          <cell r="X59">
            <v>-395.84440000000035</v>
          </cell>
          <cell r="Y59">
            <v>-473.78723472668753</v>
          </cell>
          <cell r="Z59">
            <v>-592.44799473974786</v>
          </cell>
          <cell r="AA59">
            <v>-680.73669611035155</v>
          </cell>
          <cell r="AB59">
            <v>-791.45748798487227</v>
          </cell>
          <cell r="AC59">
            <v>-899.23375767712037</v>
          </cell>
          <cell r="AD59">
            <v>-975.34941667717226</v>
          </cell>
          <cell r="AE59">
            <v>-1050.2433149496376</v>
          </cell>
          <cell r="AF59">
            <v>-1121.6930350248899</v>
          </cell>
          <cell r="AG59">
            <v>-1191.6187598973502</v>
          </cell>
          <cell r="AH59">
            <v>-1261.0610096629614</v>
          </cell>
          <cell r="AI59">
            <v>-1330.0076210695884</v>
          </cell>
        </row>
        <row r="60">
          <cell r="A60" t="str">
            <v>+ Tax Shield on Interest Expense</v>
          </cell>
          <cell r="O60">
            <v>-4.6024999999999991</v>
          </cell>
          <cell r="P60">
            <v>-6.1677000000000008</v>
          </cell>
          <cell r="Q60">
            <v>-8.3201999999999998</v>
          </cell>
          <cell r="R60">
            <v>-7.3905999999999992</v>
          </cell>
          <cell r="S60">
            <v>-9.5070499999999996</v>
          </cell>
          <cell r="T60">
            <v>-13.51455</v>
          </cell>
          <cell r="U60">
            <v>-17.53885</v>
          </cell>
          <cell r="V60">
            <v>-19.603149999999999</v>
          </cell>
          <cell r="W60">
            <v>-25.538099999999996</v>
          </cell>
          <cell r="X60">
            <v>-21.864849999999997</v>
          </cell>
          <cell r="Y60">
            <v>-24.604999999999997</v>
          </cell>
          <cell r="Z60">
            <v>-11.401972887791802</v>
          </cell>
          <cell r="AA60">
            <v>-10.469793344041802</v>
          </cell>
          <cell r="AB60">
            <v>-8.3335852505634751</v>
          </cell>
          <cell r="AC60">
            <v>-7.1303155474384745</v>
          </cell>
          <cell r="AD60">
            <v>-6.1660302193134751</v>
          </cell>
          <cell r="AE60">
            <v>-5.9502061318134754</v>
          </cell>
          <cell r="AF60">
            <v>-5.7343820443134756</v>
          </cell>
          <cell r="AG60">
            <v>-5.5185579568134751</v>
          </cell>
          <cell r="AH60">
            <v>-5.3027338693134753</v>
          </cell>
          <cell r="AI60">
            <v>-5.0894035318134758</v>
          </cell>
        </row>
        <row r="61">
          <cell r="A61" t="str">
            <v>+ Tax On Operating Lease Adjustments</v>
          </cell>
          <cell r="O61">
            <v>0</v>
          </cell>
          <cell r="P61">
            <v>-4.7705729611629755</v>
          </cell>
          <cell r="Q61">
            <v>-9.3236114746491285</v>
          </cell>
          <cell r="R61">
            <v>-11.816911190182614</v>
          </cell>
          <cell r="S61">
            <v>-16.316619165488049</v>
          </cell>
          <cell r="T61">
            <v>-23.501133119495705</v>
          </cell>
          <cell r="U61">
            <v>-24.004423825245393</v>
          </cell>
          <cell r="V61">
            <v>-29.522514758667075</v>
          </cell>
          <cell r="W61">
            <v>-41.044752539186476</v>
          </cell>
          <cell r="X61">
            <v>-37.128924978180947</v>
          </cell>
          <cell r="Y61">
            <v>-41.628481542554987</v>
          </cell>
          <cell r="Z61">
            <v>-52.688170199452031</v>
          </cell>
          <cell r="AA61">
            <v>-65.716473613020369</v>
          </cell>
          <cell r="AB61">
            <v>-81.103355717604259</v>
          </cell>
          <cell r="AC61">
            <v>-81.39512704901189</v>
          </cell>
          <cell r="AD61">
            <v>-81.715584830850617</v>
          </cell>
          <cell r="AE61">
            <v>-78.963014017392652</v>
          </cell>
          <cell r="AF61">
            <v>-76.86514480904961</v>
          </cell>
          <cell r="AG61">
            <v>-75.824529278025764</v>
          </cell>
          <cell r="AH61">
            <v>-70.413336130876814</v>
          </cell>
          <cell r="AI61">
            <v>-70.757281075575222</v>
          </cell>
        </row>
        <row r="62">
          <cell r="A62" t="str">
            <v>Adjusted Taxes</v>
          </cell>
          <cell r="O62">
            <v>-47.557650000000052</v>
          </cell>
          <cell r="P62">
            <v>-71.014372961162934</v>
          </cell>
          <cell r="Q62">
            <v>-99.912711474649086</v>
          </cell>
          <cell r="R62">
            <v>-124.79691119018243</v>
          </cell>
          <cell r="S62">
            <v>-173.44666916548789</v>
          </cell>
          <cell r="T62">
            <v>-245.72768311949608</v>
          </cell>
          <cell r="U62">
            <v>-318.34322382524556</v>
          </cell>
          <cell r="V62">
            <v>-406.70561475866714</v>
          </cell>
          <cell r="W62">
            <v>-393.42545253918604</v>
          </cell>
          <cell r="X62">
            <v>-454.83817497818131</v>
          </cell>
          <cell r="Y62">
            <v>-540.02071626924248</v>
          </cell>
          <cell r="Z62">
            <v>-656.53813782699171</v>
          </cell>
          <cell r="AA62">
            <v>-756.92296306741378</v>
          </cell>
          <cell r="AB62">
            <v>-880.89442895304001</v>
          </cell>
          <cell r="AC62">
            <v>-987.75920027357074</v>
          </cell>
          <cell r="AD62">
            <v>-1063.2310317273364</v>
          </cell>
          <cell r="AE62">
            <v>-1135.1565350988437</v>
          </cell>
          <cell r="AF62">
            <v>-1204.2925618782529</v>
          </cell>
          <cell r="AG62">
            <v>-1272.9618471321894</v>
          </cell>
          <cell r="AH62">
            <v>-1336.7770796631517</v>
          </cell>
          <cell r="AI62">
            <v>-1405.8543056769772</v>
          </cell>
        </row>
        <row r="63">
          <cell r="A63" t="str">
            <v>Addback: Goodwill Expense</v>
          </cell>
          <cell r="O63">
            <v>5.2</v>
          </cell>
          <cell r="P63">
            <v>5.2</v>
          </cell>
          <cell r="Q63">
            <v>5.2</v>
          </cell>
          <cell r="R63">
            <v>5.2</v>
          </cell>
          <cell r="S63">
            <v>5.2</v>
          </cell>
          <cell r="T63">
            <v>5.2</v>
          </cell>
          <cell r="U63">
            <v>0.2</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row>
        <row r="64">
          <cell r="A64" t="str">
            <v>Total Adjustments to EBIT</v>
          </cell>
          <cell r="O64">
            <v>-42.357650000000049</v>
          </cell>
          <cell r="P64">
            <v>-52.184164500697285</v>
          </cell>
          <cell r="Q64">
            <v>-68.073821547080144</v>
          </cell>
          <cell r="R64">
            <v>-85.83430778966067</v>
          </cell>
          <cell r="S64">
            <v>-121.62775726409346</v>
          </cell>
          <cell r="T64">
            <v>-173.38158849236549</v>
          </cell>
          <cell r="U64">
            <v>-249.55915575311587</v>
          </cell>
          <cell r="V64">
            <v>-322.35557259104689</v>
          </cell>
          <cell r="W64">
            <v>-276.15473099865324</v>
          </cell>
          <cell r="X64">
            <v>-348.75553218337859</v>
          </cell>
          <cell r="Y64">
            <v>-421.08219757622822</v>
          </cell>
          <cell r="Z64">
            <v>-506.0005086857002</v>
          </cell>
          <cell r="AA64">
            <v>-569.16160988735555</v>
          </cell>
          <cell r="AB64">
            <v>-649.17055547417067</v>
          </cell>
          <cell r="AC64">
            <v>-755.201694419251</v>
          </cell>
          <cell r="AD64">
            <v>-829.75793221062031</v>
          </cell>
          <cell r="AE64">
            <v>-909.54792362057901</v>
          </cell>
          <cell r="AF64">
            <v>-984.67786242382545</v>
          </cell>
          <cell r="AG64">
            <v>-1056.3203349092587</v>
          </cell>
          <cell r="AH64">
            <v>-1135.5961192892178</v>
          </cell>
          <cell r="AI64">
            <v>-1203.690645461048</v>
          </cell>
        </row>
        <row r="65">
          <cell r="A65" t="str">
            <v>ADJUSTED NOPLess Adjusted Taxes (NOPLAT)</v>
          </cell>
          <cell r="O65">
            <v>107.5733500000001</v>
          </cell>
          <cell r="P65">
            <v>137.08383549930264</v>
          </cell>
          <cell r="Q65">
            <v>190.75217845291976</v>
          </cell>
          <cell r="R65">
            <v>236.96569221033883</v>
          </cell>
          <cell r="S65">
            <v>327.31524273590611</v>
          </cell>
          <cell r="T65">
            <v>461.55141150763552</v>
          </cell>
          <cell r="U65">
            <v>591.40884424688454</v>
          </cell>
          <cell r="V65">
            <v>755.31042740895327</v>
          </cell>
          <cell r="W65">
            <v>730.64726900134553</v>
          </cell>
          <cell r="X65">
            <v>844.69946781662247</v>
          </cell>
          <cell r="Y65">
            <v>992.61780242377017</v>
          </cell>
          <cell r="Z65">
            <v>1219.2851131072705</v>
          </cell>
          <cell r="AA65">
            <v>1405.714074268054</v>
          </cell>
          <cell r="AB65">
            <v>1635.9467966270745</v>
          </cell>
          <cell r="AC65">
            <v>1834.4099433652032</v>
          </cell>
          <cell r="AD65">
            <v>1974.5719160650533</v>
          </cell>
          <cell r="AE65">
            <v>2108.1478508978525</v>
          </cell>
          <cell r="AF65">
            <v>2236.5433292024704</v>
          </cell>
          <cell r="AG65">
            <v>2364.0720018169231</v>
          </cell>
          <cell r="AH65">
            <v>2482.5860050887109</v>
          </cell>
          <cell r="AI65">
            <v>2610.8722819715285</v>
          </cell>
        </row>
        <row r="67">
          <cell r="A67" t="str">
            <v>Reported Net Operating Assets</v>
          </cell>
          <cell r="O67">
            <v>556.40499999999997</v>
          </cell>
          <cell r="P67">
            <v>822.25900000000001</v>
          </cell>
          <cell r="Q67">
            <v>1220.8319999999999</v>
          </cell>
          <cell r="R67">
            <v>1473.6299999999997</v>
          </cell>
          <cell r="S67">
            <v>2265.777</v>
          </cell>
          <cell r="T67">
            <v>2883.067</v>
          </cell>
          <cell r="U67">
            <v>3556.1450000000009</v>
          </cell>
          <cell r="V67">
            <v>4351.0889999999999</v>
          </cell>
          <cell r="W67">
            <v>5089.978000000001</v>
          </cell>
          <cell r="X67">
            <v>5935.2190000000001</v>
          </cell>
          <cell r="Y67">
            <v>6824.4669999999996</v>
          </cell>
          <cell r="Z67">
            <v>5458.3422048481898</v>
          </cell>
          <cell r="AA67">
            <v>6083.3176124706224</v>
          </cell>
          <cell r="AB67">
            <v>6730.0989247034122</v>
          </cell>
          <cell r="AC67">
            <v>7510.0430890093667</v>
          </cell>
          <cell r="AD67">
            <v>8324.6188147632893</v>
          </cell>
          <cell r="AE67">
            <v>9175.026580280286</v>
          </cell>
          <cell r="AF67">
            <v>10046.886594106669</v>
          </cell>
          <cell r="AG67">
            <v>10940.122904649146</v>
          </cell>
          <cell r="AH67">
            <v>11849.798257491911</v>
          </cell>
          <cell r="AI67">
            <v>12770.876653130825</v>
          </cell>
        </row>
        <row r="68">
          <cell r="A68" t="str">
            <v>Addback: Accumulated Charges/(Gains)</v>
          </cell>
          <cell r="O68">
            <v>-14.052</v>
          </cell>
          <cell r="P68">
            <v>-14.052</v>
          </cell>
          <cell r="Q68">
            <v>-14.052</v>
          </cell>
          <cell r="R68">
            <v>-14.052</v>
          </cell>
          <cell r="S68">
            <v>-14.052</v>
          </cell>
          <cell r="T68">
            <v>-14.052</v>
          </cell>
          <cell r="U68">
            <v>-14.052</v>
          </cell>
          <cell r="V68">
            <v>-14.052</v>
          </cell>
          <cell r="W68">
            <v>-14.052</v>
          </cell>
          <cell r="X68">
            <v>-14.052</v>
          </cell>
          <cell r="Y68">
            <v>-3.7741864951768473</v>
          </cell>
          <cell r="Z68">
            <v>-3.7741864951768473</v>
          </cell>
          <cell r="AA68">
            <v>-3.7741864951768473</v>
          </cell>
          <cell r="AB68">
            <v>-3.7741864951768473</v>
          </cell>
          <cell r="AC68">
            <v>-3.7741864951768473</v>
          </cell>
          <cell r="AD68">
            <v>-3.7741864951768473</v>
          </cell>
          <cell r="AE68">
            <v>-3.7741864951768473</v>
          </cell>
          <cell r="AF68">
            <v>-3.7741864951768473</v>
          </cell>
          <cell r="AG68">
            <v>-3.7741864951768473</v>
          </cell>
          <cell r="AH68">
            <v>-3.7741864951768473</v>
          </cell>
          <cell r="AI68">
            <v>-3.7741864951768473</v>
          </cell>
        </row>
        <row r="69">
          <cell r="A69" t="str">
            <v>Addback: Capitalized Leases</v>
          </cell>
          <cell r="O69">
            <v>274.52370541508816</v>
          </cell>
          <cell r="P69">
            <v>448.12111595883397</v>
          </cell>
          <cell r="Q69">
            <v>634.73225198922592</v>
          </cell>
          <cell r="R69">
            <v>828.76675632219349</v>
          </cell>
          <cell r="S69">
            <v>1244.0991681506562</v>
          </cell>
          <cell r="T69">
            <v>1447.74849106242</v>
          </cell>
          <cell r="U69">
            <v>1794.8500397443527</v>
          </cell>
          <cell r="V69">
            <v>2266.2355130346646</v>
          </cell>
          <cell r="W69">
            <v>2532.2944327544283</v>
          </cell>
          <cell r="X69">
            <v>3427.7737850969011</v>
          </cell>
          <cell r="Y69">
            <v>3583.2299507508033</v>
          </cell>
          <cell r="Z69">
            <v>4221.0210381135457</v>
          </cell>
          <cell r="AA69">
            <v>4988.6140065771306</v>
          </cell>
          <cell r="AB69">
            <v>5910.3375022433956</v>
          </cell>
          <cell r="AC69">
            <v>5569.0309622377154</v>
          </cell>
          <cell r="AD69">
            <v>5228.458018722431</v>
          </cell>
          <cell r="AE69">
            <v>4888.5306401186954</v>
          </cell>
          <cell r="AF69">
            <v>4549.1713586371234</v>
          </cell>
          <cell r="AG69">
            <v>4210.3120026230545</v>
          </cell>
          <cell r="AH69">
            <v>3871.8925810203882</v>
          </cell>
          <cell r="AI69">
            <v>3533.8603016997567</v>
          </cell>
        </row>
        <row r="70">
          <cell r="A70" t="str">
            <v>Addback: Deferred Tax Adjustment</v>
          </cell>
          <cell r="O70">
            <v>-19.679711412286434</v>
          </cell>
          <cell r="P70">
            <v>-28.452355484067386</v>
          </cell>
          <cell r="Q70">
            <v>-38.540021735003883</v>
          </cell>
          <cell r="R70">
            <v>-51.633671744631542</v>
          </cell>
          <cell r="S70">
            <v>-69.203002573513274</v>
          </cell>
          <cell r="T70">
            <v>-84.809560587862123</v>
          </cell>
          <cell r="U70">
            <v>-106.18638053019826</v>
          </cell>
          <cell r="V70">
            <v>-132.95173071497663</v>
          </cell>
          <cell r="W70">
            <v>-157.34188985069827</v>
          </cell>
          <cell r="X70">
            <v>-205.45666670982098</v>
          </cell>
          <cell r="Y70">
            <v>-255.60160061871341</v>
          </cell>
          <cell r="Z70">
            <v>-312.08175983301902</v>
          </cell>
          <cell r="AA70">
            <v>-376.22727107421662</v>
          </cell>
          <cell r="AB70">
            <v>-449.6002409465238</v>
          </cell>
          <cell r="AC70">
            <v>-519.8946043448982</v>
          </cell>
          <cell r="AD70">
            <v>-588.58441749359406</v>
          </cell>
          <cell r="AE70">
            <v>-656.94988208879033</v>
          </cell>
          <cell r="AF70">
            <v>-724.33030232353212</v>
          </cell>
          <cell r="AG70">
            <v>-789.6205315970451</v>
          </cell>
          <cell r="AH70">
            <v>-857.07447984053192</v>
          </cell>
          <cell r="AI70">
            <v>-921.07819412371293</v>
          </cell>
        </row>
        <row r="71">
          <cell r="A71" t="str">
            <v>Addback: Accumulated Goodwill Amort</v>
          </cell>
          <cell r="O71">
            <v>5.2</v>
          </cell>
          <cell r="P71">
            <v>5.2</v>
          </cell>
          <cell r="Q71">
            <v>5.2</v>
          </cell>
          <cell r="R71">
            <v>5.2</v>
          </cell>
          <cell r="S71">
            <v>5.2</v>
          </cell>
          <cell r="T71">
            <v>5.2</v>
          </cell>
          <cell r="U71">
            <v>0.2</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row>
        <row r="72">
          <cell r="A72" t="str">
            <v>ADJUSTED NET OPERATING ASSETS</v>
          </cell>
          <cell r="O72">
            <v>822.0767054150881</v>
          </cell>
          <cell r="P72">
            <v>1261.528115958834</v>
          </cell>
          <cell r="Q72">
            <v>1846.7122519892259</v>
          </cell>
          <cell r="R72">
            <v>2293.5447563221933</v>
          </cell>
          <cell r="S72">
            <v>3501.0241681506559</v>
          </cell>
          <cell r="T72">
            <v>4321.96349106242</v>
          </cell>
          <cell r="U72">
            <v>5337.1430397443537</v>
          </cell>
          <cell r="V72">
            <v>6603.2725130346644</v>
          </cell>
          <cell r="W72">
            <v>7608.2204327544296</v>
          </cell>
          <cell r="X72">
            <v>9348.9407850969019</v>
          </cell>
          <cell r="Y72">
            <v>10403.922764255625</v>
          </cell>
          <cell r="Z72">
            <v>9675.5890564665588</v>
          </cell>
          <cell r="AA72">
            <v>11068.157432552576</v>
          </cell>
          <cell r="AB72">
            <v>12636.662240451631</v>
          </cell>
          <cell r="AC72">
            <v>13075.299864751905</v>
          </cell>
          <cell r="AD72">
            <v>13549.302646990544</v>
          </cell>
          <cell r="AE72">
            <v>14059.783033903805</v>
          </cell>
          <cell r="AF72">
            <v>14592.283766248616</v>
          </cell>
          <cell r="AG72">
            <v>15146.660720777025</v>
          </cell>
          <cell r="AH72">
            <v>15717.916652017124</v>
          </cell>
          <cell r="AI72">
            <v>16300.962768335405</v>
          </cell>
        </row>
        <row r="74">
          <cell r="A74" t="str">
            <v xml:space="preserve">   Reported Net (Debt) Cash</v>
          </cell>
          <cell r="O74">
            <v>-186.30500000000004</v>
          </cell>
          <cell r="P74">
            <v>-304.78800000000001</v>
          </cell>
          <cell r="Q74">
            <v>-265.97966600000007</v>
          </cell>
          <cell r="R74">
            <v>-311.27008000000058</v>
          </cell>
          <cell r="S74">
            <v>-579.98908000000085</v>
          </cell>
          <cell r="T74">
            <v>-681.03907999999967</v>
          </cell>
          <cell r="U74">
            <v>-764.75007999999912</v>
          </cell>
          <cell r="V74">
            <v>-837.18407999999908</v>
          </cell>
          <cell r="W74">
            <v>-941.45808</v>
          </cell>
          <cell r="X74">
            <v>-901.28819199999907</v>
          </cell>
          <cell r="Y74">
            <v>-867.03341239601104</v>
          </cell>
          <cell r="Z74">
            <v>-226.53801765503954</v>
          </cell>
          <cell r="AA74">
            <v>-141.74706818993081</v>
          </cell>
          <cell r="AB74">
            <v>-31.995358918176407</v>
          </cell>
          <cell r="AC74">
            <v>86.12732613349317</v>
          </cell>
          <cell r="AD74">
            <v>204.88684944585862</v>
          </cell>
          <cell r="AE74">
            <v>320.91148935364799</v>
          </cell>
          <cell r="AF74">
            <v>492.46024062864194</v>
          </cell>
          <cell r="AG74">
            <v>616.90069767516775</v>
          </cell>
          <cell r="AH74">
            <v>798.31091057629624</v>
          </cell>
          <cell r="AI74">
            <v>940.84605866676361</v>
          </cell>
        </row>
        <row r="75">
          <cell r="A75" t="str">
            <v>+ Operating Lease Liabilities - Debt</v>
          </cell>
          <cell r="O75">
            <v>-330.75145230733511</v>
          </cell>
          <cell r="P75">
            <v>-529.41356019902651</v>
          </cell>
          <cell r="Q75">
            <v>-744.84659980352274</v>
          </cell>
          <cell r="R75">
            <v>-976.29153273542647</v>
          </cell>
          <cell r="S75">
            <v>-1441.8220326464084</v>
          </cell>
          <cell r="T75">
            <v>-1690.0615213134547</v>
          </cell>
          <cell r="U75">
            <v>-2098.239698402062</v>
          </cell>
          <cell r="V75">
            <v>-2646.0976007917407</v>
          </cell>
          <cell r="W75">
            <v>-2981.842689470709</v>
          </cell>
          <cell r="X75">
            <v>-4014.7928328392468</v>
          </cell>
          <cell r="Y75">
            <v>-4313.5202382328416</v>
          </cell>
          <cell r="Z75">
            <v>-5112.6832090650287</v>
          </cell>
          <cell r="AA75">
            <v>-6063.5490667891781</v>
          </cell>
          <cell r="AB75">
            <v>-7194.9096192334637</v>
          </cell>
          <cell r="AC75">
            <v>-7054.4441175088532</v>
          </cell>
          <cell r="AD75">
            <v>-6910.1277829898427</v>
          </cell>
          <cell r="AE75">
            <v>-6765.5303032295251</v>
          </cell>
          <cell r="AF75">
            <v>-6618.6865081329297</v>
          </cell>
          <cell r="AG75">
            <v>-6466.3706643288979</v>
          </cell>
          <cell r="AH75">
            <v>-6320.6768091361937</v>
          </cell>
          <cell r="AI75">
            <v>-6165.5122849103655</v>
          </cell>
        </row>
        <row r="76">
          <cell r="A76" t="str">
            <v>Adjusted Net (Debt) Cash</v>
          </cell>
          <cell r="O76">
            <v>-517.05645230733512</v>
          </cell>
          <cell r="P76">
            <v>-834.20156019902652</v>
          </cell>
          <cell r="Q76">
            <v>-1010.8262658035228</v>
          </cell>
          <cell r="R76">
            <v>-1287.5616127354269</v>
          </cell>
          <cell r="S76">
            <v>-2021.8111126464091</v>
          </cell>
          <cell r="T76">
            <v>-2371.1006013134543</v>
          </cell>
          <cell r="U76">
            <v>-2862.9897784020613</v>
          </cell>
          <cell r="V76">
            <v>-3483.2816807917397</v>
          </cell>
          <cell r="W76">
            <v>-3923.3007694707089</v>
          </cell>
          <cell r="X76">
            <v>-4916.0810248392463</v>
          </cell>
          <cell r="Y76">
            <v>-5180.5536506288527</v>
          </cell>
          <cell r="Z76">
            <v>-5339.2212267200684</v>
          </cell>
          <cell r="AA76">
            <v>-6205.2961349791094</v>
          </cell>
          <cell r="AB76">
            <v>-7226.9049781516405</v>
          </cell>
          <cell r="AC76">
            <v>-6968.3167913753605</v>
          </cell>
          <cell r="AD76">
            <v>-6705.2409335439843</v>
          </cell>
          <cell r="AE76">
            <v>-6444.6188138758771</v>
          </cell>
          <cell r="AF76">
            <v>-6126.2262675042875</v>
          </cell>
          <cell r="AG76">
            <v>-5849.4699666537299</v>
          </cell>
          <cell r="AH76">
            <v>-5522.3658985598977</v>
          </cell>
          <cell r="AI76">
            <v>-5224.6662262436021</v>
          </cell>
        </row>
        <row r="77">
          <cell r="A77" t="str">
            <v>+ Accumulated Charges/(Gains) to Equity</v>
          </cell>
          <cell r="O77">
            <v>-14.052</v>
          </cell>
          <cell r="P77">
            <v>-14.052</v>
          </cell>
          <cell r="Q77">
            <v>-14.052</v>
          </cell>
          <cell r="R77">
            <v>-14.052</v>
          </cell>
          <cell r="S77">
            <v>-14.052</v>
          </cell>
          <cell r="T77">
            <v>-14.052</v>
          </cell>
          <cell r="U77">
            <v>-14.052</v>
          </cell>
          <cell r="V77">
            <v>-14.052</v>
          </cell>
          <cell r="W77">
            <v>-14.052</v>
          </cell>
          <cell r="X77">
            <v>-14.052</v>
          </cell>
          <cell r="Y77">
            <v>-3.7741864951768473</v>
          </cell>
          <cell r="Z77">
            <v>-3.7741864951768473</v>
          </cell>
          <cell r="AA77">
            <v>-3.7741864951768473</v>
          </cell>
          <cell r="AB77">
            <v>-3.7741864951768473</v>
          </cell>
          <cell r="AC77">
            <v>-3.7741864951768473</v>
          </cell>
          <cell r="AD77">
            <v>-3.7741864951768473</v>
          </cell>
          <cell r="AE77">
            <v>-3.7741864951768473</v>
          </cell>
          <cell r="AF77">
            <v>-3.7741864951768473</v>
          </cell>
          <cell r="AG77">
            <v>-3.7741864951768473</v>
          </cell>
          <cell r="AH77">
            <v>-3.7741864951768473</v>
          </cell>
          <cell r="AI77">
            <v>-3.7741864951768473</v>
          </cell>
        </row>
        <row r="78">
          <cell r="A78" t="str">
            <v>+ Accum. GW Amort. Addback to Equity</v>
          </cell>
          <cell r="O78">
            <v>5.2</v>
          </cell>
          <cell r="P78">
            <v>5.2</v>
          </cell>
          <cell r="Q78">
            <v>5.2</v>
          </cell>
          <cell r="R78">
            <v>5.2</v>
          </cell>
          <cell r="S78">
            <v>5.2</v>
          </cell>
          <cell r="T78">
            <v>5.2</v>
          </cell>
          <cell r="U78">
            <v>0.2</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row>
        <row r="79">
          <cell r="A79" t="str">
            <v>+ Deferred Tax Adjustment effect on Equity</v>
          </cell>
          <cell r="O79">
            <v>-19.679711412286434</v>
          </cell>
          <cell r="P79">
            <v>-28.452355484067386</v>
          </cell>
          <cell r="Q79">
            <v>-38.540021735003883</v>
          </cell>
          <cell r="R79">
            <v>-51.633671744631542</v>
          </cell>
          <cell r="S79">
            <v>-69.203002573513274</v>
          </cell>
          <cell r="T79">
            <v>-84.809560587862123</v>
          </cell>
          <cell r="U79">
            <v>-106.18638053019826</v>
          </cell>
          <cell r="V79">
            <v>-132.95173071497663</v>
          </cell>
          <cell r="W79">
            <v>-157.34188985069827</v>
          </cell>
          <cell r="X79">
            <v>-205.45666670982098</v>
          </cell>
          <cell r="Y79">
            <v>-255.60160061871341</v>
          </cell>
          <cell r="Z79">
            <v>-312.08175983301902</v>
          </cell>
          <cell r="AA79">
            <v>-376.22727107421662</v>
          </cell>
          <cell r="AB79">
            <v>-449.6002409465238</v>
          </cell>
          <cell r="AC79">
            <v>-519.8946043448982</v>
          </cell>
          <cell r="AD79">
            <v>-588.58441749359406</v>
          </cell>
          <cell r="AE79">
            <v>-656.94988208879033</v>
          </cell>
          <cell r="AF79">
            <v>-724.33030232353212</v>
          </cell>
          <cell r="AG79">
            <v>-789.6205315970451</v>
          </cell>
          <cell r="AH79">
            <v>-857.07447984053192</v>
          </cell>
          <cell r="AI79">
            <v>-921.07819412371293</v>
          </cell>
        </row>
        <row r="80">
          <cell r="A80" t="str">
            <v>+ Operating Leases Gain/(Loss) to Equity</v>
          </cell>
          <cell r="O80">
            <v>-36.548035479960525</v>
          </cell>
          <cell r="P80">
            <v>-52.840088756125148</v>
          </cell>
          <cell r="Q80">
            <v>-71.574326079292931</v>
          </cell>
          <cell r="R80">
            <v>-95.891104668601443</v>
          </cell>
          <cell r="S80">
            <v>-128.51986192223896</v>
          </cell>
          <cell r="T80">
            <v>-157.50346966317252</v>
          </cell>
          <cell r="U80">
            <v>-197.20327812751108</v>
          </cell>
          <cell r="V80">
            <v>-246.91035704209946</v>
          </cell>
          <cell r="W80">
            <v>-292.20636686558254</v>
          </cell>
          <cell r="X80">
            <v>-381.56238103252474</v>
          </cell>
          <cell r="Y80">
            <v>-474.68868686332496</v>
          </cell>
          <cell r="Z80">
            <v>-579.58041111846399</v>
          </cell>
          <cell r="AA80">
            <v>-698.7077891378309</v>
          </cell>
          <cell r="AB80">
            <v>-834.97187604354428</v>
          </cell>
          <cell r="AC80">
            <v>0</v>
          </cell>
          <cell r="AD80">
            <v>0</v>
          </cell>
          <cell r="AE80">
            <v>0</v>
          </cell>
          <cell r="AF80">
            <v>0</v>
          </cell>
          <cell r="AG80">
            <v>0</v>
          </cell>
          <cell r="AH80">
            <v>0</v>
          </cell>
          <cell r="AI80">
            <v>0</v>
          </cell>
        </row>
        <row r="81">
          <cell r="A81" t="str">
            <v>ADJUSTED INVESTED CAPITAL</v>
          </cell>
          <cell r="O81">
            <v>862.55170541508824</v>
          </cell>
          <cell r="P81">
            <v>1261.5281159588342</v>
          </cell>
          <cell r="Q81">
            <v>1846.6419179892259</v>
          </cell>
          <cell r="R81">
            <v>2293.9638363221939</v>
          </cell>
          <cell r="S81">
            <v>3500.7392481506567</v>
          </cell>
          <cell r="T81">
            <v>4322.5745710624196</v>
          </cell>
          <cell r="U81">
            <v>5337.1541197443512</v>
          </cell>
          <cell r="V81">
            <v>6601.2845930346639</v>
          </cell>
          <cell r="W81">
            <v>7608.2095127544289</v>
          </cell>
          <cell r="X81">
            <v>9348.9079770969001</v>
          </cell>
          <cell r="Y81">
            <v>10403.827176651637</v>
          </cell>
          <cell r="Z81">
            <v>9675.5890564665588</v>
          </cell>
          <cell r="AA81">
            <v>11068.157432552574</v>
          </cell>
          <cell r="AB81">
            <v>12636.662240451631</v>
          </cell>
          <cell r="AC81">
            <v>14040.818415678146</v>
          </cell>
          <cell r="AD81">
            <v>14642.387993764363</v>
          </cell>
          <cell r="AE81">
            <v>15279.832814925843</v>
          </cell>
          <cell r="AF81">
            <v>15937.46861342089</v>
          </cell>
          <cell r="AG81">
            <v>16613.098850885821</v>
          </cell>
          <cell r="AH81">
            <v>17309.626400292393</v>
          </cell>
          <cell r="AI81">
            <v>18011.536557422296</v>
          </cell>
        </row>
        <row r="83">
          <cell r="A83" t="str">
            <v>NOPLAT/NOA = ADJUSTED RNOA</v>
          </cell>
          <cell r="O83">
            <v>13.085561151581773</v>
          </cell>
          <cell r="P83">
            <v>16.675309566165776</v>
          </cell>
          <cell r="Q83">
            <v>15.120723513002096</v>
          </cell>
          <cell r="R83">
            <v>12.831760441026269</v>
          </cell>
          <cell r="S83">
            <v>14.271151318658873</v>
          </cell>
          <cell r="T83">
            <v>13.183325488193947</v>
          </cell>
          <cell r="U83">
            <v>13.683800093866713</v>
          </cell>
          <cell r="V83">
            <v>14.151961485467929</v>
          </cell>
          <cell r="W83">
            <v>11.064926785303339</v>
          </cell>
          <cell r="X83">
            <v>11.102457864917739</v>
          </cell>
          <cell r="Y83">
            <v>10.617435977411443</v>
          </cell>
          <cell r="Z83">
            <v>11.719474862850035</v>
          </cell>
          <cell r="AA83">
            <v>14.528459880471697</v>
          </cell>
          <cell r="AB83">
            <v>14.780660707044053</v>
          </cell>
          <cell r="AC83">
            <v>14.516570186492869</v>
          </cell>
          <cell r="AD83">
            <v>15.101542117500946</v>
          </cell>
          <cell r="AE83">
            <v>15.559087473524672</v>
          </cell>
          <cell r="AF83">
            <v>15.90738152793157</v>
          </cell>
          <cell r="AG83">
            <v>16.200836275435719</v>
          </cell>
          <cell r="AH83">
            <v>16.390318967686984</v>
          </cell>
          <cell r="AI83">
            <v>16.610803707477785</v>
          </cell>
        </row>
        <row r="85">
          <cell r="A85" t="str">
            <v>Adjusted Debt</v>
          </cell>
          <cell r="O85">
            <v>519.87545230733508</v>
          </cell>
          <cell r="P85">
            <v>843.10756019902647</v>
          </cell>
          <cell r="Q85">
            <v>1057.0575998035229</v>
          </cell>
          <cell r="R85">
            <v>1288.7365327354264</v>
          </cell>
          <cell r="S85">
            <v>2033.4040326464083</v>
          </cell>
          <cell r="T85">
            <v>2514.7105213134546</v>
          </cell>
          <cell r="U85">
            <v>3210.0776984020622</v>
          </cell>
          <cell r="V85">
            <v>4060.3456007917407</v>
          </cell>
          <cell r="W85">
            <v>4070.344689470709</v>
          </cell>
          <cell r="X85">
            <v>5121.697832839247</v>
          </cell>
          <cell r="Y85">
            <v>5467.5652382328417</v>
          </cell>
          <cell r="Z85">
            <v>6003.997209065029</v>
          </cell>
          <cell r="AA85">
            <v>6954.8630667891784</v>
          </cell>
          <cell r="AB85">
            <v>8011.223619233464</v>
          </cell>
          <cell r="AC85">
            <v>7870.7581175088535</v>
          </cell>
          <cell r="AD85">
            <v>7726.441782989843</v>
          </cell>
          <cell r="AE85">
            <v>7581.8443032295254</v>
          </cell>
          <cell r="AF85">
            <v>7435.00050813293</v>
          </cell>
          <cell r="AG85">
            <v>7282.6846643288982</v>
          </cell>
          <cell r="AH85">
            <v>7136.990809136194</v>
          </cell>
          <cell r="AI85">
            <v>6981.8262849103658</v>
          </cell>
        </row>
        <row r="86">
          <cell r="A86" t="str">
            <v>Adjusted Total Capital Outstanding</v>
          </cell>
          <cell r="O86">
            <v>2344.5039054323352</v>
          </cell>
          <cell r="P86">
            <v>3475.4317789490265</v>
          </cell>
          <cell r="Q86">
            <v>5902.7917560535234</v>
          </cell>
          <cell r="R86">
            <v>9659.2537514854266</v>
          </cell>
          <cell r="S86">
            <v>14031.354032646406</v>
          </cell>
          <cell r="T86">
            <v>22002.614708813453</v>
          </cell>
          <cell r="U86">
            <v>23805.747793402061</v>
          </cell>
          <cell r="V86">
            <v>25655.999448291739</v>
          </cell>
          <cell r="W86">
            <v>22677.423929470711</v>
          </cell>
          <cell r="X86">
            <v>20631.251582839246</v>
          </cell>
          <cell r="Y86">
            <v>24526.055238232842</v>
          </cell>
          <cell r="Z86">
            <v>29927.96945427946</v>
          </cell>
          <cell r="AA86">
            <v>34331.64050746461</v>
          </cell>
          <cell r="AB86">
            <v>39861.337728186729</v>
          </cell>
          <cell r="AC86">
            <v>44043.577161893198</v>
          </cell>
          <cell r="AD86">
            <v>46985.684831183906</v>
          </cell>
          <cell r="AE86">
            <v>49816.906212012364</v>
          </cell>
          <cell r="AF86">
            <v>52564.048921746427</v>
          </cell>
          <cell r="AG86">
            <v>55185.145340104558</v>
          </cell>
          <cell r="AH86">
            <v>57851.100075042457</v>
          </cell>
          <cell r="AI86">
            <v>60478.111270677931</v>
          </cell>
        </row>
        <row r="87">
          <cell r="A87" t="str">
            <v>Debt/Capital Ratio (%)</v>
          </cell>
          <cell r="O87">
            <v>18.149671791992578</v>
          </cell>
          <cell r="P87">
            <v>19.522979738916817</v>
          </cell>
          <cell r="Q87">
            <v>15.187937924460368</v>
          </cell>
          <cell r="R87">
            <v>11.771443884023716</v>
          </cell>
          <cell r="S87">
            <v>12.657545319898006</v>
          </cell>
          <cell r="T87">
            <v>10.256871407095323</v>
          </cell>
          <cell r="U87">
            <v>11.882212147749895</v>
          </cell>
          <cell r="V87">
            <v>13.663677663202295</v>
          </cell>
          <cell r="W87">
            <v>15.217511215452554</v>
          </cell>
          <cell r="X87">
            <v>19.887810713133845</v>
          </cell>
          <cell r="Y87">
            <v>18.22909389189256</v>
          </cell>
          <cell r="Z87">
            <v>16.709347599361784</v>
          </cell>
          <cell r="AA87">
            <v>16.845367044174267</v>
          </cell>
          <cell r="AB87">
            <v>16.734478778134523</v>
          </cell>
          <cell r="AC87">
            <v>15.161049592850548</v>
          </cell>
          <cell r="AD87">
            <v>14.12199134110833</v>
          </cell>
          <cell r="AE87">
            <v>13.209075520234908</v>
          </cell>
          <cell r="AF87">
            <v>12.39186383581324</v>
          </cell>
          <cell r="AG87">
            <v>11.658296220329781</v>
          </cell>
          <cell r="AH87">
            <v>10.98199795075638</v>
          </cell>
          <cell r="AI87">
            <v>10.34958901222997</v>
          </cell>
        </row>
        <row r="88">
          <cell r="A88" t="str">
            <v>Equity/Capital Ratio (%)</v>
          </cell>
          <cell r="O88">
            <v>81.850328208007426</v>
          </cell>
          <cell r="P88">
            <v>80.477020261083183</v>
          </cell>
          <cell r="Q88">
            <v>84.812062075539629</v>
          </cell>
          <cell r="R88">
            <v>88.228556115976289</v>
          </cell>
          <cell r="S88">
            <v>87.342454680101994</v>
          </cell>
          <cell r="T88">
            <v>89.743128592904682</v>
          </cell>
          <cell r="U88">
            <v>88.117787852250103</v>
          </cell>
          <cell r="V88">
            <v>86.336322336797707</v>
          </cell>
          <cell r="W88">
            <v>84.782488784547439</v>
          </cell>
          <cell r="X88">
            <v>80.112189286866155</v>
          </cell>
          <cell r="Y88">
            <v>81.77090610810744</v>
          </cell>
          <cell r="Z88">
            <v>83.290652400638209</v>
          </cell>
          <cell r="AA88">
            <v>83.154632955825733</v>
          </cell>
          <cell r="AB88">
            <v>83.26552122186547</v>
          </cell>
          <cell r="AC88">
            <v>84.838950407149454</v>
          </cell>
          <cell r="AD88">
            <v>85.878008658891673</v>
          </cell>
          <cell r="AE88">
            <v>86.790924479765096</v>
          </cell>
          <cell r="AF88">
            <v>87.60813616418676</v>
          </cell>
          <cell r="AG88">
            <v>88.341703779670212</v>
          </cell>
          <cell r="AH88">
            <v>89.01800204924362</v>
          </cell>
          <cell r="AI88">
            <v>89.65041098777003</v>
          </cell>
        </row>
        <row r="89">
          <cell r="A89" t="str">
            <v>Cost of Debt</v>
          </cell>
          <cell r="O89">
            <v>4.7357674225325761</v>
          </cell>
          <cell r="P89">
            <v>4.7892056907821896</v>
          </cell>
          <cell r="Q89">
            <v>4.8076215337752179</v>
          </cell>
          <cell r="R89">
            <v>4.7224138104771827</v>
          </cell>
          <cell r="S89">
            <v>4.9089098582199222</v>
          </cell>
          <cell r="T89">
            <v>4.5699288972363874</v>
          </cell>
          <cell r="U89">
            <v>4.3075840512254446</v>
          </cell>
          <cell r="V89">
            <v>4.6649951989757819</v>
          </cell>
          <cell r="W89">
            <v>4.9761371375701904</v>
          </cell>
          <cell r="X89">
            <v>4.6652708261124847</v>
          </cell>
          <cell r="Y89">
            <v>4.3535458721669622</v>
          </cell>
          <cell r="Z89">
            <v>5.0008020805932611</v>
          </cell>
          <cell r="AA89">
            <v>5.1003999999999996</v>
          </cell>
          <cell r="AB89">
            <v>5.1626000000000012</v>
          </cell>
          <cell r="AC89">
            <v>5.2870000000000008</v>
          </cell>
          <cell r="AD89">
            <v>5.2870000000000008</v>
          </cell>
          <cell r="AE89">
            <v>5.3491999999999997</v>
          </cell>
          <cell r="AF89">
            <v>5.4113999999999995</v>
          </cell>
          <cell r="AG89">
            <v>5.4736000000000002</v>
          </cell>
          <cell r="AH89">
            <v>5.5357999999999992</v>
          </cell>
          <cell r="AI89">
            <v>5.5979999999999999</v>
          </cell>
        </row>
        <row r="90">
          <cell r="A90" t="str">
            <v>Cost of Equity</v>
          </cell>
          <cell r="O90">
            <v>10.688000000000001</v>
          </cell>
          <cell r="P90">
            <v>10.945</v>
          </cell>
          <cell r="Q90">
            <v>10.722000000000001</v>
          </cell>
          <cell r="R90">
            <v>9.4450000000000003</v>
          </cell>
          <cell r="S90">
            <v>10.247</v>
          </cell>
          <cell r="T90">
            <v>10.14</v>
          </cell>
          <cell r="U90">
            <v>9.4</v>
          </cell>
          <cell r="V90">
            <v>8.8000000000000007</v>
          </cell>
          <cell r="W90">
            <v>8.4</v>
          </cell>
          <cell r="X90">
            <v>8.9</v>
          </cell>
          <cell r="Y90">
            <v>9.1000000000000014</v>
          </cell>
          <cell r="Z90">
            <v>9.4</v>
          </cell>
          <cell r="AA90">
            <v>9.6000000000000014</v>
          </cell>
          <cell r="AB90">
            <v>9.6999999999999993</v>
          </cell>
          <cell r="AC90">
            <v>9.9</v>
          </cell>
          <cell r="AD90">
            <v>9.9</v>
          </cell>
          <cell r="AE90">
            <v>10</v>
          </cell>
          <cell r="AF90">
            <v>10.649999999999999</v>
          </cell>
          <cell r="AG90">
            <v>10.75</v>
          </cell>
          <cell r="AH90">
            <v>10.849999999999998</v>
          </cell>
          <cell r="AI90">
            <v>10.95</v>
          </cell>
        </row>
        <row r="91">
          <cell r="A91" t="str">
            <v>Adjusted WACC</v>
          </cell>
          <cell r="O91">
            <v>9.6076893228936022</v>
          </cell>
          <cell r="P91">
            <v>9.743205524242013</v>
          </cell>
          <cell r="Q91">
            <v>9.8237278699321298</v>
          </cell>
          <cell r="R91">
            <v>8.8890834168256685</v>
          </cell>
          <cell r="S91">
            <v>9.5713288210871799</v>
          </cell>
          <cell r="T91">
            <v>9.5686849697057621</v>
          </cell>
          <cell r="U91">
            <v>8.7949083335207572</v>
          </cell>
          <cell r="V91">
            <v>8.2350062726301125</v>
          </cell>
          <cell r="W91">
            <v>7.878973284908029</v>
          </cell>
          <cell r="X91">
            <v>8.057805077683394</v>
          </cell>
          <cell r="Y91">
            <v>8.2347644205017065</v>
          </cell>
          <cell r="Z91">
            <v>8.6649227280624359</v>
          </cell>
          <cell r="AA91">
            <v>8.8420258644803358</v>
          </cell>
          <cell r="AB91">
            <v>8.9406897599209234</v>
          </cell>
          <cell r="AC91">
            <v>9.2006207822818045</v>
          </cell>
          <cell r="AD91">
            <v>9.248552539434673</v>
          </cell>
          <cell r="AE91">
            <v>9.3856723157049142</v>
          </cell>
          <cell r="AF91">
            <v>10.000839821097086</v>
          </cell>
          <cell r="AG91">
            <v>10.13486165823052</v>
          </cell>
          <cell r="AH91">
            <v>10.266394664900902</v>
          </cell>
          <cell r="AI91">
            <v>10.39608999606545</v>
          </cell>
        </row>
        <row r="93">
          <cell r="A93" t="str">
            <v>ADJUSTED (RNOA = ROIC) - WACC</v>
          </cell>
          <cell r="O93">
            <v>3.4778718286881709</v>
          </cell>
          <cell r="P93">
            <v>6.9321040419237629</v>
          </cell>
          <cell r="Q93">
            <v>5.2969956430699661</v>
          </cell>
          <cell r="R93">
            <v>3.9426770242006004</v>
          </cell>
          <cell r="S93">
            <v>4.6998224975716933</v>
          </cell>
          <cell r="T93">
            <v>3.6146405184881854</v>
          </cell>
          <cell r="U93">
            <v>4.8888917603459561</v>
          </cell>
          <cell r="V93">
            <v>5.9169552128378164</v>
          </cell>
          <cell r="W93">
            <v>3.1859535003953097</v>
          </cell>
          <cell r="X93">
            <v>3.0446527872343445</v>
          </cell>
          <cell r="Y93">
            <v>2.3826715569097363</v>
          </cell>
          <cell r="Z93">
            <v>3.054552134787599</v>
          </cell>
          <cell r="AA93">
            <v>5.6864340159913613</v>
          </cell>
          <cell r="AB93">
            <v>5.8399709471231294</v>
          </cell>
          <cell r="AC93">
            <v>5.3159494042110644</v>
          </cell>
          <cell r="AD93">
            <v>5.8529895780662731</v>
          </cell>
          <cell r="AE93">
            <v>6.1734151578197576</v>
          </cell>
          <cell r="AF93">
            <v>5.9065417068344832</v>
          </cell>
          <cell r="AG93">
            <v>6.0659746172051996</v>
          </cell>
          <cell r="AH93">
            <v>6.1239243027860812</v>
          </cell>
          <cell r="AI93">
            <v>6.214713711412335</v>
          </cell>
        </row>
        <row r="97">
          <cell r="A97" t="str">
            <v>NET SALES - Actual</v>
          </cell>
          <cell r="O97">
            <v>1925.6690000000001</v>
          </cell>
          <cell r="P97">
            <v>2388.5</v>
          </cell>
          <cell r="Q97">
            <v>3060.0839999999998</v>
          </cell>
          <cell r="R97">
            <v>3681.7</v>
          </cell>
          <cell r="S97">
            <v>4556.9799999999996</v>
          </cell>
          <cell r="T97">
            <v>6152.2000000000007</v>
          </cell>
          <cell r="U97">
            <v>7488.6460000000006</v>
          </cell>
          <cell r="V97">
            <v>9120.2870000000003</v>
          </cell>
          <cell r="W97">
            <v>10282.093999999999</v>
          </cell>
          <cell r="X97">
            <v>11700.7</v>
          </cell>
          <cell r="Y97">
            <v>13402.199999999999</v>
          </cell>
          <cell r="Z97">
            <v>15432.124031897749</v>
          </cell>
          <cell r="AA97">
            <v>17576.766512535702</v>
          </cell>
          <cell r="AB97">
            <v>19634.069507911772</v>
          </cell>
          <cell r="AC97">
            <v>21753.091593149125</v>
          </cell>
          <cell r="AD97">
            <v>23718.153425012108</v>
          </cell>
          <cell r="AE97">
            <v>25722.51649351235</v>
          </cell>
          <cell r="AF97">
            <v>27690.466823382598</v>
          </cell>
          <cell r="AG97">
            <v>29697.776159850251</v>
          </cell>
          <cell r="AH97">
            <v>31745.231683047256</v>
          </cell>
          <cell r="AI97">
            <v>33833.636316708202</v>
          </cell>
        </row>
        <row r="98">
          <cell r="A98" t="str">
            <v>Net Operating Profit After-Tax (NOPAT)</v>
          </cell>
          <cell r="O98">
            <v>107.5733500000001</v>
          </cell>
          <cell r="P98">
            <v>137.08383549930264</v>
          </cell>
          <cell r="Q98">
            <v>190.75217845291976</v>
          </cell>
          <cell r="R98">
            <v>236.96569221033883</v>
          </cell>
          <cell r="S98">
            <v>327.31524273590611</v>
          </cell>
          <cell r="T98">
            <v>461.55141150763552</v>
          </cell>
          <cell r="U98">
            <v>591.40884424688454</v>
          </cell>
          <cell r="V98">
            <v>755.31042740895327</v>
          </cell>
          <cell r="W98">
            <v>730.64726900134553</v>
          </cell>
          <cell r="X98">
            <v>844.69946781662247</v>
          </cell>
          <cell r="Y98">
            <v>992.61780242377017</v>
          </cell>
          <cell r="Z98">
            <v>1219.2851131072705</v>
          </cell>
          <cell r="AA98">
            <v>1405.714074268054</v>
          </cell>
          <cell r="AB98">
            <v>1635.9467966270745</v>
          </cell>
          <cell r="AC98">
            <v>1834.4099433652032</v>
          </cell>
          <cell r="AD98">
            <v>1974.5719160650533</v>
          </cell>
          <cell r="AE98">
            <v>2108.1478508978525</v>
          </cell>
          <cell r="AF98">
            <v>2236.5433292024704</v>
          </cell>
          <cell r="AG98">
            <v>2364.0720018169231</v>
          </cell>
          <cell r="AH98">
            <v>2482.5860050887109</v>
          </cell>
          <cell r="AI98">
            <v>2610.8722819715285</v>
          </cell>
        </row>
        <row r="99">
          <cell r="A99" t="str">
            <v>NET OPERATING ASSETS</v>
          </cell>
          <cell r="O99">
            <v>822.0767054150881</v>
          </cell>
          <cell r="P99">
            <v>1261.528115958834</v>
          </cell>
          <cell r="Q99">
            <v>1846.7122519892259</v>
          </cell>
          <cell r="R99">
            <v>2293.5447563221933</v>
          </cell>
          <cell r="S99">
            <v>3501.0241681506559</v>
          </cell>
          <cell r="T99">
            <v>4321.96349106242</v>
          </cell>
          <cell r="U99">
            <v>5337.1430397443537</v>
          </cell>
          <cell r="V99">
            <v>6603.2725130346644</v>
          </cell>
          <cell r="W99">
            <v>7608.2204327544296</v>
          </cell>
          <cell r="X99">
            <v>9348.9407850969019</v>
          </cell>
          <cell r="Y99">
            <v>10403.922764255625</v>
          </cell>
          <cell r="Z99">
            <v>9675.5890564665588</v>
          </cell>
          <cell r="AA99">
            <v>11068.157432552576</v>
          </cell>
          <cell r="AB99">
            <v>12636.662240451631</v>
          </cell>
          <cell r="AC99">
            <v>13075.299864751905</v>
          </cell>
          <cell r="AD99">
            <v>13549.302646990544</v>
          </cell>
          <cell r="AE99">
            <v>14059.783033903805</v>
          </cell>
          <cell r="AF99">
            <v>14592.283766248616</v>
          </cell>
          <cell r="AG99">
            <v>15146.660720777025</v>
          </cell>
          <cell r="AH99">
            <v>15717.916652017124</v>
          </cell>
          <cell r="AI99">
            <v>16300.962768335405</v>
          </cell>
        </row>
        <row r="100">
          <cell r="A100" t="str">
            <v xml:space="preserve">   NOPAT Margin</v>
          </cell>
          <cell r="O100">
            <v>5.5862845587689316</v>
          </cell>
          <cell r="P100">
            <v>5.7393274230396756</v>
          </cell>
          <cell r="Q100">
            <v>6.2335602046518908</v>
          </cell>
          <cell r="R100">
            <v>6.4363118181910224</v>
          </cell>
          <cell r="S100">
            <v>7.1827228281867841</v>
          </cell>
          <cell r="T100">
            <v>7.502217280121509</v>
          </cell>
          <cell r="U100">
            <v>7.8974068776503055</v>
          </cell>
          <cell r="V100">
            <v>8.2816519634629167</v>
          </cell>
          <cell r="W100">
            <v>7.1060162356164565</v>
          </cell>
          <cell r="X100">
            <v>7.219221651838116</v>
          </cell>
          <cell r="Y100">
            <v>7.4063795677110491</v>
          </cell>
          <cell r="Z100">
            <v>7.9009545969630874</v>
          </cell>
          <cell r="AA100">
            <v>7.9975692529425286</v>
          </cell>
          <cell r="AB100">
            <v>8.3321839925637988</v>
          </cell>
          <cell r="AC100">
            <v>8.4328700383118349</v>
          </cell>
          <cell r="AD100">
            <v>8.32515027912231</v>
          </cell>
          <cell r="AE100">
            <v>8.195729416402795</v>
          </cell>
          <cell r="AF100">
            <v>8.0769433880178259</v>
          </cell>
          <cell r="AG100">
            <v>7.9604344415963961</v>
          </cell>
          <cell r="AH100">
            <v>7.8203430041887945</v>
          </cell>
          <cell r="AI100">
            <v>7.7167947823633458</v>
          </cell>
        </row>
        <row r="101">
          <cell r="A101" t="str">
            <v>x NOA Turns [NOPAT/BOP Net Operating Profit]</v>
          </cell>
          <cell r="O101">
            <v>2.3424444304472529</v>
          </cell>
          <cell r="P101">
            <v>2.9054466380895487</v>
          </cell>
          <cell r="Q101">
            <v>2.4256962340265877</v>
          </cell>
          <cell r="R101">
            <v>1.9936511473480383</v>
          </cell>
          <cell r="S101">
            <v>1.9868720623125449</v>
          </cell>
          <cell r="T101">
            <v>1.7572572208919581</v>
          </cell>
          <cell r="U101">
            <v>1.7326953398579381</v>
          </cell>
          <cell r="V101">
            <v>1.7088331588798598</v>
          </cell>
          <cell r="W101">
            <v>1.5571209547543965</v>
          </cell>
          <cell r="X101">
            <v>1.5379023391103244</v>
          </cell>
          <cell r="Y101">
            <v>1.4335527743810696</v>
          </cell>
          <cell r="Z101">
            <v>1.5371015161804582</v>
          </cell>
          <cell r="AA101">
            <v>1.8166094498183023</v>
          </cell>
          <cell r="AB101">
            <v>1.7739239460188718</v>
          </cell>
          <cell r="AC101">
            <v>1.7214270017849014</v>
          </cell>
          <cell r="AD101">
            <v>1.8139663082566055</v>
          </cell>
          <cell r="AE101">
            <v>1.8984384040772473</v>
          </cell>
          <cell r="AF101">
            <v>1.9694803793635876</v>
          </cell>
          <cell r="AG101">
            <v>2.0351698634411188</v>
          </cell>
          <cell r="AH101">
            <v>2.0958567877275804</v>
          </cell>
          <cell r="AI101">
            <v>2.1525522157776704</v>
          </cell>
        </row>
        <row r="102">
          <cell r="A102" t="str">
            <v>RNOA</v>
          </cell>
          <cell r="O102">
            <v>13.085561151581773</v>
          </cell>
          <cell r="P102">
            <v>16.67530956616578</v>
          </cell>
          <cell r="Q102">
            <v>15.120723513002098</v>
          </cell>
          <cell r="R102">
            <v>12.831760441026271</v>
          </cell>
          <cell r="S102">
            <v>14.271151318658871</v>
          </cell>
          <cell r="T102">
            <v>13.183325488193947</v>
          </cell>
          <cell r="U102">
            <v>13.683800093866713</v>
          </cell>
          <cell r="V102">
            <v>14.151961485467929</v>
          </cell>
          <cell r="W102">
            <v>11.064926785303339</v>
          </cell>
          <cell r="X102">
            <v>11.102457864917739</v>
          </cell>
          <cell r="Y102">
            <v>10.617435977411441</v>
          </cell>
          <cell r="Z102">
            <v>12.144569290264922</v>
          </cell>
          <cell r="AA102">
            <v>14.528459880471697</v>
          </cell>
          <cell r="AB102">
            <v>14.780660707044053</v>
          </cell>
          <cell r="AC102">
            <v>14.516570186492869</v>
          </cell>
          <cell r="AD102">
            <v>15.101542117500946</v>
          </cell>
          <cell r="AE102">
            <v>15.559087473524672</v>
          </cell>
          <cell r="AF102">
            <v>15.907381527931568</v>
          </cell>
          <cell r="AG102">
            <v>16.200836275435716</v>
          </cell>
          <cell r="AH102">
            <v>16.390318967686984</v>
          </cell>
          <cell r="AI102">
            <v>16.610803707477785</v>
          </cell>
        </row>
        <row r="104">
          <cell r="A104" t="str">
            <v>RETURN ON EQUITY - DUPONT ANALYSIS</v>
          </cell>
        </row>
        <row r="105">
          <cell r="A105" t="str">
            <v>AS REPORTED</v>
          </cell>
        </row>
        <row r="106">
          <cell r="A106" t="str">
            <v>Net Income</v>
          </cell>
          <cell r="O106">
            <v>80.952000000000169</v>
          </cell>
          <cell r="P106">
            <v>102.7559999999999</v>
          </cell>
          <cell r="Q106">
            <v>141.25633399999995</v>
          </cell>
          <cell r="R106">
            <v>178.08458599999952</v>
          </cell>
          <cell r="S106">
            <v>258.8099999999996</v>
          </cell>
          <cell r="T106">
            <v>363.35200000000106</v>
          </cell>
          <cell r="U106">
            <v>486.66900000000044</v>
          </cell>
          <cell r="V106">
            <v>635.47000000000014</v>
          </cell>
          <cell r="W106">
            <v>580.86199999999872</v>
          </cell>
          <cell r="X106">
            <v>703.51288800000088</v>
          </cell>
          <cell r="Y106">
            <v>841.89977960398801</v>
          </cell>
          <cell r="Z106">
            <v>1058.1125588349416</v>
          </cell>
          <cell r="AA106">
            <v>1209.7663570875391</v>
          </cell>
          <cell r="AB106">
            <v>1406.5330215045446</v>
          </cell>
          <cell r="AC106">
            <v>1598.0668493576254</v>
          </cell>
          <cell r="AD106">
            <v>1733.3352490662892</v>
          </cell>
          <cell r="AE106">
            <v>1866.4324054247845</v>
          </cell>
          <cell r="AF106">
            <v>1993.408765101376</v>
          </cell>
          <cell r="AG106">
            <v>2117.6767675890051</v>
          </cell>
          <cell r="AH106">
            <v>2241.0855657438915</v>
          </cell>
          <cell r="AI106">
            <v>2363.6135437293824</v>
          </cell>
        </row>
        <row r="107">
          <cell r="A107" t="str">
            <v>EBT</v>
          </cell>
          <cell r="O107">
            <v>122.72900000000016</v>
          </cell>
          <cell r="P107">
            <v>171.6459999999999</v>
          </cell>
          <cell r="Q107">
            <v>235.05399999999992</v>
          </cell>
          <cell r="R107">
            <v>301.68399999999951</v>
          </cell>
          <cell r="S107">
            <v>421.77999999999957</v>
          </cell>
          <cell r="T107">
            <v>596.32000000000107</v>
          </cell>
          <cell r="U107">
            <v>790.85700000000043</v>
          </cell>
          <cell r="V107">
            <v>1021.6570000000002</v>
          </cell>
          <cell r="W107">
            <v>933.83599999999876</v>
          </cell>
          <cell r="X107">
            <v>1130.9840000000011</v>
          </cell>
          <cell r="Y107">
            <v>1353.6778135048216</v>
          </cell>
          <cell r="Z107">
            <v>1692.7085563992798</v>
          </cell>
          <cell r="AA107">
            <v>1944.9619888867187</v>
          </cell>
          <cell r="AB107">
            <v>2261.3071085282068</v>
          </cell>
          <cell r="AC107">
            <v>2569.2393076489157</v>
          </cell>
          <cell r="AD107">
            <v>2786.7126190776353</v>
          </cell>
          <cell r="AE107">
            <v>3000.6951855703933</v>
          </cell>
          <cell r="AF107">
            <v>3204.8372429282572</v>
          </cell>
          <cell r="AG107">
            <v>3404.6250282781434</v>
          </cell>
          <cell r="AH107">
            <v>3603.03145617989</v>
          </cell>
          <cell r="AI107">
            <v>3800.0217744845381</v>
          </cell>
        </row>
        <row r="108">
          <cell r="A108" t="str">
            <v xml:space="preserve">[A] = Tax Burden (NI/EBT) </v>
          </cell>
          <cell r="O108">
            <v>0.6595996056351805</v>
          </cell>
          <cell r="P108">
            <v>0.5986507113477737</v>
          </cell>
          <cell r="Q108">
            <v>0.60095269172190224</v>
          </cell>
          <cell r="R108">
            <v>0.59030172630964783</v>
          </cell>
          <cell r="S108">
            <v>0.61361373227749028</v>
          </cell>
          <cell r="T108">
            <v>0.60932385296485181</v>
          </cell>
          <cell r="U108">
            <v>0.61536915017506344</v>
          </cell>
          <cell r="V108">
            <v>0.62199935986343757</v>
          </cell>
          <cell r="W108">
            <v>0.62201714219627369</v>
          </cell>
          <cell r="X108">
            <v>0.62203611014833116</v>
          </cell>
          <cell r="Y108">
            <v>0.62193512459528044</v>
          </cell>
          <cell r="Z108">
            <v>0.62510026007415753</v>
          </cell>
          <cell r="AA108">
            <v>0.622</v>
          </cell>
          <cell r="AB108">
            <v>0.622</v>
          </cell>
          <cell r="AC108">
            <v>0.622</v>
          </cell>
          <cell r="AD108">
            <v>0.622</v>
          </cell>
          <cell r="AE108">
            <v>0.622</v>
          </cell>
          <cell r="AF108">
            <v>0.622</v>
          </cell>
          <cell r="AG108">
            <v>0.622</v>
          </cell>
          <cell r="AH108">
            <v>0.622</v>
          </cell>
          <cell r="AI108">
            <v>0.62199999999999989</v>
          </cell>
        </row>
        <row r="109">
          <cell r="A109" t="str">
            <v>Pre-tax Income</v>
          </cell>
          <cell r="O109">
            <v>122.72900000000016</v>
          </cell>
          <cell r="P109">
            <v>171.6459999999999</v>
          </cell>
          <cell r="Q109">
            <v>235.05399999999992</v>
          </cell>
          <cell r="R109">
            <v>301.68399999999951</v>
          </cell>
          <cell r="S109">
            <v>421.77999999999957</v>
          </cell>
          <cell r="T109">
            <v>596.32000000000107</v>
          </cell>
          <cell r="U109">
            <v>790.85700000000043</v>
          </cell>
          <cell r="V109">
            <v>1021.6570000000002</v>
          </cell>
          <cell r="W109">
            <v>933.83599999999876</v>
          </cell>
          <cell r="X109">
            <v>1130.9840000000011</v>
          </cell>
          <cell r="Y109">
            <v>1353.6778135048216</v>
          </cell>
          <cell r="Z109">
            <v>1692.7085563992798</v>
          </cell>
          <cell r="AA109">
            <v>1944.9619888867187</v>
          </cell>
          <cell r="AB109">
            <v>2261.3071085282068</v>
          </cell>
          <cell r="AC109">
            <v>2569.2393076489157</v>
          </cell>
          <cell r="AD109">
            <v>2786.7126190776353</v>
          </cell>
          <cell r="AE109">
            <v>3000.6951855703933</v>
          </cell>
          <cell r="AF109">
            <v>3204.8372429282572</v>
          </cell>
          <cell r="AG109">
            <v>3404.6250282781434</v>
          </cell>
          <cell r="AH109">
            <v>3603.03145617989</v>
          </cell>
          <cell r="AI109">
            <v>3800.0217744845381</v>
          </cell>
        </row>
        <row r="110">
          <cell r="A110" t="str">
            <v>EBIT</v>
          </cell>
          <cell r="O110">
            <v>149.93100000000015</v>
          </cell>
          <cell r="P110">
            <v>189.26799999999992</v>
          </cell>
          <cell r="Q110">
            <v>258.82599999999991</v>
          </cell>
          <cell r="R110">
            <v>322.7999999999995</v>
          </cell>
          <cell r="S110">
            <v>448.94299999999959</v>
          </cell>
          <cell r="T110">
            <v>634.93300000000102</v>
          </cell>
          <cell r="U110">
            <v>840.96800000000042</v>
          </cell>
          <cell r="V110">
            <v>1077.6660000000002</v>
          </cell>
          <cell r="W110">
            <v>1006.8019999999988</v>
          </cell>
          <cell r="X110">
            <v>1193.4550000000011</v>
          </cell>
          <cell r="Y110">
            <v>1413.6999999999985</v>
          </cell>
          <cell r="Z110">
            <v>1725.2856217929707</v>
          </cell>
          <cell r="AA110">
            <v>1974.8756841554095</v>
          </cell>
          <cell r="AB110">
            <v>2285.1173521012452</v>
          </cell>
          <cell r="AC110">
            <v>2589.6116377844542</v>
          </cell>
          <cell r="AD110">
            <v>2804.3298482756736</v>
          </cell>
          <cell r="AE110">
            <v>3017.6957745184318</v>
          </cell>
          <cell r="AF110">
            <v>3221.2211916262959</v>
          </cell>
          <cell r="AG110">
            <v>3420.3923367261818</v>
          </cell>
          <cell r="AH110">
            <v>3618.1821243779286</v>
          </cell>
          <cell r="AI110">
            <v>3814.5629274325765</v>
          </cell>
        </row>
        <row r="111">
          <cell r="A111" t="str">
            <v xml:space="preserve">[B] = Interest Burden (EBT/EBIT) </v>
          </cell>
          <cell r="O111">
            <v>0.81856987547605253</v>
          </cell>
          <cell r="P111">
            <v>0.90689392818648673</v>
          </cell>
          <cell r="Q111">
            <v>0.90815451307055706</v>
          </cell>
          <cell r="R111">
            <v>0.93458488228004954</v>
          </cell>
          <cell r="S111">
            <v>0.93949565980536498</v>
          </cell>
          <cell r="T111">
            <v>0.93918570935831047</v>
          </cell>
          <cell r="U111">
            <v>0.94041271487143396</v>
          </cell>
          <cell r="V111">
            <v>0.94802749645994211</v>
          </cell>
          <cell r="W111">
            <v>0.92752696160714809</v>
          </cell>
          <cell r="X111">
            <v>0.9476553368162185</v>
          </cell>
          <cell r="Y111">
            <v>0.95754248674034315</v>
          </cell>
          <cell r="Z111">
            <v>0.98111787116162497</v>
          </cell>
          <cell r="AA111">
            <v>0.9848528717484899</v>
          </cell>
          <cell r="AB111">
            <v>0.98958029724331487</v>
          </cell>
          <cell r="AC111">
            <v>0.99213305584579159</v>
          </cell>
          <cell r="AD111">
            <v>0.99371784698976451</v>
          </cell>
          <cell r="AE111">
            <v>0.99436636751405083</v>
          </cell>
          <cell r="AF111">
            <v>0.99491374614676276</v>
          </cell>
          <cell r="AG111">
            <v>0.99539020472045314</v>
          </cell>
          <cell r="AH111">
            <v>0.9958126297468668</v>
          </cell>
          <cell r="AI111">
            <v>0.99618798975802314</v>
          </cell>
        </row>
        <row r="112">
          <cell r="A112" t="str">
            <v>EBIT</v>
          </cell>
          <cell r="O112">
            <v>149.93100000000015</v>
          </cell>
          <cell r="P112">
            <v>189.26799999999992</v>
          </cell>
          <cell r="Q112">
            <v>258.82599999999991</v>
          </cell>
          <cell r="R112">
            <v>322.7999999999995</v>
          </cell>
          <cell r="S112">
            <v>448.94299999999959</v>
          </cell>
          <cell r="T112">
            <v>634.93300000000102</v>
          </cell>
          <cell r="U112">
            <v>840.96800000000042</v>
          </cell>
          <cell r="V112">
            <v>1077.6660000000002</v>
          </cell>
          <cell r="W112">
            <v>1006.8019999999988</v>
          </cell>
          <cell r="X112">
            <v>1193.4550000000011</v>
          </cell>
          <cell r="Y112">
            <v>1413.6999999999985</v>
          </cell>
          <cell r="Z112">
            <v>1725.2856217929707</v>
          </cell>
          <cell r="AA112">
            <v>1974.8756841554095</v>
          </cell>
          <cell r="AB112">
            <v>2285.1173521012452</v>
          </cell>
          <cell r="AC112">
            <v>2589.6116377844542</v>
          </cell>
          <cell r="AD112">
            <v>2804.3298482756736</v>
          </cell>
          <cell r="AE112">
            <v>3017.6957745184318</v>
          </cell>
          <cell r="AF112">
            <v>3221.2211916262959</v>
          </cell>
          <cell r="AG112">
            <v>3420.3923367261818</v>
          </cell>
          <cell r="AH112">
            <v>3618.1821243779286</v>
          </cell>
          <cell r="AI112">
            <v>3814.5629274325765</v>
          </cell>
        </row>
        <row r="113">
          <cell r="A113" t="str">
            <v>Sales</v>
          </cell>
          <cell r="O113">
            <v>1925.6690000000001</v>
          </cell>
          <cell r="P113">
            <v>2388.5</v>
          </cell>
          <cell r="Q113">
            <v>3060.0839999999998</v>
          </cell>
          <cell r="R113">
            <v>3681.7</v>
          </cell>
          <cell r="S113">
            <v>4556.9799999999996</v>
          </cell>
          <cell r="T113">
            <v>6152.2000000000007</v>
          </cell>
          <cell r="U113">
            <v>7488.6460000000006</v>
          </cell>
          <cell r="V113">
            <v>9120.2870000000003</v>
          </cell>
          <cell r="W113">
            <v>10282.093999999999</v>
          </cell>
          <cell r="X113">
            <v>11700.7</v>
          </cell>
          <cell r="Y113">
            <v>13402.199999999999</v>
          </cell>
          <cell r="Z113">
            <v>15432.124031897749</v>
          </cell>
          <cell r="AA113">
            <v>17576.766512535702</v>
          </cell>
          <cell r="AB113">
            <v>19634.069507911772</v>
          </cell>
          <cell r="AC113">
            <v>21753.091593149125</v>
          </cell>
          <cell r="AD113">
            <v>23718.153425012108</v>
          </cell>
          <cell r="AE113">
            <v>25722.51649351235</v>
          </cell>
          <cell r="AF113">
            <v>27690.466823382598</v>
          </cell>
          <cell r="AG113">
            <v>29697.776159850251</v>
          </cell>
          <cell r="AH113">
            <v>31745.231683047256</v>
          </cell>
          <cell r="AI113">
            <v>33833.636316708202</v>
          </cell>
        </row>
        <row r="114">
          <cell r="A114" t="str">
            <v xml:space="preserve">[C] = Operating Margin (EBIT/Sales) </v>
          </cell>
          <cell r="O114">
            <v>7.7859175174965239E-2</v>
          </cell>
          <cell r="P114">
            <v>7.9241364873351441E-2</v>
          </cell>
          <cell r="Q114">
            <v>8.4581338290059982E-2</v>
          </cell>
          <cell r="R114">
            <v>8.7676888393948313E-2</v>
          </cell>
          <cell r="S114">
            <v>9.8517658624790894E-2</v>
          </cell>
          <cell r="T114">
            <v>0.10320421962875084</v>
          </cell>
          <cell r="U114">
            <v>0.1122990724892057</v>
          </cell>
          <cell r="V114">
            <v>0.11816141312219672</v>
          </cell>
          <cell r="W114">
            <v>9.7917992191084699E-2</v>
          </cell>
          <cell r="X114">
            <v>0.10199859837445631</v>
          </cell>
          <cell r="Y114">
            <v>0.10548268194773981</v>
          </cell>
          <cell r="Z114">
            <v>0.11179832524847881</v>
          </cell>
          <cell r="AA114">
            <v>0.11235716664648948</v>
          </cell>
          <cell r="AB114">
            <v>0.1163853143730815</v>
          </cell>
          <cell r="AC114">
            <v>0.11904568261920163</v>
          </cell>
          <cell r="AD114">
            <v>0.11823558934054083</v>
          </cell>
          <cell r="AE114">
            <v>0.1173172840720909</v>
          </cell>
          <cell r="AF114">
            <v>0.11632960947072973</v>
          </cell>
          <cell r="AG114">
            <v>0.11517334895096835</v>
          </cell>
          <cell r="AH114">
            <v>0.11397560932938877</v>
          </cell>
          <cell r="AI114">
            <v>0.11274469264034784</v>
          </cell>
        </row>
        <row r="115">
          <cell r="A115" t="str">
            <v>Sales</v>
          </cell>
          <cell r="O115">
            <v>1925.6690000000001</v>
          </cell>
          <cell r="P115">
            <v>2388.5</v>
          </cell>
          <cell r="Q115">
            <v>3060.0839999999998</v>
          </cell>
          <cell r="R115">
            <v>3681.7</v>
          </cell>
          <cell r="S115">
            <v>4556.9799999999996</v>
          </cell>
          <cell r="T115">
            <v>6152.2000000000007</v>
          </cell>
          <cell r="U115">
            <v>7488.6460000000006</v>
          </cell>
          <cell r="V115">
            <v>9120.2870000000003</v>
          </cell>
          <cell r="W115">
            <v>10282.093999999999</v>
          </cell>
          <cell r="X115">
            <v>11700.7</v>
          </cell>
          <cell r="Y115">
            <v>13402.199999999999</v>
          </cell>
          <cell r="Z115">
            <v>15432.124031897749</v>
          </cell>
          <cell r="AA115">
            <v>17576.766512535702</v>
          </cell>
          <cell r="AB115">
            <v>19634.069507911772</v>
          </cell>
          <cell r="AC115">
            <v>21753.091593149125</v>
          </cell>
          <cell r="AD115">
            <v>23718.153425012108</v>
          </cell>
          <cell r="AE115">
            <v>25722.51649351235</v>
          </cell>
          <cell r="AF115">
            <v>27690.466823382598</v>
          </cell>
          <cell r="AG115">
            <v>29697.776159850251</v>
          </cell>
          <cell r="AH115">
            <v>31745.231683047256</v>
          </cell>
          <cell r="AI115">
            <v>33833.636316708202</v>
          </cell>
        </row>
        <row r="116">
          <cell r="A116" t="str">
            <v>Assets</v>
          </cell>
          <cell r="O116">
            <v>804.92499999999995</v>
          </cell>
          <cell r="P116">
            <v>1122.414</v>
          </cell>
          <cell r="Q116">
            <v>1621.7913339999998</v>
          </cell>
          <cell r="R116">
            <v>1935.6759199999997</v>
          </cell>
          <cell r="S116">
            <v>2914.946919999999</v>
          </cell>
          <cell r="T116">
            <v>3854.5429200000003</v>
          </cell>
          <cell r="U116">
            <v>4929.57492</v>
          </cell>
          <cell r="V116">
            <v>6315.7259200000008</v>
          </cell>
          <cell r="W116">
            <v>6690.7609199999997</v>
          </cell>
          <cell r="X116">
            <v>7979.3318080000008</v>
          </cell>
          <cell r="Y116">
            <v>9153.1335876039902</v>
          </cell>
          <cell r="Z116">
            <v>9171.7128922069514</v>
          </cell>
          <cell r="AA116">
            <v>10010.568474877815</v>
          </cell>
          <cell r="AB116">
            <v>11026.973149293175</v>
          </cell>
          <cell r="AC116">
            <v>12190.883005594507</v>
          </cell>
          <cell r="AD116">
            <v>13377.26250144243</v>
          </cell>
          <cell r="AE116">
            <v>14600.915258584482</v>
          </cell>
          <cell r="AF116">
            <v>15897.6751989974</v>
          </cell>
          <cell r="AG116">
            <v>17172.885385404181</v>
          </cell>
          <cell r="AH116">
            <v>18525.7702583422</v>
          </cell>
          <cell r="AI116">
            <v>19855.534315409597</v>
          </cell>
        </row>
        <row r="117">
          <cell r="A117" t="str">
            <v xml:space="preserve">[D] = Asset Turnover (Sales/Avg. Assets) </v>
          </cell>
          <cell r="O117">
            <v>2.3923582942510175</v>
          </cell>
          <cell r="P117">
            <v>2.1280026799380622</v>
          </cell>
          <cell r="Q117">
            <v>1.8868543294361939</v>
          </cell>
          <cell r="R117">
            <v>1.9020229378066553</v>
          </cell>
          <cell r="S117">
            <v>1.5633149162112363</v>
          </cell>
          <cell r="T117">
            <v>1.5960906721464136</v>
          </cell>
          <cell r="U117">
            <v>1.5191261156448761</v>
          </cell>
          <cell r="V117">
            <v>1.4440599727608192</v>
          </cell>
          <cell r="W117">
            <v>1.5367600371528445</v>
          </cell>
          <cell r="X117">
            <v>1.4663759173755617</v>
          </cell>
          <cell r="Y117">
            <v>1.4642198621628861</v>
          </cell>
          <cell r="Z117">
            <v>1.6825781850422032</v>
          </cell>
          <cell r="AA117">
            <v>1.7558210162235803</v>
          </cell>
          <cell r="AB117">
            <v>1.7805493168513165</v>
          </cell>
          <cell r="AC117">
            <v>1.784373747428011</v>
          </cell>
          <cell r="AD117">
            <v>1.7730199599846868</v>
          </cell>
          <cell r="AE117">
            <v>1.7617057587118738</v>
          </cell>
          <cell r="AF117">
            <v>1.7417934683386236</v>
          </cell>
          <cell r="AG117">
            <v>1.7293410800430429</v>
          </cell>
          <cell r="AH117">
            <v>1.713571486656664</v>
          </cell>
          <cell r="AI117">
            <v>1.703990221529843</v>
          </cell>
        </row>
        <row r="118">
          <cell r="A118" t="str">
            <v>ROA = [A*B*C*D]</v>
          </cell>
          <cell r="O118">
            <v>0.10057086063919021</v>
          </cell>
          <cell r="P118">
            <v>9.1549107548551528E-2</v>
          </cell>
          <cell r="Q118">
            <v>8.7098957207771083E-2</v>
          </cell>
          <cell r="R118">
            <v>9.2001240579569502E-2</v>
          </cell>
          <cell r="S118">
            <v>8.8787208516304519E-2</v>
          </cell>
          <cell r="T118">
            <v>9.4265911040887065E-2</v>
          </cell>
          <cell r="U118">
            <v>9.8724333821464769E-2</v>
          </cell>
          <cell r="V118">
            <v>0.10061709580962945</v>
          </cell>
          <cell r="W118">
            <v>8.681553666993061E-2</v>
          </cell>
          <cell r="X118">
            <v>8.8166892282216608E-2</v>
          </cell>
          <cell r="Y118">
            <v>9.1979404817620652E-2</v>
          </cell>
          <cell r="Z118">
            <v>0.11536695176470274</v>
          </cell>
          <cell r="AA118">
            <v>0.12084891683459614</v>
          </cell>
          <cell r="AB118">
            <v>0.12755386291973539</v>
          </cell>
          <cell r="AC118">
            <v>0.13108704665808524</v>
          </cell>
          <cell r="AD118">
            <v>0.12957324033070211</v>
          </cell>
          <cell r="AE118">
            <v>0.12782982247139829</v>
          </cell>
          <cell r="AF118">
            <v>0.12538995420079357</v>
          </cell>
          <cell r="AG118">
            <v>0.12331514012135028</v>
          </cell>
          <cell r="AH118">
            <v>0.12097124894090303</v>
          </cell>
          <cell r="AI118">
            <v>0.11904054084784892</v>
          </cell>
        </row>
        <row r="119">
          <cell r="A119" t="str">
            <v>Assets</v>
          </cell>
          <cell r="O119">
            <v>804.92499999999995</v>
          </cell>
          <cell r="P119">
            <v>1122.414</v>
          </cell>
          <cell r="Q119">
            <v>1621.7913339999998</v>
          </cell>
          <cell r="R119">
            <v>1935.6759199999997</v>
          </cell>
          <cell r="S119">
            <v>2914.946919999999</v>
          </cell>
          <cell r="T119">
            <v>3854.5429200000003</v>
          </cell>
          <cell r="U119">
            <v>4929.57492</v>
          </cell>
          <cell r="V119">
            <v>6315.7259200000008</v>
          </cell>
          <cell r="W119">
            <v>6690.7609199999997</v>
          </cell>
          <cell r="X119">
            <v>7979.3318080000008</v>
          </cell>
          <cell r="Y119">
            <v>9153.1335876039902</v>
          </cell>
          <cell r="Z119">
            <v>9171.7128922069514</v>
          </cell>
          <cell r="AA119">
            <v>10010.568474877815</v>
          </cell>
          <cell r="AB119">
            <v>11026.973149293175</v>
          </cell>
          <cell r="AC119">
            <v>12190.883005594507</v>
          </cell>
          <cell r="AD119">
            <v>13377.26250144243</v>
          </cell>
          <cell r="AE119">
            <v>14600.915258584482</v>
          </cell>
          <cell r="AF119">
            <v>15897.6751989974</v>
          </cell>
          <cell r="AG119">
            <v>17172.885385404181</v>
          </cell>
          <cell r="AH119">
            <v>18525.7702583422</v>
          </cell>
          <cell r="AI119">
            <v>19855.534315409597</v>
          </cell>
        </row>
        <row r="120">
          <cell r="A120" t="str">
            <v>Equity</v>
          </cell>
          <cell r="O120">
            <v>410.57499999999993</v>
          </cell>
          <cell r="P120">
            <v>517.471</v>
          </cell>
          <cell r="Q120">
            <v>954.78199999999993</v>
          </cell>
          <cell r="R120">
            <v>1162.779</v>
          </cell>
          <cell r="S120">
            <v>1685.5029999999999</v>
          </cell>
          <cell r="T120">
            <v>2202.6390000000001</v>
          </cell>
          <cell r="U120">
            <v>2791.4059999999999</v>
          </cell>
          <cell r="V120">
            <v>3511.9169999999999</v>
          </cell>
          <cell r="W120">
            <v>4148.509</v>
          </cell>
          <cell r="X120">
            <v>5033.8980000000001</v>
          </cell>
          <cell r="Y120">
            <v>5957.3379999999997</v>
          </cell>
          <cell r="Z120">
            <v>5231.8041871931509</v>
          </cell>
          <cell r="AA120">
            <v>5941.5705442806902</v>
          </cell>
          <cell r="AB120">
            <v>6698.1035657852353</v>
          </cell>
          <cell r="AC120">
            <v>7596.1704151428603</v>
          </cell>
          <cell r="AD120">
            <v>8529.5056642091495</v>
          </cell>
          <cell r="AE120">
            <v>9495.938069633934</v>
          </cell>
          <cell r="AF120">
            <v>10539.34683473531</v>
          </cell>
          <cell r="AG120">
            <v>11557.023602324314</v>
          </cell>
          <cell r="AH120">
            <v>12648.109168068206</v>
          </cell>
          <cell r="AI120">
            <v>13711.722711797587</v>
          </cell>
        </row>
        <row r="121">
          <cell r="A121" t="str">
            <v>Financial Leverage (Assets/Equity)</v>
          </cell>
          <cell r="O121">
            <v>1.9604822505023445</v>
          </cell>
          <cell r="P121">
            <v>2.1690374919560709</v>
          </cell>
          <cell r="Q121">
            <v>1.6985985638606509</v>
          </cell>
          <cell r="R121">
            <v>1.6646980380622627</v>
          </cell>
          <cell r="S121">
            <v>1.7294225640654446</v>
          </cell>
          <cell r="T121">
            <v>1.7499658001152254</v>
          </cell>
          <cell r="U121">
            <v>1.765982777138116</v>
          </cell>
          <cell r="V121">
            <v>1.7983699273075078</v>
          </cell>
          <cell r="W121">
            <v>1.6128109930579877</v>
          </cell>
          <cell r="X121">
            <v>1.5851198828422826</v>
          </cell>
          <cell r="Y121">
            <v>1.5364469143103834</v>
          </cell>
          <cell r="Z121">
            <v>1.7530688389787674</v>
          </cell>
          <cell r="AA121">
            <v>1.6848354151940366</v>
          </cell>
          <cell r="AB121">
            <v>1.6462828681270854</v>
          </cell>
          <cell r="AC121">
            <v>1.6048722368434694</v>
          </cell>
          <cell r="AD121">
            <v>1.5683514412300659</v>
          </cell>
          <cell r="AE121">
            <v>1.5375958806297632</v>
          </cell>
          <cell r="AF121">
            <v>1.5084118065649237</v>
          </cell>
          <cell r="AG121">
            <v>1.4859263056233978</v>
          </cell>
          <cell r="AH121">
            <v>1.4647067013868691</v>
          </cell>
          <cell r="AI121">
            <v>1.4480700005934239</v>
          </cell>
        </row>
        <row r="122">
          <cell r="A122" t="str">
            <v>ROE = (ROA * FINANCIAL LEVERAGE)</v>
          </cell>
          <cell r="O122">
            <v>0.19716738720087729</v>
          </cell>
          <cell r="P122">
            <v>0.19857344662792681</v>
          </cell>
          <cell r="Q122">
            <v>0.14794616362688026</v>
          </cell>
          <cell r="R122">
            <v>0.15315428469210357</v>
          </cell>
          <cell r="S122">
            <v>0.15355060180848065</v>
          </cell>
          <cell r="T122">
            <v>0.16496212043825659</v>
          </cell>
          <cell r="U122">
            <v>0.17434547321314078</v>
          </cell>
          <cell r="V122">
            <v>0.18094675927705586</v>
          </cell>
          <cell r="W122">
            <v>0.14001705190949293</v>
          </cell>
          <cell r="X122">
            <v>0.13975509396495533</v>
          </cell>
          <cell r="Y122">
            <v>0.14132147271213885</v>
          </cell>
          <cell r="Z122">
            <v>0.20224620818666689</v>
          </cell>
          <cell r="AA122">
            <v>0.20361053497076639</v>
          </cell>
          <cell r="AB122">
            <v>0.20998973928819106</v>
          </cell>
          <cell r="AC122">
            <v>0.2103779617913655</v>
          </cell>
          <cell r="AD122">
            <v>0.20321637821750635</v>
          </cell>
          <cell r="AE122">
            <v>0.19655060845365593</v>
          </cell>
          <cell r="AF122">
            <v>0.18913968734111208</v>
          </cell>
          <cell r="AG122">
            <v>0.18323721058794967</v>
          </cell>
          <cell r="AH122">
            <v>0.17718739899887986</v>
          </cell>
          <cell r="AI122">
            <v>0.1723790360561861</v>
          </cell>
        </row>
        <row r="124">
          <cell r="A124" t="str">
            <v>ADJUSTED TO INCLUDE LEASES</v>
          </cell>
        </row>
        <row r="125">
          <cell r="A125" t="str">
            <v>Reported EBIT</v>
          </cell>
          <cell r="O125">
            <v>149.93100000000015</v>
          </cell>
          <cell r="P125">
            <v>189.26799999999992</v>
          </cell>
          <cell r="Q125">
            <v>258.82599999999991</v>
          </cell>
          <cell r="R125">
            <v>322.7999999999995</v>
          </cell>
          <cell r="S125">
            <v>448.94299999999959</v>
          </cell>
          <cell r="T125">
            <v>634.93300000000102</v>
          </cell>
          <cell r="U125">
            <v>840.96800000000042</v>
          </cell>
          <cell r="V125">
            <v>1077.6660000000002</v>
          </cell>
          <cell r="W125">
            <v>1006.8019999999988</v>
          </cell>
          <cell r="X125">
            <v>1193.4550000000011</v>
          </cell>
          <cell r="Y125">
            <v>1413.6999999999985</v>
          </cell>
          <cell r="Z125">
            <v>1725.2856217929707</v>
          </cell>
          <cell r="AA125">
            <v>1974.8756841554095</v>
          </cell>
          <cell r="AB125">
            <v>2285.1173521012452</v>
          </cell>
          <cell r="AC125">
            <v>2589.6116377844542</v>
          </cell>
          <cell r="AD125">
            <v>2804.3298482756736</v>
          </cell>
          <cell r="AE125">
            <v>3017.6957745184318</v>
          </cell>
          <cell r="AF125">
            <v>3221.2211916262959</v>
          </cell>
          <cell r="AG125">
            <v>3420.3923367261818</v>
          </cell>
          <cell r="AH125">
            <v>3618.1821243779286</v>
          </cell>
          <cell r="AI125">
            <v>3814.5629274325765</v>
          </cell>
        </row>
        <row r="126">
          <cell r="A126" t="str">
            <v>Lease Adjustments</v>
          </cell>
          <cell r="O126">
            <v>0</v>
          </cell>
          <cell r="P126">
            <v>13.630208460465646</v>
          </cell>
          <cell r="Q126">
            <v>26.63888992756894</v>
          </cell>
          <cell r="R126">
            <v>33.762603400521755</v>
          </cell>
          <cell r="S126">
            <v>46.618911901394426</v>
          </cell>
          <cell r="T126">
            <v>67.146094627130594</v>
          </cell>
          <cell r="U126">
            <v>68.584068072129696</v>
          </cell>
          <cell r="V126">
            <v>84.350042167620217</v>
          </cell>
          <cell r="W126">
            <v>117.2707215405328</v>
          </cell>
          <cell r="X126">
            <v>106.08264279480272</v>
          </cell>
          <cell r="Y126">
            <v>118.93851869301426</v>
          </cell>
          <cell r="Z126">
            <v>150.53762914129152</v>
          </cell>
          <cell r="AA126">
            <v>187.76135318005822</v>
          </cell>
          <cell r="AB126">
            <v>231.72387347886934</v>
          </cell>
          <cell r="AC126">
            <v>232.55750585431969</v>
          </cell>
          <cell r="AD126">
            <v>233.47309951671605</v>
          </cell>
          <cell r="AE126">
            <v>225.60861147826472</v>
          </cell>
          <cell r="AF126">
            <v>219.61469945442747</v>
          </cell>
          <cell r="AG126">
            <v>216.64151222293077</v>
          </cell>
          <cell r="AH126">
            <v>201.18096037393377</v>
          </cell>
          <cell r="AI126">
            <v>202.16366021592921</v>
          </cell>
        </row>
        <row r="127">
          <cell r="A127" t="str">
            <v>Adjusted EBIT</v>
          </cell>
          <cell r="O127">
            <v>149.93100000000015</v>
          </cell>
          <cell r="P127">
            <v>202.89820846046555</v>
          </cell>
          <cell r="Q127">
            <v>285.46488992756883</v>
          </cell>
          <cell r="R127">
            <v>356.56260340052125</v>
          </cell>
          <cell r="S127">
            <v>495.56191190139401</v>
          </cell>
          <cell r="T127">
            <v>702.07909462713155</v>
          </cell>
          <cell r="U127">
            <v>909.55206807213017</v>
          </cell>
          <cell r="V127">
            <v>1162.0160421676203</v>
          </cell>
          <cell r="W127">
            <v>1124.0727215405316</v>
          </cell>
          <cell r="X127">
            <v>1299.5376427948038</v>
          </cell>
          <cell r="Y127">
            <v>1532.6385186930127</v>
          </cell>
          <cell r="Z127">
            <v>1875.8232509342622</v>
          </cell>
          <cell r="AA127">
            <v>2162.6370373354675</v>
          </cell>
          <cell r="AB127">
            <v>2516.8412255801145</v>
          </cell>
          <cell r="AC127">
            <v>2822.1691436387737</v>
          </cell>
          <cell r="AD127">
            <v>3037.8029477923897</v>
          </cell>
          <cell r="AE127">
            <v>3243.3043859966965</v>
          </cell>
          <cell r="AF127">
            <v>3440.8358910807233</v>
          </cell>
          <cell r="AG127">
            <v>3637.0338489491128</v>
          </cell>
          <cell r="AH127">
            <v>3819.3630847518625</v>
          </cell>
          <cell r="AI127">
            <v>4016.7265876485058</v>
          </cell>
        </row>
        <row r="128">
          <cell r="A128" t="str">
            <v>Financial Income</v>
          </cell>
          <cell r="O128">
            <v>-27.201999999999998</v>
          </cell>
          <cell r="P128">
            <v>-17.622000000000014</v>
          </cell>
          <cell r="Q128">
            <v>-23.771999999999991</v>
          </cell>
          <cell r="R128">
            <v>-21.115999999999985</v>
          </cell>
          <cell r="S128">
            <v>-27.163000000000011</v>
          </cell>
          <cell r="T128">
            <v>-38.612999999999943</v>
          </cell>
          <cell r="U128">
            <v>-50.11099999999999</v>
          </cell>
          <cell r="V128">
            <v>-56.009000000000015</v>
          </cell>
          <cell r="W128">
            <v>-72.966000000000008</v>
          </cell>
          <cell r="X128">
            <v>-62.471000000000004</v>
          </cell>
          <cell r="Y128">
            <v>-60.022186495176811</v>
          </cell>
          <cell r="Z128">
            <v>-32.577065393690873</v>
          </cell>
          <cell r="AA128">
            <v>-29.913695268690844</v>
          </cell>
          <cell r="AB128">
            <v>-23.810243573038406</v>
          </cell>
          <cell r="AC128">
            <v>-20.372330135538505</v>
          </cell>
          <cell r="AD128">
            <v>-17.617229198038331</v>
          </cell>
          <cell r="AE128">
            <v>-17.000588948038512</v>
          </cell>
          <cell r="AF128">
            <v>-16.383948698038694</v>
          </cell>
          <cell r="AG128">
            <v>-15.76730844803842</v>
          </cell>
          <cell r="AH128">
            <v>-15.150668198038602</v>
          </cell>
          <cell r="AI128">
            <v>-14.541152948038416</v>
          </cell>
        </row>
        <row r="129">
          <cell r="A129" t="str">
            <v>Lease Interest Expense</v>
          </cell>
          <cell r="O129">
            <v>0</v>
          </cell>
          <cell r="P129">
            <v>-38.694905808411242</v>
          </cell>
          <cell r="Q129">
            <v>-55.460793501673315</v>
          </cell>
          <cell r="R129">
            <v>-71.173031999457947</v>
          </cell>
          <cell r="S129">
            <v>-96.81699998391386</v>
          </cell>
          <cell r="T129">
            <v>-111.73626038241318</v>
          </cell>
          <cell r="U129">
            <v>-129.66069647880414</v>
          </cell>
          <cell r="V129">
            <v>-160.82247126698647</v>
          </cell>
          <cell r="W129">
            <v>-186.95689049973771</v>
          </cell>
          <cell r="X129">
            <v>-243.55343382086784</v>
          </cell>
          <cell r="Y129">
            <v>-262.20975843270691</v>
          </cell>
          <cell r="Z129">
            <v>-311.9095126107357</v>
          </cell>
          <cell r="AA129">
            <v>-371.03424244062285</v>
          </cell>
          <cell r="AB129">
            <v>-441.36093025689058</v>
          </cell>
          <cell r="AC129">
            <v>-433.39854413539001</v>
          </cell>
          <cell r="AD129">
            <v>-429.72970851298896</v>
          </cell>
          <cell r="AE129">
            <v>-420.93851032168237</v>
          </cell>
          <cell r="AF129">
            <v>-412.13018583940453</v>
          </cell>
          <cell r="AG129">
            <v>-403.18502443296831</v>
          </cell>
          <cell r="AH129">
            <v>-393.9065267838962</v>
          </cell>
          <cell r="AI129">
            <v>-385.0314153107326</v>
          </cell>
        </row>
        <row r="130">
          <cell r="A130" t="str">
            <v>EBT</v>
          </cell>
          <cell r="O130">
            <v>122.72900000000016</v>
          </cell>
          <cell r="P130">
            <v>146.58130265205429</v>
          </cell>
          <cell r="Q130">
            <v>206.23209642589552</v>
          </cell>
          <cell r="R130">
            <v>264.27357140106335</v>
          </cell>
          <cell r="S130">
            <v>371.58191191748017</v>
          </cell>
          <cell r="T130">
            <v>551.7298342447184</v>
          </cell>
          <cell r="U130">
            <v>729.78037159332598</v>
          </cell>
          <cell r="V130">
            <v>945.18457090063384</v>
          </cell>
          <cell r="W130">
            <v>864.14983104079374</v>
          </cell>
          <cell r="X130">
            <v>993.51320897393589</v>
          </cell>
          <cell r="Y130">
            <v>1210.406573765129</v>
          </cell>
          <cell r="Z130">
            <v>1531.3366729298357</v>
          </cell>
          <cell r="AA130">
            <v>1761.6890996261538</v>
          </cell>
          <cell r="AB130">
            <v>2051.6700517501854</v>
          </cell>
          <cell r="AC130">
            <v>2368.3982693678454</v>
          </cell>
          <cell r="AD130">
            <v>2590.4560100813624</v>
          </cell>
          <cell r="AE130">
            <v>2805.3652867269757</v>
          </cell>
          <cell r="AF130">
            <v>3012.3217565432801</v>
          </cell>
          <cell r="AG130">
            <v>3218.0815160681059</v>
          </cell>
          <cell r="AH130">
            <v>3410.3058897699275</v>
          </cell>
          <cell r="AI130">
            <v>3617.1540193897349</v>
          </cell>
        </row>
        <row r="131">
          <cell r="A131" t="str">
            <v>Adjusted Taxes</v>
          </cell>
          <cell r="O131">
            <v>50.076999999999998</v>
          </cell>
          <cell r="P131">
            <v>58.830301549118687</v>
          </cell>
          <cell r="Q131">
            <v>82.296362959302726</v>
          </cell>
          <cell r="R131">
            <v>108.27242598499967</v>
          </cell>
          <cell r="S131">
            <v>143.57414809898953</v>
          </cell>
          <cell r="T131">
            <v>215.54768584706758</v>
          </cell>
          <cell r="U131">
            <v>280.69604451149894</v>
          </cell>
          <cell r="V131">
            <v>357.28037284764167</v>
          </cell>
          <cell r="W131">
            <v>326.63382270740635</v>
          </cell>
          <cell r="X131">
            <v>375.51211708280266</v>
          </cell>
          <cell r="Y131">
            <v>457.61221049956703</v>
          </cell>
          <cell r="Z131">
            <v>574.09772042030022</v>
          </cell>
          <cell r="AA131">
            <v>665.91847965868612</v>
          </cell>
          <cell r="AB131">
            <v>775.53127956157005</v>
          </cell>
          <cell r="AC131">
            <v>895.25454582104555</v>
          </cell>
          <cell r="AD131">
            <v>979.19237181075493</v>
          </cell>
          <cell r="AE131">
            <v>1060.4280783827969</v>
          </cell>
          <cell r="AF131">
            <v>1138.6576239733599</v>
          </cell>
          <cell r="AG131">
            <v>1216.434813073744</v>
          </cell>
          <cell r="AH131">
            <v>1289.0956263330327</v>
          </cell>
          <cell r="AI131">
            <v>1367.2842193293197</v>
          </cell>
        </row>
        <row r="132">
          <cell r="A132" t="str">
            <v>Adjusted Net Income</v>
          </cell>
          <cell r="O132">
            <v>72.652000000000157</v>
          </cell>
          <cell r="P132">
            <v>87.751001102935604</v>
          </cell>
          <cell r="Q132">
            <v>123.93573346659279</v>
          </cell>
          <cell r="R132">
            <v>156.00114541606368</v>
          </cell>
          <cell r="S132">
            <v>228.00776381849064</v>
          </cell>
          <cell r="T132">
            <v>336.18214839765085</v>
          </cell>
          <cell r="U132">
            <v>449.08432708182704</v>
          </cell>
          <cell r="V132">
            <v>587.90419805299211</v>
          </cell>
          <cell r="W132">
            <v>537.51600833338739</v>
          </cell>
          <cell r="X132">
            <v>618.00109189113323</v>
          </cell>
          <cell r="Y132">
            <v>752.79436326556197</v>
          </cell>
          <cell r="Z132">
            <v>957.23895250953547</v>
          </cell>
          <cell r="AA132">
            <v>1095.7706199674676</v>
          </cell>
          <cell r="AB132">
            <v>1276.1387721886153</v>
          </cell>
          <cell r="AC132">
            <v>1473.1437235467997</v>
          </cell>
          <cell r="AD132">
            <v>1611.2636382706073</v>
          </cell>
          <cell r="AE132">
            <v>1744.9372083441788</v>
          </cell>
          <cell r="AF132">
            <v>1873.6641325699202</v>
          </cell>
          <cell r="AG132">
            <v>2001.6467029943619</v>
          </cell>
          <cell r="AH132">
            <v>2121.2102634368948</v>
          </cell>
          <cell r="AI132">
            <v>2249.8698000604154</v>
          </cell>
        </row>
        <row r="133">
          <cell r="A133" t="str">
            <v xml:space="preserve">[A] = Tax Burden (NI/EBT) </v>
          </cell>
          <cell r="O133">
            <v>0.59197092781657201</v>
          </cell>
          <cell r="P133">
            <v>0.5986507113477737</v>
          </cell>
          <cell r="Q133">
            <v>0.60095269172190213</v>
          </cell>
          <cell r="R133">
            <v>0.59030172630964783</v>
          </cell>
          <cell r="S133">
            <v>0.61361373227749028</v>
          </cell>
          <cell r="T133">
            <v>0.60932385296485181</v>
          </cell>
          <cell r="U133">
            <v>0.61536915017506344</v>
          </cell>
          <cell r="V133">
            <v>0.62199935986343746</v>
          </cell>
          <cell r="W133">
            <v>0.6220171421962738</v>
          </cell>
          <cell r="X133">
            <v>0.62203611014833127</v>
          </cell>
          <cell r="Y133">
            <v>0.62193512459528044</v>
          </cell>
          <cell r="Z133">
            <v>0.62510026007415753</v>
          </cell>
          <cell r="AA133">
            <v>0.622</v>
          </cell>
          <cell r="AB133">
            <v>0.622</v>
          </cell>
          <cell r="AC133">
            <v>0.622</v>
          </cell>
          <cell r="AD133">
            <v>0.622</v>
          </cell>
          <cell r="AE133">
            <v>0.622</v>
          </cell>
          <cell r="AF133">
            <v>0.622</v>
          </cell>
          <cell r="AG133">
            <v>0.622</v>
          </cell>
          <cell r="AH133">
            <v>0.622</v>
          </cell>
          <cell r="AI133">
            <v>0.62200000000000011</v>
          </cell>
        </row>
        <row r="134">
          <cell r="A134" t="str">
            <v>Pre-tax Income</v>
          </cell>
          <cell r="O134">
            <v>122.72900000000016</v>
          </cell>
          <cell r="P134">
            <v>146.58130265205429</v>
          </cell>
          <cell r="Q134">
            <v>206.23209642589552</v>
          </cell>
          <cell r="R134">
            <v>264.27357140106335</v>
          </cell>
          <cell r="S134">
            <v>371.58191191748017</v>
          </cell>
          <cell r="T134">
            <v>551.7298342447184</v>
          </cell>
          <cell r="U134">
            <v>729.78037159332598</v>
          </cell>
          <cell r="V134">
            <v>945.18457090063384</v>
          </cell>
          <cell r="W134">
            <v>864.14983104079374</v>
          </cell>
          <cell r="X134">
            <v>993.51320897393589</v>
          </cell>
          <cell r="Y134">
            <v>1210.406573765129</v>
          </cell>
          <cell r="Z134">
            <v>1531.3366729298357</v>
          </cell>
          <cell r="AA134">
            <v>1761.6890996261538</v>
          </cell>
          <cell r="AB134">
            <v>2051.6700517501854</v>
          </cell>
          <cell r="AC134">
            <v>2368.3982693678454</v>
          </cell>
          <cell r="AD134">
            <v>2590.4560100813624</v>
          </cell>
          <cell r="AE134">
            <v>2805.3652867269757</v>
          </cell>
          <cell r="AF134">
            <v>3012.3217565432801</v>
          </cell>
          <cell r="AG134">
            <v>3218.0815160681059</v>
          </cell>
          <cell r="AH134">
            <v>3410.3058897699275</v>
          </cell>
          <cell r="AI134">
            <v>3617.1540193897349</v>
          </cell>
        </row>
        <row r="135">
          <cell r="A135" t="str">
            <v>Operating Income</v>
          </cell>
          <cell r="O135">
            <v>149.93100000000015</v>
          </cell>
          <cell r="P135">
            <v>202.89820846046555</v>
          </cell>
          <cell r="Q135">
            <v>285.46488992756883</v>
          </cell>
          <cell r="R135">
            <v>356.56260340052125</v>
          </cell>
          <cell r="S135">
            <v>495.56191190139401</v>
          </cell>
          <cell r="T135">
            <v>702.07909462713155</v>
          </cell>
          <cell r="U135">
            <v>909.55206807213017</v>
          </cell>
          <cell r="V135">
            <v>1162.0160421676203</v>
          </cell>
          <cell r="W135">
            <v>1124.0727215405316</v>
          </cell>
          <cell r="X135">
            <v>1299.5376427948038</v>
          </cell>
          <cell r="Y135">
            <v>1532.6385186930127</v>
          </cell>
          <cell r="Z135">
            <v>1875.8232509342622</v>
          </cell>
          <cell r="AA135">
            <v>2162.6370373354675</v>
          </cell>
          <cell r="AB135">
            <v>2516.8412255801145</v>
          </cell>
          <cell r="AC135">
            <v>2822.1691436387737</v>
          </cell>
          <cell r="AD135">
            <v>3037.8029477923897</v>
          </cell>
          <cell r="AE135">
            <v>3243.3043859966965</v>
          </cell>
          <cell r="AF135">
            <v>3440.8358910807233</v>
          </cell>
          <cell r="AG135">
            <v>3637.0338489491128</v>
          </cell>
          <cell r="AH135">
            <v>3819.3630847518625</v>
          </cell>
          <cell r="AI135">
            <v>4016.7265876485058</v>
          </cell>
        </row>
        <row r="136">
          <cell r="A136" t="str">
            <v xml:space="preserve">[B] = Interest Burden (EBT/EBIT) </v>
          </cell>
          <cell r="O136">
            <v>0.81856987547605253</v>
          </cell>
          <cell r="P136">
            <v>0.72243763887454659</v>
          </cell>
          <cell r="Q136">
            <v>0.7224429472858217</v>
          </cell>
          <cell r="R136">
            <v>0.74117018689200265</v>
          </cell>
          <cell r="S136">
            <v>0.74981935252404319</v>
          </cell>
          <cell r="T136">
            <v>0.78585139262370085</v>
          </cell>
          <cell r="U136">
            <v>0.80235139604503902</v>
          </cell>
          <cell r="V136">
            <v>0.81340062150733317</v>
          </cell>
          <cell r="W136">
            <v>0.76876683730611672</v>
          </cell>
          <cell r="X136">
            <v>0.76451283614784138</v>
          </cell>
          <cell r="Y136">
            <v>0.7897534604554548</v>
          </cell>
          <cell r="Z136">
            <v>0.81635445779187699</v>
          </cell>
          <cell r="AA136">
            <v>0.81460229766373005</v>
          </cell>
          <cell r="AB136">
            <v>0.81517659155368039</v>
          </cell>
          <cell r="AC136">
            <v>0.8392120205503143</v>
          </cell>
          <cell r="AD136">
            <v>0.85273997510729915</v>
          </cell>
          <cell r="AE136">
            <v>0.86497132333290438</v>
          </cell>
          <cell r="AF136">
            <v>0.87546219927308067</v>
          </cell>
          <cell r="AG136">
            <v>0.88480933907116122</v>
          </cell>
          <cell r="AH136">
            <v>0.89289910754622304</v>
          </cell>
          <cell r="AI136">
            <v>0.90052283630968</v>
          </cell>
        </row>
        <row r="137">
          <cell r="A137" t="str">
            <v>EBIT</v>
          </cell>
          <cell r="O137">
            <v>149.93100000000015</v>
          </cell>
          <cell r="P137">
            <v>202.89820846046555</v>
          </cell>
          <cell r="Q137">
            <v>285.46488992756883</v>
          </cell>
          <cell r="R137">
            <v>356.56260340052125</v>
          </cell>
          <cell r="S137">
            <v>495.56191190139401</v>
          </cell>
          <cell r="T137">
            <v>702.07909462713155</v>
          </cell>
          <cell r="U137">
            <v>909.55206807213017</v>
          </cell>
          <cell r="V137">
            <v>1162.0160421676203</v>
          </cell>
          <cell r="W137">
            <v>1124.0727215405316</v>
          </cell>
          <cell r="X137">
            <v>1299.5376427948038</v>
          </cell>
          <cell r="Y137">
            <v>1532.6385186930127</v>
          </cell>
          <cell r="Z137">
            <v>1875.8232509342622</v>
          </cell>
          <cell r="AA137">
            <v>2162.6370373354675</v>
          </cell>
          <cell r="AB137">
            <v>2516.8412255801145</v>
          </cell>
          <cell r="AC137">
            <v>2822.1691436387737</v>
          </cell>
          <cell r="AD137">
            <v>3037.8029477923897</v>
          </cell>
          <cell r="AE137">
            <v>3243.3043859966965</v>
          </cell>
          <cell r="AF137">
            <v>3440.8358910807233</v>
          </cell>
          <cell r="AG137">
            <v>3637.0338489491128</v>
          </cell>
          <cell r="AH137">
            <v>3819.3630847518625</v>
          </cell>
          <cell r="AI137">
            <v>4016.7265876485058</v>
          </cell>
        </row>
        <row r="138">
          <cell r="A138" t="str">
            <v>Sales</v>
          </cell>
          <cell r="O138">
            <v>1925.6690000000001</v>
          </cell>
          <cell r="P138">
            <v>2388.5</v>
          </cell>
          <cell r="Q138">
            <v>3060.0839999999998</v>
          </cell>
          <cell r="R138">
            <v>3681.7</v>
          </cell>
          <cell r="S138">
            <v>4556.9799999999996</v>
          </cell>
          <cell r="T138">
            <v>6152.2000000000007</v>
          </cell>
          <cell r="U138">
            <v>7488.6460000000006</v>
          </cell>
          <cell r="V138">
            <v>9120.2870000000003</v>
          </cell>
          <cell r="W138">
            <v>10282.093999999999</v>
          </cell>
          <cell r="X138">
            <v>11700.7</v>
          </cell>
          <cell r="Y138">
            <v>13402.199999999999</v>
          </cell>
          <cell r="Z138">
            <v>15432.124031897749</v>
          </cell>
          <cell r="AA138">
            <v>17576.766512535702</v>
          </cell>
          <cell r="AB138">
            <v>19634.069507911772</v>
          </cell>
          <cell r="AC138">
            <v>21753.091593149125</v>
          </cell>
          <cell r="AD138">
            <v>23718.153425012108</v>
          </cell>
          <cell r="AE138">
            <v>25722.51649351235</v>
          </cell>
          <cell r="AF138">
            <v>27690.466823382598</v>
          </cell>
          <cell r="AG138">
            <v>29697.776159850251</v>
          </cell>
          <cell r="AH138">
            <v>31745.231683047256</v>
          </cell>
          <cell r="AI138">
            <v>33833.636316708202</v>
          </cell>
        </row>
        <row r="139">
          <cell r="A139" t="str">
            <v xml:space="preserve">[C] = Operating Margin (EBIT/Sales) </v>
          </cell>
          <cell r="O139">
            <v>7.7859175174965239E-2</v>
          </cell>
          <cell r="P139">
            <v>8.4947962512231759E-2</v>
          </cell>
          <cell r="Q139">
            <v>9.3286618905745355E-2</v>
          </cell>
          <cell r="R139">
            <v>9.6847272564446113E-2</v>
          </cell>
          <cell r="S139">
            <v>0.10874787949505903</v>
          </cell>
          <cell r="T139">
            <v>0.11411837954343673</v>
          </cell>
          <cell r="U139">
            <v>0.12145747950592538</v>
          </cell>
          <cell r="V139">
            <v>0.1274100302071218</v>
          </cell>
          <cell r="W139">
            <v>0.10932332670179165</v>
          </cell>
          <cell r="X139">
            <v>0.11106494848981717</v>
          </cell>
          <cell r="Y139">
            <v>0.11435723378945344</v>
          </cell>
          <cell r="Z139">
            <v>0.12155314764558595</v>
          </cell>
          <cell r="AA139">
            <v>0.12303952696834658</v>
          </cell>
          <cell r="AB139">
            <v>0.12818744603944304</v>
          </cell>
          <cell r="AC139">
            <v>0.12973646212787437</v>
          </cell>
          <cell r="AD139">
            <v>0.12807923506342017</v>
          </cell>
          <cell r="AE139">
            <v>0.12608814486773531</v>
          </cell>
          <cell r="AF139">
            <v>0.12426066750796654</v>
          </cell>
          <cell r="AG139">
            <v>0.12246822217840611</v>
          </cell>
          <cell r="AH139">
            <v>0.12031296929521222</v>
          </cell>
          <cell r="AI139">
            <v>0.11871991972866687</v>
          </cell>
        </row>
        <row r="140">
          <cell r="A140" t="str">
            <v>Sales</v>
          </cell>
          <cell r="O140">
            <v>1925.6690000000001</v>
          </cell>
          <cell r="P140">
            <v>2388.5</v>
          </cell>
          <cell r="Q140">
            <v>3060.0839999999998</v>
          </cell>
          <cell r="R140">
            <v>3681.7</v>
          </cell>
          <cell r="S140">
            <v>4556.9799999999996</v>
          </cell>
          <cell r="T140">
            <v>6152.2000000000007</v>
          </cell>
          <cell r="U140">
            <v>7488.6460000000006</v>
          </cell>
          <cell r="V140">
            <v>9120.2870000000003</v>
          </cell>
          <cell r="W140">
            <v>10282.093999999999</v>
          </cell>
          <cell r="X140">
            <v>11700.7</v>
          </cell>
          <cell r="Y140">
            <v>13402.199999999999</v>
          </cell>
          <cell r="Z140">
            <v>15432.124031897749</v>
          </cell>
          <cell r="AA140">
            <v>17576.766512535702</v>
          </cell>
          <cell r="AB140">
            <v>19634.069507911772</v>
          </cell>
          <cell r="AC140">
            <v>21753.091593149125</v>
          </cell>
          <cell r="AD140">
            <v>23718.153425012108</v>
          </cell>
          <cell r="AE140">
            <v>25722.51649351235</v>
          </cell>
          <cell r="AF140">
            <v>27690.466823382598</v>
          </cell>
          <cell r="AG140">
            <v>29697.776159850251</v>
          </cell>
          <cell r="AH140">
            <v>31745.231683047256</v>
          </cell>
          <cell r="AI140">
            <v>33833.636316708202</v>
          </cell>
        </row>
        <row r="141">
          <cell r="A141" t="str">
            <v>Reported Assets</v>
          </cell>
          <cell r="O141">
            <v>804.92499999999995</v>
          </cell>
          <cell r="P141">
            <v>1122.414</v>
          </cell>
          <cell r="Q141">
            <v>1621.7913339999998</v>
          </cell>
          <cell r="R141">
            <v>1935.6759199999997</v>
          </cell>
          <cell r="S141">
            <v>2914.946919999999</v>
          </cell>
          <cell r="T141">
            <v>3854.5429200000003</v>
          </cell>
          <cell r="U141">
            <v>4929.57492</v>
          </cell>
          <cell r="V141">
            <v>6315.7259200000008</v>
          </cell>
          <cell r="W141">
            <v>6690.7609199999997</v>
          </cell>
          <cell r="X141">
            <v>7979.3318080000008</v>
          </cell>
          <cell r="Y141">
            <v>9153.1335876039902</v>
          </cell>
          <cell r="Z141">
            <v>9171.7128922069514</v>
          </cell>
          <cell r="AA141">
            <v>10010.568474877815</v>
          </cell>
          <cell r="AB141">
            <v>11026.973149293175</v>
          </cell>
          <cell r="AC141">
            <v>12190.883005594507</v>
          </cell>
          <cell r="AD141">
            <v>13377.26250144243</v>
          </cell>
          <cell r="AE141">
            <v>14600.915258584482</v>
          </cell>
          <cell r="AF141">
            <v>15897.6751989974</v>
          </cell>
          <cell r="AG141">
            <v>17172.885385404181</v>
          </cell>
          <cell r="AH141">
            <v>18525.7702583422</v>
          </cell>
          <cell r="AI141">
            <v>19855.534315409597</v>
          </cell>
        </row>
        <row r="142">
          <cell r="A142" t="str">
            <v>Lease Adjustments</v>
          </cell>
          <cell r="O142">
            <v>274.52370541508816</v>
          </cell>
          <cell r="P142">
            <v>448.12111595883397</v>
          </cell>
          <cell r="Q142">
            <v>634.73225198922592</v>
          </cell>
          <cell r="R142">
            <v>828.76675632219349</v>
          </cell>
          <cell r="S142">
            <v>1244.0991681506562</v>
          </cell>
          <cell r="T142">
            <v>1447.74849106242</v>
          </cell>
          <cell r="U142">
            <v>1794.8500397443527</v>
          </cell>
          <cell r="V142">
            <v>2266.2355130346646</v>
          </cell>
          <cell r="W142">
            <v>2532.2944327544283</v>
          </cell>
          <cell r="X142">
            <v>3427.7737850969011</v>
          </cell>
          <cell r="Y142">
            <v>3583.2299507508033</v>
          </cell>
          <cell r="Z142">
            <v>4221.0210381135457</v>
          </cell>
          <cell r="AA142">
            <v>4988.6140065771306</v>
          </cell>
          <cell r="AB142">
            <v>5910.3375022433956</v>
          </cell>
          <cell r="AC142">
            <v>5569.0309622377154</v>
          </cell>
          <cell r="AD142">
            <v>5228.458018722431</v>
          </cell>
          <cell r="AE142">
            <v>4888.5306401186954</v>
          </cell>
          <cell r="AF142">
            <v>4549.1713586371234</v>
          </cell>
          <cell r="AG142">
            <v>4210.3120026230545</v>
          </cell>
          <cell r="AH142">
            <v>3871.8925810203882</v>
          </cell>
          <cell r="AI142">
            <v>3533.8603016997567</v>
          </cell>
        </row>
        <row r="143">
          <cell r="A143" t="str">
            <v>Adjusted Assets</v>
          </cell>
          <cell r="O143">
            <v>539.72435270754409</v>
          </cell>
          <cell r="P143">
            <v>1324.9919106869611</v>
          </cell>
          <cell r="Q143">
            <v>1913.5293509740297</v>
          </cell>
          <cell r="R143">
            <v>2510.4831311557091</v>
          </cell>
          <cell r="S143">
            <v>3461.7443822364239</v>
          </cell>
          <cell r="T143">
            <v>4730.6687496065379</v>
          </cell>
          <cell r="U143">
            <v>6013.3581854033864</v>
          </cell>
          <cell r="V143">
            <v>7653.1931963895086</v>
          </cell>
          <cell r="W143">
            <v>8902.508392894546</v>
          </cell>
          <cell r="X143">
            <v>10315.080472925665</v>
          </cell>
          <cell r="Y143">
            <v>12071.734565725848</v>
          </cell>
          <cell r="Z143">
            <v>13064.548734337644</v>
          </cell>
          <cell r="AA143">
            <v>14195.95820588772</v>
          </cell>
          <cell r="AB143">
            <v>15968.24656649576</v>
          </cell>
          <cell r="AC143">
            <v>17348.612309684398</v>
          </cell>
          <cell r="AD143">
            <v>18182.817243998543</v>
          </cell>
          <cell r="AE143">
            <v>19047.583209434018</v>
          </cell>
          <cell r="AF143">
            <v>19968.146228168851</v>
          </cell>
          <cell r="AG143">
            <v>20915.02197283088</v>
          </cell>
          <cell r="AH143">
            <v>21890.430113694911</v>
          </cell>
          <cell r="AI143">
            <v>22893.528728235971</v>
          </cell>
        </row>
        <row r="144">
          <cell r="A144" t="str">
            <v xml:space="preserve">[D] = Asset Turnover (Sales/Avg. Assets) </v>
          </cell>
          <cell r="O144">
            <v>3.5678749538348997</v>
          </cell>
          <cell r="P144">
            <v>1.8026525148833912</v>
          </cell>
          <cell r="Q144">
            <v>1.5991832048159322</v>
          </cell>
          <cell r="R144">
            <v>1.4665304675061159</v>
          </cell>
          <cell r="S144">
            <v>1.3163825796565631</v>
          </cell>
          <cell r="T144">
            <v>1.3004926630112699</v>
          </cell>
          <cell r="U144">
            <v>1.2453350971471608</v>
          </cell>
          <cell r="V144">
            <v>1.1916969513199551</v>
          </cell>
          <cell r="W144">
            <v>1.154965942880386</v>
          </cell>
          <cell r="X144">
            <v>1.1343294926986967</v>
          </cell>
          <cell r="Y144">
            <v>1.1102132777216307</v>
          </cell>
          <cell r="Z144">
            <v>1.1812213606228426</v>
          </cell>
          <cell r="AA144">
            <v>1.2381528782781146</v>
          </cell>
          <cell r="AB144">
            <v>1.2295695351490605</v>
          </cell>
          <cell r="AC144">
            <v>1.2538807833642143</v>
          </cell>
          <cell r="AD144">
            <v>1.3044267621861827</v>
          </cell>
          <cell r="AE144">
            <v>1.350434656758571</v>
          </cell>
          <cell r="AF144">
            <v>1.3867319733626526</v>
          </cell>
          <cell r="AG144">
            <v>1.4199256495368917</v>
          </cell>
          <cell r="AH144">
            <v>1.4501876627443271</v>
          </cell>
          <cell r="AI144">
            <v>1.4778689960093017</v>
          </cell>
        </row>
        <row r="145">
          <cell r="A145" t="str">
            <v>ROA = [A*B*C*D]</v>
          </cell>
          <cell r="O145">
            <v>0.13460945320613962</v>
          </cell>
          <cell r="P145">
            <v>6.622757497246895E-2</v>
          </cell>
          <cell r="Q145">
            <v>6.476813820676787E-2</v>
          </cell>
          <cell r="R145">
            <v>6.2139889920012348E-2</v>
          </cell>
          <cell r="S145">
            <v>6.5864991357677483E-2</v>
          </cell>
          <cell r="T145">
            <v>7.1064402559492673E-2</v>
          </cell>
          <cell r="U145">
            <v>7.4681120471406223E-2</v>
          </cell>
          <cell r="V145">
            <v>7.6818157201407555E-2</v>
          </cell>
          <cell r="W145">
            <v>6.0378040054688491E-2</v>
          </cell>
          <cell r="X145">
            <v>5.9912386870196635E-2</v>
          </cell>
          <cell r="Y145">
            <v>6.2360082485817821E-2</v>
          </cell>
          <cell r="Z145">
            <v>7.3269959183023092E-2</v>
          </cell>
          <cell r="AA145">
            <v>7.7188915610712394E-2</v>
          </cell>
          <cell r="AB145">
            <v>7.9917276256629394E-2</v>
          </cell>
          <cell r="AC145">
            <v>8.4914210845812549E-2</v>
          </cell>
          <cell r="AD145">
            <v>8.8614630870935282E-2</v>
          </cell>
          <cell r="AE145">
            <v>9.1609375801541798E-2</v>
          </cell>
          <cell r="AF145">
            <v>9.3832652824164628E-2</v>
          </cell>
          <cell r="AG145">
            <v>9.5703781979983069E-2</v>
          </cell>
          <cell r="AH145">
            <v>9.690126015887833E-2</v>
          </cell>
          <cell r="AI145">
            <v>9.827536098816933E-2</v>
          </cell>
        </row>
        <row r="146">
          <cell r="A146" t="str">
            <v>Assets</v>
          </cell>
          <cell r="O146">
            <v>539.72435270754409</v>
          </cell>
          <cell r="P146">
            <v>1324.9919106869611</v>
          </cell>
          <cell r="Q146">
            <v>1913.5293509740297</v>
          </cell>
          <cell r="R146">
            <v>2510.4831311557091</v>
          </cell>
          <cell r="S146">
            <v>3461.7443822364239</v>
          </cell>
          <cell r="T146">
            <v>4730.6687496065379</v>
          </cell>
          <cell r="U146">
            <v>6013.3581854033864</v>
          </cell>
          <cell r="V146">
            <v>7653.1931963895086</v>
          </cell>
          <cell r="W146">
            <v>8902.508392894546</v>
          </cell>
          <cell r="X146">
            <v>10315.080472925665</v>
          </cell>
          <cell r="Y146">
            <v>12071.734565725848</v>
          </cell>
          <cell r="Z146">
            <v>13064.548734337644</v>
          </cell>
          <cell r="AA146">
            <v>14195.95820588772</v>
          </cell>
          <cell r="AB146">
            <v>15968.24656649576</v>
          </cell>
          <cell r="AC146">
            <v>17348.612309684398</v>
          </cell>
          <cell r="AD146">
            <v>18182.817243998543</v>
          </cell>
          <cell r="AE146">
            <v>19047.583209434018</v>
          </cell>
          <cell r="AF146">
            <v>19968.146228168851</v>
          </cell>
          <cell r="AG146">
            <v>20915.02197283088</v>
          </cell>
          <cell r="AH146">
            <v>21890.430113694911</v>
          </cell>
          <cell r="AI146">
            <v>22893.528728235971</v>
          </cell>
        </row>
        <row r="147">
          <cell r="A147" t="str">
            <v>Reported Equity</v>
          </cell>
          <cell r="O147">
            <v>410.57499999999993</v>
          </cell>
          <cell r="P147">
            <v>517.471</v>
          </cell>
          <cell r="Q147">
            <v>954.78199999999993</v>
          </cell>
          <cell r="R147">
            <v>1162.779</v>
          </cell>
          <cell r="S147">
            <v>1685.5029999999999</v>
          </cell>
          <cell r="T147">
            <v>2202.6390000000001</v>
          </cell>
          <cell r="U147">
            <v>2791.4059999999999</v>
          </cell>
          <cell r="V147">
            <v>3511.9169999999999</v>
          </cell>
          <cell r="W147">
            <v>4148.509</v>
          </cell>
          <cell r="X147">
            <v>5033.8980000000001</v>
          </cell>
          <cell r="Y147">
            <v>5957.3379999999997</v>
          </cell>
          <cell r="Z147">
            <v>5231.8041871931509</v>
          </cell>
          <cell r="AA147">
            <v>5941.5705442806902</v>
          </cell>
          <cell r="AB147">
            <v>6698.1035657852353</v>
          </cell>
          <cell r="AC147">
            <v>7596.1704151428603</v>
          </cell>
          <cell r="AD147">
            <v>8529.5056642091495</v>
          </cell>
          <cell r="AE147">
            <v>9495.938069633934</v>
          </cell>
          <cell r="AF147">
            <v>10539.34683473531</v>
          </cell>
          <cell r="AG147">
            <v>11557.023602324314</v>
          </cell>
          <cell r="AH147">
            <v>12648.109168068206</v>
          </cell>
          <cell r="AI147">
            <v>13711.722711797587</v>
          </cell>
        </row>
        <row r="148">
          <cell r="A148" t="str">
            <v>Adjustment to Equity</v>
          </cell>
          <cell r="O148">
            <v>-70.707458304533404</v>
          </cell>
          <cell r="P148">
            <v>-104.54479972425993</v>
          </cell>
          <cell r="Q148">
            <v>-143.45436954930065</v>
          </cell>
          <cell r="R148">
            <v>-193.9584481578645</v>
          </cell>
          <cell r="S148">
            <v>-261.72586706926546</v>
          </cell>
          <cell r="T148">
            <v>-321.92259083889672</v>
          </cell>
          <cell r="U148">
            <v>-409.37603918790757</v>
          </cell>
          <cell r="V148">
            <v>-512.81381847205273</v>
          </cell>
          <cell r="W148">
            <v>-606.89014656697907</v>
          </cell>
          <cell r="X148">
            <v>-792.4757144521667</v>
          </cell>
          <cell r="Y148">
            <v>-985.89188810075177</v>
          </cell>
          <cell r="Z148">
            <v>-1203.743930784502</v>
          </cell>
          <cell r="AA148">
            <v>-1451.1623312862641</v>
          </cell>
          <cell r="AB148">
            <v>-1734.1723579365919</v>
          </cell>
          <cell r="AC148">
            <v>-2005.307759616036</v>
          </cell>
          <cell r="AD148">
            <v>-2270.2541817610058</v>
          </cell>
          <cell r="AE148">
            <v>-2533.9495451996199</v>
          </cell>
          <cell r="AF148">
            <v>-2793.8454518193385</v>
          </cell>
          <cell r="AG148">
            <v>-3045.6791933028885</v>
          </cell>
          <cell r="AH148">
            <v>-3305.8587079563376</v>
          </cell>
          <cell r="AI148">
            <v>-3552.7301773343215</v>
          </cell>
        </row>
        <row r="149">
          <cell r="A149" t="str">
            <v>Adjusted Equity</v>
          </cell>
          <cell r="O149">
            <v>169.93377084773326</v>
          </cell>
          <cell r="P149">
            <v>376.3968709856033</v>
          </cell>
          <cell r="Q149">
            <v>612.12691536321972</v>
          </cell>
          <cell r="R149">
            <v>890.07409114641746</v>
          </cell>
          <cell r="S149">
            <v>1196.2988423864349</v>
          </cell>
          <cell r="T149">
            <v>1652.2467710459191</v>
          </cell>
          <cell r="U149">
            <v>2131.3731849865981</v>
          </cell>
          <cell r="V149">
            <v>2690.5665711700194</v>
          </cell>
          <cell r="W149">
            <v>3270.361017480484</v>
          </cell>
          <cell r="X149">
            <v>3891.5205694904271</v>
          </cell>
          <cell r="Y149">
            <v>4606.4341987235402</v>
          </cell>
          <cell r="Z149">
            <v>4499.7531841539485</v>
          </cell>
          <cell r="AA149">
            <v>4259.2342347015374</v>
          </cell>
          <cell r="AB149">
            <v>4727.1697104215345</v>
          </cell>
          <cell r="AC149">
            <v>5277.3969316877337</v>
          </cell>
          <cell r="AD149">
            <v>5925.0570689874839</v>
          </cell>
          <cell r="AE149">
            <v>6610.6200034412286</v>
          </cell>
          <cell r="AF149">
            <v>7353.7449536751428</v>
          </cell>
          <cell r="AG149">
            <v>8128.4228959686989</v>
          </cell>
          <cell r="AH149">
            <v>8926.7974345666462</v>
          </cell>
          <cell r="AI149">
            <v>9750.6214972875659</v>
          </cell>
        </row>
        <row r="150">
          <cell r="A150" t="str">
            <v>Financial Leverage (Assets/Equity)</v>
          </cell>
          <cell r="O150">
            <v>3.1760864836640179</v>
          </cell>
          <cell r="P150">
            <v>3.5201990580246889</v>
          </cell>
          <cell r="Q150">
            <v>3.1260336752854472</v>
          </cell>
          <cell r="R150">
            <v>2.8205327580338859</v>
          </cell>
          <cell r="S150">
            <v>2.8937120555351941</v>
          </cell>
          <cell r="T150">
            <v>2.8631732453693282</v>
          </cell>
          <cell r="U150">
            <v>2.8213539645527623</v>
          </cell>
          <cell r="V150">
            <v>2.8444541303660968</v>
          </cell>
          <cell r="W150">
            <v>2.7221790943903557</v>
          </cell>
          <cell r="X150">
            <v>2.6506555185127461</v>
          </cell>
          <cell r="Y150">
            <v>2.6206245536017794</v>
          </cell>
          <cell r="Z150">
            <v>2.9033922972364237</v>
          </cell>
          <cell r="AA150">
            <v>3.3329836828949353</v>
          </cell>
          <cell r="AB150">
            <v>3.3779719249960731</v>
          </cell>
          <cell r="AC150">
            <v>3.2873427059306377</v>
          </cell>
          <cell r="AD150">
            <v>3.0688003562311263</v>
          </cell>
          <cell r="AE150">
            <v>2.8813610825487772</v>
          </cell>
          <cell r="AF150">
            <v>2.715371059774037</v>
          </cell>
          <cell r="AG150">
            <v>2.5730725677675692</v>
          </cell>
          <cell r="AH150">
            <v>2.452215396860026</v>
          </cell>
          <cell r="AI150">
            <v>2.3479045653248369</v>
          </cell>
        </row>
        <row r="151">
          <cell r="A151" t="str">
            <v>ROE = (ROA * FINANCIAL LEVERAGE)</v>
          </cell>
          <cell r="O151">
            <v>0.42753126490142418</v>
          </cell>
          <cell r="P151">
            <v>0.23313424703334465</v>
          </cell>
          <cell r="Q151">
            <v>0.20246738111989834</v>
          </cell>
          <cell r="R151">
            <v>0.17526759510001449</v>
          </cell>
          <cell r="S151">
            <v>0.1905943195294327</v>
          </cell>
          <cell r="T151">
            <v>0.20346969610649504</v>
          </cell>
          <cell r="U151">
            <v>0.21070187531924442</v>
          </cell>
          <cell r="V151">
            <v>0.21850572453865585</v>
          </cell>
          <cell r="W151">
            <v>0.16435983839713653</v>
          </cell>
          <cell r="X151">
            <v>0.1588070988847573</v>
          </cell>
          <cell r="Y151">
            <v>0.16342236332696647</v>
          </cell>
          <cell r="Z151">
            <v>0.21273143511081641</v>
          </cell>
          <cell r="AA151">
            <v>0.25726939623085854</v>
          </cell>
          <cell r="AB151">
            <v>0.26995831551704935</v>
          </cell>
          <cell r="AC151">
            <v>0.27914211165383812</v>
          </cell>
          <cell r="AD151">
            <v>0.27194061078401593</v>
          </cell>
          <cell r="AE151">
            <v>0.26395969023114824</v>
          </cell>
          <cell r="AF151">
            <v>0.2547904699405612</v>
          </cell>
          <cell r="AG151">
            <v>0.24625277604430265</v>
          </cell>
          <cell r="AH151">
            <v>0.23762276213674044</v>
          </cell>
          <cell r="AI151">
            <v>0.23074116872306916</v>
          </cell>
        </row>
        <row r="154">
          <cell r="A154" t="str">
            <v>Schedule I - One Time Gains/Losses</v>
          </cell>
        </row>
        <row r="155">
          <cell r="A155">
            <v>1987</v>
          </cell>
        </row>
        <row r="156">
          <cell r="A156">
            <v>1988</v>
          </cell>
        </row>
        <row r="157">
          <cell r="A157">
            <v>1989</v>
          </cell>
        </row>
        <row r="158">
          <cell r="A158">
            <v>1990</v>
          </cell>
        </row>
        <row r="159">
          <cell r="A159">
            <v>1991</v>
          </cell>
        </row>
        <row r="160">
          <cell r="A160">
            <v>1992</v>
          </cell>
        </row>
        <row r="161">
          <cell r="A161">
            <v>1993</v>
          </cell>
        </row>
        <row r="162">
          <cell r="A162">
            <v>1994</v>
          </cell>
        </row>
        <row r="163">
          <cell r="A163">
            <v>1995</v>
          </cell>
          <cell r="O163">
            <v>14.052</v>
          </cell>
          <cell r="P163">
            <v>14.052</v>
          </cell>
          <cell r="Q163">
            <v>14.052</v>
          </cell>
          <cell r="R163">
            <v>14.052</v>
          </cell>
          <cell r="S163">
            <v>14.052</v>
          </cell>
          <cell r="T163">
            <v>14.052</v>
          </cell>
          <cell r="U163">
            <v>14.052</v>
          </cell>
          <cell r="V163">
            <v>14.052</v>
          </cell>
          <cell r="W163">
            <v>14.052</v>
          </cell>
          <cell r="X163">
            <v>14.052</v>
          </cell>
          <cell r="Y163">
            <v>14.052</v>
          </cell>
          <cell r="Z163">
            <v>14.052</v>
          </cell>
          <cell r="AA163">
            <v>14.052</v>
          </cell>
          <cell r="AB163">
            <v>14.052</v>
          </cell>
          <cell r="AC163">
            <v>14.052</v>
          </cell>
          <cell r="AD163">
            <v>14.052</v>
          </cell>
          <cell r="AE163">
            <v>14.052</v>
          </cell>
          <cell r="AF163">
            <v>14.052</v>
          </cell>
          <cell r="AG163">
            <v>14.052</v>
          </cell>
          <cell r="AH163">
            <v>14.052</v>
          </cell>
          <cell r="AI163">
            <v>14.052</v>
          </cell>
        </row>
        <row r="164">
          <cell r="A164">
            <v>1996</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row>
        <row r="165">
          <cell r="A165">
            <v>1997</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row>
        <row r="166">
          <cell r="A166">
            <v>1998</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row>
        <row r="167">
          <cell r="A167">
            <v>1999</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row>
        <row r="168">
          <cell r="A168">
            <v>2000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row>
        <row r="169">
          <cell r="A169">
            <v>2001</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row>
        <row r="170">
          <cell r="A170">
            <v>2002</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row>
        <row r="171">
          <cell r="A171">
            <v>2003</v>
          </cell>
          <cell r="W171">
            <v>0</v>
          </cell>
          <cell r="X171">
            <v>0</v>
          </cell>
          <cell r="Y171">
            <v>0</v>
          </cell>
          <cell r="Z171">
            <v>0</v>
          </cell>
          <cell r="AA171">
            <v>0</v>
          </cell>
          <cell r="AB171">
            <v>0</v>
          </cell>
          <cell r="AC171">
            <v>0</v>
          </cell>
          <cell r="AD171">
            <v>0</v>
          </cell>
          <cell r="AE171">
            <v>0</v>
          </cell>
          <cell r="AF171">
            <v>0</v>
          </cell>
          <cell r="AG171">
            <v>0</v>
          </cell>
          <cell r="AH171">
            <v>0</v>
          </cell>
          <cell r="AI171">
            <v>0</v>
          </cell>
        </row>
        <row r="172">
          <cell r="A172">
            <v>2004</v>
          </cell>
          <cell r="X172">
            <v>0</v>
          </cell>
          <cell r="Y172">
            <v>0</v>
          </cell>
          <cell r="Z172">
            <v>0</v>
          </cell>
          <cell r="AA172">
            <v>0</v>
          </cell>
          <cell r="AB172">
            <v>0</v>
          </cell>
          <cell r="AC172">
            <v>0</v>
          </cell>
          <cell r="AD172">
            <v>0</v>
          </cell>
          <cell r="AE172">
            <v>0</v>
          </cell>
          <cell r="AF172">
            <v>0</v>
          </cell>
          <cell r="AG172">
            <v>0</v>
          </cell>
          <cell r="AH172">
            <v>0</v>
          </cell>
          <cell r="AI172">
            <v>0</v>
          </cell>
        </row>
        <row r="173">
          <cell r="A173">
            <v>2005</v>
          </cell>
          <cell r="Y173">
            <v>-10.277813504823152</v>
          </cell>
          <cell r="Z173">
            <v>-10.277813504823152</v>
          </cell>
          <cell r="AA173">
            <v>-10.277813504823152</v>
          </cell>
          <cell r="AB173">
            <v>-10.277813504823152</v>
          </cell>
          <cell r="AC173">
            <v>-10.277813504823152</v>
          </cell>
          <cell r="AD173">
            <v>-10.277813504823152</v>
          </cell>
          <cell r="AE173">
            <v>-10.277813504823152</v>
          </cell>
          <cell r="AF173">
            <v>-10.277813504823152</v>
          </cell>
          <cell r="AG173">
            <v>-10.277813504823152</v>
          </cell>
          <cell r="AH173">
            <v>-10.277813504823152</v>
          </cell>
          <cell r="AI173">
            <v>-10.277813504823152</v>
          </cell>
        </row>
        <row r="174">
          <cell r="A174">
            <v>2006</v>
          </cell>
          <cell r="Z174">
            <v>0</v>
          </cell>
          <cell r="AA174">
            <v>0</v>
          </cell>
          <cell r="AB174">
            <v>0</v>
          </cell>
          <cell r="AC174">
            <v>0</v>
          </cell>
          <cell r="AD174">
            <v>0</v>
          </cell>
          <cell r="AE174">
            <v>0</v>
          </cell>
          <cell r="AF174">
            <v>0</v>
          </cell>
          <cell r="AG174">
            <v>0</v>
          </cell>
          <cell r="AH174">
            <v>0</v>
          </cell>
          <cell r="AI174">
            <v>0</v>
          </cell>
        </row>
        <row r="175">
          <cell r="A175">
            <v>2007</v>
          </cell>
          <cell r="AA175">
            <v>0</v>
          </cell>
          <cell r="AB175">
            <v>0</v>
          </cell>
          <cell r="AC175">
            <v>0</v>
          </cell>
          <cell r="AD175">
            <v>0</v>
          </cell>
          <cell r="AE175">
            <v>0</v>
          </cell>
          <cell r="AF175">
            <v>0</v>
          </cell>
          <cell r="AG175">
            <v>0</v>
          </cell>
          <cell r="AH175">
            <v>0</v>
          </cell>
          <cell r="AI175">
            <v>0</v>
          </cell>
        </row>
        <row r="176">
          <cell r="A176">
            <v>2008</v>
          </cell>
          <cell r="AB176">
            <v>0</v>
          </cell>
          <cell r="AC176">
            <v>0</v>
          </cell>
          <cell r="AD176">
            <v>0</v>
          </cell>
          <cell r="AE176">
            <v>0</v>
          </cell>
          <cell r="AF176">
            <v>0</v>
          </cell>
          <cell r="AG176">
            <v>0</v>
          </cell>
          <cell r="AH176">
            <v>0</v>
          </cell>
          <cell r="AI176">
            <v>0</v>
          </cell>
        </row>
        <row r="177">
          <cell r="A177">
            <v>2009</v>
          </cell>
          <cell r="AC177">
            <v>0</v>
          </cell>
          <cell r="AD177">
            <v>0</v>
          </cell>
          <cell r="AE177">
            <v>0</v>
          </cell>
          <cell r="AF177">
            <v>0</v>
          </cell>
          <cell r="AG177">
            <v>0</v>
          </cell>
          <cell r="AH177">
            <v>0</v>
          </cell>
          <cell r="AI177">
            <v>0</v>
          </cell>
        </row>
        <row r="178">
          <cell r="A178">
            <v>2010</v>
          </cell>
          <cell r="AD178">
            <v>0</v>
          </cell>
          <cell r="AE178">
            <v>0</v>
          </cell>
          <cell r="AF178">
            <v>0</v>
          </cell>
          <cell r="AG178">
            <v>0</v>
          </cell>
          <cell r="AH178">
            <v>0</v>
          </cell>
          <cell r="AI178">
            <v>0</v>
          </cell>
        </row>
        <row r="179">
          <cell r="A179">
            <v>2011</v>
          </cell>
          <cell r="AE179">
            <v>0</v>
          </cell>
          <cell r="AF179">
            <v>0</v>
          </cell>
          <cell r="AG179">
            <v>0</v>
          </cell>
          <cell r="AH179">
            <v>0</v>
          </cell>
          <cell r="AI179">
            <v>0</v>
          </cell>
        </row>
        <row r="187">
          <cell r="A187" t="str">
            <v>Total One-Time Gains and Losses</v>
          </cell>
          <cell r="O187">
            <v>14.052</v>
          </cell>
          <cell r="P187">
            <v>14.052</v>
          </cell>
          <cell r="Q187">
            <v>14.052</v>
          </cell>
          <cell r="R187">
            <v>14.052</v>
          </cell>
          <cell r="S187">
            <v>14.052</v>
          </cell>
          <cell r="T187">
            <v>14.052</v>
          </cell>
          <cell r="U187">
            <v>14.052</v>
          </cell>
          <cell r="V187">
            <v>14.052</v>
          </cell>
          <cell r="W187">
            <v>14.052</v>
          </cell>
          <cell r="X187">
            <v>14.052</v>
          </cell>
          <cell r="Y187">
            <v>3.7741864951768473</v>
          </cell>
          <cell r="Z187">
            <v>3.7741864951768473</v>
          </cell>
          <cell r="AA187">
            <v>3.7741864951768473</v>
          </cell>
          <cell r="AB187">
            <v>3.7741864951768473</v>
          </cell>
          <cell r="AC187">
            <v>3.7741864951768473</v>
          </cell>
          <cell r="AD187">
            <v>3.7741864951768473</v>
          </cell>
          <cell r="AE187">
            <v>3.7741864951768473</v>
          </cell>
          <cell r="AF187">
            <v>3.7741864951768473</v>
          </cell>
          <cell r="AG187">
            <v>3.7741864951768473</v>
          </cell>
          <cell r="AH187">
            <v>3.7741864951768473</v>
          </cell>
          <cell r="AI187">
            <v>3.7741864951768473</v>
          </cell>
          <cell r="AL187" t="str">
            <v>mstag:nonImpairmentWriteOffs</v>
          </cell>
          <cell r="AM187">
            <v>6</v>
          </cell>
          <cell r="AN187" t="str">
            <v>ISO4217:USD</v>
          </cell>
          <cell r="AO187" t="b">
            <v>0</v>
          </cell>
          <cell r="AP187" t="b">
            <v>0</v>
          </cell>
        </row>
        <row r="188">
          <cell r="A188" t="str">
            <v>Explanation of Charges</v>
          </cell>
        </row>
        <row r="191">
          <cell r="Q191" t="str">
            <v>1998-FY</v>
          </cell>
          <cell r="R191" t="str">
            <v>1999-FY</v>
          </cell>
          <cell r="S191" t="str">
            <v>2000-FY</v>
          </cell>
          <cell r="T191" t="str">
            <v>2001-FY</v>
          </cell>
          <cell r="U191" t="str">
            <v>2002-FY</v>
          </cell>
          <cell r="V191" t="str">
            <v>2003-FY</v>
          </cell>
          <cell r="W191" t="str">
            <v>2004-FY</v>
          </cell>
          <cell r="X191" t="str">
            <v>2005-FY</v>
          </cell>
          <cell r="Y191" t="str">
            <v>2006-FY</v>
          </cell>
          <cell r="Z191" t="str">
            <v>2007-FY</v>
          </cell>
          <cell r="AA191" t="str">
            <v>2008-FY</v>
          </cell>
          <cell r="AB191" t="str">
            <v>2009-FY</v>
          </cell>
        </row>
      </sheetData>
      <sheetData sheetId="12" refreshError="1"/>
      <sheetData sheetId="13"/>
      <sheetData sheetId="14" refreshError="1">
        <row r="1">
          <cell r="A1" t="str">
            <v>Kohl's</v>
          </cell>
        </row>
        <row r="2">
          <cell r="A2" t="str">
            <v>Residual Income Model</v>
          </cell>
        </row>
        <row r="4">
          <cell r="A4" t="str">
            <v>Assumptions:</v>
          </cell>
          <cell r="E4" t="str">
            <v>Cost of Capital Calculations:</v>
          </cell>
          <cell r="I4" t="str">
            <v>Implied Perpetuity Values:</v>
          </cell>
        </row>
        <row r="5">
          <cell r="A5" t="str">
            <v>Equity Beta</v>
          </cell>
          <cell r="C5">
            <v>1.05</v>
          </cell>
          <cell r="E5" t="str">
            <v>Debt Beta</v>
          </cell>
          <cell r="G5">
            <v>0.75</v>
          </cell>
          <cell r="I5" t="str">
            <v>Real COC</v>
          </cell>
          <cell r="K5">
            <v>6.9109543673789631E-2</v>
          </cell>
        </row>
        <row r="6">
          <cell r="A6" t="str">
            <v>L.T. Govt. Bond Rate</v>
          </cell>
          <cell r="C6">
            <v>0.05</v>
          </cell>
          <cell r="E6" t="str">
            <v>Equity Beta</v>
          </cell>
          <cell r="G6">
            <v>1.05</v>
          </cell>
          <cell r="I6" t="str">
            <v>Real ROI</v>
          </cell>
          <cell r="K6">
            <v>6.9109543673789631E-2</v>
          </cell>
        </row>
        <row r="7">
          <cell r="A7" t="str">
            <v>Market Risk Premium</v>
          </cell>
          <cell r="C7">
            <v>0.04</v>
          </cell>
          <cell r="E7" t="str">
            <v>Cost of Equity</v>
          </cell>
          <cell r="G7">
            <v>9.1999999999999998E-2</v>
          </cell>
          <cell r="I7" t="str">
            <v>Plowback Rate</v>
          </cell>
          <cell r="K7">
            <v>9.2686139330691503E-2</v>
          </cell>
        </row>
        <row r="8">
          <cell r="A8" t="str">
            <v>Rate of Inflation</v>
          </cell>
          <cell r="C8">
            <v>0.02</v>
          </cell>
          <cell r="E8" t="str">
            <v>WACC</v>
          </cell>
          <cell r="G8">
            <v>9.0491734547265251E-2</v>
          </cell>
          <cell r="I8" t="str">
            <v>Real Growth Rate</v>
          </cell>
          <cell r="K8">
            <v>6.4054967940293753E-3</v>
          </cell>
        </row>
        <row r="9">
          <cell r="A9" t="str">
            <v>Marginal Cost of Debt</v>
          </cell>
          <cell r="C9">
            <v>0.08</v>
          </cell>
          <cell r="I9" t="str">
            <v>Nominal Growth Rate</v>
          </cell>
          <cell r="K9">
            <v>2.6533606729909964E-2</v>
          </cell>
        </row>
        <row r="10">
          <cell r="A10" t="str">
            <v>Marginal Tax Rate</v>
          </cell>
          <cell r="C10">
            <v>0.37489973992584241</v>
          </cell>
        </row>
        <row r="11">
          <cell r="A11" t="str">
            <v>D/V Ratio</v>
          </cell>
          <cell r="C11">
            <v>3.5917941513646169E-2</v>
          </cell>
        </row>
        <row r="13">
          <cell r="C13">
            <v>2004</v>
          </cell>
          <cell r="D13">
            <v>2005</v>
          </cell>
          <cell r="E13" t="str">
            <v>2006E</v>
          </cell>
          <cell r="F13" t="str">
            <v>2007E</v>
          </cell>
          <cell r="G13" t="str">
            <v>2008E</v>
          </cell>
          <cell r="H13" t="str">
            <v>2009E</v>
          </cell>
          <cell r="I13" t="str">
            <v>2010E</v>
          </cell>
          <cell r="J13" t="str">
            <v>2011E</v>
          </cell>
          <cell r="K13" t="str">
            <v>2012E</v>
          </cell>
          <cell r="L13" t="str">
            <v>2013E</v>
          </cell>
          <cell r="M13" t="str">
            <v>2014E</v>
          </cell>
          <cell r="N13" t="str">
            <v>2015E</v>
          </cell>
          <cell r="O13" t="str">
            <v>2016E</v>
          </cell>
        </row>
        <row r="14">
          <cell r="C14">
            <v>2004</v>
          </cell>
          <cell r="D14">
            <v>2005</v>
          </cell>
          <cell r="E14">
            <v>2006</v>
          </cell>
          <cell r="F14">
            <v>2007</v>
          </cell>
          <cell r="G14">
            <v>2008</v>
          </cell>
          <cell r="H14">
            <v>2009</v>
          </cell>
          <cell r="I14">
            <v>2010</v>
          </cell>
          <cell r="J14">
            <v>2011</v>
          </cell>
          <cell r="K14">
            <v>2012</v>
          </cell>
          <cell r="L14">
            <v>2013</v>
          </cell>
          <cell r="M14">
            <v>2014</v>
          </cell>
          <cell r="N14">
            <v>2015</v>
          </cell>
          <cell r="O14">
            <v>2016</v>
          </cell>
        </row>
        <row r="15">
          <cell r="A15" t="str">
            <v>Adjusted Net Income</v>
          </cell>
          <cell r="C15">
            <v>618.00109189113323</v>
          </cell>
          <cell r="D15">
            <v>752.79436326556197</v>
          </cell>
          <cell r="E15">
            <v>957.23895250953547</v>
          </cell>
          <cell r="F15">
            <v>1095.7706199674676</v>
          </cell>
          <cell r="G15">
            <v>1276.1387721886153</v>
          </cell>
          <cell r="H15">
            <v>1473.1437235467997</v>
          </cell>
          <cell r="I15">
            <v>1611.2636382706073</v>
          </cell>
          <cell r="J15">
            <v>1744.9372083441788</v>
          </cell>
          <cell r="K15">
            <v>1873.6641325699202</v>
          </cell>
          <cell r="L15">
            <v>2001.6467029943619</v>
          </cell>
          <cell r="M15">
            <v>2121.2102634368948</v>
          </cell>
          <cell r="N15">
            <v>2249.8698000604154</v>
          </cell>
        </row>
        <row r="16">
          <cell r="A16" t="str">
            <v>Adjusted Equity (Beginning)</v>
          </cell>
          <cell r="C16">
            <v>3270.361017480484</v>
          </cell>
          <cell r="D16">
            <v>3891.5205694904271</v>
          </cell>
          <cell r="E16">
            <v>4606.4341987235402</v>
          </cell>
          <cell r="F16">
            <v>4499.7531841539485</v>
          </cell>
          <cell r="G16">
            <v>4259.2342347015374</v>
          </cell>
          <cell r="H16">
            <v>4727.1697104215345</v>
          </cell>
          <cell r="I16">
            <v>5277.3969316877337</v>
          </cell>
          <cell r="J16">
            <v>5925.0570689874839</v>
          </cell>
          <cell r="K16">
            <v>6610.6200034412286</v>
          </cell>
          <cell r="L16">
            <v>7353.7449536751428</v>
          </cell>
          <cell r="M16">
            <v>8128.4228959686989</v>
          </cell>
          <cell r="N16">
            <v>8926.7974345666462</v>
          </cell>
          <cell r="O16">
            <v>9750.6214972875659</v>
          </cell>
        </row>
        <row r="17">
          <cell r="A17" t="str">
            <v>ROE</v>
          </cell>
          <cell r="C17">
            <v>0.18897029673110735</v>
          </cell>
          <cell r="D17">
            <v>0.19344478586788921</v>
          </cell>
          <cell r="E17">
            <v>0.20780475986714189</v>
          </cell>
          <cell r="F17">
            <v>0.2435179386785625</v>
          </cell>
          <cell r="G17">
            <v>0.29961695034084918</v>
          </cell>
          <cell r="H17">
            <v>0.31163334802622</v>
          </cell>
          <cell r="I17">
            <v>0.30531408933747162</v>
          </cell>
          <cell r="J17">
            <v>0.29450133357827152</v>
          </cell>
          <cell r="K17">
            <v>0.28343243623057512</v>
          </cell>
          <cell r="L17">
            <v>0.27219419705248404</v>
          </cell>
          <cell r="M17">
            <v>0.26096209444133517</v>
          </cell>
          <cell r="N17">
            <v>0.25203549386573887</v>
          </cell>
        </row>
        <row r="18">
          <cell r="A18" t="str">
            <v>ROE-Cost of Equity</v>
          </cell>
          <cell r="C18">
            <v>9.6970296731107353E-2</v>
          </cell>
          <cell r="D18">
            <v>0.10144478586788921</v>
          </cell>
          <cell r="E18">
            <v>0.11580475986714189</v>
          </cell>
          <cell r="F18">
            <v>0.1515179386785625</v>
          </cell>
          <cell r="G18">
            <v>0.20761695034084918</v>
          </cell>
          <cell r="H18">
            <v>0.21963334802622</v>
          </cell>
          <cell r="I18">
            <v>0.21331408933747162</v>
          </cell>
          <cell r="J18">
            <v>0.20250133357827152</v>
          </cell>
          <cell r="K18">
            <v>0.19143243623057513</v>
          </cell>
          <cell r="L18">
            <v>0.18019419705248405</v>
          </cell>
          <cell r="M18">
            <v>0.16896209444133517</v>
          </cell>
          <cell r="N18">
            <v>0.16003549386573887</v>
          </cell>
        </row>
        <row r="20">
          <cell r="A20" t="str">
            <v xml:space="preserve"> - Equity Charges</v>
          </cell>
          <cell r="C20">
            <v>-300.87321360820454</v>
          </cell>
          <cell r="D20">
            <v>-358.01989239311928</v>
          </cell>
          <cell r="E20">
            <v>-423.79194628256568</v>
          </cell>
          <cell r="F20">
            <v>-413.97729294216327</v>
          </cell>
          <cell r="G20">
            <v>-391.84954959254145</v>
          </cell>
          <cell r="H20">
            <v>-434.89961335878115</v>
          </cell>
          <cell r="I20">
            <v>-485.52051771527152</v>
          </cell>
          <cell r="J20">
            <v>-545.10525034684849</v>
          </cell>
          <cell r="K20">
            <v>-608.17704031659298</v>
          </cell>
          <cell r="L20">
            <v>-676.54453573811315</v>
          </cell>
          <cell r="M20">
            <v>-747.81490642912024</v>
          </cell>
          <cell r="N20">
            <v>-821.26536398013138</v>
          </cell>
        </row>
        <row r="22">
          <cell r="A22" t="str">
            <v>Residual Income</v>
          </cell>
          <cell r="C22">
            <v>317.12787828292869</v>
          </cell>
          <cell r="D22">
            <v>394.77447087244269</v>
          </cell>
          <cell r="E22">
            <v>533.44700622696973</v>
          </cell>
          <cell r="F22">
            <v>681.79332702530428</v>
          </cell>
          <cell r="G22">
            <v>884.28922259607384</v>
          </cell>
          <cell r="H22">
            <v>1038.2441101880186</v>
          </cell>
          <cell r="I22">
            <v>1125.7431205553357</v>
          </cell>
          <cell r="J22">
            <v>1199.8319579973304</v>
          </cell>
          <cell r="K22">
            <v>1265.4870922533273</v>
          </cell>
          <cell r="L22">
            <v>1325.1021672562488</v>
          </cell>
          <cell r="M22">
            <v>1373.3953570077747</v>
          </cell>
          <cell r="N22">
            <v>1428.6044360802839</v>
          </cell>
        </row>
        <row r="23">
          <cell r="A23" t="str">
            <v>+ Terminal Value</v>
          </cell>
          <cell r="N23">
            <v>21576.10511626588</v>
          </cell>
        </row>
        <row r="25">
          <cell r="A25" t="str">
            <v>PV of Residual Income</v>
          </cell>
          <cell r="E25">
            <v>533.44700622696973</v>
          </cell>
          <cell r="F25">
            <v>624.35286357628593</v>
          </cell>
          <cell r="G25">
            <v>741.56471188738078</v>
          </cell>
          <cell r="H25">
            <v>797.31798584919329</v>
          </cell>
          <cell r="I25">
            <v>791.67831302684181</v>
          </cell>
          <cell r="J25">
            <v>772.69345480664924</v>
          </cell>
          <cell r="K25">
            <v>746.3145172723365</v>
          </cell>
          <cell r="L25">
            <v>715.63388440306221</v>
          </cell>
          <cell r="M25">
            <v>679.22625970171566</v>
          </cell>
          <cell r="N25">
            <v>10418.687432386561</v>
          </cell>
        </row>
        <row r="27">
          <cell r="A27" t="str">
            <v>Total PV of Residual Income</v>
          </cell>
          <cell r="E27">
            <v>16820.916429136996</v>
          </cell>
        </row>
        <row r="28">
          <cell r="A28" t="str">
            <v>Beginning Equity</v>
          </cell>
          <cell r="E28">
            <v>4606.4341987235402</v>
          </cell>
        </row>
        <row r="30">
          <cell r="A30" t="str">
            <v>Equity Value</v>
          </cell>
          <cell r="E30">
            <v>21427.350627860535</v>
          </cell>
        </row>
        <row r="31">
          <cell r="A31" t="str">
            <v>KSS Shares Outstanding</v>
          </cell>
          <cell r="E31">
            <v>333.43993436117614</v>
          </cell>
        </row>
        <row r="32">
          <cell r="A32" t="str">
            <v>Equity Value per Share</v>
          </cell>
          <cell r="E32">
            <v>64.261500857455232</v>
          </cell>
        </row>
        <row r="34">
          <cell r="A34" t="str">
            <v>PV of RI as % of TEV</v>
          </cell>
          <cell r="E34">
            <v>0.78502082321208189</v>
          </cell>
        </row>
        <row r="38">
          <cell r="A38" t="str">
            <v>Discounted Cash Flow Analysis</v>
          </cell>
        </row>
        <row r="40">
          <cell r="A40" t="str">
            <v>Assumptions:</v>
          </cell>
          <cell r="E40" t="str">
            <v>Cost of Capital Calculations:</v>
          </cell>
          <cell r="I40" t="str">
            <v>Implied Perpetuity Values:</v>
          </cell>
        </row>
        <row r="41">
          <cell r="A41" t="str">
            <v>Kohl's Equity Beta (unlevered)</v>
          </cell>
          <cell r="C41">
            <v>1.05</v>
          </cell>
          <cell r="E41" t="str">
            <v xml:space="preserve">Unlevered COC </v>
          </cell>
          <cell r="G41">
            <v>9.1999999999999998E-2</v>
          </cell>
          <cell r="I41" t="str">
            <v>w</v>
          </cell>
          <cell r="K41">
            <v>6.9520372940457875E-2</v>
          </cell>
        </row>
        <row r="42">
          <cell r="A42" t="str">
            <v>L.T. Govt. Bond Rate</v>
          </cell>
          <cell r="C42">
            <v>0.05</v>
          </cell>
          <cell r="E42" t="str">
            <v>Debt Beta</v>
          </cell>
          <cell r="G42">
            <v>0.75</v>
          </cell>
          <cell r="I42" t="str">
            <v>roi</v>
          </cell>
          <cell r="K42">
            <v>6.9520372940457875E-2</v>
          </cell>
        </row>
        <row r="43">
          <cell r="A43" t="str">
            <v>Market Risk Premium</v>
          </cell>
          <cell r="C43">
            <v>0.04</v>
          </cell>
          <cell r="E43" t="str">
            <v>Equity Beta</v>
          </cell>
          <cell r="G43">
            <v>1.0608664466969693</v>
          </cell>
          <cell r="I43" t="str">
            <v>k</v>
          </cell>
          <cell r="K43">
            <v>9.2686139330691503E-2</v>
          </cell>
        </row>
        <row r="44">
          <cell r="A44" t="str">
            <v>Rate of Inflation</v>
          </cell>
          <cell r="C44">
            <v>0.02</v>
          </cell>
          <cell r="E44" t="str">
            <v>Cost of Equity</v>
          </cell>
          <cell r="G44">
            <v>9.2434657867878772E-2</v>
          </cell>
          <cell r="I44" t="str">
            <v>g</v>
          </cell>
          <cell r="K44">
            <v>6.4435749726809138E-3</v>
          </cell>
        </row>
        <row r="45">
          <cell r="A45" t="str">
            <v>Debt Rate</v>
          </cell>
          <cell r="C45">
            <v>0.08</v>
          </cell>
          <cell r="E45" t="str">
            <v>WACC</v>
          </cell>
          <cell r="G45">
            <v>9.0910780399267102E-2</v>
          </cell>
          <cell r="I45" t="str">
            <v>G</v>
          </cell>
          <cell r="K45">
            <v>2.6572446472134532E-2</v>
          </cell>
        </row>
        <row r="46">
          <cell r="A46" t="str">
            <v>Marginal Tax Rate</v>
          </cell>
          <cell r="C46">
            <v>0.37489973992584241</v>
          </cell>
        </row>
        <row r="47">
          <cell r="A47" t="str">
            <v>D/V Ratio</v>
          </cell>
          <cell r="C47">
            <v>3.5917941513646169E-2</v>
          </cell>
        </row>
        <row r="48">
          <cell r="A48" t="str">
            <v>CGSt / Salest</v>
          </cell>
          <cell r="C48">
            <v>0.67029468900012013</v>
          </cell>
        </row>
        <row r="49">
          <cell r="A49" t="str">
            <v>SGAt / Salest</v>
          </cell>
          <cell r="C49">
            <v>0.20440116575475775</v>
          </cell>
        </row>
        <row r="50">
          <cell r="A50" t="str">
            <v>Working Capitalt / Salest+1</v>
          </cell>
          <cell r="C50">
            <v>0.16257924055825718</v>
          </cell>
        </row>
        <row r="51">
          <cell r="A51" t="str">
            <v>PPEt / Salest+1</v>
          </cell>
          <cell r="C51">
            <v>0.28344338372917854</v>
          </cell>
        </row>
        <row r="52">
          <cell r="A52" t="str">
            <v>L.T. ROI = WACC</v>
          </cell>
          <cell r="C52">
            <v>9.0910780399267102E-2</v>
          </cell>
        </row>
        <row r="55">
          <cell r="C55">
            <v>2003</v>
          </cell>
          <cell r="D55" t="str">
            <v>2004E</v>
          </cell>
          <cell r="E55" t="str">
            <v>2005E</v>
          </cell>
          <cell r="F55" t="str">
            <v>2006E</v>
          </cell>
          <cell r="G55" t="str">
            <v>2007E</v>
          </cell>
          <cell r="H55" t="str">
            <v>2008E</v>
          </cell>
          <cell r="I55" t="str">
            <v>2009E</v>
          </cell>
          <cell r="J55" t="str">
            <v>2010E</v>
          </cell>
          <cell r="K55" t="str">
            <v>2011E</v>
          </cell>
          <cell r="L55" t="str">
            <v>2012E</v>
          </cell>
          <cell r="M55" t="str">
            <v>2013E</v>
          </cell>
          <cell r="N55" t="str">
            <v>2014E</v>
          </cell>
        </row>
        <row r="56">
          <cell r="C56">
            <v>2003</v>
          </cell>
          <cell r="D56">
            <v>2004</v>
          </cell>
          <cell r="E56">
            <v>2005</v>
          </cell>
          <cell r="F56">
            <v>2006</v>
          </cell>
          <cell r="G56">
            <v>2007</v>
          </cell>
          <cell r="H56">
            <v>2008</v>
          </cell>
          <cell r="I56">
            <v>2009</v>
          </cell>
          <cell r="J56">
            <v>2010</v>
          </cell>
          <cell r="K56">
            <v>2011</v>
          </cell>
          <cell r="L56">
            <v>2012</v>
          </cell>
          <cell r="M56">
            <v>2013</v>
          </cell>
          <cell r="N56">
            <v>2014</v>
          </cell>
        </row>
        <row r="57">
          <cell r="A57" t="str">
            <v>Sales Revenues</v>
          </cell>
          <cell r="C57">
            <v>10282.093999999999</v>
          </cell>
          <cell r="D57">
            <v>11700.7</v>
          </cell>
          <cell r="E57">
            <v>13402.199999999999</v>
          </cell>
          <cell r="F57">
            <v>15432.124031897749</v>
          </cell>
          <cell r="G57">
            <v>17576.766512535702</v>
          </cell>
          <cell r="H57">
            <v>19634.069507911772</v>
          </cell>
          <cell r="I57">
            <v>21753.091593149125</v>
          </cell>
          <cell r="J57">
            <v>23718.153425012108</v>
          </cell>
          <cell r="K57">
            <v>25722.51649351235</v>
          </cell>
          <cell r="L57">
            <v>27690.466823382598</v>
          </cell>
          <cell r="M57">
            <v>29697.776159850251</v>
          </cell>
          <cell r="N57">
            <v>31745.231683047256</v>
          </cell>
        </row>
        <row r="58">
          <cell r="A58" t="str">
            <v>- CGS</v>
          </cell>
          <cell r="C58">
            <v>-6892.0330000000004</v>
          </cell>
          <cell r="D58">
            <v>-7587.0249999999996</v>
          </cell>
          <cell r="E58">
            <v>-8641.6</v>
          </cell>
          <cell r="F58">
            <v>-9896.273647155982</v>
          </cell>
          <cell r="G58">
            <v>-11254.007811260597</v>
          </cell>
          <cell r="H58">
            <v>-12530.021047693495</v>
          </cell>
          <cell r="I58">
            <v>-13838.827043999696</v>
          </cell>
          <cell r="J58">
            <v>-15088.955132941384</v>
          </cell>
          <cell r="K58">
            <v>-16364.085783661907</v>
          </cell>
          <cell r="L58">
            <v>-17616.051469993756</v>
          </cell>
          <cell r="M58">
            <v>-18893.056470052241</v>
          </cell>
        </row>
        <row r="59">
          <cell r="A59" t="str">
            <v>- SGA</v>
          </cell>
          <cell r="C59">
            <v>-2101.672</v>
          </cell>
          <cell r="D59">
            <v>-2632.0819999999999</v>
          </cell>
          <cell r="E59">
            <v>-3008</v>
          </cell>
          <cell r="F59">
            <v>-3413.0630763993809</v>
          </cell>
          <cell r="G59">
            <v>-3874.6374896494281</v>
          </cell>
          <cell r="H59">
            <v>-4281.3874127400513</v>
          </cell>
          <cell r="I59">
            <v>-4715.2308114381567</v>
          </cell>
          <cell r="J59">
            <v>-5135.760295575973</v>
          </cell>
          <cell r="K59">
            <v>-5564.7003693965453</v>
          </cell>
          <cell r="L59">
            <v>-5982.8480012980763</v>
          </cell>
          <cell r="M59">
            <v>-6412.4185858376386</v>
          </cell>
        </row>
        <row r="60">
          <cell r="A60" t="str">
            <v>-Preopening Expenses</v>
          </cell>
          <cell r="C60">
            <v>-47.029000000000003</v>
          </cell>
          <cell r="D60">
            <v>-49.111000000000004</v>
          </cell>
          <cell r="E60">
            <v>-44.5</v>
          </cell>
          <cell r="F60">
            <v>-56.527000000000001</v>
          </cell>
          <cell r="G60">
            <v>-78</v>
          </cell>
          <cell r="H60">
            <v>-60</v>
          </cell>
          <cell r="I60">
            <v>-60</v>
          </cell>
          <cell r="J60">
            <v>-60</v>
          </cell>
        </row>
        <row r="61">
          <cell r="C61" t="str">
            <v xml:space="preserve">    -------------</v>
          </cell>
          <cell r="D61" t="str">
            <v xml:space="preserve">    -------------</v>
          </cell>
          <cell r="E61" t="str">
            <v xml:space="preserve">    -------------</v>
          </cell>
          <cell r="F61" t="str">
            <v xml:space="preserve">    -------------</v>
          </cell>
          <cell r="G61" t="str">
            <v xml:space="preserve">    -------------</v>
          </cell>
          <cell r="H61" t="str">
            <v xml:space="preserve">    -------------</v>
          </cell>
          <cell r="I61" t="str">
            <v xml:space="preserve">    -------------</v>
          </cell>
          <cell r="J61" t="str">
            <v xml:space="preserve">    -------------</v>
          </cell>
          <cell r="K61" t="str">
            <v xml:space="preserve">    -------------</v>
          </cell>
          <cell r="L61" t="str">
            <v xml:space="preserve">    -------------</v>
          </cell>
          <cell r="M61" t="str">
            <v xml:space="preserve">    -------------</v>
          </cell>
        </row>
        <row r="62">
          <cell r="A62" t="str">
            <v>Operating Profits/EBITDA</v>
          </cell>
          <cell r="C62">
            <v>1241.3599999999988</v>
          </cell>
          <cell r="D62">
            <v>1432.4820000000011</v>
          </cell>
          <cell r="E62">
            <v>1708.0999999999985</v>
          </cell>
          <cell r="F62">
            <v>2066.260308342386</v>
          </cell>
          <cell r="G62">
            <v>2370.1212116256766</v>
          </cell>
          <cell r="H62">
            <v>2762.6610474782256</v>
          </cell>
          <cell r="I62">
            <v>3139.0337377112728</v>
          </cell>
          <cell r="J62">
            <v>3433.4379964947502</v>
          </cell>
          <cell r="K62">
            <v>3793.730340453898</v>
          </cell>
          <cell r="L62">
            <v>4091.5673520907658</v>
          </cell>
          <cell r="M62">
            <v>4392.3011039603716</v>
          </cell>
        </row>
        <row r="63">
          <cell r="A63" t="str">
            <v>-Depreciation</v>
          </cell>
          <cell r="C63">
            <v>-239.55799999999999</v>
          </cell>
          <cell r="D63">
            <v>-288.13799999999998</v>
          </cell>
          <cell r="E63">
            <v>-338.9</v>
          </cell>
          <cell r="F63">
            <v>-397.50168654941541</v>
          </cell>
          <cell r="G63">
            <v>-473.24552747026712</v>
          </cell>
          <cell r="H63">
            <v>-537.54369537698017</v>
          </cell>
          <cell r="I63">
            <v>-609.42209992681876</v>
          </cell>
          <cell r="J63">
            <v>-689.10814821907672</v>
          </cell>
          <cell r="K63">
            <v>-776.03456593546628</v>
          </cell>
          <cell r="L63">
            <v>-870.34616046447002</v>
          </cell>
          <cell r="M63">
            <v>-971.90876723418967</v>
          </cell>
        </row>
        <row r="64">
          <cell r="A64" t="str">
            <v>-Amortization</v>
          </cell>
          <cell r="C64">
            <v>0</v>
          </cell>
          <cell r="D64">
            <v>0</v>
          </cell>
          <cell r="E64">
            <v>0</v>
          </cell>
          <cell r="F64">
            <v>0</v>
          </cell>
          <cell r="G64">
            <v>0</v>
          </cell>
          <cell r="H64">
            <v>0</v>
          </cell>
          <cell r="I64">
            <v>0</v>
          </cell>
          <cell r="J64">
            <v>0</v>
          </cell>
          <cell r="K64">
            <v>0</v>
          </cell>
          <cell r="L64">
            <v>0</v>
          </cell>
          <cell r="M64">
            <v>0</v>
          </cell>
        </row>
        <row r="65">
          <cell r="A65" t="str">
            <v>-LIFO Charge</v>
          </cell>
          <cell r="C65">
            <v>5</v>
          </cell>
          <cell r="D65">
            <v>0</v>
          </cell>
          <cell r="E65">
            <v>0</v>
          </cell>
          <cell r="F65">
            <v>0</v>
          </cell>
          <cell r="G65">
            <v>0</v>
          </cell>
          <cell r="H65">
            <v>0</v>
          </cell>
          <cell r="I65">
            <v>0</v>
          </cell>
          <cell r="J65">
            <v>0</v>
          </cell>
          <cell r="K65">
            <v>0</v>
          </cell>
          <cell r="L65">
            <v>0</v>
          </cell>
          <cell r="M65">
            <v>0</v>
          </cell>
        </row>
        <row r="66">
          <cell r="C66" t="str">
            <v xml:space="preserve">    -------------</v>
          </cell>
          <cell r="D66" t="str">
            <v xml:space="preserve">    -------------</v>
          </cell>
          <cell r="E66" t="str">
            <v xml:space="preserve">    -------------</v>
          </cell>
          <cell r="F66" t="str">
            <v xml:space="preserve">    -------------</v>
          </cell>
          <cell r="G66" t="str">
            <v xml:space="preserve">    -------------</v>
          </cell>
          <cell r="H66" t="str">
            <v xml:space="preserve">    -------------</v>
          </cell>
          <cell r="I66" t="str">
            <v xml:space="preserve">    -------------</v>
          </cell>
          <cell r="J66" t="str">
            <v xml:space="preserve">    -------------</v>
          </cell>
          <cell r="K66" t="str">
            <v xml:space="preserve">    -------------</v>
          </cell>
          <cell r="L66" t="str">
            <v xml:space="preserve">    -------------</v>
          </cell>
          <cell r="M66" t="str">
            <v xml:space="preserve">    -------------</v>
          </cell>
        </row>
        <row r="67">
          <cell r="A67" t="str">
            <v>EBIT/Net Operating Income</v>
          </cell>
          <cell r="C67">
            <v>1006.8019999999988</v>
          </cell>
          <cell r="D67">
            <v>1144.3440000000012</v>
          </cell>
          <cell r="E67">
            <v>1369.1999999999985</v>
          </cell>
          <cell r="F67">
            <v>1668.7586217929706</v>
          </cell>
          <cell r="G67">
            <v>1896.8756841554095</v>
          </cell>
          <cell r="H67">
            <v>2225.1173521012452</v>
          </cell>
          <cell r="I67">
            <v>2529.6116377844542</v>
          </cell>
          <cell r="J67">
            <v>2744.3298482756736</v>
          </cell>
          <cell r="K67">
            <v>3017.6957745184318</v>
          </cell>
          <cell r="L67">
            <v>3221.2211916262959</v>
          </cell>
          <cell r="M67">
            <v>3420.3923367261818</v>
          </cell>
        </row>
        <row r="68">
          <cell r="A68" t="str">
            <v xml:space="preserve">- Taxes </v>
          </cell>
          <cell r="C68">
            <v>-377.44980795681755</v>
          </cell>
          <cell r="D68">
            <v>-429.01426798569867</v>
          </cell>
          <cell r="E68">
            <v>-513.31272390646291</v>
          </cell>
          <cell r="F68">
            <v>-625.61717330919191</v>
          </cell>
          <cell r="G68">
            <v>-711.13820066151743</v>
          </cell>
          <cell r="H68">
            <v>-834.19591660723597</v>
          </cell>
          <cell r="I68">
            <v>-948.3507451187761</v>
          </cell>
          <cell r="J68">
            <v>-1028.8485463892766</v>
          </cell>
          <cell r="K68">
            <v>-1131.3333610422737</v>
          </cell>
          <cell r="L68">
            <v>-1207.6349869843104</v>
          </cell>
          <cell r="M68">
            <v>-1282.30419748299</v>
          </cell>
        </row>
        <row r="69">
          <cell r="C69" t="str">
            <v xml:space="preserve">    -------------</v>
          </cell>
          <cell r="D69" t="str">
            <v xml:space="preserve">    -------------</v>
          </cell>
          <cell r="E69" t="str">
            <v xml:space="preserve">    -------------</v>
          </cell>
          <cell r="F69" t="str">
            <v xml:space="preserve">    -------------</v>
          </cell>
          <cell r="G69" t="str">
            <v xml:space="preserve">    -------------</v>
          </cell>
          <cell r="H69" t="str">
            <v xml:space="preserve">    -------------</v>
          </cell>
          <cell r="I69" t="str">
            <v xml:space="preserve">    -------------</v>
          </cell>
          <cell r="J69" t="str">
            <v xml:space="preserve">    -------------</v>
          </cell>
          <cell r="K69" t="str">
            <v xml:space="preserve">    -------------</v>
          </cell>
          <cell r="L69" t="str">
            <v xml:space="preserve">    -------------</v>
          </cell>
          <cell r="M69" t="str">
            <v xml:space="preserve">    -------------</v>
          </cell>
        </row>
        <row r="70">
          <cell r="A70" t="str">
            <v>EBIAT</v>
          </cell>
          <cell r="C70">
            <v>629.35219204318128</v>
          </cell>
          <cell r="D70">
            <v>715.32973201430252</v>
          </cell>
          <cell r="E70">
            <v>855.88727609353555</v>
          </cell>
          <cell r="F70">
            <v>1043.1414484837787</v>
          </cell>
          <cell r="G70">
            <v>1185.7374834938921</v>
          </cell>
          <cell r="H70">
            <v>1390.9214354940091</v>
          </cell>
          <cell r="I70">
            <v>1581.2608926656781</v>
          </cell>
          <cell r="J70">
            <v>1715.481301886397</v>
          </cell>
          <cell r="K70">
            <v>1886.3624134761581</v>
          </cell>
          <cell r="L70">
            <v>2013.5862046419854</v>
          </cell>
          <cell r="M70">
            <v>2138.088139243192</v>
          </cell>
        </row>
        <row r="71">
          <cell r="A71" t="str">
            <v>+ Depreciation &amp; Amortization2</v>
          </cell>
          <cell r="C71">
            <v>234.55799999999999</v>
          </cell>
          <cell r="D71">
            <v>288.13799999999998</v>
          </cell>
          <cell r="E71">
            <v>338.9</v>
          </cell>
          <cell r="F71">
            <v>397.50168654941541</v>
          </cell>
          <cell r="G71">
            <v>473.24552747026712</v>
          </cell>
          <cell r="H71">
            <v>537.54369537698017</v>
          </cell>
          <cell r="I71">
            <v>609.42209992681876</v>
          </cell>
          <cell r="J71">
            <v>689.10814821907672</v>
          </cell>
          <cell r="K71">
            <v>776.03456593546628</v>
          </cell>
          <cell r="L71">
            <v>870.34616046447002</v>
          </cell>
          <cell r="M71">
            <v>971.90876723418967</v>
          </cell>
        </row>
        <row r="72">
          <cell r="C72" t="str">
            <v xml:space="preserve">    -------------</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row>
        <row r="73">
          <cell r="A73" t="str">
            <v>Operating Cash Flows</v>
          </cell>
          <cell r="C73">
            <v>863.91019204318127</v>
          </cell>
          <cell r="D73">
            <v>1003.4677320143026</v>
          </cell>
          <cell r="E73">
            <v>1194.7872760935356</v>
          </cell>
          <cell r="F73">
            <v>1440.6431350331941</v>
          </cell>
          <cell r="G73">
            <v>1658.9830109641593</v>
          </cell>
          <cell r="H73">
            <v>1928.4651308709892</v>
          </cell>
          <cell r="I73">
            <v>2190.6829925924967</v>
          </cell>
          <cell r="J73">
            <v>2404.5894501054736</v>
          </cell>
          <cell r="K73">
            <v>2662.3969794116242</v>
          </cell>
          <cell r="L73">
            <v>2883.9323651064556</v>
          </cell>
          <cell r="M73">
            <v>3109.9969064773818</v>
          </cell>
        </row>
        <row r="74">
          <cell r="A74" t="str">
            <v>- Additions to WC3</v>
          </cell>
          <cell r="C74">
            <v>-1789.5319999999999</v>
          </cell>
          <cell r="D74">
            <v>-281.02999999999997</v>
          </cell>
          <cell r="E74">
            <v>-322.19600000000173</v>
          </cell>
          <cell r="F74">
            <v>862.60491716400952</v>
          </cell>
          <cell r="G74">
            <v>62.14605565944521</v>
          </cell>
          <cell r="H74">
            <v>-200.51983713506502</v>
          </cell>
          <cell r="I74">
            <v>-128.41976864382696</v>
          </cell>
          <cell r="J74">
            <v>-124.83366847227353</v>
          </cell>
          <cell r="K74">
            <v>-127.33034184172084</v>
          </cell>
          <cell r="L74">
            <v>-125.01716488789589</v>
          </cell>
          <cell r="M74">
            <v>-127.51750818565415</v>
          </cell>
        </row>
        <row r="75">
          <cell r="A75" t="str">
            <v>- Capital Expenditures2</v>
          </cell>
          <cell r="C75">
            <v>-831.59900000000005</v>
          </cell>
          <cell r="D75">
            <v>-889.59799999999996</v>
          </cell>
          <cell r="E75">
            <v>-799.41700000000003</v>
          </cell>
          <cell r="F75">
            <v>-1200.4715000000001</v>
          </cell>
          <cell r="G75">
            <v>-1054.6059907521421</v>
          </cell>
          <cell r="H75">
            <v>-1178.0441704747063</v>
          </cell>
          <cell r="I75">
            <v>-1305.1854955889476</v>
          </cell>
          <cell r="J75">
            <v>-1423.0892055007264</v>
          </cell>
          <cell r="K75">
            <v>-1543.350989610741</v>
          </cell>
          <cell r="L75">
            <v>-1661.4280094029557</v>
          </cell>
          <cell r="M75">
            <v>-1781.8665695910149</v>
          </cell>
        </row>
        <row r="76">
          <cell r="C76" t="str">
            <v xml:space="preserve">    -------------</v>
          </cell>
          <cell r="D76" t="str">
            <v xml:space="preserve">    -------------</v>
          </cell>
          <cell r="E76" t="str">
            <v xml:space="preserve">    -------------</v>
          </cell>
          <cell r="F76" t="str">
            <v xml:space="preserve">    -------------</v>
          </cell>
          <cell r="G76" t="str">
            <v xml:space="preserve">    -------------</v>
          </cell>
          <cell r="H76" t="str">
            <v xml:space="preserve">    -------------</v>
          </cell>
          <cell r="I76" t="str">
            <v xml:space="preserve">    -------------</v>
          </cell>
          <cell r="J76" t="str">
            <v xml:space="preserve">    -------------</v>
          </cell>
          <cell r="K76" t="str">
            <v xml:space="preserve">    -------------</v>
          </cell>
          <cell r="L76" t="str">
            <v xml:space="preserve">    -------------</v>
          </cell>
          <cell r="M76" t="str">
            <v xml:space="preserve">    -------------</v>
          </cell>
        </row>
        <row r="77">
          <cell r="A77" t="str">
            <v>Free Cash Flows</v>
          </cell>
          <cell r="C77">
            <v>-1757.2208079568186</v>
          </cell>
          <cell r="D77">
            <v>-167.16026798569737</v>
          </cell>
          <cell r="E77">
            <v>73.174276093533877</v>
          </cell>
          <cell r="F77">
            <v>1102.7765521972037</v>
          </cell>
          <cell r="G77">
            <v>666.52307587146242</v>
          </cell>
          <cell r="H77">
            <v>549.90112326121789</v>
          </cell>
          <cell r="I77">
            <v>757.07772835972219</v>
          </cell>
          <cell r="J77">
            <v>856.66657613247366</v>
          </cell>
          <cell r="K77">
            <v>991.71564795916242</v>
          </cell>
          <cell r="L77">
            <v>1097.487190815604</v>
          </cell>
          <cell r="M77">
            <v>1200.6128287007127</v>
          </cell>
        </row>
        <row r="78">
          <cell r="A78" t="str">
            <v>+ Terminal Value4</v>
          </cell>
          <cell r="M78">
            <v>30953.01390729897</v>
          </cell>
        </row>
        <row r="79">
          <cell r="A79" t="str">
            <v>Present Value (WACC)</v>
          </cell>
          <cell r="D79">
            <v>-167.16026798569737</v>
          </cell>
          <cell r="E79">
            <v>67.076315871360734</v>
          </cell>
          <cell r="F79">
            <v>926.63576050312395</v>
          </cell>
          <cell r="G79">
            <v>513.39009968057337</v>
          </cell>
          <cell r="H79">
            <v>388.26449030253758</v>
          </cell>
          <cell r="I79">
            <v>489.99799497018108</v>
          </cell>
          <cell r="J79">
            <v>508.24887011281805</v>
          </cell>
          <cell r="K79">
            <v>539.33987668755663</v>
          </cell>
          <cell r="L79">
            <v>596.86323128888978</v>
          </cell>
          <cell r="M79">
            <v>17486.598214457037</v>
          </cell>
        </row>
        <row r="81">
          <cell r="A81" t="str">
            <v>Total Firm Value</v>
          </cell>
          <cell r="D81">
            <v>21349.254585888382</v>
          </cell>
        </row>
        <row r="82">
          <cell r="A82" t="str">
            <v>Less: Existing Debt</v>
          </cell>
          <cell r="D82">
            <v>-1103.441</v>
          </cell>
        </row>
        <row r="83">
          <cell r="D83" t="str">
            <v xml:space="preserve">    -------------</v>
          </cell>
        </row>
        <row r="84">
          <cell r="A84" t="str">
            <v>Equity Value</v>
          </cell>
          <cell r="D84">
            <v>20245.813585888383</v>
          </cell>
        </row>
        <row r="85">
          <cell r="A85" t="str">
            <v>KSS Shares Outstanding</v>
          </cell>
          <cell r="D85">
            <v>333.43993436117614</v>
          </cell>
        </row>
        <row r="86">
          <cell r="A86" t="str">
            <v>Per Share</v>
          </cell>
          <cell r="D86">
            <v>60.718022946701048</v>
          </cell>
        </row>
        <row r="88">
          <cell r="A88" t="str">
            <v>FCF/Share</v>
          </cell>
          <cell r="D88">
            <v>-5.1119448199169693</v>
          </cell>
          <cell r="E88">
            <v>-0.48500506079076466</v>
          </cell>
          <cell r="F88">
            <v>0.21117020210648182</v>
          </cell>
          <cell r="G88">
            <v>3.3072719808140798</v>
          </cell>
          <cell r="H88">
            <v>2.1215340665800424</v>
          </cell>
          <cell r="I88">
            <v>1.7975784863974695</v>
          </cell>
          <cell r="J88">
            <v>2.5485714054844304</v>
          </cell>
          <cell r="K88">
            <v>2.9731909903568448</v>
          </cell>
          <cell r="L88">
            <v>3.5554662822617549</v>
          </cell>
          <cell r="M88">
            <v>4.0676552562796982</v>
          </cell>
        </row>
        <row r="90">
          <cell r="A90" t="str">
            <v>After Tax Profit Margin = EBIATt / Salest</v>
          </cell>
          <cell r="D90">
            <v>7.5468524100796547E-2</v>
          </cell>
          <cell r="E90">
            <v>7.6529170968536078E-2</v>
          </cell>
          <cell r="F90">
            <v>7.9668543540065626E-2</v>
          </cell>
          <cell r="G90">
            <v>8.3696829642892587E-2</v>
          </cell>
          <cell r="H90">
            <v>8.4291009085080637E-2</v>
          </cell>
          <cell r="I90">
            <v>8.7956301600108575E-2</v>
          </cell>
          <cell r="J90">
            <v>9.0203767010425595E-2</v>
          </cell>
          <cell r="K90">
            <v>9.0489463749485272E-2</v>
          </cell>
          <cell r="L90">
            <v>9.2194005320866496E-2</v>
          </cell>
          <cell r="M90">
            <v>9.236535563723787E-2</v>
          </cell>
        </row>
        <row r="91">
          <cell r="A91" t="str">
            <v>k = (NNI + DWC)t / EBIATt</v>
          </cell>
          <cell r="E91">
            <v>1.0259329990367103</v>
          </cell>
          <cell r="F91">
            <v>-1.5269361347474437E-2</v>
          </cell>
          <cell r="G91">
            <v>0.43788310216230458</v>
          </cell>
          <cell r="H91">
            <v>0.60464976005930093</v>
          </cell>
          <cell r="I91">
            <v>0.52121896401077339</v>
          </cell>
          <cell r="J91">
            <v>0.50062610697624299</v>
          </cell>
          <cell r="K91">
            <v>0.47427088195017353</v>
          </cell>
          <cell r="L91">
            <v>0.45495892438797442</v>
          </cell>
          <cell r="M91">
            <v>0.43846429589863034</v>
          </cell>
        </row>
        <row r="92">
          <cell r="A92" t="str">
            <v>G = (EBIATt / EBIATt-1) - 1</v>
          </cell>
          <cell r="D92">
            <v>0.13661276000643863</v>
          </cell>
          <cell r="E92">
            <v>0.19649336213585866</v>
          </cell>
          <cell r="F92">
            <v>0.2187836852125129</v>
          </cell>
          <cell r="G92">
            <v>0.13669865694377181</v>
          </cell>
          <cell r="H92">
            <v>0.17304332101868125</v>
          </cell>
          <cell r="I92">
            <v>0.13684414684720614</v>
          </cell>
          <cell r="J92">
            <v>8.48818875134838E-2</v>
          </cell>
          <cell r="K92">
            <v>9.9611176992634665E-2</v>
          </cell>
          <cell r="L92">
            <v>6.7443981207927717E-2</v>
          </cell>
          <cell r="M92">
            <v>6.1830943375648983E-2</v>
          </cell>
        </row>
        <row r="93">
          <cell r="A93" t="str">
            <v>R = EBIATt / It-1</v>
          </cell>
          <cell r="E93">
            <v>0.14127032882747112</v>
          </cell>
          <cell r="F93">
            <v>0.15038245715600582</v>
          </cell>
          <cell r="G93">
            <v>0.17133295937056603</v>
          </cell>
          <cell r="H93">
            <v>0.1869549141244729</v>
          </cell>
          <cell r="I93">
            <v>0.19095286005423084</v>
          </cell>
          <cell r="J93">
            <v>0.18840925541039427</v>
          </cell>
          <cell r="K93">
            <v>0.1893197897972583</v>
          </cell>
          <cell r="L93">
            <v>0.18543800260596871</v>
          </cell>
          <cell r="M93">
            <v>0.18158415776556516</v>
          </cell>
        </row>
        <row r="94">
          <cell r="A94" t="str">
            <v>Ending Working Capital (excl cash)</v>
          </cell>
          <cell r="C94">
            <v>1789.5319999999999</v>
          </cell>
          <cell r="D94">
            <v>2070.5619999999999</v>
          </cell>
          <cell r="E94">
            <v>2392.7580000000016</v>
          </cell>
          <cell r="F94">
            <v>1530.1530828359921</v>
          </cell>
          <cell r="G94">
            <v>1468.0070271765469</v>
          </cell>
          <cell r="H94">
            <v>1668.5268643116119</v>
          </cell>
          <cell r="I94">
            <v>1796.9466329554389</v>
          </cell>
          <cell r="J94">
            <v>1921.7803014277124</v>
          </cell>
          <cell r="K94">
            <v>2049.1106432694332</v>
          </cell>
          <cell r="L94">
            <v>2174.1278081573291</v>
          </cell>
          <cell r="M94">
            <v>2301.6453163429833</v>
          </cell>
        </row>
        <row r="95">
          <cell r="A95" t="str">
            <v>Ending PPE</v>
          </cell>
          <cell r="D95">
            <v>3987.9450000000002</v>
          </cell>
          <cell r="E95">
            <v>4543.8320000000003</v>
          </cell>
          <cell r="F95">
            <v>5390.5088134505831</v>
          </cell>
          <cell r="G95">
            <v>5971.8692767324583</v>
          </cell>
          <cell r="H95">
            <v>6612.3697518301842</v>
          </cell>
          <cell r="I95">
            <v>7308.1331474923127</v>
          </cell>
          <cell r="J95">
            <v>8042.1142047739631</v>
          </cell>
          <cell r="K95">
            <v>8809.4306284492377</v>
          </cell>
          <cell r="L95">
            <v>9600.5124773877233</v>
          </cell>
          <cell r="M95">
            <v>10410.470279744548</v>
          </cell>
        </row>
        <row r="96">
          <cell r="A96" t="str">
            <v xml:space="preserve">TCR </v>
          </cell>
          <cell r="D96">
            <v>6058.5069999999996</v>
          </cell>
          <cell r="E96">
            <v>6936.590000000002</v>
          </cell>
          <cell r="F96">
            <v>6920.661896286575</v>
          </cell>
          <cell r="G96">
            <v>7439.8763039090054</v>
          </cell>
          <cell r="H96">
            <v>8280.8966161417957</v>
          </cell>
          <cell r="I96">
            <v>9105.0797804477515</v>
          </cell>
          <cell r="J96">
            <v>9963.8945062016755</v>
          </cell>
          <cell r="K96">
            <v>10858.54127171867</v>
          </cell>
          <cell r="L96">
            <v>11774.640285545052</v>
          </cell>
          <cell r="M96">
            <v>12712.115596087531</v>
          </cell>
        </row>
        <row r="97">
          <cell r="A97" t="str">
            <v>TCR / St+1 = (WC+PP&amp;E)t / St+1</v>
          </cell>
          <cell r="D97">
            <v>0.45205317037501308</v>
          </cell>
          <cell r="E97">
            <v>0.44949029606438318</v>
          </cell>
          <cell r="F97">
            <v>0.39373919493956855</v>
          </cell>
          <cell r="G97">
            <v>0.37892685980922203</v>
          </cell>
          <cell r="H97">
            <v>0.38067676866444883</v>
          </cell>
          <cell r="I97">
            <v>0.38388653691926711</v>
          </cell>
          <cell r="J97">
            <v>0.38736079763870446</v>
          </cell>
          <cell r="K97">
            <v>0.39214005820044234</v>
          </cell>
          <cell r="L97">
            <v>0.39648222217607371</v>
          </cell>
          <cell r="M97">
            <v>0.40044173320291493</v>
          </cell>
        </row>
        <row r="101">
          <cell r="A101" t="str">
            <v>1.  Debt beta and cost of equity were calculated using the CAPM.  The equity beta and WACC were calculated using the Miles-Ezzell formulas (where q = Rd/(1+Rd)):</v>
          </cell>
        </row>
        <row r="103">
          <cell r="B103" t="str">
            <v>Be = Bu + (Bu - Bd)(1-tq)(D/E)</v>
          </cell>
        </row>
        <row r="105">
          <cell r="B105" t="str">
            <v>WACC = Rd(1-t)(D/V) + Re(E/V)</v>
          </cell>
        </row>
        <row r="106">
          <cell r="B106" t="str">
            <v xml:space="preserve">           = Ru - tq(1+Ru)(D/V)</v>
          </cell>
        </row>
        <row r="108">
          <cell r="A108" t="str">
            <v xml:space="preserve">2.  Depreciation is calculated on a straightline basis.  Initial PPE and all additions to PPE are assumed to have a useful life of 15 years.  Capital expenditures are what is </v>
          </cell>
        </row>
        <row r="109">
          <cell r="A109" t="str">
            <v xml:space="preserve">     required to maintain a constant PPE/Sales ratio.</v>
          </cell>
        </row>
        <row r="111">
          <cell r="A111" t="str">
            <v>4.  Terminal value:</v>
          </cell>
        </row>
        <row r="113">
          <cell r="B113" t="str">
            <v>TVT = EBIATT  ( 1 + G ) ( 1 - k ) / ( W - G )</v>
          </cell>
        </row>
      </sheetData>
      <sheetData sheetId="15" refreshError="1"/>
      <sheetData sheetId="16" refreshError="1"/>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refreshError="1"/>
      <sheetData sheetId="33" refreshError="1"/>
      <sheetData sheetId="34"/>
      <sheetData sheetId="35"/>
      <sheetData sheetId="36"/>
      <sheetData sheetId="37"/>
      <sheetData sheetId="38"/>
      <sheetData sheetId="39"/>
      <sheetData sheetId="40"/>
      <sheetData sheetId="4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Questions"/>
      <sheetName val="Returns"/>
      <sheetName val="Comp Performance"/>
      <sheetName val="Op Margin"/>
      <sheetName val="Variance"/>
      <sheetName val="Disclosures"/>
      <sheetName val="Productivity"/>
      <sheetName val="Shrink"/>
      <sheetName val="Income"/>
      <sheetName val="Balance Sheet"/>
      <sheetName val="mwareValPrintout"/>
      <sheetName val="Cash Flow"/>
      <sheetName val="RNOA - ROE"/>
      <sheetName val="VALUATION"/>
      <sheetName val="LEASES NEW"/>
      <sheetName val="LINKED DATA"/>
      <sheetName val="mwarePreview"/>
      <sheetName val="mwareDates"/>
      <sheetName val="Mix"/>
      <sheetName val="mwareDatesOld"/>
      <sheetName val="mwareSettings"/>
      <sheetName val="mwareSettingsOld"/>
      <sheetName val="NY UPLOAD shadow"/>
      <sheetName val="ROST_working"/>
      <sheetName val="P Map"/>
      <sheetName val="MW-Cache"/>
      <sheetName val="MWA RR"/>
    </sheetNames>
    <sheetDataSet>
      <sheetData sheetId="0" refreshError="1"/>
      <sheetData sheetId="1" refreshError="1"/>
      <sheetData sheetId="2" refreshError="1">
        <row r="3">
          <cell r="E3">
            <v>2001</v>
          </cell>
          <cell r="F3">
            <v>2002</v>
          </cell>
          <cell r="G3">
            <v>2003</v>
          </cell>
          <cell r="H3">
            <v>2004</v>
          </cell>
          <cell r="I3" t="str">
            <v>2005E</v>
          </cell>
          <cell r="J3" t="str">
            <v>2006E</v>
          </cell>
          <cell r="K3" t="str">
            <v>2007E</v>
          </cell>
        </row>
        <row r="4">
          <cell r="D4" t="str">
            <v>RNOA Old</v>
          </cell>
          <cell r="E4">
            <v>0.21659044985158352</v>
          </cell>
          <cell r="F4">
            <v>0.20026107683325725</v>
          </cell>
          <cell r="G4">
            <v>0.18722647709185505</v>
          </cell>
          <cell r="H4">
            <v>0.12905084510452705</v>
          </cell>
          <cell r="I4">
            <v>0.15716129905306389</v>
          </cell>
          <cell r="J4">
            <v>0.17577949576621876</v>
          </cell>
          <cell r="K4">
            <v>0.18500181827983439</v>
          </cell>
        </row>
        <row r="6">
          <cell r="E6">
            <v>2001</v>
          </cell>
          <cell r="F6">
            <v>2002</v>
          </cell>
          <cell r="G6">
            <v>2003</v>
          </cell>
          <cell r="H6">
            <v>2004</v>
          </cell>
          <cell r="I6" t="str">
            <v>2005E</v>
          </cell>
          <cell r="J6" t="str">
            <v>2006E</v>
          </cell>
          <cell r="K6" t="str">
            <v>2007E</v>
          </cell>
        </row>
        <row r="7">
          <cell r="D7" t="str">
            <v>RNOA New</v>
          </cell>
          <cell r="E7">
            <v>0.22550731861735751</v>
          </cell>
          <cell r="F7">
            <v>0.2081664172382533</v>
          </cell>
          <cell r="G7">
            <v>0.20875034525635222</v>
          </cell>
          <cell r="H7">
            <v>0.1468580823245382</v>
          </cell>
          <cell r="I7">
            <v>0.1610785778608389</v>
          </cell>
          <cell r="J7">
            <v>0.17033732967132059</v>
          </cell>
          <cell r="K7">
            <v>0.17178377094114411</v>
          </cell>
        </row>
      </sheetData>
      <sheetData sheetId="3" refreshError="1">
        <row r="5">
          <cell r="E5" t="str">
            <v>Actual</v>
          </cell>
          <cell r="G5" t="str">
            <v>Consensus</v>
          </cell>
          <cell r="I5" t="str">
            <v xml:space="preserve">Degree of </v>
          </cell>
        </row>
        <row r="6">
          <cell r="E6" t="str">
            <v>Comp</v>
          </cell>
          <cell r="G6" t="str">
            <v>Estimate</v>
          </cell>
          <cell r="I6" t="str">
            <v>Outperformance</v>
          </cell>
        </row>
        <row r="7">
          <cell r="E7" t="str">
            <v>(%)</v>
          </cell>
          <cell r="G7" t="str">
            <v>(%)</v>
          </cell>
          <cell r="I7" t="str">
            <v>(%)</v>
          </cell>
        </row>
        <row r="8">
          <cell r="D8" t="str">
            <v>July</v>
          </cell>
          <cell r="E8">
            <v>7</v>
          </cell>
          <cell r="G8">
            <v>5.5</v>
          </cell>
          <cell r="I8">
            <v>1.5</v>
          </cell>
        </row>
        <row r="9">
          <cell r="D9" t="str">
            <v>August</v>
          </cell>
          <cell r="E9">
            <v>13</v>
          </cell>
          <cell r="G9">
            <v>10.8</v>
          </cell>
          <cell r="I9">
            <v>2.1999999999999993</v>
          </cell>
        </row>
        <row r="10">
          <cell r="D10" t="str">
            <v>September</v>
          </cell>
          <cell r="E10">
            <v>9</v>
          </cell>
          <cell r="G10">
            <v>6.2</v>
          </cell>
          <cell r="I10">
            <v>2.8</v>
          </cell>
        </row>
        <row r="11">
          <cell r="D11" t="str">
            <v>October</v>
          </cell>
          <cell r="E11">
            <v>7</v>
          </cell>
          <cell r="G11">
            <v>4</v>
          </cell>
          <cell r="I11">
            <v>3</v>
          </cell>
        </row>
      </sheetData>
      <sheetData sheetId="4" refreshError="1">
        <row r="6">
          <cell r="E6">
            <v>2001</v>
          </cell>
          <cell r="F6">
            <v>2002</v>
          </cell>
          <cell r="G6">
            <v>2003</v>
          </cell>
          <cell r="H6">
            <v>2004</v>
          </cell>
          <cell r="I6" t="str">
            <v>2005E</v>
          </cell>
          <cell r="J6" t="str">
            <v>2006E</v>
          </cell>
          <cell r="K6" t="str">
            <v>2007E</v>
          </cell>
        </row>
        <row r="7">
          <cell r="D7" t="str">
            <v>Operating Magin New</v>
          </cell>
          <cell r="E7">
            <v>8.6304608992980661E-2</v>
          </cell>
          <cell r="F7">
            <v>9.3624561038855206E-2</v>
          </cell>
          <cell r="G7">
            <v>9.5246803855447038E-2</v>
          </cell>
          <cell r="H7">
            <v>6.974497581362217E-2</v>
          </cell>
          <cell r="I7">
            <v>6.5823668600995242E-2</v>
          </cell>
          <cell r="J7">
            <v>6.8122423315100808E-2</v>
          </cell>
          <cell r="K7">
            <v>7.1122423315100949E-2</v>
          </cell>
        </row>
        <row r="8">
          <cell r="D8" t="str">
            <v>Operating Margin Old</v>
          </cell>
          <cell r="E8">
            <v>8.6368284749331475E-2</v>
          </cell>
          <cell r="F8">
            <v>9.3112575392576696E-2</v>
          </cell>
          <cell r="G8">
            <v>9.5246803855447038E-2</v>
          </cell>
          <cell r="H8">
            <v>6.9215965131993212E-2</v>
          </cell>
          <cell r="I8">
            <v>6.9434946241582557E-2</v>
          </cell>
          <cell r="J8">
            <v>8.1434946241582415E-2</v>
          </cell>
          <cell r="K8">
            <v>8.3934946241582306E-2</v>
          </cell>
        </row>
        <row r="10">
          <cell r="M10" t="str">
            <v>2005E</v>
          </cell>
          <cell r="O10" t="str">
            <v>2006E</v>
          </cell>
        </row>
        <row r="11">
          <cell r="M11" t="str">
            <v xml:space="preserve">Old </v>
          </cell>
          <cell r="N11" t="str">
            <v>New</v>
          </cell>
          <cell r="O11" t="str">
            <v xml:space="preserve">Old </v>
          </cell>
          <cell r="P11" t="str">
            <v>New</v>
          </cell>
        </row>
        <row r="12">
          <cell r="L12" t="str">
            <v>Gross margin</v>
          </cell>
          <cell r="M12">
            <v>0.22281374993380371</v>
          </cell>
          <cell r="N12">
            <v>0.22078245953473774</v>
          </cell>
          <cell r="O12">
            <v>0.23431374993380352</v>
          </cell>
          <cell r="P12">
            <v>0.2250119761582198</v>
          </cell>
        </row>
        <row r="13">
          <cell r="L13" t="str">
            <v>Operating margin</v>
          </cell>
          <cell r="M13">
            <v>6.9434946241582557E-2</v>
          </cell>
          <cell r="N13">
            <v>6.5823668600995242E-2</v>
          </cell>
          <cell r="O13">
            <v>8.1434946241582415E-2</v>
          </cell>
          <cell r="P13">
            <v>6.8122423315100808E-2</v>
          </cell>
        </row>
        <row r="15">
          <cell r="N15">
            <v>-3.6112776405873154E-3</v>
          </cell>
          <cell r="P15">
            <v>-1.3312522926481607E-2</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Analysis"/>
      <sheetName val="For Inv. Report"/>
      <sheetName val="Inv"/>
      <sheetName val="Debt"/>
      <sheetName val="  "/>
      <sheetName val="JCP"/>
      <sheetName val="JWN"/>
      <sheetName val="KSS"/>
      <sheetName val="M"/>
      <sheetName val="SKS"/>
      <sheetName val="CapEx"/>
      <sheetName val="__FDSCACHE__"/>
      <sheetName val="MW-Cache"/>
    </sheetNames>
    <sheetDataSet>
      <sheetData sheetId="0"/>
      <sheetData sheetId="1"/>
      <sheetData sheetId="2"/>
      <sheetData sheetId="3"/>
      <sheetData sheetId="4"/>
      <sheetData sheetId="5"/>
      <sheetData sheetId="6">
        <row r="54">
          <cell r="A54" t="str">
            <v>1 Yr Comps</v>
          </cell>
          <cell r="B54" t="str">
            <v>2007Q1</v>
          </cell>
          <cell r="C54" t="str">
            <v>2007Q2</v>
          </cell>
          <cell r="D54" t="str">
            <v>2007Q3</v>
          </cell>
          <cell r="E54" t="str">
            <v>2007Q4</v>
          </cell>
          <cell r="F54" t="str">
            <v>2008Q1</v>
          </cell>
          <cell r="G54" t="str">
            <v>2008Q2</v>
          </cell>
          <cell r="H54" t="str">
            <v>2008Q3</v>
          </cell>
          <cell r="I54" t="str">
            <v>2008Q4</v>
          </cell>
          <cell r="J54" t="str">
            <v>2009Q1</v>
          </cell>
          <cell r="K54" t="str">
            <v>2009Q2</v>
          </cell>
          <cell r="L54" t="str">
            <v>2009Q3</v>
          </cell>
          <cell r="M54" t="str">
            <v>2009Q4</v>
          </cell>
          <cell r="N54" t="str">
            <v>2010Q1</v>
          </cell>
          <cell r="O54" t="str">
            <v>2010Q2</v>
          </cell>
          <cell r="P54" t="str">
            <v>2010Q3</v>
          </cell>
          <cell r="Q54" t="str">
            <v>2010Q4</v>
          </cell>
          <cell r="R54" t="str">
            <v>2011Q1</v>
          </cell>
          <cell r="S54" t="str">
            <v>2011Q2</v>
          </cell>
          <cell r="T54" t="str">
            <v>2011Q3</v>
          </cell>
          <cell r="U54" t="str">
            <v>2011Q4e</v>
          </cell>
          <cell r="V54" t="str">
            <v>2012Q1e</v>
          </cell>
          <cell r="W54" t="str">
            <v>2012Q2e</v>
          </cell>
          <cell r="X54" t="str">
            <v>2012Q3e</v>
          </cell>
          <cell r="Y54" t="str">
            <v>2012Q4e</v>
          </cell>
        </row>
        <row r="55">
          <cell r="A55" t="str">
            <v>JCP</v>
          </cell>
          <cell r="B55">
            <v>2.1999999999999999E-2</v>
          </cell>
          <cell r="C55">
            <v>1.9E-2</v>
          </cell>
          <cell r="D55">
            <v>-3.5000000000000003E-2</v>
          </cell>
          <cell r="E55">
            <v>-3.5999999999999997E-2</v>
          </cell>
          <cell r="F55">
            <v>-7.3999999999999996E-2</v>
          </cell>
          <cell r="G55">
            <v>-4.2999999999999997E-2</v>
          </cell>
          <cell r="H55">
            <v>-0.10100000000000001</v>
          </cell>
          <cell r="I55">
            <v>-0.108</v>
          </cell>
          <cell r="J55">
            <v>-7.4999999999999997E-2</v>
          </cell>
          <cell r="K55">
            <v>-9.5000000000000001E-2</v>
          </cell>
          <cell r="L55">
            <v>-4.5999999999999999E-2</v>
          </cell>
          <cell r="M55">
            <v>-4.4999999999999998E-2</v>
          </cell>
          <cell r="N55">
            <v>1.6E-2</v>
          </cell>
          <cell r="O55">
            <v>8.9999999999999993E-3</v>
          </cell>
          <cell r="P55">
            <v>1.9E-2</v>
          </cell>
          <cell r="Q55">
            <v>4.4999999999999998E-2</v>
          </cell>
          <cell r="R55">
            <v>3.7999999999999999E-2</v>
          </cell>
          <cell r="S55">
            <v>1.4999999999999999E-2</v>
          </cell>
          <cell r="T55">
            <v>0</v>
          </cell>
          <cell r="U55">
            <v>0</v>
          </cell>
          <cell r="V55">
            <v>-2.1608157959071499E-2</v>
          </cell>
          <cell r="W55">
            <v>-1.1378008352056337E-2</v>
          </cell>
          <cell r="X55">
            <v>4.2433391807850905E-3</v>
          </cell>
          <cell r="Y55">
            <v>3.161220202750066E-3</v>
          </cell>
        </row>
        <row r="56">
          <cell r="A56" t="str">
            <v>M</v>
          </cell>
          <cell r="B56">
            <v>6.0000000000000001E-3</v>
          </cell>
          <cell r="C56">
            <v>-2.5999999999999999E-2</v>
          </cell>
          <cell r="D56">
            <v>-8.0000000000000002E-3</v>
          </cell>
          <cell r="E56">
            <v>-0.02</v>
          </cell>
          <cell r="F56">
            <v>-2.5999999999999999E-2</v>
          </cell>
          <cell r="G56">
            <v>-2.1000000000000001E-2</v>
          </cell>
          <cell r="H56">
            <v>-0.06</v>
          </cell>
          <cell r="I56">
            <v>-7.0000000000000007E-2</v>
          </cell>
          <cell r="J56">
            <v>-0.09</v>
          </cell>
          <cell r="K56">
            <v>-9.5000000000000001E-2</v>
          </cell>
          <cell r="L56">
            <v>-3.5999999999999997E-2</v>
          </cell>
          <cell r="M56">
            <v>-8.0000000000000002E-3</v>
          </cell>
          <cell r="N56">
            <v>5.5E-2</v>
          </cell>
          <cell r="O56">
            <v>4.9000000000000002E-2</v>
          </cell>
          <cell r="P56">
            <v>3.9E-2</v>
          </cell>
          <cell r="Q56">
            <v>4.2999999999999997E-2</v>
          </cell>
          <cell r="R56">
            <v>5.3999999999999999E-2</v>
          </cell>
          <cell r="S56">
            <v>6.4000000000000001E-2</v>
          </cell>
          <cell r="T56">
            <v>0.04</v>
          </cell>
          <cell r="U56">
            <v>5.1999999999999998E-2</v>
          </cell>
          <cell r="V56">
            <v>3.1230920582903131E-2</v>
          </cell>
          <cell r="W56">
            <v>2.9742596430138542E-2</v>
          </cell>
          <cell r="X56">
            <v>4.4925303944057193E-2</v>
          </cell>
          <cell r="Y56">
            <v>3.4620305559042677E-2</v>
          </cell>
        </row>
        <row r="57">
          <cell r="A57" t="str">
            <v>KSS</v>
          </cell>
          <cell r="B57">
            <v>3.9E-2</v>
          </cell>
          <cell r="C57">
            <v>1.2999999999999999E-2</v>
          </cell>
          <cell r="D57">
            <v>-2.5683781240196588E-2</v>
          </cell>
          <cell r="E57">
            <v>-0.04</v>
          </cell>
          <cell r="F57">
            <v>-6.7000000000000004E-2</v>
          </cell>
          <cell r="G57">
            <v>-4.5999999999999999E-2</v>
          </cell>
          <cell r="H57">
            <v>-6.7000000000000004E-2</v>
          </cell>
          <cell r="I57">
            <v>-9.0999999999999998E-2</v>
          </cell>
          <cell r="J57">
            <v>-4.2000000000000003E-2</v>
          </cell>
          <cell r="K57">
            <v>-2.3E-2</v>
          </cell>
          <cell r="L57">
            <v>2.4E-2</v>
          </cell>
          <cell r="M57">
            <v>4.4999999999999998E-2</v>
          </cell>
          <cell r="N57">
            <v>7.3999999999999996E-2</v>
          </cell>
          <cell r="O57">
            <v>4.5999999999999999E-2</v>
          </cell>
          <cell r="P57">
            <v>1.7999999999999999E-2</v>
          </cell>
          <cell r="Q57">
            <v>4.2999999999999997E-2</v>
          </cell>
          <cell r="R57">
            <v>1.2999999999999999E-2</v>
          </cell>
          <cell r="S57">
            <v>1.9E-2</v>
          </cell>
          <cell r="T57">
            <v>2.1000000000000001E-2</v>
          </cell>
          <cell r="U57">
            <v>-2.1000000000000001E-2</v>
          </cell>
          <cell r="V57">
            <v>-2.8459367930321836E-3</v>
          </cell>
          <cell r="W57">
            <v>3.7799915846087641E-3</v>
          </cell>
          <cell r="X57">
            <v>8.2509903068364102E-3</v>
          </cell>
          <cell r="Y57">
            <v>2.2272400277867151E-2</v>
          </cell>
        </row>
        <row r="58">
          <cell r="A58" t="str">
            <v>BONT</v>
          </cell>
          <cell r="B58">
            <v>-2.5000000000000001E-2</v>
          </cell>
          <cell r="C58">
            <v>-0.05</v>
          </cell>
          <cell r="D58">
            <v>-0.03</v>
          </cell>
          <cell r="E58">
            <v>-3.5999999999999997E-2</v>
          </cell>
          <cell r="F58">
            <v>-4.5999999999999999E-2</v>
          </cell>
          <cell r="G58">
            <v>-5.7000000000000002E-2</v>
          </cell>
          <cell r="H58">
            <v>-8.3000000000000004E-2</v>
          </cell>
          <cell r="I58">
            <v>-9.7000000000000003E-2</v>
          </cell>
          <cell r="J58">
            <v>-8.5999999999999993E-2</v>
          </cell>
          <cell r="K58">
            <v>-9.8000000000000004E-2</v>
          </cell>
          <cell r="L58">
            <v>-2.5999999999999999E-2</v>
          </cell>
          <cell r="M58">
            <v>-2.4E-2</v>
          </cell>
          <cell r="N58">
            <v>0.03</v>
          </cell>
          <cell r="O58">
            <v>2E-3</v>
          </cell>
          <cell r="P58">
            <v>-3.0000000000000001E-3</v>
          </cell>
          <cell r="Q58">
            <v>8.0000000000000002E-3</v>
          </cell>
          <cell r="R58">
            <v>-1.2E-2</v>
          </cell>
          <cell r="S58">
            <v>-1.4999999999999999E-2</v>
          </cell>
          <cell r="T58">
            <v>-5.8999999999999997E-2</v>
          </cell>
          <cell r="U58">
            <v>-0.03</v>
          </cell>
        </row>
        <row r="59">
          <cell r="A59" t="str">
            <v>DDS</v>
          </cell>
          <cell r="B59">
            <v>-0.05</v>
          </cell>
          <cell r="C59">
            <v>-0.03</v>
          </cell>
          <cell r="D59">
            <v>-0.06</v>
          </cell>
          <cell r="E59">
            <v>-0.05</v>
          </cell>
          <cell r="F59">
            <v>-0.06</v>
          </cell>
          <cell r="G59">
            <v>-0.04</v>
          </cell>
          <cell r="H59">
            <v>-0.09</v>
          </cell>
          <cell r="I59">
            <v>-0.08</v>
          </cell>
          <cell r="J59">
            <v>-0.13</v>
          </cell>
          <cell r="K59">
            <v>-0.13</v>
          </cell>
          <cell r="L59">
            <v>-0.09</v>
          </cell>
          <cell r="M59">
            <v>-0.08</v>
          </cell>
          <cell r="N59">
            <v>0.02</v>
          </cell>
          <cell r="O59">
            <v>0</v>
          </cell>
          <cell r="P59">
            <v>0.01</v>
          </cell>
          <cell r="Q59">
            <v>7.0000000000000007E-2</v>
          </cell>
          <cell r="R59">
            <v>0.02</v>
          </cell>
          <cell r="S59">
            <v>0.06</v>
          </cell>
          <cell r="T59">
            <v>0.05</v>
          </cell>
          <cell r="U59">
            <v>0.02</v>
          </cell>
        </row>
        <row r="60">
          <cell r="A60" t="str">
            <v>Spread</v>
          </cell>
          <cell r="B60">
            <v>-5.0000000000000044E-4</v>
          </cell>
          <cell r="C60">
            <v>2.5499999999999998E-2</v>
          </cell>
          <cell r="D60">
            <v>-1.8158109379901709E-2</v>
          </cell>
          <cell r="E60">
            <v>-5.9999999999999984E-3</v>
          </cell>
          <cell r="F60">
            <v>-2.7499999999999997E-2</v>
          </cell>
          <cell r="G60">
            <v>-9.4999999999999946E-3</v>
          </cell>
          <cell r="H60">
            <v>-3.7500000000000006E-2</v>
          </cell>
          <cell r="I60">
            <v>-2.7499999999999997E-2</v>
          </cell>
          <cell r="J60">
            <v>-8.9999999999999941E-3</v>
          </cell>
          <cell r="K60">
            <v>-3.6000000000000004E-2</v>
          </cell>
          <cell r="L60">
            <v>-0.04</v>
          </cell>
          <cell r="M60">
            <v>-6.3500000000000001E-2</v>
          </cell>
          <cell r="N60">
            <v>-4.8500000000000001E-2</v>
          </cell>
          <cell r="O60">
            <v>-3.85E-2</v>
          </cell>
          <cell r="P60">
            <v>-9.499999999999998E-3</v>
          </cell>
          <cell r="Q60">
            <v>2.0000000000000018E-3</v>
          </cell>
          <cell r="R60">
            <v>4.4999999999999971E-3</v>
          </cell>
          <cell r="S60">
            <v>-2.6500000000000003E-2</v>
          </cell>
          <cell r="T60">
            <v>-3.0499999999999999E-2</v>
          </cell>
          <cell r="U60">
            <v>-1.5499999999999998E-2</v>
          </cell>
          <cell r="V60">
            <v>-3.5800649854006973E-2</v>
          </cell>
          <cell r="W60">
            <v>-2.8139302359429991E-2</v>
          </cell>
          <cell r="X60">
            <v>-2.2344807944661711E-2</v>
          </cell>
          <cell r="Y60">
            <v>-2.5285132715704848E-2</v>
          </cell>
        </row>
        <row r="61">
          <cell r="G61" t="str">
            <v>2Q08</v>
          </cell>
          <cell r="H61" t="str">
            <v>3Q08</v>
          </cell>
          <cell r="I61" t="str">
            <v>4Q08</v>
          </cell>
          <cell r="J61" t="str">
            <v>1Q09</v>
          </cell>
          <cell r="K61" t="str">
            <v>2Q09</v>
          </cell>
          <cell r="L61" t="str">
            <v>3Q09</v>
          </cell>
          <cell r="M61" t="str">
            <v>4Q09</v>
          </cell>
          <cell r="N61" t="str">
            <v>1Q10</v>
          </cell>
          <cell r="O61" t="str">
            <v>2Q10</v>
          </cell>
          <cell r="P61" t="str">
            <v>3Q10</v>
          </cell>
          <cell r="Q61" t="str">
            <v>4Q10</v>
          </cell>
          <cell r="R61" t="str">
            <v>1Q11</v>
          </cell>
          <cell r="S61" t="str">
            <v>2Q11</v>
          </cell>
          <cell r="T61" t="str">
            <v xml:space="preserve">3Q11 </v>
          </cell>
          <cell r="U61" t="str">
            <v>4Q11e</v>
          </cell>
          <cell r="V61" t="str">
            <v>1Q12e</v>
          </cell>
          <cell r="W61" t="str">
            <v>2Q12e</v>
          </cell>
          <cell r="X61" t="str">
            <v>3Q12e</v>
          </cell>
          <cell r="Y61" t="str">
            <v>4Q11e</v>
          </cell>
        </row>
        <row r="62">
          <cell r="A62" t="str">
            <v>2 Yr Comps</v>
          </cell>
          <cell r="B62" t="str">
            <v>2007Q1</v>
          </cell>
          <cell r="C62" t="str">
            <v>2007Q2</v>
          </cell>
          <cell r="D62" t="str">
            <v>2007Q3</v>
          </cell>
          <cell r="E62" t="str">
            <v>2007Q4</v>
          </cell>
          <cell r="F62" t="str">
            <v>2008Q1</v>
          </cell>
          <cell r="G62" t="str">
            <v>2008Q2</v>
          </cell>
          <cell r="H62" t="str">
            <v>2008Q3</v>
          </cell>
          <cell r="I62" t="str">
            <v>2008Q4</v>
          </cell>
          <cell r="J62" t="str">
            <v>2009Q1</v>
          </cell>
          <cell r="K62" t="str">
            <v>2009Q2</v>
          </cell>
          <cell r="L62" t="str">
            <v>2009Q3</v>
          </cell>
          <cell r="M62" t="str">
            <v>2009Q4</v>
          </cell>
          <cell r="N62" t="str">
            <v>2010Q1</v>
          </cell>
          <cell r="O62" t="str">
            <v>2010Q2</v>
          </cell>
          <cell r="P62" t="str">
            <v>2010Q3</v>
          </cell>
          <cell r="Q62" t="str">
            <v>2010Q4</v>
          </cell>
          <cell r="R62" t="str">
            <v>2011Q1</v>
          </cell>
          <cell r="S62" t="str">
            <v>2011Q2</v>
          </cell>
          <cell r="T62" t="str">
            <v>2011Q3</v>
          </cell>
          <cell r="U62" t="str">
            <v>2011Q4e</v>
          </cell>
          <cell r="V62" t="str">
            <v>2012Q1e</v>
          </cell>
          <cell r="W62" t="str">
            <v>2012Q2e</v>
          </cell>
          <cell r="X62" t="str">
            <v>2012Q3e</v>
          </cell>
          <cell r="Y62" t="str">
            <v>2012Q4e</v>
          </cell>
        </row>
        <row r="63">
          <cell r="A63" t="str">
            <v>JCP</v>
          </cell>
          <cell r="F63">
            <v>-2.5999999999999999E-2</v>
          </cell>
          <cell r="G63">
            <v>-1.1999999999999999E-2</v>
          </cell>
          <cell r="H63">
            <v>-6.8000000000000005E-2</v>
          </cell>
          <cell r="I63">
            <v>-7.1999999999999995E-2</v>
          </cell>
          <cell r="J63">
            <v>-7.4499999999999997E-2</v>
          </cell>
          <cell r="K63">
            <v>-6.9000000000000006E-2</v>
          </cell>
          <cell r="L63">
            <v>-7.350000000000001E-2</v>
          </cell>
          <cell r="M63">
            <v>-7.6499999999999999E-2</v>
          </cell>
          <cell r="N63">
            <v>-2.9499999999999998E-2</v>
          </cell>
          <cell r="O63">
            <v>-4.3000000000000003E-2</v>
          </cell>
          <cell r="P63">
            <v>-1.35E-2</v>
          </cell>
          <cell r="Q63">
            <v>0</v>
          </cell>
          <cell r="R63">
            <v>2.7E-2</v>
          </cell>
          <cell r="S63">
            <v>1.2E-2</v>
          </cell>
          <cell r="T63">
            <v>9.4999999999999998E-3</v>
          </cell>
          <cell r="U63">
            <v>2.2499999999999999E-2</v>
          </cell>
          <cell r="V63">
            <v>8.1959210204642502E-3</v>
          </cell>
          <cell r="W63">
            <v>1.810995823971831E-3</v>
          </cell>
          <cell r="X63">
            <v>2.1216695903925453E-3</v>
          </cell>
          <cell r="Y63">
            <v>1.580610101375033E-3</v>
          </cell>
        </row>
        <row r="64">
          <cell r="A64" t="str">
            <v>M</v>
          </cell>
          <cell r="F64">
            <v>-9.9999999999999985E-3</v>
          </cell>
          <cell r="G64">
            <v>-2.35E-2</v>
          </cell>
          <cell r="H64">
            <v>-3.4000000000000002E-2</v>
          </cell>
          <cell r="I64">
            <v>-4.5000000000000005E-2</v>
          </cell>
          <cell r="J64">
            <v>-5.7999999999999996E-2</v>
          </cell>
          <cell r="K64">
            <v>-5.8000000000000003E-2</v>
          </cell>
          <cell r="L64">
            <v>-4.8000000000000001E-2</v>
          </cell>
          <cell r="M64">
            <v>-3.9000000000000007E-2</v>
          </cell>
          <cell r="N64">
            <v>-1.7499999999999998E-2</v>
          </cell>
          <cell r="O64">
            <v>-2.3E-2</v>
          </cell>
          <cell r="P64">
            <v>1.5000000000000013E-3</v>
          </cell>
          <cell r="Q64">
            <v>1.7499999999999998E-2</v>
          </cell>
          <cell r="R64">
            <v>5.45E-2</v>
          </cell>
          <cell r="S64">
            <v>5.6500000000000002E-2</v>
          </cell>
          <cell r="T64">
            <v>3.95E-2</v>
          </cell>
          <cell r="U64">
            <v>4.7500000000000001E-2</v>
          </cell>
          <cell r="V64">
            <v>4.2615460291451565E-2</v>
          </cell>
          <cell r="W64">
            <v>4.6871298215069274E-2</v>
          </cell>
          <cell r="X64">
            <v>4.2462651972028601E-2</v>
          </cell>
          <cell r="Y64">
            <v>4.3310152779521341E-2</v>
          </cell>
        </row>
        <row r="65">
          <cell r="A65" t="str">
            <v>KSS</v>
          </cell>
          <cell r="F65">
            <v>-1.4000000000000002E-2</v>
          </cell>
          <cell r="G65">
            <v>-1.6500000000000001E-2</v>
          </cell>
          <cell r="H65">
            <v>-4.6341890620098296E-2</v>
          </cell>
          <cell r="I65">
            <v>-6.5500000000000003E-2</v>
          </cell>
          <cell r="J65">
            <v>-5.4500000000000007E-2</v>
          </cell>
          <cell r="K65">
            <v>-3.4500000000000003E-2</v>
          </cell>
          <cell r="L65">
            <v>-2.1500000000000002E-2</v>
          </cell>
          <cell r="M65">
            <v>-2.3E-2</v>
          </cell>
          <cell r="N65">
            <v>1.5999999999999997E-2</v>
          </cell>
          <cell r="O65">
            <v>1.15E-2</v>
          </cell>
          <cell r="P65">
            <v>2.0999999999999998E-2</v>
          </cell>
          <cell r="Q65">
            <v>4.3999999999999997E-2</v>
          </cell>
          <cell r="R65">
            <v>4.3499999999999997E-2</v>
          </cell>
          <cell r="S65">
            <v>3.2500000000000001E-2</v>
          </cell>
          <cell r="T65">
            <v>1.95E-2</v>
          </cell>
          <cell r="U65">
            <v>1.0999999999999998E-2</v>
          </cell>
          <cell r="V65">
            <v>5.0770316034839079E-3</v>
          </cell>
          <cell r="W65">
            <v>1.1389995792304382E-2</v>
          </cell>
          <cell r="X65">
            <v>1.4625495153418206E-2</v>
          </cell>
          <cell r="Y65">
            <v>6.3620013893357467E-4</v>
          </cell>
        </row>
        <row r="68">
          <cell r="A68" t="str">
            <v>Spread</v>
          </cell>
          <cell r="F68">
            <v>-1.3999999999999999E-2</v>
          </cell>
          <cell r="G68">
            <v>8.0000000000000019E-3</v>
          </cell>
          <cell r="H68">
            <v>-2.7829054689950852E-2</v>
          </cell>
          <cell r="I68">
            <v>-1.6749999999999987E-2</v>
          </cell>
          <cell r="J68">
            <v>-1.8249999999999995E-2</v>
          </cell>
          <cell r="K68">
            <v>-2.2750000000000006E-2</v>
          </cell>
          <cell r="L68">
            <v>-3.8750000000000007E-2</v>
          </cell>
          <cell r="M68">
            <v>-4.5499999999999999E-2</v>
          </cell>
          <cell r="N68">
            <v>-2.8749999999999998E-2</v>
          </cell>
          <cell r="O68">
            <v>-3.7250000000000005E-2</v>
          </cell>
          <cell r="P68">
            <v>-2.4750000000000001E-2</v>
          </cell>
          <cell r="Q68">
            <v>-3.075E-2</v>
          </cell>
          <cell r="R68">
            <v>-2.2000000000000002E-2</v>
          </cell>
          <cell r="S68">
            <v>-3.2500000000000001E-2</v>
          </cell>
          <cell r="T68">
            <v>-1.9999999999999997E-2</v>
          </cell>
          <cell r="U68">
            <v>-6.7499999999999991E-3</v>
          </cell>
          <cell r="V68">
            <v>-1.5650324927003488E-2</v>
          </cell>
          <cell r="W68">
            <v>-2.7319651179714997E-2</v>
          </cell>
          <cell r="X68">
            <v>-2.6422403972330859E-2</v>
          </cell>
          <cell r="Y68">
            <v>-2.0392566357852426E-2</v>
          </cell>
        </row>
        <row r="90">
          <cell r="K90">
            <v>2000</v>
          </cell>
          <cell r="L90">
            <v>2001</v>
          </cell>
          <cell r="M90">
            <v>2002</v>
          </cell>
          <cell r="N90">
            <v>2003</v>
          </cell>
          <cell r="O90">
            <v>2004</v>
          </cell>
          <cell r="P90">
            <v>2005</v>
          </cell>
          <cell r="Q90">
            <v>2006</v>
          </cell>
          <cell r="R90">
            <v>2007</v>
          </cell>
          <cell r="S90">
            <v>2008</v>
          </cell>
          <cell r="T90">
            <v>2009</v>
          </cell>
          <cell r="U90">
            <v>2010</v>
          </cell>
          <cell r="V90" t="str">
            <v>1H11</v>
          </cell>
        </row>
        <row r="91">
          <cell r="C91" t="str">
            <v>2Q10</v>
          </cell>
          <cell r="D91" t="str">
            <v>3Q10</v>
          </cell>
          <cell r="E91" t="str">
            <v>4Q10</v>
          </cell>
          <cell r="F91" t="str">
            <v>1Q11</v>
          </cell>
          <cell r="G91" t="str">
            <v>2Q11</v>
          </cell>
          <cell r="H91" t="str">
            <v>3Q11</v>
          </cell>
          <cell r="J91" t="str">
            <v>JCP</v>
          </cell>
          <cell r="K91">
            <v>-2.4E-2</v>
          </cell>
          <cell r="L91">
            <v>3.125E-2</v>
          </cell>
          <cell r="M91">
            <v>2.8250000000000001E-2</v>
          </cell>
          <cell r="N91">
            <v>8.0000000000000002E-3</v>
          </cell>
          <cell r="O91">
            <v>4.9000000000000002E-2</v>
          </cell>
          <cell r="P91">
            <v>2.9000000000000001E-2</v>
          </cell>
          <cell r="Q91">
            <v>3.6999999999999998E-2</v>
          </cell>
          <cell r="R91">
            <v>-1.0999999999999999E-2</v>
          </cell>
          <cell r="S91">
            <v>-8.5000000000000006E-2</v>
          </cell>
          <cell r="T91">
            <v>-6.3078925007644338E-2</v>
          </cell>
          <cell r="U91">
            <v>0</v>
          </cell>
          <cell r="V91">
            <v>2.6499999999999999E-2</v>
          </cell>
        </row>
        <row r="92">
          <cell r="A92" t="str">
            <v>JCP</v>
          </cell>
          <cell r="C92">
            <v>-2.5000000000000001E-2</v>
          </cell>
          <cell r="D92">
            <v>-2.5000000000000001E-2</v>
          </cell>
          <cell r="E92">
            <v>-2.5000000000000001E-2</v>
          </cell>
          <cell r="F92">
            <v>-0.01</v>
          </cell>
          <cell r="G92">
            <v>-2.5000000000000001E-3</v>
          </cell>
          <cell r="H92">
            <v>2.5000000000000001E-3</v>
          </cell>
          <cell r="J92" t="str">
            <v>M</v>
          </cell>
          <cell r="K92">
            <v>0.02</v>
          </cell>
          <cell r="L92">
            <v>-5.2999999999999999E-2</v>
          </cell>
          <cell r="M92">
            <v>-0.03</v>
          </cell>
          <cell r="N92">
            <v>-9.0000000000000011E-3</v>
          </cell>
          <cell r="O92">
            <v>2.5999999999999999E-2</v>
          </cell>
          <cell r="P92">
            <v>1.2999999999999999E-2</v>
          </cell>
          <cell r="Q92">
            <v>4.3999999999999997E-2</v>
          </cell>
          <cell r="R92">
            <v>-1.2999999999999999E-2</v>
          </cell>
          <cell r="S92">
            <v>-4.4999999999999998E-2</v>
          </cell>
          <cell r="T92">
            <v>-5.2999999999999999E-2</v>
          </cell>
          <cell r="U92">
            <v>4.610434747830261E-2</v>
          </cell>
          <cell r="V92">
            <v>5.8999999999999997E-2</v>
          </cell>
        </row>
        <row r="93">
          <cell r="C93" t="str">
            <v>(LSD)</v>
          </cell>
          <cell r="D93" t="str">
            <v>(LSD)</v>
          </cell>
          <cell r="E93" t="str">
            <v>(LSD)</v>
          </cell>
          <cell r="F93">
            <v>-0.01</v>
          </cell>
          <cell r="G93" t="str">
            <v>Down slightly</v>
          </cell>
          <cell r="H93" t="str">
            <v>Up slightly</v>
          </cell>
          <cell r="J93" t="str">
            <v>KSS</v>
          </cell>
          <cell r="K93">
            <v>9.5515620428464607E-2</v>
          </cell>
          <cell r="L93">
            <v>6.8000000000000005E-2</v>
          </cell>
          <cell r="M93">
            <v>5.9056288469869427E-2</v>
          </cell>
          <cell r="N93">
            <v>-1.2342184383842436E-2</v>
          </cell>
          <cell r="O93">
            <v>5.4574854495884851E-3</v>
          </cell>
          <cell r="P93">
            <v>3.6890876124815335E-2</v>
          </cell>
          <cell r="Q93">
            <v>5.8999999999999997E-2</v>
          </cell>
          <cell r="R93">
            <v>-7.9988102247825314E-3</v>
          </cell>
          <cell r="S93">
            <v>-6.9000000000000006E-2</v>
          </cell>
          <cell r="T93">
            <v>6.5541130581591653E-3</v>
          </cell>
          <cell r="U93">
            <v>4.4736447175248759E-2</v>
          </cell>
          <cell r="V93">
            <v>1.6E-2</v>
          </cell>
        </row>
        <row r="94">
          <cell r="J94" t="str">
            <v>DDS</v>
          </cell>
          <cell r="L94">
            <v>-0.05</v>
          </cell>
          <cell r="M94">
            <v>-0.03</v>
          </cell>
          <cell r="N94">
            <v>-0.04</v>
          </cell>
          <cell r="O94">
            <v>-0.01</v>
          </cell>
          <cell r="P94">
            <v>0</v>
          </cell>
          <cell r="Q94">
            <v>0</v>
          </cell>
          <cell r="R94">
            <v>-0.06</v>
          </cell>
          <cell r="S94">
            <v>-7.0000000000000007E-2</v>
          </cell>
          <cell r="T94">
            <v>-0.1</v>
          </cell>
          <cell r="U94">
            <v>0.03</v>
          </cell>
          <cell r="V94">
            <v>0.04</v>
          </cell>
        </row>
        <row r="95">
          <cell r="J95" t="str">
            <v>Spread</v>
          </cell>
          <cell r="K95">
            <v>-8.1757810214232313E-2</v>
          </cell>
          <cell r="L95">
            <v>4.2916666666666665E-2</v>
          </cell>
          <cell r="M95">
            <v>2.8564570510043526E-2</v>
          </cell>
          <cell r="N95">
            <v>2.8447394794614146E-2</v>
          </cell>
          <cell r="O95">
            <v>4.1847504850137177E-2</v>
          </cell>
          <cell r="P95">
            <v>1.2369707958394892E-2</v>
          </cell>
          <cell r="Q95">
            <v>2.6666666666666644E-3</v>
          </cell>
          <cell r="R95">
            <v>1.5999603408260843E-2</v>
          </cell>
          <cell r="S95">
            <v>-2.3666666666666676E-2</v>
          </cell>
          <cell r="T95">
            <v>-1.4263629360364051E-2</v>
          </cell>
          <cell r="U95">
            <v>-4.0280264884517122E-2</v>
          </cell>
          <cell r="V95">
            <v>-1.1833333333333331E-2</v>
          </cell>
        </row>
        <row r="99">
          <cell r="K99" t="str">
            <v>2010Q3</v>
          </cell>
          <cell r="L99" t="str">
            <v>2010Q4</v>
          </cell>
          <cell r="M99" t="str">
            <v>2011Q1</v>
          </cell>
          <cell r="N99" t="str">
            <v>2011Q2</v>
          </cell>
        </row>
        <row r="100">
          <cell r="J100" t="str">
            <v>JCP</v>
          </cell>
          <cell r="K100">
            <v>1.9E-2</v>
          </cell>
          <cell r="L100">
            <v>4.4999999999999998E-2</v>
          </cell>
          <cell r="M100">
            <v>3.7999999999999999E-2</v>
          </cell>
          <cell r="N100">
            <v>1.4999999999999999E-2</v>
          </cell>
        </row>
        <row r="101">
          <cell r="J101" t="str">
            <v>KSS</v>
          </cell>
          <cell r="K101">
            <v>1.7999999999999999E-2</v>
          </cell>
          <cell r="L101">
            <v>4.2999999999999997E-2</v>
          </cell>
          <cell r="M101">
            <v>1.2999999999999999E-2</v>
          </cell>
          <cell r="N101">
            <v>1.9E-2</v>
          </cell>
        </row>
        <row r="102">
          <cell r="J102" t="str">
            <v>M</v>
          </cell>
          <cell r="K102">
            <v>3.9E-2</v>
          </cell>
          <cell r="L102">
            <v>4.2999999999999997E-2</v>
          </cell>
          <cell r="M102">
            <v>5.3999999999999999E-2</v>
          </cell>
          <cell r="N102">
            <v>6.4000000000000001E-2</v>
          </cell>
        </row>
        <row r="103">
          <cell r="J103" t="str">
            <v>DDS</v>
          </cell>
          <cell r="K103">
            <v>0.01</v>
          </cell>
          <cell r="L103">
            <v>7.0000000000000007E-2</v>
          </cell>
          <cell r="M103">
            <v>0.02</v>
          </cell>
          <cell r="N103">
            <v>3.6999999999999998E-2</v>
          </cell>
        </row>
        <row r="104">
          <cell r="J104" t="str">
            <v>Mid-Tier Avg</v>
          </cell>
          <cell r="K104">
            <v>2.233333333333333E-2</v>
          </cell>
          <cell r="L104">
            <v>5.1999999999999998E-2</v>
          </cell>
          <cell r="M104">
            <v>2.9000000000000001E-2</v>
          </cell>
          <cell r="N104">
            <v>0.04</v>
          </cell>
        </row>
        <row r="106">
          <cell r="K106" t="str">
            <v>2010Q3</v>
          </cell>
          <cell r="L106" t="str">
            <v>2010Q4</v>
          </cell>
          <cell r="M106" t="str">
            <v>2011Q1</v>
          </cell>
          <cell r="N106" t="str">
            <v>2011Q2</v>
          </cell>
          <cell r="O106" t="str">
            <v>2011Q3</v>
          </cell>
        </row>
        <row r="107">
          <cell r="J107" t="str">
            <v>JCP Comps</v>
          </cell>
          <cell r="K107">
            <v>1.9E-2</v>
          </cell>
          <cell r="L107">
            <v>4.4999999999999998E-2</v>
          </cell>
          <cell r="M107">
            <v>3.7999999999999999E-2</v>
          </cell>
          <cell r="N107">
            <v>1.4999999999999999E-2</v>
          </cell>
          <cell r="O107">
            <v>0</v>
          </cell>
        </row>
        <row r="108">
          <cell r="J108" t="str">
            <v>Inv/Sq Ft Growth</v>
          </cell>
          <cell r="K108">
            <v>5.4328650481654694E-2</v>
          </cell>
          <cell r="L108">
            <v>5.4855434578787277E-2</v>
          </cell>
          <cell r="M108">
            <v>6.4199331544402716E-2</v>
          </cell>
          <cell r="N108">
            <v>-0.9183550471876234</v>
          </cell>
          <cell r="O108">
            <v>-0.9182500174951681</v>
          </cell>
        </row>
        <row r="109">
          <cell r="J109" t="str">
            <v>Spread</v>
          </cell>
          <cell r="K109">
            <v>-353.28650481654694</v>
          </cell>
          <cell r="L109">
            <v>-98.554345787872776</v>
          </cell>
          <cell r="M109">
            <v>-261.99331544402719</v>
          </cell>
          <cell r="N109">
            <v>9333.550471876235</v>
          </cell>
          <cell r="O109">
            <v>9182.5001749516814</v>
          </cell>
        </row>
      </sheetData>
      <sheetData sheetId="7">
        <row r="20">
          <cell r="M20" t="str">
            <v>Valuation</v>
          </cell>
        </row>
        <row r="53">
          <cell r="B53" t="str">
            <v>2010Q1</v>
          </cell>
          <cell r="C53" t="str">
            <v>2010Q2</v>
          </cell>
          <cell r="D53" t="str">
            <v>2010Q3</v>
          </cell>
          <cell r="E53" t="str">
            <v>2010Q4</v>
          </cell>
          <cell r="F53" t="str">
            <v>2011Q1</v>
          </cell>
          <cell r="G53" t="str">
            <v>2011Q2E</v>
          </cell>
        </row>
        <row r="54">
          <cell r="A54" t="str">
            <v>JWN</v>
          </cell>
          <cell r="B54">
            <v>-1.2000000000000011E-2</v>
          </cell>
          <cell r="C54">
            <v>-1.3999999999999999E-2</v>
          </cell>
          <cell r="D54">
            <v>4.5999999999999999E-2</v>
          </cell>
          <cell r="E54">
            <v>0.13600000000000001</v>
          </cell>
          <cell r="F54">
            <v>0.185</v>
          </cell>
          <cell r="G54">
            <v>0.157</v>
          </cell>
        </row>
        <row r="55">
          <cell r="A55" t="str">
            <v>JCP</v>
          </cell>
          <cell r="B55">
            <v>-5.8999999999999997E-2</v>
          </cell>
          <cell r="C55">
            <v>-8.6000000000000007E-2</v>
          </cell>
          <cell r="D55">
            <v>-2.7E-2</v>
          </cell>
          <cell r="E55">
            <v>0</v>
          </cell>
          <cell r="F55">
            <v>5.3999999999999999E-2</v>
          </cell>
          <cell r="G55">
            <v>2.4E-2</v>
          </cell>
          <cell r="J55">
            <v>0.01</v>
          </cell>
        </row>
        <row r="56">
          <cell r="A56" t="str">
            <v>M</v>
          </cell>
          <cell r="B56">
            <v>-3.4999999999999996E-2</v>
          </cell>
          <cell r="C56">
            <v>-4.5999999999999999E-2</v>
          </cell>
          <cell r="D56">
            <v>3.0000000000000027E-3</v>
          </cell>
          <cell r="E56">
            <v>3.4999999999999996E-2</v>
          </cell>
          <cell r="F56">
            <v>0.109</v>
          </cell>
          <cell r="G56">
            <v>0.113</v>
          </cell>
          <cell r="J56" t="str">
            <v>+MSD</v>
          </cell>
        </row>
        <row r="57">
          <cell r="A57" t="str">
            <v>KSS</v>
          </cell>
          <cell r="B57">
            <v>3.1999999999999994E-2</v>
          </cell>
          <cell r="C57">
            <v>2.3E-2</v>
          </cell>
          <cell r="D57">
            <v>4.1999999999999996E-2</v>
          </cell>
          <cell r="E57">
            <v>8.7999999999999995E-2</v>
          </cell>
          <cell r="F57">
            <v>8.6999999999999994E-2</v>
          </cell>
          <cell r="G57">
            <v>6.5000000000000002E-2</v>
          </cell>
          <cell r="J57" t="str">
            <v>+LSD</v>
          </cell>
        </row>
        <row r="58">
          <cell r="A58" t="str">
            <v>Spread</v>
          </cell>
          <cell r="B58">
            <v>8.6666666666666593E-3</v>
          </cell>
          <cell r="C58">
            <v>2.2333333333333337E-2</v>
          </cell>
          <cell r="D58">
            <v>0.04</v>
          </cell>
          <cell r="E58">
            <v>9.5000000000000001E-2</v>
          </cell>
          <cell r="F58">
            <v>0.10166666666666667</v>
          </cell>
          <cell r="G58">
            <v>8.9666666666666658E-2</v>
          </cell>
          <cell r="J58" t="str">
            <v>+MSD</v>
          </cell>
        </row>
        <row r="60">
          <cell r="L60" t="str">
            <v>Feb '11</v>
          </cell>
          <cell r="M60" t="str">
            <v>Mar '11</v>
          </cell>
          <cell r="N60" t="str">
            <v>Apr '11</v>
          </cell>
          <cell r="O60" t="str">
            <v>May '11</v>
          </cell>
        </row>
        <row r="61">
          <cell r="J61" t="str">
            <v>JWN</v>
          </cell>
          <cell r="L61">
            <v>0.01</v>
          </cell>
          <cell r="M61">
            <v>0.05</v>
          </cell>
          <cell r="N61">
            <v>0.01</v>
          </cell>
          <cell r="O61">
            <v>0.05</v>
          </cell>
        </row>
      </sheetData>
      <sheetData sheetId="8"/>
      <sheetData sheetId="9"/>
      <sheetData sheetId="10"/>
      <sheetData sheetId="11"/>
      <sheetData sheetId="12"/>
      <sheetData sheetId="13"/>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ffic"/>
      <sheetName val="PSF"/>
      <sheetName val="Comps"/>
      <sheetName val="__FDSCACHE__"/>
      <sheetName val="P"/>
    </sheetNames>
    <sheetDataSet>
      <sheetData sheetId="0" refreshError="1">
        <row r="1">
          <cell r="A1" t="str">
            <v>Gap Traffic Growth</v>
          </cell>
        </row>
        <row r="2">
          <cell r="B2">
            <v>38443</v>
          </cell>
          <cell r="C2">
            <v>38473</v>
          </cell>
          <cell r="D2">
            <v>38504</v>
          </cell>
          <cell r="E2">
            <v>38534</v>
          </cell>
          <cell r="F2">
            <v>38565</v>
          </cell>
          <cell r="G2">
            <v>38596</v>
          </cell>
          <cell r="H2">
            <v>38626</v>
          </cell>
          <cell r="I2">
            <v>38657</v>
          </cell>
          <cell r="J2">
            <v>38687</v>
          </cell>
          <cell r="K2">
            <v>38718</v>
          </cell>
          <cell r="L2">
            <v>38749</v>
          </cell>
          <cell r="M2">
            <v>38777</v>
          </cell>
          <cell r="N2">
            <v>38808</v>
          </cell>
          <cell r="O2">
            <v>38838</v>
          </cell>
          <cell r="P2">
            <v>38869</v>
          </cell>
          <cell r="Q2">
            <v>38899</v>
          </cell>
          <cell r="R2">
            <v>38108</v>
          </cell>
          <cell r="S2">
            <v>38139</v>
          </cell>
          <cell r="T2">
            <v>38169</v>
          </cell>
          <cell r="U2">
            <v>38200</v>
          </cell>
          <cell r="V2">
            <v>38231</v>
          </cell>
          <cell r="W2">
            <v>38261</v>
          </cell>
          <cell r="X2">
            <v>38292</v>
          </cell>
          <cell r="Y2">
            <v>38322</v>
          </cell>
          <cell r="Z2">
            <v>38353</v>
          </cell>
          <cell r="AA2">
            <v>38384</v>
          </cell>
          <cell r="AB2">
            <v>38412</v>
          </cell>
          <cell r="AC2">
            <v>38443</v>
          </cell>
          <cell r="AD2">
            <v>38473</v>
          </cell>
          <cell r="AE2">
            <v>38504</v>
          </cell>
          <cell r="AF2">
            <v>38534</v>
          </cell>
          <cell r="AG2">
            <v>38565</v>
          </cell>
          <cell r="AH2">
            <v>38596</v>
          </cell>
          <cell r="AI2">
            <v>38626</v>
          </cell>
          <cell r="AJ2">
            <v>38657</v>
          </cell>
          <cell r="AK2">
            <v>38687</v>
          </cell>
          <cell r="AL2">
            <v>38718</v>
          </cell>
          <cell r="AM2">
            <v>38749</v>
          </cell>
          <cell r="AN2">
            <v>38777</v>
          </cell>
          <cell r="AO2">
            <v>38808</v>
          </cell>
          <cell r="AP2">
            <v>38838</v>
          </cell>
          <cell r="AQ2">
            <v>38869</v>
          </cell>
          <cell r="AR2">
            <v>38899</v>
          </cell>
          <cell r="AS2">
            <v>38930</v>
          </cell>
          <cell r="AT2">
            <v>37865</v>
          </cell>
          <cell r="AU2">
            <v>37895</v>
          </cell>
          <cell r="AV2">
            <v>37926</v>
          </cell>
          <cell r="AW2">
            <v>37956</v>
          </cell>
          <cell r="AX2">
            <v>37987</v>
          </cell>
          <cell r="AY2">
            <v>38018</v>
          </cell>
          <cell r="AZ2">
            <v>38047</v>
          </cell>
          <cell r="BA2">
            <v>38078</v>
          </cell>
          <cell r="BB2">
            <v>38108</v>
          </cell>
          <cell r="BC2">
            <v>38139</v>
          </cell>
          <cell r="BD2">
            <v>38169</v>
          </cell>
          <cell r="BE2">
            <v>38200</v>
          </cell>
          <cell r="BF2">
            <v>38231</v>
          </cell>
          <cell r="BG2">
            <v>38261</v>
          </cell>
          <cell r="BH2">
            <v>38292</v>
          </cell>
          <cell r="BI2">
            <v>38322</v>
          </cell>
          <cell r="BJ2">
            <v>38353</v>
          </cell>
          <cell r="BK2">
            <v>38384</v>
          </cell>
          <cell r="BL2">
            <v>38412</v>
          </cell>
          <cell r="BM2">
            <v>38443</v>
          </cell>
          <cell r="BN2">
            <v>38473</v>
          </cell>
          <cell r="BO2">
            <v>38504</v>
          </cell>
          <cell r="BP2">
            <v>38534</v>
          </cell>
          <cell r="BQ2">
            <v>38565</v>
          </cell>
          <cell r="BR2">
            <v>38596</v>
          </cell>
          <cell r="BS2">
            <v>38626</v>
          </cell>
          <cell r="BT2">
            <v>38657</v>
          </cell>
          <cell r="BU2">
            <v>38687</v>
          </cell>
          <cell r="BV2">
            <v>38718</v>
          </cell>
          <cell r="BW2">
            <v>38749</v>
          </cell>
          <cell r="BX2">
            <v>38777</v>
          </cell>
          <cell r="BY2">
            <v>38808</v>
          </cell>
          <cell r="BZ2">
            <v>38838</v>
          </cell>
          <cell r="CA2">
            <v>38869</v>
          </cell>
          <cell r="CB2">
            <v>38899</v>
          </cell>
          <cell r="CC2">
            <v>38930</v>
          </cell>
          <cell r="CD2" t="str">
            <v>R2</v>
          </cell>
          <cell r="CE2" t="str">
            <v>R2</v>
          </cell>
        </row>
        <row r="3">
          <cell r="A3" t="str">
            <v>Gap North America</v>
          </cell>
          <cell r="B3">
            <v>-0.09</v>
          </cell>
          <cell r="C3">
            <v>-0.08</v>
          </cell>
          <cell r="D3">
            <v>0</v>
          </cell>
          <cell r="E3">
            <v>-0.06</v>
          </cell>
          <cell r="F3">
            <v>-0.09</v>
          </cell>
          <cell r="G3">
            <v>-0.1</v>
          </cell>
          <cell r="H3">
            <v>-0.09</v>
          </cell>
          <cell r="I3">
            <v>-0.08</v>
          </cell>
          <cell r="J3">
            <v>-0.1</v>
          </cell>
          <cell r="K3">
            <v>-0.05</v>
          </cell>
          <cell r="L3">
            <v>-0.12</v>
          </cell>
          <cell r="M3">
            <v>-0.16</v>
          </cell>
          <cell r="N3">
            <v>-0.06</v>
          </cell>
          <cell r="O3">
            <v>-0.12</v>
          </cell>
          <cell r="P3">
            <v>-0.12</v>
          </cell>
          <cell r="Q3">
            <v>-0.11</v>
          </cell>
          <cell r="R3">
            <v>0.02</v>
          </cell>
          <cell r="S3">
            <v>-0.03</v>
          </cell>
          <cell r="T3">
            <v>-0.03</v>
          </cell>
          <cell r="U3">
            <v>-0.05</v>
          </cell>
          <cell r="V3">
            <v>-0.02</v>
          </cell>
          <cell r="W3">
            <v>0.05</v>
          </cell>
          <cell r="X3">
            <v>-0.04</v>
          </cell>
          <cell r="Y3">
            <v>-0.01</v>
          </cell>
          <cell r="Z3">
            <v>-0.02</v>
          </cell>
          <cell r="AA3">
            <v>-0.02</v>
          </cell>
          <cell r="AB3">
            <v>0</v>
          </cell>
          <cell r="AC3">
            <v>-0.09</v>
          </cell>
          <cell r="AD3">
            <v>-0.08</v>
          </cell>
          <cell r="AE3">
            <v>0</v>
          </cell>
          <cell r="AF3">
            <v>-0.06</v>
          </cell>
          <cell r="AG3">
            <v>-0.09</v>
          </cell>
          <cell r="AH3">
            <v>-0.1</v>
          </cell>
          <cell r="AI3">
            <v>-0.09</v>
          </cell>
          <cell r="AJ3">
            <v>-0.08</v>
          </cell>
          <cell r="AK3">
            <v>-0.1</v>
          </cell>
          <cell r="AL3">
            <v>-0.05</v>
          </cell>
          <cell r="AM3">
            <v>-0.12</v>
          </cell>
          <cell r="AN3">
            <v>-0.16</v>
          </cell>
          <cell r="AO3">
            <v>-0.06</v>
          </cell>
          <cell r="AP3">
            <v>-0.12</v>
          </cell>
          <cell r="AQ3">
            <v>-0.12</v>
          </cell>
          <cell r="AR3">
            <v>-0.11</v>
          </cell>
          <cell r="AS3">
            <v>-0.1</v>
          </cell>
          <cell r="AT3">
            <v>-35</v>
          </cell>
          <cell r="AU3">
            <v>-34</v>
          </cell>
          <cell r="AV3">
            <v>-33</v>
          </cell>
          <cell r="AW3">
            <v>-32</v>
          </cell>
          <cell r="AX3">
            <v>-31</v>
          </cell>
          <cell r="AY3">
            <v>-30</v>
          </cell>
          <cell r="AZ3">
            <v>-29</v>
          </cell>
          <cell r="BA3">
            <v>-28</v>
          </cell>
          <cell r="BB3">
            <v>-27</v>
          </cell>
          <cell r="BC3">
            <v>-26</v>
          </cell>
          <cell r="BD3">
            <v>-25</v>
          </cell>
          <cell r="BE3">
            <v>-24</v>
          </cell>
          <cell r="BF3">
            <v>-23</v>
          </cell>
          <cell r="BG3">
            <v>-22</v>
          </cell>
          <cell r="BH3">
            <v>-21</v>
          </cell>
          <cell r="BI3">
            <v>-20</v>
          </cell>
          <cell r="BJ3">
            <v>-19</v>
          </cell>
          <cell r="BK3">
            <v>-18</v>
          </cell>
          <cell r="BL3">
            <v>-17</v>
          </cell>
          <cell r="BM3">
            <v>-16</v>
          </cell>
          <cell r="BN3">
            <v>-15</v>
          </cell>
          <cell r="BO3">
            <v>-14</v>
          </cell>
          <cell r="BP3">
            <v>-13</v>
          </cell>
          <cell r="BQ3">
            <v>-12</v>
          </cell>
          <cell r="BR3">
            <v>-11</v>
          </cell>
          <cell r="BS3">
            <v>-10</v>
          </cell>
          <cell r="BT3">
            <v>-9</v>
          </cell>
          <cell r="BU3">
            <v>-8</v>
          </cell>
          <cell r="BV3">
            <v>-7</v>
          </cell>
          <cell r="BW3">
            <v>-6</v>
          </cell>
          <cell r="BX3">
            <v>-5</v>
          </cell>
          <cell r="BY3">
            <v>-4</v>
          </cell>
          <cell r="BZ3">
            <v>-3</v>
          </cell>
          <cell r="CA3">
            <v>-2</v>
          </cell>
          <cell r="CB3">
            <v>-1</v>
          </cell>
          <cell r="CC3">
            <v>0</v>
          </cell>
          <cell r="CD3">
            <v>0</v>
          </cell>
        </row>
        <row r="4">
          <cell r="A4" t="str">
            <v>Banana Republic</v>
          </cell>
          <cell r="B4">
            <v>-0.04</v>
          </cell>
          <cell r="C4">
            <v>-0.04</v>
          </cell>
          <cell r="D4">
            <v>-0.02</v>
          </cell>
          <cell r="E4">
            <v>0.02</v>
          </cell>
          <cell r="F4">
            <v>-0.04</v>
          </cell>
          <cell r="G4">
            <v>-0.08</v>
          </cell>
          <cell r="H4">
            <v>-0.08</v>
          </cell>
          <cell r="I4">
            <v>-7.0000000000000007E-2</v>
          </cell>
          <cell r="J4">
            <v>-7.0000000000000007E-2</v>
          </cell>
          <cell r="K4">
            <v>-0.05</v>
          </cell>
          <cell r="L4">
            <v>-0.15</v>
          </cell>
          <cell r="M4">
            <v>-0.13</v>
          </cell>
          <cell r="N4">
            <v>-7.0000000000000007E-2</v>
          </cell>
          <cell r="O4">
            <v>-0.09</v>
          </cell>
          <cell r="P4">
            <v>-0.12</v>
          </cell>
          <cell r="Q4">
            <v>-0.08</v>
          </cell>
          <cell r="R4">
            <v>7.0000000000000007E-2</v>
          </cell>
          <cell r="S4">
            <v>0.08</v>
          </cell>
          <cell r="T4">
            <v>-0.03</v>
          </cell>
          <cell r="U4">
            <v>0</v>
          </cell>
          <cell r="V4">
            <v>0.04</v>
          </cell>
          <cell r="W4">
            <v>0.03</v>
          </cell>
          <cell r="X4">
            <v>0</v>
          </cell>
          <cell r="Y4">
            <v>-0.01</v>
          </cell>
          <cell r="Z4">
            <v>0.04</v>
          </cell>
          <cell r="AA4">
            <v>-0.02</v>
          </cell>
          <cell r="AB4">
            <v>0.01</v>
          </cell>
          <cell r="AC4">
            <v>-0.04</v>
          </cell>
          <cell r="AD4">
            <v>-0.04</v>
          </cell>
          <cell r="AE4">
            <v>-0.02</v>
          </cell>
          <cell r="AF4">
            <v>0.02</v>
          </cell>
          <cell r="AG4">
            <v>-0.04</v>
          </cell>
          <cell r="AH4">
            <v>-0.08</v>
          </cell>
          <cell r="AI4">
            <v>-0.08</v>
          </cell>
          <cell r="AJ4">
            <v>-7.0000000000000007E-2</v>
          </cell>
          <cell r="AK4">
            <v>-7.0000000000000007E-2</v>
          </cell>
          <cell r="AL4">
            <v>-0.05</v>
          </cell>
          <cell r="AM4">
            <v>-0.15</v>
          </cell>
          <cell r="AN4">
            <v>-0.13</v>
          </cell>
          <cell r="AO4">
            <v>-7.0000000000000007E-2</v>
          </cell>
          <cell r="AP4">
            <v>-0.09</v>
          </cell>
          <cell r="AQ4">
            <v>-0.12</v>
          </cell>
          <cell r="AR4">
            <v>-0.08</v>
          </cell>
          <cell r="AS4">
            <v>-7.0000000000000007E-2</v>
          </cell>
          <cell r="AT4" t="str">
            <v>09/2003</v>
          </cell>
          <cell r="AU4" t="str">
            <v>10/2003</v>
          </cell>
          <cell r="AV4" t="str">
            <v>11/2003</v>
          </cell>
          <cell r="AW4" t="str">
            <v>12/2003</v>
          </cell>
          <cell r="AX4" t="str">
            <v>01/2004</v>
          </cell>
          <cell r="AY4" t="str">
            <v>02/2004</v>
          </cell>
          <cell r="AZ4" t="str">
            <v>03/2004</v>
          </cell>
          <cell r="BA4" t="str">
            <v>04/2004</v>
          </cell>
          <cell r="BB4" t="str">
            <v>05/2004</v>
          </cell>
          <cell r="BC4" t="str">
            <v>06/2004</v>
          </cell>
          <cell r="BD4" t="str">
            <v>07/2004</v>
          </cell>
          <cell r="BE4" t="str">
            <v>08/2004</v>
          </cell>
          <cell r="BF4" t="str">
            <v>09/2004</v>
          </cell>
          <cell r="BG4" t="str">
            <v>10/2004</v>
          </cell>
          <cell r="BH4" t="str">
            <v>11/2004</v>
          </cell>
          <cell r="BI4" t="str">
            <v>12/2004</v>
          </cell>
          <cell r="BJ4" t="str">
            <v>01/2005</v>
          </cell>
          <cell r="BK4" t="str">
            <v>02/2005</v>
          </cell>
          <cell r="BL4" t="str">
            <v>03/2005</v>
          </cell>
          <cell r="BM4" t="str">
            <v>04/2005</v>
          </cell>
          <cell r="BN4" t="str">
            <v>05/2005</v>
          </cell>
          <cell r="BO4" t="str">
            <v>06/2005</v>
          </cell>
          <cell r="BP4" t="str">
            <v>07/2005</v>
          </cell>
          <cell r="BQ4" t="str">
            <v>08/2005</v>
          </cell>
          <cell r="BR4" t="str">
            <v>09/2005</v>
          </cell>
          <cell r="BS4" t="str">
            <v>10/2005</v>
          </cell>
          <cell r="BT4" t="str">
            <v>11/2005</v>
          </cell>
          <cell r="BU4" t="str">
            <v>12/2005</v>
          </cell>
          <cell r="BV4" t="str">
            <v>01/2006</v>
          </cell>
          <cell r="BW4" t="str">
            <v>02/2006</v>
          </cell>
          <cell r="BX4" t="str">
            <v>03/2006</v>
          </cell>
          <cell r="BY4" t="str">
            <v>04/2006</v>
          </cell>
          <cell r="BZ4" t="str">
            <v>05/2006</v>
          </cell>
          <cell r="CA4" t="str">
            <v>06/2006</v>
          </cell>
          <cell r="CB4" t="str">
            <v>07/2006</v>
          </cell>
          <cell r="CC4" t="str">
            <v>08/2006</v>
          </cell>
          <cell r="CD4" t="str">
            <v>08/2006</v>
          </cell>
        </row>
        <row r="5">
          <cell r="A5" t="str">
            <v>Old Navy</v>
          </cell>
          <cell r="B5">
            <v>-0.01</v>
          </cell>
          <cell r="C5">
            <v>-0.02</v>
          </cell>
          <cell r="D5">
            <v>0.03</v>
          </cell>
          <cell r="E5">
            <v>-0.01</v>
          </cell>
          <cell r="F5">
            <v>-0.05</v>
          </cell>
          <cell r="G5">
            <v>-7.0000000000000007E-2</v>
          </cell>
          <cell r="H5">
            <v>-0.09</v>
          </cell>
          <cell r="I5">
            <v>-0.05</v>
          </cell>
          <cell r="J5">
            <v>-0.1</v>
          </cell>
          <cell r="K5">
            <v>0</v>
          </cell>
          <cell r="L5">
            <v>-0.11</v>
          </cell>
          <cell r="M5">
            <v>-0.11</v>
          </cell>
          <cell r="N5">
            <v>-0.02</v>
          </cell>
          <cell r="O5">
            <v>-7.0000000000000007E-2</v>
          </cell>
          <cell r="P5">
            <v>-7.0000000000000007E-2</v>
          </cell>
          <cell r="Q5">
            <v>0</v>
          </cell>
          <cell r="R5">
            <v>0.02</v>
          </cell>
          <cell r="S5">
            <v>-0.01</v>
          </cell>
          <cell r="T5">
            <v>0</v>
          </cell>
          <cell r="U5">
            <v>0</v>
          </cell>
          <cell r="V5">
            <v>0.04</v>
          </cell>
          <cell r="W5">
            <v>0.06</v>
          </cell>
          <cell r="X5">
            <v>0</v>
          </cell>
          <cell r="Y5">
            <v>0.05</v>
          </cell>
          <cell r="Z5">
            <v>-0.05</v>
          </cell>
          <cell r="AA5">
            <v>-0.01</v>
          </cell>
          <cell r="AB5">
            <v>-0.02</v>
          </cell>
          <cell r="AC5">
            <v>-0.01</v>
          </cell>
          <cell r="AD5">
            <v>-0.02</v>
          </cell>
          <cell r="AE5">
            <v>0.03</v>
          </cell>
          <cell r="AF5">
            <v>-0.01</v>
          </cell>
          <cell r="AG5">
            <v>-0.05</v>
          </cell>
          <cell r="AH5">
            <v>-7.0000000000000007E-2</v>
          </cell>
          <cell r="AI5">
            <v>-0.09</v>
          </cell>
          <cell r="AJ5">
            <v>-0.05</v>
          </cell>
          <cell r="AK5">
            <v>-0.1</v>
          </cell>
          <cell r="AL5">
            <v>0</v>
          </cell>
          <cell r="AM5">
            <v>-0.11</v>
          </cell>
          <cell r="AN5">
            <v>-0.11</v>
          </cell>
          <cell r="AO5">
            <v>-0.02</v>
          </cell>
          <cell r="AP5">
            <v>-7.0000000000000007E-2</v>
          </cell>
          <cell r="AQ5">
            <v>-7.0000000000000007E-2</v>
          </cell>
          <cell r="AR5">
            <v>0</v>
          </cell>
          <cell r="AS5">
            <v>-0.05</v>
          </cell>
          <cell r="AT5">
            <v>17.12</v>
          </cell>
          <cell r="AU5">
            <v>19.080000000000002</v>
          </cell>
          <cell r="AV5">
            <v>21.5</v>
          </cell>
          <cell r="AW5">
            <v>23.21</v>
          </cell>
          <cell r="AX5">
            <v>18.580000000000002</v>
          </cell>
          <cell r="AY5">
            <v>20.8</v>
          </cell>
          <cell r="AZ5">
            <v>21.92</v>
          </cell>
          <cell r="BA5">
            <v>22.01</v>
          </cell>
          <cell r="BB5">
            <v>24.150000000000002</v>
          </cell>
          <cell r="BC5">
            <v>24.25</v>
          </cell>
          <cell r="BD5">
            <v>22.700000000000003</v>
          </cell>
          <cell r="BE5">
            <v>18.740000000000002</v>
          </cell>
          <cell r="BF5">
            <v>18.650000000000002</v>
          </cell>
          <cell r="BG5">
            <v>19.98</v>
          </cell>
          <cell r="BH5">
            <v>21.85</v>
          </cell>
          <cell r="BI5">
            <v>21.12</v>
          </cell>
          <cell r="BJ5">
            <v>22.01</v>
          </cell>
          <cell r="BK5">
            <v>21.330000000000002</v>
          </cell>
          <cell r="BL5">
            <v>21.84</v>
          </cell>
          <cell r="BM5">
            <v>21.35</v>
          </cell>
          <cell r="BN5">
            <v>21</v>
          </cell>
          <cell r="BO5">
            <v>19.75</v>
          </cell>
          <cell r="BP5">
            <v>21.11</v>
          </cell>
          <cell r="BQ5">
            <v>19.010000000000002</v>
          </cell>
          <cell r="BR5">
            <v>17.43</v>
          </cell>
          <cell r="BS5">
            <v>17.28</v>
          </cell>
          <cell r="BT5">
            <v>17.38</v>
          </cell>
          <cell r="BU5">
            <v>17.64</v>
          </cell>
          <cell r="BV5">
            <v>18.09</v>
          </cell>
          <cell r="BW5">
            <v>18.54</v>
          </cell>
          <cell r="BX5">
            <v>18.68</v>
          </cell>
          <cell r="BY5">
            <v>18.09</v>
          </cell>
          <cell r="BZ5">
            <v>18.2</v>
          </cell>
          <cell r="CA5">
            <v>17.400000000000002</v>
          </cell>
          <cell r="CB5">
            <v>17.350000000000001</v>
          </cell>
          <cell r="CC5">
            <v>16.809999999999999</v>
          </cell>
          <cell r="CD5">
            <v>16.809999999999999</v>
          </cell>
        </row>
        <row r="6">
          <cell r="A6" t="str">
            <v>Gap North America</v>
          </cell>
        </row>
        <row r="7">
          <cell r="A7" t="str">
            <v>Traffic Growth</v>
          </cell>
          <cell r="AL7">
            <v>-0.09</v>
          </cell>
          <cell r="AM7">
            <v>-0.12</v>
          </cell>
          <cell r="AN7">
            <v>-0.12</v>
          </cell>
          <cell r="AO7">
            <v>-0.02</v>
          </cell>
          <cell r="AP7">
            <v>-0.05</v>
          </cell>
          <cell r="AQ7">
            <v>-0.03</v>
          </cell>
          <cell r="AR7">
            <v>-0.04</v>
          </cell>
          <cell r="AS7">
            <v>-0.04</v>
          </cell>
          <cell r="AT7">
            <v>0.02</v>
          </cell>
          <cell r="AU7">
            <v>-7.0000000000000007E-2</v>
          </cell>
          <cell r="AV7">
            <v>-0.04</v>
          </cell>
          <cell r="AW7">
            <v>-0.06</v>
          </cell>
          <cell r="AX7">
            <v>0.01</v>
          </cell>
          <cell r="AY7">
            <v>0.04</v>
          </cell>
          <cell r="AZ7">
            <v>0.01</v>
          </cell>
          <cell r="BA7">
            <v>0</v>
          </cell>
          <cell r="BB7">
            <v>0.02</v>
          </cell>
          <cell r="BC7">
            <v>-0.03</v>
          </cell>
          <cell r="BD7">
            <v>-0.03</v>
          </cell>
          <cell r="BE7">
            <v>-0.05</v>
          </cell>
          <cell r="BF7">
            <v>-0.02</v>
          </cell>
          <cell r="BG7">
            <v>0.05</v>
          </cell>
          <cell r="BH7">
            <v>-0.04</v>
          </cell>
          <cell r="BI7">
            <v>-0.01</v>
          </cell>
          <cell r="BJ7">
            <v>-0.02</v>
          </cell>
          <cell r="BK7">
            <v>-0.02</v>
          </cell>
          <cell r="BL7">
            <v>0</v>
          </cell>
          <cell r="BM7">
            <v>-0.09</v>
          </cell>
          <cell r="BN7">
            <v>-0.08</v>
          </cell>
          <cell r="BO7">
            <v>0</v>
          </cell>
          <cell r="BP7">
            <v>-0.06</v>
          </cell>
          <cell r="BQ7">
            <v>-0.09</v>
          </cell>
          <cell r="BR7">
            <v>-0.1</v>
          </cell>
          <cell r="BS7">
            <v>-0.09</v>
          </cell>
          <cell r="BT7">
            <v>-0.08</v>
          </cell>
          <cell r="BU7">
            <v>-0.1</v>
          </cell>
          <cell r="BV7">
            <v>-0.05</v>
          </cell>
          <cell r="BW7">
            <v>-0.12</v>
          </cell>
          <cell r="BX7">
            <v>-0.16</v>
          </cell>
          <cell r="BY7">
            <v>-0.06</v>
          </cell>
          <cell r="BZ7">
            <v>-0.12</v>
          </cell>
          <cell r="CA7">
            <v>-0.12</v>
          </cell>
          <cell r="CB7">
            <v>-0.11</v>
          </cell>
          <cell r="CC7">
            <v>-0.1</v>
          </cell>
          <cell r="CD7">
            <v>-0.05</v>
          </cell>
          <cell r="CF7">
            <v>0.05</v>
          </cell>
        </row>
        <row r="8">
          <cell r="A8" t="str">
            <v>Comp Growth</v>
          </cell>
          <cell r="C8">
            <v>0</v>
          </cell>
          <cell r="D8">
            <v>-0.15</v>
          </cell>
          <cell r="E8">
            <v>0.09</v>
          </cell>
          <cell r="F8">
            <v>0.01</v>
          </cell>
          <cell r="G8">
            <v>0.01</v>
          </cell>
          <cell r="H8">
            <v>0.1</v>
          </cell>
          <cell r="I8">
            <v>-0.06</v>
          </cell>
          <cell r="J8">
            <v>-0.04</v>
          </cell>
          <cell r="K8">
            <v>0.03</v>
          </cell>
          <cell r="L8">
            <v>0.05</v>
          </cell>
          <cell r="M8">
            <v>-0.01</v>
          </cell>
          <cell r="N8">
            <v>-0.04</v>
          </cell>
          <cell r="O8">
            <v>-0.05</v>
          </cell>
          <cell r="P8">
            <v>-0.05</v>
          </cell>
          <cell r="Q8">
            <v>-0.02</v>
          </cell>
          <cell r="R8">
            <v>-0.05</v>
          </cell>
          <cell r="S8">
            <v>-0.09</v>
          </cell>
          <cell r="T8">
            <v>-0.1</v>
          </cell>
          <cell r="U8">
            <v>-0.17</v>
          </cell>
          <cell r="V8">
            <v>-0.18</v>
          </cell>
          <cell r="W8">
            <v>-0.17</v>
          </cell>
          <cell r="X8">
            <v>-0.24</v>
          </cell>
          <cell r="Y8">
            <v>-0.1</v>
          </cell>
          <cell r="Z8">
            <v>-0.23</v>
          </cell>
          <cell r="AA8">
            <v>-0.24</v>
          </cell>
          <cell r="AB8">
            <v>-0.13</v>
          </cell>
          <cell r="AC8">
            <v>-0.25</v>
          </cell>
          <cell r="AD8">
            <v>-0.16</v>
          </cell>
          <cell r="AE8">
            <v>-7.0000000000000007E-2</v>
          </cell>
          <cell r="AF8">
            <v>-0.18</v>
          </cell>
          <cell r="AG8">
            <v>-0.04</v>
          </cell>
          <cell r="AH8">
            <v>-0.03</v>
          </cell>
          <cell r="AI8">
            <v>0.01</v>
          </cell>
          <cell r="AJ8">
            <v>7.0000000000000007E-2</v>
          </cell>
          <cell r="AK8">
            <v>0.02</v>
          </cell>
          <cell r="AL8">
            <v>0.08</v>
          </cell>
          <cell r="AM8">
            <v>0.11</v>
          </cell>
          <cell r="AN8">
            <v>0.05</v>
          </cell>
          <cell r="AO8">
            <v>0.23</v>
          </cell>
          <cell r="AP8">
            <v>0.08</v>
          </cell>
          <cell r="AQ8">
            <v>0.08</v>
          </cell>
          <cell r="AR8">
            <v>0.12</v>
          </cell>
          <cell r="AS8">
            <v>0.01</v>
          </cell>
          <cell r="AT8">
            <v>0.12</v>
          </cell>
          <cell r="AU8">
            <v>0.01</v>
          </cell>
          <cell r="AV8">
            <v>0.04</v>
          </cell>
          <cell r="AW8">
            <v>-0.01</v>
          </cell>
          <cell r="AX8">
            <v>0.05</v>
          </cell>
          <cell r="AY8">
            <v>0.04</v>
          </cell>
          <cell r="AZ8">
            <v>0.05</v>
          </cell>
          <cell r="BA8">
            <v>0.02</v>
          </cell>
          <cell r="BB8">
            <v>0.1</v>
          </cell>
          <cell r="BC8">
            <v>-0.03</v>
          </cell>
          <cell r="BD8">
            <v>-0.03</v>
          </cell>
          <cell r="BE8">
            <v>-0.01</v>
          </cell>
          <cell r="BF8">
            <v>-0.02</v>
          </cell>
          <cell r="BG8">
            <v>0.05</v>
          </cell>
          <cell r="BH8">
            <v>-0.01</v>
          </cell>
          <cell r="BI8">
            <v>0.01</v>
          </cell>
          <cell r="BJ8">
            <v>-0.06</v>
          </cell>
          <cell r="BK8">
            <v>-0.02</v>
          </cell>
          <cell r="BL8">
            <v>-0.01</v>
          </cell>
          <cell r="BM8">
            <v>-0.09</v>
          </cell>
          <cell r="BN8">
            <v>-0.09</v>
          </cell>
          <cell r="BO8">
            <v>0.03</v>
          </cell>
          <cell r="BP8">
            <v>-0.08</v>
          </cell>
          <cell r="BQ8">
            <v>-7.0000000000000007E-2</v>
          </cell>
          <cell r="BR8">
            <v>-0.03</v>
          </cell>
          <cell r="BS8">
            <v>-0.03</v>
          </cell>
          <cell r="BT8">
            <v>-0.05</v>
          </cell>
          <cell r="BU8">
            <v>-0.1</v>
          </cell>
          <cell r="BV8">
            <v>0.03</v>
          </cell>
          <cell r="BW8">
            <v>-7.0000000000000007E-2</v>
          </cell>
          <cell r="BX8">
            <v>-0.13</v>
          </cell>
          <cell r="BY8">
            <v>-0.02</v>
          </cell>
          <cell r="BZ8">
            <v>-0.05</v>
          </cell>
          <cell r="CA8">
            <v>-0.04</v>
          </cell>
          <cell r="CB8">
            <v>-0.13</v>
          </cell>
          <cell r="CC8">
            <v>-0.11</v>
          </cell>
          <cell r="CD8">
            <v>3.3046306775885603E-2</v>
          </cell>
          <cell r="CE8">
            <v>3.0293135522352376E-3</v>
          </cell>
        </row>
        <row r="9">
          <cell r="A9" t="str">
            <v>2-yr. Average Comps</v>
          </cell>
          <cell r="O9">
            <v>-2.5000000000000001E-2</v>
          </cell>
          <cell r="P9">
            <v>-0.1</v>
          </cell>
          <cell r="Q9">
            <v>3.4999999999999996E-2</v>
          </cell>
          <cell r="R9">
            <v>-0.02</v>
          </cell>
          <cell r="S9">
            <v>-0.04</v>
          </cell>
          <cell r="T9">
            <v>0</v>
          </cell>
          <cell r="U9">
            <v>-0.115</v>
          </cell>
          <cell r="V9">
            <v>-0.11</v>
          </cell>
          <cell r="W9">
            <v>-7.0000000000000007E-2</v>
          </cell>
          <cell r="X9">
            <v>-9.5000000000000001E-2</v>
          </cell>
          <cell r="Y9">
            <v>-5.5E-2</v>
          </cell>
          <cell r="Z9">
            <v>-0.13500000000000001</v>
          </cell>
          <cell r="AA9">
            <v>-0.14499999999999999</v>
          </cell>
          <cell r="AB9">
            <v>-0.09</v>
          </cell>
          <cell r="AC9">
            <v>-0.13500000000000001</v>
          </cell>
          <cell r="AD9">
            <v>-0.10500000000000001</v>
          </cell>
          <cell r="AE9">
            <v>-0.08</v>
          </cell>
          <cell r="AF9">
            <v>-0.14000000000000001</v>
          </cell>
          <cell r="AG9">
            <v>-0.10500000000000001</v>
          </cell>
          <cell r="AH9">
            <v>-0.105</v>
          </cell>
          <cell r="AI9">
            <v>-0.08</v>
          </cell>
          <cell r="AJ9">
            <v>-8.4999999999999992E-2</v>
          </cell>
          <cell r="AK9">
            <v>-0.04</v>
          </cell>
          <cell r="AL9">
            <v>-7.5000000000000011E-2</v>
          </cell>
          <cell r="AM9">
            <v>-6.5000000000000002E-2</v>
          </cell>
          <cell r="AN9">
            <v>-0.04</v>
          </cell>
          <cell r="AO9">
            <v>-9.999999999999995E-3</v>
          </cell>
          <cell r="AP9">
            <v>-0.04</v>
          </cell>
          <cell r="AQ9">
            <v>4.9999999999999975E-3</v>
          </cell>
          <cell r="AR9">
            <v>-0.03</v>
          </cell>
          <cell r="AS9">
            <v>-1.4999999999999999E-2</v>
          </cell>
          <cell r="AT9">
            <v>4.4999999999999998E-2</v>
          </cell>
          <cell r="AU9">
            <v>0.01</v>
          </cell>
          <cell r="AV9">
            <v>5.5000000000000007E-2</v>
          </cell>
          <cell r="AW9">
            <v>5.0000000000000001E-3</v>
          </cell>
          <cell r="AX9">
            <v>6.5000000000000002E-2</v>
          </cell>
          <cell r="AY9">
            <v>7.4999999999999997E-2</v>
          </cell>
          <cell r="AZ9">
            <v>0.05</v>
          </cell>
          <cell r="BA9">
            <v>0.125</v>
          </cell>
          <cell r="BB9">
            <v>0.09</v>
          </cell>
          <cell r="BC9">
            <v>2.5000000000000001E-2</v>
          </cell>
          <cell r="BD9">
            <v>4.4999999999999998E-2</v>
          </cell>
          <cell r="BE9">
            <v>0</v>
          </cell>
          <cell r="BF9">
            <v>4.9999999999999996E-2</v>
          </cell>
          <cell r="BG9">
            <v>3.0000000000000002E-2</v>
          </cell>
          <cell r="BH9">
            <v>1.4999999999999999E-2</v>
          </cell>
          <cell r="BI9">
            <v>0</v>
          </cell>
          <cell r="BJ9">
            <v>-4.9999999999999975E-3</v>
          </cell>
          <cell r="BK9">
            <v>0.01</v>
          </cell>
          <cell r="BL9">
            <v>0.02</v>
          </cell>
          <cell r="BM9">
            <v>-3.4999999999999996E-2</v>
          </cell>
          <cell r="BN9">
            <v>5.0000000000000044E-3</v>
          </cell>
          <cell r="BO9">
            <v>0</v>
          </cell>
          <cell r="BP9">
            <v>-5.5E-2</v>
          </cell>
          <cell r="BQ9">
            <v>-0.04</v>
          </cell>
          <cell r="BR9">
            <v>-2.5000000000000001E-2</v>
          </cell>
          <cell r="BS9">
            <v>1.0000000000000002E-2</v>
          </cell>
          <cell r="BT9">
            <v>-3.0000000000000002E-2</v>
          </cell>
          <cell r="BU9">
            <v>-4.5000000000000005E-2</v>
          </cell>
          <cell r="BV9">
            <v>-1.4999999999999999E-2</v>
          </cell>
          <cell r="BW9">
            <v>-4.5000000000000005E-2</v>
          </cell>
          <cell r="BX9">
            <v>-7.0000000000000007E-2</v>
          </cell>
          <cell r="BY9">
            <v>-5.5E-2</v>
          </cell>
          <cell r="BZ9">
            <v>-7.0000000000000007E-2</v>
          </cell>
          <cell r="CA9">
            <v>-5.000000000000001E-3</v>
          </cell>
          <cell r="CB9">
            <v>-0.10500000000000001</v>
          </cell>
          <cell r="CC9">
            <v>-0.09</v>
          </cell>
          <cell r="CD9">
            <v>0.34856151166975674</v>
          </cell>
          <cell r="CE9">
            <v>0.19069843988137203</v>
          </cell>
        </row>
        <row r="11">
          <cell r="A11" t="str">
            <v>Banana Republic</v>
          </cell>
        </row>
        <row r="12">
          <cell r="A12" t="str">
            <v>Traffic Growth</v>
          </cell>
          <cell r="AL12">
            <v>-0.06</v>
          </cell>
          <cell r="AM12">
            <v>-0.11</v>
          </cell>
          <cell r="AN12">
            <v>-0.14000000000000001</v>
          </cell>
          <cell r="AO12">
            <v>-0.06</v>
          </cell>
          <cell r="AP12">
            <v>-7.0000000000000007E-2</v>
          </cell>
          <cell r="AQ12">
            <v>-0.05</v>
          </cell>
          <cell r="AR12">
            <v>0</v>
          </cell>
          <cell r="AS12">
            <v>-0.06</v>
          </cell>
          <cell r="AT12">
            <v>0.02</v>
          </cell>
          <cell r="AU12">
            <v>0.03</v>
          </cell>
          <cell r="AV12">
            <v>0.03</v>
          </cell>
          <cell r="AW12">
            <v>0.05</v>
          </cell>
          <cell r="AX12">
            <v>0.06</v>
          </cell>
          <cell r="AY12">
            <v>0.17</v>
          </cell>
          <cell r="AZ12">
            <v>0.18</v>
          </cell>
          <cell r="BA12">
            <v>0.11</v>
          </cell>
          <cell r="BB12">
            <v>7.0000000000000007E-2</v>
          </cell>
          <cell r="BC12">
            <v>0.08</v>
          </cell>
          <cell r="BD12">
            <v>-0.03</v>
          </cell>
          <cell r="BE12">
            <v>0</v>
          </cell>
          <cell r="BF12">
            <v>0.04</v>
          </cell>
          <cell r="BG12">
            <v>0.03</v>
          </cell>
          <cell r="BH12">
            <v>0</v>
          </cell>
          <cell r="BI12">
            <v>-0.01</v>
          </cell>
          <cell r="BJ12">
            <v>0.04</v>
          </cell>
          <cell r="BK12">
            <v>-0.02</v>
          </cell>
          <cell r="BL12">
            <v>0.01</v>
          </cell>
          <cell r="BM12">
            <v>-0.04</v>
          </cell>
          <cell r="BN12">
            <v>-0.04</v>
          </cell>
          <cell r="BO12">
            <v>-0.02</v>
          </cell>
          <cell r="BP12">
            <v>0.02</v>
          </cell>
          <cell r="BQ12">
            <v>-0.04</v>
          </cell>
          <cell r="BR12">
            <v>-0.08</v>
          </cell>
          <cell r="BS12">
            <v>-0.08</v>
          </cell>
          <cell r="BT12">
            <v>-7.0000000000000007E-2</v>
          </cell>
          <cell r="BU12">
            <v>-7.0000000000000007E-2</v>
          </cell>
          <cell r="BV12">
            <v>-0.05</v>
          </cell>
          <cell r="BW12">
            <v>-0.15</v>
          </cell>
          <cell r="BX12">
            <v>-0.13</v>
          </cell>
          <cell r="BY12">
            <v>-7.0000000000000007E-2</v>
          </cell>
          <cell r="BZ12">
            <v>-0.09</v>
          </cell>
          <cell r="CA12">
            <v>-0.12</v>
          </cell>
          <cell r="CB12">
            <v>-0.08</v>
          </cell>
          <cell r="CC12">
            <v>-7.0000000000000007E-2</v>
          </cell>
          <cell r="CD12">
            <v>-0.02</v>
          </cell>
          <cell r="CF12">
            <v>0.06</v>
          </cell>
        </row>
        <row r="13">
          <cell r="A13" t="str">
            <v>Comp Growth</v>
          </cell>
          <cell r="C13">
            <v>0.03</v>
          </cell>
          <cell r="D13">
            <v>0.03</v>
          </cell>
          <cell r="E13">
            <v>0.08</v>
          </cell>
          <cell r="F13">
            <v>-0.03</v>
          </cell>
          <cell r="G13">
            <v>0.01</v>
          </cell>
          <cell r="H13">
            <v>0</v>
          </cell>
          <cell r="I13">
            <v>-0.01</v>
          </cell>
          <cell r="J13">
            <v>-0.05</v>
          </cell>
          <cell r="K13">
            <v>-0.01</v>
          </cell>
          <cell r="L13">
            <v>-0.06</v>
          </cell>
          <cell r="M13">
            <v>-0.03</v>
          </cell>
          <cell r="N13">
            <v>-0.09</v>
          </cell>
          <cell r="O13">
            <v>-0.1</v>
          </cell>
          <cell r="P13">
            <v>-0.09</v>
          </cell>
          <cell r="Q13">
            <v>-0.04</v>
          </cell>
          <cell r="R13">
            <v>-0.09</v>
          </cell>
          <cell r="S13">
            <v>0.01</v>
          </cell>
          <cell r="T13">
            <v>-0.03</v>
          </cell>
          <cell r="U13">
            <v>-0.12</v>
          </cell>
          <cell r="V13">
            <v>-0.12</v>
          </cell>
          <cell r="W13">
            <v>-0.15</v>
          </cell>
          <cell r="X13">
            <v>-0.12</v>
          </cell>
          <cell r="Y13">
            <v>-0.03</v>
          </cell>
          <cell r="Z13">
            <v>-7.0000000000000007E-2</v>
          </cell>
          <cell r="AA13">
            <v>-0.1</v>
          </cell>
          <cell r="AB13">
            <v>-0.04</v>
          </cell>
          <cell r="AC13">
            <v>-0.13</v>
          </cell>
          <cell r="AD13">
            <v>-0.01</v>
          </cell>
          <cell r="AE13">
            <v>-0.06</v>
          </cell>
          <cell r="AF13">
            <v>-0.06</v>
          </cell>
          <cell r="AG13">
            <v>0</v>
          </cell>
          <cell r="AH13">
            <v>-0.02</v>
          </cell>
          <cell r="AI13">
            <v>0.06</v>
          </cell>
          <cell r="AJ13">
            <v>0.03</v>
          </cell>
          <cell r="AK13">
            <v>0.04</v>
          </cell>
          <cell r="AL13">
            <v>0.11</v>
          </cell>
          <cell r="AM13">
            <v>-0.03</v>
          </cell>
          <cell r="AN13">
            <v>-0.05</v>
          </cell>
          <cell r="AO13">
            <v>0.11</v>
          </cell>
          <cell r="AP13">
            <v>0.02</v>
          </cell>
          <cell r="AQ13">
            <v>7.0000000000000007E-2</v>
          </cell>
          <cell r="AR13">
            <v>0.05</v>
          </cell>
          <cell r="AS13">
            <v>0.08</v>
          </cell>
          <cell r="AT13">
            <v>0.12</v>
          </cell>
          <cell r="AU13">
            <v>0.11</v>
          </cell>
          <cell r="AV13">
            <v>0.14000000000000001</v>
          </cell>
          <cell r="AW13">
            <v>0.1</v>
          </cell>
          <cell r="AX13">
            <v>-0.01</v>
          </cell>
          <cell r="AY13">
            <v>0.3</v>
          </cell>
          <cell r="AZ13">
            <v>0.25</v>
          </cell>
          <cell r="BA13">
            <v>0.12</v>
          </cell>
          <cell r="BB13">
            <v>0.08</v>
          </cell>
          <cell r="BC13">
            <v>0.11</v>
          </cell>
          <cell r="BD13">
            <v>-0.1</v>
          </cell>
          <cell r="BE13">
            <v>0</v>
          </cell>
          <cell r="BF13">
            <v>0.06</v>
          </cell>
          <cell r="BG13">
            <v>0.03</v>
          </cell>
          <cell r="BH13">
            <v>-0.03</v>
          </cell>
          <cell r="BI13">
            <v>-0.02</v>
          </cell>
          <cell r="BJ13">
            <v>7.0000000000000007E-2</v>
          </cell>
          <cell r="BK13">
            <v>-0.06</v>
          </cell>
          <cell r="BL13">
            <v>-0.01</v>
          </cell>
          <cell r="BM13">
            <v>-0.06</v>
          </cell>
          <cell r="BN13">
            <v>-7.0000000000000007E-2</v>
          </cell>
          <cell r="BO13">
            <v>-0.06</v>
          </cell>
          <cell r="BP13">
            <v>7.0000000000000007E-2</v>
          </cell>
          <cell r="BQ13">
            <v>-0.06</v>
          </cell>
          <cell r="BR13">
            <v>-7.0000000000000007E-2</v>
          </cell>
          <cell r="BS13">
            <v>-0.08</v>
          </cell>
          <cell r="BT13">
            <v>-0.05</v>
          </cell>
          <cell r="BU13">
            <v>-0.05</v>
          </cell>
          <cell r="BV13">
            <v>-0.06</v>
          </cell>
          <cell r="BW13">
            <v>-0.11</v>
          </cell>
          <cell r="BX13">
            <v>-7.0000000000000007E-2</v>
          </cell>
          <cell r="BY13">
            <v>0.01</v>
          </cell>
          <cell r="BZ13">
            <v>0.03</v>
          </cell>
          <cell r="CA13">
            <v>-0.04</v>
          </cell>
          <cell r="CB13">
            <v>0</v>
          </cell>
          <cell r="CC13">
            <v>0.02</v>
          </cell>
          <cell r="CD13">
            <v>1.363107422565973E-2</v>
          </cell>
          <cell r="CE13">
            <v>1.8598064674433836E-3</v>
          </cell>
        </row>
        <row r="14">
          <cell r="A14" t="str">
            <v>2-yr. Average Comps</v>
          </cell>
          <cell r="O14">
            <v>-3.5000000000000003E-2</v>
          </cell>
          <cell r="P14">
            <v>-0.03</v>
          </cell>
          <cell r="Q14">
            <v>0.02</v>
          </cell>
          <cell r="R14">
            <v>-0.06</v>
          </cell>
          <cell r="S14">
            <v>0.01</v>
          </cell>
          <cell r="T14">
            <v>-1.4999999999999999E-2</v>
          </cell>
          <cell r="U14">
            <v>-6.5000000000000002E-2</v>
          </cell>
          <cell r="V14">
            <v>-8.4999999999999992E-2</v>
          </cell>
          <cell r="W14">
            <v>-0.08</v>
          </cell>
          <cell r="X14">
            <v>-0.09</v>
          </cell>
          <cell r="Y14">
            <v>-0.03</v>
          </cell>
          <cell r="Z14">
            <v>-0.08</v>
          </cell>
          <cell r="AA14">
            <v>-0.1</v>
          </cell>
          <cell r="AB14">
            <v>-6.5000000000000002E-2</v>
          </cell>
          <cell r="AC14">
            <v>-8.5000000000000006E-2</v>
          </cell>
          <cell r="AD14">
            <v>-4.9999999999999996E-2</v>
          </cell>
          <cell r="AE14">
            <v>-2.4999999999999998E-2</v>
          </cell>
          <cell r="AF14">
            <v>-4.4999999999999998E-2</v>
          </cell>
          <cell r="AG14">
            <v>-0.06</v>
          </cell>
          <cell r="AH14">
            <v>-6.9999999999999993E-2</v>
          </cell>
          <cell r="AI14">
            <v>-4.4999999999999998E-2</v>
          </cell>
          <cell r="AJ14">
            <v>-4.4999999999999998E-2</v>
          </cell>
          <cell r="AK14">
            <v>5.000000000000001E-3</v>
          </cell>
          <cell r="AL14">
            <v>1.9999999999999997E-2</v>
          </cell>
          <cell r="AM14">
            <v>-6.5000000000000002E-2</v>
          </cell>
          <cell r="AN14">
            <v>-4.4999999999999998E-2</v>
          </cell>
          <cell r="AO14">
            <v>-1.0000000000000002E-2</v>
          </cell>
          <cell r="AP14">
            <v>5.0000000000000001E-3</v>
          </cell>
          <cell r="AQ14">
            <v>5.0000000000000044E-3</v>
          </cell>
          <cell r="AR14">
            <v>-4.9999999999999975E-3</v>
          </cell>
          <cell r="AS14">
            <v>0.04</v>
          </cell>
          <cell r="AT14">
            <v>4.9999999999999996E-2</v>
          </cell>
          <cell r="AU14">
            <v>8.4999999999999992E-2</v>
          </cell>
          <cell r="AV14">
            <v>8.5000000000000006E-2</v>
          </cell>
          <cell r="AW14">
            <v>7.0000000000000007E-2</v>
          </cell>
          <cell r="AX14">
            <v>0.05</v>
          </cell>
          <cell r="AY14">
            <v>0.13500000000000001</v>
          </cell>
          <cell r="AZ14">
            <v>0.1</v>
          </cell>
          <cell r="BA14">
            <v>0.11499999999999999</v>
          </cell>
          <cell r="BB14">
            <v>0.05</v>
          </cell>
          <cell r="BC14">
            <v>0.09</v>
          </cell>
          <cell r="BD14">
            <v>-2.5000000000000001E-2</v>
          </cell>
          <cell r="BE14">
            <v>0.04</v>
          </cell>
          <cell r="BF14">
            <v>0.09</v>
          </cell>
          <cell r="BG14">
            <v>7.0000000000000007E-2</v>
          </cell>
          <cell r="BH14">
            <v>5.5000000000000007E-2</v>
          </cell>
          <cell r="BI14">
            <v>0.04</v>
          </cell>
          <cell r="BJ14">
            <v>3.0000000000000002E-2</v>
          </cell>
          <cell r="BK14">
            <v>0.12</v>
          </cell>
          <cell r="BL14">
            <v>0.12</v>
          </cell>
          <cell r="BM14">
            <v>0.03</v>
          </cell>
          <cell r="BN14">
            <v>4.9999999999999975E-3</v>
          </cell>
          <cell r="BO14">
            <v>2.5000000000000001E-2</v>
          </cell>
          <cell r="BP14">
            <v>-1.4999999999999999E-2</v>
          </cell>
          <cell r="BQ14">
            <v>-0.03</v>
          </cell>
          <cell r="BR14">
            <v>-5.0000000000000044E-3</v>
          </cell>
          <cell r="BS14">
            <v>-2.5000000000000001E-2</v>
          </cell>
          <cell r="BT14">
            <v>-0.04</v>
          </cell>
          <cell r="BU14">
            <v>-3.5000000000000003E-2</v>
          </cell>
          <cell r="BV14">
            <v>5.0000000000000044E-3</v>
          </cell>
          <cell r="BW14">
            <v>-8.4999999999999992E-2</v>
          </cell>
          <cell r="BX14">
            <v>-0.04</v>
          </cell>
          <cell r="BY14">
            <v>-2.4999999999999998E-2</v>
          </cell>
          <cell r="BZ14">
            <v>-2.0000000000000004E-2</v>
          </cell>
          <cell r="CA14">
            <v>-0.05</v>
          </cell>
          <cell r="CB14">
            <v>3.5000000000000003E-2</v>
          </cell>
          <cell r="CC14">
            <v>-1.9999999999999997E-2</v>
          </cell>
          <cell r="CD14">
            <v>0.23451919190404089</v>
          </cell>
          <cell r="CE14">
            <v>0.11855162206333995</v>
          </cell>
        </row>
        <row r="16">
          <cell r="A16" t="str">
            <v>Old Navy</v>
          </cell>
        </row>
        <row r="17">
          <cell r="A17" t="str">
            <v>Traffic Growth</v>
          </cell>
          <cell r="AL17">
            <v>-0.05</v>
          </cell>
          <cell r="AM17">
            <v>-0.11</v>
          </cell>
          <cell r="AN17">
            <v>-0.06</v>
          </cell>
          <cell r="AO17">
            <v>0.02</v>
          </cell>
          <cell r="AP17">
            <v>0.03</v>
          </cell>
          <cell r="AQ17">
            <v>0.01</v>
          </cell>
          <cell r="AR17">
            <v>0.01</v>
          </cell>
          <cell r="AS17">
            <v>0.02</v>
          </cell>
          <cell r="AT17">
            <v>0.06</v>
          </cell>
          <cell r="AU17">
            <v>-0.02</v>
          </cell>
          <cell r="AV17">
            <v>0.04</v>
          </cell>
          <cell r="AW17">
            <v>0.01</v>
          </cell>
          <cell r="AX17">
            <v>0.02</v>
          </cell>
          <cell r="AY17">
            <v>0.11</v>
          </cell>
          <cell r="AZ17">
            <v>0.1</v>
          </cell>
          <cell r="BA17">
            <v>0.06</v>
          </cell>
          <cell r="BB17">
            <v>0.02</v>
          </cell>
          <cell r="BC17">
            <v>-0.01</v>
          </cell>
          <cell r="BD17">
            <v>0</v>
          </cell>
          <cell r="BE17">
            <v>0</v>
          </cell>
          <cell r="BF17">
            <v>0.04</v>
          </cell>
          <cell r="BG17">
            <v>0.06</v>
          </cell>
          <cell r="BH17">
            <v>0</v>
          </cell>
          <cell r="BI17">
            <v>0.05</v>
          </cell>
          <cell r="BJ17">
            <v>-0.05</v>
          </cell>
          <cell r="BK17">
            <v>-0.01</v>
          </cell>
          <cell r="BL17">
            <v>-0.02</v>
          </cell>
          <cell r="BM17">
            <v>-0.01</v>
          </cell>
          <cell r="BN17">
            <v>-0.02</v>
          </cell>
          <cell r="BO17">
            <v>0.03</v>
          </cell>
          <cell r="BP17">
            <v>-0.01</v>
          </cell>
          <cell r="BQ17">
            <v>-0.05</v>
          </cell>
          <cell r="BR17">
            <v>-7.0000000000000007E-2</v>
          </cell>
          <cell r="BS17">
            <v>-0.09</v>
          </cell>
          <cell r="BT17">
            <v>-0.05</v>
          </cell>
          <cell r="BU17">
            <v>-0.1</v>
          </cell>
          <cell r="BV17">
            <v>0</v>
          </cell>
          <cell r="BW17">
            <v>-0.11</v>
          </cell>
          <cell r="BX17">
            <v>-0.11</v>
          </cell>
          <cell r="BY17">
            <v>-0.02</v>
          </cell>
          <cell r="BZ17">
            <v>-7.0000000000000007E-2</v>
          </cell>
          <cell r="CA17">
            <v>-7.0000000000000007E-2</v>
          </cell>
          <cell r="CB17">
            <v>0</v>
          </cell>
          <cell r="CC17">
            <v>-0.05</v>
          </cell>
          <cell r="CD17">
            <v>-0.02</v>
          </cell>
          <cell r="CF17">
            <v>0.05</v>
          </cell>
        </row>
        <row r="18">
          <cell r="A18" t="str">
            <v>Comp Growth</v>
          </cell>
          <cell r="C18">
            <v>0.09</v>
          </cell>
          <cell r="D18">
            <v>-0.13</v>
          </cell>
          <cell r="E18">
            <v>0.04</v>
          </cell>
          <cell r="F18">
            <v>-7.0000000000000007E-2</v>
          </cell>
          <cell r="G18">
            <v>-7.0000000000000007E-2</v>
          </cell>
          <cell r="H18">
            <v>-0.17</v>
          </cell>
          <cell r="I18">
            <v>-0.26</v>
          </cell>
          <cell r="J18">
            <v>-0.14000000000000001</v>
          </cell>
          <cell r="K18">
            <v>-0.11</v>
          </cell>
          <cell r="L18">
            <v>-0.04</v>
          </cell>
          <cell r="M18">
            <v>-0.13</v>
          </cell>
          <cell r="N18">
            <v>-0.23</v>
          </cell>
          <cell r="O18">
            <v>-0.17</v>
          </cell>
          <cell r="P18">
            <v>-0.13</v>
          </cell>
          <cell r="Q18">
            <v>0.02</v>
          </cell>
          <cell r="R18">
            <v>-0.16</v>
          </cell>
          <cell r="S18">
            <v>-7.0000000000000007E-2</v>
          </cell>
          <cell r="T18">
            <v>-0.19</v>
          </cell>
          <cell r="U18">
            <v>-0.19</v>
          </cell>
          <cell r="V18">
            <v>-0.18</v>
          </cell>
          <cell r="W18">
            <v>-0.18</v>
          </cell>
          <cell r="X18">
            <v>-0.33</v>
          </cell>
          <cell r="Y18">
            <v>-0.14000000000000001</v>
          </cell>
          <cell r="Z18">
            <v>-0.14000000000000001</v>
          </cell>
          <cell r="AA18">
            <v>-0.12</v>
          </cell>
          <cell r="AB18">
            <v>-0.12</v>
          </cell>
          <cell r="AC18">
            <v>-0.27</v>
          </cell>
          <cell r="AD18">
            <v>-0.04</v>
          </cell>
          <cell r="AE18">
            <v>-0.04</v>
          </cell>
          <cell r="AF18">
            <v>0.06</v>
          </cell>
          <cell r="AG18">
            <v>0</v>
          </cell>
          <cell r="AH18">
            <v>-0.02</v>
          </cell>
          <cell r="AI18">
            <v>0.24</v>
          </cell>
          <cell r="AJ18">
            <v>0.15</v>
          </cell>
          <cell r="AK18">
            <v>0.09</v>
          </cell>
          <cell r="AL18">
            <v>0.27</v>
          </cell>
          <cell r="AM18">
            <v>0.08</v>
          </cell>
          <cell r="AN18">
            <v>0.17</v>
          </cell>
          <cell r="AO18">
            <v>0.2</v>
          </cell>
          <cell r="AP18">
            <v>0.13</v>
          </cell>
          <cell r="AQ18">
            <v>0.11</v>
          </cell>
          <cell r="AR18">
            <v>0.09</v>
          </cell>
          <cell r="AS18">
            <v>0.06</v>
          </cell>
          <cell r="AT18">
            <v>0.16</v>
          </cell>
          <cell r="AU18">
            <v>-0.04</v>
          </cell>
          <cell r="AV18">
            <v>7.0000000000000007E-2</v>
          </cell>
          <cell r="AW18">
            <v>0.02</v>
          </cell>
          <cell r="AX18">
            <v>0.03</v>
          </cell>
          <cell r="AY18">
            <v>0.16</v>
          </cell>
          <cell r="AZ18">
            <v>0.11</v>
          </cell>
          <cell r="BA18">
            <v>0.03</v>
          </cell>
          <cell r="BB18">
            <v>0.04</v>
          </cell>
          <cell r="BC18">
            <v>-0.02</v>
          </cell>
          <cell r="BD18">
            <v>-0.02</v>
          </cell>
          <cell r="BE18">
            <v>-0.01</v>
          </cell>
          <cell r="BF18">
            <v>-0.06</v>
          </cell>
          <cell r="BG18">
            <v>0.04</v>
          </cell>
          <cell r="BH18">
            <v>-0.05</v>
          </cell>
          <cell r="BI18">
            <v>-0.01</v>
          </cell>
          <cell r="BJ18">
            <v>-0.13</v>
          </cell>
          <cell r="BK18">
            <v>-0.01</v>
          </cell>
          <cell r="BL18">
            <v>-0.09</v>
          </cell>
          <cell r="BM18">
            <v>0</v>
          </cell>
          <cell r="BN18">
            <v>-0.08</v>
          </cell>
          <cell r="BO18">
            <v>0</v>
          </cell>
          <cell r="BP18">
            <v>-0.05</v>
          </cell>
          <cell r="BQ18">
            <v>-0.11</v>
          </cell>
          <cell r="BR18">
            <v>-7.0000000000000007E-2</v>
          </cell>
          <cell r="BS18">
            <v>-0.06</v>
          </cell>
          <cell r="BT18">
            <v>-0.02</v>
          </cell>
          <cell r="BU18">
            <v>-0.1</v>
          </cell>
          <cell r="BV18">
            <v>0</v>
          </cell>
          <cell r="BW18">
            <v>-0.14000000000000001</v>
          </cell>
          <cell r="BX18">
            <v>-0.15</v>
          </cell>
          <cell r="BY18">
            <v>-0.06</v>
          </cell>
          <cell r="BZ18">
            <v>-0.08</v>
          </cell>
          <cell r="CA18">
            <v>-0.06</v>
          </cell>
          <cell r="CB18">
            <v>0</v>
          </cell>
          <cell r="CC18">
            <v>-0.08</v>
          </cell>
          <cell r="CD18">
            <v>2.871235777012833E-2</v>
          </cell>
          <cell r="CE18">
            <v>6.8601420707013319E-2</v>
          </cell>
        </row>
        <row r="19">
          <cell r="A19" t="str">
            <v>2-yr. Average Comps</v>
          </cell>
          <cell r="O19">
            <v>-4.0000000000000008E-2</v>
          </cell>
          <cell r="P19">
            <v>-0.13</v>
          </cell>
          <cell r="Q19">
            <v>0.03</v>
          </cell>
          <cell r="R19">
            <v>-0.115</v>
          </cell>
          <cell r="S19">
            <v>-7.0000000000000007E-2</v>
          </cell>
          <cell r="T19">
            <v>-0.18</v>
          </cell>
          <cell r="U19">
            <v>-0.22500000000000001</v>
          </cell>
          <cell r="V19">
            <v>-0.16</v>
          </cell>
          <cell r="W19">
            <v>-0.14499999999999999</v>
          </cell>
          <cell r="X19">
            <v>-0.185</v>
          </cell>
          <cell r="Y19">
            <v>-0.13500000000000001</v>
          </cell>
          <cell r="Z19">
            <v>-0.185</v>
          </cell>
          <cell r="AA19">
            <v>-0.14500000000000002</v>
          </cell>
          <cell r="AB19">
            <v>-0.125</v>
          </cell>
          <cell r="AC19">
            <v>-0.125</v>
          </cell>
          <cell r="AD19">
            <v>-0.1</v>
          </cell>
          <cell r="AE19">
            <v>-5.5000000000000007E-2</v>
          </cell>
          <cell r="AF19">
            <v>-6.5000000000000002E-2</v>
          </cell>
          <cell r="AG19">
            <v>-9.5000000000000001E-2</v>
          </cell>
          <cell r="AH19">
            <v>-9.9999999999999992E-2</v>
          </cell>
          <cell r="AI19">
            <v>0.03</v>
          </cell>
          <cell r="AJ19">
            <v>-9.0000000000000011E-2</v>
          </cell>
          <cell r="AK19">
            <v>-2.5000000000000008E-2</v>
          </cell>
          <cell r="AL19">
            <v>6.5000000000000002E-2</v>
          </cell>
          <cell r="AM19">
            <v>-1.9999999999999997E-2</v>
          </cell>
          <cell r="AN19">
            <v>2.5000000000000008E-2</v>
          </cell>
          <cell r="AO19">
            <v>-3.5000000000000003E-2</v>
          </cell>
          <cell r="AP19">
            <v>4.4999999999999998E-2</v>
          </cell>
          <cell r="AQ19">
            <v>3.5000000000000003E-2</v>
          </cell>
          <cell r="AR19">
            <v>7.4999999999999997E-2</v>
          </cell>
          <cell r="AS19">
            <v>0.03</v>
          </cell>
          <cell r="AT19">
            <v>7.0000000000000007E-2</v>
          </cell>
          <cell r="AU19">
            <v>9.9999999999999992E-2</v>
          </cell>
          <cell r="AV19">
            <v>0.11</v>
          </cell>
          <cell r="AW19">
            <v>5.5E-2</v>
          </cell>
          <cell r="AX19">
            <v>0.15000000000000002</v>
          </cell>
          <cell r="AY19">
            <v>0.12</v>
          </cell>
          <cell r="AZ19">
            <v>0.14000000000000001</v>
          </cell>
          <cell r="BA19">
            <v>0.115</v>
          </cell>
          <cell r="BB19">
            <v>8.5000000000000006E-2</v>
          </cell>
          <cell r="BC19">
            <v>4.4999999999999998E-2</v>
          </cell>
          <cell r="BD19">
            <v>3.4999999999999996E-2</v>
          </cell>
          <cell r="BE19">
            <v>2.4999999999999998E-2</v>
          </cell>
          <cell r="BF19">
            <v>0.05</v>
          </cell>
          <cell r="BG19">
            <v>0</v>
          </cell>
          <cell r="BH19">
            <v>1.0000000000000002E-2</v>
          </cell>
          <cell r="BI19">
            <v>5.0000000000000001E-3</v>
          </cell>
          <cell r="BJ19">
            <v>-0.05</v>
          </cell>
          <cell r="BK19">
            <v>7.4999999999999997E-2</v>
          </cell>
          <cell r="BL19">
            <v>1.0000000000000002E-2</v>
          </cell>
          <cell r="BM19">
            <v>1.4999999999999999E-2</v>
          </cell>
          <cell r="BN19">
            <v>-0.02</v>
          </cell>
          <cell r="BO19">
            <v>-0.01</v>
          </cell>
          <cell r="BP19">
            <v>-3.5000000000000003E-2</v>
          </cell>
          <cell r="BQ19">
            <v>-0.06</v>
          </cell>
          <cell r="BR19">
            <v>-6.5000000000000002E-2</v>
          </cell>
          <cell r="BS19">
            <v>-9.9999999999999985E-3</v>
          </cell>
          <cell r="BT19">
            <v>-3.5000000000000003E-2</v>
          </cell>
          <cell r="BU19">
            <v>-5.5E-2</v>
          </cell>
          <cell r="BV19">
            <v>-6.5000000000000002E-2</v>
          </cell>
          <cell r="BW19">
            <v>-7.5000000000000011E-2</v>
          </cell>
          <cell r="BX19">
            <v>-0.12</v>
          </cell>
          <cell r="BY19">
            <v>-0.03</v>
          </cell>
          <cell r="BZ19">
            <v>-0.08</v>
          </cell>
          <cell r="CA19">
            <v>-0.03</v>
          </cell>
          <cell r="CB19">
            <v>-2.5000000000000001E-2</v>
          </cell>
          <cell r="CC19">
            <v>-9.5000000000000001E-2</v>
          </cell>
          <cell r="CD19">
            <v>7.6949253978818744E-2</v>
          </cell>
          <cell r="CE19">
            <v>1.9803307430834666E-2</v>
          </cell>
        </row>
        <row r="21">
          <cell r="A21" t="str">
            <v>Consolidated</v>
          </cell>
        </row>
        <row r="22">
          <cell r="A22" t="str">
            <v>Comp Growth</v>
          </cell>
          <cell r="C22">
            <v>0.04</v>
          </cell>
          <cell r="D22">
            <v>-0.11</v>
          </cell>
          <cell r="E22">
            <v>7.0000000000000007E-2</v>
          </cell>
          <cell r="F22">
            <v>-0.02</v>
          </cell>
          <cell r="G22">
            <v>-0.02</v>
          </cell>
          <cell r="H22">
            <v>-0.01</v>
          </cell>
          <cell r="I22">
            <v>-0.14000000000000001</v>
          </cell>
          <cell r="J22">
            <v>-0.08</v>
          </cell>
          <cell r="K22">
            <v>-0.02</v>
          </cell>
          <cell r="L22">
            <v>-0.01</v>
          </cell>
          <cell r="M22">
            <v>-0.06</v>
          </cell>
          <cell r="N22">
            <v>-0.12</v>
          </cell>
          <cell r="O22">
            <v>-0.11</v>
          </cell>
          <cell r="P22">
            <v>-0.08</v>
          </cell>
          <cell r="Q22">
            <v>-0.02</v>
          </cell>
          <cell r="R22">
            <v>-0.1</v>
          </cell>
          <cell r="S22">
            <v>-7.0000000000000007E-2</v>
          </cell>
          <cell r="T22">
            <v>-0.12</v>
          </cell>
          <cell r="U22">
            <v>-0.17</v>
          </cell>
          <cell r="V22">
            <v>-0.17</v>
          </cell>
          <cell r="W22">
            <v>-0.17</v>
          </cell>
          <cell r="X22">
            <v>-0.25</v>
          </cell>
          <cell r="Y22">
            <v>-0.11</v>
          </cell>
          <cell r="Z22">
            <v>-0.16</v>
          </cell>
          <cell r="AA22">
            <v>-0.17</v>
          </cell>
          <cell r="AB22">
            <v>-0.12</v>
          </cell>
          <cell r="AC22">
            <v>-0.24</v>
          </cell>
          <cell r="AD22">
            <v>-0.09</v>
          </cell>
          <cell r="AE22">
            <v>-0.06</v>
          </cell>
          <cell r="AF22">
            <v>-0.08</v>
          </cell>
          <cell r="AG22">
            <v>-0.02</v>
          </cell>
          <cell r="AH22">
            <v>-0.02</v>
          </cell>
          <cell r="AI22">
            <v>0.11</v>
          </cell>
          <cell r="AJ22">
            <v>0.09</v>
          </cell>
          <cell r="AK22">
            <v>0.05</v>
          </cell>
          <cell r="AL22">
            <v>0.16</v>
          </cell>
          <cell r="AM22">
            <v>0.08</v>
          </cell>
          <cell r="AN22">
            <v>0.09</v>
          </cell>
          <cell r="AO22">
            <v>0.2</v>
          </cell>
          <cell r="AP22">
            <v>0.1</v>
          </cell>
          <cell r="AQ22">
            <v>0.1</v>
          </cell>
          <cell r="AR22">
            <v>0.09</v>
          </cell>
          <cell r="AS22">
            <v>0.04</v>
          </cell>
          <cell r="AT22">
            <v>0.13</v>
          </cell>
          <cell r="AU22">
            <v>0.01</v>
          </cell>
          <cell r="AV22">
            <v>0.06</v>
          </cell>
          <cell r="AW22">
            <v>0.01</v>
          </cell>
          <cell r="AX22">
            <v>0.03</v>
          </cell>
          <cell r="AY22">
            <v>0.12</v>
          </cell>
          <cell r="AZ22">
            <v>0.08</v>
          </cell>
          <cell r="BA22">
            <v>0.03</v>
          </cell>
          <cell r="BB22">
            <v>0.06</v>
          </cell>
          <cell r="BC22">
            <v>-0.02</v>
          </cell>
          <cell r="BD22">
            <v>-0.05</v>
          </cell>
          <cell r="BE22">
            <v>-0.01</v>
          </cell>
          <cell r="BF22">
            <v>-0.03</v>
          </cell>
          <cell r="BG22">
            <v>0.03</v>
          </cell>
          <cell r="BH22">
            <v>-0.04</v>
          </cell>
          <cell r="BI22">
            <v>-0.01</v>
          </cell>
          <cell r="BJ22">
            <v>-7.0000000000000007E-2</v>
          </cell>
          <cell r="BK22">
            <v>-0.03</v>
          </cell>
          <cell r="BL22">
            <v>-0.04</v>
          </cell>
          <cell r="BM22">
            <v>-0.05</v>
          </cell>
          <cell r="BN22">
            <v>-0.08</v>
          </cell>
          <cell r="BO22">
            <v>0</v>
          </cell>
          <cell r="BP22">
            <v>-0.04</v>
          </cell>
          <cell r="BQ22">
            <v>-0.09</v>
          </cell>
          <cell r="BR22">
            <v>-0.06</v>
          </cell>
          <cell r="BS22">
            <v>-0.05</v>
          </cell>
          <cell r="BT22">
            <v>-0.04</v>
          </cell>
          <cell r="BU22">
            <v>-0.09</v>
          </cell>
          <cell r="BV22">
            <v>0.01</v>
          </cell>
          <cell r="BW22">
            <v>-0.11</v>
          </cell>
          <cell r="BX22">
            <v>-0.13</v>
          </cell>
          <cell r="BY22">
            <v>-0.03</v>
          </cell>
          <cell r="BZ22">
            <v>-0.06</v>
          </cell>
          <cell r="CA22">
            <v>-0.06</v>
          </cell>
          <cell r="CB22">
            <v>-0.04</v>
          </cell>
          <cell r="CC22">
            <v>-7.0000000000000007E-2</v>
          </cell>
          <cell r="CD22">
            <v>2.0337529889304349E-5</v>
          </cell>
          <cell r="CE22">
            <v>1.6958321763223178E-2</v>
          </cell>
        </row>
        <row r="23">
          <cell r="A23" t="str">
            <v>2-yr. Average Comps</v>
          </cell>
          <cell r="O23">
            <v>-3.5000000000000003E-2</v>
          </cell>
          <cell r="P23">
            <v>-9.5000000000000001E-2</v>
          </cell>
          <cell r="Q23">
            <v>2.5000000000000001E-2</v>
          </cell>
          <cell r="R23">
            <v>-6.0000000000000005E-2</v>
          </cell>
          <cell r="S23">
            <v>-4.5000000000000005E-2</v>
          </cell>
          <cell r="T23">
            <v>-6.5000000000000002E-2</v>
          </cell>
          <cell r="U23">
            <v>-0.15500000000000003</v>
          </cell>
          <cell r="V23">
            <v>-0.125</v>
          </cell>
          <cell r="W23">
            <v>-9.5000000000000001E-2</v>
          </cell>
          <cell r="X23">
            <v>-0.13</v>
          </cell>
          <cell r="Y23">
            <v>-8.4999999999999992E-2</v>
          </cell>
          <cell r="Z23">
            <v>-0.14000000000000001</v>
          </cell>
          <cell r="AA23">
            <v>-0.14000000000000001</v>
          </cell>
          <cell r="AB23">
            <v>-0.1</v>
          </cell>
          <cell r="AC23">
            <v>-0.13</v>
          </cell>
          <cell r="AD23">
            <v>-9.5000000000000001E-2</v>
          </cell>
          <cell r="AE23">
            <v>-6.5000000000000002E-2</v>
          </cell>
          <cell r="AF23">
            <v>-0.1</v>
          </cell>
          <cell r="AG23">
            <v>-9.5000000000000001E-2</v>
          </cell>
          <cell r="AH23">
            <v>-9.5000000000000001E-2</v>
          </cell>
          <cell r="AI23">
            <v>-3.0000000000000006E-2</v>
          </cell>
          <cell r="AJ23">
            <v>-0.08</v>
          </cell>
          <cell r="AK23">
            <v>-0.03</v>
          </cell>
          <cell r="AL23">
            <v>0</v>
          </cell>
          <cell r="AM23">
            <v>-4.5000000000000005E-2</v>
          </cell>
          <cell r="AN23">
            <v>-1.4999999999999999E-2</v>
          </cell>
          <cell r="AO23">
            <v>-1.999999999999999E-2</v>
          </cell>
          <cell r="AP23">
            <v>5.0000000000000044E-3</v>
          </cell>
          <cell r="AQ23">
            <v>2.0000000000000004E-2</v>
          </cell>
          <cell r="AR23">
            <v>4.9999999999999975E-3</v>
          </cell>
          <cell r="AS23">
            <v>0.01</v>
          </cell>
          <cell r="AT23">
            <v>5.5E-2</v>
          </cell>
          <cell r="AU23">
            <v>0.06</v>
          </cell>
          <cell r="AV23">
            <v>7.4999999999999997E-2</v>
          </cell>
          <cell r="AW23">
            <v>3.0000000000000002E-2</v>
          </cell>
          <cell r="AX23">
            <v>9.5000000000000001E-2</v>
          </cell>
          <cell r="AY23">
            <v>0.1</v>
          </cell>
          <cell r="AZ23">
            <v>8.4999999999999992E-2</v>
          </cell>
          <cell r="BA23">
            <v>0.115</v>
          </cell>
          <cell r="BB23">
            <v>0.08</v>
          </cell>
          <cell r="BC23">
            <v>0.04</v>
          </cell>
          <cell r="BD23">
            <v>1.9999999999999997E-2</v>
          </cell>
          <cell r="BE23">
            <v>1.4999999999999999E-2</v>
          </cell>
          <cell r="BF23">
            <v>0.05</v>
          </cell>
          <cell r="BG23">
            <v>0.02</v>
          </cell>
          <cell r="BH23">
            <v>9.9999999999999985E-3</v>
          </cell>
          <cell r="BI23">
            <v>0</v>
          </cell>
          <cell r="BJ23">
            <v>-2.0000000000000004E-2</v>
          </cell>
          <cell r="BK23">
            <v>4.4999999999999998E-2</v>
          </cell>
          <cell r="BL23">
            <v>0.02</v>
          </cell>
          <cell r="BM23">
            <v>-1.0000000000000002E-2</v>
          </cell>
          <cell r="BN23">
            <v>-1.0000000000000002E-2</v>
          </cell>
          <cell r="BO23">
            <v>-0.01</v>
          </cell>
          <cell r="BP23">
            <v>-4.4999999999999998E-2</v>
          </cell>
          <cell r="BQ23">
            <v>-4.9999999999999996E-2</v>
          </cell>
          <cell r="BR23">
            <v>-4.4999999999999998E-2</v>
          </cell>
          <cell r="BS23">
            <v>-1.0000000000000002E-2</v>
          </cell>
          <cell r="BT23">
            <v>-0.04</v>
          </cell>
          <cell r="BU23">
            <v>-4.9999999999999996E-2</v>
          </cell>
          <cell r="BV23">
            <v>-3.0000000000000002E-2</v>
          </cell>
          <cell r="BW23">
            <v>-7.0000000000000007E-2</v>
          </cell>
          <cell r="BX23">
            <v>-8.5000000000000006E-2</v>
          </cell>
          <cell r="BY23">
            <v>-0.04</v>
          </cell>
          <cell r="BZ23">
            <v>-7.0000000000000007E-2</v>
          </cell>
          <cell r="CA23">
            <v>-0.03</v>
          </cell>
          <cell r="CB23">
            <v>-0.04</v>
          </cell>
          <cell r="CC23">
            <v>-0.08</v>
          </cell>
          <cell r="CD23">
            <v>0.20676712398552954</v>
          </cell>
          <cell r="CE23">
            <v>8.8260344427614823E-2</v>
          </cell>
        </row>
        <row r="25">
          <cell r="A25" t="str">
            <v>Traffic Growth</v>
          </cell>
          <cell r="L25" t="str">
            <v>Gap North America</v>
          </cell>
          <cell r="X25" t="str">
            <v>Gap North America Comps vs. Price</v>
          </cell>
          <cell r="AB25" t="str">
            <v>R-square = 35%</v>
          </cell>
        </row>
        <row r="35">
          <cell r="B35" t="str">
            <v>1Q</v>
          </cell>
          <cell r="C35" t="str">
            <v>2Q</v>
          </cell>
          <cell r="D35" t="str">
            <v>3Q</v>
          </cell>
          <cell r="E35" t="str">
            <v>4Q</v>
          </cell>
        </row>
        <row r="36">
          <cell r="A36" t="str">
            <v>2-yr. Comp</v>
          </cell>
          <cell r="B36">
            <v>1.5000000000000003E-2</v>
          </cell>
          <cell r="C36">
            <v>-1.4999999999999999E-2</v>
          </cell>
          <cell r="D36">
            <v>-0.04</v>
          </cell>
          <cell r="E36">
            <v>-4.4999999999999998E-2</v>
          </cell>
        </row>
        <row r="37">
          <cell r="A37" t="str">
            <v>1-yr. Comp</v>
          </cell>
          <cell r="B37">
            <v>-0.04</v>
          </cell>
          <cell r="C37">
            <v>-0.03</v>
          </cell>
          <cell r="D37">
            <v>-7.0000000000000007E-2</v>
          </cell>
          <cell r="E37">
            <v>-0.06</v>
          </cell>
        </row>
        <row r="38">
          <cell r="A38" t="str">
            <v>2006 Reported</v>
          </cell>
          <cell r="B38">
            <v>-0.09</v>
          </cell>
          <cell r="C38">
            <v>-0.05</v>
          </cell>
        </row>
        <row r="40">
          <cell r="B40" t="str">
            <v>1Q</v>
          </cell>
          <cell r="C40" t="str">
            <v>2Q</v>
          </cell>
          <cell r="D40" t="str">
            <v>3Q</v>
          </cell>
          <cell r="E40" t="str">
            <v>4Q</v>
          </cell>
        </row>
        <row r="41">
          <cell r="A41" t="str">
            <v>2-yr. Comp</v>
          </cell>
          <cell r="B41">
            <v>1.5000000000000003E-2</v>
          </cell>
          <cell r="C41">
            <v>-1.4999999999999999E-2</v>
          </cell>
          <cell r="D41">
            <v>-0.04</v>
          </cell>
          <cell r="E41">
            <v>-4.4999999999999998E-2</v>
          </cell>
        </row>
        <row r="42">
          <cell r="A42" t="str">
            <v>1-yr. Comp</v>
          </cell>
          <cell r="B42">
            <v>-0.04</v>
          </cell>
          <cell r="C42">
            <v>-0.03</v>
          </cell>
          <cell r="D42">
            <v>-7.0000000000000007E-2</v>
          </cell>
          <cell r="E42">
            <v>-0.06</v>
          </cell>
        </row>
        <row r="43">
          <cell r="A43" t="str">
            <v>2006 Reported</v>
          </cell>
          <cell r="B43">
            <v>-0.09</v>
          </cell>
          <cell r="C43">
            <v>-0.05</v>
          </cell>
        </row>
        <row r="53">
          <cell r="A53" t="str">
            <v>Old Navy</v>
          </cell>
          <cell r="L53" t="str">
            <v>Banana Republic</v>
          </cell>
        </row>
        <row r="81">
          <cell r="B81" t="str">
            <v>1Q</v>
          </cell>
          <cell r="C81" t="str">
            <v>2Q</v>
          </cell>
          <cell r="D81" t="str">
            <v>3Q</v>
          </cell>
          <cell r="E81" t="str">
            <v>4Q</v>
          </cell>
        </row>
        <row r="82">
          <cell r="A82" t="str">
            <v>2-yr. Comp</v>
          </cell>
          <cell r="B82">
            <v>-0.1095</v>
          </cell>
          <cell r="C82">
            <v>-8.6347810513925066E-2</v>
          </cell>
          <cell r="D82" t="e">
            <v>#DIV/0!</v>
          </cell>
          <cell r="E82">
            <v>-0.1215</v>
          </cell>
        </row>
        <row r="83">
          <cell r="A83" t="str">
            <v>1-yr. Comp</v>
          </cell>
          <cell r="B83">
            <v>-0.161</v>
          </cell>
          <cell r="C83">
            <v>-0.12531757801605939</v>
          </cell>
          <cell r="D83">
            <v>0</v>
          </cell>
          <cell r="E83">
            <v>-0.17499999999999999</v>
          </cell>
        </row>
        <row r="84">
          <cell r="A84" t="str">
            <v>2006 Reported</v>
          </cell>
          <cell r="B84">
            <v>8.0819609667905495E-2</v>
          </cell>
          <cell r="C84">
            <v>-1.9928306962111796E-2</v>
          </cell>
        </row>
        <row r="86">
          <cell r="A86" t="str">
            <v>Quarterly Comp Comparisons</v>
          </cell>
        </row>
      </sheetData>
      <sheetData sheetId="1"/>
      <sheetData sheetId="2" refreshError="1"/>
      <sheetData sheetId="3" refreshError="1"/>
      <sheetData sheetId="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Risk-Reward_View_Chart"/>
      <sheetName val="Bear_to_Bull_Data"/>
      <sheetName val="Comparative_Risk-Reward_Chart"/>
      <sheetName val="Comparative_Risk-Reward_Data"/>
      <sheetName val="Value_of_Growth_Chart"/>
      <sheetName val="Value_of_Growth_Data"/>
    </sheetNames>
    <sheetDataSet>
      <sheetData sheetId="0"/>
      <sheetData sheetId="1"/>
      <sheetData sheetId="2">
        <row r="1">
          <cell r="C1" t="str">
            <v>Please Enter
POSITIVE
Nos. Only</v>
          </cell>
        </row>
        <row r="2">
          <cell r="R2" t="str">
            <v>Old</v>
          </cell>
          <cell r="S2" t="str">
            <v>New</v>
          </cell>
        </row>
        <row r="3">
          <cell r="R3">
            <v>0.125</v>
          </cell>
          <cell r="S3">
            <v>0.14285714285714285</v>
          </cell>
        </row>
        <row r="4">
          <cell r="R4">
            <v>0.5</v>
          </cell>
          <cell r="S4">
            <v>0.5</v>
          </cell>
        </row>
        <row r="5">
          <cell r="A5" t="str">
            <v>X-Axis Labels</v>
          </cell>
          <cell r="B5" t="str">
            <v>Cases</v>
          </cell>
          <cell r="C5" t="str">
            <v>Positive
Increments</v>
          </cell>
          <cell r="D5" t="str">
            <v>Price Target</v>
          </cell>
          <cell r="E5" t="str">
            <v>Invisible</v>
          </cell>
          <cell r="F5" t="str">
            <v>Labels</v>
          </cell>
          <cell r="R5">
            <v>0.375</v>
          </cell>
          <cell r="S5">
            <v>0.35714285714285715</v>
          </cell>
        </row>
        <row r="6">
          <cell r="A6" t="str">
            <v>Bear
Case</v>
          </cell>
          <cell r="B6">
            <v>10</v>
          </cell>
          <cell r="D6">
            <v>16</v>
          </cell>
        </row>
        <row r="7">
          <cell r="A7" t="str">
            <v>Label</v>
          </cell>
          <cell r="D7">
            <v>16</v>
          </cell>
          <cell r="E7">
            <v>10</v>
          </cell>
          <cell r="F7">
            <v>0</v>
          </cell>
        </row>
        <row r="8">
          <cell r="A8" t="str">
            <v>Optional</v>
          </cell>
          <cell r="D8">
            <v>16</v>
          </cell>
          <cell r="E8">
            <v>10</v>
          </cell>
          <cell r="F8">
            <v>0</v>
          </cell>
        </row>
        <row r="9">
          <cell r="A9" t="str">
            <v>Optional</v>
          </cell>
          <cell r="D9">
            <v>16</v>
          </cell>
          <cell r="E9">
            <v>10</v>
          </cell>
          <cell r="F9">
            <v>0</v>
          </cell>
        </row>
        <row r="10">
          <cell r="A10" t="str">
            <v>Comps further decline</v>
          </cell>
          <cell r="C10">
            <v>2.85</v>
          </cell>
          <cell r="D10">
            <v>16</v>
          </cell>
          <cell r="E10">
            <v>10</v>
          </cell>
          <cell r="F10">
            <v>2.85</v>
          </cell>
        </row>
        <row r="11">
          <cell r="A11" t="str">
            <v>Increased gross margin pressure</v>
          </cell>
          <cell r="C11">
            <v>3.05</v>
          </cell>
          <cell r="D11">
            <v>16</v>
          </cell>
          <cell r="E11">
            <v>12.85</v>
          </cell>
          <cell r="F11">
            <v>3.05</v>
          </cell>
        </row>
        <row r="12">
          <cell r="A12" t="str">
            <v>Expense deleverage</v>
          </cell>
          <cell r="C12">
            <v>0.1</v>
          </cell>
          <cell r="D12">
            <v>16</v>
          </cell>
          <cell r="E12">
            <v>15.899999999999999</v>
          </cell>
          <cell r="F12">
            <v>0.1</v>
          </cell>
        </row>
        <row r="13">
          <cell r="A13" t="str">
            <v>Base
Case</v>
          </cell>
          <cell r="B13">
            <v>15.999999999999998</v>
          </cell>
          <cell r="D13">
            <v>16</v>
          </cell>
        </row>
        <row r="14">
          <cell r="A14" t="str">
            <v>Comps increase</v>
          </cell>
          <cell r="C14">
            <v>2.2000000000000002</v>
          </cell>
          <cell r="D14">
            <v>16</v>
          </cell>
          <cell r="E14">
            <v>15.999999999999998</v>
          </cell>
          <cell r="F14">
            <v>2.2000000000000002</v>
          </cell>
          <cell r="R14">
            <v>0.33333333333333331</v>
          </cell>
          <cell r="S14">
            <v>0.31818181818181818</v>
          </cell>
        </row>
        <row r="15">
          <cell r="A15" t="str">
            <v>Less pressure from gross margin</v>
          </cell>
          <cell r="C15">
            <v>1.5</v>
          </cell>
          <cell r="D15">
            <v>16</v>
          </cell>
          <cell r="E15">
            <v>18.2</v>
          </cell>
          <cell r="F15">
            <v>1.5</v>
          </cell>
          <cell r="R15">
            <v>0.5</v>
          </cell>
          <cell r="S15">
            <v>0.5</v>
          </cell>
        </row>
        <row r="16">
          <cell r="A16" t="str">
            <v>Less expense deleverage</v>
          </cell>
          <cell r="C16">
            <v>0.3</v>
          </cell>
          <cell r="D16">
            <v>16</v>
          </cell>
          <cell r="E16">
            <v>19.7</v>
          </cell>
          <cell r="F16">
            <v>0.3</v>
          </cell>
          <cell r="R16">
            <v>0.16666666666666666</v>
          </cell>
          <cell r="S16">
            <v>0.18181818181818182</v>
          </cell>
        </row>
        <row r="17">
          <cell r="A17" t="str">
            <v>Optional</v>
          </cell>
          <cell r="D17">
            <v>16</v>
          </cell>
          <cell r="E17">
            <v>20</v>
          </cell>
          <cell r="F17">
            <v>0</v>
          </cell>
        </row>
        <row r="18">
          <cell r="A18" t="str">
            <v>Optional</v>
          </cell>
          <cell r="D18">
            <v>16</v>
          </cell>
          <cell r="E18">
            <v>20</v>
          </cell>
          <cell r="F18">
            <v>0</v>
          </cell>
        </row>
        <row r="19">
          <cell r="A19" t="str">
            <v>Optional</v>
          </cell>
          <cell r="D19">
            <v>16</v>
          </cell>
          <cell r="E19">
            <v>20</v>
          </cell>
          <cell r="F19">
            <v>0</v>
          </cell>
        </row>
        <row r="20">
          <cell r="A20" t="str">
            <v>Bull
Case</v>
          </cell>
          <cell r="B20">
            <v>20</v>
          </cell>
          <cell r="D20">
            <v>16</v>
          </cell>
        </row>
      </sheetData>
      <sheetData sheetId="3" refreshError="1"/>
      <sheetData sheetId="4">
        <row r="2">
          <cell r="B2" t="str">
            <v>Stock B</v>
          </cell>
          <cell r="C2" t="str">
            <v>Stock B</v>
          </cell>
          <cell r="D2" t="str">
            <v>Stock B</v>
          </cell>
          <cell r="E2">
            <v>0</v>
          </cell>
          <cell r="F2">
            <v>0</v>
          </cell>
          <cell r="G2">
            <v>0</v>
          </cell>
        </row>
        <row r="3">
          <cell r="B3" t="str">
            <v>Stock C</v>
          </cell>
          <cell r="C3" t="str">
            <v>Stock C</v>
          </cell>
          <cell r="D3" t="str">
            <v>Stock C</v>
          </cell>
          <cell r="E3">
            <v>0</v>
          </cell>
          <cell r="F3">
            <v>-9.9999999999999978E-2</v>
          </cell>
          <cell r="G3">
            <v>-0.4</v>
          </cell>
        </row>
        <row r="4">
          <cell r="A4" t="str">
            <v>Stock D</v>
          </cell>
          <cell r="B4" t="str">
            <v>Stock D</v>
          </cell>
          <cell r="C4" t="str">
            <v>Stock D</v>
          </cell>
          <cell r="D4" t="str">
            <v>Stock D</v>
          </cell>
          <cell r="E4">
            <v>0</v>
          </cell>
          <cell r="F4">
            <v>0</v>
          </cell>
          <cell r="G4">
            <v>-0.30000000000000004</v>
          </cell>
        </row>
        <row r="5">
          <cell r="B5" t="str">
            <v>Current
Price</v>
          </cell>
          <cell r="C5" t="str">
            <v>Bear 
Case</v>
          </cell>
          <cell r="D5" t="str">
            <v>Base 
Case</v>
          </cell>
          <cell r="E5" t="str">
            <v>Bull 
Case</v>
          </cell>
          <cell r="F5" t="str">
            <v>Price Target</v>
          </cell>
          <cell r="G5" t="str">
            <v>Bear 
Case</v>
          </cell>
          <cell r="H5" t="str">
            <v>Base 
Case</v>
          </cell>
          <cell r="I5" t="str">
            <v>Bull 
Case</v>
          </cell>
          <cell r="J5" t="str">
            <v>Price 
Target</v>
          </cell>
          <cell r="K5" t="str">
            <v>+ Bear 
Data</v>
          </cell>
          <cell r="L5" t="str">
            <v>+ Base 
Data</v>
          </cell>
          <cell r="M5" t="str">
            <v>+ Bull 
Data</v>
          </cell>
          <cell r="N5" t="str">
            <v>- Bear 
Data</v>
          </cell>
          <cell r="O5" t="str">
            <v>- Base 
Data</v>
          </cell>
          <cell r="P5" t="str">
            <v>- Bull 
Data</v>
          </cell>
        </row>
        <row r="6">
          <cell r="A6" t="str">
            <v>Stock A</v>
          </cell>
          <cell r="B6">
            <v>50</v>
          </cell>
          <cell r="C6">
            <v>30</v>
          </cell>
          <cell r="D6">
            <v>40</v>
          </cell>
          <cell r="E6">
            <v>45</v>
          </cell>
          <cell r="F6">
            <v>50</v>
          </cell>
          <cell r="G6">
            <v>-0.4</v>
          </cell>
          <cell r="H6">
            <v>-0.19999999999999996</v>
          </cell>
          <cell r="I6">
            <v>-9.9999999999999978E-2</v>
          </cell>
          <cell r="J6">
            <v>0</v>
          </cell>
          <cell r="K6">
            <v>0</v>
          </cell>
          <cell r="L6">
            <v>0</v>
          </cell>
          <cell r="M6">
            <v>0</v>
          </cell>
          <cell r="N6">
            <v>-0.20000000000000007</v>
          </cell>
          <cell r="O6">
            <v>-9.9999999999999978E-2</v>
          </cell>
          <cell r="P6">
            <v>-9.9999999999999978E-2</v>
          </cell>
        </row>
        <row r="7">
          <cell r="A7" t="str">
            <v>Stock B</v>
          </cell>
          <cell r="B7">
            <v>100</v>
          </cell>
          <cell r="C7">
            <v>110</v>
          </cell>
          <cell r="D7">
            <v>120</v>
          </cell>
          <cell r="E7">
            <v>150</v>
          </cell>
          <cell r="F7">
            <v>115</v>
          </cell>
          <cell r="G7">
            <v>0.10000000000000009</v>
          </cell>
          <cell r="H7">
            <v>0.19999999999999996</v>
          </cell>
          <cell r="I7">
            <v>0.5</v>
          </cell>
          <cell r="J7">
            <v>0.14999999999999991</v>
          </cell>
          <cell r="K7">
            <v>0.10000000000000009</v>
          </cell>
          <cell r="L7">
            <v>9.9999999999999867E-2</v>
          </cell>
          <cell r="M7">
            <v>0.30000000000000004</v>
          </cell>
          <cell r="N7">
            <v>0</v>
          </cell>
          <cell r="O7">
            <v>0</v>
          </cell>
          <cell r="P7">
            <v>0</v>
          </cell>
        </row>
        <row r="8">
          <cell r="A8" t="str">
            <v>Stock C</v>
          </cell>
          <cell r="B8">
            <v>60</v>
          </cell>
          <cell r="C8">
            <v>30</v>
          </cell>
          <cell r="D8">
            <v>54</v>
          </cell>
          <cell r="E8">
            <v>78</v>
          </cell>
          <cell r="F8">
            <v>69</v>
          </cell>
          <cell r="G8">
            <v>-0.5</v>
          </cell>
          <cell r="H8">
            <v>-9.9999999999999978E-2</v>
          </cell>
          <cell r="I8">
            <v>0.30000000000000004</v>
          </cell>
          <cell r="J8">
            <v>0.14999999999999991</v>
          </cell>
          <cell r="K8">
            <v>0</v>
          </cell>
          <cell r="L8">
            <v>0</v>
          </cell>
          <cell r="M8">
            <v>0.30000000000000004</v>
          </cell>
          <cell r="N8">
            <v>-0.4</v>
          </cell>
          <cell r="O8">
            <v>-9.9999999999999978E-2</v>
          </cell>
          <cell r="P8">
            <v>0</v>
          </cell>
        </row>
        <row r="9">
          <cell r="A9" t="str">
            <v>Stock D</v>
          </cell>
          <cell r="B9">
            <v>80</v>
          </cell>
          <cell r="C9">
            <v>56</v>
          </cell>
          <cell r="D9">
            <v>90</v>
          </cell>
          <cell r="E9">
            <v>104</v>
          </cell>
          <cell r="F9">
            <v>85</v>
          </cell>
          <cell r="G9">
            <v>-0.30000000000000004</v>
          </cell>
          <cell r="H9">
            <v>0.125</v>
          </cell>
          <cell r="I9">
            <v>0.30000000000000004</v>
          </cell>
          <cell r="J9">
            <v>6.25E-2</v>
          </cell>
          <cell r="K9">
            <v>0</v>
          </cell>
          <cell r="L9">
            <v>0.125</v>
          </cell>
          <cell r="M9">
            <v>0.17500000000000004</v>
          </cell>
          <cell r="N9">
            <v>-0.30000000000000004</v>
          </cell>
          <cell r="O9">
            <v>0</v>
          </cell>
          <cell r="P9">
            <v>0</v>
          </cell>
        </row>
        <row r="10">
          <cell r="A10" t="str">
            <v>Stock E</v>
          </cell>
          <cell r="B10">
            <v>40</v>
          </cell>
          <cell r="C10">
            <v>20</v>
          </cell>
          <cell r="D10">
            <v>60</v>
          </cell>
          <cell r="E10">
            <v>70</v>
          </cell>
          <cell r="F10">
            <v>49</v>
          </cell>
          <cell r="G10">
            <v>-0.5</v>
          </cell>
          <cell r="H10">
            <v>0.5</v>
          </cell>
          <cell r="I10">
            <v>0.75</v>
          </cell>
          <cell r="J10">
            <v>0.22500000000000009</v>
          </cell>
          <cell r="K10">
            <v>0</v>
          </cell>
          <cell r="L10">
            <v>0.5</v>
          </cell>
          <cell r="M10">
            <v>0.25</v>
          </cell>
          <cell r="N10">
            <v>-0.5</v>
          </cell>
          <cell r="O10">
            <v>0</v>
          </cell>
          <cell r="P10">
            <v>0</v>
          </cell>
        </row>
        <row r="11">
          <cell r="A11" t="str">
            <v>Stock F</v>
          </cell>
          <cell r="B11">
            <v>20</v>
          </cell>
          <cell r="C11">
            <v>10</v>
          </cell>
          <cell r="D11">
            <v>30</v>
          </cell>
          <cell r="E11">
            <v>35</v>
          </cell>
          <cell r="F11">
            <v>23</v>
          </cell>
          <cell r="G11">
            <v>-0.5</v>
          </cell>
          <cell r="H11">
            <v>0.5</v>
          </cell>
          <cell r="I11">
            <v>0.75</v>
          </cell>
          <cell r="J11">
            <v>0.14999999999999991</v>
          </cell>
          <cell r="K11">
            <v>0</v>
          </cell>
          <cell r="L11">
            <v>0.5</v>
          </cell>
          <cell r="M11">
            <v>0.25</v>
          </cell>
          <cell r="N11">
            <v>-0.5</v>
          </cell>
          <cell r="O11">
            <v>0</v>
          </cell>
          <cell r="P11">
            <v>0</v>
          </cell>
        </row>
        <row r="12">
          <cell r="A12" t="str">
            <v>Stock G</v>
          </cell>
          <cell r="B12">
            <v>65</v>
          </cell>
          <cell r="C12">
            <v>35</v>
          </cell>
          <cell r="D12">
            <v>75</v>
          </cell>
          <cell r="E12">
            <v>85</v>
          </cell>
          <cell r="F12">
            <v>64</v>
          </cell>
          <cell r="G12">
            <v>-0.46153846153846156</v>
          </cell>
          <cell r="H12">
            <v>0.15384615384615374</v>
          </cell>
          <cell r="I12">
            <v>0.30769230769230771</v>
          </cell>
          <cell r="J12">
            <v>-1.538461538461533E-2</v>
          </cell>
          <cell r="K12">
            <v>0</v>
          </cell>
          <cell r="L12">
            <v>0.15384615384615374</v>
          </cell>
          <cell r="M12">
            <v>0.15384615384615397</v>
          </cell>
          <cell r="N12">
            <v>-0.46153846153846156</v>
          </cell>
          <cell r="O12">
            <v>0</v>
          </cell>
          <cell r="P12">
            <v>0</v>
          </cell>
        </row>
        <row r="13">
          <cell r="A13" t="str">
            <v>Stock H</v>
          </cell>
          <cell r="B13">
            <v>35</v>
          </cell>
          <cell r="C13">
            <v>20</v>
          </cell>
          <cell r="D13">
            <v>45</v>
          </cell>
          <cell r="E13">
            <v>50</v>
          </cell>
          <cell r="F13">
            <v>30</v>
          </cell>
          <cell r="G13">
            <v>-0.4285714285714286</v>
          </cell>
          <cell r="H13">
            <v>0.28571428571428581</v>
          </cell>
          <cell r="I13">
            <v>0.4285714285714286</v>
          </cell>
          <cell r="J13">
            <v>-0.1428571428571429</v>
          </cell>
          <cell r="K13">
            <v>0</v>
          </cell>
          <cell r="L13">
            <v>0.28571428571428581</v>
          </cell>
          <cell r="M13">
            <v>0.14285714285714279</v>
          </cell>
          <cell r="N13">
            <v>-0.4285714285714286</v>
          </cell>
          <cell r="O13">
            <v>0</v>
          </cell>
          <cell r="P13">
            <v>0</v>
          </cell>
        </row>
        <row r="14">
          <cell r="A14" t="str">
            <v>Stock I</v>
          </cell>
          <cell r="B14">
            <v>16</v>
          </cell>
          <cell r="C14">
            <v>10</v>
          </cell>
          <cell r="D14">
            <v>20</v>
          </cell>
          <cell r="E14">
            <v>23</v>
          </cell>
          <cell r="F14">
            <v>22</v>
          </cell>
          <cell r="G14">
            <v>-0.375</v>
          </cell>
          <cell r="H14">
            <v>0.25</v>
          </cell>
          <cell r="I14">
            <v>0.4375</v>
          </cell>
          <cell r="J14">
            <v>0.375</v>
          </cell>
          <cell r="K14">
            <v>0</v>
          </cell>
          <cell r="L14">
            <v>0.25</v>
          </cell>
          <cell r="M14">
            <v>0.1875</v>
          </cell>
          <cell r="N14">
            <v>-0.375</v>
          </cell>
          <cell r="O14">
            <v>0</v>
          </cell>
          <cell r="P14">
            <v>0</v>
          </cell>
        </row>
      </sheetData>
      <sheetData sheetId="5" refreshError="1"/>
      <sheetData sheetId="6">
        <row r="5">
          <cell r="A5" t="str">
            <v>X-Axis Labels</v>
          </cell>
          <cell r="B5" t="str">
            <v>Invisible</v>
          </cell>
          <cell r="C5" t="str">
            <v>Input
Bases</v>
          </cell>
          <cell r="D5" t="str">
            <v>Input
Increments</v>
          </cell>
          <cell r="E5" t="str">
            <v>Value
Gap</v>
          </cell>
          <cell r="F5" t="str">
            <v>+ Data</v>
          </cell>
          <cell r="G5" t="str">
            <v>- Data</v>
          </cell>
          <cell r="H5" t="str">
            <v>Increment
Labels</v>
          </cell>
        </row>
        <row r="6">
          <cell r="A6" t="str">
            <v>Current
Earnings</v>
          </cell>
          <cell r="C6">
            <v>26</v>
          </cell>
        </row>
        <row r="7">
          <cell r="A7" t="str">
            <v>Growth in
Explicit
Forecast
Period</v>
          </cell>
          <cell r="B7">
            <v>22</v>
          </cell>
          <cell r="D7">
            <v>-4</v>
          </cell>
          <cell r="F7">
            <v>0</v>
          </cell>
          <cell r="G7">
            <v>4</v>
          </cell>
          <cell r="H7">
            <v>4</v>
          </cell>
        </row>
        <row r="8">
          <cell r="A8" t="str">
            <v>Growth in
Terminal
Forecast
Period</v>
          </cell>
          <cell r="B8">
            <v>22</v>
          </cell>
          <cell r="D8">
            <v>8</v>
          </cell>
          <cell r="F8">
            <v>8</v>
          </cell>
          <cell r="G8">
            <v>0</v>
          </cell>
          <cell r="H8">
            <v>8</v>
          </cell>
        </row>
        <row r="9">
          <cell r="A9" t="str">
            <v>Estimated
Intrinsic
Value</v>
          </cell>
          <cell r="C9">
            <v>30</v>
          </cell>
        </row>
        <row r="10">
          <cell r="A10" t="str">
            <v>Value
Gap</v>
          </cell>
          <cell r="B10">
            <v>30</v>
          </cell>
          <cell r="E10">
            <v>10</v>
          </cell>
        </row>
        <row r="11">
          <cell r="A11" t="str">
            <v>Current
Price</v>
          </cell>
          <cell r="C11">
            <v>20</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ld BKS"/>
      <sheetName val="MODEL"/>
      <sheetName val="SCF &amp; BS"/>
      <sheetName val="Report Stats"/>
      <sheetName val="Report Income Statement"/>
      <sheetName val="DCF + ROCE"/>
      <sheetName val="Report CFBS"/>
      <sheetName val="SEARS"/>
      <sheetName val="table for quarterly"/>
      <sheetName val="ImportantDisclosures"/>
      <sheetName val="IndexInformation"/>
      <sheetName val="Income"/>
      <sheetName val="Pension_Old"/>
      <sheetName val="SQLSheet"/>
      <sheetName val="Qtr Income"/>
      <sheetName val=" Qtr Margin"/>
      <sheetName val="Qtr Sa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Summary"/>
      <sheetName val="Balance Sheet"/>
      <sheetName val="Cash Flow"/>
      <sheetName val="Income"/>
      <sheetName val="May Co Acquisition"/>
      <sheetName val="Drivers"/>
      <sheetName val="__FDSCACHE__"/>
      <sheetName val="Trends"/>
      <sheetName val="Credit Income &amp; SG&amp;A Detail"/>
      <sheetName val="Variance-2Q12"/>
      <sheetName val="2012 Stores"/>
      <sheetName val="online"/>
      <sheetName val="PreFHT"/>
      <sheetName val="MainCode"/>
      <sheetName val="Debt"/>
      <sheetName val="CreditRatios"/>
      <sheetName val="Reported 2009"/>
      <sheetName val="Productivity"/>
      <sheetName val="MWA RR"/>
      <sheetName val="LEASES NEW"/>
      <sheetName val="RNOA - ROE"/>
      <sheetName val="Real Estate"/>
      <sheetName val="mwareValPrintout"/>
      <sheetName val="P Map"/>
      <sheetName val="Asset Sales"/>
      <sheetName val="Ledger"/>
      <sheetName val="Valuation "/>
      <sheetName val="MW-Cache"/>
      <sheetName val="LBO"/>
      <sheetName val="LINKED DATA"/>
      <sheetName val="mwareDates_38951_3819959"/>
      <sheetName val="mwareDates_38951_3889055"/>
      <sheetName val="mwareDates"/>
      <sheetName val="mwareSettings"/>
      <sheetName val="MacabacusCustomFormats"/>
      <sheetName val="Variance"/>
      <sheetName val="Disclosures"/>
      <sheetName val="Guidance"/>
      <sheetName val="Variance-1Q11"/>
      <sheetName val="Variance-2Q11"/>
      <sheetName val="LEASES"/>
      <sheetName val="Inv Turn"/>
      <sheetName val="msri"/>
      <sheetName val="Variance2"/>
      <sheetName val="NY UPLOAD shadow"/>
      <sheetName val="#REF"/>
      <sheetName val="M_working2"/>
      <sheetName val="Variance-1Q12"/>
      <sheetName val="Credit Income"/>
      <sheetName val="Variance-4Q11"/>
      <sheetName val="Variance-3Q11"/>
      <sheetName val="3Q EPS Cheat Sheet"/>
      <sheetName val="Shr Repo"/>
    </sheetNames>
    <sheetDataSet>
      <sheetData sheetId="0"/>
      <sheetData sheetId="1"/>
      <sheetData sheetId="2">
        <row r="3">
          <cell r="AM3" t="str">
            <v>Quarterly Balance Sheet: Base Case - 5/2/13</v>
          </cell>
        </row>
      </sheetData>
      <sheetData sheetId="3">
        <row r="2">
          <cell r="A2" t="str">
            <v>Macy's Inc.</v>
          </cell>
        </row>
      </sheetData>
      <sheetData sheetId="4">
        <row r="1">
          <cell r="EX1" t="str">
            <v>Q1-07</v>
          </cell>
          <cell r="EY1" t="str">
            <v>Q2-07</v>
          </cell>
          <cell r="EZ1" t="str">
            <v>Q3-07</v>
          </cell>
          <cell r="FA1" t="str">
            <v>Q4-07</v>
          </cell>
          <cell r="FD1" t="str">
            <v>Q1-08</v>
          </cell>
          <cell r="FE1" t="str">
            <v>Q2-08</v>
          </cell>
          <cell r="FF1" t="str">
            <v>Q3-08</v>
          </cell>
          <cell r="FG1" t="str">
            <v>Q4-08</v>
          </cell>
          <cell r="FJ1" t="str">
            <v>Q1-09</v>
          </cell>
          <cell r="FK1" t="str">
            <v>Q2-09</v>
          </cell>
          <cell r="FL1" t="str">
            <v>Q3-09</v>
          </cell>
          <cell r="FM1" t="str">
            <v>Q4-09</v>
          </cell>
          <cell r="FP1" t="str">
            <v>Q1-10</v>
          </cell>
          <cell r="FQ1" t="str">
            <v>Q2-10</v>
          </cell>
          <cell r="FR1" t="str">
            <v>Q3-10</v>
          </cell>
          <cell r="FS1" t="str">
            <v>Q4-10</v>
          </cell>
          <cell r="FV1" t="str">
            <v>Q1-11</v>
          </cell>
          <cell r="FW1" t="str">
            <v>Q2-11</v>
          </cell>
          <cell r="FX1" t="str">
            <v>Q3-11</v>
          </cell>
          <cell r="FY1" t="str">
            <v>Q4-11</v>
          </cell>
          <cell r="GB1" t="str">
            <v>Q1-12</v>
          </cell>
          <cell r="GC1" t="str">
            <v>Q2-12</v>
          </cell>
          <cell r="GD1" t="str">
            <v>Q3-12</v>
          </cell>
          <cell r="GE1" t="str">
            <v>Q4-12</v>
          </cell>
          <cell r="GS1" t="str">
            <v>ElementName</v>
          </cell>
          <cell r="GT1" t="str">
            <v>ScaleOverride</v>
          </cell>
          <cell r="GU1" t="str">
            <v>UnitOverride</v>
          </cell>
          <cell r="GV1" t="str">
            <v>ReverseSign</v>
          </cell>
          <cell r="GW1" t="str">
            <v>IsDrivinFYssumption</v>
          </cell>
          <cell r="GX1" t="str">
            <v>SegmentID</v>
          </cell>
        </row>
        <row r="2">
          <cell r="A2" t="str">
            <v>Macy's Inc.</v>
          </cell>
          <cell r="F2" t="str">
            <v>Federated (Post-Bankruptcy)</v>
          </cell>
          <cell r="K2" t="str">
            <v>Combined Federated + Macy's;  Adjusted for Broadway</v>
          </cell>
          <cell r="R2" t="str">
            <v>Ex-Fingerhut</v>
          </cell>
          <cell r="X2" t="str">
            <v>Proforma -- May Department Stores</v>
          </cell>
          <cell r="AN2" t="str">
            <v>Macy's Inc.</v>
          </cell>
          <cell r="AO2" t="str">
            <v>Not Adjusted For Consistency</v>
          </cell>
          <cell r="DH2" t="str">
            <v>Adjusted -- Fingerhut Disposition</v>
          </cell>
          <cell r="EN2" t="str">
            <v>Proforma -- May Department Stores</v>
          </cell>
        </row>
        <row r="3">
          <cell r="A3" t="str">
            <v>Annual Income Statement: Base Case - 5/2/13</v>
          </cell>
          <cell r="E3" t="str">
            <v>RPT'D</v>
          </cell>
          <cell r="F3" t="str">
            <v>PFMA</v>
          </cell>
          <cell r="J3" t="str">
            <v>91P-94E</v>
          </cell>
          <cell r="K3" t="str">
            <v>PFMA</v>
          </cell>
          <cell r="L3" t="str">
            <v>FD+MCO</v>
          </cell>
          <cell r="AN3" t="str">
            <v>Quarterly Income Statement: Base Case - 5/2/13</v>
          </cell>
          <cell r="BY3" t="str">
            <v>1995A</v>
          </cell>
          <cell r="CJ3">
            <v>1996</v>
          </cell>
          <cell r="CR3">
            <v>1997</v>
          </cell>
          <cell r="CX3">
            <v>1998</v>
          </cell>
          <cell r="DD3">
            <v>1999</v>
          </cell>
          <cell r="DJ3">
            <v>2000</v>
          </cell>
          <cell r="DP3">
            <v>2001</v>
          </cell>
          <cell r="DV3">
            <v>2002</v>
          </cell>
          <cell r="EB3">
            <v>2003</v>
          </cell>
          <cell r="EH3">
            <v>2004</v>
          </cell>
          <cell r="EN3">
            <v>2005</v>
          </cell>
          <cell r="ET3">
            <v>2006</v>
          </cell>
          <cell r="EX3">
            <v>39447</v>
          </cell>
          <cell r="FD3">
            <v>39813</v>
          </cell>
          <cell r="FJ3">
            <v>40178</v>
          </cell>
          <cell r="FP3">
            <v>40543</v>
          </cell>
          <cell r="FV3">
            <v>40908</v>
          </cell>
          <cell r="FZ3" t="str">
            <v xml:space="preserve"> </v>
          </cell>
          <cell r="GB3">
            <v>41274</v>
          </cell>
          <cell r="GF3" t="str">
            <v xml:space="preserve"> </v>
          </cell>
        </row>
        <row r="4">
          <cell r="A4" t="str">
            <v>($ Millions)</v>
          </cell>
          <cell r="C4">
            <v>32873</v>
          </cell>
          <cell r="D4">
            <v>1990</v>
          </cell>
          <cell r="E4">
            <v>1991</v>
          </cell>
          <cell r="F4">
            <v>1991</v>
          </cell>
          <cell r="G4" t="str">
            <v>1992</v>
          </cell>
          <cell r="H4">
            <v>1993</v>
          </cell>
          <cell r="I4">
            <v>1994</v>
          </cell>
          <cell r="J4" t="str">
            <v>CAGR</v>
          </cell>
          <cell r="K4" t="str">
            <v>1994P</v>
          </cell>
          <cell r="L4">
            <v>1995</v>
          </cell>
          <cell r="N4">
            <v>1995</v>
          </cell>
          <cell r="O4">
            <v>1996</v>
          </cell>
          <cell r="P4">
            <v>1997</v>
          </cell>
          <cell r="Q4">
            <v>1998</v>
          </cell>
          <cell r="R4">
            <v>1999</v>
          </cell>
          <cell r="S4">
            <v>2000</v>
          </cell>
          <cell r="T4">
            <v>2001</v>
          </cell>
          <cell r="U4">
            <v>2002</v>
          </cell>
          <cell r="V4">
            <v>2003</v>
          </cell>
          <cell r="W4">
            <v>2004</v>
          </cell>
          <cell r="X4">
            <v>2005</v>
          </cell>
          <cell r="Y4">
            <v>2006</v>
          </cell>
          <cell r="Z4">
            <v>2007</v>
          </cell>
          <cell r="AA4">
            <v>2008</v>
          </cell>
          <cell r="AB4">
            <v>2009</v>
          </cell>
          <cell r="AC4">
            <v>2010</v>
          </cell>
          <cell r="AD4">
            <v>2011</v>
          </cell>
          <cell r="AE4" t="str">
            <v>2012E</v>
          </cell>
          <cell r="AF4" t="str">
            <v>2013E</v>
          </cell>
          <cell r="AG4" t="str">
            <v>2014E</v>
          </cell>
          <cell r="AH4" t="str">
            <v>2015E</v>
          </cell>
          <cell r="AI4" t="str">
            <v>2016E</v>
          </cell>
          <cell r="AJ4" t="str">
            <v>2017E</v>
          </cell>
          <cell r="AK4" t="str">
            <v>2018E</v>
          </cell>
          <cell r="AL4" t="str">
            <v>2019E</v>
          </cell>
          <cell r="AN4" t="str">
            <v>($ Millions)</v>
          </cell>
          <cell r="AO4" t="str">
            <v>Q1</v>
          </cell>
          <cell r="AP4" t="str">
            <v>Q2</v>
          </cell>
          <cell r="AQ4" t="str">
            <v>Q3</v>
          </cell>
          <cell r="AR4" t="str">
            <v>Q4</v>
          </cell>
          <cell r="AS4" t="str">
            <v>Year</v>
          </cell>
          <cell r="AU4" t="str">
            <v>Q1</v>
          </cell>
          <cell r="AV4" t="str">
            <v>Q2</v>
          </cell>
          <cell r="AW4" t="str">
            <v>Q3</v>
          </cell>
          <cell r="AX4" t="str">
            <v>Q4</v>
          </cell>
          <cell r="AY4" t="str">
            <v>Year</v>
          </cell>
          <cell r="BA4" t="str">
            <v>Q1</v>
          </cell>
          <cell r="BB4" t="str">
            <v>Q2</v>
          </cell>
          <cell r="BC4" t="str">
            <v>Q3</v>
          </cell>
          <cell r="BD4" t="str">
            <v>Q4</v>
          </cell>
          <cell r="BE4" t="str">
            <v>Year</v>
          </cell>
          <cell r="BG4" t="str">
            <v>Q1</v>
          </cell>
          <cell r="BH4" t="str">
            <v>Q2</v>
          </cell>
          <cell r="BI4" t="str">
            <v>Q3</v>
          </cell>
          <cell r="BJ4" t="str">
            <v>Q4</v>
          </cell>
          <cell r="BK4" t="str">
            <v>Year</v>
          </cell>
          <cell r="BM4" t="str">
            <v>Q1</v>
          </cell>
          <cell r="BN4" t="str">
            <v>Q2</v>
          </cell>
          <cell r="BO4" t="str">
            <v>Q3</v>
          </cell>
          <cell r="BP4" t="str">
            <v>Q4</v>
          </cell>
          <cell r="BQ4" t="str">
            <v>Year</v>
          </cell>
          <cell r="BS4" t="str">
            <v>Q1P</v>
          </cell>
          <cell r="BT4" t="str">
            <v>Q2P</v>
          </cell>
          <cell r="BU4" t="str">
            <v>Q3P</v>
          </cell>
          <cell r="BV4" t="str">
            <v>Q4P</v>
          </cell>
          <cell r="BW4" t="str">
            <v>Year P</v>
          </cell>
          <cell r="BY4" t="str">
            <v>Q1</v>
          </cell>
          <cell r="BZ4" t="str">
            <v>Q2</v>
          </cell>
          <cell r="CA4" t="str">
            <v>Q3</v>
          </cell>
          <cell r="CB4" t="str">
            <v>Q3</v>
          </cell>
          <cell r="CC4" t="str">
            <v>Q3</v>
          </cell>
          <cell r="CD4" t="str">
            <v>Q4</v>
          </cell>
          <cell r="CE4" t="str">
            <v>Q4</v>
          </cell>
          <cell r="CF4" t="str">
            <v>Year</v>
          </cell>
          <cell r="CG4" t="str">
            <v>Year</v>
          </cell>
          <cell r="CH4" t="str">
            <v>Year</v>
          </cell>
          <cell r="CJ4" t="str">
            <v>Q1</v>
          </cell>
          <cell r="CK4" t="str">
            <v>Q2</v>
          </cell>
          <cell r="CL4" t="str">
            <v>Q3</v>
          </cell>
          <cell r="CM4" t="str">
            <v>Q4</v>
          </cell>
          <cell r="CN4" t="str">
            <v>Year</v>
          </cell>
          <cell r="CP4" t="str">
            <v>Q1</v>
          </cell>
          <cell r="CQ4" t="str">
            <v>Q2</v>
          </cell>
          <cell r="CR4" t="str">
            <v>Q3</v>
          </cell>
          <cell r="CS4" t="str">
            <v>Q4</v>
          </cell>
          <cell r="CT4" t="str">
            <v>Year</v>
          </cell>
          <cell r="CV4" t="str">
            <v>Q1</v>
          </cell>
          <cell r="CW4" t="str">
            <v>Q2</v>
          </cell>
          <cell r="CX4" t="str">
            <v>Q3</v>
          </cell>
          <cell r="CY4" t="str">
            <v>Q4</v>
          </cell>
          <cell r="CZ4" t="str">
            <v>Year</v>
          </cell>
          <cell r="DB4" t="str">
            <v>Q1</v>
          </cell>
          <cell r="DC4" t="str">
            <v>Q2</v>
          </cell>
          <cell r="DD4" t="str">
            <v>Q3</v>
          </cell>
          <cell r="DE4" t="str">
            <v>Q4</v>
          </cell>
          <cell r="DF4" t="str">
            <v>Year</v>
          </cell>
          <cell r="DH4" t="str">
            <v>Q1</v>
          </cell>
          <cell r="DI4" t="str">
            <v>Q2</v>
          </cell>
          <cell r="DJ4" t="str">
            <v>Q3</v>
          </cell>
          <cell r="DK4" t="str">
            <v>Q4</v>
          </cell>
          <cell r="DL4">
            <v>2000</v>
          </cell>
          <cell r="DN4" t="str">
            <v>Q1A</v>
          </cell>
          <cell r="DO4" t="str">
            <v>Q2A</v>
          </cell>
          <cell r="DP4" t="str">
            <v>Q3A</v>
          </cell>
          <cell r="DQ4" t="str">
            <v>Q4A</v>
          </cell>
          <cell r="DR4">
            <v>2001</v>
          </cell>
          <cell r="DT4" t="str">
            <v>Q1A</v>
          </cell>
          <cell r="DU4" t="str">
            <v>Q2A</v>
          </cell>
          <cell r="DV4" t="str">
            <v>Q3A</v>
          </cell>
          <cell r="DW4" t="str">
            <v>Q4A</v>
          </cell>
          <cell r="DX4">
            <v>2002</v>
          </cell>
          <cell r="DZ4" t="str">
            <v>Q1A</v>
          </cell>
          <cell r="EA4" t="str">
            <v>Q2A</v>
          </cell>
          <cell r="EB4" t="str">
            <v>Q3A</v>
          </cell>
          <cell r="EC4" t="str">
            <v>Q4A</v>
          </cell>
          <cell r="ED4">
            <v>2003</v>
          </cell>
          <cell r="EF4" t="str">
            <v>Q1A</v>
          </cell>
          <cell r="EG4" t="str">
            <v>Q2A</v>
          </cell>
          <cell r="EH4" t="str">
            <v>Q3A</v>
          </cell>
          <cell r="EI4" t="str">
            <v>Q4A</v>
          </cell>
          <cell r="EJ4">
            <v>2004</v>
          </cell>
          <cell r="EL4" t="str">
            <v>Q1A</v>
          </cell>
          <cell r="EM4" t="str">
            <v>Q2A</v>
          </cell>
          <cell r="EN4" t="str">
            <v>Q3A</v>
          </cell>
          <cell r="EO4" t="str">
            <v>Q4A</v>
          </cell>
          <cell r="EP4">
            <v>2005</v>
          </cell>
          <cell r="ER4" t="str">
            <v>Q1A</v>
          </cell>
          <cell r="ES4" t="str">
            <v>Q2A</v>
          </cell>
          <cell r="ET4" t="str">
            <v>Q3A</v>
          </cell>
          <cell r="EU4" t="str">
            <v>Q4A</v>
          </cell>
          <cell r="EV4">
            <v>2006</v>
          </cell>
          <cell r="EX4">
            <v>1</v>
          </cell>
          <cell r="EY4">
            <v>2</v>
          </cell>
          <cell r="EZ4">
            <v>3</v>
          </cell>
          <cell r="FA4">
            <v>4</v>
          </cell>
          <cell r="FB4" t="str">
            <v>Year</v>
          </cell>
          <cell r="FD4">
            <v>1</v>
          </cell>
          <cell r="FE4">
            <v>2</v>
          </cell>
          <cell r="FF4">
            <v>3</v>
          </cell>
          <cell r="FG4">
            <v>4</v>
          </cell>
          <cell r="FH4" t="str">
            <v>Year</v>
          </cell>
          <cell r="FJ4">
            <v>1</v>
          </cell>
          <cell r="FK4">
            <v>2</v>
          </cell>
          <cell r="FL4">
            <v>3</v>
          </cell>
          <cell r="FM4">
            <v>4</v>
          </cell>
          <cell r="FN4" t="str">
            <v>Year</v>
          </cell>
          <cell r="FP4">
            <v>1</v>
          </cell>
          <cell r="FQ4">
            <v>2</v>
          </cell>
          <cell r="FR4">
            <v>3</v>
          </cell>
          <cell r="FS4">
            <v>4</v>
          </cell>
          <cell r="FT4" t="str">
            <v>Year</v>
          </cell>
          <cell r="FV4">
            <v>1</v>
          </cell>
          <cell r="FW4">
            <v>2</v>
          </cell>
          <cell r="FX4">
            <v>3</v>
          </cell>
          <cell r="FY4">
            <v>4</v>
          </cell>
          <cell r="FZ4" t="str">
            <v>Year</v>
          </cell>
          <cell r="GB4">
            <v>1</v>
          </cell>
          <cell r="GC4">
            <v>2</v>
          </cell>
          <cell r="GD4">
            <v>3</v>
          </cell>
          <cell r="GE4">
            <v>4</v>
          </cell>
          <cell r="GF4" t="str">
            <v>Year</v>
          </cell>
        </row>
        <row r="5">
          <cell r="A5" t="str">
            <v>R=Restated  O=Originally Reported</v>
          </cell>
          <cell r="N5" t="str">
            <v>R-1999</v>
          </cell>
          <cell r="O5" t="str">
            <v>R-2000</v>
          </cell>
          <cell r="P5" t="str">
            <v>R-2001</v>
          </cell>
          <cell r="Q5" t="str">
            <v>R-2001</v>
          </cell>
          <cell r="R5" t="str">
            <v>R-2001</v>
          </cell>
          <cell r="S5" t="str">
            <v>R-2001</v>
          </cell>
          <cell r="T5" t="str">
            <v>R-2005</v>
          </cell>
          <cell r="U5" t="str">
            <v>R-2005</v>
          </cell>
          <cell r="V5" t="str">
            <v>R-2005</v>
          </cell>
          <cell r="W5" t="str">
            <v>R-2005</v>
          </cell>
          <cell r="X5" t="str">
            <v>O-2005</v>
          </cell>
          <cell r="Y5" t="str">
            <v>O-Q406</v>
          </cell>
          <cell r="Z5" t="str">
            <v>O-Q407</v>
          </cell>
          <cell r="DH5" t="str">
            <v>R-2001</v>
          </cell>
          <cell r="DI5" t="str">
            <v>R-2001</v>
          </cell>
          <cell r="DJ5" t="str">
            <v>R-2001</v>
          </cell>
          <cell r="DK5" t="str">
            <v>R-Q401</v>
          </cell>
          <cell r="DL5" t="str">
            <v>R-2001</v>
          </cell>
          <cell r="DN5" t="str">
            <v>R-Q102</v>
          </cell>
          <cell r="DO5" t="str">
            <v>R-Q202</v>
          </cell>
          <cell r="DP5" t="str">
            <v>R-Q302</v>
          </cell>
          <cell r="DQ5" t="str">
            <v>O-Q402</v>
          </cell>
          <cell r="DR5" t="str">
            <v>R-2005</v>
          </cell>
          <cell r="DT5" t="str">
            <v>O-Q102</v>
          </cell>
          <cell r="DU5" t="str">
            <v>O-Q202</v>
          </cell>
          <cell r="DV5" t="str">
            <v>O-Q302</v>
          </cell>
          <cell r="DW5" t="str">
            <v>O-Q402</v>
          </cell>
          <cell r="DX5" t="str">
            <v>R-2005</v>
          </cell>
          <cell r="DZ5" t="str">
            <v>O-Q103</v>
          </cell>
          <cell r="EA5" t="str">
            <v>O-Q203</v>
          </cell>
          <cell r="EB5" t="str">
            <v>O-Q303</v>
          </cell>
          <cell r="EC5" t="str">
            <v>O-Q403</v>
          </cell>
          <cell r="ED5" t="str">
            <v>R-2005</v>
          </cell>
          <cell r="EF5" t="str">
            <v>R-Q105</v>
          </cell>
          <cell r="EG5" t="str">
            <v>R-Q205</v>
          </cell>
          <cell r="EH5" t="str">
            <v>R-Q305</v>
          </cell>
          <cell r="EI5" t="str">
            <v>R-Q405</v>
          </cell>
          <cell r="EJ5" t="str">
            <v>R-2005</v>
          </cell>
          <cell r="EL5" t="str">
            <v>O-Q105</v>
          </cell>
          <cell r="EM5" t="str">
            <v>O-Q205</v>
          </cell>
          <cell r="EN5" t="str">
            <v>R-2005</v>
          </cell>
          <cell r="EO5" t="str">
            <v>O-Q405</v>
          </cell>
          <cell r="EP5" t="str">
            <v>O-2005</v>
          </cell>
          <cell r="ER5" t="str">
            <v>O-Q106</v>
          </cell>
          <cell r="ES5" t="str">
            <v>O-Q206</v>
          </cell>
          <cell r="ET5" t="str">
            <v>O-Q306</v>
          </cell>
          <cell r="EU5" t="str">
            <v>O-Q406</v>
          </cell>
          <cell r="EV5" t="str">
            <v>O-Q406</v>
          </cell>
          <cell r="FB5" t="str">
            <v>O-Q407</v>
          </cell>
          <cell r="GE5" t="str">
            <v>53rd Week</v>
          </cell>
        </row>
        <row r="7">
          <cell r="A7" t="str">
            <v>Retail Revenues</v>
          </cell>
          <cell r="C7">
            <v>7577.5860000000002</v>
          </cell>
          <cell r="D7">
            <v>7141.9830000000002</v>
          </cell>
          <cell r="E7">
            <v>6932.3230000000003</v>
          </cell>
          <cell r="F7">
            <v>6932.3230000000003</v>
          </cell>
          <cell r="G7">
            <v>7079.9410000000007</v>
          </cell>
          <cell r="H7">
            <v>7229.4059999999999</v>
          </cell>
          <cell r="I7">
            <v>7707.476999999999</v>
          </cell>
          <cell r="J7">
            <v>3.5963567590107104E-2</v>
          </cell>
          <cell r="K7">
            <v>13701.5</v>
          </cell>
          <cell r="L7">
            <v>13998.034</v>
          </cell>
          <cell r="N7">
            <v>14614</v>
          </cell>
          <cell r="O7">
            <v>14833</v>
          </cell>
          <cell r="P7">
            <v>15220</v>
          </cell>
          <cell r="Q7">
            <v>15365</v>
          </cell>
          <cell r="R7">
            <v>16029</v>
          </cell>
          <cell r="S7">
            <v>16638</v>
          </cell>
          <cell r="T7">
            <v>15785</v>
          </cell>
          <cell r="U7">
            <v>15571</v>
          </cell>
          <cell r="V7">
            <v>15412</v>
          </cell>
          <cell r="W7">
            <v>15776</v>
          </cell>
          <cell r="X7">
            <v>22390</v>
          </cell>
          <cell r="Y7">
            <v>26970</v>
          </cell>
          <cell r="Z7">
            <v>26313</v>
          </cell>
          <cell r="AA7">
            <v>24892</v>
          </cell>
          <cell r="AB7">
            <v>23895</v>
          </cell>
          <cell r="AC7">
            <v>25003</v>
          </cell>
          <cell r="AD7">
            <v>26405</v>
          </cell>
          <cell r="AE7">
            <v>27697.820605365057</v>
          </cell>
          <cell r="AF7">
            <v>28358.892641397051</v>
          </cell>
          <cell r="AG7">
            <v>28905.408744504351</v>
          </cell>
          <cell r="AH7">
            <v>29204.897015558319</v>
          </cell>
          <cell r="AI7">
            <v>29496.945985713905</v>
          </cell>
          <cell r="AJ7">
            <v>29791.915445571045</v>
          </cell>
          <cell r="AK7">
            <v>30089.834600026756</v>
          </cell>
          <cell r="AL7">
            <v>30390.732946027023</v>
          </cell>
          <cell r="AN7" t="str">
            <v>Retail Revenues</v>
          </cell>
          <cell r="AO7">
            <v>1590.46</v>
          </cell>
          <cell r="AP7">
            <v>1525.692</v>
          </cell>
          <cell r="AQ7">
            <v>1767.327</v>
          </cell>
          <cell r="AR7">
            <v>2258.5039999999999</v>
          </cell>
          <cell r="AS7">
            <v>7141.9830000000002</v>
          </cell>
          <cell r="AU7">
            <v>1593.4190000000001</v>
          </cell>
          <cell r="AV7">
            <v>1495.7429999999999</v>
          </cell>
          <cell r="AW7">
            <v>1708.9010000000001</v>
          </cell>
          <cell r="AX7">
            <v>2134.2600000000002</v>
          </cell>
          <cell r="AY7">
            <v>6932.3230000000003</v>
          </cell>
          <cell r="BA7">
            <v>1571.7260000000001</v>
          </cell>
          <cell r="BB7">
            <v>1457.212</v>
          </cell>
          <cell r="BC7">
            <v>1788.9649999999999</v>
          </cell>
          <cell r="BD7">
            <v>2262.038</v>
          </cell>
          <cell r="BE7">
            <v>7079.9410000000007</v>
          </cell>
          <cell r="BG7">
            <v>1590.259</v>
          </cell>
          <cell r="BH7">
            <v>1502.288</v>
          </cell>
          <cell r="BI7">
            <v>1789.3150000000001</v>
          </cell>
          <cell r="BJ7">
            <v>2347.5439999999999</v>
          </cell>
          <cell r="BK7">
            <v>7229.4059999999999</v>
          </cell>
          <cell r="BM7">
            <v>1653.6310000000001</v>
          </cell>
          <cell r="BN7">
            <v>1596.1</v>
          </cell>
          <cell r="BO7">
            <v>1926.8109999999999</v>
          </cell>
          <cell r="BP7">
            <v>2530.9349999999999</v>
          </cell>
          <cell r="BQ7">
            <v>7707.476999999999</v>
          </cell>
          <cell r="BS7">
            <v>2938</v>
          </cell>
          <cell r="BT7">
            <v>2930.8</v>
          </cell>
          <cell r="BU7">
            <v>3352.6</v>
          </cell>
          <cell r="BV7">
            <v>4480.1000000000004</v>
          </cell>
          <cell r="BW7">
            <v>13701.5</v>
          </cell>
          <cell r="BY7">
            <v>2988.0059999999999</v>
          </cell>
          <cell r="BZ7">
            <v>3047</v>
          </cell>
          <cell r="CA7">
            <v>3333.5279999999998</v>
          </cell>
          <cell r="CB7">
            <v>414.8</v>
          </cell>
          <cell r="CC7">
            <v>3748.3690000000001</v>
          </cell>
          <cell r="CD7">
            <v>4629.5</v>
          </cell>
          <cell r="CE7">
            <v>5264.9</v>
          </cell>
          <cell r="CF7">
            <v>13998.034</v>
          </cell>
          <cell r="CG7">
            <v>14633.433999999999</v>
          </cell>
          <cell r="CH7">
            <v>15048.233999999999</v>
          </cell>
          <cell r="CJ7">
            <v>3300.7</v>
          </cell>
          <cell r="CK7">
            <v>3284.2280000000001</v>
          </cell>
          <cell r="CL7">
            <v>3609.1480000000001</v>
          </cell>
          <cell r="CM7">
            <v>5034.9579999999996</v>
          </cell>
          <cell r="CN7">
            <v>15229.034</v>
          </cell>
          <cell r="CP7">
            <v>3409.0909999999999</v>
          </cell>
          <cell r="CQ7">
            <v>3452.8290000000002</v>
          </cell>
          <cell r="CR7">
            <v>3746.2759999999998</v>
          </cell>
          <cell r="CS7">
            <v>5060.116</v>
          </cell>
          <cell r="CT7">
            <v>15668.312</v>
          </cell>
          <cell r="CV7">
            <v>3357</v>
          </cell>
          <cell r="CW7">
            <v>3426</v>
          </cell>
          <cell r="CX7">
            <v>3548</v>
          </cell>
          <cell r="CY7">
            <v>5034</v>
          </cell>
          <cell r="CZ7">
            <v>15365</v>
          </cell>
          <cell r="DB7">
            <v>3470</v>
          </cell>
          <cell r="DC7">
            <v>3609</v>
          </cell>
          <cell r="DD7">
            <v>3691</v>
          </cell>
          <cell r="DE7">
            <v>5259</v>
          </cell>
          <cell r="DF7">
            <v>16029</v>
          </cell>
          <cell r="DH7">
            <v>3573</v>
          </cell>
          <cell r="DI7">
            <v>3679</v>
          </cell>
          <cell r="DJ7">
            <v>3782</v>
          </cell>
          <cell r="DK7">
            <v>5604</v>
          </cell>
          <cell r="DL7">
            <v>16638</v>
          </cell>
          <cell r="DN7">
            <v>3556</v>
          </cell>
          <cell r="DO7">
            <v>3488</v>
          </cell>
          <cell r="DP7">
            <v>3475</v>
          </cell>
          <cell r="DQ7">
            <v>5132</v>
          </cell>
          <cell r="DR7">
            <v>15785</v>
          </cell>
          <cell r="DT7">
            <v>3453</v>
          </cell>
          <cell r="DU7">
            <v>3486</v>
          </cell>
          <cell r="DV7">
            <v>3479</v>
          </cell>
          <cell r="DW7">
            <v>5017</v>
          </cell>
          <cell r="DX7">
            <v>15571</v>
          </cell>
          <cell r="DZ7">
            <v>3291</v>
          </cell>
          <cell r="EA7">
            <v>3434</v>
          </cell>
          <cell r="EB7">
            <v>3486</v>
          </cell>
          <cell r="EC7">
            <v>5053</v>
          </cell>
          <cell r="ED7">
            <v>15412</v>
          </cell>
          <cell r="EF7">
            <v>3550</v>
          </cell>
          <cell r="EG7">
            <v>3581</v>
          </cell>
          <cell r="EH7">
            <v>3525</v>
          </cell>
          <cell r="EI7">
            <v>5120</v>
          </cell>
          <cell r="EJ7">
            <v>15776</v>
          </cell>
          <cell r="EL7">
            <v>3641</v>
          </cell>
          <cell r="EM7">
            <v>3623</v>
          </cell>
          <cell r="EN7">
            <v>5555</v>
          </cell>
          <cell r="EO7">
            <v>9571</v>
          </cell>
          <cell r="EP7">
            <v>22390</v>
          </cell>
          <cell r="ER7">
            <v>5930</v>
          </cell>
          <cell r="ES7">
            <v>5995</v>
          </cell>
          <cell r="ET7">
            <v>5886</v>
          </cell>
          <cell r="EU7">
            <v>9159</v>
          </cell>
          <cell r="EV7">
            <v>26970</v>
          </cell>
          <cell r="EX7">
            <v>5921</v>
          </cell>
          <cell r="EY7">
            <v>5892</v>
          </cell>
          <cell r="EZ7">
            <v>5906</v>
          </cell>
          <cell r="FA7">
            <v>8594</v>
          </cell>
          <cell r="FB7">
            <v>26313</v>
          </cell>
          <cell r="FD7">
            <v>5747</v>
          </cell>
          <cell r="FE7">
            <v>5718</v>
          </cell>
          <cell r="FF7">
            <v>5493</v>
          </cell>
          <cell r="FG7">
            <v>7934</v>
          </cell>
          <cell r="FH7">
            <v>24892</v>
          </cell>
          <cell r="FJ7">
            <v>5288</v>
          </cell>
          <cell r="FK7">
            <v>5285</v>
          </cell>
          <cell r="FL7">
            <v>5385</v>
          </cell>
          <cell r="FM7">
            <v>7937</v>
          </cell>
          <cell r="FN7">
            <v>23895</v>
          </cell>
          <cell r="FP7">
            <v>5574</v>
          </cell>
          <cell r="FQ7">
            <v>5537</v>
          </cell>
          <cell r="FR7">
            <v>5623</v>
          </cell>
          <cell r="FS7">
            <v>8269</v>
          </cell>
          <cell r="FT7">
            <v>25003</v>
          </cell>
          <cell r="FV7">
            <v>5889</v>
          </cell>
          <cell r="FW7">
            <v>5939</v>
          </cell>
          <cell r="FX7">
            <v>5853</v>
          </cell>
          <cell r="FY7">
            <v>8724</v>
          </cell>
          <cell r="FZ7">
            <v>26405</v>
          </cell>
          <cell r="GB7">
            <v>6143</v>
          </cell>
          <cell r="GC7">
            <v>6118</v>
          </cell>
          <cell r="GD7">
            <v>6069.6866469352608</v>
          </cell>
          <cell r="GE7">
            <v>9367.1339584297966</v>
          </cell>
          <cell r="GF7">
            <v>27697.820605365057</v>
          </cell>
        </row>
        <row r="8">
          <cell r="A8" t="str">
            <v>Direct-to-consumer</v>
          </cell>
          <cell r="AN8" t="str">
            <v>Direct-to-consumer</v>
          </cell>
          <cell r="CP8" t="str">
            <v>--</v>
          </cell>
          <cell r="CQ8" t="str">
            <v>--</v>
          </cell>
          <cell r="CR8" t="str">
            <v>--</v>
          </cell>
          <cell r="CS8" t="str">
            <v>--</v>
          </cell>
          <cell r="CT8" t="str">
            <v>--</v>
          </cell>
          <cell r="DB8">
            <v>130</v>
          </cell>
          <cell r="DC8">
            <v>397</v>
          </cell>
          <cell r="DD8">
            <v>446</v>
          </cell>
          <cell r="DE8">
            <v>714</v>
          </cell>
          <cell r="DF8">
            <v>1687</v>
          </cell>
        </row>
        <row r="9">
          <cell r="A9" t="str">
            <v>Total Revenues</v>
          </cell>
          <cell r="K9">
            <v>13701.5</v>
          </cell>
          <cell r="L9">
            <v>13998.034</v>
          </cell>
          <cell r="N9">
            <v>14614</v>
          </cell>
          <cell r="O9">
            <v>14833</v>
          </cell>
          <cell r="P9">
            <v>15220</v>
          </cell>
          <cell r="Q9">
            <v>15365</v>
          </cell>
          <cell r="R9">
            <v>16029</v>
          </cell>
          <cell r="S9">
            <v>16638</v>
          </cell>
          <cell r="T9">
            <v>15785</v>
          </cell>
          <cell r="U9">
            <v>15571</v>
          </cell>
          <cell r="V9">
            <v>15412</v>
          </cell>
          <cell r="W9">
            <v>15776</v>
          </cell>
          <cell r="X9">
            <v>22390</v>
          </cell>
          <cell r="Y9">
            <v>26970</v>
          </cell>
          <cell r="Z9">
            <v>26313</v>
          </cell>
          <cell r="AA9">
            <v>24892</v>
          </cell>
          <cell r="AB9">
            <v>23895</v>
          </cell>
          <cell r="AC9">
            <v>25003</v>
          </cell>
          <cell r="AD9">
            <v>26405</v>
          </cell>
          <cell r="AE9">
            <v>27697.820605365057</v>
          </cell>
          <cell r="AF9">
            <v>28358.892641397051</v>
          </cell>
          <cell r="AG9">
            <v>28905.408744504351</v>
          </cell>
          <cell r="AH9">
            <v>29204.897015558319</v>
          </cell>
          <cell r="AI9">
            <v>29496.945985713905</v>
          </cell>
          <cell r="AJ9">
            <v>29791.915445571045</v>
          </cell>
          <cell r="AK9">
            <v>30089.834600026756</v>
          </cell>
          <cell r="AL9">
            <v>30390.732946027023</v>
          </cell>
          <cell r="AN9" t="str">
            <v>Total Revenues</v>
          </cell>
          <cell r="AO9">
            <v>1590.46</v>
          </cell>
          <cell r="AP9">
            <v>1525.692</v>
          </cell>
          <cell r="AQ9">
            <v>1767.327</v>
          </cell>
          <cell r="AR9">
            <v>2258.5039999999999</v>
          </cell>
          <cell r="AS9">
            <v>7141.9830000000002</v>
          </cell>
          <cell r="AU9">
            <v>1593.4190000000001</v>
          </cell>
          <cell r="AV9">
            <v>1495.7429999999999</v>
          </cell>
          <cell r="AW9">
            <v>1708.9010000000001</v>
          </cell>
          <cell r="AX9">
            <v>2134.2600000000002</v>
          </cell>
          <cell r="AY9">
            <v>6932.3230000000003</v>
          </cell>
          <cell r="BA9">
            <v>1571.7260000000001</v>
          </cell>
          <cell r="BB9">
            <v>1457.212</v>
          </cell>
          <cell r="BC9">
            <v>1788.9649999999999</v>
          </cell>
          <cell r="BD9">
            <v>2262.038</v>
          </cell>
          <cell r="BE9">
            <v>7079.9410000000007</v>
          </cell>
          <cell r="BG9">
            <v>1590.259</v>
          </cell>
          <cell r="BH9">
            <v>1502.288</v>
          </cell>
          <cell r="BI9">
            <v>1789.3150000000001</v>
          </cell>
          <cell r="BJ9">
            <v>2347.5439999999999</v>
          </cell>
          <cell r="BK9">
            <v>7229.4059999999999</v>
          </cell>
          <cell r="BM9">
            <v>1653.6310000000001</v>
          </cell>
          <cell r="BN9">
            <v>1596.1</v>
          </cell>
          <cell r="BO9">
            <v>1926.8109999999999</v>
          </cell>
          <cell r="BP9">
            <v>2530.9349999999999</v>
          </cell>
          <cell r="BQ9">
            <v>7707.476999999999</v>
          </cell>
          <cell r="BS9">
            <v>2938</v>
          </cell>
          <cell r="BT9">
            <v>2930.8</v>
          </cell>
          <cell r="BU9">
            <v>3352.6</v>
          </cell>
          <cell r="BV9">
            <v>4480.1000000000004</v>
          </cell>
          <cell r="BW9">
            <v>13701.5</v>
          </cell>
          <cell r="BY9">
            <v>2988.0059999999999</v>
          </cell>
          <cell r="BZ9">
            <v>3047</v>
          </cell>
          <cell r="CA9">
            <v>3333.5279999999998</v>
          </cell>
          <cell r="CB9">
            <v>414.8</v>
          </cell>
          <cell r="CC9">
            <v>3748.3690000000001</v>
          </cell>
          <cell r="CD9">
            <v>4629.5</v>
          </cell>
          <cell r="CE9">
            <v>5264.9</v>
          </cell>
          <cell r="CF9">
            <v>13998.034</v>
          </cell>
          <cell r="CG9">
            <v>14633.433999999999</v>
          </cell>
          <cell r="CH9">
            <v>15048.233999999999</v>
          </cell>
          <cell r="CJ9">
            <v>3300.7</v>
          </cell>
          <cell r="CK9">
            <v>3284.2280000000001</v>
          </cell>
          <cell r="CL9">
            <v>3609.1480000000001</v>
          </cell>
          <cell r="CM9">
            <v>5034.9579999999996</v>
          </cell>
          <cell r="CN9">
            <v>15229.034</v>
          </cell>
          <cell r="CP9">
            <v>3409.0909999999999</v>
          </cell>
          <cell r="CQ9">
            <v>3452.8290000000002</v>
          </cell>
          <cell r="CR9">
            <v>3746.2759999999998</v>
          </cell>
          <cell r="CS9">
            <v>5060.116</v>
          </cell>
          <cell r="CT9">
            <v>15668.312</v>
          </cell>
          <cell r="CV9">
            <v>3357</v>
          </cell>
          <cell r="CW9">
            <v>3426</v>
          </cell>
          <cell r="CX9">
            <v>3548</v>
          </cell>
          <cell r="CY9">
            <v>5034</v>
          </cell>
          <cell r="CZ9">
            <v>15365</v>
          </cell>
          <cell r="DB9">
            <v>3600</v>
          </cell>
          <cell r="DC9">
            <v>4006</v>
          </cell>
          <cell r="DD9">
            <v>4137</v>
          </cell>
          <cell r="DE9">
            <v>5973</v>
          </cell>
          <cell r="DF9">
            <v>17716</v>
          </cell>
          <cell r="DH9">
            <v>3573</v>
          </cell>
          <cell r="DI9">
            <v>3679</v>
          </cell>
          <cell r="DJ9">
            <v>3782</v>
          </cell>
          <cell r="DK9">
            <v>5604</v>
          </cell>
          <cell r="DL9">
            <v>16638</v>
          </cell>
          <cell r="DN9">
            <v>3556</v>
          </cell>
          <cell r="DO9">
            <v>3488</v>
          </cell>
          <cell r="DP9">
            <v>3475</v>
          </cell>
          <cell r="DQ9">
            <v>5132</v>
          </cell>
          <cell r="DR9">
            <v>15785</v>
          </cell>
          <cell r="DT9">
            <v>3453</v>
          </cell>
          <cell r="DU9">
            <v>3486</v>
          </cell>
          <cell r="DV9">
            <v>3479</v>
          </cell>
          <cell r="DW9">
            <v>5017</v>
          </cell>
          <cell r="DX9">
            <v>15571</v>
          </cell>
          <cell r="DZ9">
            <v>3291</v>
          </cell>
          <cell r="EA9">
            <v>3434</v>
          </cell>
          <cell r="EB9">
            <v>3486</v>
          </cell>
          <cell r="EC9">
            <v>5053</v>
          </cell>
          <cell r="ED9">
            <v>15412</v>
          </cell>
          <cell r="EF9">
            <v>3550</v>
          </cell>
          <cell r="EG9">
            <v>3581</v>
          </cell>
          <cell r="EH9">
            <v>3525</v>
          </cell>
          <cell r="EI9">
            <v>5120</v>
          </cell>
          <cell r="EJ9">
            <v>15776</v>
          </cell>
          <cell r="EK9" t="str">
            <v>Total Revenues</v>
          </cell>
          <cell r="EL9">
            <v>3641</v>
          </cell>
          <cell r="EM9">
            <v>3623</v>
          </cell>
          <cell r="EN9">
            <v>5555</v>
          </cell>
          <cell r="EO9">
            <v>9571</v>
          </cell>
          <cell r="EP9">
            <v>22390</v>
          </cell>
          <cell r="ER9">
            <v>5930</v>
          </cell>
          <cell r="ES9">
            <v>5995</v>
          </cell>
          <cell r="ET9">
            <v>5886</v>
          </cell>
          <cell r="EU9">
            <v>9159</v>
          </cell>
          <cell r="EV9">
            <v>26970</v>
          </cell>
          <cell r="EX9">
            <v>5921</v>
          </cell>
          <cell r="EY9">
            <v>5892</v>
          </cell>
          <cell r="EZ9">
            <v>5906</v>
          </cell>
          <cell r="FA9">
            <v>8594</v>
          </cell>
          <cell r="FB9">
            <v>26313</v>
          </cell>
          <cell r="FD9">
            <v>5747</v>
          </cell>
          <cell r="FE9">
            <v>5718</v>
          </cell>
          <cell r="FF9">
            <v>5493</v>
          </cell>
          <cell r="FG9">
            <v>7934</v>
          </cell>
          <cell r="FH9">
            <v>24892</v>
          </cell>
          <cell r="FJ9">
            <v>5288</v>
          </cell>
          <cell r="FK9">
            <v>5285</v>
          </cell>
          <cell r="FL9">
            <v>5385</v>
          </cell>
          <cell r="FM9">
            <v>7937</v>
          </cell>
          <cell r="FN9">
            <v>23895</v>
          </cell>
          <cell r="FP9">
            <v>5574</v>
          </cell>
          <cell r="FQ9">
            <v>5537</v>
          </cell>
          <cell r="FR9">
            <v>5623</v>
          </cell>
          <cell r="FS9">
            <v>8269</v>
          </cell>
          <cell r="FT9">
            <v>25003</v>
          </cell>
          <cell r="FV9">
            <v>5889</v>
          </cell>
          <cell r="FW9">
            <v>5939</v>
          </cell>
          <cell r="FX9">
            <v>5853</v>
          </cell>
          <cell r="FY9">
            <v>8724</v>
          </cell>
          <cell r="FZ9">
            <v>26405</v>
          </cell>
          <cell r="GB9">
            <v>6143</v>
          </cell>
          <cell r="GC9">
            <v>6118</v>
          </cell>
          <cell r="GD9">
            <v>6069.6866469352608</v>
          </cell>
          <cell r="GE9">
            <v>9367.1339584297966</v>
          </cell>
          <cell r="GF9">
            <v>27697.820605365057</v>
          </cell>
          <cell r="GS9" t="str">
            <v>mstag:revenueNet</v>
          </cell>
          <cell r="GT9">
            <v>6</v>
          </cell>
          <cell r="GU9" t="str">
            <v>ISO4217:USD</v>
          </cell>
          <cell r="GV9" t="b">
            <v>0</v>
          </cell>
          <cell r="GW9" t="b">
            <v>0</v>
          </cell>
        </row>
        <row r="10">
          <cell r="A10" t="str">
            <v>Y/Y Growth</v>
          </cell>
          <cell r="C10" t="str">
            <v>--</v>
          </cell>
          <cell r="D10">
            <v>-5.7485721706094783E-2</v>
          </cell>
          <cell r="E10" t="str">
            <v>--</v>
          </cell>
          <cell r="F10">
            <v>-2.935599258637267E-2</v>
          </cell>
          <cell r="G10">
            <v>2.1294160701975429E-2</v>
          </cell>
          <cell r="H10">
            <v>2.1111051631644839E-2</v>
          </cell>
          <cell r="I10">
            <v>6.6128669492348191E-2</v>
          </cell>
          <cell r="K10" t="str">
            <v xml:space="preserve">--  </v>
          </cell>
          <cell r="L10">
            <v>2.164244790716352E-2</v>
          </cell>
          <cell r="N10" t="str">
            <v>NA</v>
          </cell>
          <cell r="O10">
            <v>1.4985630217599466E-2</v>
          </cell>
          <cell r="P10">
            <v>2.6090473943234604E-2</v>
          </cell>
          <cell r="Q10">
            <v>9.5269382391589552E-3</v>
          </cell>
          <cell r="R10">
            <v>4.3215099251545652E-2</v>
          </cell>
          <cell r="S10">
            <v>3.7993636533782515E-2</v>
          </cell>
          <cell r="T10">
            <v>-5.126818127178745E-2</v>
          </cell>
          <cell r="U10">
            <v>-1.3557174532784266E-2</v>
          </cell>
          <cell r="V10">
            <v>-1.0211290218996805E-2</v>
          </cell>
          <cell r="W10">
            <v>2.361796003114458E-2</v>
          </cell>
          <cell r="X10">
            <v>0.41924442190669375</v>
          </cell>
          <cell r="Y10">
            <v>0.20455560518088434</v>
          </cell>
          <cell r="Z10">
            <v>-2.4360400444938812E-2</v>
          </cell>
          <cell r="AA10">
            <v>-5.4003724394785846E-2</v>
          </cell>
          <cell r="AB10">
            <v>-4.0053029085650005E-2</v>
          </cell>
          <cell r="AC10">
            <v>4.6369533375183014E-2</v>
          </cell>
          <cell r="AD10">
            <v>5.60732712074552E-2</v>
          </cell>
          <cell r="AE10">
            <v>4.8961204520547419E-2</v>
          </cell>
          <cell r="AF10">
            <v>2.3867294306323394E-2</v>
          </cell>
          <cell r="AG10">
            <v>1.9271419022529823E-2</v>
          </cell>
          <cell r="AH10">
            <v>1.0360976857347159E-2</v>
          </cell>
          <cell r="AI10">
            <v>1.0000000000000009E-2</v>
          </cell>
          <cell r="AJ10">
            <v>1.0000000000000009E-2</v>
          </cell>
          <cell r="AK10">
            <v>1.0000000000000009E-2</v>
          </cell>
          <cell r="AL10">
            <v>1.0000000000000009E-2</v>
          </cell>
          <cell r="AN10" t="str">
            <v>Y/Y Growth</v>
          </cell>
          <cell r="AS10">
            <v>-5.7485721706094783E-2</v>
          </cell>
          <cell r="AU10">
            <v>1.86046804069262E-3</v>
          </cell>
          <cell r="AV10">
            <v>-1.9629781109162359E-2</v>
          </cell>
          <cell r="AW10">
            <v>-3.3058964187159479E-2</v>
          </cell>
          <cell r="AX10">
            <v>-5.5011636021012E-2</v>
          </cell>
          <cell r="AY10">
            <v>-2.935599258637267E-2</v>
          </cell>
          <cell r="BA10">
            <v>-1.3614121583839567E-2</v>
          </cell>
          <cell r="BB10">
            <v>-2.5760441466214368E-2</v>
          </cell>
          <cell r="BC10">
            <v>4.6851163408529795E-2</v>
          </cell>
          <cell r="BD10">
            <v>5.9869931498505169E-2</v>
          </cell>
          <cell r="BE10">
            <v>2.1294160701975429E-2</v>
          </cell>
          <cell r="BG10">
            <v>1.1791495464221979E-2</v>
          </cell>
          <cell r="BH10">
            <v>3.0933042000752087E-2</v>
          </cell>
          <cell r="BI10">
            <v>1.9564384993575601E-4</v>
          </cell>
          <cell r="BJ10">
            <v>3.7800425987538633E-2</v>
          </cell>
          <cell r="BK10">
            <v>2.1111051631644839E-2</v>
          </cell>
          <cell r="BM10">
            <v>3.9850112465956933E-2</v>
          </cell>
          <cell r="BN10">
            <v>6.2446082242552547E-2</v>
          </cell>
          <cell r="BO10">
            <v>7.6842814149548744E-2</v>
          </cell>
          <cell r="BP10">
            <v>7.8120367498969223E-2</v>
          </cell>
          <cell r="BQ10">
            <v>6.6128669492348191E-2</v>
          </cell>
          <cell r="BS10" t="str">
            <v xml:space="preserve"> --  </v>
          </cell>
          <cell r="BT10" t="str">
            <v xml:space="preserve"> --  </v>
          </cell>
          <cell r="BU10" t="str">
            <v xml:space="preserve"> --  </v>
          </cell>
          <cell r="BV10" t="str">
            <v xml:space="preserve"> --  </v>
          </cell>
          <cell r="BW10" t="str">
            <v xml:space="preserve"> --  </v>
          </cell>
          <cell r="BY10">
            <v>1.7020422055820328E-2</v>
          </cell>
          <cell r="BZ10">
            <v>3.9647877712569946E-2</v>
          </cell>
          <cell r="CA10">
            <v>-5.6887192030066203E-3</v>
          </cell>
          <cell r="CC10">
            <v>0.11804838036151044</v>
          </cell>
          <cell r="CD10">
            <v>3.3347469922546225E-2</v>
          </cell>
          <cell r="CE10">
            <v>0.1751746612798819</v>
          </cell>
          <cell r="CF10">
            <v>2.164244790716352E-2</v>
          </cell>
          <cell r="CG10">
            <v>6.8016932452651169E-2</v>
          </cell>
          <cell r="CH10">
            <v>9.8290990037587012E-2</v>
          </cell>
          <cell r="CJ10">
            <v>0.10464972292558983</v>
          </cell>
          <cell r="CK10">
            <v>7.7856252051197838E-2</v>
          </cell>
          <cell r="CL10">
            <v>-3.7141754186954423E-2</v>
          </cell>
          <cell r="CM10">
            <v>-4.3674523732644466E-2</v>
          </cell>
          <cell r="CN10">
            <v>1.2014698867654605E-2</v>
          </cell>
          <cell r="CP10">
            <v>3.2838791771442555E-2</v>
          </cell>
          <cell r="CQ10">
            <v>5.1336569811840205E-2</v>
          </cell>
          <cell r="CR10">
            <v>3.799456270565793E-2</v>
          </cell>
          <cell r="CS10">
            <v>4.9966653147852647E-3</v>
          </cell>
          <cell r="CT10">
            <v>2.8844771112862544E-2</v>
          </cell>
          <cell r="CV10">
            <v>-1.528002625919922E-2</v>
          </cell>
          <cell r="CW10">
            <v>-7.7701502159533975E-3</v>
          </cell>
          <cell r="CX10">
            <v>-5.2926159204500611E-2</v>
          </cell>
          <cell r="CY10">
            <v>-5.1611465033607473E-3</v>
          </cell>
          <cell r="CZ10">
            <v>-1.9358307391376894E-2</v>
          </cell>
          <cell r="DB10">
            <v>3.3661006851355424E-2</v>
          </cell>
          <cell r="DC10">
            <v>5.3415061295972066E-2</v>
          </cell>
          <cell r="DD10">
            <v>4.0304396843291901E-2</v>
          </cell>
          <cell r="DE10">
            <v>4.4696066746126251E-2</v>
          </cell>
          <cell r="DF10">
            <v>4.3215099251545652E-2</v>
          </cell>
          <cell r="DH10">
            <v>2.9682997118155585E-2</v>
          </cell>
          <cell r="DI10">
            <v>1.9395954558049322E-2</v>
          </cell>
          <cell r="DJ10">
            <v>2.4654565158493735E-2</v>
          </cell>
          <cell r="DK10">
            <v>6.560182544209936E-2</v>
          </cell>
          <cell r="DL10">
            <v>3.7993636533782515E-2</v>
          </cell>
          <cell r="DN10">
            <v>-4.7579065211307281E-3</v>
          </cell>
          <cell r="DO10">
            <v>-5.191628159826045E-2</v>
          </cell>
          <cell r="DP10">
            <v>-8.1173982020095181E-2</v>
          </cell>
          <cell r="DQ10">
            <v>-8.4225553176302648E-2</v>
          </cell>
          <cell r="DR10">
            <v>-5.126818127178745E-2</v>
          </cell>
          <cell r="DT10">
            <v>-2.8965129358830111E-2</v>
          </cell>
          <cell r="DU10">
            <v>-5.7339449541282672E-4</v>
          </cell>
          <cell r="DV10">
            <v>1.1510791366906581E-3</v>
          </cell>
          <cell r="DW10">
            <v>-2.2408417770849565E-2</v>
          </cell>
          <cell r="DX10">
            <v>-1.3557174532784266E-2</v>
          </cell>
          <cell r="DZ10">
            <v>-4.6915725456125101E-2</v>
          </cell>
          <cell r="EA10">
            <v>-1.4916810097532984E-2</v>
          </cell>
          <cell r="EB10">
            <v>2.012072434607548E-3</v>
          </cell>
          <cell r="EC10">
            <v>7.1756029499701057E-3</v>
          </cell>
          <cell r="ED10">
            <v>-1.0211290218996805E-2</v>
          </cell>
          <cell r="EF10">
            <v>7.8699483439683915E-2</v>
          </cell>
          <cell r="EG10">
            <v>4.2807221898660375E-2</v>
          </cell>
          <cell r="EH10">
            <v>1.1187607573149849E-2</v>
          </cell>
          <cell r="EI10">
            <v>1.3259449831783066E-2</v>
          </cell>
          <cell r="EJ10">
            <v>2.361796003114458E-2</v>
          </cell>
          <cell r="EK10" t="str">
            <v>Y/Y Growth</v>
          </cell>
          <cell r="EL10">
            <v>2.5633802816901419E-2</v>
          </cell>
          <cell r="EM10">
            <v>1.1728567439262871E-2</v>
          </cell>
          <cell r="EN10">
            <v>0.57588652482269498</v>
          </cell>
          <cell r="EO10">
            <v>0.86933593750000004</v>
          </cell>
          <cell r="EP10">
            <v>0.41924442190669375</v>
          </cell>
          <cell r="ER10">
            <v>0.62867344136226322</v>
          </cell>
          <cell r="ES10">
            <v>0.65470604471432514</v>
          </cell>
          <cell r="ET10">
            <v>5.9585958595859578E-2</v>
          </cell>
          <cell r="EU10">
            <v>-4.3046703583742518E-2</v>
          </cell>
          <cell r="EV10">
            <v>0.20455560518088434</v>
          </cell>
          <cell r="EX10">
            <v>-1.5177065767284503E-3</v>
          </cell>
          <cell r="EY10">
            <v>-1.7180984153461254E-2</v>
          </cell>
          <cell r="EZ10">
            <v>3.397893306150257E-3</v>
          </cell>
          <cell r="FA10">
            <v>-6.1687957200567745E-2</v>
          </cell>
          <cell r="FB10">
            <v>-2.4360400444938812E-2</v>
          </cell>
          <cell r="FD10">
            <v>-2.9386927883803371E-2</v>
          </cell>
          <cell r="FE10">
            <v>-2.9531568228105876E-2</v>
          </cell>
          <cell r="FF10">
            <v>-6.9928885878767333E-2</v>
          </cell>
          <cell r="FG10">
            <v>-7.6797765883174329E-2</v>
          </cell>
          <cell r="FH10">
            <v>-5.4003724394785846E-2</v>
          </cell>
          <cell r="FJ10">
            <v>-7.9867757090655966E-2</v>
          </cell>
          <cell r="FK10">
            <v>-7.5725778244141284E-2</v>
          </cell>
          <cell r="FL10">
            <v>-1.9661387220098359E-2</v>
          </cell>
          <cell r="FM10">
            <v>3.7811948575749987E-4</v>
          </cell>
          <cell r="FN10">
            <v>-4.0053029085650005E-2</v>
          </cell>
          <cell r="FP10">
            <v>5.4084720121028829E-2</v>
          </cell>
          <cell r="FQ10">
            <v>4.7682119205298079E-2</v>
          </cell>
          <cell r="FR10">
            <v>4.4196843082636939E-2</v>
          </cell>
          <cell r="FS10">
            <v>4.182940657679235E-2</v>
          </cell>
          <cell r="FT10">
            <v>4.6369533375183014E-2</v>
          </cell>
          <cell r="FV10">
            <v>5.6512378902045191E-2</v>
          </cell>
          <cell r="FW10">
            <v>7.2602492324363332E-2</v>
          </cell>
          <cell r="FX10">
            <v>4.0903432331495626E-2</v>
          </cell>
          <cell r="FY10">
            <v>5.5024791389527206E-2</v>
          </cell>
          <cell r="FZ10">
            <v>5.60732712074552E-2</v>
          </cell>
          <cell r="GB10">
            <v>4.313126167430803E-2</v>
          </cell>
          <cell r="GC10">
            <v>3.0139754167368249E-2</v>
          </cell>
          <cell r="GD10">
            <v>3.7021467099822347E-2</v>
          </cell>
          <cell r="GE10">
            <v>7.372007776590972E-2</v>
          </cell>
          <cell r="GF10">
            <v>4.8961204520547419E-2</v>
          </cell>
        </row>
        <row r="11">
          <cell r="A11" t="str">
            <v xml:space="preserve">  % Same-Store</v>
          </cell>
          <cell r="C11" t="str">
            <v>--</v>
          </cell>
          <cell r="D11">
            <v>-4.2999999999999997E-2</v>
          </cell>
          <cell r="E11" t="str">
            <v>--</v>
          </cell>
          <cell r="F11">
            <v>1.4E-2</v>
          </cell>
          <cell r="G11">
            <v>5.1999999999999998E-2</v>
          </cell>
          <cell r="H11">
            <v>1.9E-2</v>
          </cell>
          <cell r="I11">
            <v>3.1E-2</v>
          </cell>
          <cell r="K11">
            <v>3.0898675327518884E-2</v>
          </cell>
          <cell r="L11">
            <v>2.7118808112624956E-2</v>
          </cell>
          <cell r="N11">
            <v>2.7E-2</v>
          </cell>
          <cell r="O11">
            <v>3.1E-2</v>
          </cell>
          <cell r="P11">
            <v>2.7E-2</v>
          </cell>
          <cell r="Q11">
            <v>2.1999999999999999E-2</v>
          </cell>
          <cell r="R11">
            <v>4.4999999999999998E-2</v>
          </cell>
          <cell r="S11">
            <v>0.02</v>
          </cell>
          <cell r="T11">
            <v>-5.2999999999999999E-2</v>
          </cell>
          <cell r="U11">
            <v>-0.03</v>
          </cell>
          <cell r="V11">
            <v>-9.0000000000000011E-3</v>
          </cell>
          <cell r="W11">
            <v>2.5999999999999999E-2</v>
          </cell>
          <cell r="X11">
            <v>1.2999999999999999E-2</v>
          </cell>
          <cell r="Y11">
            <v>4.3999999999999997E-2</v>
          </cell>
          <cell r="Z11">
            <v>-1.2999999999999999E-2</v>
          </cell>
          <cell r="AA11">
            <v>-4.4999999999999998E-2</v>
          </cell>
          <cell r="AB11">
            <v>-5.2999999999999999E-2</v>
          </cell>
          <cell r="AC11">
            <v>4.610434747830261E-2</v>
          </cell>
          <cell r="AD11">
            <v>5.2999999999999999E-2</v>
          </cell>
          <cell r="AE11">
            <v>4.02253638971692E-2</v>
          </cell>
          <cell r="AF11">
            <v>3.5000000000000003E-2</v>
          </cell>
          <cell r="AG11">
            <v>0.02</v>
          </cell>
          <cell r="AH11">
            <v>0.01</v>
          </cell>
          <cell r="AI11">
            <v>0.01</v>
          </cell>
          <cell r="AJ11">
            <v>0.01</v>
          </cell>
          <cell r="AK11">
            <v>0.01</v>
          </cell>
          <cell r="AL11">
            <v>0.01</v>
          </cell>
          <cell r="AN11" t="str">
            <v xml:space="preserve">  % Same-Store</v>
          </cell>
          <cell r="AS11">
            <v>-4.2999999999999997E-2</v>
          </cell>
          <cell r="AU11">
            <v>2.9000000000000001E-2</v>
          </cell>
          <cell r="AV11">
            <v>1.4E-2</v>
          </cell>
          <cell r="AW11">
            <v>1.7999999999999999E-2</v>
          </cell>
          <cell r="AX11">
            <v>-1E-3</v>
          </cell>
          <cell r="AY11">
            <v>1.4E-2</v>
          </cell>
          <cell r="BA11">
            <v>4.3999999999999997E-2</v>
          </cell>
          <cell r="BB11">
            <v>1.7000000000000001E-2</v>
          </cell>
          <cell r="BC11">
            <v>5.7000000000000002E-2</v>
          </cell>
          <cell r="BD11">
            <v>7.4999999999999997E-2</v>
          </cell>
          <cell r="BE11">
            <v>5.1999999999999998E-2</v>
          </cell>
          <cell r="BG11">
            <v>0.02</v>
          </cell>
          <cell r="BH11">
            <v>0.04</v>
          </cell>
          <cell r="BI11">
            <v>0</v>
          </cell>
          <cell r="BJ11">
            <v>2.1000000000000001E-2</v>
          </cell>
          <cell r="BK11">
            <v>1.9E-2</v>
          </cell>
          <cell r="BM11">
            <v>2.1000000000000001E-2</v>
          </cell>
          <cell r="BN11">
            <v>2.1999999999999999E-2</v>
          </cell>
          <cell r="BO11">
            <v>3.4000000000000002E-2</v>
          </cell>
          <cell r="BP11">
            <v>4.1000000000000002E-2</v>
          </cell>
          <cell r="BQ11">
            <v>3.1E-2</v>
          </cell>
          <cell r="BS11">
            <v>3.9E-2</v>
          </cell>
          <cell r="BT11">
            <v>8.0000000000000002E-3</v>
          </cell>
          <cell r="BU11">
            <v>3.6999999999999998E-2</v>
          </cell>
          <cell r="BV11">
            <v>3.5999999999999997E-2</v>
          </cell>
          <cell r="BW11">
            <v>3.0898675327518884E-2</v>
          </cell>
          <cell r="BY11">
            <v>1.2999999999999999E-2</v>
          </cell>
          <cell r="BZ11">
            <v>6.2E-2</v>
          </cell>
          <cell r="CA11">
            <v>1.4999999999999999E-2</v>
          </cell>
          <cell r="CC11">
            <v>1.4999999999999999E-2</v>
          </cell>
          <cell r="CD11">
            <v>2.1999999999999999E-2</v>
          </cell>
          <cell r="CE11">
            <v>2.1999999999999999E-2</v>
          </cell>
          <cell r="CF11">
            <v>2.7118808112624956E-2</v>
          </cell>
          <cell r="CG11">
            <v>2.7118808112624956E-2</v>
          </cell>
          <cell r="CH11">
            <v>2.7118808112624956E-2</v>
          </cell>
          <cell r="CJ11">
            <v>4.5999999999999999E-2</v>
          </cell>
          <cell r="CK11">
            <v>8.0000000000000002E-3</v>
          </cell>
          <cell r="CL11">
            <v>2.5000000000000001E-2</v>
          </cell>
          <cell r="CM11">
            <v>0.04</v>
          </cell>
          <cell r="CN11">
            <v>3.0844572544785176E-2</v>
          </cell>
          <cell r="CP11">
            <v>2.5000000000000001E-2</v>
          </cell>
          <cell r="CQ11">
            <v>4.3999999999999997E-2</v>
          </cell>
          <cell r="CR11">
            <v>3.1E-2</v>
          </cell>
          <cell r="CS11">
            <v>1.4E-2</v>
          </cell>
          <cell r="CT11">
            <v>2.7069152758765591E-2</v>
          </cell>
          <cell r="CV11">
            <v>2.4E-2</v>
          </cell>
          <cell r="CW11">
            <v>3.0187969924812031E-2</v>
          </cell>
          <cell r="CX11">
            <v>-1.2999999999999999E-2</v>
          </cell>
          <cell r="CY11">
            <v>4.1000000000000002E-2</v>
          </cell>
          <cell r="CZ11">
            <v>4.4999999999999998E-2</v>
          </cell>
          <cell r="DB11">
            <v>0.04</v>
          </cell>
          <cell r="DC11">
            <v>5.8999999999999997E-2</v>
          </cell>
          <cell r="DD11">
            <v>3.9E-2</v>
          </cell>
          <cell r="DE11">
            <v>4.3999999999999997E-2</v>
          </cell>
          <cell r="DF11">
            <v>4.4999999999999998E-2</v>
          </cell>
          <cell r="DH11">
            <v>2.9000000000000001E-2</v>
          </cell>
          <cell r="DI11">
            <v>1.9E-2</v>
          </cell>
          <cell r="DJ11">
            <v>1.9E-2</v>
          </cell>
          <cell r="DK11">
            <v>1.6E-2</v>
          </cell>
          <cell r="DL11">
            <v>0.02</v>
          </cell>
          <cell r="DN11">
            <v>-1.4999999999999999E-2</v>
          </cell>
          <cell r="DO11">
            <v>-4.8000000000000001E-2</v>
          </cell>
          <cell r="DP11">
            <v>-8.5999999999999993E-2</v>
          </cell>
          <cell r="DQ11">
            <v>-0.06</v>
          </cell>
          <cell r="DR11">
            <v>-5.2999999999999999E-2</v>
          </cell>
          <cell r="DT11">
            <v>-2.9000000000000001E-2</v>
          </cell>
          <cell r="DU11">
            <v>-2.8000000000000001E-2</v>
          </cell>
          <cell r="DV11">
            <v>-0.02</v>
          </cell>
          <cell r="DW11">
            <v>-3.9E-2</v>
          </cell>
          <cell r="DX11">
            <v>-0.03</v>
          </cell>
          <cell r="DZ11">
            <v>-0.05</v>
          </cell>
          <cell r="EA11">
            <v>-1.2E-2</v>
          </cell>
          <cell r="EB11">
            <v>2E-3</v>
          </cell>
          <cell r="EC11">
            <v>1.3999999999999999E-2</v>
          </cell>
          <cell r="ED11">
            <v>-9.0000000000000011E-3</v>
          </cell>
          <cell r="EF11">
            <v>6.9000000000000006E-2</v>
          </cell>
          <cell r="EG11">
            <v>3.3000000000000002E-2</v>
          </cell>
          <cell r="EH11">
            <v>4.0000000000000001E-3</v>
          </cell>
          <cell r="EI11">
            <v>8.0000000000000002E-3</v>
          </cell>
          <cell r="EJ11">
            <v>2.5999999999999999E-2</v>
          </cell>
          <cell r="EK11" t="str">
            <v xml:space="preserve">  % Same-Store</v>
          </cell>
          <cell r="EL11">
            <v>2.5999999999999999E-2</v>
          </cell>
          <cell r="EM11">
            <v>1.0999999999999999E-2</v>
          </cell>
          <cell r="EN11">
            <v>6.0000000000000001E-3</v>
          </cell>
          <cell r="EO11">
            <v>1.0999999999999999E-2</v>
          </cell>
          <cell r="EP11">
            <v>1.2999999999999999E-2</v>
          </cell>
          <cell r="ER11">
            <v>0</v>
          </cell>
          <cell r="ES11">
            <v>4.5999999999999999E-2</v>
          </cell>
          <cell r="ET11">
            <v>5.8999999999999997E-2</v>
          </cell>
          <cell r="EU11">
            <v>6.0999999999999999E-2</v>
          </cell>
          <cell r="EV11">
            <v>4.3999999999999997E-2</v>
          </cell>
          <cell r="EX11">
            <v>6.0000000000000001E-3</v>
          </cell>
          <cell r="EY11">
            <v>-2.5999999999999999E-2</v>
          </cell>
          <cell r="EZ11">
            <v>-8.0000000000000002E-3</v>
          </cell>
          <cell r="FA11">
            <v>-0.02</v>
          </cell>
          <cell r="FB11">
            <v>-1.2999999999999999E-2</v>
          </cell>
          <cell r="FD11">
            <v>-2.5999999999999999E-2</v>
          </cell>
          <cell r="FE11">
            <v>-2.1000000000000001E-2</v>
          </cell>
          <cell r="FF11">
            <v>-0.06</v>
          </cell>
          <cell r="FG11">
            <v>-7.0000000000000007E-2</v>
          </cell>
          <cell r="FH11">
            <v>-4.4999999999999998E-2</v>
          </cell>
          <cell r="FJ11">
            <v>-0.09</v>
          </cell>
          <cell r="FK11">
            <v>-9.5000000000000001E-2</v>
          </cell>
          <cell r="FL11">
            <v>-3.5999999999999997E-2</v>
          </cell>
          <cell r="FM11">
            <v>-8.0000000000000002E-3</v>
          </cell>
          <cell r="FN11">
            <v>-5.2999999999999999E-2</v>
          </cell>
          <cell r="FP11">
            <v>5.5E-2</v>
          </cell>
          <cell r="FQ11">
            <v>4.9000000000000002E-2</v>
          </cell>
          <cell r="FR11">
            <v>3.9E-2</v>
          </cell>
          <cell r="FS11">
            <v>4.2999999999999997E-2</v>
          </cell>
          <cell r="FT11">
            <v>4.610434747830261E-2</v>
          </cell>
          <cell r="FV11">
            <v>5.3999999999999999E-2</v>
          </cell>
          <cell r="FW11">
            <v>6.4000000000000001E-2</v>
          </cell>
          <cell r="FX11">
            <v>0.04</v>
          </cell>
          <cell r="FY11">
            <v>5.1999999999999998E-2</v>
          </cell>
          <cell r="FZ11">
            <v>5.2999999999999999E-2</v>
          </cell>
          <cell r="GB11">
            <v>4.3999999999999997E-2</v>
          </cell>
          <cell r="GC11">
            <v>0.03</v>
          </cell>
          <cell r="GD11">
            <v>4.4170626829774157E-2</v>
          </cell>
          <cell r="GE11">
            <v>4.1872044415560798E-2</v>
          </cell>
          <cell r="GF11">
            <v>4.02253638971692E-2</v>
          </cell>
          <cell r="GS11" t="str">
            <v>mstag:comparableStoreSalesGrowth</v>
          </cell>
          <cell r="GT11">
            <v>0</v>
          </cell>
          <cell r="GU11" t="str">
            <v>ms_eqr_gcim_Decimal:ms_eqr_gcim_decimal</v>
          </cell>
          <cell r="GV11" t="b">
            <v>0</v>
          </cell>
          <cell r="GW11" t="b">
            <v>0</v>
          </cell>
        </row>
        <row r="13">
          <cell r="A13" t="str">
            <v>Cost of Goods Sold</v>
          </cell>
          <cell r="C13">
            <v>5447.1210000000001</v>
          </cell>
          <cell r="D13">
            <v>4394.9759999999997</v>
          </cell>
          <cell r="E13">
            <v>4202.223</v>
          </cell>
          <cell r="F13">
            <v>4173.2920000000004</v>
          </cell>
          <cell r="G13">
            <v>4220.8230000000003</v>
          </cell>
          <cell r="H13">
            <v>4371.2170000000006</v>
          </cell>
          <cell r="I13">
            <v>4738.326</v>
          </cell>
          <cell r="K13">
            <v>8409.8680000000004</v>
          </cell>
          <cell r="L13">
            <v>8578.85</v>
          </cell>
          <cell r="N13">
            <v>9038</v>
          </cell>
          <cell r="O13">
            <v>9018</v>
          </cell>
          <cell r="P13">
            <v>9200</v>
          </cell>
          <cell r="Q13">
            <v>9218</v>
          </cell>
          <cell r="R13">
            <v>9576</v>
          </cell>
          <cell r="S13">
            <v>9955</v>
          </cell>
          <cell r="T13">
            <v>9603</v>
          </cell>
          <cell r="U13">
            <v>9324</v>
          </cell>
          <cell r="V13">
            <v>9175</v>
          </cell>
          <cell r="W13">
            <v>9346</v>
          </cell>
          <cell r="X13">
            <v>13272</v>
          </cell>
          <cell r="Y13">
            <v>16019</v>
          </cell>
          <cell r="Z13">
            <v>15677</v>
          </cell>
          <cell r="AA13">
            <v>15009</v>
          </cell>
          <cell r="AB13">
            <v>14278</v>
          </cell>
          <cell r="AC13">
            <v>14824</v>
          </cell>
          <cell r="AD13">
            <v>15738</v>
          </cell>
          <cell r="AE13">
            <v>16473.116703251519</v>
          </cell>
          <cell r="AF13">
            <v>16781.208749826241</v>
          </cell>
          <cell r="AG13">
            <v>17061.248342231931</v>
          </cell>
          <cell r="AH13">
            <v>17267.224438478806</v>
          </cell>
          <cell r="AI13">
            <v>17498.890574835023</v>
          </cell>
          <cell r="AJ13">
            <v>17673.879480583375</v>
          </cell>
          <cell r="AK13">
            <v>17850.618275389206</v>
          </cell>
          <cell r="AL13">
            <v>18029.124458143102</v>
          </cell>
          <cell r="AN13" t="str">
            <v>Cost of Goods Sold</v>
          </cell>
          <cell r="AO13">
            <v>955.19299999999998</v>
          </cell>
          <cell r="AP13">
            <v>949.21100000000001</v>
          </cell>
          <cell r="AQ13">
            <v>1068.867</v>
          </cell>
          <cell r="AR13">
            <v>1421.7049999999999</v>
          </cell>
          <cell r="AS13">
            <v>4394.9759999999997</v>
          </cell>
          <cell r="AU13">
            <v>954.02099999999996</v>
          </cell>
          <cell r="AV13">
            <v>897.43100000000004</v>
          </cell>
          <cell r="AW13">
            <v>1031.549</v>
          </cell>
          <cell r="AX13">
            <v>1319.222</v>
          </cell>
          <cell r="AY13">
            <v>4202.223</v>
          </cell>
          <cell r="BA13">
            <v>924.86599999999999</v>
          </cell>
          <cell r="BB13">
            <v>867.78200000000004</v>
          </cell>
          <cell r="BC13">
            <v>1063.415</v>
          </cell>
          <cell r="BD13">
            <v>1364.76</v>
          </cell>
          <cell r="BE13">
            <v>4220.8230000000003</v>
          </cell>
          <cell r="BG13">
            <v>947.86799999999994</v>
          </cell>
          <cell r="BH13">
            <v>900.06400000000008</v>
          </cell>
          <cell r="BI13">
            <v>1077.3520000000001</v>
          </cell>
          <cell r="BJ13">
            <v>1445.933</v>
          </cell>
          <cell r="BK13">
            <v>4371.2170000000006</v>
          </cell>
          <cell r="BM13">
            <v>1002.9349999999999</v>
          </cell>
          <cell r="BN13">
            <v>974.73500000000001</v>
          </cell>
          <cell r="BO13">
            <v>1182.5509999999999</v>
          </cell>
          <cell r="BP13">
            <v>1578.105</v>
          </cell>
          <cell r="BQ13">
            <v>4738.326</v>
          </cell>
          <cell r="BS13">
            <v>1781.979</v>
          </cell>
          <cell r="BT13">
            <v>1814.82</v>
          </cell>
          <cell r="BU13">
            <v>2045.9162000000001</v>
          </cell>
          <cell r="BV13">
            <v>2767.1528000000003</v>
          </cell>
          <cell r="BW13">
            <v>8409.8680000000004</v>
          </cell>
          <cell r="BY13">
            <v>1822.16</v>
          </cell>
          <cell r="BZ13">
            <v>1862.915</v>
          </cell>
          <cell r="CA13">
            <v>2039.616</v>
          </cell>
          <cell r="CB13">
            <v>288.96100000000024</v>
          </cell>
          <cell r="CC13">
            <v>2328.5770000000002</v>
          </cell>
          <cell r="CD13">
            <v>2854.1590000000001</v>
          </cell>
          <cell r="CE13">
            <v>3304.3710000000001</v>
          </cell>
          <cell r="CF13">
            <v>8578.85</v>
          </cell>
          <cell r="CG13">
            <v>9029.0619999999999</v>
          </cell>
          <cell r="CH13">
            <v>9318.023000000001</v>
          </cell>
          <cell r="CJ13">
            <v>2014.6479999999999</v>
          </cell>
          <cell r="CK13">
            <v>1995.5730000000001</v>
          </cell>
          <cell r="CL13">
            <v>2189.9029999999998</v>
          </cell>
          <cell r="CM13">
            <v>3088.5619999999999</v>
          </cell>
          <cell r="CN13">
            <v>9288.6859999999997</v>
          </cell>
          <cell r="CP13">
            <v>2086.8649999999998</v>
          </cell>
          <cell r="CQ13">
            <v>2098.6709999999998</v>
          </cell>
          <cell r="CR13">
            <v>2286.9189999999999</v>
          </cell>
          <cell r="CS13">
            <v>3108.3119999999999</v>
          </cell>
          <cell r="CT13">
            <v>9580.7669999999998</v>
          </cell>
          <cell r="CV13">
            <v>2022</v>
          </cell>
          <cell r="CW13">
            <v>2017</v>
          </cell>
          <cell r="CX13">
            <v>2145</v>
          </cell>
          <cell r="CY13">
            <v>3034</v>
          </cell>
          <cell r="CZ13">
            <v>9218</v>
          </cell>
          <cell r="DB13">
            <v>2174</v>
          </cell>
          <cell r="DC13">
            <v>2319</v>
          </cell>
          <cell r="DD13">
            <v>2454</v>
          </cell>
          <cell r="DE13">
            <v>3496</v>
          </cell>
          <cell r="DF13">
            <v>10443</v>
          </cell>
          <cell r="DH13">
            <v>2152</v>
          </cell>
          <cell r="DI13">
            <v>2173</v>
          </cell>
          <cell r="DJ13">
            <v>2295</v>
          </cell>
          <cell r="DK13">
            <v>3335</v>
          </cell>
          <cell r="DL13">
            <v>9955</v>
          </cell>
          <cell r="DN13">
            <v>2158</v>
          </cell>
          <cell r="DO13">
            <v>2128</v>
          </cell>
          <cell r="DP13">
            <v>2134</v>
          </cell>
          <cell r="DQ13">
            <v>3111</v>
          </cell>
          <cell r="DR13">
            <v>9603</v>
          </cell>
          <cell r="DT13">
            <v>2078</v>
          </cell>
          <cell r="DU13">
            <v>2051</v>
          </cell>
          <cell r="DV13">
            <v>2112</v>
          </cell>
          <cell r="DW13">
            <v>3014</v>
          </cell>
          <cell r="DX13">
            <v>9324</v>
          </cell>
          <cell r="DZ13">
            <v>2002</v>
          </cell>
          <cell r="EA13">
            <v>2025</v>
          </cell>
          <cell r="EB13">
            <v>2091</v>
          </cell>
          <cell r="EC13">
            <v>2981</v>
          </cell>
          <cell r="ED13">
            <v>9175</v>
          </cell>
          <cell r="EF13">
            <v>2119</v>
          </cell>
          <cell r="EG13">
            <v>2098</v>
          </cell>
          <cell r="EH13">
            <v>2107</v>
          </cell>
          <cell r="EI13">
            <v>3022</v>
          </cell>
          <cell r="EJ13">
            <v>9346</v>
          </cell>
          <cell r="EK13" t="str">
            <v>Cost of Goods Sold</v>
          </cell>
          <cell r="EL13">
            <v>2176</v>
          </cell>
          <cell r="EM13">
            <v>2126</v>
          </cell>
          <cell r="EN13">
            <v>3312</v>
          </cell>
          <cell r="EO13">
            <v>5658</v>
          </cell>
          <cell r="EP13">
            <v>13272</v>
          </cell>
          <cell r="ER13">
            <v>3627</v>
          </cell>
          <cell r="ES13">
            <v>3470</v>
          </cell>
          <cell r="ET13">
            <v>3513</v>
          </cell>
          <cell r="EU13">
            <v>5409</v>
          </cell>
          <cell r="EV13">
            <v>16019</v>
          </cell>
          <cell r="EX13">
            <v>3564</v>
          </cell>
          <cell r="EY13">
            <v>3507</v>
          </cell>
          <cell r="EZ13">
            <v>3585</v>
          </cell>
          <cell r="FA13">
            <v>5021</v>
          </cell>
          <cell r="FB13">
            <v>15677</v>
          </cell>
          <cell r="FD13">
            <v>3527</v>
          </cell>
          <cell r="FE13">
            <v>3346</v>
          </cell>
          <cell r="FF13">
            <v>3324</v>
          </cell>
          <cell r="FG13">
            <v>4812</v>
          </cell>
          <cell r="FH13">
            <v>15009</v>
          </cell>
          <cell r="FJ13">
            <v>3279</v>
          </cell>
          <cell r="FK13">
            <v>3117</v>
          </cell>
          <cell r="FL13">
            <v>3241</v>
          </cell>
          <cell r="FM13">
            <v>4641</v>
          </cell>
          <cell r="FN13">
            <v>14278</v>
          </cell>
          <cell r="FP13">
            <v>3378</v>
          </cell>
          <cell r="FQ13">
            <v>3214</v>
          </cell>
          <cell r="FR13">
            <v>3377</v>
          </cell>
          <cell r="FS13">
            <v>4855</v>
          </cell>
          <cell r="FT13">
            <v>14824</v>
          </cell>
          <cell r="FV13">
            <v>3586</v>
          </cell>
          <cell r="FW13">
            <v>3457</v>
          </cell>
          <cell r="FX13">
            <v>3544</v>
          </cell>
          <cell r="FY13">
            <v>5151</v>
          </cell>
          <cell r="FZ13">
            <v>15738</v>
          </cell>
          <cell r="GB13">
            <v>3757</v>
          </cell>
          <cell r="GC13">
            <v>3555</v>
          </cell>
          <cell r="GD13">
            <v>3666.0995494313679</v>
          </cell>
          <cell r="GE13">
            <v>5495.0171538201503</v>
          </cell>
          <cell r="GF13">
            <v>16473.116703251519</v>
          </cell>
          <cell r="GS13" t="str">
            <v>mstag:costOfSalesWithoutDepreciation</v>
          </cell>
          <cell r="GT13">
            <v>6</v>
          </cell>
          <cell r="GU13" t="str">
            <v>ISO4217:USD</v>
          </cell>
          <cell r="GV13" t="b">
            <v>0</v>
          </cell>
          <cell r="GW13" t="b">
            <v>0</v>
          </cell>
        </row>
        <row r="14">
          <cell r="A14" t="str">
            <v>Gross Profit</v>
          </cell>
          <cell r="C14">
            <v>2130.4650000000001</v>
          </cell>
          <cell r="D14">
            <v>2747.0070000000005</v>
          </cell>
          <cell r="E14">
            <v>2730.1000000000004</v>
          </cell>
          <cell r="F14">
            <v>2759.0309999999999</v>
          </cell>
          <cell r="G14">
            <v>2859.1180000000004</v>
          </cell>
          <cell r="H14">
            <v>2858.1889999999994</v>
          </cell>
          <cell r="I14">
            <v>2969.1509999999989</v>
          </cell>
          <cell r="K14">
            <v>5291.6319999999996</v>
          </cell>
          <cell r="L14">
            <v>5419.1839999999993</v>
          </cell>
          <cell r="N14">
            <v>5576</v>
          </cell>
          <cell r="O14">
            <v>5815</v>
          </cell>
          <cell r="P14">
            <v>6020</v>
          </cell>
          <cell r="Q14">
            <v>6147</v>
          </cell>
          <cell r="R14">
            <v>6453</v>
          </cell>
          <cell r="S14">
            <v>6683</v>
          </cell>
          <cell r="T14">
            <v>6182</v>
          </cell>
          <cell r="U14">
            <v>6247</v>
          </cell>
          <cell r="V14">
            <v>6237</v>
          </cell>
          <cell r="W14">
            <v>6430</v>
          </cell>
          <cell r="X14">
            <v>9118</v>
          </cell>
          <cell r="Y14">
            <v>10951</v>
          </cell>
          <cell r="Z14">
            <v>10636</v>
          </cell>
          <cell r="AA14">
            <v>9883</v>
          </cell>
          <cell r="AB14">
            <v>9617</v>
          </cell>
          <cell r="AC14">
            <v>10179</v>
          </cell>
          <cell r="AD14">
            <v>10667</v>
          </cell>
          <cell r="AE14">
            <v>11224.703902113539</v>
          </cell>
          <cell r="AF14">
            <v>11577.68389157081</v>
          </cell>
          <cell r="AG14">
            <v>11844.16040227242</v>
          </cell>
          <cell r="AH14">
            <v>11937.672577079513</v>
          </cell>
          <cell r="AI14">
            <v>11998.055410878882</v>
          </cell>
          <cell r="AJ14">
            <v>12118.03596498767</v>
          </cell>
          <cell r="AK14">
            <v>12239.216324637549</v>
          </cell>
          <cell r="AL14">
            <v>12361.608487883921</v>
          </cell>
          <cell r="AN14" t="str">
            <v>Gross Profit</v>
          </cell>
          <cell r="AO14">
            <v>635.26700000000005</v>
          </cell>
          <cell r="AP14">
            <v>576.48099999999999</v>
          </cell>
          <cell r="AQ14">
            <v>698.46</v>
          </cell>
          <cell r="AR14">
            <v>836.79899999999998</v>
          </cell>
          <cell r="AS14">
            <v>2747.0070000000001</v>
          </cell>
          <cell r="AU14">
            <v>639.39800000000014</v>
          </cell>
          <cell r="AV14">
            <v>598.3119999999999</v>
          </cell>
          <cell r="AW14">
            <v>677.35200000000009</v>
          </cell>
          <cell r="AX14">
            <v>815.03800000000024</v>
          </cell>
          <cell r="AY14">
            <v>2730.1000000000004</v>
          </cell>
          <cell r="BA14">
            <v>646.86000000000013</v>
          </cell>
          <cell r="BB14">
            <v>589.42999999999995</v>
          </cell>
          <cell r="BC14">
            <v>725.55</v>
          </cell>
          <cell r="BD14">
            <v>897.27800000000002</v>
          </cell>
          <cell r="BE14">
            <v>2859.1179999999999</v>
          </cell>
          <cell r="BG14">
            <v>642.39100000000008</v>
          </cell>
          <cell r="BH14">
            <v>602.22399999999993</v>
          </cell>
          <cell r="BI14">
            <v>711.96299999999997</v>
          </cell>
          <cell r="BJ14">
            <v>901.61099999999988</v>
          </cell>
          <cell r="BK14">
            <v>2858.1889999999994</v>
          </cell>
          <cell r="BM14">
            <v>650.69600000000014</v>
          </cell>
          <cell r="BN14">
            <v>621.3649999999999</v>
          </cell>
          <cell r="BO14">
            <v>744.26</v>
          </cell>
          <cell r="BP14">
            <v>952.82999999999993</v>
          </cell>
          <cell r="BQ14">
            <v>2969.1509999999989</v>
          </cell>
          <cell r="BS14">
            <v>1156.021</v>
          </cell>
          <cell r="BT14">
            <v>1115.9800000000002</v>
          </cell>
          <cell r="BU14">
            <v>1306.6837999999998</v>
          </cell>
          <cell r="BV14">
            <v>1712.9472000000001</v>
          </cell>
          <cell r="BW14">
            <v>5291.6319999999996</v>
          </cell>
          <cell r="BY14">
            <v>1165.8459999999998</v>
          </cell>
          <cell r="BZ14">
            <v>1184.085</v>
          </cell>
          <cell r="CA14">
            <v>1293.9119999999998</v>
          </cell>
          <cell r="CB14">
            <v>125.83899999999977</v>
          </cell>
          <cell r="CC14">
            <v>1419.7919999999999</v>
          </cell>
          <cell r="CD14">
            <v>1775.3409999999999</v>
          </cell>
          <cell r="CE14">
            <v>1960.5289999999995</v>
          </cell>
          <cell r="CF14">
            <v>5419.1839999999993</v>
          </cell>
          <cell r="CG14">
            <v>5604.3719999999994</v>
          </cell>
          <cell r="CH14">
            <v>5730.2109999999975</v>
          </cell>
          <cell r="CJ14">
            <v>1286.0519999999999</v>
          </cell>
          <cell r="CK14">
            <v>1288.655</v>
          </cell>
          <cell r="CL14">
            <v>1419.2450000000003</v>
          </cell>
          <cell r="CM14">
            <v>1946.3959999999997</v>
          </cell>
          <cell r="CN14">
            <v>5940.348</v>
          </cell>
          <cell r="CP14">
            <v>1322.2260000000001</v>
          </cell>
          <cell r="CQ14">
            <v>1354.1580000000004</v>
          </cell>
          <cell r="CR14">
            <v>1459.357</v>
          </cell>
          <cell r="CS14">
            <v>1951.8040000000001</v>
          </cell>
          <cell r="CT14">
            <v>6087.5450000000001</v>
          </cell>
          <cell r="CV14">
            <v>1335</v>
          </cell>
          <cell r="CW14">
            <v>1409</v>
          </cell>
          <cell r="CX14">
            <v>1403</v>
          </cell>
          <cell r="CY14">
            <v>2000</v>
          </cell>
          <cell r="CZ14">
            <v>6147</v>
          </cell>
          <cell r="DB14">
            <v>1426</v>
          </cell>
          <cell r="DC14">
            <v>1687</v>
          </cell>
          <cell r="DD14">
            <v>1683</v>
          </cell>
          <cell r="DE14">
            <v>2477</v>
          </cell>
          <cell r="DF14">
            <v>7273</v>
          </cell>
          <cell r="DH14">
            <v>1421</v>
          </cell>
          <cell r="DI14">
            <v>1506</v>
          </cell>
          <cell r="DJ14">
            <v>1487</v>
          </cell>
          <cell r="DK14">
            <v>2269</v>
          </cell>
          <cell r="DL14">
            <v>6683</v>
          </cell>
          <cell r="DN14">
            <v>1398</v>
          </cell>
          <cell r="DO14">
            <v>1360</v>
          </cell>
          <cell r="DP14">
            <v>1341</v>
          </cell>
          <cell r="DQ14">
            <v>2021</v>
          </cell>
          <cell r="DR14">
            <v>6182</v>
          </cell>
          <cell r="DT14">
            <v>1375</v>
          </cell>
          <cell r="DU14">
            <v>1435</v>
          </cell>
          <cell r="DV14">
            <v>1367</v>
          </cell>
          <cell r="DW14">
            <v>2003</v>
          </cell>
          <cell r="DX14">
            <v>6247</v>
          </cell>
          <cell r="DZ14">
            <v>1289</v>
          </cell>
          <cell r="EA14">
            <v>1409</v>
          </cell>
          <cell r="EB14">
            <v>1395</v>
          </cell>
          <cell r="EC14">
            <v>2072</v>
          </cell>
          <cell r="ED14">
            <v>6237</v>
          </cell>
          <cell r="EF14">
            <v>1431</v>
          </cell>
          <cell r="EG14">
            <v>1483</v>
          </cell>
          <cell r="EH14">
            <v>1418</v>
          </cell>
          <cell r="EI14">
            <v>2098</v>
          </cell>
          <cell r="EJ14">
            <v>6430</v>
          </cell>
          <cell r="EK14" t="str">
            <v>Gross Profit</v>
          </cell>
          <cell r="EL14">
            <v>1465</v>
          </cell>
          <cell r="EM14">
            <v>1497</v>
          </cell>
          <cell r="EN14">
            <v>2243</v>
          </cell>
          <cell r="EO14">
            <v>3913</v>
          </cell>
          <cell r="EP14">
            <v>9118</v>
          </cell>
          <cell r="ER14">
            <v>2303</v>
          </cell>
          <cell r="ES14">
            <v>2525</v>
          </cell>
          <cell r="ET14">
            <v>2373</v>
          </cell>
          <cell r="EU14">
            <v>3750</v>
          </cell>
          <cell r="EV14">
            <v>10951</v>
          </cell>
          <cell r="EX14">
            <v>2357</v>
          </cell>
          <cell r="EY14">
            <v>2385</v>
          </cell>
          <cell r="EZ14">
            <v>2321</v>
          </cell>
          <cell r="FA14">
            <v>3573</v>
          </cell>
          <cell r="FB14">
            <v>10636</v>
          </cell>
          <cell r="FD14">
            <v>2220</v>
          </cell>
          <cell r="FE14">
            <v>2372</v>
          </cell>
          <cell r="FF14">
            <v>2169</v>
          </cell>
          <cell r="FG14">
            <v>3122</v>
          </cell>
          <cell r="FH14">
            <v>9883</v>
          </cell>
          <cell r="FJ14">
            <v>2009</v>
          </cell>
          <cell r="FK14">
            <v>2168</v>
          </cell>
          <cell r="FL14">
            <v>2144</v>
          </cell>
          <cell r="FM14">
            <v>3296</v>
          </cell>
          <cell r="FN14">
            <v>9617</v>
          </cell>
          <cell r="FP14">
            <v>2196</v>
          </cell>
          <cell r="FQ14">
            <v>2323</v>
          </cell>
          <cell r="FR14">
            <v>2246</v>
          </cell>
          <cell r="FS14">
            <v>3414</v>
          </cell>
          <cell r="FT14">
            <v>10179</v>
          </cell>
          <cell r="FV14">
            <v>2303</v>
          </cell>
          <cell r="FW14">
            <v>2482</v>
          </cell>
          <cell r="FX14">
            <v>2309</v>
          </cell>
          <cell r="FY14">
            <v>3573</v>
          </cell>
          <cell r="FZ14">
            <v>10667</v>
          </cell>
          <cell r="GB14">
            <v>2386</v>
          </cell>
          <cell r="GC14">
            <v>2563</v>
          </cell>
          <cell r="GD14">
            <v>2403.5870975038929</v>
          </cell>
          <cell r="GE14">
            <v>3872.1168046096464</v>
          </cell>
          <cell r="GF14">
            <v>11224.703902113539</v>
          </cell>
        </row>
        <row r="16">
          <cell r="A16" t="str">
            <v>SG&amp;A Expense</v>
          </cell>
          <cell r="C16">
            <v>1881.0170000000001</v>
          </cell>
          <cell r="D16">
            <v>2611.8339999999998</v>
          </cell>
          <cell r="E16">
            <v>2463.1280000000002</v>
          </cell>
          <cell r="F16">
            <v>2458.1280000000002</v>
          </cell>
          <cell r="G16">
            <v>2420.6839999999997</v>
          </cell>
          <cell r="H16">
            <v>2347.5460000000003</v>
          </cell>
          <cell r="I16">
            <v>2328.047</v>
          </cell>
          <cell r="K16">
            <v>4608.8310000000001</v>
          </cell>
          <cell r="L16">
            <v>4424.5330000000004</v>
          </cell>
          <cell r="N16">
            <v>4913</v>
          </cell>
          <cell r="O16">
            <v>4922</v>
          </cell>
          <cell r="P16">
            <v>4679</v>
          </cell>
          <cell r="Q16">
            <v>4692</v>
          </cell>
          <cell r="R16">
            <v>4760</v>
          </cell>
          <cell r="S16">
            <v>4912</v>
          </cell>
          <cell r="T16">
            <v>4806</v>
          </cell>
          <cell r="U16">
            <v>4836</v>
          </cell>
          <cell r="V16">
            <v>4837</v>
          </cell>
          <cell r="W16">
            <v>4931</v>
          </cell>
          <cell r="X16">
            <v>6980</v>
          </cell>
          <cell r="Y16">
            <v>8678</v>
          </cell>
          <cell r="Z16">
            <v>8554</v>
          </cell>
          <cell r="AA16">
            <v>8458</v>
          </cell>
          <cell r="AB16">
            <v>8163</v>
          </cell>
          <cell r="AC16">
            <v>8260</v>
          </cell>
          <cell r="AD16">
            <v>8281</v>
          </cell>
          <cell r="AE16">
            <v>8553.4072798862726</v>
          </cell>
          <cell r="AF16">
            <v>8800.0923077192638</v>
          </cell>
          <cell r="AG16">
            <v>8940.7771652737574</v>
          </cell>
          <cell r="AH16">
            <v>9004.2074535542979</v>
          </cell>
          <cell r="AI16">
            <v>9064.7525821041272</v>
          </cell>
          <cell r="AJ16">
            <v>9125.6081924795981</v>
          </cell>
          <cell r="AK16">
            <v>9186.7744398043687</v>
          </cell>
          <cell r="AL16">
            <v>9248.2514512563848</v>
          </cell>
          <cell r="AN16" t="str">
            <v>SG&amp;A Expense</v>
          </cell>
          <cell r="AO16">
            <v>608.81899999999996</v>
          </cell>
          <cell r="AP16">
            <v>616.54300000000001</v>
          </cell>
          <cell r="AQ16">
            <v>656.14200000000005</v>
          </cell>
          <cell r="AR16">
            <v>730.33</v>
          </cell>
          <cell r="AS16">
            <v>2611.8340000000003</v>
          </cell>
          <cell r="AU16">
            <v>597.87800000000004</v>
          </cell>
          <cell r="AV16">
            <v>589.803</v>
          </cell>
          <cell r="AW16">
            <v>624.08500000000004</v>
          </cell>
          <cell r="AX16">
            <v>651.36199999999997</v>
          </cell>
          <cell r="AY16">
            <v>2463.1280000000002</v>
          </cell>
          <cell r="BA16">
            <v>562.19899999999996</v>
          </cell>
          <cell r="BB16">
            <v>557.755</v>
          </cell>
          <cell r="BC16">
            <v>614.78200000000004</v>
          </cell>
          <cell r="BD16">
            <v>685.94799999999998</v>
          </cell>
          <cell r="BE16">
            <v>2420.6839999999997</v>
          </cell>
          <cell r="BG16">
            <v>555.61</v>
          </cell>
          <cell r="BH16">
            <v>540.18899999999996</v>
          </cell>
          <cell r="BI16">
            <v>604.58100000000002</v>
          </cell>
          <cell r="BJ16">
            <v>647.16600000000005</v>
          </cell>
          <cell r="BK16">
            <v>2347.5460000000003</v>
          </cell>
          <cell r="BM16">
            <v>542.08799999999997</v>
          </cell>
          <cell r="BN16">
            <v>534.79100000000005</v>
          </cell>
          <cell r="BO16">
            <v>611.56299999999999</v>
          </cell>
          <cell r="BP16">
            <v>639.6049999999999</v>
          </cell>
          <cell r="BQ16">
            <v>2328.047</v>
          </cell>
          <cell r="BS16">
            <v>1095.52</v>
          </cell>
          <cell r="BT16">
            <v>1083.9040000000002</v>
          </cell>
          <cell r="BU16">
            <v>1182.6087999999997</v>
          </cell>
          <cell r="BV16">
            <v>1246.7982</v>
          </cell>
          <cell r="BW16">
            <v>4608.8310000000001</v>
          </cell>
          <cell r="BY16">
            <v>1069.9590000000001</v>
          </cell>
          <cell r="BZ16">
            <v>1067.8869999999999</v>
          </cell>
          <cell r="CA16">
            <v>1107.3150000000001</v>
          </cell>
          <cell r="CB16">
            <v>168.36500000000001</v>
          </cell>
          <cell r="CC16">
            <v>1275.68</v>
          </cell>
          <cell r="CD16">
            <v>1179.3720000000001</v>
          </cell>
          <cell r="CE16">
            <v>1334.8050000000001</v>
          </cell>
          <cell r="CF16">
            <v>4424.5330000000004</v>
          </cell>
          <cell r="CG16">
            <v>4579.9660000000003</v>
          </cell>
          <cell r="CH16">
            <v>4748.3310000000001</v>
          </cell>
          <cell r="CJ16">
            <v>1153.0650000000001</v>
          </cell>
          <cell r="CK16">
            <v>1113.9839999999999</v>
          </cell>
          <cell r="CL16">
            <v>1187.6289999999999</v>
          </cell>
          <cell r="CM16">
            <v>1283.8050000000001</v>
          </cell>
          <cell r="CN16">
            <v>4738.4830000000002</v>
          </cell>
          <cell r="CP16">
            <v>1174.1659999999999</v>
          </cell>
          <cell r="CQ16">
            <v>1142.298</v>
          </cell>
          <cell r="CR16">
            <v>1191.396</v>
          </cell>
          <cell r="CS16">
            <v>1238.9000000000001</v>
          </cell>
          <cell r="CT16">
            <v>4746.76</v>
          </cell>
          <cell r="CV16">
            <v>1154</v>
          </cell>
          <cell r="CW16">
            <v>1142</v>
          </cell>
          <cell r="CX16">
            <v>1146</v>
          </cell>
          <cell r="CY16">
            <v>1250</v>
          </cell>
          <cell r="CZ16">
            <v>4692</v>
          </cell>
          <cell r="DB16">
            <v>1201</v>
          </cell>
          <cell r="DC16">
            <v>1369</v>
          </cell>
          <cell r="DD16">
            <v>1381</v>
          </cell>
          <cell r="DE16">
            <v>1621</v>
          </cell>
          <cell r="DF16">
            <v>5572</v>
          </cell>
          <cell r="DH16">
            <v>1152</v>
          </cell>
          <cell r="DI16">
            <v>1104</v>
          </cell>
          <cell r="DJ16">
            <v>1218</v>
          </cell>
          <cell r="DK16">
            <v>1438</v>
          </cell>
          <cell r="DL16">
            <v>4912</v>
          </cell>
          <cell r="DN16">
            <v>1168</v>
          </cell>
          <cell r="DO16">
            <v>1106</v>
          </cell>
          <cell r="DP16">
            <v>1185</v>
          </cell>
          <cell r="DQ16">
            <v>1285</v>
          </cell>
          <cell r="DR16">
            <v>4806</v>
          </cell>
          <cell r="DT16">
            <v>1154</v>
          </cell>
          <cell r="DU16">
            <v>1135</v>
          </cell>
          <cell r="DV16">
            <v>1179</v>
          </cell>
          <cell r="DW16">
            <v>1301</v>
          </cell>
          <cell r="DX16">
            <v>4836</v>
          </cell>
          <cell r="DZ16">
            <v>1135</v>
          </cell>
          <cell r="EA16">
            <v>1135</v>
          </cell>
          <cell r="EB16">
            <v>1193</v>
          </cell>
          <cell r="EC16">
            <v>1302</v>
          </cell>
          <cell r="ED16">
            <v>4837</v>
          </cell>
          <cell r="EF16">
            <v>1195</v>
          </cell>
          <cell r="EG16">
            <v>1207</v>
          </cell>
          <cell r="EH16">
            <v>1207</v>
          </cell>
          <cell r="EI16">
            <v>1322</v>
          </cell>
          <cell r="EJ16">
            <v>4931</v>
          </cell>
          <cell r="EK16" t="str">
            <v>SG&amp;A Expense</v>
          </cell>
          <cell r="EL16">
            <v>1213</v>
          </cell>
          <cell r="EM16">
            <v>1206</v>
          </cell>
          <cell r="EN16">
            <v>1973</v>
          </cell>
          <cell r="EO16">
            <v>2588</v>
          </cell>
          <cell r="EP16">
            <v>6980</v>
          </cell>
          <cell r="ER16">
            <v>2154</v>
          </cell>
          <cell r="ES16">
            <v>2117</v>
          </cell>
          <cell r="ET16">
            <v>2094</v>
          </cell>
          <cell r="EU16">
            <v>2313</v>
          </cell>
          <cell r="EV16">
            <v>8678</v>
          </cell>
          <cell r="EX16">
            <v>2113</v>
          </cell>
          <cell r="EY16">
            <v>2038</v>
          </cell>
          <cell r="EZ16">
            <v>2121</v>
          </cell>
          <cell r="FA16">
            <v>2282</v>
          </cell>
          <cell r="FB16">
            <v>8554</v>
          </cell>
          <cell r="FD16">
            <v>2080</v>
          </cell>
          <cell r="FE16">
            <v>2037</v>
          </cell>
          <cell r="FF16">
            <v>2085</v>
          </cell>
          <cell r="FG16">
            <v>2256</v>
          </cell>
          <cell r="FH16">
            <v>8458</v>
          </cell>
          <cell r="FJ16">
            <v>1985</v>
          </cell>
          <cell r="FK16">
            <v>1886</v>
          </cell>
          <cell r="FL16">
            <v>2056</v>
          </cell>
          <cell r="FM16">
            <v>2236</v>
          </cell>
          <cell r="FN16">
            <v>8163</v>
          </cell>
          <cell r="FP16">
            <v>1993</v>
          </cell>
          <cell r="FQ16">
            <v>1953</v>
          </cell>
          <cell r="FR16">
            <v>2069</v>
          </cell>
          <cell r="FS16">
            <v>2245</v>
          </cell>
          <cell r="FT16">
            <v>8260</v>
          </cell>
          <cell r="FV16">
            <v>1973</v>
          </cell>
          <cell r="FW16">
            <v>1976</v>
          </cell>
          <cell r="FX16">
            <v>2018</v>
          </cell>
          <cell r="FY16">
            <v>2314</v>
          </cell>
          <cell r="FZ16">
            <v>8281</v>
          </cell>
          <cell r="GB16">
            <v>1995</v>
          </cell>
          <cell r="GC16">
            <v>2009</v>
          </cell>
          <cell r="GD16">
            <v>2122.0121029772449</v>
          </cell>
          <cell r="GE16">
            <v>2427.3951769090281</v>
          </cell>
          <cell r="GF16">
            <v>8553.4072798862726</v>
          </cell>
          <cell r="GS16" t="str">
            <v>mstag:sellingGeneralAndAdministrativeExpenses</v>
          </cell>
          <cell r="GT16">
            <v>6</v>
          </cell>
          <cell r="GU16" t="str">
            <v>ISO4217:USD</v>
          </cell>
          <cell r="GV16" t="b">
            <v>0</v>
          </cell>
          <cell r="GW16" t="b">
            <v>0</v>
          </cell>
        </row>
        <row r="17">
          <cell r="A17" t="str">
            <v>Operating Income</v>
          </cell>
          <cell r="C17">
            <v>249.44800000000009</v>
          </cell>
          <cell r="D17">
            <v>135.17300000000068</v>
          </cell>
          <cell r="E17">
            <v>266.97200000000021</v>
          </cell>
          <cell r="F17">
            <v>300.90299999999979</v>
          </cell>
          <cell r="G17">
            <v>438.43400000000065</v>
          </cell>
          <cell r="H17">
            <v>510.64299999999912</v>
          </cell>
          <cell r="I17">
            <v>641.1039999999989</v>
          </cell>
          <cell r="J17">
            <v>0.28676919756182384</v>
          </cell>
          <cell r="K17">
            <v>682.80099999999948</v>
          </cell>
          <cell r="L17">
            <v>994.65099999999893</v>
          </cell>
          <cell r="N17">
            <v>663</v>
          </cell>
          <cell r="O17">
            <v>893</v>
          </cell>
          <cell r="P17">
            <v>1341</v>
          </cell>
          <cell r="Q17">
            <v>1455</v>
          </cell>
          <cell r="R17">
            <v>1693</v>
          </cell>
          <cell r="S17">
            <v>1771</v>
          </cell>
          <cell r="T17">
            <v>1376</v>
          </cell>
          <cell r="U17">
            <v>1411</v>
          </cell>
          <cell r="V17">
            <v>1400</v>
          </cell>
          <cell r="W17">
            <v>1499</v>
          </cell>
          <cell r="X17">
            <v>2138</v>
          </cell>
          <cell r="Y17">
            <v>2273</v>
          </cell>
          <cell r="Z17">
            <v>2082</v>
          </cell>
          <cell r="AA17">
            <v>1425</v>
          </cell>
          <cell r="AB17">
            <v>1454</v>
          </cell>
          <cell r="AC17">
            <v>1919</v>
          </cell>
          <cell r="AD17">
            <v>2386</v>
          </cell>
          <cell r="AE17">
            <v>2671.2966222272662</v>
          </cell>
          <cell r="AF17">
            <v>2777.5915838515466</v>
          </cell>
          <cell r="AG17">
            <v>2903.3832369986631</v>
          </cell>
          <cell r="AH17">
            <v>2933.4651235252149</v>
          </cell>
          <cell r="AI17">
            <v>2933.3028287747547</v>
          </cell>
          <cell r="AJ17">
            <v>2992.4277725080719</v>
          </cell>
          <cell r="AK17">
            <v>3052.4418848331807</v>
          </cell>
          <cell r="AL17">
            <v>3113.3570366275362</v>
          </cell>
          <cell r="AN17" t="str">
            <v>Operating Income</v>
          </cell>
          <cell r="AO17">
            <v>26.448000000000093</v>
          </cell>
          <cell r="AP17">
            <v>-40.062000000000012</v>
          </cell>
          <cell r="AQ17">
            <v>42.317999999999984</v>
          </cell>
          <cell r="AR17">
            <v>106.46899999999994</v>
          </cell>
          <cell r="AS17">
            <v>135.173</v>
          </cell>
          <cell r="AU17">
            <v>41.520000000000095</v>
          </cell>
          <cell r="AV17">
            <v>8.5089999999999009</v>
          </cell>
          <cell r="AW17">
            <v>53.267000000000053</v>
          </cell>
          <cell r="AX17">
            <v>163.67600000000027</v>
          </cell>
          <cell r="AY17">
            <v>266.97200000000032</v>
          </cell>
          <cell r="BA17">
            <v>84.661000000000172</v>
          </cell>
          <cell r="BB17">
            <v>31.674999999999955</v>
          </cell>
          <cell r="BC17">
            <v>110.76799999999992</v>
          </cell>
          <cell r="BD17">
            <v>211.33000000000004</v>
          </cell>
          <cell r="BE17">
            <v>438.43400000000008</v>
          </cell>
          <cell r="BG17">
            <v>86.781000000000063</v>
          </cell>
          <cell r="BH17">
            <v>62.034999999999968</v>
          </cell>
          <cell r="BI17">
            <v>107.38199999999995</v>
          </cell>
          <cell r="BJ17">
            <v>254.44499999999982</v>
          </cell>
          <cell r="BK17">
            <v>510.64299999999912</v>
          </cell>
          <cell r="BM17">
            <v>108.60800000000017</v>
          </cell>
          <cell r="BN17">
            <v>86.573999999999842</v>
          </cell>
          <cell r="BO17">
            <v>132.697</v>
          </cell>
          <cell r="BP17">
            <v>313.22500000000002</v>
          </cell>
          <cell r="BQ17">
            <v>641.1039999999989</v>
          </cell>
          <cell r="BS17">
            <v>60.500999999999976</v>
          </cell>
          <cell r="BT17">
            <v>32.076000000000022</v>
          </cell>
          <cell r="BU17">
            <v>124.07500000000005</v>
          </cell>
          <cell r="BV17">
            <v>466.14900000000011</v>
          </cell>
          <cell r="BW17">
            <v>682.80099999999948</v>
          </cell>
          <cell r="BY17">
            <v>95.886999999999716</v>
          </cell>
          <cell r="BZ17">
            <v>116.19800000000009</v>
          </cell>
          <cell r="CA17">
            <v>186.59699999999975</v>
          </cell>
          <cell r="CB17">
            <v>-42.526000000000238</v>
          </cell>
          <cell r="CC17">
            <v>144.11199999999985</v>
          </cell>
          <cell r="CD17">
            <v>595.96899999999982</v>
          </cell>
          <cell r="CE17">
            <v>625.72399999999948</v>
          </cell>
          <cell r="CF17">
            <v>994.65099999999893</v>
          </cell>
          <cell r="CG17">
            <v>1024.405999999999</v>
          </cell>
          <cell r="CH17">
            <v>981.87999999999738</v>
          </cell>
          <cell r="CJ17">
            <v>132.98699999999985</v>
          </cell>
          <cell r="CK17">
            <v>174.67100000000005</v>
          </cell>
          <cell r="CL17">
            <v>231.61600000000044</v>
          </cell>
          <cell r="CM17">
            <v>662.59099999999967</v>
          </cell>
          <cell r="CN17">
            <v>1201.8649999999998</v>
          </cell>
          <cell r="CP17">
            <v>148.06000000000017</v>
          </cell>
          <cell r="CQ17">
            <v>211.86000000000035</v>
          </cell>
          <cell r="CR17">
            <v>267.96100000000001</v>
          </cell>
          <cell r="CS17">
            <v>712.904</v>
          </cell>
          <cell r="CT17">
            <v>1340.7850000000005</v>
          </cell>
          <cell r="CV17">
            <v>181</v>
          </cell>
          <cell r="CW17">
            <v>267</v>
          </cell>
          <cell r="CX17">
            <v>257</v>
          </cell>
          <cell r="CY17">
            <v>750</v>
          </cell>
          <cell r="CZ17">
            <v>1455</v>
          </cell>
          <cell r="DB17">
            <v>225</v>
          </cell>
          <cell r="DC17">
            <v>318</v>
          </cell>
          <cell r="DD17">
            <v>302</v>
          </cell>
          <cell r="DE17">
            <v>856</v>
          </cell>
          <cell r="DF17">
            <v>1701</v>
          </cell>
          <cell r="DH17">
            <v>269</v>
          </cell>
          <cell r="DI17">
            <v>402</v>
          </cell>
          <cell r="DJ17">
            <v>269</v>
          </cell>
          <cell r="DK17">
            <v>831</v>
          </cell>
          <cell r="DL17">
            <v>1771</v>
          </cell>
          <cell r="DN17">
            <v>230</v>
          </cell>
          <cell r="DO17">
            <v>254</v>
          </cell>
          <cell r="DP17">
            <v>156</v>
          </cell>
          <cell r="DQ17">
            <v>736</v>
          </cell>
          <cell r="DR17">
            <v>1376</v>
          </cell>
          <cell r="DT17">
            <v>221</v>
          </cell>
          <cell r="DU17">
            <v>300</v>
          </cell>
          <cell r="DV17">
            <v>188</v>
          </cell>
          <cell r="DW17">
            <v>702</v>
          </cell>
          <cell r="DX17">
            <v>1411</v>
          </cell>
          <cell r="DZ17">
            <v>154</v>
          </cell>
          <cell r="EA17">
            <v>274</v>
          </cell>
          <cell r="EB17">
            <v>202</v>
          </cell>
          <cell r="EC17">
            <v>770</v>
          </cell>
          <cell r="ED17">
            <v>1400</v>
          </cell>
          <cell r="EF17">
            <v>236</v>
          </cell>
          <cell r="EG17">
            <v>276</v>
          </cell>
          <cell r="EH17">
            <v>211</v>
          </cell>
          <cell r="EI17">
            <v>776</v>
          </cell>
          <cell r="EJ17">
            <v>1499</v>
          </cell>
          <cell r="EK17" t="str">
            <v>Operating Income</v>
          </cell>
          <cell r="EL17">
            <v>252</v>
          </cell>
          <cell r="EM17">
            <v>291</v>
          </cell>
          <cell r="EN17">
            <v>270</v>
          </cell>
          <cell r="EO17">
            <v>1325</v>
          </cell>
          <cell r="EP17">
            <v>2138</v>
          </cell>
          <cell r="ER17">
            <v>149</v>
          </cell>
          <cell r="ES17">
            <v>408</v>
          </cell>
          <cell r="ET17">
            <v>279</v>
          </cell>
          <cell r="EU17">
            <v>1437</v>
          </cell>
          <cell r="EV17">
            <v>2273</v>
          </cell>
          <cell r="EX17">
            <v>244</v>
          </cell>
          <cell r="EY17">
            <v>347</v>
          </cell>
          <cell r="EZ17">
            <v>200</v>
          </cell>
          <cell r="FA17">
            <v>1291</v>
          </cell>
          <cell r="FB17">
            <v>2082</v>
          </cell>
          <cell r="FD17">
            <v>140</v>
          </cell>
          <cell r="FE17">
            <v>335</v>
          </cell>
          <cell r="FF17">
            <v>84</v>
          </cell>
          <cell r="FG17">
            <v>866</v>
          </cell>
          <cell r="FH17">
            <v>1425</v>
          </cell>
          <cell r="FJ17">
            <v>24</v>
          </cell>
          <cell r="FK17">
            <v>282</v>
          </cell>
          <cell r="FL17">
            <v>88</v>
          </cell>
          <cell r="FM17">
            <v>1060</v>
          </cell>
          <cell r="FN17">
            <v>1454</v>
          </cell>
          <cell r="FP17">
            <v>203</v>
          </cell>
          <cell r="FQ17">
            <v>370</v>
          </cell>
          <cell r="FR17">
            <v>177</v>
          </cell>
          <cell r="FS17">
            <v>1169</v>
          </cell>
          <cell r="FT17">
            <v>1919</v>
          </cell>
          <cell r="FV17">
            <v>330</v>
          </cell>
          <cell r="FW17">
            <v>506</v>
          </cell>
          <cell r="FX17">
            <v>291</v>
          </cell>
          <cell r="FY17">
            <v>1259</v>
          </cell>
          <cell r="FZ17">
            <v>2386</v>
          </cell>
          <cell r="GB17">
            <v>391</v>
          </cell>
          <cell r="GC17">
            <v>554</v>
          </cell>
          <cell r="GD17">
            <v>281.57499452664797</v>
          </cell>
          <cell r="GE17">
            <v>1444.7216277006182</v>
          </cell>
          <cell r="GF17">
            <v>2671.2966222272662</v>
          </cell>
        </row>
        <row r="19">
          <cell r="A19" t="str">
            <v xml:space="preserve">Interest Expense, net </v>
          </cell>
          <cell r="C19">
            <v>806.66499999999996</v>
          </cell>
          <cell r="D19">
            <v>555.94200000000001</v>
          </cell>
          <cell r="E19">
            <v>436.99700000000001</v>
          </cell>
          <cell r="F19">
            <v>224.37599999999998</v>
          </cell>
          <cell r="G19">
            <v>197.85400000000001</v>
          </cell>
          <cell r="H19">
            <v>164.13899999999998</v>
          </cell>
          <cell r="I19">
            <v>199.44799999999998</v>
          </cell>
          <cell r="K19">
            <v>448</v>
          </cell>
          <cell r="L19">
            <v>413.26499999999999</v>
          </cell>
          <cell r="N19">
            <v>461</v>
          </cell>
          <cell r="O19">
            <v>452</v>
          </cell>
          <cell r="P19">
            <v>383</v>
          </cell>
          <cell r="Q19">
            <v>292</v>
          </cell>
          <cell r="R19">
            <v>307</v>
          </cell>
          <cell r="S19">
            <v>321</v>
          </cell>
          <cell r="T19">
            <v>324</v>
          </cell>
          <cell r="U19">
            <v>295</v>
          </cell>
          <cell r="V19">
            <v>257</v>
          </cell>
          <cell r="W19">
            <v>225</v>
          </cell>
          <cell r="X19">
            <v>397</v>
          </cell>
          <cell r="Y19">
            <v>461</v>
          </cell>
          <cell r="Z19">
            <v>543</v>
          </cell>
          <cell r="AA19">
            <v>560</v>
          </cell>
          <cell r="AB19">
            <v>556</v>
          </cell>
          <cell r="AC19">
            <v>574</v>
          </cell>
          <cell r="AD19">
            <v>443</v>
          </cell>
          <cell r="AE19">
            <v>437.94267925414607</v>
          </cell>
          <cell r="AF19">
            <v>437.64689230808881</v>
          </cell>
          <cell r="AG19">
            <v>333.89684092277935</v>
          </cell>
          <cell r="AH19">
            <v>328.47781900841903</v>
          </cell>
          <cell r="AI19">
            <v>261.10044333485752</v>
          </cell>
          <cell r="AJ19">
            <v>217.66232702027793</v>
          </cell>
          <cell r="AK19">
            <v>193.03041288077011</v>
          </cell>
          <cell r="AL19">
            <v>185.41379199688066</v>
          </cell>
          <cell r="AN19" t="str">
            <v xml:space="preserve">Interest Expense, net </v>
          </cell>
          <cell r="AO19">
            <v>150.16</v>
          </cell>
          <cell r="AP19">
            <v>137.041</v>
          </cell>
          <cell r="AQ19">
            <v>134.49700000000001</v>
          </cell>
          <cell r="AR19">
            <v>134.244</v>
          </cell>
          <cell r="AS19">
            <v>555.94200000000001</v>
          </cell>
          <cell r="AU19">
            <v>115.88100000000001</v>
          </cell>
          <cell r="AV19">
            <v>110.38499999999999</v>
          </cell>
          <cell r="AW19">
            <v>109.601</v>
          </cell>
          <cell r="AX19">
            <v>101.13</v>
          </cell>
          <cell r="AY19">
            <v>436.99700000000001</v>
          </cell>
          <cell r="BA19">
            <v>57.285000000000011</v>
          </cell>
          <cell r="BB19">
            <v>49.753999999999998</v>
          </cell>
          <cell r="BC19">
            <v>43.933</v>
          </cell>
          <cell r="BD19">
            <v>46.881999999999998</v>
          </cell>
          <cell r="BE19">
            <v>197.85400000000001</v>
          </cell>
          <cell r="BG19">
            <v>43.271999999999998</v>
          </cell>
          <cell r="BH19">
            <v>40.268999999999998</v>
          </cell>
          <cell r="BI19">
            <v>39.991999999999997</v>
          </cell>
          <cell r="BJ19">
            <v>40.606000000000002</v>
          </cell>
          <cell r="BK19">
            <v>164.13899999999998</v>
          </cell>
          <cell r="BM19">
            <v>45.338999999999999</v>
          </cell>
          <cell r="BN19">
            <v>48.698</v>
          </cell>
          <cell r="BO19">
            <v>50.985999999999997</v>
          </cell>
          <cell r="BP19">
            <v>54.424999999999997</v>
          </cell>
          <cell r="BQ19">
            <v>199.44799999999998</v>
          </cell>
          <cell r="BS19">
            <v>103.04</v>
          </cell>
          <cell r="BT19">
            <v>109.75999999999999</v>
          </cell>
          <cell r="BU19">
            <v>114.24000000000001</v>
          </cell>
          <cell r="BV19">
            <v>120.96000000000001</v>
          </cell>
          <cell r="BW19">
            <v>448</v>
          </cell>
          <cell r="BY19">
            <v>97.552000000000007</v>
          </cell>
          <cell r="BZ19">
            <v>103.21599999999999</v>
          </cell>
          <cell r="CA19">
            <v>104.617</v>
          </cell>
          <cell r="CB19">
            <v>25.671999999999983</v>
          </cell>
          <cell r="CC19">
            <v>130.28899999999999</v>
          </cell>
          <cell r="CD19">
            <v>107.88</v>
          </cell>
          <cell r="CE19">
            <v>129.971</v>
          </cell>
          <cell r="CF19">
            <v>413.26499999999999</v>
          </cell>
          <cell r="CG19">
            <v>435.35599999999999</v>
          </cell>
          <cell r="CH19">
            <v>461.02799999999996</v>
          </cell>
          <cell r="CJ19">
            <v>112.28100000000001</v>
          </cell>
          <cell r="CK19">
            <v>115.614</v>
          </cell>
          <cell r="CL19">
            <v>113.361</v>
          </cell>
          <cell r="CM19">
            <v>110.508</v>
          </cell>
          <cell r="CN19">
            <v>451.76400000000001</v>
          </cell>
          <cell r="CP19">
            <v>104.377</v>
          </cell>
          <cell r="CQ19">
            <v>99.263000000000005</v>
          </cell>
          <cell r="CR19">
            <v>91.878</v>
          </cell>
          <cell r="CS19">
            <v>86.977000000000004</v>
          </cell>
          <cell r="CT19">
            <v>382.495</v>
          </cell>
          <cell r="CV19">
            <v>77</v>
          </cell>
          <cell r="CW19">
            <v>74</v>
          </cell>
          <cell r="CX19">
            <v>72</v>
          </cell>
          <cell r="CY19">
            <v>69</v>
          </cell>
          <cell r="CZ19">
            <v>292</v>
          </cell>
          <cell r="DB19">
            <v>75</v>
          </cell>
          <cell r="DC19">
            <v>85</v>
          </cell>
          <cell r="DD19">
            <v>91</v>
          </cell>
          <cell r="DE19">
            <v>104</v>
          </cell>
          <cell r="DF19">
            <v>355</v>
          </cell>
          <cell r="DH19">
            <v>69</v>
          </cell>
          <cell r="DI19">
            <v>78</v>
          </cell>
          <cell r="DJ19">
            <v>84</v>
          </cell>
          <cell r="DK19">
            <v>90</v>
          </cell>
          <cell r="DL19">
            <v>321</v>
          </cell>
          <cell r="DN19">
            <v>78</v>
          </cell>
          <cell r="DO19">
            <v>78</v>
          </cell>
          <cell r="DP19">
            <v>80</v>
          </cell>
          <cell r="DQ19">
            <v>88</v>
          </cell>
          <cell r="DR19">
            <v>324</v>
          </cell>
          <cell r="DT19">
            <v>74</v>
          </cell>
          <cell r="DU19">
            <v>78</v>
          </cell>
          <cell r="DV19">
            <v>73</v>
          </cell>
          <cell r="DW19">
            <v>70</v>
          </cell>
          <cell r="DX19">
            <v>295</v>
          </cell>
          <cell r="DZ19">
            <v>70</v>
          </cell>
          <cell r="EA19">
            <v>65</v>
          </cell>
          <cell r="EB19">
            <v>61</v>
          </cell>
          <cell r="EC19">
            <v>61</v>
          </cell>
          <cell r="ED19">
            <v>257</v>
          </cell>
          <cell r="EF19">
            <v>60</v>
          </cell>
          <cell r="EG19">
            <v>60</v>
          </cell>
          <cell r="EH19">
            <v>55</v>
          </cell>
          <cell r="EI19">
            <v>50</v>
          </cell>
          <cell r="EJ19">
            <v>225</v>
          </cell>
          <cell r="EK19" t="str">
            <v xml:space="preserve">Interest Expense, net </v>
          </cell>
          <cell r="EL19">
            <v>54</v>
          </cell>
          <cell r="EM19">
            <v>54</v>
          </cell>
          <cell r="EN19">
            <v>145</v>
          </cell>
          <cell r="EO19">
            <v>144</v>
          </cell>
          <cell r="EP19">
            <v>397</v>
          </cell>
          <cell r="ER19">
            <v>138</v>
          </cell>
          <cell r="ES19">
            <v>116</v>
          </cell>
          <cell r="ET19">
            <v>104</v>
          </cell>
          <cell r="EU19">
            <v>103</v>
          </cell>
          <cell r="EV19">
            <v>461</v>
          </cell>
          <cell r="EX19">
            <v>125</v>
          </cell>
          <cell r="EY19">
            <v>137</v>
          </cell>
          <cell r="EZ19">
            <v>145</v>
          </cell>
          <cell r="FA19">
            <v>136</v>
          </cell>
          <cell r="FB19">
            <v>543</v>
          </cell>
          <cell r="FD19">
            <v>136</v>
          </cell>
          <cell r="FE19">
            <v>138</v>
          </cell>
          <cell r="FF19">
            <v>143</v>
          </cell>
          <cell r="FG19">
            <v>143</v>
          </cell>
          <cell r="FH19">
            <v>560</v>
          </cell>
          <cell r="FJ19">
            <v>141</v>
          </cell>
          <cell r="FK19">
            <v>139</v>
          </cell>
          <cell r="FL19">
            <v>137</v>
          </cell>
          <cell r="FM19">
            <v>139</v>
          </cell>
          <cell r="FN19">
            <v>556</v>
          </cell>
          <cell r="FP19">
            <v>162</v>
          </cell>
          <cell r="FQ19">
            <v>130</v>
          </cell>
          <cell r="FR19">
            <v>164</v>
          </cell>
          <cell r="FS19">
            <v>118</v>
          </cell>
          <cell r="FT19">
            <v>574</v>
          </cell>
          <cell r="FV19">
            <v>116</v>
          </cell>
          <cell r="FW19">
            <v>111</v>
          </cell>
          <cell r="FX19">
            <v>108</v>
          </cell>
          <cell r="FY19">
            <v>108</v>
          </cell>
          <cell r="FZ19">
            <v>443</v>
          </cell>
          <cell r="GB19">
            <v>112</v>
          </cell>
          <cell r="GC19">
            <v>105</v>
          </cell>
          <cell r="GD19">
            <v>106.92000000000002</v>
          </cell>
          <cell r="GE19">
            <v>114.02267925414607</v>
          </cell>
          <cell r="GF19">
            <v>437.94267925414607</v>
          </cell>
          <cell r="GS19" t="str">
            <v>mstag:interestExpense</v>
          </cell>
          <cell r="GT19">
            <v>6</v>
          </cell>
          <cell r="GU19" t="str">
            <v>ISO4217:USD</v>
          </cell>
          <cell r="GV19" t="b">
            <v>0</v>
          </cell>
          <cell r="GW19" t="b">
            <v>0</v>
          </cell>
        </row>
        <row r="20">
          <cell r="A20" t="str">
            <v>LIFO Charge</v>
          </cell>
          <cell r="C20">
            <v>0</v>
          </cell>
          <cell r="D20">
            <v>0</v>
          </cell>
          <cell r="E20">
            <v>0</v>
          </cell>
          <cell r="F20">
            <v>23.248000000000001</v>
          </cell>
          <cell r="G20">
            <v>8.5730000000000022</v>
          </cell>
          <cell r="H20">
            <v>2.7240000000000002</v>
          </cell>
          <cell r="I20">
            <v>-11.271000000000001</v>
          </cell>
          <cell r="K20">
            <v>-2.0990000000000002</v>
          </cell>
          <cell r="L20">
            <v>-0.2390000000000001</v>
          </cell>
          <cell r="AN20" t="str">
            <v>LIFO Charge</v>
          </cell>
          <cell r="AO20">
            <v>0</v>
          </cell>
          <cell r="AP20">
            <v>0</v>
          </cell>
          <cell r="AQ20">
            <v>0</v>
          </cell>
          <cell r="AR20">
            <v>0</v>
          </cell>
          <cell r="AS20">
            <v>0</v>
          </cell>
          <cell r="AU20">
            <v>0</v>
          </cell>
          <cell r="AV20">
            <v>0</v>
          </cell>
          <cell r="AW20">
            <v>0</v>
          </cell>
          <cell r="AX20">
            <v>10.055999999999999</v>
          </cell>
          <cell r="AY20">
            <v>23.248000000000001</v>
          </cell>
          <cell r="BA20">
            <v>4.4000000000000004</v>
          </cell>
          <cell r="BB20">
            <v>4.4000000000000004</v>
          </cell>
          <cell r="BC20">
            <v>11.3</v>
          </cell>
          <cell r="BD20">
            <v>-11.526999999999999</v>
          </cell>
          <cell r="BE20">
            <v>8.5730000000000022</v>
          </cell>
          <cell r="BG20">
            <v>3.85</v>
          </cell>
          <cell r="BH20">
            <v>3.6749999999999998</v>
          </cell>
          <cell r="BI20">
            <v>4.375</v>
          </cell>
          <cell r="BJ20">
            <v>-9.1760000000000002</v>
          </cell>
          <cell r="BK20">
            <v>2.7240000000000002</v>
          </cell>
          <cell r="BM20">
            <v>5.2009999999999996</v>
          </cell>
          <cell r="BN20">
            <v>0.60399999999999998</v>
          </cell>
          <cell r="BO20">
            <v>3.375</v>
          </cell>
          <cell r="BP20">
            <v>-20.451000000000001</v>
          </cell>
          <cell r="BQ20">
            <v>-11.271000000000001</v>
          </cell>
          <cell r="BS20">
            <v>10.201000000000001</v>
          </cell>
          <cell r="BT20">
            <v>2.2759999999999998</v>
          </cell>
          <cell r="BU20">
            <v>5.875</v>
          </cell>
          <cell r="BV20">
            <v>-20.451000000000001</v>
          </cell>
          <cell r="BW20">
            <v>-2.0990000000000002</v>
          </cell>
          <cell r="BY20">
            <v>1.7609999999999999</v>
          </cell>
          <cell r="BZ20">
            <v>0</v>
          </cell>
          <cell r="CA20">
            <v>0</v>
          </cell>
          <cell r="CB20">
            <v>0</v>
          </cell>
          <cell r="CC20">
            <v>0</v>
          </cell>
          <cell r="CD20">
            <v>-2</v>
          </cell>
          <cell r="CE20">
            <v>-1.7609999999999999</v>
          </cell>
          <cell r="CF20">
            <v>-0.2390000000000001</v>
          </cell>
          <cell r="CG20">
            <v>0</v>
          </cell>
          <cell r="CH20">
            <v>0</v>
          </cell>
        </row>
        <row r="21">
          <cell r="A21" t="str">
            <v>Pre-Tax Extraordinary Charges (FYins)</v>
          </cell>
          <cell r="C21">
            <v>1209.9270000000001</v>
          </cell>
          <cell r="D21">
            <v>127.032</v>
          </cell>
          <cell r="E21">
            <v>1679.9359999999999</v>
          </cell>
          <cell r="F21">
            <v>0</v>
          </cell>
          <cell r="G21">
            <v>0</v>
          </cell>
          <cell r="H21">
            <v>-24</v>
          </cell>
          <cell r="I21">
            <v>25.204999999999998</v>
          </cell>
          <cell r="K21">
            <v>144.60500000000002</v>
          </cell>
          <cell r="L21">
            <v>276.92599999999999</v>
          </cell>
          <cell r="N21">
            <v>0</v>
          </cell>
          <cell r="O21">
            <v>0</v>
          </cell>
          <cell r="P21">
            <v>0</v>
          </cell>
          <cell r="Q21">
            <v>0</v>
          </cell>
          <cell r="R21">
            <v>0</v>
          </cell>
          <cell r="S21">
            <v>80</v>
          </cell>
          <cell r="T21">
            <v>272</v>
          </cell>
          <cell r="U21">
            <v>68</v>
          </cell>
          <cell r="V21">
            <v>59</v>
          </cell>
          <cell r="W21">
            <v>158</v>
          </cell>
          <cell r="X21">
            <v>-303</v>
          </cell>
          <cell r="Y21">
            <v>437</v>
          </cell>
          <cell r="Z21">
            <v>219</v>
          </cell>
          <cell r="AA21">
            <v>421</v>
          </cell>
          <cell r="AB21">
            <v>391</v>
          </cell>
          <cell r="AC21">
            <v>25</v>
          </cell>
          <cell r="AD21">
            <v>-25</v>
          </cell>
          <cell r="AE21">
            <v>0</v>
          </cell>
          <cell r="AF21">
            <v>0</v>
          </cell>
          <cell r="AG21">
            <v>0</v>
          </cell>
          <cell r="AH21">
            <v>0</v>
          </cell>
          <cell r="AI21">
            <v>0</v>
          </cell>
          <cell r="AJ21">
            <v>0</v>
          </cell>
          <cell r="AK21">
            <v>0</v>
          </cell>
          <cell r="AL21">
            <v>0</v>
          </cell>
          <cell r="AN21" t="str">
            <v>Pre-Tax Extraordinary Charges (FYins)</v>
          </cell>
          <cell r="AO21">
            <v>19.689</v>
          </cell>
          <cell r="AP21">
            <v>9.3439999999999994</v>
          </cell>
          <cell r="AQ21">
            <v>29.286000000000001</v>
          </cell>
          <cell r="AR21">
            <v>68.712999999999994</v>
          </cell>
          <cell r="AS21">
            <v>127.032</v>
          </cell>
          <cell r="AU21">
            <v>10.657</v>
          </cell>
          <cell r="AV21">
            <v>108.504</v>
          </cell>
          <cell r="AW21">
            <v>23.658000000000001</v>
          </cell>
          <cell r="AX21">
            <v>1537.117</v>
          </cell>
          <cell r="AY21">
            <v>1679.9359999999999</v>
          </cell>
          <cell r="BA21">
            <v>0</v>
          </cell>
          <cell r="BB21">
            <v>0</v>
          </cell>
          <cell r="BC21">
            <v>0</v>
          </cell>
          <cell r="BD21">
            <v>0</v>
          </cell>
          <cell r="BE21">
            <v>0</v>
          </cell>
          <cell r="BG21">
            <v>0</v>
          </cell>
          <cell r="BH21">
            <v>0</v>
          </cell>
          <cell r="BI21">
            <v>0</v>
          </cell>
          <cell r="BJ21">
            <v>-24</v>
          </cell>
          <cell r="BK21">
            <v>-24</v>
          </cell>
          <cell r="BM21">
            <v>0</v>
          </cell>
          <cell r="BN21">
            <v>27.004999999999999</v>
          </cell>
          <cell r="BO21">
            <v>0</v>
          </cell>
          <cell r="BP21">
            <v>-1.8000000000000007</v>
          </cell>
          <cell r="BQ21">
            <v>25.204999999999998</v>
          </cell>
          <cell r="BS21">
            <v>0</v>
          </cell>
          <cell r="BT21">
            <v>7.5050000000000026</v>
          </cell>
          <cell r="BU21">
            <v>80</v>
          </cell>
          <cell r="BV21">
            <v>57.100000000000009</v>
          </cell>
          <cell r="BW21">
            <v>144.60500000000002</v>
          </cell>
          <cell r="BY21">
            <v>83.322000000000003</v>
          </cell>
          <cell r="BZ21">
            <v>114.604</v>
          </cell>
          <cell r="CA21">
            <v>39</v>
          </cell>
          <cell r="CB21">
            <v>0</v>
          </cell>
          <cell r="CC21">
            <v>39.134</v>
          </cell>
          <cell r="CD21">
            <v>40</v>
          </cell>
          <cell r="CE21">
            <v>82.450999999999993</v>
          </cell>
          <cell r="CF21">
            <v>276.92599999999999</v>
          </cell>
          <cell r="CG21">
            <v>319.37699999999995</v>
          </cell>
          <cell r="CH21">
            <v>319.37699999999995</v>
          </cell>
          <cell r="CJ21">
            <v>77.7</v>
          </cell>
          <cell r="CK21">
            <v>98.917000000000002</v>
          </cell>
          <cell r="CL21">
            <v>44.304000000000002</v>
          </cell>
          <cell r="CM21">
            <v>87.721999999999994</v>
          </cell>
          <cell r="CN21">
            <v>308.64300000000003</v>
          </cell>
          <cell r="CP21">
            <v>0</v>
          </cell>
          <cell r="CQ21">
            <v>0</v>
          </cell>
          <cell r="CR21">
            <v>0</v>
          </cell>
          <cell r="CS21">
            <v>0</v>
          </cell>
          <cell r="CT21">
            <v>0</v>
          </cell>
          <cell r="CV21">
            <v>0</v>
          </cell>
          <cell r="CW21">
            <v>0</v>
          </cell>
          <cell r="CX21">
            <v>0</v>
          </cell>
          <cell r="CY21">
            <v>0</v>
          </cell>
          <cell r="CZ21">
            <v>0</v>
          </cell>
          <cell r="DB21">
            <v>0</v>
          </cell>
          <cell r="DC21">
            <v>0</v>
          </cell>
          <cell r="DD21">
            <v>0</v>
          </cell>
          <cell r="DE21">
            <v>0</v>
          </cell>
          <cell r="DF21">
            <v>0</v>
          </cell>
          <cell r="DH21">
            <v>0</v>
          </cell>
          <cell r="DI21">
            <v>0</v>
          </cell>
          <cell r="DJ21">
            <v>0</v>
          </cell>
          <cell r="DK21">
            <v>80</v>
          </cell>
          <cell r="DL21">
            <v>80</v>
          </cell>
          <cell r="DN21">
            <v>52</v>
          </cell>
          <cell r="DO21">
            <v>41</v>
          </cell>
          <cell r="DP21">
            <v>30</v>
          </cell>
          <cell r="DQ21">
            <v>149</v>
          </cell>
          <cell r="DR21">
            <v>272</v>
          </cell>
          <cell r="DT21">
            <v>0</v>
          </cell>
          <cell r="DU21">
            <v>0</v>
          </cell>
          <cell r="DV21">
            <v>0</v>
          </cell>
          <cell r="DW21">
            <v>68</v>
          </cell>
          <cell r="DX21">
            <v>68</v>
          </cell>
          <cell r="DZ21">
            <v>8</v>
          </cell>
          <cell r="EA21">
            <v>10</v>
          </cell>
          <cell r="EB21">
            <v>29</v>
          </cell>
          <cell r="EC21">
            <v>12</v>
          </cell>
          <cell r="ED21">
            <v>59</v>
          </cell>
          <cell r="EF21">
            <v>19</v>
          </cell>
          <cell r="EG21">
            <v>90</v>
          </cell>
          <cell r="EH21">
            <v>36</v>
          </cell>
          <cell r="EI21">
            <v>13</v>
          </cell>
          <cell r="EJ21">
            <v>158</v>
          </cell>
          <cell r="EK21" t="str">
            <v>Pre-Tax Extraordinary Charges (FYins)</v>
          </cell>
          <cell r="EL21">
            <v>0</v>
          </cell>
          <cell r="EM21">
            <v>0</v>
          </cell>
          <cell r="EN21">
            <v>-417</v>
          </cell>
          <cell r="EO21">
            <v>114</v>
          </cell>
          <cell r="EP21">
            <v>-303</v>
          </cell>
          <cell r="ER21">
            <v>129</v>
          </cell>
          <cell r="ES21">
            <v>-14</v>
          </cell>
          <cell r="ET21">
            <v>145</v>
          </cell>
          <cell r="EU21">
            <v>177</v>
          </cell>
          <cell r="EV21">
            <v>437</v>
          </cell>
          <cell r="EX21">
            <v>36</v>
          </cell>
          <cell r="EY21">
            <v>97</v>
          </cell>
          <cell r="EZ21">
            <v>17</v>
          </cell>
          <cell r="FA21">
            <v>69</v>
          </cell>
          <cell r="FB21">
            <v>219</v>
          </cell>
          <cell r="FD21">
            <v>110</v>
          </cell>
          <cell r="FE21">
            <v>76</v>
          </cell>
          <cell r="FF21">
            <v>16</v>
          </cell>
          <cell r="FG21">
            <v>219</v>
          </cell>
          <cell r="FH21">
            <v>421</v>
          </cell>
          <cell r="FJ21">
            <v>138</v>
          </cell>
          <cell r="FK21">
            <v>34</v>
          </cell>
          <cell r="FL21">
            <v>33</v>
          </cell>
          <cell r="FM21">
            <v>186</v>
          </cell>
          <cell r="FN21">
            <v>391</v>
          </cell>
          <cell r="FP21">
            <v>0</v>
          </cell>
          <cell r="FQ21">
            <v>0</v>
          </cell>
          <cell r="FR21">
            <v>0</v>
          </cell>
          <cell r="FS21">
            <v>25</v>
          </cell>
          <cell r="FT21">
            <v>25</v>
          </cell>
          <cell r="FV21">
            <v>0</v>
          </cell>
          <cell r="FW21">
            <v>0</v>
          </cell>
          <cell r="FX21">
            <v>0</v>
          </cell>
          <cell r="FY21">
            <v>-25</v>
          </cell>
          <cell r="FZ21">
            <v>-25</v>
          </cell>
          <cell r="GB21">
            <v>0</v>
          </cell>
          <cell r="GC21">
            <v>0</v>
          </cell>
          <cell r="GD21">
            <v>0</v>
          </cell>
          <cell r="GE21">
            <v>0</v>
          </cell>
          <cell r="GF21">
            <v>0</v>
          </cell>
        </row>
        <row r="23">
          <cell r="A23" t="str">
            <v>Pretax Income</v>
          </cell>
          <cell r="C23">
            <v>-1767.144</v>
          </cell>
          <cell r="D23">
            <v>-547.80099999999936</v>
          </cell>
          <cell r="E23">
            <v>-1849.9609999999998</v>
          </cell>
          <cell r="F23">
            <v>53.278999999999812</v>
          </cell>
          <cell r="G23">
            <v>232.00700000000063</v>
          </cell>
          <cell r="H23">
            <v>367.77999999999912</v>
          </cell>
          <cell r="I23">
            <v>427.72199999999896</v>
          </cell>
          <cell r="J23">
            <v>1.0023277888444908</v>
          </cell>
          <cell r="K23">
            <v>92.294999999999447</v>
          </cell>
          <cell r="L23">
            <v>304.69899999999899</v>
          </cell>
          <cell r="N23">
            <v>202</v>
          </cell>
          <cell r="O23">
            <v>441</v>
          </cell>
          <cell r="P23">
            <v>958</v>
          </cell>
          <cell r="Q23">
            <v>1163</v>
          </cell>
          <cell r="R23">
            <v>1386</v>
          </cell>
          <cell r="S23">
            <v>1370</v>
          </cell>
          <cell r="T23">
            <v>780</v>
          </cell>
          <cell r="U23">
            <v>1048</v>
          </cell>
          <cell r="V23">
            <v>1084</v>
          </cell>
          <cell r="W23">
            <v>1116</v>
          </cell>
          <cell r="X23">
            <v>2044</v>
          </cell>
          <cell r="Y23">
            <v>1375</v>
          </cell>
          <cell r="Z23">
            <v>1320</v>
          </cell>
          <cell r="AA23">
            <v>444</v>
          </cell>
          <cell r="AB23">
            <v>507</v>
          </cell>
          <cell r="AC23">
            <v>1320</v>
          </cell>
          <cell r="AD23">
            <v>1968</v>
          </cell>
          <cell r="AE23">
            <v>2233.35394297312</v>
          </cell>
          <cell r="AF23">
            <v>2339.9446915434578</v>
          </cell>
          <cell r="AG23">
            <v>2569.4863960758839</v>
          </cell>
          <cell r="AH23">
            <v>2604.987304516796</v>
          </cell>
          <cell r="AI23">
            <v>2672.2023854398972</v>
          </cell>
          <cell r="AJ23">
            <v>2774.7654454877938</v>
          </cell>
          <cell r="AK23">
            <v>2859.4114719524105</v>
          </cell>
          <cell r="AL23">
            <v>2927.9432446306555</v>
          </cell>
          <cell r="AN23" t="str">
            <v>Pretax Income</v>
          </cell>
          <cell r="AO23">
            <v>-143.4009999999999</v>
          </cell>
          <cell r="AP23">
            <v>-186.447</v>
          </cell>
          <cell r="AQ23">
            <v>-121.46500000000003</v>
          </cell>
          <cell r="AR23">
            <v>-96.488000000000056</v>
          </cell>
          <cell r="AS23">
            <v>-547.80100000000004</v>
          </cell>
          <cell r="AT23">
            <v>0</v>
          </cell>
          <cell r="AU23">
            <v>-85.017999999999915</v>
          </cell>
          <cell r="AV23">
            <v>-210.38000000000011</v>
          </cell>
          <cell r="AW23">
            <v>-79.991999999999962</v>
          </cell>
          <cell r="AX23">
            <v>-1484.6269999999995</v>
          </cell>
          <cell r="AY23">
            <v>-1873.2089999999998</v>
          </cell>
          <cell r="AZ23">
            <v>0</v>
          </cell>
          <cell r="BA23">
            <v>22.976000000000163</v>
          </cell>
          <cell r="BB23">
            <v>-22.479000000000042</v>
          </cell>
          <cell r="BC23">
            <v>55.534999999999911</v>
          </cell>
          <cell r="BD23">
            <v>175.97500000000005</v>
          </cell>
          <cell r="BE23">
            <v>232.00700000000006</v>
          </cell>
          <cell r="BF23">
            <v>0</v>
          </cell>
          <cell r="BG23">
            <v>39.659000000000063</v>
          </cell>
          <cell r="BH23">
            <v>18.090999999999973</v>
          </cell>
          <cell r="BI23">
            <v>63.014999999999951</v>
          </cell>
          <cell r="BJ23">
            <v>247.01499999999982</v>
          </cell>
          <cell r="BK23">
            <v>367.77999999999918</v>
          </cell>
          <cell r="BL23">
            <v>0</v>
          </cell>
          <cell r="BM23">
            <v>58.068000000000175</v>
          </cell>
          <cell r="BN23">
            <v>10.26699999999984</v>
          </cell>
          <cell r="BO23">
            <v>78.336000000000013</v>
          </cell>
          <cell r="BP23">
            <v>281.05100000000004</v>
          </cell>
          <cell r="BQ23">
            <v>427.72199999999896</v>
          </cell>
          <cell r="BR23">
            <v>0</v>
          </cell>
          <cell r="BS23">
            <v>-52.740000000000038</v>
          </cell>
          <cell r="BT23">
            <v>-87.464999999999975</v>
          </cell>
          <cell r="BU23">
            <v>-76.039999999999964</v>
          </cell>
          <cell r="BV23">
            <v>308.54000000000008</v>
          </cell>
          <cell r="BW23">
            <v>92.294999999999391</v>
          </cell>
          <cell r="BX23">
            <v>0</v>
          </cell>
          <cell r="BY23">
            <v>-86.748000000000275</v>
          </cell>
          <cell r="BZ23">
            <v>-101.6219999999999</v>
          </cell>
          <cell r="CA23">
            <v>42.979999999999734</v>
          </cell>
          <cell r="CB23">
            <v>-68.198000000000221</v>
          </cell>
          <cell r="CC23">
            <v>-25.311000000000149</v>
          </cell>
          <cell r="CD23">
            <v>450.08899999999983</v>
          </cell>
          <cell r="CE23">
            <v>415.06299999999948</v>
          </cell>
          <cell r="CF23">
            <v>304.69899999999893</v>
          </cell>
          <cell r="CG23">
            <v>269.67299999999909</v>
          </cell>
          <cell r="CH23">
            <v>201.47499999999741</v>
          </cell>
          <cell r="CJ23">
            <v>-56.994000000000142</v>
          </cell>
          <cell r="CK23">
            <v>-39.859999999999957</v>
          </cell>
          <cell r="CL23">
            <v>73.95100000000042</v>
          </cell>
          <cell r="CM23">
            <v>464.36099999999965</v>
          </cell>
          <cell r="CN23">
            <v>441.45799999999974</v>
          </cell>
          <cell r="CP23">
            <v>43.683000000000177</v>
          </cell>
          <cell r="CQ23">
            <v>112.59700000000035</v>
          </cell>
          <cell r="CR23">
            <v>176.08300000000003</v>
          </cell>
          <cell r="CS23">
            <v>625.92700000000002</v>
          </cell>
          <cell r="CT23">
            <v>958.29000000000053</v>
          </cell>
          <cell r="CU23">
            <v>0</v>
          </cell>
          <cell r="CV23">
            <v>104</v>
          </cell>
          <cell r="CW23">
            <v>193</v>
          </cell>
          <cell r="CX23">
            <v>185</v>
          </cell>
          <cell r="CY23">
            <v>681</v>
          </cell>
          <cell r="CZ23">
            <v>1163</v>
          </cell>
          <cell r="DB23">
            <v>150</v>
          </cell>
          <cell r="DC23">
            <v>233</v>
          </cell>
          <cell r="DD23">
            <v>211</v>
          </cell>
          <cell r="DE23">
            <v>752</v>
          </cell>
          <cell r="DF23">
            <v>1346</v>
          </cell>
          <cell r="DH23">
            <v>200</v>
          </cell>
          <cell r="DI23">
            <v>324</v>
          </cell>
          <cell r="DJ23">
            <v>185</v>
          </cell>
          <cell r="DK23">
            <v>661</v>
          </cell>
          <cell r="DL23">
            <v>1370</v>
          </cell>
          <cell r="DN23">
            <v>100</v>
          </cell>
          <cell r="DO23">
            <v>135</v>
          </cell>
          <cell r="DP23">
            <v>46</v>
          </cell>
          <cell r="DQ23">
            <v>499</v>
          </cell>
          <cell r="DR23">
            <v>780</v>
          </cell>
          <cell r="DT23">
            <v>147</v>
          </cell>
          <cell r="DU23">
            <v>222</v>
          </cell>
          <cell r="DV23">
            <v>115</v>
          </cell>
          <cell r="DW23">
            <v>564</v>
          </cell>
          <cell r="DX23">
            <v>1048</v>
          </cell>
          <cell r="DZ23">
            <v>76</v>
          </cell>
          <cell r="EA23">
            <v>199</v>
          </cell>
          <cell r="EB23">
            <v>112</v>
          </cell>
          <cell r="EC23">
            <v>697</v>
          </cell>
          <cell r="ED23">
            <v>1084</v>
          </cell>
          <cell r="EF23">
            <v>157</v>
          </cell>
          <cell r="EG23">
            <v>126</v>
          </cell>
          <cell r="EH23">
            <v>120</v>
          </cell>
          <cell r="EI23">
            <v>713</v>
          </cell>
          <cell r="EJ23">
            <v>1116</v>
          </cell>
          <cell r="EK23" t="str">
            <v>Pretax Income</v>
          </cell>
          <cell r="EL23">
            <v>198</v>
          </cell>
          <cell r="EM23">
            <v>237</v>
          </cell>
          <cell r="EN23">
            <v>542</v>
          </cell>
          <cell r="EO23">
            <v>1067</v>
          </cell>
          <cell r="EP23">
            <v>2044</v>
          </cell>
          <cell r="ER23">
            <v>-118</v>
          </cell>
          <cell r="ES23">
            <v>306</v>
          </cell>
          <cell r="ET23">
            <v>30</v>
          </cell>
          <cell r="EU23">
            <v>1157</v>
          </cell>
          <cell r="EV23">
            <v>1375</v>
          </cell>
          <cell r="EX23">
            <v>83</v>
          </cell>
          <cell r="EY23">
            <v>113</v>
          </cell>
          <cell r="EZ23">
            <v>38</v>
          </cell>
          <cell r="FA23">
            <v>1086</v>
          </cell>
          <cell r="FB23">
            <v>1320</v>
          </cell>
          <cell r="FD23">
            <v>-106</v>
          </cell>
          <cell r="FE23">
            <v>121</v>
          </cell>
          <cell r="FF23">
            <v>-75</v>
          </cell>
          <cell r="FG23">
            <v>504</v>
          </cell>
          <cell r="FH23">
            <v>444</v>
          </cell>
          <cell r="FJ23">
            <v>-255</v>
          </cell>
          <cell r="FK23">
            <v>109</v>
          </cell>
          <cell r="FL23">
            <v>-82</v>
          </cell>
          <cell r="FM23">
            <v>735</v>
          </cell>
          <cell r="FN23">
            <v>507</v>
          </cell>
          <cell r="FP23">
            <v>41</v>
          </cell>
          <cell r="FQ23">
            <v>240</v>
          </cell>
          <cell r="FR23">
            <v>13</v>
          </cell>
          <cell r="FS23">
            <v>1026</v>
          </cell>
          <cell r="FT23">
            <v>1320</v>
          </cell>
          <cell r="FV23">
            <v>214</v>
          </cell>
          <cell r="FW23">
            <v>395</v>
          </cell>
          <cell r="FX23">
            <v>183</v>
          </cell>
          <cell r="FY23">
            <v>1176</v>
          </cell>
          <cell r="FZ23">
            <v>1968</v>
          </cell>
          <cell r="GB23">
            <v>279</v>
          </cell>
          <cell r="GC23">
            <v>449</v>
          </cell>
          <cell r="GD23">
            <v>174.65499452664795</v>
          </cell>
          <cell r="GE23">
            <v>1330.6989484464721</v>
          </cell>
          <cell r="GF23">
            <v>2233.35394297312</v>
          </cell>
        </row>
        <row r="24">
          <cell r="A24" t="str">
            <v>Income Taxes (Benefit)</v>
          </cell>
          <cell r="C24">
            <v>6.7830000000000004</v>
          </cell>
          <cell r="D24">
            <v>-276.35500000000002</v>
          </cell>
          <cell r="E24">
            <v>-613.98900000000003</v>
          </cell>
          <cell r="F24">
            <v>28.096</v>
          </cell>
          <cell r="G24">
            <v>99.299000000000007</v>
          </cell>
          <cell r="H24">
            <v>156.745</v>
          </cell>
          <cell r="I24">
            <v>180.869</v>
          </cell>
          <cell r="K24">
            <v>55.495050000000049</v>
          </cell>
          <cell r="L24">
            <v>155.708</v>
          </cell>
          <cell r="N24">
            <v>127</v>
          </cell>
          <cell r="O24">
            <v>175</v>
          </cell>
          <cell r="P24">
            <v>383</v>
          </cell>
          <cell r="Q24">
            <v>478</v>
          </cell>
          <cell r="R24">
            <v>561</v>
          </cell>
          <cell r="S24">
            <v>549</v>
          </cell>
          <cell r="T24">
            <v>306</v>
          </cell>
          <cell r="U24">
            <v>410</v>
          </cell>
          <cell r="V24">
            <v>429</v>
          </cell>
          <cell r="W24">
            <v>427</v>
          </cell>
          <cell r="X24">
            <v>765.40858992805761</v>
          </cell>
          <cell r="Y24">
            <v>511.75</v>
          </cell>
          <cell r="Z24">
            <v>489</v>
          </cell>
          <cell r="AA24">
            <v>-135</v>
          </cell>
          <cell r="AB24">
            <v>178</v>
          </cell>
          <cell r="AC24">
            <v>473</v>
          </cell>
          <cell r="AD24">
            <v>712</v>
          </cell>
          <cell r="AE24">
            <v>824.98095890005447</v>
          </cell>
          <cell r="AF24">
            <v>865.77953587107936</v>
          </cell>
          <cell r="AG24">
            <v>950.70996654807709</v>
          </cell>
          <cell r="AH24">
            <v>963.84530267121454</v>
          </cell>
          <cell r="AI24">
            <v>988.71488261276193</v>
          </cell>
          <cell r="AJ24">
            <v>1026.6632148304836</v>
          </cell>
          <cell r="AK24">
            <v>1057.9822446223918</v>
          </cell>
          <cell r="AL24">
            <v>1083.3390005133426</v>
          </cell>
          <cell r="AN24" t="str">
            <v>Income Taxes (Benefit)</v>
          </cell>
          <cell r="AO24">
            <v>-43.960999999999999</v>
          </cell>
          <cell r="AP24">
            <v>-60.075000000000003</v>
          </cell>
          <cell r="AQ24">
            <v>-34.662999999999997</v>
          </cell>
          <cell r="AR24">
            <v>-137.65600000000001</v>
          </cell>
          <cell r="AS24">
            <v>-276.35500000000002</v>
          </cell>
          <cell r="AU24">
            <v>-20.856999999999999</v>
          </cell>
          <cell r="AV24">
            <v>-66.552000000000007</v>
          </cell>
          <cell r="AW24">
            <v>-18.997</v>
          </cell>
          <cell r="AX24">
            <v>-507.58300000000003</v>
          </cell>
          <cell r="AY24">
            <v>-613.98900000000003</v>
          </cell>
          <cell r="BA24">
            <v>11.164</v>
          </cell>
          <cell r="BB24">
            <v>-6.69</v>
          </cell>
          <cell r="BC24">
            <v>23.952999999999999</v>
          </cell>
          <cell r="BD24">
            <v>70.872</v>
          </cell>
          <cell r="BE24">
            <v>99.299000000000007</v>
          </cell>
          <cell r="BG24">
            <v>17.959</v>
          </cell>
          <cell r="BH24">
            <v>9.2379999999999995</v>
          </cell>
          <cell r="BI24">
            <v>28.490999999999996</v>
          </cell>
          <cell r="BJ24">
            <v>101.057</v>
          </cell>
          <cell r="BK24">
            <v>156.745</v>
          </cell>
          <cell r="BM24">
            <v>25.846</v>
          </cell>
          <cell r="BN24">
            <v>6.4950000000000001</v>
          </cell>
          <cell r="BO24">
            <v>33.993000000000002</v>
          </cell>
          <cell r="BP24">
            <v>114.535</v>
          </cell>
          <cell r="BQ24">
            <v>180.869</v>
          </cell>
          <cell r="BS24">
            <v>-15.693600000000016</v>
          </cell>
          <cell r="BT24">
            <v>-29.236349999999991</v>
          </cell>
          <cell r="BU24">
            <v>-24.780599999999986</v>
          </cell>
          <cell r="BV24">
            <v>125.20560000000003</v>
          </cell>
          <cell r="BW24">
            <v>55.495050000000049</v>
          </cell>
          <cell r="BY24">
            <v>-29.748999999999999</v>
          </cell>
          <cell r="BZ24">
            <v>-34.447000000000003</v>
          </cell>
          <cell r="CA24">
            <v>21.084</v>
          </cell>
          <cell r="CB24">
            <v>0</v>
          </cell>
          <cell r="CC24">
            <v>21.084</v>
          </cell>
          <cell r="CD24">
            <v>198.82</v>
          </cell>
          <cell r="CE24">
            <v>170.41800000000001</v>
          </cell>
          <cell r="CF24">
            <v>155.708</v>
          </cell>
          <cell r="CG24">
            <v>127.30600000000001</v>
          </cell>
          <cell r="CH24">
            <v>127.30600000000001</v>
          </cell>
          <cell r="CJ24">
            <v>-19.071000000000002</v>
          </cell>
          <cell r="CK24">
            <v>-12.667</v>
          </cell>
          <cell r="CL24">
            <v>32.15</v>
          </cell>
          <cell r="CM24">
            <v>175.15899999999999</v>
          </cell>
          <cell r="CN24">
            <v>175.571</v>
          </cell>
          <cell r="CP24">
            <v>19.623999999999999</v>
          </cell>
          <cell r="CQ24">
            <v>46.226999999999997</v>
          </cell>
          <cell r="CR24">
            <v>70.968999999999994</v>
          </cell>
          <cell r="CS24">
            <v>246.84700000000001</v>
          </cell>
          <cell r="CT24">
            <v>383.66700000000003</v>
          </cell>
          <cell r="CV24">
            <v>43.765999999999998</v>
          </cell>
          <cell r="CW24">
            <v>86</v>
          </cell>
          <cell r="CX24">
            <v>75</v>
          </cell>
          <cell r="CY24">
            <v>273</v>
          </cell>
          <cell r="CZ24">
            <v>477.76599999999996</v>
          </cell>
          <cell r="DB24">
            <v>63</v>
          </cell>
          <cell r="DC24">
            <v>96</v>
          </cell>
          <cell r="DD24">
            <v>88</v>
          </cell>
          <cell r="DE24">
            <v>304</v>
          </cell>
          <cell r="DF24">
            <v>551</v>
          </cell>
          <cell r="DH24">
            <v>82</v>
          </cell>
          <cell r="DI24">
            <v>130</v>
          </cell>
          <cell r="DJ24">
            <v>76</v>
          </cell>
          <cell r="DK24">
            <v>261</v>
          </cell>
          <cell r="DL24">
            <v>549</v>
          </cell>
          <cell r="DN24">
            <v>42</v>
          </cell>
          <cell r="DO24">
            <v>55</v>
          </cell>
          <cell r="DP24">
            <v>20</v>
          </cell>
          <cell r="DQ24">
            <v>189</v>
          </cell>
          <cell r="DR24">
            <v>306</v>
          </cell>
          <cell r="DT24">
            <v>58</v>
          </cell>
          <cell r="DU24">
            <v>89</v>
          </cell>
          <cell r="DV24">
            <v>40</v>
          </cell>
          <cell r="DW24">
            <v>223</v>
          </cell>
          <cell r="DX24">
            <v>410</v>
          </cell>
          <cell r="DZ24">
            <v>30</v>
          </cell>
          <cell r="EA24">
            <v>79</v>
          </cell>
          <cell r="EB24">
            <v>45</v>
          </cell>
          <cell r="EC24">
            <v>275</v>
          </cell>
          <cell r="ED24">
            <v>429</v>
          </cell>
          <cell r="EF24">
            <v>60</v>
          </cell>
          <cell r="EG24">
            <v>48</v>
          </cell>
          <cell r="EH24">
            <v>46</v>
          </cell>
          <cell r="EI24">
            <v>273</v>
          </cell>
          <cell r="EJ24">
            <v>427</v>
          </cell>
          <cell r="EK24" t="str">
            <v>Income Taxes (Benefit)</v>
          </cell>
          <cell r="EL24">
            <v>74.646000000000001</v>
          </cell>
          <cell r="EM24">
            <v>89</v>
          </cell>
          <cell r="EN24">
            <v>202.76258992805757</v>
          </cell>
          <cell r="EO24">
            <v>399</v>
          </cell>
          <cell r="EP24">
            <v>765.40858992805761</v>
          </cell>
          <cell r="ER24">
            <v>-44</v>
          </cell>
          <cell r="ES24">
            <v>114.75</v>
          </cell>
          <cell r="ET24">
            <v>10</v>
          </cell>
          <cell r="EU24">
            <v>431</v>
          </cell>
          <cell r="EV24">
            <v>511.75</v>
          </cell>
          <cell r="EX24">
            <v>31</v>
          </cell>
          <cell r="EY24">
            <v>39</v>
          </cell>
          <cell r="EZ24">
            <v>5</v>
          </cell>
          <cell r="FA24">
            <v>414</v>
          </cell>
          <cell r="FB24">
            <v>489</v>
          </cell>
          <cell r="FD24">
            <v>-47</v>
          </cell>
          <cell r="FE24">
            <v>48</v>
          </cell>
          <cell r="FF24">
            <v>-31</v>
          </cell>
          <cell r="FG24">
            <v>-105</v>
          </cell>
          <cell r="FH24">
            <v>-135</v>
          </cell>
          <cell r="FJ24">
            <v>-167</v>
          </cell>
          <cell r="FK24">
            <v>102</v>
          </cell>
          <cell r="FL24">
            <v>-47</v>
          </cell>
          <cell r="FM24">
            <v>290</v>
          </cell>
          <cell r="FN24">
            <v>178</v>
          </cell>
          <cell r="FP24">
            <v>18</v>
          </cell>
          <cell r="FQ24">
            <v>93</v>
          </cell>
          <cell r="FR24">
            <v>3</v>
          </cell>
          <cell r="FS24">
            <v>359</v>
          </cell>
          <cell r="FT24">
            <v>473</v>
          </cell>
          <cell r="FV24">
            <v>83</v>
          </cell>
          <cell r="FW24">
            <v>154</v>
          </cell>
          <cell r="FX24">
            <v>44</v>
          </cell>
          <cell r="FY24">
            <v>431</v>
          </cell>
          <cell r="FZ24">
            <v>712</v>
          </cell>
          <cell r="GB24">
            <v>98</v>
          </cell>
          <cell r="GC24">
            <v>170</v>
          </cell>
          <cell r="GD24">
            <v>64.622347974859736</v>
          </cell>
          <cell r="GE24">
            <v>492.35861092519468</v>
          </cell>
          <cell r="GF24">
            <v>824.98095890005447</v>
          </cell>
          <cell r="GS24" t="str">
            <v>mstag:taxExpenseIncome</v>
          </cell>
          <cell r="GT24">
            <v>6</v>
          </cell>
          <cell r="GU24" t="str">
            <v>ISO4217:USD</v>
          </cell>
          <cell r="GV24" t="b">
            <v>0</v>
          </cell>
          <cell r="GW24" t="b">
            <v>0</v>
          </cell>
        </row>
        <row r="25">
          <cell r="A25" t="str">
            <v>Net Income Before Post-Tax Items</v>
          </cell>
          <cell r="C25">
            <v>-1773.9269999999999</v>
          </cell>
          <cell r="D25">
            <v>-271.44599999999934</v>
          </cell>
          <cell r="E25">
            <v>-1235.9719999999998</v>
          </cell>
          <cell r="F25">
            <v>25.182999999999812</v>
          </cell>
          <cell r="G25">
            <v>132.70800000000062</v>
          </cell>
          <cell r="H25">
            <v>211.03499999999912</v>
          </cell>
          <cell r="I25">
            <v>246.85299999999896</v>
          </cell>
          <cell r="J25">
            <v>1.1401472134972468</v>
          </cell>
          <cell r="K25">
            <v>36.799949999999399</v>
          </cell>
          <cell r="L25">
            <v>148.99099999999899</v>
          </cell>
          <cell r="N25">
            <v>75</v>
          </cell>
          <cell r="O25">
            <v>266</v>
          </cell>
          <cell r="P25">
            <v>575</v>
          </cell>
          <cell r="Q25">
            <v>685</v>
          </cell>
          <cell r="R25">
            <v>825</v>
          </cell>
          <cell r="S25">
            <v>821</v>
          </cell>
          <cell r="T25">
            <v>474</v>
          </cell>
          <cell r="U25">
            <v>638</v>
          </cell>
          <cell r="V25">
            <v>655</v>
          </cell>
          <cell r="W25">
            <v>689</v>
          </cell>
          <cell r="X25">
            <v>1278.5914100719424</v>
          </cell>
          <cell r="Y25">
            <v>863.25</v>
          </cell>
          <cell r="Z25">
            <v>831</v>
          </cell>
          <cell r="AA25">
            <v>579</v>
          </cell>
          <cell r="AB25">
            <v>329</v>
          </cell>
          <cell r="AC25">
            <v>847</v>
          </cell>
          <cell r="AD25">
            <v>1256</v>
          </cell>
          <cell r="AE25">
            <v>1408.3729840730655</v>
          </cell>
          <cell r="AF25">
            <v>1474.1651556723784</v>
          </cell>
          <cell r="AG25">
            <v>1618.7764295278068</v>
          </cell>
          <cell r="AH25">
            <v>1641.1420018455815</v>
          </cell>
          <cell r="AI25">
            <v>1683.4875028271354</v>
          </cell>
          <cell r="AJ25">
            <v>1748.1022306573102</v>
          </cell>
          <cell r="AK25">
            <v>1801.4292273300186</v>
          </cell>
          <cell r="AL25">
            <v>1844.6042441173129</v>
          </cell>
          <cell r="AN25" t="str">
            <v>Net Income Before Post-Tax Items</v>
          </cell>
          <cell r="AO25">
            <v>-99.439999999999898</v>
          </cell>
          <cell r="AP25">
            <v>-126.372</v>
          </cell>
          <cell r="AQ25">
            <v>-86.802000000000035</v>
          </cell>
          <cell r="AR25">
            <v>41.16799999999995</v>
          </cell>
          <cell r="AS25">
            <v>-271.44599999999997</v>
          </cell>
          <cell r="AU25">
            <v>-64.160999999999916</v>
          </cell>
          <cell r="AV25">
            <v>-143.82800000000009</v>
          </cell>
          <cell r="AW25">
            <v>-60.994999999999962</v>
          </cell>
          <cell r="AX25">
            <v>-977.04399999999941</v>
          </cell>
          <cell r="AY25">
            <v>-1246.0279999999993</v>
          </cell>
          <cell r="BA25">
            <v>11.812000000000163</v>
          </cell>
          <cell r="BB25">
            <v>-15.789000000000041</v>
          </cell>
          <cell r="BC25">
            <v>31.581999999999912</v>
          </cell>
          <cell r="BD25">
            <v>105.10300000000005</v>
          </cell>
          <cell r="BE25">
            <v>132.70800000000008</v>
          </cell>
          <cell r="BG25">
            <v>21.700000000000063</v>
          </cell>
          <cell r="BH25">
            <v>8.8529999999999731</v>
          </cell>
          <cell r="BI25">
            <v>34.523999999999958</v>
          </cell>
          <cell r="BJ25">
            <v>145.9579999999998</v>
          </cell>
          <cell r="BK25">
            <v>211.03499999999917</v>
          </cell>
          <cell r="BM25">
            <v>32.222000000000179</v>
          </cell>
          <cell r="BN25">
            <v>3.7719999999998395</v>
          </cell>
          <cell r="BO25">
            <v>44.343000000000011</v>
          </cell>
          <cell r="BP25">
            <v>166.51600000000005</v>
          </cell>
          <cell r="BQ25">
            <v>246.85299999999896</v>
          </cell>
          <cell r="BS25">
            <v>-37.04640000000002</v>
          </cell>
          <cell r="BT25">
            <v>-58.228649999999988</v>
          </cell>
          <cell r="BU25">
            <v>-51.259399999999978</v>
          </cell>
          <cell r="BV25">
            <v>183.33440000000004</v>
          </cell>
          <cell r="BW25">
            <v>36.799949999999342</v>
          </cell>
          <cell r="BY25">
            <v>-56.999000000000279</v>
          </cell>
          <cell r="BZ25">
            <v>-67.174999999999898</v>
          </cell>
          <cell r="CA25">
            <v>21.895999999999734</v>
          </cell>
          <cell r="CB25">
            <v>-68.198000000000221</v>
          </cell>
          <cell r="CC25">
            <v>-46.395000000000152</v>
          </cell>
          <cell r="CD25">
            <v>251.26899999999983</v>
          </cell>
          <cell r="CE25">
            <v>244.64499999999947</v>
          </cell>
          <cell r="CF25">
            <v>148.99099999999893</v>
          </cell>
          <cell r="CG25">
            <v>142.36699999999902</v>
          </cell>
          <cell r="CH25">
            <v>74.168999999998789</v>
          </cell>
          <cell r="CJ25">
            <v>-37.923000000000144</v>
          </cell>
          <cell r="CK25">
            <v>-27.192999999999955</v>
          </cell>
          <cell r="CL25">
            <v>41.801000000000421</v>
          </cell>
          <cell r="CM25">
            <v>289.20199999999966</v>
          </cell>
          <cell r="CN25">
            <v>265.88699999999972</v>
          </cell>
          <cell r="CP25">
            <v>24.059000000000179</v>
          </cell>
          <cell r="CQ25">
            <v>66.370000000000346</v>
          </cell>
          <cell r="CR25">
            <v>105.11400000000003</v>
          </cell>
          <cell r="CS25">
            <v>379.08000000000004</v>
          </cell>
          <cell r="CT25">
            <v>574.62300000000062</v>
          </cell>
          <cell r="CV25">
            <v>60.234000000000002</v>
          </cell>
          <cell r="CW25">
            <v>107</v>
          </cell>
          <cell r="CX25">
            <v>110</v>
          </cell>
          <cell r="CY25">
            <v>408</v>
          </cell>
          <cell r="CZ25">
            <v>685.23400000000004</v>
          </cell>
          <cell r="DB25">
            <v>87</v>
          </cell>
          <cell r="DC25">
            <v>137</v>
          </cell>
          <cell r="DD25">
            <v>123</v>
          </cell>
          <cell r="DE25">
            <v>448</v>
          </cell>
          <cell r="DF25">
            <v>795</v>
          </cell>
          <cell r="DH25">
            <v>118</v>
          </cell>
          <cell r="DI25">
            <v>194</v>
          </cell>
          <cell r="DJ25">
            <v>109</v>
          </cell>
          <cell r="DK25">
            <v>400</v>
          </cell>
          <cell r="DL25">
            <v>821</v>
          </cell>
          <cell r="DN25">
            <v>58</v>
          </cell>
          <cell r="DO25">
            <v>80</v>
          </cell>
          <cell r="DP25">
            <v>26</v>
          </cell>
          <cell r="DQ25">
            <v>310</v>
          </cell>
          <cell r="DR25">
            <v>474</v>
          </cell>
          <cell r="DT25">
            <v>89</v>
          </cell>
          <cell r="DU25">
            <v>133</v>
          </cell>
          <cell r="DV25">
            <v>75</v>
          </cell>
          <cell r="DW25">
            <v>341</v>
          </cell>
          <cell r="DX25">
            <v>638</v>
          </cell>
          <cell r="DZ25">
            <v>46</v>
          </cell>
          <cell r="EA25">
            <v>120</v>
          </cell>
          <cell r="EB25">
            <v>67</v>
          </cell>
          <cell r="EC25">
            <v>422</v>
          </cell>
          <cell r="ED25">
            <v>655</v>
          </cell>
          <cell r="EF25">
            <v>97</v>
          </cell>
          <cell r="EG25">
            <v>78</v>
          </cell>
          <cell r="EH25">
            <v>74</v>
          </cell>
          <cell r="EI25">
            <v>440</v>
          </cell>
          <cell r="EJ25">
            <v>689</v>
          </cell>
          <cell r="EK25" t="str">
            <v>Net Income Before Post-Tax Items</v>
          </cell>
          <cell r="EL25">
            <v>123.354</v>
          </cell>
          <cell r="EM25">
            <v>148</v>
          </cell>
          <cell r="EN25">
            <v>339.23741007194246</v>
          </cell>
          <cell r="EO25">
            <v>668</v>
          </cell>
          <cell r="EP25">
            <v>1278.5914100719424</v>
          </cell>
          <cell r="ER25">
            <v>-74</v>
          </cell>
          <cell r="ES25">
            <v>191.25</v>
          </cell>
          <cell r="ET25">
            <v>20</v>
          </cell>
          <cell r="EU25">
            <v>726</v>
          </cell>
          <cell r="EV25">
            <v>863.25</v>
          </cell>
          <cell r="EX25">
            <v>52</v>
          </cell>
          <cell r="EY25">
            <v>74</v>
          </cell>
          <cell r="EZ25">
            <v>33</v>
          </cell>
          <cell r="FA25">
            <v>672</v>
          </cell>
          <cell r="FB25">
            <v>831</v>
          </cell>
          <cell r="FD25">
            <v>-59</v>
          </cell>
          <cell r="FE25">
            <v>73</v>
          </cell>
          <cell r="FF25">
            <v>-44</v>
          </cell>
          <cell r="FG25">
            <v>609</v>
          </cell>
          <cell r="FH25">
            <v>579</v>
          </cell>
          <cell r="FJ25">
            <v>-88</v>
          </cell>
          <cell r="FK25">
            <v>7</v>
          </cell>
          <cell r="FL25">
            <v>-35</v>
          </cell>
          <cell r="FM25">
            <v>445</v>
          </cell>
          <cell r="FN25">
            <v>329</v>
          </cell>
          <cell r="FP25">
            <v>23</v>
          </cell>
          <cell r="FQ25">
            <v>147</v>
          </cell>
          <cell r="FR25">
            <v>10</v>
          </cell>
          <cell r="FS25">
            <v>667</v>
          </cell>
          <cell r="FT25">
            <v>847</v>
          </cell>
          <cell r="FV25">
            <v>131</v>
          </cell>
          <cell r="FW25">
            <v>241</v>
          </cell>
          <cell r="FX25">
            <v>139</v>
          </cell>
          <cell r="FY25">
            <v>745</v>
          </cell>
          <cell r="FZ25">
            <v>1256</v>
          </cell>
          <cell r="GB25">
            <v>181</v>
          </cell>
          <cell r="GC25">
            <v>279</v>
          </cell>
          <cell r="GD25">
            <v>110.03264655178822</v>
          </cell>
          <cell r="GE25">
            <v>838.34033752127743</v>
          </cell>
          <cell r="GF25">
            <v>1408.3729840730655</v>
          </cell>
        </row>
        <row r="26">
          <cell r="A26" t="str">
            <v>Discontinued Operations Charges (FYins)</v>
          </cell>
          <cell r="N26">
            <v>0</v>
          </cell>
          <cell r="O26">
            <v>0</v>
          </cell>
          <cell r="P26">
            <v>0</v>
          </cell>
          <cell r="Q26">
            <v>0</v>
          </cell>
          <cell r="R26">
            <v>30</v>
          </cell>
          <cell r="S26">
            <v>1005</v>
          </cell>
          <cell r="T26">
            <v>797</v>
          </cell>
          <cell r="U26">
            <v>-180</v>
          </cell>
          <cell r="V26">
            <v>0</v>
          </cell>
          <cell r="W26">
            <v>0</v>
          </cell>
          <cell r="X26">
            <v>-33</v>
          </cell>
          <cell r="Y26">
            <v>-7</v>
          </cell>
          <cell r="Z26">
            <v>16</v>
          </cell>
          <cell r="AA26">
            <v>0</v>
          </cell>
          <cell r="AB26">
            <v>0</v>
          </cell>
          <cell r="AC26">
            <v>0</v>
          </cell>
          <cell r="AD26">
            <v>0</v>
          </cell>
          <cell r="AE26">
            <v>0</v>
          </cell>
          <cell r="AF26">
            <v>0</v>
          </cell>
          <cell r="AG26">
            <v>0</v>
          </cell>
          <cell r="AH26">
            <v>0</v>
          </cell>
          <cell r="AI26">
            <v>0</v>
          </cell>
          <cell r="AJ26">
            <v>0</v>
          </cell>
          <cell r="AK26">
            <v>0</v>
          </cell>
          <cell r="AL26">
            <v>0</v>
          </cell>
          <cell r="AN26" t="str">
            <v>Discontinued Operations Charges (FYins)</v>
          </cell>
          <cell r="DB26">
            <v>0</v>
          </cell>
          <cell r="DC26">
            <v>0</v>
          </cell>
          <cell r="DD26">
            <v>0</v>
          </cell>
          <cell r="DE26">
            <v>0</v>
          </cell>
          <cell r="DF26">
            <v>0</v>
          </cell>
          <cell r="DH26">
            <v>29</v>
          </cell>
          <cell r="DI26">
            <v>131</v>
          </cell>
          <cell r="DJ26">
            <v>777</v>
          </cell>
          <cell r="DK26">
            <v>68</v>
          </cell>
          <cell r="DL26">
            <v>1005</v>
          </cell>
          <cell r="DN26">
            <v>0</v>
          </cell>
          <cell r="DO26">
            <v>14</v>
          </cell>
          <cell r="DP26">
            <v>13</v>
          </cell>
          <cell r="DQ26">
            <v>770</v>
          </cell>
          <cell r="DR26">
            <v>797</v>
          </cell>
          <cell r="DT26">
            <v>0</v>
          </cell>
          <cell r="DU26">
            <v>-149</v>
          </cell>
          <cell r="DV26">
            <v>-31</v>
          </cell>
          <cell r="DW26">
            <v>0</v>
          </cell>
          <cell r="DX26">
            <v>-180</v>
          </cell>
          <cell r="DZ26">
            <v>0</v>
          </cell>
          <cell r="EA26">
            <v>0</v>
          </cell>
          <cell r="EB26">
            <v>0</v>
          </cell>
          <cell r="EC26">
            <v>0</v>
          </cell>
          <cell r="ED26">
            <v>0</v>
          </cell>
          <cell r="EF26">
            <v>0</v>
          </cell>
          <cell r="EG26">
            <v>0</v>
          </cell>
          <cell r="EH26">
            <v>0</v>
          </cell>
          <cell r="EI26">
            <v>0</v>
          </cell>
          <cell r="EJ26">
            <v>0</v>
          </cell>
          <cell r="EK26" t="str">
            <v>Discontinued Operations Charges (FYins)</v>
          </cell>
          <cell r="EL26">
            <v>0</v>
          </cell>
          <cell r="EM26">
            <v>0</v>
          </cell>
          <cell r="EN26">
            <v>-12</v>
          </cell>
          <cell r="EO26">
            <v>-21</v>
          </cell>
          <cell r="EP26">
            <v>-33</v>
          </cell>
          <cell r="ER26">
            <v>-22</v>
          </cell>
          <cell r="ES26">
            <v>-35</v>
          </cell>
          <cell r="ET26">
            <v>23</v>
          </cell>
          <cell r="EU26">
            <v>27</v>
          </cell>
          <cell r="EV26">
            <v>-7</v>
          </cell>
          <cell r="EX26">
            <v>16</v>
          </cell>
          <cell r="EY26">
            <v>0</v>
          </cell>
          <cell r="EZ26">
            <v>0</v>
          </cell>
          <cell r="FA26">
            <v>0</v>
          </cell>
          <cell r="FB26">
            <v>16</v>
          </cell>
          <cell r="FD26">
            <v>0</v>
          </cell>
          <cell r="FE26">
            <v>0</v>
          </cell>
          <cell r="FF26">
            <v>0</v>
          </cell>
          <cell r="FG26">
            <v>0</v>
          </cell>
          <cell r="FH26">
            <v>0</v>
          </cell>
          <cell r="FJ26">
            <v>0</v>
          </cell>
          <cell r="FK26">
            <v>0</v>
          </cell>
          <cell r="FL26">
            <v>0</v>
          </cell>
          <cell r="FM26">
            <v>0</v>
          </cell>
          <cell r="FN26">
            <v>0</v>
          </cell>
          <cell r="FP26">
            <v>0</v>
          </cell>
          <cell r="FQ26">
            <v>0</v>
          </cell>
          <cell r="FR26">
            <v>0</v>
          </cell>
          <cell r="FS26">
            <v>0</v>
          </cell>
          <cell r="FT26">
            <v>0</v>
          </cell>
          <cell r="FV26">
            <v>0</v>
          </cell>
          <cell r="FW26">
            <v>0</v>
          </cell>
          <cell r="FX26">
            <v>0</v>
          </cell>
          <cell r="FY26">
            <v>0</v>
          </cell>
          <cell r="FZ26">
            <v>0</v>
          </cell>
          <cell r="GB26">
            <v>0</v>
          </cell>
          <cell r="GC26">
            <v>0</v>
          </cell>
          <cell r="GD26">
            <v>0</v>
          </cell>
          <cell r="GE26">
            <v>0</v>
          </cell>
          <cell r="GF26">
            <v>0</v>
          </cell>
          <cell r="GS26" t="str">
            <v>mstag:incomeLossFromDiscontinuedOperationsNetOfTax</v>
          </cell>
          <cell r="GT26">
            <v>6</v>
          </cell>
          <cell r="GU26" t="str">
            <v>ISO4217:USD</v>
          </cell>
          <cell r="GV26" t="b">
            <v>1</v>
          </cell>
          <cell r="GW26" t="b">
            <v>0</v>
          </cell>
        </row>
        <row r="27">
          <cell r="A27" t="str">
            <v>Post-Tax Extraordinary Charges (FYins)</v>
          </cell>
          <cell r="C27">
            <v>0</v>
          </cell>
          <cell r="D27">
            <v>0</v>
          </cell>
          <cell r="E27">
            <v>2072.364</v>
          </cell>
          <cell r="F27">
            <v>0</v>
          </cell>
          <cell r="G27">
            <v>-19.698999999999998</v>
          </cell>
          <cell r="H27">
            <v>-17.786999999999999</v>
          </cell>
          <cell r="I27">
            <v>0</v>
          </cell>
          <cell r="K27">
            <v>0</v>
          </cell>
          <cell r="L27">
            <v>0</v>
          </cell>
          <cell r="N27">
            <v>0</v>
          </cell>
          <cell r="O27">
            <v>0</v>
          </cell>
          <cell r="P27">
            <v>39</v>
          </cell>
          <cell r="Q27">
            <v>23</v>
          </cell>
          <cell r="R27">
            <v>0</v>
          </cell>
          <cell r="S27">
            <v>0</v>
          </cell>
          <cell r="T27">
            <v>-47</v>
          </cell>
          <cell r="U27">
            <v>0</v>
          </cell>
          <cell r="V27">
            <v>-38</v>
          </cell>
          <cell r="W27">
            <v>0</v>
          </cell>
          <cell r="X27">
            <v>-95</v>
          </cell>
          <cell r="Y27">
            <v>-124.625</v>
          </cell>
          <cell r="Z27">
            <v>-78</v>
          </cell>
          <cell r="AA27">
            <v>5382</v>
          </cell>
          <cell r="AB27">
            <v>0</v>
          </cell>
          <cell r="AC27">
            <v>41.4</v>
          </cell>
          <cell r="AD27">
            <v>0</v>
          </cell>
          <cell r="AE27">
            <v>0</v>
          </cell>
          <cell r="AF27">
            <v>0</v>
          </cell>
          <cell r="AG27">
            <v>0</v>
          </cell>
          <cell r="AH27">
            <v>0</v>
          </cell>
          <cell r="AI27">
            <v>0</v>
          </cell>
          <cell r="AJ27">
            <v>0</v>
          </cell>
          <cell r="AK27">
            <v>0</v>
          </cell>
          <cell r="AL27">
            <v>0</v>
          </cell>
          <cell r="AN27" t="str">
            <v>Post-Tax Extraordinary Charges (FYins)</v>
          </cell>
          <cell r="AO27">
            <v>0</v>
          </cell>
          <cell r="AP27">
            <v>0</v>
          </cell>
          <cell r="AQ27">
            <v>0</v>
          </cell>
          <cell r="AR27">
            <v>0</v>
          </cell>
          <cell r="AS27">
            <v>0</v>
          </cell>
          <cell r="AU27">
            <v>0</v>
          </cell>
          <cell r="AV27">
            <v>0</v>
          </cell>
          <cell r="AW27">
            <v>0</v>
          </cell>
          <cell r="AX27">
            <v>2165.5149999999999</v>
          </cell>
          <cell r="AY27">
            <v>2165.5149999999999</v>
          </cell>
          <cell r="BA27">
            <v>0</v>
          </cell>
          <cell r="BB27">
            <v>-13.574</v>
          </cell>
          <cell r="BC27">
            <v>0</v>
          </cell>
          <cell r="BD27">
            <v>-6.125</v>
          </cell>
          <cell r="BE27">
            <v>-19.698999999999998</v>
          </cell>
          <cell r="BG27">
            <v>-3.5449999999999999</v>
          </cell>
          <cell r="BH27">
            <v>0</v>
          </cell>
          <cell r="BI27">
            <v>-14.242000000000001</v>
          </cell>
          <cell r="BJ27">
            <v>0</v>
          </cell>
          <cell r="BK27">
            <v>-17.786999999999999</v>
          </cell>
          <cell r="BM27">
            <v>0</v>
          </cell>
          <cell r="BN27">
            <v>0</v>
          </cell>
          <cell r="BO27">
            <v>0</v>
          </cell>
          <cell r="BP27">
            <v>0</v>
          </cell>
          <cell r="BQ27">
            <v>0</v>
          </cell>
          <cell r="BS27">
            <v>0</v>
          </cell>
          <cell r="BT27">
            <v>0</v>
          </cell>
          <cell r="BU27">
            <v>0</v>
          </cell>
          <cell r="BV27">
            <v>0</v>
          </cell>
          <cell r="BW27">
            <v>0</v>
          </cell>
          <cell r="BY27">
            <v>0</v>
          </cell>
          <cell r="BZ27">
            <v>0</v>
          </cell>
          <cell r="CA27">
            <v>0</v>
          </cell>
          <cell r="CB27">
            <v>0</v>
          </cell>
          <cell r="CC27">
            <v>0</v>
          </cell>
          <cell r="CD27">
            <v>0</v>
          </cell>
          <cell r="CE27">
            <v>0</v>
          </cell>
          <cell r="CF27">
            <v>0</v>
          </cell>
          <cell r="CG27">
            <v>0</v>
          </cell>
          <cell r="CH27">
            <v>0</v>
          </cell>
          <cell r="CJ27">
            <v>0</v>
          </cell>
          <cell r="CK27">
            <v>0</v>
          </cell>
          <cell r="CL27">
            <v>0</v>
          </cell>
          <cell r="CM27">
            <v>0</v>
          </cell>
          <cell r="CN27">
            <v>0</v>
          </cell>
          <cell r="CP27">
            <v>0</v>
          </cell>
          <cell r="CQ27">
            <v>-38.673000000000002</v>
          </cell>
          <cell r="CR27">
            <v>0</v>
          </cell>
          <cell r="CS27">
            <v>0</v>
          </cell>
          <cell r="CT27">
            <v>-38.673000000000002</v>
          </cell>
          <cell r="CV27">
            <v>0</v>
          </cell>
          <cell r="CW27">
            <v>0</v>
          </cell>
          <cell r="CX27">
            <v>23</v>
          </cell>
          <cell r="CY27">
            <v>0</v>
          </cell>
          <cell r="CZ27">
            <v>23</v>
          </cell>
          <cell r="DB27">
            <v>0</v>
          </cell>
          <cell r="DC27">
            <v>0</v>
          </cell>
          <cell r="DD27">
            <v>0</v>
          </cell>
          <cell r="DE27">
            <v>0</v>
          </cell>
          <cell r="DF27">
            <v>0</v>
          </cell>
          <cell r="DH27">
            <v>0</v>
          </cell>
          <cell r="DI27">
            <v>0</v>
          </cell>
          <cell r="DJ27">
            <v>0</v>
          </cell>
          <cell r="DK27">
            <v>0</v>
          </cell>
          <cell r="DL27">
            <v>0</v>
          </cell>
          <cell r="DN27">
            <v>0</v>
          </cell>
          <cell r="DO27">
            <v>-44</v>
          </cell>
          <cell r="DP27">
            <v>10</v>
          </cell>
          <cell r="DQ27">
            <v>-13</v>
          </cell>
          <cell r="DR27">
            <v>-47</v>
          </cell>
          <cell r="DT27">
            <v>0</v>
          </cell>
          <cell r="DU27">
            <v>0</v>
          </cell>
          <cell r="DV27">
            <v>0</v>
          </cell>
          <cell r="DW27">
            <v>0</v>
          </cell>
          <cell r="DX27">
            <v>0</v>
          </cell>
          <cell r="DZ27">
            <v>0</v>
          </cell>
          <cell r="EA27">
            <v>0</v>
          </cell>
          <cell r="EB27">
            <v>0</v>
          </cell>
          <cell r="EC27">
            <v>-38</v>
          </cell>
          <cell r="ED27">
            <v>-38</v>
          </cell>
          <cell r="EF27">
            <v>0</v>
          </cell>
          <cell r="EG27">
            <v>0</v>
          </cell>
          <cell r="EH27">
            <v>0</v>
          </cell>
          <cell r="EI27">
            <v>0</v>
          </cell>
          <cell r="EJ27">
            <v>0</v>
          </cell>
          <cell r="EK27" t="str">
            <v>Post-Tax Extraordinary Charges (FYins)</v>
          </cell>
          <cell r="EL27">
            <v>0</v>
          </cell>
          <cell r="EM27">
            <v>0</v>
          </cell>
          <cell r="EN27">
            <v>-85</v>
          </cell>
          <cell r="EO27">
            <v>-10</v>
          </cell>
          <cell r="EP27">
            <v>-95</v>
          </cell>
          <cell r="ER27">
            <v>0</v>
          </cell>
          <cell r="ES27">
            <v>-90.625</v>
          </cell>
          <cell r="ET27">
            <v>0</v>
          </cell>
          <cell r="EU27">
            <v>-34</v>
          </cell>
          <cell r="EV27">
            <v>-124.625</v>
          </cell>
          <cell r="EX27">
            <v>0</v>
          </cell>
          <cell r="EY27">
            <v>0</v>
          </cell>
          <cell r="EZ27">
            <v>0</v>
          </cell>
          <cell r="FA27">
            <v>-78</v>
          </cell>
          <cell r="FB27">
            <v>-78</v>
          </cell>
          <cell r="FD27">
            <v>0</v>
          </cell>
          <cell r="FE27">
            <v>0</v>
          </cell>
          <cell r="FF27">
            <v>0</v>
          </cell>
          <cell r="FG27">
            <v>5382</v>
          </cell>
          <cell r="FH27">
            <v>5382</v>
          </cell>
          <cell r="FJ27">
            <v>0</v>
          </cell>
          <cell r="FK27">
            <v>0</v>
          </cell>
          <cell r="FL27">
            <v>0</v>
          </cell>
          <cell r="FM27">
            <v>0</v>
          </cell>
          <cell r="FN27">
            <v>0</v>
          </cell>
          <cell r="FP27">
            <v>17</v>
          </cell>
          <cell r="FQ27">
            <v>0</v>
          </cell>
          <cell r="FR27">
            <v>24.4</v>
          </cell>
          <cell r="FS27">
            <v>0</v>
          </cell>
          <cell r="FT27">
            <v>41.4</v>
          </cell>
          <cell r="FV27">
            <v>0</v>
          </cell>
          <cell r="FW27">
            <v>0</v>
          </cell>
          <cell r="FX27">
            <v>0</v>
          </cell>
          <cell r="FY27">
            <v>0</v>
          </cell>
          <cell r="FZ27">
            <v>0</v>
          </cell>
          <cell r="GB27">
            <v>0</v>
          </cell>
          <cell r="GC27">
            <v>0</v>
          </cell>
          <cell r="GD27">
            <v>0</v>
          </cell>
          <cell r="GE27">
            <v>0</v>
          </cell>
          <cell r="GF27">
            <v>0</v>
          </cell>
        </row>
        <row r="28">
          <cell r="A28" t="str">
            <v>Net Income, Reported</v>
          </cell>
          <cell r="C28">
            <v>-1773.9269999999999</v>
          </cell>
          <cell r="D28">
            <v>-271.44599999999934</v>
          </cell>
          <cell r="E28">
            <v>836.39200000000028</v>
          </cell>
          <cell r="F28">
            <v>25.182999999999812</v>
          </cell>
          <cell r="G28">
            <v>113.00900000000063</v>
          </cell>
          <cell r="H28">
            <v>193.24799999999911</v>
          </cell>
          <cell r="I28">
            <v>246.85299999999896</v>
          </cell>
          <cell r="K28">
            <v>36.799949999999399</v>
          </cell>
          <cell r="L28">
            <v>148.99099999999899</v>
          </cell>
          <cell r="N28">
            <v>75</v>
          </cell>
          <cell r="O28">
            <v>266</v>
          </cell>
          <cell r="P28">
            <v>536</v>
          </cell>
          <cell r="Q28">
            <v>662</v>
          </cell>
          <cell r="R28">
            <v>795</v>
          </cell>
          <cell r="S28">
            <v>-184</v>
          </cell>
          <cell r="T28">
            <v>-276</v>
          </cell>
          <cell r="U28">
            <v>818</v>
          </cell>
          <cell r="V28">
            <v>693</v>
          </cell>
          <cell r="W28">
            <v>689</v>
          </cell>
          <cell r="X28">
            <v>1406.5914100719424</v>
          </cell>
          <cell r="Y28">
            <v>994.875</v>
          </cell>
          <cell r="Z28">
            <v>893</v>
          </cell>
          <cell r="AA28">
            <v>-4803</v>
          </cell>
          <cell r="AB28">
            <v>329</v>
          </cell>
          <cell r="AC28">
            <v>805.6</v>
          </cell>
          <cell r="AD28">
            <v>1256</v>
          </cell>
          <cell r="AE28">
            <v>1408.3729840730655</v>
          </cell>
          <cell r="AF28">
            <v>1474.1651556723784</v>
          </cell>
          <cell r="AG28">
            <v>1618.7764295278068</v>
          </cell>
          <cell r="AH28">
            <v>1641.1420018455815</v>
          </cell>
          <cell r="AI28">
            <v>1683.4875028271354</v>
          </cell>
          <cell r="AJ28">
            <v>1748.1022306573102</v>
          </cell>
          <cell r="AK28">
            <v>1801.4292273300186</v>
          </cell>
          <cell r="AL28">
            <v>1844.6042441173129</v>
          </cell>
          <cell r="AN28" t="str">
            <v>Net Income, Reported</v>
          </cell>
          <cell r="AO28">
            <v>-99.439999999999898</v>
          </cell>
          <cell r="AP28">
            <v>-126.372</v>
          </cell>
          <cell r="AQ28">
            <v>-86.802000000000035</v>
          </cell>
          <cell r="AR28">
            <v>41.16799999999995</v>
          </cell>
          <cell r="AS28">
            <v>-271.44599999999997</v>
          </cell>
          <cell r="AU28">
            <v>-64.160999999999916</v>
          </cell>
          <cell r="AV28">
            <v>-143.82800000000009</v>
          </cell>
          <cell r="AW28">
            <v>-60.994999999999962</v>
          </cell>
          <cell r="AX28">
            <v>-3142.5589999999993</v>
          </cell>
          <cell r="AY28">
            <v>-3411.5429999999992</v>
          </cell>
          <cell r="BA28">
            <v>11.812000000000163</v>
          </cell>
          <cell r="BB28">
            <v>-2.2150000000000407</v>
          </cell>
          <cell r="BC28">
            <v>31.581999999999912</v>
          </cell>
          <cell r="BD28">
            <v>111.22800000000005</v>
          </cell>
          <cell r="BE28">
            <v>152.4070000000001</v>
          </cell>
          <cell r="BG28">
            <v>25.245000000000061</v>
          </cell>
          <cell r="BH28">
            <v>8.8529999999999731</v>
          </cell>
          <cell r="BI28">
            <v>48.765999999999963</v>
          </cell>
          <cell r="BJ28">
            <v>145.9579999999998</v>
          </cell>
          <cell r="BK28">
            <v>228.82199999999918</v>
          </cell>
          <cell r="BM28">
            <v>32.222000000000179</v>
          </cell>
          <cell r="BN28">
            <v>3.7719999999998395</v>
          </cell>
          <cell r="BO28">
            <v>44.343000000000011</v>
          </cell>
          <cell r="BP28">
            <v>166.51600000000005</v>
          </cell>
          <cell r="BQ28">
            <v>246.85299999999896</v>
          </cell>
          <cell r="BS28">
            <v>-37.04640000000002</v>
          </cell>
          <cell r="BT28">
            <v>-58.228649999999988</v>
          </cell>
          <cell r="BU28">
            <v>-51.259399999999978</v>
          </cell>
          <cell r="BV28">
            <v>183.33440000000004</v>
          </cell>
          <cell r="BW28">
            <v>36.799949999999342</v>
          </cell>
          <cell r="BY28">
            <v>-56.999000000000279</v>
          </cell>
          <cell r="BZ28">
            <v>-67.174999999999898</v>
          </cell>
          <cell r="CA28">
            <v>21.895999999999734</v>
          </cell>
          <cell r="CB28">
            <v>-68.198000000000221</v>
          </cell>
          <cell r="CC28">
            <v>-46.395000000000152</v>
          </cell>
          <cell r="CD28">
            <v>251.26899999999983</v>
          </cell>
          <cell r="CE28">
            <v>244.64499999999947</v>
          </cell>
          <cell r="CF28">
            <v>148.99099999999893</v>
          </cell>
          <cell r="CG28">
            <v>142.36699999999902</v>
          </cell>
          <cell r="CH28">
            <v>74.168999999998789</v>
          </cell>
          <cell r="CJ28">
            <v>-37.923000000000144</v>
          </cell>
          <cell r="CK28">
            <v>-27.192999999999955</v>
          </cell>
          <cell r="CL28">
            <v>41.801000000000421</v>
          </cell>
          <cell r="CM28">
            <v>289.20199999999966</v>
          </cell>
          <cell r="CN28">
            <v>265.88699999999972</v>
          </cell>
          <cell r="CP28">
            <v>24.059000000000179</v>
          </cell>
          <cell r="CQ28">
            <v>105.04300000000035</v>
          </cell>
          <cell r="CR28">
            <v>105.11400000000003</v>
          </cell>
          <cell r="CS28">
            <v>379.08000000000004</v>
          </cell>
          <cell r="CT28">
            <v>613.29600000000062</v>
          </cell>
          <cell r="CV28">
            <v>60.234000000000002</v>
          </cell>
          <cell r="CW28">
            <v>107</v>
          </cell>
          <cell r="CX28">
            <v>87</v>
          </cell>
          <cell r="CY28">
            <v>408</v>
          </cell>
          <cell r="CZ28">
            <v>662.23400000000004</v>
          </cell>
          <cell r="DB28">
            <v>87</v>
          </cell>
          <cell r="DC28">
            <v>137</v>
          </cell>
          <cell r="DD28">
            <v>123</v>
          </cell>
          <cell r="DE28">
            <v>448</v>
          </cell>
          <cell r="DF28">
            <v>795</v>
          </cell>
          <cell r="DH28">
            <v>89</v>
          </cell>
          <cell r="DI28">
            <v>63</v>
          </cell>
          <cell r="DJ28">
            <v>-668</v>
          </cell>
          <cell r="DK28">
            <v>332</v>
          </cell>
          <cell r="DL28">
            <v>-184</v>
          </cell>
          <cell r="DN28">
            <v>58</v>
          </cell>
          <cell r="DO28">
            <v>110</v>
          </cell>
          <cell r="DP28">
            <v>3</v>
          </cell>
          <cell r="DQ28">
            <v>-447</v>
          </cell>
          <cell r="DR28">
            <v>-276</v>
          </cell>
          <cell r="DT28">
            <v>89</v>
          </cell>
          <cell r="DU28">
            <v>282</v>
          </cell>
          <cell r="DV28">
            <v>106</v>
          </cell>
          <cell r="DW28">
            <v>341</v>
          </cell>
          <cell r="DX28">
            <v>818</v>
          </cell>
          <cell r="DZ28">
            <v>46</v>
          </cell>
          <cell r="EA28">
            <v>120</v>
          </cell>
          <cell r="EB28">
            <v>67</v>
          </cell>
          <cell r="EC28">
            <v>460</v>
          </cell>
          <cell r="ED28">
            <v>693</v>
          </cell>
          <cell r="EF28">
            <v>97</v>
          </cell>
          <cell r="EG28">
            <v>78</v>
          </cell>
          <cell r="EH28">
            <v>74</v>
          </cell>
          <cell r="EI28">
            <v>440</v>
          </cell>
          <cell r="EJ28">
            <v>689</v>
          </cell>
          <cell r="EK28" t="str">
            <v>Net Income, Reported</v>
          </cell>
          <cell r="EL28">
            <v>123.354</v>
          </cell>
          <cell r="EM28">
            <v>148</v>
          </cell>
          <cell r="EN28">
            <v>436.23741007194246</v>
          </cell>
          <cell r="EO28">
            <v>699</v>
          </cell>
          <cell r="EP28">
            <v>1406.5914100719424</v>
          </cell>
          <cell r="ER28">
            <v>-52</v>
          </cell>
          <cell r="ES28">
            <v>316.875</v>
          </cell>
          <cell r="ET28">
            <v>-3</v>
          </cell>
          <cell r="EU28">
            <v>733</v>
          </cell>
          <cell r="EV28">
            <v>994.875</v>
          </cell>
          <cell r="EX28">
            <v>36</v>
          </cell>
          <cell r="EY28">
            <v>74</v>
          </cell>
          <cell r="EZ28">
            <v>33</v>
          </cell>
          <cell r="FA28">
            <v>750</v>
          </cell>
          <cell r="FB28">
            <v>893</v>
          </cell>
          <cell r="FD28">
            <v>-59</v>
          </cell>
          <cell r="FE28">
            <v>73</v>
          </cell>
          <cell r="FF28">
            <v>-44</v>
          </cell>
          <cell r="FG28">
            <v>-4773</v>
          </cell>
          <cell r="FH28">
            <v>-4803</v>
          </cell>
          <cell r="FJ28">
            <v>-88</v>
          </cell>
          <cell r="FK28">
            <v>7</v>
          </cell>
          <cell r="FL28">
            <v>-35</v>
          </cell>
          <cell r="FM28">
            <v>445</v>
          </cell>
          <cell r="FN28">
            <v>329</v>
          </cell>
          <cell r="FP28">
            <v>23</v>
          </cell>
          <cell r="FQ28">
            <v>147</v>
          </cell>
          <cell r="FR28">
            <v>10</v>
          </cell>
          <cell r="FS28">
            <v>667</v>
          </cell>
          <cell r="FT28">
            <v>847</v>
          </cell>
          <cell r="FV28">
            <v>131</v>
          </cell>
          <cell r="FW28">
            <v>241</v>
          </cell>
          <cell r="FX28">
            <v>139</v>
          </cell>
          <cell r="FY28">
            <v>745</v>
          </cell>
          <cell r="FZ28">
            <v>1256</v>
          </cell>
          <cell r="GB28">
            <v>181</v>
          </cell>
          <cell r="GC28">
            <v>279</v>
          </cell>
          <cell r="GD28">
            <v>110.03264655178822</v>
          </cell>
          <cell r="GE28">
            <v>838.34033752127743</v>
          </cell>
          <cell r="GF28">
            <v>1408.3729840730655</v>
          </cell>
          <cell r="GS28" t="str">
            <v>mstag:netIncomeAsReported</v>
          </cell>
          <cell r="GT28">
            <v>6</v>
          </cell>
          <cell r="GU28" t="str">
            <v>ISO4217:USD</v>
          </cell>
          <cell r="GV28" t="b">
            <v>0</v>
          </cell>
        </row>
        <row r="30">
          <cell r="A30" t="str">
            <v>EPS, Before All Extraordinary Items</v>
          </cell>
          <cell r="C30" t="str">
            <v xml:space="preserve">--  </v>
          </cell>
          <cell r="D30" t="str">
            <v xml:space="preserve">--  </v>
          </cell>
          <cell r="E30" t="str">
            <v xml:space="preserve">--  </v>
          </cell>
          <cell r="F30">
            <v>0.22616075437808544</v>
          </cell>
          <cell r="G30">
            <v>1.0148989672204816</v>
          </cell>
          <cell r="H30">
            <v>1.5301560656568385</v>
          </cell>
          <cell r="I30">
            <v>1.9499735372413873</v>
          </cell>
          <cell r="K30">
            <v>0.20197557628978816</v>
          </cell>
          <cell r="L30">
            <v>0.81437207573570658</v>
          </cell>
          <cell r="N30">
            <v>0.19396284189183596</v>
          </cell>
          <cell r="O30">
            <v>0.59802158273381312</v>
          </cell>
          <cell r="P30">
            <v>1.2657726276118944</v>
          </cell>
          <cell r="Q30">
            <v>1.5161575918548031</v>
          </cell>
          <cell r="R30">
            <v>1.8784153005464481</v>
          </cell>
          <cell r="S30">
            <v>2.100160980880764</v>
          </cell>
          <cell r="T30">
            <v>1.6014336365037769</v>
          </cell>
          <cell r="U30">
            <v>1.7093897259149216</v>
          </cell>
          <cell r="V30">
            <v>1.8506172802885585</v>
          </cell>
          <cell r="W30">
            <v>2.2069208613414109</v>
          </cell>
          <cell r="X30">
            <v>2.5058780966631615</v>
          </cell>
          <cell r="Y30">
            <v>2.0770614304446693</v>
          </cell>
          <cell r="Z30">
            <v>2.129219701162147</v>
          </cell>
          <cell r="AA30">
            <v>1.2932312985703269</v>
          </cell>
          <cell r="AB30">
            <v>1.3637977980348048</v>
          </cell>
          <cell r="AC30">
            <v>2.1076672104404568</v>
          </cell>
          <cell r="AD30">
            <v>2.879879182156134</v>
          </cell>
          <cell r="AE30">
            <v>3.4254564468311228</v>
          </cell>
          <cell r="AF30">
            <v>3.9453943917559142</v>
          </cell>
          <cell r="AG30">
            <v>4.7983581094155907</v>
          </cell>
          <cell r="AH30">
            <v>5.2958753573867723</v>
          </cell>
          <cell r="AI30">
            <v>5.6959829769682733</v>
          </cell>
          <cell r="AJ30">
            <v>6.1538937066977288</v>
          </cell>
          <cell r="AK30">
            <v>6.8001516881883797</v>
          </cell>
          <cell r="AL30">
            <v>7.5529335978779351</v>
          </cell>
          <cell r="AN30" t="str">
            <v>EPS, Before All Extraordinary Items</v>
          </cell>
          <cell r="AO30">
            <v>-1.2429999999999988</v>
          </cell>
          <cell r="AP30">
            <v>-1.57965</v>
          </cell>
          <cell r="AQ30">
            <v>-1.0850250000000004</v>
          </cell>
          <cell r="AR30">
            <v>0.51459999999999939</v>
          </cell>
          <cell r="AS30">
            <v>-3.3930749999999996</v>
          </cell>
          <cell r="AU30">
            <v>-0.80231336751281623</v>
          </cell>
          <cell r="AV30">
            <v>-1.7985244466675014</v>
          </cell>
          <cell r="AW30">
            <v>-0.7627235213204947</v>
          </cell>
          <cell r="AX30">
            <v>-39.296723771414271</v>
          </cell>
          <cell r="AY30">
            <v>-42.660285106915083</v>
          </cell>
          <cell r="BA30">
            <v>0.14770538952107243</v>
          </cell>
          <cell r="BB30">
            <v>-1.9535728775290969E-2</v>
          </cell>
          <cell r="BC30">
            <v>0.25065079365079296</v>
          </cell>
          <cell r="BD30">
            <v>0.88256577903323108</v>
          </cell>
          <cell r="BE30">
            <v>1.3687202514593633</v>
          </cell>
          <cell r="BG30">
            <v>0.20002535476867783</v>
          </cell>
          <cell r="BH30">
            <v>7.0090017338431732E-2</v>
          </cell>
          <cell r="BI30">
            <v>0.38607880548804113</v>
          </cell>
          <cell r="BJ30">
            <v>1.1552976934888934</v>
          </cell>
          <cell r="BK30">
            <v>1.8118343851203089</v>
          </cell>
          <cell r="BM30">
            <v>0.25479187753036581</v>
          </cell>
          <cell r="BN30">
            <v>2.9799807233483223E-2</v>
          </cell>
          <cell r="BO30">
            <v>0.3502606635071091</v>
          </cell>
          <cell r="BP30">
            <v>1.3138393561622224</v>
          </cell>
          <cell r="BQ30">
            <v>1.9499735372413873</v>
          </cell>
          <cell r="BS30">
            <v>-0.20332821075740956</v>
          </cell>
          <cell r="BT30">
            <v>-0.31958644346871568</v>
          </cell>
          <cell r="BU30">
            <v>-0.28133589462129516</v>
          </cell>
          <cell r="BV30">
            <v>1.0062261251372122</v>
          </cell>
          <cell r="BW30">
            <v>0.20197557628978785</v>
          </cell>
          <cell r="BY30">
            <v>-0.31201213036862024</v>
          </cell>
          <cell r="BZ30">
            <v>-0.36741781983263083</v>
          </cell>
          <cell r="CA30">
            <v>0.11965027322404226</v>
          </cell>
          <cell r="CB30">
            <v>-0.34615287005689976</v>
          </cell>
          <cell r="CC30">
            <v>-0.23548729297471871</v>
          </cell>
          <cell r="CD30">
            <v>1.3712712428644704</v>
          </cell>
          <cell r="CE30">
            <v>1.207342410588703</v>
          </cell>
          <cell r="CF30">
            <v>0.81437207573570625</v>
          </cell>
          <cell r="CG30">
            <v>0.7435356421009699</v>
          </cell>
          <cell r="CH30">
            <v>0.38729941567494397</v>
          </cell>
          <cell r="CJ30">
            <v>-0.18345991969425834</v>
          </cell>
          <cell r="CK30">
            <v>-0.13094773743998667</v>
          </cell>
          <cell r="CL30">
            <v>0.19647851243942646</v>
          </cell>
          <cell r="CM30">
            <v>1.295707885304658</v>
          </cell>
          <cell r="CN30">
            <v>1.1955350719424447</v>
          </cell>
          <cell r="CP30">
            <v>0.11263576779026301</v>
          </cell>
          <cell r="CQ30">
            <v>0.29367256637168293</v>
          </cell>
          <cell r="CR30">
            <v>0.46448961555457374</v>
          </cell>
          <cell r="CS30">
            <v>1.6504702194357368</v>
          </cell>
          <cell r="CT30">
            <v>2.5298854420738444</v>
          </cell>
          <cell r="CV30">
            <v>0.26007772020725389</v>
          </cell>
          <cell r="CW30">
            <v>0.4604130808950086</v>
          </cell>
          <cell r="CX30">
            <v>0.48076923076923067</v>
          </cell>
          <cell r="CY30">
            <v>1.8793182865039153</v>
          </cell>
          <cell r="CZ30">
            <v>3.0333510402833115</v>
          </cell>
          <cell r="DB30">
            <v>0.20101663585951943</v>
          </cell>
          <cell r="DC30">
            <v>0.30869761153672826</v>
          </cell>
          <cell r="DD30">
            <v>0.27967257844474763</v>
          </cell>
          <cell r="DE30">
            <v>1.0186448385629832</v>
          </cell>
          <cell r="DF30">
            <v>1.8103153819879312</v>
          </cell>
          <cell r="DH30">
            <v>0.27276930189551551</v>
          </cell>
          <cell r="DI30">
            <v>0.46522781774580335</v>
          </cell>
          <cell r="DJ30">
            <v>0.27100944803580307</v>
          </cell>
          <cell r="DK30">
            <v>1.1121316908003744</v>
          </cell>
          <cell r="DL30">
            <v>2.100160980880764</v>
          </cell>
          <cell r="DN30">
            <v>0.21597256246937779</v>
          </cell>
          <cell r="DO30">
            <v>0.26126326727529131</v>
          </cell>
          <cell r="DP30">
            <v>0.11037133026498057</v>
          </cell>
          <cell r="DQ30">
            <v>1.0059098707159446</v>
          </cell>
          <cell r="DR30">
            <v>1.6014336365037769</v>
          </cell>
          <cell r="DT30">
            <v>0.21813725490196079</v>
          </cell>
          <cell r="DU30">
            <v>0.32678132678132676</v>
          </cell>
          <cell r="DV30">
            <v>0.19142419601837671</v>
          </cell>
          <cell r="DW30">
            <v>0.99768531377886427</v>
          </cell>
          <cell r="DX30">
            <v>1.7093897259149216</v>
          </cell>
          <cell r="DZ30">
            <v>0.13414803499513958</v>
          </cell>
          <cell r="EA30">
            <v>0.3366189923978869</v>
          </cell>
          <cell r="EB30">
            <v>0.22710881606277405</v>
          </cell>
          <cell r="EC30">
            <v>1.1671164307843058</v>
          </cell>
          <cell r="ED30">
            <v>1.8506172802885585</v>
          </cell>
          <cell r="EF30">
            <v>0.29516518323340046</v>
          </cell>
          <cell r="EG30">
            <v>0.36734693877551022</v>
          </cell>
          <cell r="EH30">
            <v>0.27580275229357798</v>
          </cell>
          <cell r="EI30">
            <v>1.2993690266609828</v>
          </cell>
          <cell r="EJ30">
            <v>2.2069208613414109</v>
          </cell>
          <cell r="EK30" t="str">
            <v>EPS, Before All Extraordinary Items</v>
          </cell>
          <cell r="EL30">
            <v>0.35692708333333328</v>
          </cell>
          <cell r="EM30">
            <v>0.42117245304496292</v>
          </cell>
          <cell r="EN30">
            <v>0.1606847608789124</v>
          </cell>
          <cell r="EO30">
            <v>1.3341216109951204</v>
          </cell>
          <cell r="EP30">
            <v>2.5058780966631615</v>
          </cell>
          <cell r="ER30">
            <v>1.2362553915314987E-2</v>
          </cell>
          <cell r="ES30">
            <v>0.32635908440629469</v>
          </cell>
          <cell r="ET30">
            <v>0.20415978662787176</v>
          </cell>
          <cell r="EU30">
            <v>1.5983670475799727</v>
          </cell>
          <cell r="EV30">
            <v>2.0770614304446693</v>
          </cell>
          <cell r="EX30">
            <v>0.16</v>
          </cell>
          <cell r="EY30">
            <v>0.34</v>
          </cell>
          <cell r="EZ30">
            <v>0.08</v>
          </cell>
          <cell r="FA30">
            <v>1.67</v>
          </cell>
          <cell r="FB30">
            <v>2.129219701162147</v>
          </cell>
          <cell r="FD30">
            <v>0.01</v>
          </cell>
          <cell r="FE30">
            <v>0.28999999999999998</v>
          </cell>
          <cell r="FF30">
            <v>-0.08</v>
          </cell>
          <cell r="FG30">
            <v>1.06</v>
          </cell>
          <cell r="FH30">
            <v>1.2932312985703269</v>
          </cell>
          <cell r="FJ30">
            <v>-0.16</v>
          </cell>
          <cell r="FK30">
            <v>0.2</v>
          </cell>
          <cell r="FL30">
            <v>-0.03</v>
          </cell>
          <cell r="FM30">
            <v>1.35</v>
          </cell>
          <cell r="FN30">
            <v>1.3637977980348048</v>
          </cell>
          <cell r="FP30">
            <v>9.3852651337400284E-2</v>
          </cell>
          <cell r="FQ30">
            <v>0.35</v>
          </cell>
          <cell r="FR30">
            <v>8.0449017773620193E-2</v>
          </cell>
          <cell r="FS30">
            <v>1.59</v>
          </cell>
          <cell r="FT30">
            <v>2.1076672104404568</v>
          </cell>
          <cell r="FV30">
            <v>0.30465116279069765</v>
          </cell>
          <cell r="FW30">
            <v>0.55453290381960418</v>
          </cell>
          <cell r="FX30">
            <v>0.32190829087540529</v>
          </cell>
          <cell r="FY30">
            <v>1.7048911771589044</v>
          </cell>
          <cell r="FZ30">
            <v>2.879879182156134</v>
          </cell>
          <cell r="GB30">
            <v>0.42718904885532216</v>
          </cell>
          <cell r="GC30">
            <v>0.66890433948693373</v>
          </cell>
          <cell r="GD30">
            <v>0.27084783703217807</v>
          </cell>
          <cell r="GE30">
            <v>2.1088022722950708</v>
          </cell>
          <cell r="GF30">
            <v>3.4254564468311224</v>
          </cell>
          <cell r="GS30" t="str">
            <v>mstag:adjEpsForConsensus</v>
          </cell>
          <cell r="GT30">
            <v>0</v>
          </cell>
          <cell r="GU30" t="str">
            <v>ISO4217:USD</v>
          </cell>
          <cell r="GV30" t="b">
            <v>0</v>
          </cell>
          <cell r="GW30" t="b">
            <v>0</v>
          </cell>
        </row>
        <row r="31">
          <cell r="A31" t="str">
            <v>EPS, Extraordinary/Discontinued</v>
          </cell>
          <cell r="K31">
            <v>-0.57276646542261256</v>
          </cell>
          <cell r="L31">
            <v>-0.9233288512833967</v>
          </cell>
          <cell r="N31">
            <v>0</v>
          </cell>
          <cell r="O31">
            <v>0</v>
          </cell>
          <cell r="P31">
            <v>-8.5852404307589364E-2</v>
          </cell>
          <cell r="Q31">
            <v>-5.090748118636565E-2</v>
          </cell>
          <cell r="R31">
            <v>-6.8306010928961755E-2</v>
          </cell>
          <cell r="S31">
            <v>-2.5448739718173199</v>
          </cell>
          <cell r="T31">
            <v>-2.2928164020348389</v>
          </cell>
          <cell r="U31">
            <v>0.34873079238926785</v>
          </cell>
          <cell r="V31">
            <v>6.29590299118425E-3</v>
          </cell>
          <cell r="W31">
            <v>-0.27369976145364439</v>
          </cell>
          <cell r="X31">
            <v>0.7306414847264896</v>
          </cell>
          <cell r="Y31">
            <v>-0.26060168971069103</v>
          </cell>
          <cell r="Z31">
            <v>-0.1348828629404164</v>
          </cell>
          <cell r="AA31">
            <v>-12.690277036246071</v>
          </cell>
          <cell r="AB31">
            <v>-0.58482301408784143</v>
          </cell>
          <cell r="AC31">
            <v>-0.13766721044045682</v>
          </cell>
          <cell r="AD31">
            <v>4.0120817843865897E-2</v>
          </cell>
          <cell r="AE31">
            <v>4.5435531688777786E-3</v>
          </cell>
          <cell r="AF31">
            <v>0</v>
          </cell>
          <cell r="AG31">
            <v>0</v>
          </cell>
          <cell r="AH31">
            <v>0</v>
          </cell>
          <cell r="AI31">
            <v>0</v>
          </cell>
          <cell r="AJ31">
            <v>0</v>
          </cell>
          <cell r="AK31">
            <v>0</v>
          </cell>
          <cell r="AL31">
            <v>0</v>
          </cell>
          <cell r="AN31" t="str">
            <v>EPS, Extraordinary/Discontinued</v>
          </cell>
          <cell r="AO31">
            <v>0.17066427012363927</v>
          </cell>
          <cell r="AP31">
            <v>7.9165927046291967E-2</v>
          </cell>
          <cell r="AQ31">
            <v>0.2616065710286915</v>
          </cell>
          <cell r="AR31">
            <v>-0.36646743429234646</v>
          </cell>
          <cell r="AS31">
            <v>0.14496933390627625</v>
          </cell>
          <cell r="AU31">
            <v>0.10056992116474267</v>
          </cell>
          <cell r="AV31">
            <v>0.92759338606906783</v>
          </cell>
          <cell r="AW31">
            <v>0.22557897123962739</v>
          </cell>
          <cell r="AX31">
            <v>12.649594309088322</v>
          </cell>
          <cell r="AY31">
            <v>13.90333658756176</v>
          </cell>
          <cell r="BA31">
            <v>0</v>
          </cell>
          <cell r="BB31">
            <v>-0.12</v>
          </cell>
          <cell r="BC31">
            <v>0</v>
          </cell>
          <cell r="BD31">
            <v>-0.05</v>
          </cell>
          <cell r="BE31">
            <v>-0.16999999999999998</v>
          </cell>
          <cell r="BG31">
            <v>-2.8088329675379727E-2</v>
          </cell>
          <cell r="BH31">
            <v>0</v>
          </cell>
          <cell r="BI31">
            <v>-0.11275344190133876</v>
          </cell>
          <cell r="BJ31">
            <v>0.11</v>
          </cell>
          <cell r="BK31">
            <v>-3.0841771576718482E-2</v>
          </cell>
          <cell r="BM31">
            <v>0</v>
          </cell>
          <cell r="BN31">
            <v>-0.12758141225173411</v>
          </cell>
          <cell r="BO31">
            <v>0</v>
          </cell>
          <cell r="BP31">
            <v>0</v>
          </cell>
          <cell r="BQ31">
            <v>-0.12758141225173411</v>
          </cell>
          <cell r="BS31">
            <v>0</v>
          </cell>
          <cell r="BT31">
            <v>-0.11375987925356752</v>
          </cell>
          <cell r="BU31">
            <v>-0.26783754116355651</v>
          </cell>
          <cell r="BV31">
            <v>-0.19116904500548851</v>
          </cell>
          <cell r="BW31">
            <v>-0.57276646542261256</v>
          </cell>
          <cell r="BY31">
            <v>-0.27822347029263966</v>
          </cell>
          <cell r="BZ31">
            <v>-0.38236853908001966</v>
          </cell>
          <cell r="CA31">
            <v>-0.12076142131979695</v>
          </cell>
          <cell r="CB31">
            <v>0</v>
          </cell>
          <cell r="CC31">
            <v>-0.12117634517766497</v>
          </cell>
          <cell r="CD31">
            <v>-0.13316015237014156</v>
          </cell>
          <cell r="CE31">
            <v>-0.24821034293864214</v>
          </cell>
          <cell r="CF31">
            <v>-0.9233288512833967</v>
          </cell>
          <cell r="CG31">
            <v>-1.0174801146897994</v>
          </cell>
          <cell r="CH31">
            <v>-1.0173207208242168</v>
          </cell>
          <cell r="CJ31">
            <v>-0.22177446664409073</v>
          </cell>
          <cell r="CK31">
            <v>-0.28818222312111447</v>
          </cell>
          <cell r="CL31">
            <v>-0.12598728090584768</v>
          </cell>
          <cell r="CM31">
            <v>-0.23777692652329746</v>
          </cell>
          <cell r="CN31">
            <v>-0.83960888039568349</v>
          </cell>
          <cell r="CP31">
            <v>0</v>
          </cell>
          <cell r="CQ31">
            <v>-0.17111946902654868</v>
          </cell>
          <cell r="CR31">
            <v>0</v>
          </cell>
          <cell r="CS31">
            <v>0</v>
          </cell>
          <cell r="CT31">
            <v>-0.17026512983525147</v>
          </cell>
          <cell r="CV31">
            <v>0</v>
          </cell>
          <cell r="CW31">
            <v>0</v>
          </cell>
          <cell r="CX31">
            <v>-0.10052447552447552</v>
          </cell>
          <cell r="CY31">
            <v>0</v>
          </cell>
          <cell r="CZ31">
            <v>-0.1018149623727313</v>
          </cell>
          <cell r="DB31">
            <v>0</v>
          </cell>
          <cell r="DC31">
            <v>0</v>
          </cell>
          <cell r="DD31">
            <v>0</v>
          </cell>
          <cell r="DE31">
            <v>0</v>
          </cell>
          <cell r="DF31">
            <v>0</v>
          </cell>
          <cell r="DH31">
            <v>-6.7036523347202961E-2</v>
          </cell>
          <cell r="DI31">
            <v>-0.31414868105515587</v>
          </cell>
          <cell r="DJ31">
            <v>-1.9318746892093486</v>
          </cell>
          <cell r="DK31">
            <v>-0.28871899238767618</v>
          </cell>
          <cell r="DL31">
            <v>-2.5448739718173199</v>
          </cell>
          <cell r="DN31">
            <v>-7.3885350318471349E-2</v>
          </cell>
          <cell r="DO31">
            <v>1.4287834929117501E-2</v>
          </cell>
          <cell r="DP31">
            <v>-0.10266321104606999</v>
          </cell>
          <cell r="DQ31">
            <v>-2.122851399951327</v>
          </cell>
          <cell r="DR31">
            <v>-2.2928164020348389</v>
          </cell>
          <cell r="DT31">
            <v>0</v>
          </cell>
          <cell r="DU31">
            <v>0.36609336609336607</v>
          </cell>
          <cell r="DV31">
            <v>7.9122001020929048E-2</v>
          </cell>
          <cell r="DW31">
            <v>-0.10734588819139679</v>
          </cell>
          <cell r="DX31">
            <v>0.34873079238926785</v>
          </cell>
          <cell r="DZ31">
            <v>-1.2776003332870435E-2</v>
          </cell>
          <cell r="EA31">
            <v>-1.6106171885066356E-2</v>
          </cell>
          <cell r="EB31">
            <v>-4.6710323871067008E-2</v>
          </cell>
          <cell r="EC31">
            <v>8.3563286453323213E-2</v>
          </cell>
          <cell r="ED31">
            <v>6.29590299118425E-3</v>
          </cell>
          <cell r="EF31">
            <v>-3.1864423189969363E-2</v>
          </cell>
          <cell r="EG31">
            <v>-0.15306122448979592</v>
          </cell>
          <cell r="EH31">
            <v>-6.3646788990825695E-2</v>
          </cell>
          <cell r="EI31">
            <v>-2.3266938493929443E-2</v>
          </cell>
          <cell r="EJ31">
            <v>-0.27369976145364439</v>
          </cell>
          <cell r="EK31" t="str">
            <v>EPS, Extraordinary/Discontinued</v>
          </cell>
          <cell r="EL31">
            <v>0</v>
          </cell>
          <cell r="EM31">
            <v>0</v>
          </cell>
          <cell r="EN31">
            <v>0.73526391456151163</v>
          </cell>
          <cell r="EO31">
            <v>-7.2844093853294434E-2</v>
          </cell>
          <cell r="EP31">
            <v>0.7306414847264896</v>
          </cell>
          <cell r="ER31">
            <v>-0.10555251807302107</v>
          </cell>
          <cell r="ES31">
            <v>0.24029864091559369</v>
          </cell>
          <cell r="ET31">
            <v>-0.21761532399830275</v>
          </cell>
          <cell r="EU31">
            <v>-0.19871075580987546</v>
          </cell>
          <cell r="EV31">
            <v>-0.26060168971069103</v>
          </cell>
          <cell r="EX31">
            <v>-8.3109782144382749E-2</v>
          </cell>
          <cell r="EY31">
            <v>-0.17624695729143616</v>
          </cell>
          <cell r="EZ31">
            <v>-3.9981575310916589E-3</v>
          </cell>
          <cell r="FA31">
            <v>0.17943409247757075</v>
          </cell>
          <cell r="FB31">
            <v>-0.1348828629404164</v>
          </cell>
          <cell r="FD31">
            <v>-0.15</v>
          </cell>
          <cell r="FE31">
            <v>-0.12</v>
          </cell>
          <cell r="FF31">
            <v>-0.02</v>
          </cell>
          <cell r="FG31">
            <v>-12.39</v>
          </cell>
          <cell r="FH31">
            <v>-12.690277036246071</v>
          </cell>
          <cell r="FJ31">
            <v>-0.05</v>
          </cell>
          <cell r="FK31">
            <v>-0.18</v>
          </cell>
          <cell r="FL31">
            <v>-0.05</v>
          </cell>
          <cell r="FM31">
            <v>-0.3</v>
          </cell>
          <cell r="FN31">
            <v>-0.58482301408784143</v>
          </cell>
          <cell r="FP31">
            <v>-4.3852651337400281E-2</v>
          </cell>
          <cell r="FQ31">
            <v>-5.3341148886283385E-3</v>
          </cell>
          <cell r="FR31">
            <v>-6.0449017773620189E-2</v>
          </cell>
          <cell r="FS31">
            <v>-4.0000000000000036E-2</v>
          </cell>
          <cell r="FT31">
            <v>-0.13766721044045682</v>
          </cell>
          <cell r="FV31">
            <v>-4.6511627906976605E-3</v>
          </cell>
          <cell r="FW31">
            <v>0</v>
          </cell>
          <cell r="FX31">
            <v>-1.908290875405283E-3</v>
          </cell>
          <cell r="FY31">
            <v>3.5108822841095622E-2</v>
          </cell>
          <cell r="FZ31">
            <v>4.0120817843865897E-2</v>
          </cell>
          <cell r="GB31">
            <v>2.8109511446778312E-3</v>
          </cell>
          <cell r="GC31">
            <v>1.09566051306631E-3</v>
          </cell>
          <cell r="GD31">
            <v>-8.4783703217805595E-4</v>
          </cell>
          <cell r="GE31">
            <v>1.1977277049290969E-3</v>
          </cell>
          <cell r="GF31">
            <v>4.5435531688777786E-3</v>
          </cell>
        </row>
        <row r="32">
          <cell r="A32" t="str">
            <v>EPS Basic, Reported</v>
          </cell>
          <cell r="C32" t="str">
            <v xml:space="preserve">--  </v>
          </cell>
          <cell r="D32" t="str">
            <v xml:space="preserve">--  </v>
          </cell>
          <cell r="E32" t="str">
            <v xml:space="preserve">--  </v>
          </cell>
          <cell r="F32">
            <v>0.22616075437808544</v>
          </cell>
          <cell r="G32">
            <v>1.1918096093399249</v>
          </cell>
          <cell r="H32">
            <v>1.78</v>
          </cell>
          <cell r="I32">
            <v>2.0775398323761891</v>
          </cell>
          <cell r="J32">
            <v>1.0943248139788602</v>
          </cell>
          <cell r="K32">
            <v>0.77474204171240069</v>
          </cell>
          <cell r="L32">
            <v>1.7377009270191033</v>
          </cell>
          <cell r="N32">
            <v>0.19424315098649622</v>
          </cell>
          <cell r="O32">
            <v>0.64003849855630413</v>
          </cell>
          <cell r="P32">
            <v>1.279376733483867</v>
          </cell>
          <cell r="Q32">
            <v>1.5799522673031026</v>
          </cell>
          <cell r="R32">
            <v>1.8892585551330798</v>
          </cell>
          <cell r="S32">
            <v>-0.44921875</v>
          </cell>
          <cell r="T32">
            <v>-0.70525105404369481</v>
          </cell>
          <cell r="U32">
            <v>2.0735107731305451</v>
          </cell>
          <cell r="V32">
            <v>1.8790672451193058</v>
          </cell>
          <cell r="W32">
            <v>1.966447173043975</v>
          </cell>
          <cell r="X32">
            <v>3.3018577701219307</v>
          </cell>
          <cell r="Y32">
            <v>1.8423611111111111</v>
          </cell>
          <cell r="Z32">
            <v>1.9545877791262072</v>
          </cell>
          <cell r="AA32">
            <v>-11.403810767495697</v>
          </cell>
          <cell r="AB32">
            <v>0.78012923113403276</v>
          </cell>
          <cell r="AC32">
            <v>1.996229083195852</v>
          </cell>
          <cell r="AD32">
            <v>2.9587750294464077</v>
          </cell>
          <cell r="AE32">
            <v>3.4768289072784784</v>
          </cell>
          <cell r="AF32">
            <v>4.0106022836648636</v>
          </cell>
          <cell r="AG32">
            <v>4.8863487599011481</v>
          </cell>
          <cell r="AH32">
            <v>5.401769994132783</v>
          </cell>
          <cell r="AI32">
            <v>5.8155175230849547</v>
          </cell>
          <cell r="AJ32">
            <v>6.2883768989543398</v>
          </cell>
          <cell r="AK32">
            <v>6.9597548987727658</v>
          </cell>
          <cell r="AL32">
            <v>7.7456035591899965</v>
          </cell>
          <cell r="AN32" t="str">
            <v>EPS Basic, Reported</v>
          </cell>
          <cell r="AO32">
            <v>-1.0723357298763596</v>
          </cell>
          <cell r="AP32">
            <v>-1.5004840729537079</v>
          </cell>
          <cell r="AQ32">
            <v>-0.82341842897130901</v>
          </cell>
          <cell r="AR32">
            <v>0.14813256570765293</v>
          </cell>
          <cell r="AS32">
            <v>-2.6062398109441198</v>
          </cell>
          <cell r="AU32">
            <v>-0.70174344634807351</v>
          </cell>
          <cell r="AV32">
            <v>-0.8709310605984335</v>
          </cell>
          <cell r="AW32">
            <v>-0.53714455008086737</v>
          </cell>
          <cell r="AX32">
            <v>0.43196269723388214</v>
          </cell>
          <cell r="AY32">
            <v>-1.4596868454619985</v>
          </cell>
          <cell r="BA32">
            <v>0.14770538952107243</v>
          </cell>
          <cell r="BB32">
            <v>-0.13925490818648498</v>
          </cell>
          <cell r="BC32">
            <v>0.25065079365079296</v>
          </cell>
          <cell r="BD32">
            <v>0.83396546799124038</v>
          </cell>
          <cell r="BE32">
            <v>1.19180960933992</v>
          </cell>
          <cell r="BG32">
            <v>0.17</v>
          </cell>
          <cell r="BH32">
            <v>7.0000000000000007E-2</v>
          </cell>
          <cell r="BI32">
            <v>0.27</v>
          </cell>
          <cell r="BJ32">
            <v>1.04</v>
          </cell>
          <cell r="BK32">
            <v>1.56</v>
          </cell>
          <cell r="BM32">
            <v>0.25</v>
          </cell>
          <cell r="BN32">
            <v>0.15738121948521733</v>
          </cell>
          <cell r="BO32">
            <v>0.35</v>
          </cell>
          <cell r="BP32">
            <v>1.31</v>
          </cell>
          <cell r="BQ32">
            <v>2.0775398323761891</v>
          </cell>
          <cell r="BS32">
            <v>-0.20332821075740956</v>
          </cell>
          <cell r="BT32">
            <v>-0.20582656421514811</v>
          </cell>
          <cell r="BU32">
            <v>-1.3498353457738645E-2</v>
          </cell>
          <cell r="BV32">
            <v>1.1973951701427006</v>
          </cell>
          <cell r="BW32">
            <v>0.77474204171240035</v>
          </cell>
          <cell r="BY32">
            <v>-3.378866007598056E-2</v>
          </cell>
          <cell r="BZ32">
            <v>1.4950719247388836E-2</v>
          </cell>
          <cell r="CA32">
            <v>0.24965027322404229</v>
          </cell>
          <cell r="CB32">
            <v>-0.34615287005689976</v>
          </cell>
          <cell r="CC32">
            <v>-0.11432140373673416</v>
          </cell>
          <cell r="CD32">
            <v>1.5044313952346118</v>
          </cell>
          <cell r="CE32">
            <v>1.4555527535273449</v>
          </cell>
          <cell r="CF32">
            <v>1.7377009270191031</v>
          </cell>
          <cell r="CG32">
            <v>1.7610157567907692</v>
          </cell>
          <cell r="CH32">
            <v>1.4012846587259669</v>
          </cell>
          <cell r="CJ32">
            <v>0.04</v>
          </cell>
          <cell r="CK32">
            <v>0.16</v>
          </cell>
          <cell r="CL32">
            <v>0.33</v>
          </cell>
          <cell r="CM32">
            <v>1.65</v>
          </cell>
          <cell r="CN32">
            <v>2.1800000000000002</v>
          </cell>
          <cell r="CP32">
            <v>0.11539088729016872</v>
          </cell>
          <cell r="CQ32">
            <v>0.3169531996179577</v>
          </cell>
          <cell r="CR32">
            <v>0.50221691352126152</v>
          </cell>
          <cell r="CS32">
            <v>1.8039573994232363</v>
          </cell>
          <cell r="CT32">
            <v>2.743131704196645</v>
          </cell>
          <cell r="CV32">
            <v>0.28887565258661607</v>
          </cell>
          <cell r="CW32">
            <v>0.50731353919239908</v>
          </cell>
          <cell r="CX32">
            <v>0.41527446300715992</v>
          </cell>
          <cell r="CY32">
            <v>1.9474940334128878</v>
          </cell>
          <cell r="CZ32">
            <v>3.1610214797136038</v>
          </cell>
          <cell r="DB32">
            <v>0.21113397129186603</v>
          </cell>
          <cell r="DC32">
            <v>0.32534587898999523</v>
          </cell>
          <cell r="DD32">
            <v>0.29230038022813687</v>
          </cell>
          <cell r="DE32">
            <v>1.0551106924163918</v>
          </cell>
          <cell r="DF32">
            <v>1.8892585551330801</v>
          </cell>
          <cell r="DH32">
            <v>0.21211654135338345</v>
          </cell>
          <cell r="DI32">
            <v>0.15346853823814133</v>
          </cell>
          <cell r="DJ32">
            <v>-1.6608652411735456</v>
          </cell>
          <cell r="DK32">
            <v>0.83543029693004534</v>
          </cell>
          <cell r="DL32">
            <v>-0.44921875</v>
          </cell>
          <cell r="DN32">
            <v>0.14946464646464647</v>
          </cell>
          <cell r="DO32">
            <v>0.28163103802672151</v>
          </cell>
          <cell r="DP32">
            <v>7.7760497667185065E-3</v>
          </cell>
          <cell r="DQ32">
            <v>-1.1333671399594321</v>
          </cell>
          <cell r="DR32">
            <v>-0.70525105404369481</v>
          </cell>
          <cell r="DT32">
            <v>0.22073412698412698</v>
          </cell>
          <cell r="DU32">
            <v>0.69975186104218368</v>
          </cell>
          <cell r="DV32">
            <v>0.27179487179487177</v>
          </cell>
          <cell r="DW32">
            <v>0.89113776846516501</v>
          </cell>
          <cell r="DX32">
            <v>2.0735107731305451</v>
          </cell>
          <cell r="DZ32">
            <v>0.12156448202959831</v>
          </cell>
          <cell r="EA32">
            <v>0.32327586206896552</v>
          </cell>
          <cell r="EB32">
            <v>0.18346111719605696</v>
          </cell>
          <cell r="EC32">
            <v>1.2749445676274944</v>
          </cell>
          <cell r="ED32">
            <v>1.8790672451193058</v>
          </cell>
          <cell r="EF32">
            <v>0.26869806094182824</v>
          </cell>
          <cell r="EG32">
            <v>0.21775544388609716</v>
          </cell>
          <cell r="EH32">
            <v>0.21511627906976744</v>
          </cell>
          <cell r="EI32">
            <v>1.3040901007705987</v>
          </cell>
          <cell r="EJ32">
            <v>1.966447173043975</v>
          </cell>
          <cell r="EK32" t="str">
            <v>EPS Basic, Reported</v>
          </cell>
          <cell r="EL32">
            <v>0.36538507109004736</v>
          </cell>
          <cell r="EM32">
            <v>0.43324299065420563</v>
          </cell>
          <cell r="EN32">
            <v>0.91167692805003653</v>
          </cell>
          <cell r="EO32">
            <v>1.2806888970318799</v>
          </cell>
          <cell r="EP32">
            <v>3.3018577701219307</v>
          </cell>
          <cell r="ER32">
            <v>-9.4511086877499081E-2</v>
          </cell>
          <cell r="ES32">
            <v>0.57384099963781232</v>
          </cell>
          <cell r="ET32">
            <v>-5.538120731031936E-3</v>
          </cell>
          <cell r="EU32">
            <v>1.4205426356589148</v>
          </cell>
          <cell r="EV32">
            <v>1.8423611111111111</v>
          </cell>
          <cell r="EX32">
            <v>7.6890217855617254E-2</v>
          </cell>
          <cell r="EY32">
            <v>0.16375304270856386</v>
          </cell>
          <cell r="EZ32">
            <v>7.6001842468908343E-2</v>
          </cell>
          <cell r="FA32">
            <v>1.7978979422385495</v>
          </cell>
          <cell r="FB32">
            <v>1.9545877791262072</v>
          </cell>
          <cell r="FD32">
            <v>-0.14000000000000001</v>
          </cell>
          <cell r="FE32">
            <v>0.17</v>
          </cell>
          <cell r="FF32">
            <v>-0.1</v>
          </cell>
          <cell r="FG32">
            <v>-11.33</v>
          </cell>
          <cell r="FH32">
            <v>-11.403810767495697</v>
          </cell>
          <cell r="FJ32">
            <v>-0.21</v>
          </cell>
          <cell r="FK32">
            <v>0.02</v>
          </cell>
          <cell r="FL32">
            <v>-0.08</v>
          </cell>
          <cell r="FM32">
            <v>1.05</v>
          </cell>
          <cell r="FN32">
            <v>0.78012923113403276</v>
          </cell>
          <cell r="FP32">
            <v>5.4424988168480827E-2</v>
          </cell>
          <cell r="FQ32">
            <v>0.3475177304964539</v>
          </cell>
          <cell r="FR32">
            <v>2.3612750885478158E-2</v>
          </cell>
          <cell r="FS32">
            <v>1.5757146231986769</v>
          </cell>
          <cell r="FT32">
            <v>1.996229083195852</v>
          </cell>
          <cell r="FV32">
            <v>0.30816278522700541</v>
          </cell>
          <cell r="FW32">
            <v>0.56374269005847955</v>
          </cell>
          <cell r="FX32">
            <v>0.32682812132612271</v>
          </cell>
          <cell r="FY32">
            <v>1.7738095238095237</v>
          </cell>
          <cell r="FZ32">
            <v>2.9587750294464077</v>
          </cell>
          <cell r="GB32">
            <v>0.43394869335890673</v>
          </cell>
          <cell r="GC32">
            <v>0.67850194552529186</v>
          </cell>
          <cell r="GD32">
            <v>0.27483932381768389</v>
          </cell>
          <cell r="GE32">
            <v>2.1405708013402154</v>
          </cell>
          <cell r="GF32">
            <v>3.4768289072784784</v>
          </cell>
        </row>
        <row r="33">
          <cell r="A33" t="str">
            <v>EPS Diluted, Reported</v>
          </cell>
          <cell r="N33">
            <v>0.19396284189183596</v>
          </cell>
          <cell r="O33">
            <v>0.62193570143884891</v>
          </cell>
          <cell r="P33">
            <v>1.2039336603062509</v>
          </cell>
          <cell r="Q33">
            <v>1.4807436918990704</v>
          </cell>
          <cell r="R33">
            <v>1.8101092896174864</v>
          </cell>
          <cell r="S33">
            <v>-0.44471299093655592</v>
          </cell>
          <cell r="T33">
            <v>-0.69138276553106215</v>
          </cell>
          <cell r="U33">
            <v>2.0581205183041891</v>
          </cell>
          <cell r="V33">
            <v>1.8569131832797428</v>
          </cell>
          <cell r="W33">
            <v>1.9312210998877666</v>
          </cell>
          <cell r="X33">
            <v>3.236519581389651</v>
          </cell>
          <cell r="Y33">
            <v>1.8164597407339782</v>
          </cell>
          <cell r="Z33">
            <v>1.9323052621090515</v>
          </cell>
          <cell r="AA33">
            <v>-11.397045737675745</v>
          </cell>
          <cell r="AB33">
            <v>0.7789747839469634</v>
          </cell>
          <cell r="AC33">
            <v>1.97</v>
          </cell>
          <cell r="AD33">
            <v>2.92</v>
          </cell>
          <cell r="AE33">
            <v>3.43</v>
          </cell>
          <cell r="AF33">
            <v>3.9453943917559142</v>
          </cell>
          <cell r="AG33">
            <v>4.7983581094155907</v>
          </cell>
          <cell r="AH33">
            <v>5.2958753573867723</v>
          </cell>
          <cell r="AI33">
            <v>5.6959829769682733</v>
          </cell>
          <cell r="AJ33">
            <v>6.1538937066977288</v>
          </cell>
          <cell r="AK33">
            <v>6.8001516881883797</v>
          </cell>
          <cell r="AL33">
            <v>7.5529335978779351</v>
          </cell>
          <cell r="AN33" t="str">
            <v>EPS Diluted, Reported</v>
          </cell>
          <cell r="CJ33">
            <v>4.3952880847563512E-2</v>
          </cell>
          <cell r="CK33">
            <v>0.1572344856811278</v>
          </cell>
          <cell r="CL33">
            <v>0.33496867229766447</v>
          </cell>
          <cell r="CM33">
            <v>1.5454023745519698</v>
          </cell>
          <cell r="CN33">
            <v>2.071115175359711</v>
          </cell>
          <cell r="CP33">
            <v>0.12199906367041283</v>
          </cell>
          <cell r="CQ33">
            <v>0.30544247787610773</v>
          </cell>
          <cell r="CR33">
            <v>0.47624392399469739</v>
          </cell>
          <cell r="CS33">
            <v>1.6620515499825848</v>
          </cell>
          <cell r="CT33">
            <v>2.5768180897619937</v>
          </cell>
          <cell r="CV33">
            <v>0.26107772020725389</v>
          </cell>
          <cell r="CW33">
            <v>0.4604130808950086</v>
          </cell>
          <cell r="CX33">
            <v>0.38024475524475521</v>
          </cell>
          <cell r="CY33">
            <v>1.8793182865039153</v>
          </cell>
          <cell r="CZ33">
            <v>2.9315360779105801</v>
          </cell>
          <cell r="DB33">
            <v>0.2020166358595194</v>
          </cell>
          <cell r="DC33">
            <v>0.30869761153672826</v>
          </cell>
          <cell r="DD33">
            <v>0.27967257844474763</v>
          </cell>
          <cell r="DE33">
            <v>1.0186448385629832</v>
          </cell>
          <cell r="DF33">
            <v>1.8103153819879312</v>
          </cell>
          <cell r="DH33">
            <v>0.20673277854831251</v>
          </cell>
          <cell r="DI33">
            <v>0.15107913669064749</v>
          </cell>
          <cell r="DJ33">
            <v>-1.6608652411735456</v>
          </cell>
          <cell r="DK33">
            <v>0.82341269841269848</v>
          </cell>
          <cell r="DL33">
            <v>-0.44471299093655592</v>
          </cell>
          <cell r="DN33">
            <v>0.14308721215090642</v>
          </cell>
          <cell r="DO33">
            <v>0.27555110220440882</v>
          </cell>
          <cell r="DP33">
            <v>7.7081192189105861E-3</v>
          </cell>
          <cell r="DQ33">
            <v>-1.1169415292353824</v>
          </cell>
          <cell r="DR33">
            <v>-0.69138276553106215</v>
          </cell>
          <cell r="DT33">
            <v>0.21613725490196078</v>
          </cell>
          <cell r="DU33">
            <v>0.69287469287469283</v>
          </cell>
          <cell r="DV33">
            <v>0.27054619703930577</v>
          </cell>
          <cell r="DW33">
            <v>0.89033942558746737</v>
          </cell>
          <cell r="DX33">
            <v>2.0581205183041891</v>
          </cell>
          <cell r="DZ33">
            <v>0.12137203166226913</v>
          </cell>
          <cell r="EA33">
            <v>0.32051282051282054</v>
          </cell>
          <cell r="EB33">
            <v>0.18039849219170706</v>
          </cell>
          <cell r="EC33">
            <v>1.2506797172376292</v>
          </cell>
          <cell r="ED33">
            <v>1.8569131832797428</v>
          </cell>
          <cell r="EF33">
            <v>0.26330076004343106</v>
          </cell>
          <cell r="EG33">
            <v>0.21428571428571427</v>
          </cell>
          <cell r="EH33">
            <v>0.2121559633027523</v>
          </cell>
          <cell r="EI33">
            <v>1.2761020881670533</v>
          </cell>
          <cell r="EJ33">
            <v>1.9312210998877666</v>
          </cell>
          <cell r="EK33" t="str">
            <v>EPS Diluted, Reported</v>
          </cell>
          <cell r="EL33">
            <v>0.35692708333333328</v>
          </cell>
          <cell r="EM33">
            <v>0.42117245304496304</v>
          </cell>
          <cell r="EN33">
            <v>0.89594867544042411</v>
          </cell>
          <cell r="EO33">
            <v>1.261277517141826</v>
          </cell>
          <cell r="EP33">
            <v>3.236519581389651</v>
          </cell>
          <cell r="ER33">
            <v>-9.3189964157706098E-2</v>
          </cell>
          <cell r="ES33">
            <v>0.56665772532188841</v>
          </cell>
          <cell r="ET33">
            <v>-5.4555373704309879E-3</v>
          </cell>
          <cell r="EU33">
            <v>1.3996562917700972</v>
          </cell>
          <cell r="EV33">
            <v>1.8164597407339782</v>
          </cell>
          <cell r="EX33">
            <v>7.5566750629722929E-2</v>
          </cell>
          <cell r="EY33">
            <v>0.16164263870685888</v>
          </cell>
          <cell r="EZ33">
            <v>7.532526820360648E-2</v>
          </cell>
          <cell r="FA33">
            <v>1.7778979422385495</v>
          </cell>
          <cell r="FB33">
            <v>1.9323052621090515</v>
          </cell>
          <cell r="FD33">
            <v>-0.14000000000000001</v>
          </cell>
          <cell r="FE33">
            <v>0.17</v>
          </cell>
          <cell r="FF33">
            <v>-0.1</v>
          </cell>
          <cell r="FG33">
            <v>-11.33</v>
          </cell>
          <cell r="FH33">
            <v>-11.397045737675745</v>
          </cell>
          <cell r="FJ33">
            <v>-0.21</v>
          </cell>
          <cell r="FK33">
            <v>0.02</v>
          </cell>
          <cell r="FL33">
            <v>-0.08</v>
          </cell>
          <cell r="FM33">
            <v>1.05</v>
          </cell>
          <cell r="FN33">
            <v>0.7789747839469634</v>
          </cell>
          <cell r="FP33">
            <v>0.05</v>
          </cell>
          <cell r="FQ33">
            <v>0.34466588511137164</v>
          </cell>
          <cell r="FR33">
            <v>0.02</v>
          </cell>
          <cell r="FS33">
            <v>1.55</v>
          </cell>
          <cell r="FT33">
            <v>1.97</v>
          </cell>
          <cell r="FV33">
            <v>0.3</v>
          </cell>
          <cell r="FW33">
            <v>0.55453290381960418</v>
          </cell>
          <cell r="FX33">
            <v>0.32</v>
          </cell>
          <cell r="FY33">
            <v>1.74</v>
          </cell>
          <cell r="FZ33">
            <v>2.92</v>
          </cell>
          <cell r="GB33">
            <v>0.43</v>
          </cell>
          <cell r="GC33">
            <v>0.67</v>
          </cell>
          <cell r="GD33">
            <v>0.27</v>
          </cell>
          <cell r="GE33">
            <v>2.11</v>
          </cell>
          <cell r="GF33">
            <v>3.43</v>
          </cell>
        </row>
        <row r="34">
          <cell r="A34" t="str">
            <v>Net Income, For Consensus</v>
          </cell>
          <cell r="W34">
            <v>786.54659498207877</v>
          </cell>
          <cell r="X34">
            <v>1089.0546208098101</v>
          </cell>
          <cell r="Y34">
            <v>1137.6065454545455</v>
          </cell>
          <cell r="Z34">
            <v>968.87045454545455</v>
          </cell>
          <cell r="AA34">
            <v>545</v>
          </cell>
          <cell r="AB34">
            <v>575.99999999999989</v>
          </cell>
          <cell r="AC34">
            <v>863</v>
          </cell>
          <cell r="AD34">
            <v>1239.5</v>
          </cell>
          <cell r="AE34">
            <v>1407.0129840730656</v>
          </cell>
          <cell r="AF34">
            <v>1474.1651556723784</v>
          </cell>
          <cell r="AG34">
            <v>1618.7764295278068</v>
          </cell>
          <cell r="AH34">
            <v>1641.1420018455815</v>
          </cell>
          <cell r="AI34">
            <v>1683.4875028271351</v>
          </cell>
          <cell r="AJ34">
            <v>1748.1022306573102</v>
          </cell>
          <cell r="AK34">
            <v>1801.4292273300186</v>
          </cell>
          <cell r="AL34">
            <v>1844.6042441173129</v>
          </cell>
          <cell r="ER34">
            <v>11</v>
          </cell>
          <cell r="ES34">
            <v>292</v>
          </cell>
          <cell r="ET34">
            <v>175</v>
          </cell>
          <cell r="EU34">
            <v>1334</v>
          </cell>
          <cell r="EV34">
            <v>1812</v>
          </cell>
          <cell r="EX34">
            <v>119</v>
          </cell>
          <cell r="EY34">
            <v>210</v>
          </cell>
          <cell r="EZ34">
            <v>55</v>
          </cell>
          <cell r="FA34">
            <v>1155</v>
          </cell>
          <cell r="FB34">
            <v>1539</v>
          </cell>
          <cell r="FD34">
            <v>4</v>
          </cell>
          <cell r="FE34">
            <v>120.99999999999999</v>
          </cell>
          <cell r="FF34">
            <v>-34</v>
          </cell>
          <cell r="FG34">
            <v>448</v>
          </cell>
          <cell r="FH34">
            <v>545</v>
          </cell>
          <cell r="FJ34">
            <v>-67.999999999999986</v>
          </cell>
          <cell r="FK34">
            <v>84</v>
          </cell>
          <cell r="FL34">
            <v>-12.000000000000002</v>
          </cell>
          <cell r="FM34">
            <v>572</v>
          </cell>
          <cell r="FN34">
            <v>575.99999999999989</v>
          </cell>
          <cell r="FP34">
            <v>23.000000000000004</v>
          </cell>
          <cell r="FQ34">
            <v>147</v>
          </cell>
          <cell r="FR34">
            <v>10</v>
          </cell>
          <cell r="FS34">
            <v>682.99999999999989</v>
          </cell>
          <cell r="FT34">
            <v>863</v>
          </cell>
          <cell r="FV34">
            <v>131</v>
          </cell>
          <cell r="FW34">
            <v>240.99999999999997</v>
          </cell>
          <cell r="FX34">
            <v>139</v>
          </cell>
          <cell r="FY34">
            <v>728.49999999999989</v>
          </cell>
          <cell r="FZ34">
            <v>1239.5</v>
          </cell>
          <cell r="GB34">
            <v>181</v>
          </cell>
          <cell r="GC34">
            <v>279.00000000000006</v>
          </cell>
          <cell r="GD34">
            <v>110.03264655178822</v>
          </cell>
          <cell r="GE34">
            <v>838.34033752127743</v>
          </cell>
          <cell r="GF34">
            <v>1408.3729840730653</v>
          </cell>
          <cell r="GS34" t="str">
            <v>mstag:netIncomeAdjustedForConsensus</v>
          </cell>
          <cell r="GT34">
            <v>6</v>
          </cell>
          <cell r="GU34" t="str">
            <v>ISO4217:USD</v>
          </cell>
          <cell r="GV34" t="b">
            <v>0</v>
          </cell>
        </row>
        <row r="35">
          <cell r="A35" t="str">
            <v>Average Basic Shares Outstanding</v>
          </cell>
          <cell r="C35" t="str">
            <v xml:space="preserve">--  </v>
          </cell>
          <cell r="D35" t="str">
            <v xml:space="preserve">--  </v>
          </cell>
          <cell r="E35" t="str">
            <v xml:space="preserve">--  </v>
          </cell>
          <cell r="F35">
            <v>111.35</v>
          </cell>
          <cell r="G35">
            <v>111.35</v>
          </cell>
          <cell r="H35">
            <v>126.29300000000001</v>
          </cell>
          <cell r="I35">
            <v>126.593</v>
          </cell>
          <cell r="K35">
            <v>182.2</v>
          </cell>
          <cell r="L35">
            <v>182.952</v>
          </cell>
          <cell r="N35">
            <v>386.11399999999998</v>
          </cell>
          <cell r="O35">
            <v>415.6</v>
          </cell>
          <cell r="P35">
            <v>418.95400000000001</v>
          </cell>
          <cell r="Q35">
            <v>419</v>
          </cell>
          <cell r="R35">
            <v>420.8</v>
          </cell>
          <cell r="S35">
            <v>409.6</v>
          </cell>
          <cell r="T35">
            <v>391.35</v>
          </cell>
          <cell r="U35">
            <v>394.5</v>
          </cell>
          <cell r="V35">
            <v>368.8</v>
          </cell>
          <cell r="W35">
            <v>350.2</v>
          </cell>
          <cell r="X35">
            <v>426</v>
          </cell>
          <cell r="Y35">
            <v>540</v>
          </cell>
          <cell r="Z35">
            <v>446.6</v>
          </cell>
          <cell r="AA35">
            <v>421.17499999999995</v>
          </cell>
          <cell r="AB35">
            <v>421.72500000000002</v>
          </cell>
          <cell r="AC35">
            <v>424.3</v>
          </cell>
          <cell r="AD35">
            <v>424.5</v>
          </cell>
          <cell r="AE35">
            <v>405.07399749373434</v>
          </cell>
          <cell r="AF35">
            <v>367.56702644803153</v>
          </cell>
          <cell r="AG35">
            <v>331.28548719485082</v>
          </cell>
          <cell r="AH35">
            <v>303.81560185423177</v>
          </cell>
          <cell r="AI35">
            <v>289.4819757905392</v>
          </cell>
          <cell r="AJ35">
            <v>277.98941741993752</v>
          </cell>
          <cell r="AK35">
            <v>258.83515346893466</v>
          </cell>
          <cell r="AL35">
            <v>238.1485484018516</v>
          </cell>
          <cell r="AN35" t="str">
            <v>Average Basic Shares Outstanding</v>
          </cell>
          <cell r="AO35">
            <v>80</v>
          </cell>
          <cell r="AP35">
            <v>80</v>
          </cell>
          <cell r="AQ35">
            <v>80</v>
          </cell>
          <cell r="AR35">
            <v>80</v>
          </cell>
          <cell r="AS35">
            <v>80</v>
          </cell>
          <cell r="AU35">
            <v>79.97</v>
          </cell>
          <cell r="AV35">
            <v>79.97</v>
          </cell>
          <cell r="AW35">
            <v>79.97</v>
          </cell>
          <cell r="AX35">
            <v>79.97</v>
          </cell>
          <cell r="AY35">
            <v>79.97</v>
          </cell>
          <cell r="BA35">
            <v>79.97</v>
          </cell>
          <cell r="BB35">
            <v>113.38200000000001</v>
          </cell>
          <cell r="BC35">
            <v>126</v>
          </cell>
          <cell r="BD35">
            <v>126.02800000000001</v>
          </cell>
          <cell r="BE35">
            <v>111.35</v>
          </cell>
          <cell r="BG35">
            <v>126.209</v>
          </cell>
          <cell r="BH35">
            <v>126.309</v>
          </cell>
          <cell r="BI35">
            <v>126.31100000000001</v>
          </cell>
          <cell r="BJ35">
            <v>126.33799999999999</v>
          </cell>
          <cell r="BK35">
            <v>126.29300000000001</v>
          </cell>
          <cell r="BM35">
            <v>126.464</v>
          </cell>
          <cell r="BN35">
            <v>126.578</v>
          </cell>
          <cell r="BO35">
            <v>126.6</v>
          </cell>
          <cell r="BP35">
            <v>126.74</v>
          </cell>
          <cell r="BQ35">
            <v>126.593</v>
          </cell>
          <cell r="BS35">
            <v>182.2</v>
          </cell>
          <cell r="BT35">
            <v>182.2</v>
          </cell>
          <cell r="BU35">
            <v>182.2</v>
          </cell>
          <cell r="BV35">
            <v>182.2</v>
          </cell>
          <cell r="BW35">
            <v>182.2</v>
          </cell>
          <cell r="BY35">
            <v>182.68199999999999</v>
          </cell>
          <cell r="BZ35">
            <v>182.83</v>
          </cell>
          <cell r="CA35">
            <v>183</v>
          </cell>
          <cell r="CB35">
            <v>197.017</v>
          </cell>
          <cell r="CC35">
            <v>197.017</v>
          </cell>
          <cell r="CD35">
            <v>183.238</v>
          </cell>
          <cell r="CE35">
            <v>202.631</v>
          </cell>
          <cell r="CF35">
            <v>182.952</v>
          </cell>
          <cell r="CG35">
            <v>191.47300000000001</v>
          </cell>
          <cell r="CH35">
            <v>191.50299999999999</v>
          </cell>
          <cell r="CJ35">
            <v>206.71</v>
          </cell>
          <cell r="CK35">
            <v>207.66300000000001</v>
          </cell>
          <cell r="CL35">
            <v>207.82</v>
          </cell>
          <cell r="CM35">
            <v>208.26</v>
          </cell>
          <cell r="CN35">
            <v>207.8</v>
          </cell>
          <cell r="CP35">
            <v>208.5</v>
          </cell>
          <cell r="CQ35">
            <v>209.4</v>
          </cell>
          <cell r="CR35">
            <v>209.3</v>
          </cell>
          <cell r="CS35">
            <v>210.13800000000001</v>
          </cell>
          <cell r="CT35">
            <v>209.477</v>
          </cell>
          <cell r="CV35">
            <v>210.7</v>
          </cell>
          <cell r="CW35">
            <v>210.5</v>
          </cell>
          <cell r="CX35">
            <v>209.5</v>
          </cell>
          <cell r="CY35">
            <v>209.5</v>
          </cell>
          <cell r="CZ35">
            <v>209.5</v>
          </cell>
          <cell r="DB35">
            <v>418</v>
          </cell>
          <cell r="DC35">
            <v>419.8</v>
          </cell>
          <cell r="DD35">
            <v>420.8</v>
          </cell>
          <cell r="DE35">
            <v>424.6</v>
          </cell>
          <cell r="DF35">
            <v>420.79999999999995</v>
          </cell>
          <cell r="DH35">
            <v>425.6</v>
          </cell>
          <cell r="DI35">
            <v>413.2</v>
          </cell>
          <cell r="DJ35">
            <v>402.2</v>
          </cell>
          <cell r="DK35">
            <v>397.4</v>
          </cell>
          <cell r="DL35">
            <v>409.6</v>
          </cell>
          <cell r="DN35">
            <v>396</v>
          </cell>
          <cell r="DO35">
            <v>389.2</v>
          </cell>
          <cell r="DP35">
            <v>385.8</v>
          </cell>
          <cell r="DQ35">
            <v>394.4</v>
          </cell>
          <cell r="DR35">
            <v>391.35</v>
          </cell>
          <cell r="DT35">
            <v>403.2</v>
          </cell>
          <cell r="DU35">
            <v>403</v>
          </cell>
          <cell r="DV35">
            <v>390</v>
          </cell>
          <cell r="DW35">
            <v>381.8</v>
          </cell>
          <cell r="DX35">
            <v>394.5</v>
          </cell>
          <cell r="DZ35">
            <v>378.4</v>
          </cell>
          <cell r="EA35">
            <v>371.2</v>
          </cell>
          <cell r="EB35">
            <v>365.2</v>
          </cell>
          <cell r="EC35">
            <v>360.8</v>
          </cell>
          <cell r="ED35">
            <v>368.8</v>
          </cell>
          <cell r="EF35">
            <v>361</v>
          </cell>
          <cell r="EG35">
            <v>358.2</v>
          </cell>
          <cell r="EH35">
            <v>344</v>
          </cell>
          <cell r="EI35">
            <v>337.4</v>
          </cell>
          <cell r="EJ35">
            <v>350.2</v>
          </cell>
          <cell r="EK35" t="str">
            <v>Average Basic Shares Outstanding</v>
          </cell>
          <cell r="EL35">
            <v>337.6</v>
          </cell>
          <cell r="EM35">
            <v>342.4</v>
          </cell>
          <cell r="EN35">
            <v>478.5</v>
          </cell>
          <cell r="EO35">
            <v>545.79999999999995</v>
          </cell>
          <cell r="EP35">
            <v>426</v>
          </cell>
          <cell r="ER35">
            <v>550.20000000000005</v>
          </cell>
          <cell r="ES35">
            <v>552.20000000000005</v>
          </cell>
          <cell r="ET35">
            <v>541.70000000000005</v>
          </cell>
          <cell r="EU35">
            <v>516</v>
          </cell>
          <cell r="EV35">
            <v>540</v>
          </cell>
          <cell r="EX35">
            <v>468.2</v>
          </cell>
          <cell r="EY35">
            <v>451.9</v>
          </cell>
          <cell r="EZ35">
            <v>434.2</v>
          </cell>
          <cell r="FA35">
            <v>432.1</v>
          </cell>
          <cell r="FB35">
            <v>446.6</v>
          </cell>
          <cell r="FD35">
            <v>420.9</v>
          </cell>
          <cell r="FE35">
            <v>421.1</v>
          </cell>
          <cell r="FF35">
            <v>421.3</v>
          </cell>
          <cell r="FG35">
            <v>421.4</v>
          </cell>
          <cell r="FH35">
            <v>421.17499999999995</v>
          </cell>
          <cell r="FJ35">
            <v>421.4</v>
          </cell>
          <cell r="FK35">
            <v>421.5</v>
          </cell>
          <cell r="FL35">
            <v>421.8</v>
          </cell>
          <cell r="FM35">
            <v>422.2</v>
          </cell>
          <cell r="FN35">
            <v>421.72500000000002</v>
          </cell>
          <cell r="FP35">
            <v>422.6</v>
          </cell>
          <cell r="FQ35">
            <v>423</v>
          </cell>
          <cell r="FR35">
            <v>423.5</v>
          </cell>
          <cell r="FS35">
            <v>423.3</v>
          </cell>
          <cell r="FT35">
            <v>424.3</v>
          </cell>
          <cell r="FV35">
            <v>425.1</v>
          </cell>
          <cell r="FW35">
            <v>427.5</v>
          </cell>
          <cell r="FX35">
            <v>425.3</v>
          </cell>
          <cell r="FY35">
            <v>420</v>
          </cell>
          <cell r="FZ35">
            <v>424.5</v>
          </cell>
          <cell r="GB35">
            <v>417.1</v>
          </cell>
          <cell r="GC35">
            <v>411.2</v>
          </cell>
          <cell r="GD35">
            <v>400.35263157894735</v>
          </cell>
          <cell r="GE35">
            <v>391.64335839598999</v>
          </cell>
          <cell r="GF35">
            <v>405.07399749373434</v>
          </cell>
          <cell r="GS35" t="str">
            <v>mstag:averageBasicSharesOutstanding</v>
          </cell>
          <cell r="GT35">
            <v>6</v>
          </cell>
          <cell r="GU35" t="str">
            <v>ms_eqr_gcim_Decimal:ms_eqr_gcim_decimal</v>
          </cell>
          <cell r="GV35" t="b">
            <v>0</v>
          </cell>
          <cell r="GW35" t="b">
            <v>0</v>
          </cell>
        </row>
        <row r="36">
          <cell r="A36" t="str">
            <v>Average Fully Diluted Shares Outstanding</v>
          </cell>
          <cell r="K36">
            <v>182.2</v>
          </cell>
          <cell r="L36">
            <v>182.952</v>
          </cell>
          <cell r="N36">
            <v>386.67200000000003</v>
          </cell>
          <cell r="O36">
            <v>444.8</v>
          </cell>
          <cell r="P36">
            <v>454.26799999999997</v>
          </cell>
          <cell r="Q36">
            <v>451.8</v>
          </cell>
          <cell r="R36">
            <v>439.2</v>
          </cell>
          <cell r="S36">
            <v>413.75</v>
          </cell>
          <cell r="T36">
            <v>399.2</v>
          </cell>
          <cell r="U36">
            <v>397.45</v>
          </cell>
          <cell r="V36">
            <v>373.2</v>
          </cell>
          <cell r="W36">
            <v>356.4</v>
          </cell>
          <cell r="X36">
            <v>434.6</v>
          </cell>
          <cell r="Y36">
            <v>547.70000000000005</v>
          </cell>
          <cell r="Z36">
            <v>451.75000000000006</v>
          </cell>
          <cell r="AA36">
            <v>421.42499999999995</v>
          </cell>
          <cell r="AB36">
            <v>422.35</v>
          </cell>
          <cell r="AC36">
            <v>429.1</v>
          </cell>
          <cell r="AD36">
            <v>430.4</v>
          </cell>
          <cell r="AE36">
            <v>411.14899749373433</v>
          </cell>
          <cell r="AF36">
            <v>373.64202644803152</v>
          </cell>
          <cell r="AG36">
            <v>337.3604871948508</v>
          </cell>
          <cell r="AH36">
            <v>309.89060185423176</v>
          </cell>
          <cell r="AI36">
            <v>295.55697579053918</v>
          </cell>
          <cell r="AJ36">
            <v>284.06441741993751</v>
          </cell>
          <cell r="AK36">
            <v>264.91015346893465</v>
          </cell>
          <cell r="AL36">
            <v>244.22354840185159</v>
          </cell>
          <cell r="AN36" t="str">
            <v>Average Fully Diluted Shares Outstanding</v>
          </cell>
          <cell r="AO36">
            <v>80</v>
          </cell>
          <cell r="AP36">
            <v>80</v>
          </cell>
          <cell r="AQ36">
            <v>80</v>
          </cell>
          <cell r="AR36">
            <v>80</v>
          </cell>
          <cell r="AS36">
            <v>80</v>
          </cell>
          <cell r="AU36">
            <v>79.97</v>
          </cell>
          <cell r="AV36">
            <v>79.97</v>
          </cell>
          <cell r="AW36">
            <v>79.97</v>
          </cell>
          <cell r="AX36">
            <v>79.97</v>
          </cell>
          <cell r="AY36">
            <v>79.97</v>
          </cell>
          <cell r="BA36">
            <v>79.97</v>
          </cell>
          <cell r="BB36">
            <v>113.38200000000001</v>
          </cell>
          <cell r="BC36">
            <v>126</v>
          </cell>
          <cell r="BD36">
            <v>126.02800000000001</v>
          </cell>
          <cell r="BE36">
            <v>111.35</v>
          </cell>
          <cell r="BG36">
            <v>126.209</v>
          </cell>
          <cell r="BH36">
            <v>126.309</v>
          </cell>
          <cell r="BI36">
            <v>126.31100000000001</v>
          </cell>
          <cell r="BJ36">
            <v>126.33799999999999</v>
          </cell>
          <cell r="BK36">
            <v>126.29300000000001</v>
          </cell>
          <cell r="BM36">
            <v>126.464</v>
          </cell>
          <cell r="BN36">
            <v>126.578</v>
          </cell>
          <cell r="BO36">
            <v>126.6</v>
          </cell>
          <cell r="BP36">
            <v>126.74</v>
          </cell>
          <cell r="BQ36">
            <v>126.593</v>
          </cell>
          <cell r="BS36">
            <v>182.2</v>
          </cell>
          <cell r="BT36">
            <v>182.2</v>
          </cell>
          <cell r="BU36">
            <v>182.2</v>
          </cell>
          <cell r="BV36">
            <v>182.2</v>
          </cell>
          <cell r="BW36">
            <v>182.2</v>
          </cell>
          <cell r="BY36">
            <v>182.68199999999999</v>
          </cell>
          <cell r="BZ36">
            <v>182.83</v>
          </cell>
          <cell r="CA36">
            <v>183</v>
          </cell>
          <cell r="CB36">
            <v>197.017</v>
          </cell>
          <cell r="CC36">
            <v>197.017</v>
          </cell>
          <cell r="CD36">
            <v>183.238</v>
          </cell>
          <cell r="CE36">
            <v>202.631</v>
          </cell>
          <cell r="CF36">
            <v>182.952</v>
          </cell>
          <cell r="CG36">
            <v>191.47300000000001</v>
          </cell>
          <cell r="CH36">
            <v>191.50299999999999</v>
          </cell>
          <cell r="CJ36">
            <v>206.71</v>
          </cell>
          <cell r="CK36">
            <v>207.66300000000001</v>
          </cell>
          <cell r="CL36">
            <v>212.751</v>
          </cell>
          <cell r="CM36">
            <v>223.2</v>
          </cell>
          <cell r="CN36">
            <v>222.4</v>
          </cell>
          <cell r="CP36">
            <v>213.6</v>
          </cell>
          <cell r="CQ36">
            <v>226</v>
          </cell>
          <cell r="CR36">
            <v>226.3</v>
          </cell>
          <cell r="CS36">
            <v>229.68</v>
          </cell>
          <cell r="CT36">
            <v>227.13399999999999</v>
          </cell>
          <cell r="CV36">
            <v>231.6</v>
          </cell>
          <cell r="CW36">
            <v>232.4</v>
          </cell>
          <cell r="CX36">
            <v>228.8</v>
          </cell>
          <cell r="CY36">
            <v>217.1</v>
          </cell>
          <cell r="CZ36">
            <v>225.9</v>
          </cell>
          <cell r="DB36">
            <v>432.8</v>
          </cell>
          <cell r="DC36">
            <v>443.8</v>
          </cell>
          <cell r="DD36">
            <v>439.8</v>
          </cell>
          <cell r="DE36">
            <v>439.8</v>
          </cell>
          <cell r="DF36">
            <v>439.15000000000003</v>
          </cell>
          <cell r="DH36">
            <v>432.6</v>
          </cell>
          <cell r="DI36">
            <v>417</v>
          </cell>
          <cell r="DJ36">
            <v>402.2</v>
          </cell>
          <cell r="DK36">
            <v>403.2</v>
          </cell>
          <cell r="DL36">
            <v>413.75</v>
          </cell>
          <cell r="DN36">
            <v>408.2</v>
          </cell>
          <cell r="DO36">
            <v>399.2</v>
          </cell>
          <cell r="DP36">
            <v>389.2</v>
          </cell>
          <cell r="DQ36">
            <v>400.2</v>
          </cell>
          <cell r="DR36">
            <v>399.2</v>
          </cell>
          <cell r="DT36">
            <v>408</v>
          </cell>
          <cell r="DU36">
            <v>407</v>
          </cell>
          <cell r="DV36">
            <v>391.8</v>
          </cell>
          <cell r="DW36">
            <v>383</v>
          </cell>
          <cell r="DX36">
            <v>397.45</v>
          </cell>
          <cell r="DZ36">
            <v>379</v>
          </cell>
          <cell r="EA36">
            <v>374.4</v>
          </cell>
          <cell r="EB36">
            <v>371.4</v>
          </cell>
          <cell r="EC36">
            <v>367.8</v>
          </cell>
          <cell r="ED36">
            <v>373.2</v>
          </cell>
          <cell r="EF36">
            <v>368.4</v>
          </cell>
          <cell r="EG36">
            <v>364</v>
          </cell>
          <cell r="EH36">
            <v>348.8</v>
          </cell>
          <cell r="EI36">
            <v>344.8</v>
          </cell>
          <cell r="EJ36">
            <v>356.4</v>
          </cell>
          <cell r="EK36" t="str">
            <v>Average Fully Diluted Shares Outstanding</v>
          </cell>
          <cell r="EL36">
            <v>345.6</v>
          </cell>
          <cell r="EM36">
            <v>351.4</v>
          </cell>
          <cell r="EN36">
            <v>486.9</v>
          </cell>
          <cell r="EO36">
            <v>554.20000000000005</v>
          </cell>
          <cell r="EP36">
            <v>434.6</v>
          </cell>
          <cell r="ER36">
            <v>558</v>
          </cell>
          <cell r="ES36">
            <v>559.20000000000005</v>
          </cell>
          <cell r="ET36">
            <v>549.9</v>
          </cell>
          <cell r="EU36">
            <v>523.70000000000005</v>
          </cell>
          <cell r="EV36">
            <v>547.70000000000005</v>
          </cell>
          <cell r="EX36">
            <v>476.4</v>
          </cell>
          <cell r="EY36">
            <v>457.8</v>
          </cell>
          <cell r="EZ36">
            <v>438.1</v>
          </cell>
          <cell r="FA36">
            <v>434.7</v>
          </cell>
          <cell r="FB36">
            <v>451.75000000000006</v>
          </cell>
          <cell r="FD36">
            <v>420.9</v>
          </cell>
          <cell r="FE36">
            <v>422.1</v>
          </cell>
          <cell r="FF36">
            <v>421.3</v>
          </cell>
          <cell r="FG36">
            <v>421.4</v>
          </cell>
          <cell r="FH36">
            <v>421.42499999999995</v>
          </cell>
          <cell r="FJ36">
            <v>421.4</v>
          </cell>
          <cell r="FK36">
            <v>422.1</v>
          </cell>
          <cell r="FL36">
            <v>421.8</v>
          </cell>
          <cell r="FM36">
            <v>424.1</v>
          </cell>
          <cell r="FN36">
            <v>422.35</v>
          </cell>
          <cell r="FP36">
            <v>426.2</v>
          </cell>
          <cell r="FQ36">
            <v>426.5</v>
          </cell>
          <cell r="FR36">
            <v>427.6</v>
          </cell>
          <cell r="FS36">
            <v>429</v>
          </cell>
          <cell r="FT36">
            <v>429.1</v>
          </cell>
          <cell r="FV36">
            <v>430</v>
          </cell>
          <cell r="FW36">
            <v>434.6</v>
          </cell>
          <cell r="FX36">
            <v>431.8</v>
          </cell>
          <cell r="FY36">
            <v>427.3</v>
          </cell>
          <cell r="FZ36">
            <v>430.4</v>
          </cell>
          <cell r="GB36">
            <v>423.7</v>
          </cell>
          <cell r="GC36">
            <v>417.1</v>
          </cell>
          <cell r="GD36">
            <v>406.25263157894739</v>
          </cell>
          <cell r="GE36">
            <v>397.54335839599003</v>
          </cell>
          <cell r="GF36">
            <v>411.14899749373433</v>
          </cell>
          <cell r="GS36" t="str">
            <v>mstag:averageDilutedSharesOutstanding</v>
          </cell>
          <cell r="GT36">
            <v>6</v>
          </cell>
          <cell r="GU36" t="str">
            <v>ms_eqr_gcim_Decimal:ms_eqr_gcim_decimal</v>
          </cell>
          <cell r="GV36" t="b">
            <v>0</v>
          </cell>
          <cell r="GW36" t="b">
            <v>0</v>
          </cell>
        </row>
        <row r="37">
          <cell r="A37" t="str">
            <v>Period End Basic Shares Outstanding</v>
          </cell>
          <cell r="N37">
            <v>414.918274</v>
          </cell>
          <cell r="O37">
            <v>416.75912199999999</v>
          </cell>
          <cell r="P37">
            <v>421.21032200000002</v>
          </cell>
          <cell r="Q37">
            <v>417.15312399999999</v>
          </cell>
          <cell r="R37">
            <v>423.09761800000001</v>
          </cell>
          <cell r="S37">
            <v>395.34445399999998</v>
          </cell>
          <cell r="T37">
            <v>402.252748</v>
          </cell>
          <cell r="U37">
            <v>374.65489600000001</v>
          </cell>
          <cell r="V37">
            <v>357</v>
          </cell>
          <cell r="W37">
            <v>335.19655599999999</v>
          </cell>
          <cell r="X37">
            <v>546.79999999999995</v>
          </cell>
          <cell r="Y37">
            <v>496.9</v>
          </cell>
          <cell r="Z37">
            <v>419.7</v>
          </cell>
          <cell r="AA37">
            <v>420.57529799999998</v>
          </cell>
          <cell r="AB37">
            <v>421.53</v>
          </cell>
          <cell r="AC37">
            <v>423.3</v>
          </cell>
          <cell r="AD37">
            <v>414.2</v>
          </cell>
          <cell r="AE37">
            <v>386.88145363408523</v>
          </cell>
          <cell r="AF37">
            <v>348.25259926197782</v>
          </cell>
          <cell r="AG37">
            <v>314.31837512772381</v>
          </cell>
          <cell r="AH37">
            <v>293.31282858073979</v>
          </cell>
          <cell r="AI37">
            <v>285.65112300033866</v>
          </cell>
          <cell r="AJ37">
            <v>270.32771183953639</v>
          </cell>
          <cell r="AK37">
            <v>247.34259509833296</v>
          </cell>
          <cell r="AL37">
            <v>228.95450170537021</v>
          </cell>
          <cell r="AN37" t="str">
            <v>Period End Basic Shares Outstanding</v>
          </cell>
          <cell r="CN37">
            <v>208.379561</v>
          </cell>
          <cell r="CT37">
            <v>210.60516100000001</v>
          </cell>
          <cell r="CZ37">
            <v>208.576562</v>
          </cell>
          <cell r="DH37">
            <v>415.872772</v>
          </cell>
          <cell r="DI37">
            <v>403.836004</v>
          </cell>
          <cell r="DJ37">
            <v>397.47889600000002</v>
          </cell>
          <cell r="DK37">
            <v>395.34445399999998</v>
          </cell>
          <cell r="DL37">
            <v>395.34445399999998</v>
          </cell>
          <cell r="DN37">
            <v>389.8</v>
          </cell>
          <cell r="DO37">
            <v>385.4</v>
          </cell>
          <cell r="DP37">
            <v>383.4</v>
          </cell>
          <cell r="DQ37">
            <v>402.252748</v>
          </cell>
          <cell r="DR37">
            <v>402.252748</v>
          </cell>
          <cell r="DT37">
            <v>403</v>
          </cell>
          <cell r="DU37">
            <v>392.4</v>
          </cell>
          <cell r="DV37">
            <v>380.4</v>
          </cell>
          <cell r="DW37">
            <v>374.65489600000001</v>
          </cell>
          <cell r="DX37">
            <v>374.65489600000001</v>
          </cell>
          <cell r="DZ37">
            <v>370.72</v>
          </cell>
          <cell r="EA37">
            <v>365.62</v>
          </cell>
          <cell r="EB37">
            <v>361.58</v>
          </cell>
          <cell r="EC37">
            <v>357</v>
          </cell>
          <cell r="ED37">
            <v>357</v>
          </cell>
          <cell r="EF37">
            <v>359.61200000000002</v>
          </cell>
          <cell r="EG37">
            <v>345.39600000000002</v>
          </cell>
          <cell r="EH37">
            <v>338.4</v>
          </cell>
          <cell r="EI37">
            <v>335.19655599999999</v>
          </cell>
          <cell r="EJ37">
            <v>335.19655599999999</v>
          </cell>
          <cell r="EK37" t="str">
            <v>Period End Basic Shares Outstanding</v>
          </cell>
          <cell r="EL37">
            <v>340.8</v>
          </cell>
          <cell r="EM37">
            <v>340.85399999999998</v>
          </cell>
          <cell r="EN37">
            <v>544.43164000000002</v>
          </cell>
          <cell r="EO37">
            <v>546.79999999999995</v>
          </cell>
          <cell r="EP37">
            <v>546.79999999999995</v>
          </cell>
          <cell r="ER37">
            <v>553.21778400000005</v>
          </cell>
          <cell r="ES37">
            <v>545</v>
          </cell>
          <cell r="ET37">
            <v>530</v>
          </cell>
          <cell r="EU37">
            <v>496.9</v>
          </cell>
          <cell r="EV37">
            <v>496.9</v>
          </cell>
          <cell r="EX37">
            <v>459.62333699999999</v>
          </cell>
          <cell r="EY37">
            <v>435.6</v>
          </cell>
          <cell r="EZ37">
            <v>432.98764799999998</v>
          </cell>
          <cell r="FA37">
            <v>419.7</v>
          </cell>
          <cell r="FB37">
            <v>419.7</v>
          </cell>
          <cell r="FD37">
            <v>420.477236</v>
          </cell>
          <cell r="FE37">
            <v>420.54819300000003</v>
          </cell>
          <cell r="FF37">
            <v>420.56348700000001</v>
          </cell>
          <cell r="FG37">
            <v>420.57529799999998</v>
          </cell>
          <cell r="FH37">
            <v>420.57529799999998</v>
          </cell>
          <cell r="FJ37">
            <v>420.56635599999998</v>
          </cell>
          <cell r="FK37">
            <v>420.5</v>
          </cell>
          <cell r="FL37">
            <v>421</v>
          </cell>
          <cell r="FM37">
            <v>421.53</v>
          </cell>
          <cell r="FN37">
            <v>421.53</v>
          </cell>
          <cell r="FP37">
            <v>422.10645299999999</v>
          </cell>
          <cell r="FQ37">
            <v>422.67482899999999</v>
          </cell>
          <cell r="FR37">
            <v>423</v>
          </cell>
          <cell r="FS37">
            <v>423.3</v>
          </cell>
          <cell r="FT37">
            <v>423.3</v>
          </cell>
          <cell r="FV37">
            <v>425.2</v>
          </cell>
          <cell r="FW37">
            <v>427.5</v>
          </cell>
          <cell r="FX37">
            <v>420.6</v>
          </cell>
          <cell r="FY37">
            <v>414.2</v>
          </cell>
          <cell r="FZ37">
            <v>414.2</v>
          </cell>
          <cell r="GB37">
            <v>414.6</v>
          </cell>
          <cell r="GC37">
            <v>404.3</v>
          </cell>
          <cell r="GD37">
            <v>396.40526315789475</v>
          </cell>
          <cell r="GE37">
            <v>386.88145363408523</v>
          </cell>
          <cell r="GF37">
            <v>386.88145363408523</v>
          </cell>
          <cell r="GS37" t="str">
            <v>mstag:periodEndBasicSharesOutstanding</v>
          </cell>
          <cell r="GT37">
            <v>6</v>
          </cell>
          <cell r="GU37" t="str">
            <v>ms_eqr_gcim_Decimal:ms_eqr_gcim_decimal</v>
          </cell>
          <cell r="GV37" t="b">
            <v>0</v>
          </cell>
          <cell r="GW37" t="b">
            <v>0</v>
          </cell>
        </row>
        <row r="38">
          <cell r="A38" t="str">
            <v>Average Repurchase Price</v>
          </cell>
          <cell r="Y38">
            <v>38.059090830879164</v>
          </cell>
          <cell r="Z38">
            <v>34.721403433168142</v>
          </cell>
          <cell r="AD38">
            <v>0</v>
          </cell>
          <cell r="AE38">
            <v>38.72816212438854</v>
          </cell>
          <cell r="AF38">
            <v>44.008553389238294</v>
          </cell>
          <cell r="AG38">
            <v>50.096916707872467</v>
          </cell>
          <cell r="AH38">
            <v>57.127768483238825</v>
          </cell>
          <cell r="AI38">
            <v>65.259620687985446</v>
          </cell>
          <cell r="AJ38">
            <v>65.259620687985446</v>
          </cell>
          <cell r="AK38">
            <v>65.259620687985446</v>
          </cell>
          <cell r="AL38">
            <v>65.259620687985446</v>
          </cell>
          <cell r="AN38" t="str">
            <v>Average Repurchase Price</v>
          </cell>
          <cell r="ER38">
            <v>33.869</v>
          </cell>
          <cell r="ES38">
            <v>35.432098765432102</v>
          </cell>
          <cell r="ET38">
            <v>41.758793969849251</v>
          </cell>
          <cell r="EU38">
            <v>41.176470588235297</v>
          </cell>
          <cell r="EV38">
            <v>38.059090830879164</v>
          </cell>
          <cell r="EX38">
            <v>44.244444444444447</v>
          </cell>
          <cell r="EY38">
            <v>38.991596638655459</v>
          </cell>
          <cell r="EZ38">
            <v>31.111111111111111</v>
          </cell>
          <cell r="FA38">
            <v>24.53846153846154</v>
          </cell>
          <cell r="FB38">
            <v>34.721403433168142</v>
          </cell>
          <cell r="GB38">
            <v>39.629629629629626</v>
          </cell>
          <cell r="GC38">
            <v>35.283018867924532</v>
          </cell>
          <cell r="GD38">
            <v>38</v>
          </cell>
          <cell r="GE38">
            <v>42</v>
          </cell>
          <cell r="GF38">
            <v>38.72816212438854</v>
          </cell>
        </row>
        <row r="40">
          <cell r="A40" t="str">
            <v>Depreciation &amp; Amortization (Reported)</v>
          </cell>
          <cell r="C40">
            <v>235.45400000000001</v>
          </cell>
          <cell r="D40">
            <v>212.18600000000001</v>
          </cell>
          <cell r="E40">
            <v>212.18600000000001</v>
          </cell>
          <cell r="F40">
            <v>212.18600000000001</v>
          </cell>
          <cell r="G40">
            <v>205.554</v>
          </cell>
          <cell r="H40">
            <v>207.91399999999999</v>
          </cell>
          <cell r="I40">
            <v>251.40600000000001</v>
          </cell>
          <cell r="K40">
            <v>551.07000000000005</v>
          </cell>
          <cell r="L40">
            <v>474.94499999999999</v>
          </cell>
          <cell r="N40">
            <v>497</v>
          </cell>
          <cell r="O40">
            <v>533</v>
          </cell>
          <cell r="P40">
            <v>590</v>
          </cell>
          <cell r="Q40">
            <v>624</v>
          </cell>
          <cell r="R40">
            <v>665</v>
          </cell>
          <cell r="S40">
            <v>651</v>
          </cell>
          <cell r="T40">
            <v>689</v>
          </cell>
          <cell r="U40">
            <v>680</v>
          </cell>
          <cell r="V40">
            <v>710</v>
          </cell>
          <cell r="W40">
            <v>737</v>
          </cell>
          <cell r="X40">
            <v>978</v>
          </cell>
          <cell r="Y40">
            <v>1265</v>
          </cell>
          <cell r="Z40">
            <v>1304</v>
          </cell>
          <cell r="AA40">
            <v>1278</v>
          </cell>
          <cell r="AB40">
            <v>1210</v>
          </cell>
          <cell r="AC40">
            <v>1150</v>
          </cell>
          <cell r="AD40">
            <v>1085</v>
          </cell>
          <cell r="AE40">
            <v>1058.1233144856478</v>
          </cell>
          <cell r="AF40">
            <v>1083.3778550448592</v>
          </cell>
          <cell r="AG40">
            <v>1104.2560836491582</v>
          </cell>
          <cell r="AH40">
            <v>1115.6972553764319</v>
          </cell>
          <cell r="AI40">
            <v>1126.8542279301962</v>
          </cell>
          <cell r="AJ40">
            <v>1138.1227702094982</v>
          </cell>
          <cell r="AK40">
            <v>1149.5039979115932</v>
          </cell>
          <cell r="AL40">
            <v>1160.9990378907089</v>
          </cell>
          <cell r="AN40" t="str">
            <v>Depreciation &amp; Amortization (Reported)</v>
          </cell>
          <cell r="DH40">
            <v>175</v>
          </cell>
          <cell r="DI40">
            <v>174</v>
          </cell>
          <cell r="DJ40">
            <v>177</v>
          </cell>
          <cell r="DK40">
            <v>166</v>
          </cell>
          <cell r="DL40">
            <v>651</v>
          </cell>
          <cell r="DN40">
            <v>169</v>
          </cell>
          <cell r="DO40">
            <v>168</v>
          </cell>
          <cell r="DP40">
            <v>174</v>
          </cell>
          <cell r="DQ40">
            <v>178</v>
          </cell>
          <cell r="DR40">
            <v>689</v>
          </cell>
          <cell r="DT40">
            <v>165</v>
          </cell>
          <cell r="DU40">
            <v>168</v>
          </cell>
          <cell r="DV40">
            <v>167</v>
          </cell>
          <cell r="DW40">
            <v>180</v>
          </cell>
          <cell r="DX40">
            <v>680</v>
          </cell>
          <cell r="DZ40">
            <v>180</v>
          </cell>
          <cell r="EA40">
            <v>173</v>
          </cell>
          <cell r="EB40">
            <v>176</v>
          </cell>
          <cell r="EC40">
            <v>181</v>
          </cell>
          <cell r="ED40">
            <v>710</v>
          </cell>
          <cell r="EF40">
            <v>177</v>
          </cell>
          <cell r="EG40">
            <v>178</v>
          </cell>
          <cell r="EH40">
            <v>178</v>
          </cell>
          <cell r="EI40">
            <v>204</v>
          </cell>
          <cell r="EJ40">
            <v>737</v>
          </cell>
          <cell r="EK40" t="str">
            <v>Depreciation &amp; Amortization (Reported)</v>
          </cell>
          <cell r="EL40">
            <v>177</v>
          </cell>
          <cell r="EM40">
            <v>178</v>
          </cell>
          <cell r="EN40">
            <v>295</v>
          </cell>
          <cell r="EO40">
            <v>328</v>
          </cell>
          <cell r="EP40">
            <v>978</v>
          </cell>
          <cell r="ER40">
            <v>316</v>
          </cell>
          <cell r="ES40">
            <v>314</v>
          </cell>
          <cell r="ET40">
            <v>315</v>
          </cell>
          <cell r="EU40">
            <v>320</v>
          </cell>
          <cell r="EV40">
            <v>1265</v>
          </cell>
          <cell r="EX40">
            <v>329</v>
          </cell>
          <cell r="EY40">
            <v>327</v>
          </cell>
          <cell r="EZ40">
            <v>321</v>
          </cell>
          <cell r="FA40">
            <v>327</v>
          </cell>
          <cell r="FB40">
            <v>1304</v>
          </cell>
          <cell r="FD40">
            <v>315</v>
          </cell>
          <cell r="FE40">
            <v>315</v>
          </cell>
          <cell r="FF40">
            <v>320</v>
          </cell>
          <cell r="FG40">
            <v>328</v>
          </cell>
          <cell r="FH40">
            <v>1278</v>
          </cell>
          <cell r="FJ40">
            <v>303</v>
          </cell>
          <cell r="FK40">
            <v>301</v>
          </cell>
          <cell r="FL40">
            <v>301</v>
          </cell>
          <cell r="FM40">
            <v>305</v>
          </cell>
          <cell r="FN40">
            <v>1210</v>
          </cell>
          <cell r="FP40">
            <v>287</v>
          </cell>
          <cell r="FQ40">
            <v>288</v>
          </cell>
          <cell r="FR40">
            <v>290</v>
          </cell>
          <cell r="FS40">
            <v>285</v>
          </cell>
          <cell r="FT40">
            <v>1150</v>
          </cell>
          <cell r="FV40">
            <v>268</v>
          </cell>
          <cell r="FW40">
            <v>268</v>
          </cell>
          <cell r="FX40">
            <v>282</v>
          </cell>
          <cell r="FY40">
            <v>267</v>
          </cell>
          <cell r="FZ40">
            <v>1085</v>
          </cell>
          <cell r="GB40">
            <v>256</v>
          </cell>
          <cell r="GC40">
            <v>257</v>
          </cell>
          <cell r="GD40">
            <v>275.44005372214991</v>
          </cell>
          <cell r="GE40">
            <v>269.68326076349791</v>
          </cell>
          <cell r="GF40">
            <v>1058.1233144856478</v>
          </cell>
        </row>
        <row r="41">
          <cell r="A41" t="str">
            <v>% of Sales</v>
          </cell>
          <cell r="N41">
            <v>3.4008485014369781E-2</v>
          </cell>
          <cell r="O41">
            <v>3.5933391761612622E-2</v>
          </cell>
          <cell r="P41">
            <v>3.8764783180026283E-2</v>
          </cell>
          <cell r="Q41">
            <v>4.0611780019524896E-2</v>
          </cell>
          <cell r="R41">
            <v>4.148730426102689E-2</v>
          </cell>
          <cell r="S41">
            <v>3.9127298954201223E-2</v>
          </cell>
          <cell r="T41">
            <v>4.3649033892936333E-2</v>
          </cell>
          <cell r="U41">
            <v>4.3670926722753835E-2</v>
          </cell>
          <cell r="V41">
            <v>4.6067998961847913E-2</v>
          </cell>
          <cell r="W41">
            <v>4.6716531440162273E-2</v>
          </cell>
          <cell r="X41">
            <v>4.3680214381420279E-2</v>
          </cell>
          <cell r="Y41">
            <v>4.6903967371153134E-2</v>
          </cell>
          <cell r="Z41">
            <v>4.9557253068825295E-2</v>
          </cell>
          <cell r="AA41">
            <v>5.134179656114414E-2</v>
          </cell>
          <cell r="AB41">
            <v>5.0638208830299229E-2</v>
          </cell>
          <cell r="AC41">
            <v>4.5994480662320522E-2</v>
          </cell>
          <cell r="AD41">
            <v>4.1090702518462412E-2</v>
          </cell>
          <cell r="AE41">
            <v>3.8202403342907414E-2</v>
          </cell>
          <cell r="AF41">
            <v>3.8202403342907414E-2</v>
          </cell>
          <cell r="AG41">
            <v>3.8202403342907414E-2</v>
          </cell>
          <cell r="AH41">
            <v>3.8202403342907414E-2</v>
          </cell>
          <cell r="AI41">
            <v>3.8202403342907414E-2</v>
          </cell>
          <cell r="AJ41">
            <v>3.8202403342907407E-2</v>
          </cell>
          <cell r="AK41">
            <v>3.8202403342907407E-2</v>
          </cell>
          <cell r="AL41">
            <v>3.8202403342907407E-2</v>
          </cell>
          <cell r="AN41" t="str">
            <v>% of Sales</v>
          </cell>
          <cell r="DH41">
            <v>4.897844948222782E-2</v>
          </cell>
          <cell r="DI41">
            <v>4.7295460723022563E-2</v>
          </cell>
          <cell r="DJ41">
            <v>4.6800634584875725E-2</v>
          </cell>
          <cell r="DK41">
            <v>2.9621698786581014E-2</v>
          </cell>
          <cell r="DL41">
            <v>3.9127298954201223E-2</v>
          </cell>
          <cell r="DN41">
            <v>4.7525309336332956E-2</v>
          </cell>
          <cell r="DO41">
            <v>4.8165137614678902E-2</v>
          </cell>
          <cell r="DP41">
            <v>5.0071942446043169E-2</v>
          </cell>
          <cell r="DQ41">
            <v>3.4684333593141076E-2</v>
          </cell>
          <cell r="DR41">
            <v>4.3649033892936333E-2</v>
          </cell>
          <cell r="DT41">
            <v>4.778453518679409E-2</v>
          </cell>
          <cell r="DU41">
            <v>4.8192771084337352E-2</v>
          </cell>
          <cell r="DV41">
            <v>4.8002299511353839E-2</v>
          </cell>
          <cell r="DW41">
            <v>3.5878014749850508E-2</v>
          </cell>
          <cell r="DX41">
            <v>4.3670926722753835E-2</v>
          </cell>
          <cell r="DZ41">
            <v>5.4694621695533276E-2</v>
          </cell>
          <cell r="EA41">
            <v>5.0378567268491554E-2</v>
          </cell>
          <cell r="EB41">
            <v>5.0487664945496273E-2</v>
          </cell>
          <cell r="EC41">
            <v>3.5820304769443895E-2</v>
          </cell>
          <cell r="ED41">
            <v>4.6067998961847913E-2</v>
          </cell>
          <cell r="EF41">
            <v>4.9859154929577466E-2</v>
          </cell>
          <cell r="EG41">
            <v>4.9706785814018432E-2</v>
          </cell>
          <cell r="EH41">
            <v>5.0496453900709219E-2</v>
          </cell>
          <cell r="EI41">
            <v>3.9843749999999997E-2</v>
          </cell>
          <cell r="EJ41">
            <v>4.6716531440162273E-2</v>
          </cell>
          <cell r="EK41" t="str">
            <v>% of Sales</v>
          </cell>
          <cell r="EL41">
            <v>4.861301840153804E-2</v>
          </cell>
          <cell r="EM41">
            <v>4.9130554788849021E-2</v>
          </cell>
          <cell r="EN41">
            <v>5.3105310531053107E-2</v>
          </cell>
          <cell r="EO41">
            <v>3.4270191202591158E-2</v>
          </cell>
          <cell r="EP41">
            <v>4.3680214381420279E-2</v>
          </cell>
          <cell r="ER41">
            <v>5.3288364249578418E-2</v>
          </cell>
          <cell r="ES41">
            <v>5.237698081734779E-2</v>
          </cell>
          <cell r="ET41">
            <v>5.3516819571865444E-2</v>
          </cell>
          <cell r="EU41">
            <v>3.493831204279943E-2</v>
          </cell>
          <cell r="EV41">
            <v>4.6903967371153134E-2</v>
          </cell>
          <cell r="EX41">
            <v>5.5564938355007601E-2</v>
          </cell>
          <cell r="EY41">
            <v>5.54989816700611E-2</v>
          </cell>
          <cell r="EZ41">
            <v>5.4351506942092787E-2</v>
          </cell>
          <cell r="FA41">
            <v>3.8049802187572722E-2</v>
          </cell>
          <cell r="FB41">
            <v>4.9557253068825295E-2</v>
          </cell>
          <cell r="FD41">
            <v>5.4811205846528627E-2</v>
          </cell>
          <cell r="FE41">
            <v>5.5089192025183628E-2</v>
          </cell>
          <cell r="FF41">
            <v>5.8255962133624613E-2</v>
          </cell>
          <cell r="FG41">
            <v>4.1341063776153264E-2</v>
          </cell>
          <cell r="FH41">
            <v>5.134179656114414E-2</v>
          </cell>
          <cell r="FJ41">
            <v>5.7299546142208772E-2</v>
          </cell>
          <cell r="FK41">
            <v>5.6953642384105961E-2</v>
          </cell>
          <cell r="FL41">
            <v>5.5896007428040857E-2</v>
          </cell>
          <cell r="FM41">
            <v>3.8427617487715761E-2</v>
          </cell>
          <cell r="FN41">
            <v>5.0638208830299229E-2</v>
          </cell>
          <cell r="FP41">
            <v>5.1489056332974521E-2</v>
          </cell>
          <cell r="FQ41">
            <v>5.2013725844320027E-2</v>
          </cell>
          <cell r="FR41">
            <v>5.1573892939711895E-2</v>
          </cell>
          <cell r="FS41">
            <v>3.4466078123110415E-2</v>
          </cell>
          <cell r="FT41">
            <v>4.5994480662320522E-2</v>
          </cell>
          <cell r="FV41">
            <v>4.5508575309899817E-2</v>
          </cell>
          <cell r="FW41">
            <v>4.512544199360162E-2</v>
          </cell>
          <cell r="FX41">
            <v>4.8180420297283442E-2</v>
          </cell>
          <cell r="FY41">
            <v>3.0605226960110043E-2</v>
          </cell>
          <cell r="FZ41">
            <v>4.1090702518462412E-2</v>
          </cell>
          <cell r="GB41">
            <v>4.1673449454663843E-2</v>
          </cell>
          <cell r="GC41">
            <v>4.2007191892775415E-2</v>
          </cell>
          <cell r="GD41">
            <v>4.5379616732146563E-2</v>
          </cell>
          <cell r="GE41">
            <v>2.8790370881885484E-2</v>
          </cell>
          <cell r="GF41">
            <v>3.8202403342907414E-2</v>
          </cell>
        </row>
        <row r="42">
          <cell r="A42" t="str">
            <v>EBITDA (FIFO)</v>
          </cell>
          <cell r="C42" t="str">
            <v xml:space="preserve">NM </v>
          </cell>
          <cell r="D42" t="str">
            <v xml:space="preserve">NM </v>
          </cell>
          <cell r="E42">
            <v>479.15800000000024</v>
          </cell>
          <cell r="F42">
            <v>513.08899999999983</v>
          </cell>
          <cell r="G42">
            <v>643.98800000000062</v>
          </cell>
          <cell r="H42">
            <v>718.55699999999911</v>
          </cell>
          <cell r="I42">
            <v>892.50999999999885</v>
          </cell>
          <cell r="J42">
            <v>0.20265241838785197</v>
          </cell>
          <cell r="K42">
            <v>1233.8709999999996</v>
          </cell>
          <cell r="L42">
            <v>1469.5959999999989</v>
          </cell>
          <cell r="N42">
            <v>1160</v>
          </cell>
          <cell r="O42">
            <v>1426</v>
          </cell>
          <cell r="P42">
            <v>1931</v>
          </cell>
          <cell r="Q42">
            <v>2079</v>
          </cell>
          <cell r="R42">
            <v>2358</v>
          </cell>
          <cell r="S42">
            <v>2422</v>
          </cell>
          <cell r="T42">
            <v>2065</v>
          </cell>
          <cell r="U42">
            <v>2091</v>
          </cell>
          <cell r="V42">
            <v>2110</v>
          </cell>
          <cell r="W42">
            <v>2236</v>
          </cell>
          <cell r="X42">
            <v>3116</v>
          </cell>
          <cell r="Y42">
            <v>3538</v>
          </cell>
          <cell r="Z42">
            <v>3386</v>
          </cell>
          <cell r="AA42">
            <v>2703</v>
          </cell>
          <cell r="AB42">
            <v>2664</v>
          </cell>
          <cell r="AC42">
            <v>3069</v>
          </cell>
          <cell r="AD42">
            <v>3471</v>
          </cell>
          <cell r="AE42">
            <v>3729.419936712914</v>
          </cell>
          <cell r="AF42">
            <v>3860.9694388964058</v>
          </cell>
          <cell r="AG42">
            <v>4007.6393206478215</v>
          </cell>
          <cell r="AH42">
            <v>4049.1623789016467</v>
          </cell>
          <cell r="AI42">
            <v>4060.1570567049512</v>
          </cell>
          <cell r="AJ42">
            <v>4130.5505427175704</v>
          </cell>
          <cell r="AK42">
            <v>4201.9458827447743</v>
          </cell>
          <cell r="AL42">
            <v>4274.3560745182449</v>
          </cell>
          <cell r="AN42" t="str">
            <v>EBITDA (FIFO)</v>
          </cell>
          <cell r="DH42">
            <v>444</v>
          </cell>
          <cell r="DI42">
            <v>576</v>
          </cell>
          <cell r="DJ42">
            <v>446</v>
          </cell>
          <cell r="DK42">
            <v>997</v>
          </cell>
          <cell r="DL42">
            <v>2422</v>
          </cell>
          <cell r="DN42">
            <v>399</v>
          </cell>
          <cell r="DO42">
            <v>422</v>
          </cell>
          <cell r="DP42">
            <v>330</v>
          </cell>
          <cell r="DQ42">
            <v>914</v>
          </cell>
          <cell r="DR42">
            <v>2065</v>
          </cell>
          <cell r="DT42">
            <v>386</v>
          </cell>
          <cell r="DU42">
            <v>468</v>
          </cell>
          <cell r="DV42">
            <v>355</v>
          </cell>
          <cell r="DW42">
            <v>882</v>
          </cell>
          <cell r="DX42">
            <v>2091</v>
          </cell>
          <cell r="DZ42">
            <v>334</v>
          </cell>
          <cell r="EA42">
            <v>447</v>
          </cell>
          <cell r="EB42">
            <v>378</v>
          </cell>
          <cell r="EC42">
            <v>951</v>
          </cell>
          <cell r="ED42">
            <v>2110</v>
          </cell>
          <cell r="EF42">
            <v>413</v>
          </cell>
          <cell r="EG42">
            <v>454</v>
          </cell>
          <cell r="EH42">
            <v>389</v>
          </cell>
          <cell r="EI42">
            <v>980</v>
          </cell>
          <cell r="EJ42">
            <v>2236</v>
          </cell>
          <cell r="EK42" t="str">
            <v>EBITDA (FIFO)</v>
          </cell>
          <cell r="EL42">
            <v>429</v>
          </cell>
          <cell r="EM42">
            <v>469</v>
          </cell>
          <cell r="EN42">
            <v>565</v>
          </cell>
          <cell r="EO42">
            <v>1653</v>
          </cell>
          <cell r="EP42">
            <v>3116</v>
          </cell>
          <cell r="ER42">
            <v>465</v>
          </cell>
          <cell r="ES42">
            <v>722</v>
          </cell>
          <cell r="ET42">
            <v>594</v>
          </cell>
          <cell r="EU42">
            <v>1757</v>
          </cell>
          <cell r="EV42">
            <v>3538</v>
          </cell>
          <cell r="EX42">
            <v>573</v>
          </cell>
          <cell r="EY42">
            <v>674</v>
          </cell>
          <cell r="EZ42">
            <v>521</v>
          </cell>
          <cell r="FA42">
            <v>1618</v>
          </cell>
          <cell r="FB42">
            <v>3386</v>
          </cell>
          <cell r="FD42">
            <v>455</v>
          </cell>
          <cell r="FE42">
            <v>650</v>
          </cell>
          <cell r="FF42">
            <v>404</v>
          </cell>
          <cell r="FG42">
            <v>1194</v>
          </cell>
          <cell r="FH42">
            <v>2703</v>
          </cell>
          <cell r="FJ42">
            <v>327</v>
          </cell>
          <cell r="FK42">
            <v>583</v>
          </cell>
          <cell r="FL42">
            <v>389</v>
          </cell>
          <cell r="FM42">
            <v>1365</v>
          </cell>
          <cell r="FN42">
            <v>2664</v>
          </cell>
          <cell r="FP42">
            <v>490</v>
          </cell>
          <cell r="FQ42">
            <v>658</v>
          </cell>
          <cell r="FR42">
            <v>467</v>
          </cell>
          <cell r="FS42">
            <v>1454</v>
          </cell>
          <cell r="FT42">
            <v>3069</v>
          </cell>
          <cell r="FV42">
            <v>598</v>
          </cell>
          <cell r="FW42">
            <v>774</v>
          </cell>
          <cell r="FX42">
            <v>573</v>
          </cell>
          <cell r="FY42">
            <v>1526</v>
          </cell>
          <cell r="FZ42">
            <v>3471</v>
          </cell>
          <cell r="GB42">
            <v>647</v>
          </cell>
          <cell r="GC42">
            <v>811</v>
          </cell>
          <cell r="GD42">
            <v>557.01504824879794</v>
          </cell>
          <cell r="GE42">
            <v>1714.4048884641161</v>
          </cell>
          <cell r="GF42">
            <v>3729.419936712914</v>
          </cell>
          <cell r="GS42" t="str">
            <v>mstag:tag013</v>
          </cell>
          <cell r="GT42">
            <v>6</v>
          </cell>
          <cell r="GU42" t="str">
            <v>ISO4217:USD</v>
          </cell>
          <cell r="GV42" t="b">
            <v>0</v>
          </cell>
          <cell r="GW42" t="b">
            <v>0</v>
          </cell>
        </row>
        <row r="43">
          <cell r="A43" t="str">
            <v>EBITDA Margin</v>
          </cell>
          <cell r="E43">
            <v>6.9119399081664284E-2</v>
          </cell>
          <cell r="F43">
            <v>7.4014006560282869E-2</v>
          </cell>
          <cell r="G43">
            <v>9.0959515058105789E-2</v>
          </cell>
          <cell r="H43">
            <v>9.9393643129186429E-2</v>
          </cell>
          <cell r="I43">
            <v>0.11579794529390085</v>
          </cell>
          <cell r="K43">
            <v>9.0053716746341619E-2</v>
          </cell>
          <cell r="L43">
            <v>0.10498588587511638</v>
          </cell>
          <cell r="N43">
            <v>7.9375940878609552E-2</v>
          </cell>
          <cell r="O43">
            <v>9.6136991842513314E-2</v>
          </cell>
          <cell r="P43">
            <v>0.12687253613666227</v>
          </cell>
          <cell r="Q43">
            <v>0.13530751708428246</v>
          </cell>
          <cell r="R43">
            <v>0.14710836608646827</v>
          </cell>
          <cell r="S43">
            <v>0.14557038105541531</v>
          </cell>
          <cell r="T43">
            <v>0.13082039911308205</v>
          </cell>
          <cell r="U43">
            <v>0.13428809967246805</v>
          </cell>
          <cell r="V43">
            <v>0.13690630677394239</v>
          </cell>
          <cell r="W43">
            <v>0.14173427991886409</v>
          </cell>
          <cell r="X43">
            <v>0.13916927199642698</v>
          </cell>
          <cell r="Y43">
            <v>0.13118279569892474</v>
          </cell>
          <cell r="Z43">
            <v>0.12868164025386691</v>
          </cell>
          <cell r="AA43">
            <v>0.10858910493331191</v>
          </cell>
          <cell r="AB43">
            <v>0.11148775894538607</v>
          </cell>
          <cell r="AC43">
            <v>0.1227452705675319</v>
          </cell>
          <cell r="AD43">
            <v>0.13145237644385532</v>
          </cell>
          <cell r="AE43">
            <v>0.13464669259900278</v>
          </cell>
          <cell r="AF43">
            <v>0.13614669259900275</v>
          </cell>
          <cell r="AG43">
            <v>0.13864669259900278</v>
          </cell>
          <cell r="AH43">
            <v>0.13864669259900272</v>
          </cell>
          <cell r="AI43">
            <v>0.13764669259900278</v>
          </cell>
          <cell r="AJ43">
            <v>0.13864669259900272</v>
          </cell>
          <cell r="AK43">
            <v>0.13964669259900278</v>
          </cell>
          <cell r="AL43">
            <v>0.14064669259900264</v>
          </cell>
          <cell r="AN43" t="str">
            <v>EBITDA Margin</v>
          </cell>
          <cell r="DH43">
            <v>0.12426532325776658</v>
          </cell>
          <cell r="DI43">
            <v>0.15656428377276435</v>
          </cell>
          <cell r="DJ43">
            <v>0.11792702273929138</v>
          </cell>
          <cell r="DK43">
            <v>0.17790863668807994</v>
          </cell>
          <cell r="DL43">
            <v>0.14557038105541531</v>
          </cell>
          <cell r="DN43">
            <v>0.11220472440944881</v>
          </cell>
          <cell r="DO43">
            <v>0.12098623853211009</v>
          </cell>
          <cell r="DP43">
            <v>9.4964028776978418E-2</v>
          </cell>
          <cell r="DQ43">
            <v>0.17809820732657833</v>
          </cell>
          <cell r="DR43">
            <v>0.13082039911308205</v>
          </cell>
          <cell r="DT43">
            <v>0.11178685201274255</v>
          </cell>
          <cell r="DU43">
            <v>0.13425129087779691</v>
          </cell>
          <cell r="DV43">
            <v>0.10204081632653061</v>
          </cell>
          <cell r="DW43">
            <v>0.17580227227426748</v>
          </cell>
          <cell r="DX43">
            <v>0.13428809967246805</v>
          </cell>
          <cell r="DZ43">
            <v>0.10148890914615619</v>
          </cell>
          <cell r="EA43">
            <v>0.13016889924286545</v>
          </cell>
          <cell r="EB43">
            <v>0.10843373493975904</v>
          </cell>
          <cell r="EC43">
            <v>0.18820502671680189</v>
          </cell>
          <cell r="ED43">
            <v>0.13690630677394239</v>
          </cell>
          <cell r="EF43">
            <v>0.11633802816901409</v>
          </cell>
          <cell r="EG43">
            <v>0.12678022898631666</v>
          </cell>
          <cell r="EH43">
            <v>0.11035460992907802</v>
          </cell>
          <cell r="EI43">
            <v>0.19140625</v>
          </cell>
          <cell r="EJ43">
            <v>0.14173427991886409</v>
          </cell>
          <cell r="EK43" t="str">
            <v>EBITDA Margin</v>
          </cell>
          <cell r="EL43">
            <v>0.11782477341389729</v>
          </cell>
          <cell r="EM43">
            <v>0.12945073143803479</v>
          </cell>
          <cell r="EN43">
            <v>0.10171017101710171</v>
          </cell>
          <cell r="EO43">
            <v>0.17270922578622924</v>
          </cell>
          <cell r="EP43">
            <v>0.13916927199642698</v>
          </cell>
          <cell r="ER43">
            <v>7.8414839797639121E-2</v>
          </cell>
          <cell r="ES43">
            <v>0.12043369474562135</v>
          </cell>
          <cell r="ET43">
            <v>0.10091743119266056</v>
          </cell>
          <cell r="EU43">
            <v>0.19183316955999563</v>
          </cell>
          <cell r="EV43">
            <v>0.13118279569892474</v>
          </cell>
          <cell r="EX43">
            <v>9.6774193548387094E-2</v>
          </cell>
          <cell r="EY43">
            <v>0.11439239646978955</v>
          </cell>
          <cell r="EZ43">
            <v>8.8215374195733151E-2</v>
          </cell>
          <cell r="FA43">
            <v>0.18827088666511518</v>
          </cell>
          <cell r="FB43">
            <v>0.12868164025386691</v>
          </cell>
          <cell r="FD43">
            <v>7.9171741778319121E-2</v>
          </cell>
          <cell r="FE43">
            <v>0.1136761105281567</v>
          </cell>
          <cell r="FF43">
            <v>7.3548152193701075E-2</v>
          </cell>
          <cell r="FG43">
            <v>0.15049155533148476</v>
          </cell>
          <cell r="FH43">
            <v>0.10858910493331191</v>
          </cell>
          <cell r="FJ43">
            <v>6.1838124054462935E-2</v>
          </cell>
          <cell r="FK43">
            <v>0.11031220435193945</v>
          </cell>
          <cell r="FL43">
            <v>7.2237697307335189E-2</v>
          </cell>
          <cell r="FM43">
            <v>0.17197933728108858</v>
          </cell>
          <cell r="FN43">
            <v>0.11148775894538607</v>
          </cell>
          <cell r="FP43">
            <v>8.7908144958737E-2</v>
          </cell>
          <cell r="FQ43">
            <v>0.11883691529709228</v>
          </cell>
          <cell r="FR43">
            <v>8.3051751733949852E-2</v>
          </cell>
          <cell r="FS43">
            <v>0.17583746523158786</v>
          </cell>
          <cell r="FT43">
            <v>0.1227452705675319</v>
          </cell>
          <cell r="FV43">
            <v>0.10154525386313466</v>
          </cell>
          <cell r="FW43">
            <v>0.13032497053375988</v>
          </cell>
          <cell r="FX43">
            <v>9.7898513582778068E-2</v>
          </cell>
          <cell r="FY43">
            <v>0.17491976157725814</v>
          </cell>
          <cell r="FZ43">
            <v>0.13145237644385532</v>
          </cell>
          <cell r="GB43">
            <v>0.10532313202018558</v>
          </cell>
          <cell r="GC43">
            <v>0.13255966001961425</v>
          </cell>
          <cell r="GD43">
            <v>9.1769984292360302E-2</v>
          </cell>
          <cell r="GE43">
            <v>0.18302341955100002</v>
          </cell>
          <cell r="GF43">
            <v>0.13464669259900278</v>
          </cell>
        </row>
        <row r="44">
          <cell r="A44" t="str">
            <v>EBITDA (FIFO)/Share</v>
          </cell>
          <cell r="C44" t="str">
            <v xml:space="preserve">NM </v>
          </cell>
          <cell r="D44" t="str">
            <v xml:space="preserve">NM </v>
          </cell>
          <cell r="E44" t="str">
            <v xml:space="preserve">NM </v>
          </cell>
          <cell r="F44">
            <v>4.6078940278401426</v>
          </cell>
          <cell r="G44">
            <v>5.783457566232606</v>
          </cell>
          <cell r="H44">
            <v>5.8796370345149693</v>
          </cell>
          <cell r="I44">
            <v>6.8511292093559586</v>
          </cell>
          <cell r="K44">
            <v>6.7720691547749707</v>
          </cell>
          <cell r="L44">
            <v>8.0326861690497999</v>
          </cell>
          <cell r="N44">
            <v>2.9999586212603964</v>
          </cell>
          <cell r="O44">
            <v>3.2059352517985609</v>
          </cell>
          <cell r="P44">
            <v>4.2507946850757703</v>
          </cell>
          <cell r="Q44">
            <v>4.6015936254980074</v>
          </cell>
          <cell r="R44">
            <v>5.3688524590163933</v>
          </cell>
          <cell r="S44">
            <v>5.853776435045317</v>
          </cell>
          <cell r="T44">
            <v>5.1728456913827658</v>
          </cell>
          <cell r="U44">
            <v>5.2610391244181658</v>
          </cell>
          <cell r="V44">
            <v>5.6538049303322619</v>
          </cell>
          <cell r="W44">
            <v>6.2738496071829406</v>
          </cell>
          <cell r="X44">
            <v>7.1698113207547163</v>
          </cell>
          <cell r="Y44">
            <v>6.4597407339784549</v>
          </cell>
          <cell r="Z44">
            <v>7.4952960708356384</v>
          </cell>
          <cell r="AA44">
            <v>6.4139526606157684</v>
          </cell>
          <cell r="AB44">
            <v>6.3075648159109736</v>
          </cell>
          <cell r="AC44">
            <v>7.1521789792589132</v>
          </cell>
          <cell r="AD44">
            <v>8.0645910780669148</v>
          </cell>
          <cell r="AE44">
            <v>9.0707260857902199</v>
          </cell>
          <cell r="AF44">
            <v>10.333338237135949</v>
          </cell>
          <cell r="AG44">
            <v>11.879397477669373</v>
          </cell>
          <cell r="AH44">
            <v>13.066425230947521</v>
          </cell>
          <cell r="AI44">
            <v>13.737307488158827</v>
          </cell>
          <cell r="AJ44">
            <v>14.540893858632437</v>
          </cell>
          <cell r="AK44">
            <v>15.861777390263473</v>
          </cell>
          <cell r="AL44">
            <v>17.501817914319677</v>
          </cell>
          <cell r="AN44" t="str">
            <v>EBITDA (FIFO)/Share</v>
          </cell>
          <cell r="DH44">
            <v>1.0263522884882108</v>
          </cell>
          <cell r="DI44">
            <v>1.3812949640287771</v>
          </cell>
          <cell r="DJ44">
            <v>1.1089010442565888</v>
          </cell>
          <cell r="DK44">
            <v>2.472718253968254</v>
          </cell>
          <cell r="DL44">
            <v>5.853776435045317</v>
          </cell>
          <cell r="DN44">
            <v>0.97746202841744245</v>
          </cell>
          <cell r="DO44">
            <v>1.0571142284569139</v>
          </cell>
          <cell r="DP44">
            <v>0.84789311408016443</v>
          </cell>
          <cell r="DQ44">
            <v>2.2838580709645178</v>
          </cell>
          <cell r="DR44">
            <v>5.1728456913827658</v>
          </cell>
          <cell r="DT44">
            <v>0.94607843137254899</v>
          </cell>
          <cell r="DU44">
            <v>1.1498771498771498</v>
          </cell>
          <cell r="DV44">
            <v>0.9060745278203165</v>
          </cell>
          <cell r="DW44">
            <v>2.3028720626631856</v>
          </cell>
          <cell r="DX44">
            <v>5.2610391244181658</v>
          </cell>
          <cell r="DZ44">
            <v>0.8812664907651715</v>
          </cell>
          <cell r="EA44">
            <v>1.1939102564102564</v>
          </cell>
          <cell r="EB44">
            <v>1.0177705977382876</v>
          </cell>
          <cell r="EC44">
            <v>2.5856443719412723</v>
          </cell>
          <cell r="ED44">
            <v>5.6538049303322619</v>
          </cell>
          <cell r="EF44">
            <v>1.1210640608034745</v>
          </cell>
          <cell r="EG44">
            <v>1.2472527472527473</v>
          </cell>
          <cell r="EH44">
            <v>1.1152522935779816</v>
          </cell>
          <cell r="EI44">
            <v>2.8422273781902549</v>
          </cell>
          <cell r="EJ44">
            <v>6.2738496071829406</v>
          </cell>
          <cell r="EK44" t="str">
            <v>EBITDA (FIFO)/Share</v>
          </cell>
          <cell r="EL44">
            <v>1.2413194444444444</v>
          </cell>
          <cell r="EM44">
            <v>1.3346613545816735</v>
          </cell>
          <cell r="EN44">
            <v>1.1604025467241734</v>
          </cell>
          <cell r="EO44">
            <v>2.9826777336701551</v>
          </cell>
          <cell r="EP44">
            <v>7.1698113207547163</v>
          </cell>
          <cell r="ER44">
            <v>0.83333333333333337</v>
          </cell>
          <cell r="ES44">
            <v>1.2911301859799713</v>
          </cell>
          <cell r="ET44">
            <v>1.0801963993453356</v>
          </cell>
          <cell r="EU44">
            <v>3.354974221882757</v>
          </cell>
          <cell r="EV44">
            <v>6.4597407339784549</v>
          </cell>
          <cell r="EX44">
            <v>1.2027707808564232</v>
          </cell>
          <cell r="EY44">
            <v>1.472258628221931</v>
          </cell>
          <cell r="EZ44">
            <v>1.1892262040629993</v>
          </cell>
          <cell r="FA44">
            <v>3.72210720036807</v>
          </cell>
          <cell r="FB44">
            <v>7.4952960708356384</v>
          </cell>
          <cell r="FD44">
            <v>1.0810168686148729</v>
          </cell>
          <cell r="FE44">
            <v>1.5399194503672116</v>
          </cell>
          <cell r="FF44">
            <v>0.95893662473296937</v>
          </cell>
          <cell r="FG44">
            <v>2.8334124347413385</v>
          </cell>
          <cell r="FH44">
            <v>6.4139526606157684</v>
          </cell>
          <cell r="FJ44">
            <v>0.77598481252966311</v>
          </cell>
          <cell r="FK44">
            <v>1.3811892916370527</v>
          </cell>
          <cell r="FL44">
            <v>0.92223802750118533</v>
          </cell>
          <cell r="FM44">
            <v>3.2185805234614477</v>
          </cell>
          <cell r="FN44">
            <v>6.3075648159109736</v>
          </cell>
          <cell r="FP44">
            <v>1.1496949788831534</v>
          </cell>
          <cell r="FQ44">
            <v>1.5427901524032825</v>
          </cell>
          <cell r="FR44">
            <v>1.0921421889616463</v>
          </cell>
          <cell r="FS44">
            <v>3.3892773892773893</v>
          </cell>
          <cell r="FT44">
            <v>7.1521789792589132</v>
          </cell>
          <cell r="FV44">
            <v>1.3906976744186046</v>
          </cell>
          <cell r="FW44">
            <v>1.7809479981592269</v>
          </cell>
          <cell r="FX44">
            <v>1.3270032422417786</v>
          </cell>
          <cell r="FY44">
            <v>3.5712614088462438</v>
          </cell>
          <cell r="FZ44">
            <v>8.0645910780669148</v>
          </cell>
          <cell r="GB44">
            <v>1.5270238376209582</v>
          </cell>
          <cell r="GC44">
            <v>1.9443778470390793</v>
          </cell>
          <cell r="GD44">
            <v>1.3711050832677567</v>
          </cell>
          <cell r="GE44">
            <v>4.3124978754051018</v>
          </cell>
          <cell r="GF44">
            <v>9.0707260857902199</v>
          </cell>
        </row>
        <row r="46">
          <cell r="A46" t="str">
            <v>Pre-Tax Extraordinary Charges/(FYins)</v>
          </cell>
          <cell r="N46">
            <v>0</v>
          </cell>
          <cell r="O46">
            <v>0</v>
          </cell>
          <cell r="P46">
            <v>64.977391304347833</v>
          </cell>
          <cell r="Q46">
            <v>39.049635036496348</v>
          </cell>
          <cell r="R46">
            <v>0</v>
          </cell>
          <cell r="S46">
            <v>80</v>
          </cell>
          <cell r="T46">
            <v>194.65822784810126</v>
          </cell>
          <cell r="U46">
            <v>68</v>
          </cell>
          <cell r="V46">
            <v>-3.8885496183206101</v>
          </cell>
          <cell r="W46">
            <v>158</v>
          </cell>
          <cell r="X46">
            <v>-454.87025227165736</v>
          </cell>
          <cell r="Y46">
            <v>238.49507674485955</v>
          </cell>
          <cell r="Z46">
            <v>95.101083032490976</v>
          </cell>
          <cell r="AA46">
            <v>4548.1295336787571</v>
          </cell>
          <cell r="AB46">
            <v>391</v>
          </cell>
          <cell r="AC46">
            <v>89.519480519480524</v>
          </cell>
          <cell r="AD46">
            <v>-25</v>
          </cell>
          <cell r="AE46">
            <v>0</v>
          </cell>
          <cell r="AF46">
            <v>0</v>
          </cell>
          <cell r="AG46">
            <v>0</v>
          </cell>
          <cell r="AH46">
            <v>0</v>
          </cell>
          <cell r="AI46">
            <v>0</v>
          </cell>
          <cell r="AJ46">
            <v>0</v>
          </cell>
          <cell r="AK46">
            <v>0</v>
          </cell>
          <cell r="AL46">
            <v>0</v>
          </cell>
          <cell r="AN46" t="str">
            <v>Pre-Tax Extraordinary Charges/(FYins)</v>
          </cell>
          <cell r="FY46">
            <v>1151</v>
          </cell>
          <cell r="GS46" t="str">
            <v>mstag:incomeLossFromExtraordinaryItemsPretax</v>
          </cell>
          <cell r="GT46">
            <v>6</v>
          </cell>
          <cell r="GU46" t="str">
            <v>ISO4217:USD</v>
          </cell>
          <cell r="GV46" t="b">
            <v>1</v>
          </cell>
          <cell r="GW46" t="b">
            <v>0</v>
          </cell>
        </row>
        <row r="47">
          <cell r="A47" t="str">
            <v>Taxes (Benefit) on Extraordinary Charges</v>
          </cell>
          <cell r="N47">
            <v>0</v>
          </cell>
          <cell r="O47">
            <v>0</v>
          </cell>
          <cell r="P47">
            <v>-25.97739130434783</v>
          </cell>
          <cell r="Q47">
            <v>-16.049635036496348</v>
          </cell>
          <cell r="R47">
            <v>0</v>
          </cell>
          <cell r="S47">
            <v>0</v>
          </cell>
          <cell r="T47">
            <v>30.341772151898731</v>
          </cell>
          <cell r="U47">
            <v>0</v>
          </cell>
          <cell r="V47">
            <v>24.888549618320614</v>
          </cell>
          <cell r="W47">
            <v>0</v>
          </cell>
          <cell r="X47">
            <v>56.870252271657364</v>
          </cell>
          <cell r="Y47">
            <v>73.879923255140454</v>
          </cell>
          <cell r="Z47">
            <v>45.898916967509031</v>
          </cell>
          <cell r="AA47">
            <v>1254.8704663212436</v>
          </cell>
          <cell r="AB47">
            <v>0</v>
          </cell>
          <cell r="AC47">
            <v>-23.119480519480522</v>
          </cell>
          <cell r="AD47">
            <v>0</v>
          </cell>
          <cell r="AE47">
            <v>0</v>
          </cell>
          <cell r="AF47">
            <v>0</v>
          </cell>
          <cell r="AG47">
            <v>0</v>
          </cell>
          <cell r="AH47">
            <v>0</v>
          </cell>
          <cell r="AI47">
            <v>0</v>
          </cell>
          <cell r="AJ47">
            <v>0</v>
          </cell>
          <cell r="AK47">
            <v>0</v>
          </cell>
          <cell r="AL47">
            <v>0</v>
          </cell>
          <cell r="AN47" t="str">
            <v>Taxes (Benefit) on Extraordinary Charges</v>
          </cell>
          <cell r="FY47">
            <v>0.6329278887923544</v>
          </cell>
          <cell r="GS47" t="str">
            <v>mstag:taxOnIncomeLossFromExtraordinaryItems</v>
          </cell>
          <cell r="GT47">
            <v>6</v>
          </cell>
          <cell r="GU47" t="str">
            <v>ISO4217:USD</v>
          </cell>
          <cell r="GV47" t="b">
            <v>0</v>
          </cell>
        </row>
        <row r="48">
          <cell r="A48" t="str">
            <v>Post-Tax Extraordinary Charges/(FYins)</v>
          </cell>
          <cell r="N48">
            <v>0</v>
          </cell>
          <cell r="O48">
            <v>0</v>
          </cell>
          <cell r="P48">
            <v>39</v>
          </cell>
          <cell r="Q48">
            <v>23</v>
          </cell>
          <cell r="R48">
            <v>0</v>
          </cell>
          <cell r="S48">
            <v>80</v>
          </cell>
          <cell r="T48">
            <v>225</v>
          </cell>
          <cell r="U48">
            <v>68</v>
          </cell>
          <cell r="V48">
            <v>21.000000000000004</v>
          </cell>
          <cell r="W48">
            <v>158</v>
          </cell>
          <cell r="X48">
            <v>-398</v>
          </cell>
          <cell r="Y48">
            <v>312.375</v>
          </cell>
          <cell r="Z48">
            <v>141</v>
          </cell>
          <cell r="AA48">
            <v>5803.0000000000009</v>
          </cell>
          <cell r="AB48">
            <v>391</v>
          </cell>
          <cell r="AC48">
            <v>66.400000000000006</v>
          </cell>
          <cell r="AD48">
            <v>-25</v>
          </cell>
          <cell r="AE48">
            <v>0</v>
          </cell>
          <cell r="AF48">
            <v>0</v>
          </cell>
          <cell r="AG48">
            <v>0</v>
          </cell>
          <cell r="AH48">
            <v>0</v>
          </cell>
          <cell r="AI48">
            <v>0</v>
          </cell>
          <cell r="AJ48">
            <v>0</v>
          </cell>
          <cell r="AK48">
            <v>0</v>
          </cell>
          <cell r="AL48">
            <v>0</v>
          </cell>
          <cell r="AN48" t="str">
            <v>Post-Tax Extraordinary Charges/(FYins)</v>
          </cell>
        </row>
        <row r="50">
          <cell r="A50" t="str">
            <v>Extraordinary Charges (FYins)</v>
          </cell>
          <cell r="AN50" t="str">
            <v>Extraordinary Charges (FYins)</v>
          </cell>
          <cell r="FD50">
            <v>110</v>
          </cell>
          <cell r="FE50">
            <v>76</v>
          </cell>
          <cell r="FF50">
            <v>16</v>
          </cell>
          <cell r="FG50">
            <v>219</v>
          </cell>
          <cell r="FH50">
            <v>421</v>
          </cell>
          <cell r="FJ50">
            <v>138</v>
          </cell>
          <cell r="FK50">
            <v>34</v>
          </cell>
          <cell r="FL50">
            <v>33</v>
          </cell>
          <cell r="FM50">
            <v>186</v>
          </cell>
          <cell r="FN50">
            <v>391</v>
          </cell>
          <cell r="FP50">
            <v>0</v>
          </cell>
          <cell r="FQ50">
            <v>0</v>
          </cell>
          <cell r="FR50">
            <v>0</v>
          </cell>
          <cell r="FS50">
            <v>25</v>
          </cell>
          <cell r="FT50">
            <v>25</v>
          </cell>
          <cell r="FV50">
            <v>0</v>
          </cell>
          <cell r="FW50">
            <v>0</v>
          </cell>
          <cell r="FX50">
            <v>0</v>
          </cell>
          <cell r="FY50">
            <v>-25</v>
          </cell>
          <cell r="FZ50">
            <v>-25</v>
          </cell>
          <cell r="GB50">
            <v>0</v>
          </cell>
          <cell r="GC50">
            <v>0</v>
          </cell>
          <cell r="GD50">
            <v>0</v>
          </cell>
          <cell r="GE50">
            <v>0</v>
          </cell>
          <cell r="GF50">
            <v>0</v>
          </cell>
        </row>
        <row r="51">
          <cell r="A51" t="str">
            <v>Taxes on Extraordinary Charges (FYins)</v>
          </cell>
          <cell r="AN51" t="str">
            <v>Taxes on Extraordinary Charges (FYins)</v>
          </cell>
          <cell r="FD51">
            <v>41</v>
          </cell>
          <cell r="FE51">
            <v>28</v>
          </cell>
          <cell r="FF51">
            <v>6</v>
          </cell>
          <cell r="FG51">
            <v>81</v>
          </cell>
          <cell r="FH51">
            <v>156</v>
          </cell>
          <cell r="FJ51">
            <v>118</v>
          </cell>
          <cell r="FK51">
            <v>-43</v>
          </cell>
          <cell r="FL51">
            <v>10</v>
          </cell>
          <cell r="FM51">
            <v>59</v>
          </cell>
          <cell r="FN51">
            <v>144</v>
          </cell>
          <cell r="FP51">
            <v>0</v>
          </cell>
          <cell r="FQ51">
            <v>0</v>
          </cell>
          <cell r="FR51">
            <v>0</v>
          </cell>
          <cell r="FS51">
            <v>0</v>
          </cell>
          <cell r="FT51">
            <v>0</v>
          </cell>
          <cell r="FV51">
            <v>0</v>
          </cell>
          <cell r="FW51">
            <v>0</v>
          </cell>
          <cell r="FX51">
            <v>0</v>
          </cell>
          <cell r="FY51">
            <v>0</v>
          </cell>
          <cell r="FZ51">
            <v>0</v>
          </cell>
          <cell r="GB51">
            <v>0</v>
          </cell>
          <cell r="GC51">
            <v>0</v>
          </cell>
          <cell r="GD51">
            <v>0</v>
          </cell>
          <cell r="GE51">
            <v>0</v>
          </cell>
          <cell r="GF51">
            <v>0</v>
          </cell>
        </row>
        <row r="52">
          <cell r="A52" t="str">
            <v>Tax Rate on Extraordinary Charges (FYins)</v>
          </cell>
          <cell r="AN52" t="str">
            <v>Tax Rate on Extraordinary Charges (FYins)</v>
          </cell>
          <cell r="FD52">
            <v>0.37272727272727274</v>
          </cell>
          <cell r="FE52">
            <v>0.36842105263157893</v>
          </cell>
          <cell r="FF52">
            <v>0.375</v>
          </cell>
          <cell r="FG52">
            <v>0.36986301369863012</v>
          </cell>
          <cell r="FH52">
            <v>0.37054631828978624</v>
          </cell>
          <cell r="FJ52">
            <v>0.85507246376811596</v>
          </cell>
          <cell r="FK52">
            <v>-1.2647058823529411</v>
          </cell>
          <cell r="FL52">
            <v>0.30303030303030304</v>
          </cell>
          <cell r="FM52">
            <v>0.31720430107526881</v>
          </cell>
          <cell r="FN52">
            <v>0.36828644501278773</v>
          </cell>
          <cell r="FP52" t="str">
            <v>NM</v>
          </cell>
          <cell r="FQ52" t="str">
            <v>NM</v>
          </cell>
          <cell r="FR52" t="str">
            <v>NM</v>
          </cell>
          <cell r="FS52" t="str">
            <v>NM</v>
          </cell>
          <cell r="FT52" t="str">
            <v>NM</v>
          </cell>
          <cell r="FV52" t="str">
            <v>NM</v>
          </cell>
          <cell r="FW52" t="str">
            <v>NM</v>
          </cell>
          <cell r="FX52" t="str">
            <v>NM</v>
          </cell>
          <cell r="FY52" t="str">
            <v>NM</v>
          </cell>
          <cell r="FZ52" t="str">
            <v>NM</v>
          </cell>
          <cell r="GB52" t="str">
            <v>NM</v>
          </cell>
          <cell r="GC52" t="str">
            <v>NM</v>
          </cell>
          <cell r="GD52">
            <v>0.37</v>
          </cell>
          <cell r="GE52">
            <v>0.37</v>
          </cell>
          <cell r="GF52">
            <v>0.37</v>
          </cell>
        </row>
        <row r="54">
          <cell r="A54" t="str">
            <v>Continuing Pre-Tax Income</v>
          </cell>
          <cell r="FD54">
            <v>4</v>
          </cell>
          <cell r="FE54">
            <v>197</v>
          </cell>
          <cell r="FF54">
            <v>-59</v>
          </cell>
          <cell r="FG54">
            <v>723</v>
          </cell>
          <cell r="FH54">
            <v>865</v>
          </cell>
          <cell r="FJ54">
            <v>-117</v>
          </cell>
          <cell r="FK54">
            <v>143</v>
          </cell>
          <cell r="FL54">
            <v>-49</v>
          </cell>
          <cell r="FM54">
            <v>921</v>
          </cell>
          <cell r="FN54">
            <v>898</v>
          </cell>
          <cell r="FP54">
            <v>41</v>
          </cell>
          <cell r="FQ54">
            <v>240</v>
          </cell>
          <cell r="FR54">
            <v>13</v>
          </cell>
          <cell r="FS54">
            <v>1051</v>
          </cell>
          <cell r="FT54">
            <v>1345</v>
          </cell>
          <cell r="FV54">
            <v>214</v>
          </cell>
          <cell r="FW54">
            <v>395</v>
          </cell>
          <cell r="FX54">
            <v>183</v>
          </cell>
          <cell r="FY54">
            <v>1151</v>
          </cell>
          <cell r="FZ54">
            <v>1943</v>
          </cell>
          <cell r="GB54">
            <v>279</v>
          </cell>
          <cell r="GC54">
            <v>449</v>
          </cell>
          <cell r="GD54">
            <v>174.65499452664795</v>
          </cell>
          <cell r="GE54">
            <v>1330.6989484464721</v>
          </cell>
          <cell r="GF54">
            <v>2233.35394297312</v>
          </cell>
        </row>
        <row r="55">
          <cell r="A55" t="str">
            <v>Continuing Taxes</v>
          </cell>
          <cell r="FD55">
            <v>-6</v>
          </cell>
          <cell r="FE55">
            <v>76</v>
          </cell>
          <cell r="FF55">
            <v>-25</v>
          </cell>
          <cell r="FG55">
            <v>275</v>
          </cell>
          <cell r="FH55">
            <v>320</v>
          </cell>
          <cell r="FJ55">
            <v>-49</v>
          </cell>
          <cell r="FK55">
            <v>59</v>
          </cell>
          <cell r="FL55">
            <v>-37</v>
          </cell>
          <cell r="FM55">
            <v>349</v>
          </cell>
          <cell r="FN55">
            <v>322</v>
          </cell>
          <cell r="FP55">
            <v>18</v>
          </cell>
          <cell r="FQ55">
            <v>93</v>
          </cell>
          <cell r="FR55">
            <v>3</v>
          </cell>
          <cell r="FS55">
            <v>368</v>
          </cell>
          <cell r="FT55">
            <v>482</v>
          </cell>
          <cell r="FV55">
            <v>83</v>
          </cell>
          <cell r="FW55">
            <v>154</v>
          </cell>
          <cell r="FX55">
            <v>44</v>
          </cell>
          <cell r="FY55">
            <v>422.5</v>
          </cell>
          <cell r="FZ55">
            <v>703.5</v>
          </cell>
          <cell r="GB55">
            <v>98</v>
          </cell>
          <cell r="GC55">
            <v>170</v>
          </cell>
          <cell r="GD55">
            <v>64.622347974859736</v>
          </cell>
          <cell r="GE55">
            <v>492.35861092519468</v>
          </cell>
          <cell r="GF55">
            <v>824.98095890005447</v>
          </cell>
        </row>
        <row r="56">
          <cell r="A56" t="str">
            <v>Tax Rate on Continuing Operations</v>
          </cell>
          <cell r="N56">
            <v>0.62871287128712872</v>
          </cell>
          <cell r="O56">
            <v>0.3968253968253968</v>
          </cell>
          <cell r="P56">
            <v>0.39979123173277664</v>
          </cell>
          <cell r="Q56">
            <v>0.411006018916595</v>
          </cell>
          <cell r="R56">
            <v>0.40476190476190477</v>
          </cell>
          <cell r="S56">
            <v>0.40072992700729926</v>
          </cell>
          <cell r="T56">
            <v>0.3923076923076923</v>
          </cell>
          <cell r="U56">
            <v>0.39122137404580154</v>
          </cell>
          <cell r="V56">
            <v>0.39575645756457567</v>
          </cell>
          <cell r="W56">
            <v>0.38261648745519711</v>
          </cell>
          <cell r="X56">
            <v>0.37446604203916711</v>
          </cell>
          <cell r="Y56">
            <v>0.37218181818181817</v>
          </cell>
          <cell r="Z56">
            <v>0.37045454545454548</v>
          </cell>
          <cell r="AA56">
            <v>0.36994219653179189</v>
          </cell>
          <cell r="AB56">
            <v>0.35857461024498888</v>
          </cell>
          <cell r="AC56">
            <v>0.35836431226765797</v>
          </cell>
          <cell r="AD56">
            <v>0.36206896551724138</v>
          </cell>
          <cell r="AE56">
            <v>0.37</v>
          </cell>
          <cell r="AF56">
            <v>0.37</v>
          </cell>
          <cell r="AG56">
            <v>0.37</v>
          </cell>
          <cell r="AH56">
            <v>0.37</v>
          </cell>
          <cell r="AI56">
            <v>0.37</v>
          </cell>
          <cell r="AJ56">
            <v>0.37</v>
          </cell>
          <cell r="AK56">
            <v>0.37</v>
          </cell>
          <cell r="AL56">
            <v>0.37</v>
          </cell>
          <cell r="FE56">
            <v>0.38578680203045684</v>
          </cell>
          <cell r="FF56">
            <v>0.42372881355932202</v>
          </cell>
          <cell r="FG56">
            <v>0.38035961272475793</v>
          </cell>
          <cell r="FH56">
            <v>0.36994219653179189</v>
          </cell>
          <cell r="FJ56">
            <v>0.41880341880341881</v>
          </cell>
          <cell r="FK56">
            <v>0.41258741258741261</v>
          </cell>
          <cell r="FL56">
            <v>0.75510204081632648</v>
          </cell>
          <cell r="FM56">
            <v>0.37893593919652552</v>
          </cell>
          <cell r="FN56">
            <v>0.35857461024498888</v>
          </cell>
          <cell r="FP56">
            <v>0.43902439024390244</v>
          </cell>
          <cell r="FQ56">
            <v>0.38750000000000001</v>
          </cell>
          <cell r="FR56">
            <v>0.23076923076923078</v>
          </cell>
          <cell r="FS56">
            <v>0.35014272121788775</v>
          </cell>
          <cell r="FT56">
            <v>0.35836431226765797</v>
          </cell>
          <cell r="FV56">
            <v>0.38785046728971961</v>
          </cell>
          <cell r="FW56">
            <v>0.38987341772151901</v>
          </cell>
          <cell r="FX56">
            <v>0.24043715846994534</v>
          </cell>
          <cell r="FY56">
            <v>0.36707211120764555</v>
          </cell>
          <cell r="FZ56">
            <v>0.36206896551724138</v>
          </cell>
          <cell r="GB56">
            <v>0.35125448028673834</v>
          </cell>
          <cell r="GC56">
            <v>0.37861915367483295</v>
          </cell>
          <cell r="GD56">
            <v>0.37</v>
          </cell>
          <cell r="GE56">
            <v>0.37</v>
          </cell>
          <cell r="GF56">
            <v>0.36939105039562631</v>
          </cell>
          <cell r="GS56" t="str">
            <v>mstag:statutoryTaxRate</v>
          </cell>
          <cell r="GT56">
            <v>0</v>
          </cell>
          <cell r="GU56" t="str">
            <v>ms_eqr_gcim_Decimal:ms_eqr_gcim_decimal</v>
          </cell>
          <cell r="GV56" t="b">
            <v>0</v>
          </cell>
        </row>
        <row r="58">
          <cell r="A58" t="str">
            <v>Total Tax Expense</v>
          </cell>
          <cell r="FD58">
            <v>-47</v>
          </cell>
          <cell r="FE58">
            <v>48</v>
          </cell>
          <cell r="FF58">
            <v>-31</v>
          </cell>
          <cell r="FG58">
            <v>-105</v>
          </cell>
          <cell r="FH58">
            <v>-135</v>
          </cell>
          <cell r="FJ58">
            <v>-167</v>
          </cell>
          <cell r="FK58">
            <v>102</v>
          </cell>
          <cell r="FL58">
            <v>-47</v>
          </cell>
          <cell r="FM58">
            <v>290</v>
          </cell>
          <cell r="FN58">
            <v>178</v>
          </cell>
          <cell r="FP58">
            <v>18</v>
          </cell>
          <cell r="FQ58">
            <v>93</v>
          </cell>
          <cell r="FR58">
            <v>3</v>
          </cell>
          <cell r="FS58">
            <v>359</v>
          </cell>
          <cell r="FT58">
            <v>473</v>
          </cell>
          <cell r="FV58">
            <v>83</v>
          </cell>
          <cell r="FW58">
            <v>154</v>
          </cell>
          <cell r="FX58">
            <v>44</v>
          </cell>
          <cell r="FY58">
            <v>431</v>
          </cell>
          <cell r="FZ58">
            <v>712</v>
          </cell>
          <cell r="GB58">
            <v>98</v>
          </cell>
          <cell r="GC58">
            <v>170</v>
          </cell>
          <cell r="GD58">
            <v>64.622347974859736</v>
          </cell>
          <cell r="GE58">
            <v>492.35861092519468</v>
          </cell>
          <cell r="GF58">
            <v>824.98095890005447</v>
          </cell>
        </row>
        <row r="59">
          <cell r="A59" t="str">
            <v>Tax Rate</v>
          </cell>
          <cell r="FD59">
            <v>0.44339622641509435</v>
          </cell>
          <cell r="FE59">
            <v>0.39669421487603307</v>
          </cell>
          <cell r="FF59">
            <v>0.41333333333333333</v>
          </cell>
          <cell r="FG59">
            <v>-0.20833333333333334</v>
          </cell>
          <cell r="FH59">
            <v>-0.30405405405405406</v>
          </cell>
          <cell r="FJ59">
            <v>0.65490196078431373</v>
          </cell>
          <cell r="FK59">
            <v>0.93577981651376152</v>
          </cell>
          <cell r="FL59">
            <v>0.57317073170731703</v>
          </cell>
          <cell r="FM59">
            <v>0.39455782312925169</v>
          </cell>
          <cell r="FN59">
            <v>0.35108481262327418</v>
          </cell>
          <cell r="FP59">
            <v>0.43902439024390244</v>
          </cell>
          <cell r="FQ59">
            <v>0.38750000000000001</v>
          </cell>
          <cell r="FR59">
            <v>0.23076923076923078</v>
          </cell>
          <cell r="FS59">
            <v>0.34990253411306044</v>
          </cell>
          <cell r="FT59">
            <v>0.35833333333333334</v>
          </cell>
          <cell r="FV59">
            <v>0.38785046728971961</v>
          </cell>
          <cell r="FW59">
            <v>0.38987341772151901</v>
          </cell>
          <cell r="FX59">
            <v>0.24043715846994534</v>
          </cell>
          <cell r="FY59">
            <v>0.36649659863945577</v>
          </cell>
          <cell r="FZ59">
            <v>0.36178861788617889</v>
          </cell>
          <cell r="GB59">
            <v>0.35125448028673834</v>
          </cell>
          <cell r="GC59">
            <v>0.37861915367483295</v>
          </cell>
          <cell r="GD59">
            <v>0.36999999999999994</v>
          </cell>
          <cell r="GE59">
            <v>0.37</v>
          </cell>
          <cell r="GF59">
            <v>0.36939105039562631</v>
          </cell>
        </row>
        <row r="61">
          <cell r="A61" t="str">
            <v>As a % of Sales</v>
          </cell>
          <cell r="AN61" t="str">
            <v>As % of Sales</v>
          </cell>
        </row>
        <row r="62">
          <cell r="A62" t="str">
            <v>Cost of Goods Sold (FIFO)</v>
          </cell>
          <cell r="K62">
            <v>0.61379177462321644</v>
          </cell>
          <cell r="L62">
            <v>0.61286106320358991</v>
          </cell>
          <cell r="N62">
            <v>0.61844806350075265</v>
          </cell>
          <cell r="O62">
            <v>0.60796871839816624</v>
          </cell>
          <cell r="P62">
            <v>0.60446780551905388</v>
          </cell>
          <cell r="Q62">
            <v>0.59993491701919943</v>
          </cell>
          <cell r="R62">
            <v>0.59741718135878719</v>
          </cell>
          <cell r="S62">
            <v>0.5983291260968866</v>
          </cell>
          <cell r="T62">
            <v>0.60836236933797905</v>
          </cell>
          <cell r="U62">
            <v>0.59880547171023057</v>
          </cell>
          <cell r="V62">
            <v>0.59531533869711917</v>
          </cell>
          <cell r="W62">
            <v>0.59241886409736311</v>
          </cell>
          <cell r="X62">
            <v>0.59276462706565436</v>
          </cell>
          <cell r="Y62">
            <v>0.59395624768261035</v>
          </cell>
          <cell r="Z62">
            <v>0.59578915365028695</v>
          </cell>
          <cell r="AA62">
            <v>0.60296480797043228</v>
          </cell>
          <cell r="AB62">
            <v>0.59753086419753088</v>
          </cell>
          <cell r="AC62">
            <v>0.59288885333759944</v>
          </cell>
          <cell r="AD62">
            <v>0.59602348040143915</v>
          </cell>
          <cell r="AE62">
            <v>0.59474414748937621</v>
          </cell>
          <cell r="AF62">
            <v>0.5917441474893762</v>
          </cell>
          <cell r="AG62">
            <v>0.59024414748937615</v>
          </cell>
          <cell r="AH62">
            <v>0.59124414748937626</v>
          </cell>
          <cell r="AI62">
            <v>0.59324414748937615</v>
          </cell>
          <cell r="AJ62">
            <v>0.59324414748937626</v>
          </cell>
          <cell r="AK62">
            <v>0.59324414748937615</v>
          </cell>
          <cell r="AL62">
            <v>0.59324414748937626</v>
          </cell>
          <cell r="AN62" t="str">
            <v>Cost of Goods Sold (FIFO)</v>
          </cell>
          <cell r="AO62">
            <v>0.60057656275542926</v>
          </cell>
          <cell r="AP62">
            <v>0.6221511287992596</v>
          </cell>
          <cell r="AQ62">
            <v>0.60479300095568056</v>
          </cell>
          <cell r="AR62">
            <v>0.6294896976051404</v>
          </cell>
          <cell r="AS62">
            <v>0.6153719492191454</v>
          </cell>
          <cell r="AU62">
            <v>0.59872575888702217</v>
          </cell>
          <cell r="AV62">
            <v>0.59999010525203866</v>
          </cell>
          <cell r="AW62">
            <v>0.60363297815379591</v>
          </cell>
          <cell r="AX62">
            <v>0.6181168180071781</v>
          </cell>
          <cell r="AY62">
            <v>0.60617818875433238</v>
          </cell>
          <cell r="BA62">
            <v>0.58843971531933681</v>
          </cell>
          <cell r="BB62">
            <v>0.59550840920881798</v>
          </cell>
          <cell r="BC62">
            <v>0.59443029908354827</v>
          </cell>
          <cell r="BD62">
            <v>0.60333203951480918</v>
          </cell>
          <cell r="BE62">
            <v>0.59616640873137217</v>
          </cell>
          <cell r="BG62">
            <v>0.59604630440701789</v>
          </cell>
          <cell r="BH62">
            <v>0.59912879554386378</v>
          </cell>
          <cell r="BI62">
            <v>0.60210303943129073</v>
          </cell>
          <cell r="BJ62">
            <v>0.61593435522401285</v>
          </cell>
          <cell r="BK62">
            <v>0.60464400533045182</v>
          </cell>
          <cell r="BM62">
            <v>0.60650471598560973</v>
          </cell>
          <cell r="BN62">
            <v>0.61069795125618698</v>
          </cell>
          <cell r="BO62">
            <v>0.61373481882758607</v>
          </cell>
          <cell r="BP62">
            <v>0.62352648329569904</v>
          </cell>
          <cell r="BQ62">
            <v>0.61477004731898655</v>
          </cell>
          <cell r="BS62">
            <v>0.60652791014295437</v>
          </cell>
          <cell r="BT62">
            <v>0.6192234202265593</v>
          </cell>
          <cell r="BU62">
            <v>0.61024762870607896</v>
          </cell>
          <cell r="BV62">
            <v>0.61765424878908959</v>
          </cell>
          <cell r="BW62">
            <v>0.61379177462321644</v>
          </cell>
          <cell r="BY62">
            <v>0.60982474600117942</v>
          </cell>
          <cell r="BZ62">
            <v>0.61139317361339018</v>
          </cell>
          <cell r="CA62">
            <v>0.61184906801442795</v>
          </cell>
          <cell r="CB62">
            <v>0.69662729026036696</v>
          </cell>
          <cell r="CC62">
            <v>0.62122405771683631</v>
          </cell>
          <cell r="CD62">
            <v>0.61651560643698022</v>
          </cell>
          <cell r="CE62">
            <v>0.62762274687078579</v>
          </cell>
          <cell r="CF62">
            <v>0.61286106320358991</v>
          </cell>
          <cell r="CG62">
            <v>0.61701593761245654</v>
          </cell>
          <cell r="CH62">
            <v>0.61921040036990405</v>
          </cell>
          <cell r="CJ62">
            <v>0.61036992153179626</v>
          </cell>
          <cell r="CK62">
            <v>0.60762316136394912</v>
          </cell>
          <cell r="CL62">
            <v>0.60676453279278098</v>
          </cell>
          <cell r="CM62">
            <v>0.6134235876446239</v>
          </cell>
          <cell r="CN62">
            <v>0.60993271142476924</v>
          </cell>
          <cell r="CP62">
            <v>0.6121470503427453</v>
          </cell>
          <cell r="CQ62">
            <v>0.60781202891889508</v>
          </cell>
          <cell r="CR62">
            <v>0.61045128548991046</v>
          </cell>
          <cell r="CS62">
            <v>0.61427682685535268</v>
          </cell>
          <cell r="CT62">
            <v>0.61147410135820623</v>
          </cell>
          <cell r="CV62">
            <v>0.6023235031277927</v>
          </cell>
          <cell r="CW62">
            <v>0.58873321657910094</v>
          </cell>
          <cell r="CX62">
            <v>0.60456595264937996</v>
          </cell>
          <cell r="CY62">
            <v>0.60270162892332146</v>
          </cell>
          <cell r="CZ62">
            <v>0.59993491701919943</v>
          </cell>
          <cell r="DB62">
            <v>0.60388888888888892</v>
          </cell>
          <cell r="DC62">
            <v>0.57888167748377439</v>
          </cell>
          <cell r="DD62">
            <v>0.59318346627991303</v>
          </cell>
          <cell r="DE62">
            <v>0.5853005190021765</v>
          </cell>
          <cell r="DF62">
            <v>0.58946714834048319</v>
          </cell>
          <cell r="DH62">
            <v>0.6022949902043101</v>
          </cell>
          <cell r="DI62">
            <v>0.59064963305245988</v>
          </cell>
          <cell r="DJ62">
            <v>0.60682178741406667</v>
          </cell>
          <cell r="DK62">
            <v>0.59511063526052821</v>
          </cell>
          <cell r="DL62">
            <v>0.5983291260968866</v>
          </cell>
          <cell r="DN62">
            <v>0.60686164229471318</v>
          </cell>
          <cell r="DO62">
            <v>0.61009174311926606</v>
          </cell>
          <cell r="DP62">
            <v>0.61410071942446043</v>
          </cell>
          <cell r="DQ62">
            <v>0.60619641465315666</v>
          </cell>
          <cell r="DR62">
            <v>0.60836236933797905</v>
          </cell>
          <cell r="DT62">
            <v>0.60179554011004921</v>
          </cell>
          <cell r="DU62">
            <v>0.58835341365461846</v>
          </cell>
          <cell r="DV62">
            <v>0.60707099741304971</v>
          </cell>
          <cell r="DW62">
            <v>0.60075742475583016</v>
          </cell>
          <cell r="DX62">
            <v>0.59880547171023057</v>
          </cell>
          <cell r="DZ62">
            <v>0.60832573685809788</v>
          </cell>
          <cell r="EA62">
            <v>0.58969132207338382</v>
          </cell>
          <cell r="EB62">
            <v>0.59982788296041312</v>
          </cell>
          <cell r="EC62">
            <v>0.58994656639620024</v>
          </cell>
          <cell r="ED62">
            <v>0.59531533869711917</v>
          </cell>
          <cell r="EF62">
            <v>0.59690140845070427</v>
          </cell>
          <cell r="EG62">
            <v>0.58586986875174529</v>
          </cell>
          <cell r="EH62">
            <v>0.59773049645390075</v>
          </cell>
          <cell r="EI62">
            <v>0.59023437499999998</v>
          </cell>
          <cell r="EJ62">
            <v>0.59241886409736311</v>
          </cell>
          <cell r="EK62" t="str">
            <v>Cost of Goods Sold (FIFO)</v>
          </cell>
          <cell r="EL62">
            <v>0.5976380115352925</v>
          </cell>
          <cell r="EM62">
            <v>0.58680651393872485</v>
          </cell>
          <cell r="EN62">
            <v>0.59621962196219624</v>
          </cell>
          <cell r="EO62">
            <v>0.59116079824469747</v>
          </cell>
          <cell r="EP62">
            <v>0.59276462706565436</v>
          </cell>
          <cell r="ER62">
            <v>0.61163575042158513</v>
          </cell>
          <cell r="ES62">
            <v>0.57881567973311088</v>
          </cell>
          <cell r="ET62">
            <v>0.59683995922528033</v>
          </cell>
          <cell r="EU62">
            <v>0.59056665574844414</v>
          </cell>
          <cell r="EV62">
            <v>0.59395624768261035</v>
          </cell>
          <cell r="EX62">
            <v>0.60192535044755957</v>
          </cell>
          <cell r="EY62">
            <v>0.59521384928716903</v>
          </cell>
          <cell r="EZ62">
            <v>0.60700982052150354</v>
          </cell>
          <cell r="FA62">
            <v>0.58424482196881544</v>
          </cell>
          <cell r="FB62">
            <v>0.59578915365028695</v>
          </cell>
          <cell r="FD62">
            <v>0.61371150165303634</v>
          </cell>
          <cell r="FE62">
            <v>0.5851696397341728</v>
          </cell>
          <cell r="FF62">
            <v>0.60513380666302563</v>
          </cell>
          <cell r="FG62">
            <v>0.60650365515502902</v>
          </cell>
          <cell r="FH62">
            <v>0.60296480797043228</v>
          </cell>
          <cell r="FJ62">
            <v>0.62008320726172461</v>
          </cell>
          <cell r="FK62">
            <v>0.58978240302743612</v>
          </cell>
          <cell r="FL62">
            <v>0.6018570102135562</v>
          </cell>
          <cell r="FM62">
            <v>0.58472974675570111</v>
          </cell>
          <cell r="FN62">
            <v>0.59753086419753088</v>
          </cell>
          <cell r="FP62">
            <v>0.60602798708288486</v>
          </cell>
          <cell r="FQ62">
            <v>0.58045873216543253</v>
          </cell>
          <cell r="FR62">
            <v>0.60056909123243818</v>
          </cell>
          <cell r="FS62">
            <v>0.58713266416737209</v>
          </cell>
          <cell r="FT62">
            <v>0.59288885333759944</v>
          </cell>
          <cell r="FV62">
            <v>0.60893190694515198</v>
          </cell>
          <cell r="FW62">
            <v>0.58208452601448057</v>
          </cell>
          <cell r="FX62">
            <v>0.60550145224671104</v>
          </cell>
          <cell r="FY62">
            <v>0.59044016506189823</v>
          </cell>
          <cell r="FZ62">
            <v>0.59602348040143915</v>
          </cell>
          <cell r="GB62">
            <v>0.61159042812957842</v>
          </cell>
          <cell r="GC62">
            <v>0.58107224583197126</v>
          </cell>
          <cell r="GD62">
            <v>0.60400145224671109</v>
          </cell>
          <cell r="GE62">
            <v>0.58662736950345429</v>
          </cell>
          <cell r="GF62">
            <v>0.59474414748937621</v>
          </cell>
        </row>
        <row r="63">
          <cell r="A63" t="str">
            <v>Gross Margin (FIFO)</v>
          </cell>
          <cell r="K63">
            <v>0.38620822537678351</v>
          </cell>
          <cell r="L63">
            <v>0.38713893679641009</v>
          </cell>
          <cell r="N63">
            <v>0.38155193649924729</v>
          </cell>
          <cell r="O63">
            <v>0.39203128160183376</v>
          </cell>
          <cell r="P63">
            <v>0.39553219448094612</v>
          </cell>
          <cell r="Q63">
            <v>0.40006508298080051</v>
          </cell>
          <cell r="R63">
            <v>0.40258281864121281</v>
          </cell>
          <cell r="S63">
            <v>0.40167087390311335</v>
          </cell>
          <cell r="T63">
            <v>0.3916376306620209</v>
          </cell>
          <cell r="U63">
            <v>0.40119452828976943</v>
          </cell>
          <cell r="V63">
            <v>0.40468466130288089</v>
          </cell>
          <cell r="W63">
            <v>0.40758113590263689</v>
          </cell>
          <cell r="X63">
            <v>0.4072353729343457</v>
          </cell>
          <cell r="Y63">
            <v>0.40604375231738971</v>
          </cell>
          <cell r="Z63">
            <v>0.40421084634971305</v>
          </cell>
          <cell r="AA63">
            <v>0.39703519202956772</v>
          </cell>
          <cell r="AB63">
            <v>0.40246913580246912</v>
          </cell>
          <cell r="AC63">
            <v>0.4071111466624005</v>
          </cell>
          <cell r="AD63">
            <v>0.4039765195985609</v>
          </cell>
          <cell r="AE63">
            <v>0.40525585251062379</v>
          </cell>
          <cell r="AF63">
            <v>0.40825585251062385</v>
          </cell>
          <cell r="AG63">
            <v>0.4097558525106238</v>
          </cell>
          <cell r="AH63">
            <v>0.4087558525106238</v>
          </cell>
          <cell r="AI63">
            <v>0.40675585251062379</v>
          </cell>
          <cell r="AJ63">
            <v>0.40675585251062374</v>
          </cell>
          <cell r="AK63">
            <v>0.40675585251062385</v>
          </cell>
          <cell r="AL63">
            <v>0.40675585251062374</v>
          </cell>
          <cell r="AN63" t="str">
            <v>Gross Margin (FIFO)</v>
          </cell>
          <cell r="AO63">
            <v>0.3994234372445708</v>
          </cell>
          <cell r="AP63">
            <v>0.3778488712007404</v>
          </cell>
          <cell r="AQ63">
            <v>0.3952069990443195</v>
          </cell>
          <cell r="AR63">
            <v>0.3705103023948596</v>
          </cell>
          <cell r="AS63">
            <v>0.38462805078085455</v>
          </cell>
          <cell r="AU63">
            <v>0.40127424111297788</v>
          </cell>
          <cell r="AV63">
            <v>0.40000989474796134</v>
          </cell>
          <cell r="AW63">
            <v>0.39636702184620409</v>
          </cell>
          <cell r="AX63">
            <v>0.38188318199282195</v>
          </cell>
          <cell r="AY63">
            <v>0.39382181124566762</v>
          </cell>
          <cell r="BA63">
            <v>0.41156028468066325</v>
          </cell>
          <cell r="BB63">
            <v>0.40449159079118202</v>
          </cell>
          <cell r="BC63">
            <v>0.40556970091645167</v>
          </cell>
          <cell r="BD63">
            <v>0.39666796048519082</v>
          </cell>
          <cell r="BE63">
            <v>0.40383359126862778</v>
          </cell>
          <cell r="BG63">
            <v>0.40395369559298205</v>
          </cell>
          <cell r="BH63">
            <v>0.40087120445613617</v>
          </cell>
          <cell r="BI63">
            <v>0.39789696056870921</v>
          </cell>
          <cell r="BJ63">
            <v>0.38406564477598715</v>
          </cell>
          <cell r="BK63">
            <v>0.39535599466954813</v>
          </cell>
          <cell r="BM63">
            <v>0.39349528401439021</v>
          </cell>
          <cell r="BN63">
            <v>0.38930204874381302</v>
          </cell>
          <cell r="BO63">
            <v>0.38626518117241393</v>
          </cell>
          <cell r="BP63">
            <v>0.37647351670430096</v>
          </cell>
          <cell r="BQ63">
            <v>0.38522995268101345</v>
          </cell>
          <cell r="BS63">
            <v>0.39347208985704557</v>
          </cell>
          <cell r="BT63">
            <v>0.38077657977344076</v>
          </cell>
          <cell r="BU63">
            <v>0.3897523712939211</v>
          </cell>
          <cell r="BV63">
            <v>0.38234575121091047</v>
          </cell>
          <cell r="BW63">
            <v>0.38620822537678351</v>
          </cell>
          <cell r="BY63">
            <v>0.39017525399882058</v>
          </cell>
          <cell r="BZ63">
            <v>0.38860682638660982</v>
          </cell>
          <cell r="CA63">
            <v>0.38815093198557199</v>
          </cell>
          <cell r="CB63">
            <v>0.30337270973963298</v>
          </cell>
          <cell r="CC63">
            <v>0.37877594228316364</v>
          </cell>
          <cell r="CD63">
            <v>0.38348439356301972</v>
          </cell>
          <cell r="CE63">
            <v>0.37237725312921416</v>
          </cell>
          <cell r="CF63">
            <v>0.38713893679641009</v>
          </cell>
          <cell r="CG63">
            <v>0.38298406238754346</v>
          </cell>
          <cell r="CH63">
            <v>0.38078959963009601</v>
          </cell>
          <cell r="CJ63">
            <v>0.38963007846820369</v>
          </cell>
          <cell r="CK63">
            <v>0.39237683863605083</v>
          </cell>
          <cell r="CL63">
            <v>0.39323546720721908</v>
          </cell>
          <cell r="CM63">
            <v>0.38657641235537615</v>
          </cell>
          <cell r="CN63">
            <v>0.39006728857523071</v>
          </cell>
          <cell r="CP63">
            <v>0.3878529496572547</v>
          </cell>
          <cell r="CQ63">
            <v>0.39218797108110487</v>
          </cell>
          <cell r="CR63">
            <v>0.38954871451008949</v>
          </cell>
          <cell r="CS63">
            <v>0.38572317314464727</v>
          </cell>
          <cell r="CT63">
            <v>0.38852589864179371</v>
          </cell>
          <cell r="CV63">
            <v>0.39767649687220735</v>
          </cell>
          <cell r="CW63">
            <v>0.41126678342089901</v>
          </cell>
          <cell r="CX63">
            <v>0.39543404735062004</v>
          </cell>
          <cell r="CY63">
            <v>0.39729837107667859</v>
          </cell>
          <cell r="CZ63">
            <v>0.40006508298080051</v>
          </cell>
          <cell r="DB63">
            <v>0.39611111111111114</v>
          </cell>
          <cell r="DC63">
            <v>0.42111832251622566</v>
          </cell>
          <cell r="DD63">
            <v>0.40681653372008703</v>
          </cell>
          <cell r="DE63">
            <v>0.41469948099782356</v>
          </cell>
          <cell r="DF63">
            <v>0.41053285165951681</v>
          </cell>
          <cell r="DH63">
            <v>0.3977050097956899</v>
          </cell>
          <cell r="DI63">
            <v>0.40935036694754007</v>
          </cell>
          <cell r="DJ63">
            <v>0.39317821258593338</v>
          </cell>
          <cell r="DK63">
            <v>0.40488936473947179</v>
          </cell>
          <cell r="DL63">
            <v>0.40167087390311335</v>
          </cell>
          <cell r="DN63">
            <v>0.39313835770528682</v>
          </cell>
          <cell r="DO63">
            <v>0.38990825688073394</v>
          </cell>
          <cell r="DP63">
            <v>0.38589928057553957</v>
          </cell>
          <cell r="DQ63">
            <v>0.39380358534684334</v>
          </cell>
          <cell r="DR63">
            <v>0.3916376306620209</v>
          </cell>
          <cell r="DT63">
            <v>0.39820445988995079</v>
          </cell>
          <cell r="DU63">
            <v>0.41164658634538154</v>
          </cell>
          <cell r="DV63">
            <v>0.39292900258695029</v>
          </cell>
          <cell r="DW63">
            <v>0.39924257524416984</v>
          </cell>
          <cell r="DX63">
            <v>0.40119452828976943</v>
          </cell>
          <cell r="DZ63">
            <v>0.39167426314190218</v>
          </cell>
          <cell r="EA63">
            <v>0.41030867792661618</v>
          </cell>
          <cell r="EB63">
            <v>0.40017211703958694</v>
          </cell>
          <cell r="EC63">
            <v>0.4100534336037997</v>
          </cell>
          <cell r="ED63">
            <v>0.40468466130288089</v>
          </cell>
          <cell r="EF63">
            <v>0.40309859154929578</v>
          </cell>
          <cell r="EG63">
            <v>0.41413013124825465</v>
          </cell>
          <cell r="EH63">
            <v>0.40226950354609931</v>
          </cell>
          <cell r="EI63">
            <v>0.40976562500000002</v>
          </cell>
          <cell r="EJ63">
            <v>0.40758113590263689</v>
          </cell>
          <cell r="EK63" t="str">
            <v>Gross Margin (FIFO)</v>
          </cell>
          <cell r="EL63">
            <v>0.4023619884647075</v>
          </cell>
          <cell r="EM63">
            <v>0.41319348606127521</v>
          </cell>
          <cell r="EN63">
            <v>0.40378037803780376</v>
          </cell>
          <cell r="EO63">
            <v>0.40883920175530247</v>
          </cell>
          <cell r="EP63">
            <v>0.4072353729343457</v>
          </cell>
          <cell r="ER63">
            <v>0.38836424957841487</v>
          </cell>
          <cell r="ES63">
            <v>0.42118432026688907</v>
          </cell>
          <cell r="ET63">
            <v>0.40316004077471967</v>
          </cell>
          <cell r="EU63">
            <v>0.40943334425155586</v>
          </cell>
          <cell r="EV63">
            <v>0.40604375231738971</v>
          </cell>
          <cell r="EX63">
            <v>0.39807464955244048</v>
          </cell>
          <cell r="EY63">
            <v>0.40478615071283097</v>
          </cell>
          <cell r="EZ63">
            <v>0.39299017947849646</v>
          </cell>
          <cell r="FA63">
            <v>0.41575517803118456</v>
          </cell>
          <cell r="FB63">
            <v>0.40421084634971305</v>
          </cell>
          <cell r="FD63">
            <v>0.38628849834696366</v>
          </cell>
          <cell r="FE63">
            <v>0.4148303602658272</v>
          </cell>
          <cell r="FF63">
            <v>0.39486619333697431</v>
          </cell>
          <cell r="FG63">
            <v>0.39349634484497104</v>
          </cell>
          <cell r="FH63">
            <v>0.39703519202956772</v>
          </cell>
          <cell r="FJ63">
            <v>0.37991679273827533</v>
          </cell>
          <cell r="FK63">
            <v>0.41021759697256388</v>
          </cell>
          <cell r="FL63">
            <v>0.3981429897864438</v>
          </cell>
          <cell r="FM63">
            <v>0.41527025324429884</v>
          </cell>
          <cell r="FN63">
            <v>0.40246913580246912</v>
          </cell>
          <cell r="FP63">
            <v>0.3939720129171152</v>
          </cell>
          <cell r="FQ63">
            <v>0.41954126783456747</v>
          </cell>
          <cell r="FR63">
            <v>0.39943090876756182</v>
          </cell>
          <cell r="FS63">
            <v>0.41286733583262791</v>
          </cell>
          <cell r="FT63">
            <v>0.4071111466624005</v>
          </cell>
          <cell r="FV63">
            <v>0.39106809305484802</v>
          </cell>
          <cell r="FW63">
            <v>0.41791547398551943</v>
          </cell>
          <cell r="FX63">
            <v>0.39449854775328891</v>
          </cell>
          <cell r="FY63">
            <v>0.40955983493810177</v>
          </cell>
          <cell r="FZ63">
            <v>0.4039765195985609</v>
          </cell>
          <cell r="GB63">
            <v>0.38840957187042163</v>
          </cell>
          <cell r="GC63">
            <v>0.41892775416802874</v>
          </cell>
          <cell r="GD63">
            <v>0.39599854775328891</v>
          </cell>
          <cell r="GE63">
            <v>0.41337263049654577</v>
          </cell>
          <cell r="GF63">
            <v>0.40525585251062379</v>
          </cell>
        </row>
        <row r="64">
          <cell r="A64" t="str">
            <v>Y/Y ∆ bps</v>
          </cell>
          <cell r="O64">
            <v>104.79345102586468</v>
          </cell>
          <cell r="P64">
            <v>35.009128791123615</v>
          </cell>
          <cell r="Q64">
            <v>45.328884998543927</v>
          </cell>
          <cell r="R64">
            <v>25.177356604123013</v>
          </cell>
          <cell r="S64">
            <v>-9.1194473809946821</v>
          </cell>
          <cell r="T64">
            <v>-100.33243241092448</v>
          </cell>
          <cell r="U64">
            <v>95.568976277485291</v>
          </cell>
          <cell r="V64">
            <v>34.901330131114626</v>
          </cell>
          <cell r="W64">
            <v>28.964745997560048</v>
          </cell>
          <cell r="X64">
            <v>-3.4576296829119668</v>
          </cell>
          <cell r="Y64">
            <v>-11.916206169559906</v>
          </cell>
          <cell r="Z64">
            <v>-18.329059676766569</v>
          </cell>
          <cell r="AA64">
            <v>-71.756543201453297</v>
          </cell>
          <cell r="AB64">
            <v>54.339437729014065</v>
          </cell>
          <cell r="AC64">
            <v>46.420108599313778</v>
          </cell>
          <cell r="AD64">
            <v>-31.346270638396014</v>
          </cell>
          <cell r="AE64">
            <v>12.793329120628915</v>
          </cell>
          <cell r="AF64">
            <v>30.000000000000583</v>
          </cell>
          <cell r="AG64">
            <v>14.999999999999458</v>
          </cell>
          <cell r="AH64">
            <v>-10.000000000000009</v>
          </cell>
          <cell r="AI64">
            <v>-20.000000000000018</v>
          </cell>
          <cell r="AJ64">
            <v>-5.5511151231257827E-13</v>
          </cell>
          <cell r="AK64">
            <v>1.1102230246251565E-12</v>
          </cell>
          <cell r="AL64">
            <v>-1.1102230246251565E-12</v>
          </cell>
          <cell r="AN64" t="str">
            <v>Y/Y ∆ bps</v>
          </cell>
          <cell r="DH64">
            <v>15.93898684578765</v>
          </cell>
          <cell r="DI64">
            <v>-117.67955568685595</v>
          </cell>
          <cell r="DJ64">
            <v>-136.38321134153642</v>
          </cell>
          <cell r="DK64">
            <v>-98.101162583517649</v>
          </cell>
          <cell r="DL64">
            <v>-88.619777564034607</v>
          </cell>
          <cell r="DN64">
            <v>-45.666520904030783</v>
          </cell>
          <cell r="DO64">
            <v>-194.42110066806129</v>
          </cell>
          <cell r="DP64">
            <v>-72.789320103938124</v>
          </cell>
          <cell r="DQ64">
            <v>-110.85779392628447</v>
          </cell>
          <cell r="DR64">
            <v>-100.33243241092448</v>
          </cell>
          <cell r="DT64">
            <v>50.661021846639677</v>
          </cell>
          <cell r="DU64">
            <v>217.38329464647597</v>
          </cell>
          <cell r="DV64">
            <v>70.297220114107219</v>
          </cell>
          <cell r="DW64">
            <v>54.389898973264962</v>
          </cell>
          <cell r="DX64">
            <v>95.568976277485291</v>
          </cell>
          <cell r="DZ64">
            <v>-65.301967480486113</v>
          </cell>
          <cell r="EA64">
            <v>-13.379084187653545</v>
          </cell>
          <cell r="EB64">
            <v>72.431144526366452</v>
          </cell>
          <cell r="EC64">
            <v>108.1085835962986</v>
          </cell>
          <cell r="ED64">
            <v>34.901330131114626</v>
          </cell>
          <cell r="EF64">
            <v>114.24328407393602</v>
          </cell>
          <cell r="EG64">
            <v>38.21453321638468</v>
          </cell>
          <cell r="EH64">
            <v>20.973865065123665</v>
          </cell>
          <cell r="EI64">
            <v>-2.8780860379967743</v>
          </cell>
          <cell r="EJ64">
            <v>28.964745997560048</v>
          </cell>
          <cell r="EK64" t="str">
            <v>Y/Y ∆ bps</v>
          </cell>
          <cell r="EL64">
            <v>-7.3660308458828316</v>
          </cell>
          <cell r="EM64">
            <v>-9.3664518697944565</v>
          </cell>
          <cell r="EN64">
            <v>15.108744917044504</v>
          </cell>
          <cell r="EO64">
            <v>-9.2642324469754946</v>
          </cell>
          <cell r="EP64">
            <v>-3.4576296829119668</v>
          </cell>
          <cell r="ER64">
            <v>-139.97738886292632</v>
          </cell>
          <cell r="ES64">
            <v>79.908342056138622</v>
          </cell>
          <cell r="ET64">
            <v>-6.2033726308408088</v>
          </cell>
          <cell r="EU64">
            <v>5.9414249625339144</v>
          </cell>
          <cell r="EV64">
            <v>-11.916206169559906</v>
          </cell>
          <cell r="EX64">
            <v>97.103999740256185</v>
          </cell>
          <cell r="EY64">
            <v>-163.98169554058094</v>
          </cell>
          <cell r="EZ64">
            <v>-101.69861296223215</v>
          </cell>
          <cell r="FA64">
            <v>63.218337796286939</v>
          </cell>
          <cell r="FB64">
            <v>-18.329059676766569</v>
          </cell>
          <cell r="FD64">
            <v>-117.86151205476824</v>
          </cell>
          <cell r="FE64">
            <v>100.4420955299623</v>
          </cell>
          <cell r="FF64">
            <v>18.760138584778542</v>
          </cell>
          <cell r="FG64">
            <v>-222.58833186213522</v>
          </cell>
          <cell r="FH64">
            <v>-71.756543201453297</v>
          </cell>
          <cell r="FJ64">
            <v>-63.717056086883275</v>
          </cell>
          <cell r="FK64">
            <v>-46.127632932633219</v>
          </cell>
          <cell r="FL64">
            <v>32.76796449469488</v>
          </cell>
          <cell r="FM64">
            <v>217.73908399327803</v>
          </cell>
          <cell r="FN64">
            <v>54.339437729014065</v>
          </cell>
          <cell r="FP64">
            <v>140.55220178839866</v>
          </cell>
          <cell r="FQ64">
            <v>93.236708620035856</v>
          </cell>
          <cell r="FR64">
            <v>12.879189811180192</v>
          </cell>
          <cell r="FS64">
            <v>-24.029174116709239</v>
          </cell>
          <cell r="FT64">
            <v>46.420108599313778</v>
          </cell>
          <cell r="FV64">
            <v>-29.03919862267179</v>
          </cell>
          <cell r="FW64">
            <v>-16.257938490480406</v>
          </cell>
          <cell r="FX64">
            <v>-49.323610142729123</v>
          </cell>
          <cell r="FY64">
            <v>-33.075008945261388</v>
          </cell>
          <cell r="FZ64">
            <v>-31.346270638396014</v>
          </cell>
          <cell r="GB64">
            <v>-26.585211844263878</v>
          </cell>
          <cell r="GC64">
            <v>10.122801825093175</v>
          </cell>
          <cell r="GD64">
            <v>15.000000000000014</v>
          </cell>
          <cell r="GE64">
            <v>38.127955584439931</v>
          </cell>
          <cell r="GF64">
            <v>12.793329120628915</v>
          </cell>
        </row>
        <row r="65">
          <cell r="A65" t="str">
            <v>SG&amp;A Expense</v>
          </cell>
          <cell r="K65">
            <v>0.33637419260664891</v>
          </cell>
          <cell r="L65">
            <v>0.31608245843666333</v>
          </cell>
          <cell r="N65">
            <v>0.33618448063500755</v>
          </cell>
          <cell r="O65">
            <v>0.33182768152093306</v>
          </cell>
          <cell r="P65">
            <v>0.30742444152431014</v>
          </cell>
          <cell r="Q65">
            <v>0.30536934591604298</v>
          </cell>
          <cell r="R65">
            <v>0.29696175681577142</v>
          </cell>
          <cell r="S65">
            <v>0.29522779180189929</v>
          </cell>
          <cell r="T65">
            <v>0.30446626544187522</v>
          </cell>
          <cell r="U65">
            <v>0.31057735534005521</v>
          </cell>
          <cell r="V65">
            <v>0.31384635349078638</v>
          </cell>
          <cell r="W65">
            <v>0.31256338742393508</v>
          </cell>
          <cell r="X65">
            <v>0.311746315319339</v>
          </cell>
          <cell r="Y65">
            <v>0.32176492398961809</v>
          </cell>
          <cell r="Z65">
            <v>0.32508645916467144</v>
          </cell>
          <cell r="AA65">
            <v>0.33978788365739998</v>
          </cell>
          <cell r="AB65">
            <v>0.34161958568738232</v>
          </cell>
          <cell r="AC65">
            <v>0.33036035675718911</v>
          </cell>
          <cell r="AD65">
            <v>0.31361484567316794</v>
          </cell>
          <cell r="AE65">
            <v>0.30881156325452847</v>
          </cell>
          <cell r="AF65">
            <v>0.31031156325452852</v>
          </cell>
          <cell r="AG65">
            <v>0.30931156325452847</v>
          </cell>
          <cell r="AH65">
            <v>0.30831156325452846</v>
          </cell>
          <cell r="AI65">
            <v>0.30731156325452846</v>
          </cell>
          <cell r="AJ65">
            <v>0.30631156325452846</v>
          </cell>
          <cell r="AK65">
            <v>0.30531156325452846</v>
          </cell>
          <cell r="AL65">
            <v>0.30431156325452846</v>
          </cell>
          <cell r="AN65" t="str">
            <v>SG&amp;A Expense</v>
          </cell>
          <cell r="AO65">
            <v>0.38279428592985676</v>
          </cell>
          <cell r="AP65">
            <v>0.40410711991673287</v>
          </cell>
          <cell r="AQ65">
            <v>0.37126236401073487</v>
          </cell>
          <cell r="AR65">
            <v>0.32336892031185249</v>
          </cell>
          <cell r="AS65">
            <v>0.3657015145513508</v>
          </cell>
          <cell r="AU65">
            <v>0.37521706468919974</v>
          </cell>
          <cell r="AV65">
            <v>0.39432108323421872</v>
          </cell>
          <cell r="AW65">
            <v>0.36519669659038179</v>
          </cell>
          <cell r="AX65">
            <v>0.305193369130284</v>
          </cell>
          <cell r="AY65">
            <v>0.3553106224277201</v>
          </cell>
          <cell r="BA65">
            <v>0.35769529803540817</v>
          </cell>
          <cell r="BB65">
            <v>0.38275487712151696</v>
          </cell>
          <cell r="BC65">
            <v>0.34365233528884026</v>
          </cell>
          <cell r="BD65">
            <v>0.30324335842280281</v>
          </cell>
          <cell r="BE65">
            <v>0.34190736900208624</v>
          </cell>
          <cell r="BG65">
            <v>0.34938333944344918</v>
          </cell>
          <cell r="BH65">
            <v>0.35957752441609064</v>
          </cell>
          <cell r="BI65">
            <v>0.33788405060036941</v>
          </cell>
          <cell r="BJ65">
            <v>0.2756778999669442</v>
          </cell>
          <cell r="BK65">
            <v>0.32472183745109906</v>
          </cell>
          <cell r="BM65">
            <v>0.32781678621167598</v>
          </cell>
          <cell r="BN65">
            <v>0.3350610863980954</v>
          </cell>
          <cell r="BO65">
            <v>0.31739646493610429</v>
          </cell>
          <cell r="BP65">
            <v>0.25271490575617306</v>
          </cell>
          <cell r="BQ65">
            <v>0.30205046346554137</v>
          </cell>
          <cell r="BS65">
            <v>0.37287950987066032</v>
          </cell>
          <cell r="BT65">
            <v>0.36983212774669039</v>
          </cell>
          <cell r="BU65">
            <v>0.35274378094613129</v>
          </cell>
          <cell r="BV65">
            <v>0.27829695765719514</v>
          </cell>
          <cell r="BW65">
            <v>0.33637419260664891</v>
          </cell>
          <cell r="BY65">
            <v>0.35808462232003552</v>
          </cell>
          <cell r="BZ65">
            <v>0.35047161142106986</v>
          </cell>
          <cell r="CA65">
            <v>0.33217510097410313</v>
          </cell>
          <cell r="CB65">
            <v>0.40589440694310513</v>
          </cell>
          <cell r="CC65">
            <v>0.3403293539136622</v>
          </cell>
          <cell r="CD65">
            <v>0.25475148504158118</v>
          </cell>
          <cell r="CE65">
            <v>0.25352903189044429</v>
          </cell>
          <cell r="CF65">
            <v>0.31608245843666333</v>
          </cell>
          <cell r="CG65">
            <v>0.31297957813593175</v>
          </cell>
          <cell r="CH65">
            <v>0.31554074717338931</v>
          </cell>
          <cell r="CJ65">
            <v>0.34933953403823437</v>
          </cell>
          <cell r="CK65">
            <v>0.33919204147824084</v>
          </cell>
          <cell r="CL65">
            <v>0.32906076447959459</v>
          </cell>
          <cell r="CM65">
            <v>0.25497829376133824</v>
          </cell>
          <cell r="CN65">
            <v>0.31114796907013276</v>
          </cell>
          <cell r="CP65">
            <v>0.34442201748207951</v>
          </cell>
          <cell r="CQ65">
            <v>0.33082958930198975</v>
          </cell>
          <cell r="CR65">
            <v>0.31802141646798049</v>
          </cell>
          <cell r="CS65">
            <v>0.24483628438557536</v>
          </cell>
          <cell r="CT65">
            <v>0.30295286435450097</v>
          </cell>
          <cell r="CV65">
            <v>0.34375930890676198</v>
          </cell>
          <cell r="CW65">
            <v>0.33333333333333331</v>
          </cell>
          <cell r="CX65">
            <v>0.32299887260428412</v>
          </cell>
          <cell r="CY65">
            <v>0.24831148192292413</v>
          </cell>
          <cell r="CZ65">
            <v>0.30536934591604298</v>
          </cell>
          <cell r="DB65">
            <v>0.33361111111111114</v>
          </cell>
          <cell r="DC65">
            <v>0.34173739390913632</v>
          </cell>
          <cell r="DD65">
            <v>0.33381677544114091</v>
          </cell>
          <cell r="DE65">
            <v>0.27138791227189019</v>
          </cell>
          <cell r="DF65">
            <v>0.31451794987581849</v>
          </cell>
          <cell r="DH65">
            <v>0.32241813602015112</v>
          </cell>
          <cell r="DI65">
            <v>0.30008154389779834</v>
          </cell>
          <cell r="DJ65">
            <v>0.3220518244315177</v>
          </cell>
          <cell r="DK65">
            <v>0.25660242683797285</v>
          </cell>
          <cell r="DL65">
            <v>0.29522779180189929</v>
          </cell>
          <cell r="DN65">
            <v>0.32845894263217096</v>
          </cell>
          <cell r="DO65">
            <v>0.31708715596330272</v>
          </cell>
          <cell r="DP65">
            <v>0.34100719424460429</v>
          </cell>
          <cell r="DQ65">
            <v>0.25038971161340606</v>
          </cell>
          <cell r="DR65">
            <v>0.30446626544187522</v>
          </cell>
          <cell r="DT65">
            <v>0.33420214306400231</v>
          </cell>
          <cell r="DU65">
            <v>0.32558806655192196</v>
          </cell>
          <cell r="DV65">
            <v>0.3388904857717735</v>
          </cell>
          <cell r="DW65">
            <v>0.25931831771975283</v>
          </cell>
          <cell r="DX65">
            <v>0.31057735534005521</v>
          </cell>
          <cell r="DZ65">
            <v>0.34487997569127926</v>
          </cell>
          <cell r="EA65">
            <v>0.33051834595224228</v>
          </cell>
          <cell r="EB65">
            <v>0.34222604704532417</v>
          </cell>
          <cell r="EC65">
            <v>0.25766871165644173</v>
          </cell>
          <cell r="ED65">
            <v>0.31384635349078638</v>
          </cell>
          <cell r="EF65">
            <v>0.33661971830985915</v>
          </cell>
          <cell r="EG65">
            <v>0.33705668807595646</v>
          </cell>
          <cell r="EH65">
            <v>0.3424113475177305</v>
          </cell>
          <cell r="EI65">
            <v>0.25820312499999998</v>
          </cell>
          <cell r="EJ65">
            <v>0.31256338742393508</v>
          </cell>
          <cell r="EK65" t="str">
            <v>SG&amp;A Expense</v>
          </cell>
          <cell r="EL65">
            <v>0.33315023345234823</v>
          </cell>
          <cell r="EM65">
            <v>0.33287330941208942</v>
          </cell>
          <cell r="EN65">
            <v>0.35517551755175519</v>
          </cell>
          <cell r="EO65">
            <v>0.27040016717166443</v>
          </cell>
          <cell r="EP65">
            <v>0.311746315319339</v>
          </cell>
          <cell r="ER65">
            <v>0.36323777403035412</v>
          </cell>
          <cell r="ES65">
            <v>0.35312760633861551</v>
          </cell>
          <cell r="ET65">
            <v>0.35575942915392456</v>
          </cell>
          <cell r="EU65">
            <v>0.25253848673435964</v>
          </cell>
          <cell r="EV65">
            <v>0.32176492398961809</v>
          </cell>
          <cell r="EX65">
            <v>0.35686539435906095</v>
          </cell>
          <cell r="EY65">
            <v>0.34589273591310249</v>
          </cell>
          <cell r="EZ65">
            <v>0.35912631222485608</v>
          </cell>
          <cell r="FA65">
            <v>0.2655340935536421</v>
          </cell>
          <cell r="FB65">
            <v>0.32508645916467144</v>
          </cell>
          <cell r="FD65">
            <v>0.36192796241517311</v>
          </cell>
          <cell r="FE65">
            <v>0.35624344176285416</v>
          </cell>
          <cell r="FF65">
            <v>0.37957400327689789</v>
          </cell>
          <cell r="FG65">
            <v>0.28434585328963952</v>
          </cell>
          <cell r="FH65">
            <v>0.33978788365739998</v>
          </cell>
          <cell r="FJ65">
            <v>0.37537821482602118</v>
          </cell>
          <cell r="FK65">
            <v>0.35685903500473037</v>
          </cell>
          <cell r="FL65">
            <v>0.38180129990714951</v>
          </cell>
          <cell r="FM65">
            <v>0.28171853345092607</v>
          </cell>
          <cell r="FN65">
            <v>0.34161958568738232</v>
          </cell>
          <cell r="FP65">
            <v>0.35755292429135271</v>
          </cell>
          <cell r="FQ65">
            <v>0.3527180783817952</v>
          </cell>
          <cell r="FR65">
            <v>0.36795304997332384</v>
          </cell>
          <cell r="FS65">
            <v>0.27149594872415045</v>
          </cell>
          <cell r="FT65">
            <v>0.33036035675718911</v>
          </cell>
          <cell r="FV65">
            <v>0.33503141450161317</v>
          </cell>
          <cell r="FW65">
            <v>0.33271594544536115</v>
          </cell>
          <cell r="FX65">
            <v>0.34478045446779432</v>
          </cell>
          <cell r="FY65">
            <v>0.26524530032095367</v>
          </cell>
          <cell r="FZ65">
            <v>0.31361484567316794</v>
          </cell>
          <cell r="GB65">
            <v>0.32475988930489991</v>
          </cell>
          <cell r="GC65">
            <v>0.32837528604118993</v>
          </cell>
          <cell r="GD65">
            <v>0.34960818019307516</v>
          </cell>
          <cell r="GE65">
            <v>0.25913958182743124</v>
          </cell>
          <cell r="GF65">
            <v>0.30881156325452847</v>
          </cell>
        </row>
        <row r="66">
          <cell r="A66" t="str">
            <v>Y/Y ∆ bps</v>
          </cell>
          <cell r="O66">
            <v>-43.567991140744944</v>
          </cell>
          <cell r="P66">
            <v>-244.03239996622915</v>
          </cell>
          <cell r="Q66">
            <v>-20.550956082671657</v>
          </cell>
          <cell r="R66">
            <v>-84.075891002715622</v>
          </cell>
          <cell r="S66">
            <v>-17.339650138721296</v>
          </cell>
          <cell r="T66">
            <v>92.384736399759305</v>
          </cell>
          <cell r="U66">
            <v>61.110898981799892</v>
          </cell>
          <cell r="V66">
            <v>32.689981507311728</v>
          </cell>
          <cell r="W66">
            <v>-12.829660668512988</v>
          </cell>
          <cell r="X66">
            <v>-8.170721045960839</v>
          </cell>
          <cell r="Y66">
            <v>100.18608670279094</v>
          </cell>
          <cell r="Z66">
            <v>33.215351750533472</v>
          </cell>
          <cell r="AA66">
            <v>147.01424492728543</v>
          </cell>
          <cell r="AB66">
            <v>18.317020299823405</v>
          </cell>
          <cell r="AC66">
            <v>-112.5922893019321</v>
          </cell>
          <cell r="AD66">
            <v>-167.45511084021169</v>
          </cell>
          <cell r="AE66">
            <v>-48.032824186394762</v>
          </cell>
          <cell r="AF66">
            <v>15.000000000000568</v>
          </cell>
          <cell r="AG66">
            <v>-10.000000000000565</v>
          </cell>
          <cell r="AH66">
            <v>-10.000000000000009</v>
          </cell>
          <cell r="AI66">
            <v>-10.000000000000009</v>
          </cell>
          <cell r="AJ66">
            <v>-10.000000000000009</v>
          </cell>
          <cell r="AK66">
            <v>-10.000000000000009</v>
          </cell>
          <cell r="AL66">
            <v>-10.000000000000009</v>
          </cell>
          <cell r="AN66" t="str">
            <v>Y/Y ∆ bps</v>
          </cell>
          <cell r="DH66">
            <v>-111.92975090960012</v>
          </cell>
          <cell r="DI66">
            <v>-416.55850011337981</v>
          </cell>
          <cell r="DJ66">
            <v>-117.64951009623215</v>
          </cell>
          <cell r="DK66">
            <v>-147.85485433917333</v>
          </cell>
          <cell r="DL66">
            <v>-192.90158073919207</v>
          </cell>
          <cell r="DN66">
            <v>60.408066120198335</v>
          </cell>
          <cell r="DO66">
            <v>170.05612065504383</v>
          </cell>
          <cell r="DP66">
            <v>189.55369813086597</v>
          </cell>
          <cell r="DQ66">
            <v>-62.127152245667894</v>
          </cell>
          <cell r="DR66">
            <v>92.384736399759305</v>
          </cell>
          <cell r="DT66">
            <v>57.432004318313524</v>
          </cell>
          <cell r="DU66">
            <v>85.009105886192373</v>
          </cell>
          <cell r="DV66">
            <v>-21.167084728307973</v>
          </cell>
          <cell r="DW66">
            <v>89.286061063467699</v>
          </cell>
          <cell r="DX66">
            <v>61.110898981799892</v>
          </cell>
          <cell r="DZ66">
            <v>106.7783262727695</v>
          </cell>
          <cell r="EA66">
            <v>49.302794003203147</v>
          </cell>
          <cell r="EB66">
            <v>33.355612735506689</v>
          </cell>
          <cell r="EC66">
            <v>-16.496060633111043</v>
          </cell>
          <cell r="ED66">
            <v>32.689981507311728</v>
          </cell>
          <cell r="EF66">
            <v>-82.602573814201108</v>
          </cell>
          <cell r="EG66">
            <v>65.383421237141803</v>
          </cell>
          <cell r="EH66">
            <v>1.8530047240633563</v>
          </cell>
          <cell r="EI66">
            <v>5.3441334355824877</v>
          </cell>
          <cell r="EJ66">
            <v>-12.829660668512988</v>
          </cell>
          <cell r="EK66" t="str">
            <v>Y/Y ∆ bps</v>
          </cell>
          <cell r="EL66">
            <v>-34.694848575109184</v>
          </cell>
          <cell r="EM66">
            <v>-41.833786638670325</v>
          </cell>
          <cell r="EN66">
            <v>127.64170034024691</v>
          </cell>
          <cell r="EO66">
            <v>121.97042171664452</v>
          </cell>
          <cell r="EP66">
            <v>-8.170721045960839</v>
          </cell>
          <cell r="ER66">
            <v>300.87540578005888</v>
          </cell>
          <cell r="ES66">
            <v>202.54296926526084</v>
          </cell>
          <cell r="ET66">
            <v>5.8391160216936244</v>
          </cell>
          <cell r="EU66">
            <v>-178.61680437304796</v>
          </cell>
          <cell r="EV66">
            <v>100.18608670279094</v>
          </cell>
          <cell r="EX66">
            <v>-63.723796712931716</v>
          </cell>
          <cell r="EY66">
            <v>-72.348704255130187</v>
          </cell>
          <cell r="EZ66">
            <v>33.668830709315259</v>
          </cell>
          <cell r="FA66">
            <v>129.95606819282469</v>
          </cell>
          <cell r="FB66">
            <v>33.215351750533472</v>
          </cell>
          <cell r="FD66">
            <v>50.625680561121598</v>
          </cell>
          <cell r="FE66">
            <v>103.50705849751674</v>
          </cell>
          <cell r="FF66">
            <v>204.47691052041804</v>
          </cell>
          <cell r="FG66">
            <v>188.11759735997413</v>
          </cell>
          <cell r="FH66">
            <v>147.01424492728543</v>
          </cell>
          <cell r="FJ66">
            <v>134.50252410848074</v>
          </cell>
          <cell r="FK66">
            <v>6.1559324187621112</v>
          </cell>
          <cell r="FL66">
            <v>22.272966302516185</v>
          </cell>
          <cell r="FM66">
            <v>-26.273198387134489</v>
          </cell>
          <cell r="FN66">
            <v>18.317020299823405</v>
          </cell>
          <cell r="FP66">
            <v>-178.25290534668468</v>
          </cell>
          <cell r="FQ66">
            <v>-41.409566229351768</v>
          </cell>
          <cell r="FR66">
            <v>-138.48249933825662</v>
          </cell>
          <cell r="FS66">
            <v>-102.22584726775619</v>
          </cell>
          <cell r="FT66">
            <v>-112.5922893019321</v>
          </cell>
          <cell r="FV66">
            <v>-225.21509789739548</v>
          </cell>
          <cell r="FW66">
            <v>-200.02132936434046</v>
          </cell>
          <cell r="FX66">
            <v>-231.72595505529526</v>
          </cell>
          <cell r="FY66">
            <v>-62.506484031967787</v>
          </cell>
          <cell r="FZ66">
            <v>-167.45511084021169</v>
          </cell>
          <cell r="GB66">
            <v>-102.7152519671326</v>
          </cell>
          <cell r="GC66">
            <v>-43.406594041712211</v>
          </cell>
          <cell r="GD66">
            <v>48.277257252808404</v>
          </cell>
          <cell r="GE66">
            <v>-61.057184935224271</v>
          </cell>
          <cell r="GF66">
            <v>-48.032824186394762</v>
          </cell>
        </row>
        <row r="67">
          <cell r="A67" t="str">
            <v xml:space="preserve">     1H &amp; 2H</v>
          </cell>
          <cell r="AN67" t="str">
            <v xml:space="preserve">     1H &amp; 2H</v>
          </cell>
          <cell r="EK67" t="str">
            <v xml:space="preserve">     1H &amp; 2H</v>
          </cell>
          <cell r="EL67">
            <v>0.33301211453744495</v>
          </cell>
          <cell r="EN67">
            <v>0.3015337828903874</v>
          </cell>
          <cell r="ER67">
            <v>0.35815513626834383</v>
          </cell>
          <cell r="ET67">
            <v>0.2929212362911266</v>
          </cell>
        </row>
        <row r="68">
          <cell r="A68" t="str">
            <v>EBITDA</v>
          </cell>
          <cell r="K68">
            <v>9.0053716746341619E-2</v>
          </cell>
          <cell r="L68">
            <v>0.10498588587511638</v>
          </cell>
          <cell r="N68">
            <v>7.9375940878609552E-2</v>
          </cell>
          <cell r="O68">
            <v>9.6136991842513314E-2</v>
          </cell>
          <cell r="P68">
            <v>0.12687253613666227</v>
          </cell>
          <cell r="Q68">
            <v>0.13530751708428246</v>
          </cell>
          <cell r="R68">
            <v>0.14710836608646827</v>
          </cell>
          <cell r="S68">
            <v>0.14557038105541531</v>
          </cell>
          <cell r="T68">
            <v>0.13082039911308205</v>
          </cell>
          <cell r="U68">
            <v>0.13428809967246805</v>
          </cell>
          <cell r="V68">
            <v>0.13690630677394239</v>
          </cell>
          <cell r="W68">
            <v>0.14173427991886409</v>
          </cell>
          <cell r="X68">
            <v>0.13916927199642698</v>
          </cell>
          <cell r="Y68">
            <v>0.13118279569892474</v>
          </cell>
          <cell r="Z68">
            <v>0.12868164025386691</v>
          </cell>
          <cell r="AA68">
            <v>0.10858910493331191</v>
          </cell>
          <cell r="AB68">
            <v>0.11148775894538607</v>
          </cell>
          <cell r="AC68">
            <v>0.1227452705675319</v>
          </cell>
          <cell r="AD68">
            <v>0.13145237644385532</v>
          </cell>
          <cell r="AE68">
            <v>0.13464669259900278</v>
          </cell>
          <cell r="AF68">
            <v>0.13614669259900275</v>
          </cell>
          <cell r="AG68">
            <v>0.13864669259900278</v>
          </cell>
          <cell r="AH68">
            <v>0.13864669259900272</v>
          </cell>
          <cell r="AI68">
            <v>0.13764669259900278</v>
          </cell>
          <cell r="AJ68">
            <v>0.13864669259900272</v>
          </cell>
          <cell r="AK68">
            <v>0.13964669259900278</v>
          </cell>
          <cell r="AL68">
            <v>0.14064669259900264</v>
          </cell>
          <cell r="AN68" t="str">
            <v>EBITDA</v>
          </cell>
          <cell r="AO68">
            <v>0</v>
          </cell>
          <cell r="AP68">
            <v>0</v>
          </cell>
          <cell r="AQ68">
            <v>0</v>
          </cell>
          <cell r="AR68">
            <v>0</v>
          </cell>
          <cell r="AS68">
            <v>0</v>
          </cell>
          <cell r="AU68">
            <v>6.7943208911152742E-2</v>
          </cell>
          <cell r="AV68">
            <v>4.9845461419508498E-2</v>
          </cell>
          <cell r="AW68">
            <v>6.8649383434148642E-2</v>
          </cell>
          <cell r="AX68">
            <v>0.10669880895486035</v>
          </cell>
          <cell r="AY68">
            <v>7.6144172739787269E-2</v>
          </cell>
          <cell r="BA68">
            <v>9.0037958270080251E-2</v>
          </cell>
          <cell r="BB68">
            <v>6.1182587022341257E-2</v>
          </cell>
          <cell r="BC68">
            <v>9.4692741333676139E-2</v>
          </cell>
          <cell r="BD68">
            <v>0.11869075585821284</v>
          </cell>
          <cell r="BE68">
            <v>9.4429600472659303E-2</v>
          </cell>
          <cell r="BG68">
            <v>9.0051997819223198E-2</v>
          </cell>
          <cell r="BH68">
            <v>7.8816445315412209E-2</v>
          </cell>
          <cell r="BI68">
            <v>9.2409106278100797E-2</v>
          </cell>
          <cell r="BJ68">
            <v>0.13352806166785364</v>
          </cell>
          <cell r="BK68">
            <v>0.10241823463781106</v>
          </cell>
          <cell r="BM68">
            <v>0.10189758174586723</v>
          </cell>
          <cell r="BN68">
            <v>9.2698452477914833E-2</v>
          </cell>
          <cell r="BO68">
            <v>0.10149360783180084</v>
          </cell>
          <cell r="BP68">
            <v>0.15033732592895513</v>
          </cell>
          <cell r="BQ68">
            <v>0.11579794529390085</v>
          </cell>
          <cell r="BS68">
            <v>6.7008509189925111E-2</v>
          </cell>
          <cell r="BT68">
            <v>5.9258905418315827E-2</v>
          </cell>
          <cell r="BU68">
            <v>7.7574121577283314E-2</v>
          </cell>
          <cell r="BV68">
            <v>0.13465078904488742</v>
          </cell>
          <cell r="BW68">
            <v>9.0053716746341619E-2</v>
          </cell>
          <cell r="BY68">
            <v>7.0664182066568715E-2</v>
          </cell>
          <cell r="BZ68">
            <v>7.784640630127998E-2</v>
          </cell>
          <cell r="CA68">
            <v>9.2753683184901944E-2</v>
          </cell>
          <cell r="CB68">
            <v>0</v>
          </cell>
          <cell r="CC68">
            <v>7.4262165757960283E-2</v>
          </cell>
          <cell r="CD68">
            <v>0.15499146776109726</v>
          </cell>
          <cell r="CE68">
            <v>0.14389713004995339</v>
          </cell>
          <cell r="CF68">
            <v>0.10498588587511638</v>
          </cell>
          <cell r="CG68">
            <v>0.1039617221767631</v>
          </cell>
          <cell r="CH68">
            <v>9.8270069431402887E-2</v>
          </cell>
          <cell r="CJ68">
            <v>8.0683491380616187E-2</v>
          </cell>
          <cell r="CK68">
            <v>9.3772722234875303E-2</v>
          </cell>
          <cell r="CL68">
            <v>0.10165612493585756</v>
          </cell>
          <cell r="CM68">
            <v>0.15770796896418993</v>
          </cell>
          <cell r="CN68">
            <v>0.11394209245313917</v>
          </cell>
          <cell r="CP68">
            <v>8.6164904368935924E-2</v>
          </cell>
          <cell r="CQ68">
            <v>0.10346704108428201</v>
          </cell>
          <cell r="CR68">
            <v>0.11096806535343365</v>
          </cell>
          <cell r="CS68">
            <v>0.17081762552479032</v>
          </cell>
          <cell r="CT68">
            <v>0.12324697133935045</v>
          </cell>
          <cell r="CV68">
            <v>0.10008936550491511</v>
          </cell>
          <cell r="CW68">
            <v>0.1234676007005254</v>
          </cell>
          <cell r="CX68">
            <v>0.11668545659526494</v>
          </cell>
          <cell r="CY68">
            <v>0.1799761620977354</v>
          </cell>
          <cell r="CZ68">
            <v>0.13530751708428246</v>
          </cell>
          <cell r="DB68">
            <v>0.11055555555555556</v>
          </cell>
          <cell r="DC68">
            <v>0.12606090863704444</v>
          </cell>
          <cell r="DD68">
            <v>0.11916847957457094</v>
          </cell>
          <cell r="DE68">
            <v>0.17461911937050059</v>
          </cell>
          <cell r="DF68">
            <v>0.13767216075863625</v>
          </cell>
          <cell r="DH68">
            <v>0.12426532325776658</v>
          </cell>
          <cell r="DI68">
            <v>0.15656428377276435</v>
          </cell>
          <cell r="DJ68">
            <v>0.11792702273929138</v>
          </cell>
          <cell r="DK68">
            <v>0.17790863668807994</v>
          </cell>
          <cell r="DL68">
            <v>0.14557038105541531</v>
          </cell>
          <cell r="DN68">
            <v>0.11220472440944881</v>
          </cell>
          <cell r="DO68">
            <v>0.12098623853211009</v>
          </cell>
          <cell r="DP68">
            <v>9.4964028776978418E-2</v>
          </cell>
          <cell r="DQ68">
            <v>0.17809820732657833</v>
          </cell>
          <cell r="DR68">
            <v>0.13082039911308205</v>
          </cell>
          <cell r="DT68">
            <v>0.11178685201274255</v>
          </cell>
          <cell r="DU68">
            <v>0.13425129087779691</v>
          </cell>
          <cell r="DV68">
            <v>0.10204081632653061</v>
          </cell>
          <cell r="DW68">
            <v>0.17580227227426748</v>
          </cell>
          <cell r="DX68">
            <v>0.13428809967246805</v>
          </cell>
          <cell r="DZ68">
            <v>0.10148890914615619</v>
          </cell>
          <cell r="EA68">
            <v>0.13016889924286545</v>
          </cell>
          <cell r="EB68">
            <v>0.10843373493975904</v>
          </cell>
          <cell r="EC68">
            <v>0.18820502671680189</v>
          </cell>
          <cell r="ED68">
            <v>0.13690630677394239</v>
          </cell>
          <cell r="EF68">
            <v>0.11633802816901409</v>
          </cell>
          <cell r="EG68">
            <v>0.12678022898631666</v>
          </cell>
          <cell r="EH68">
            <v>0.11035460992907802</v>
          </cell>
          <cell r="EI68">
            <v>0.19140625</v>
          </cell>
          <cell r="EJ68">
            <v>0.14173427991886409</v>
          </cell>
          <cell r="EK68" t="str">
            <v>EBITDA</v>
          </cell>
          <cell r="EL68">
            <v>0.11782477341389729</v>
          </cell>
          <cell r="EM68">
            <v>0.12945073143803479</v>
          </cell>
          <cell r="EN68">
            <v>0.10171017101710171</v>
          </cell>
          <cell r="EO68">
            <v>0.17270922578622924</v>
          </cell>
          <cell r="EP68">
            <v>0.13916927199642698</v>
          </cell>
          <cell r="ER68">
            <v>7.8414839797639121E-2</v>
          </cell>
          <cell r="ES68">
            <v>0.12043369474562135</v>
          </cell>
          <cell r="ET68">
            <v>0.10091743119266056</v>
          </cell>
          <cell r="EU68">
            <v>0.19183316955999563</v>
          </cell>
          <cell r="EV68">
            <v>0.13118279569892474</v>
          </cell>
          <cell r="EX68">
            <v>9.6774193548387094E-2</v>
          </cell>
          <cell r="EY68">
            <v>0.11439239646978955</v>
          </cell>
          <cell r="EZ68">
            <v>8.8215374195733151E-2</v>
          </cell>
          <cell r="FA68">
            <v>0.18827088666511518</v>
          </cell>
          <cell r="FB68">
            <v>0.12868164025386691</v>
          </cell>
          <cell r="FD68">
            <v>7.9171741778319121E-2</v>
          </cell>
          <cell r="FE68">
            <v>0.1136761105281567</v>
          </cell>
          <cell r="FF68">
            <v>7.3548152193701075E-2</v>
          </cell>
          <cell r="FG68">
            <v>0.15049155533148476</v>
          </cell>
          <cell r="FH68">
            <v>0.10858910493331191</v>
          </cell>
          <cell r="FJ68">
            <v>6.1838124054462935E-2</v>
          </cell>
          <cell r="FK68">
            <v>0.11031220435193945</v>
          </cell>
          <cell r="FL68">
            <v>7.2237697307335189E-2</v>
          </cell>
          <cell r="FM68">
            <v>0.17197933728108858</v>
          </cell>
          <cell r="FN68">
            <v>0.11148775894538607</v>
          </cell>
          <cell r="FP68">
            <v>8.7908144958737E-2</v>
          </cell>
          <cell r="FQ68">
            <v>0.11883691529709228</v>
          </cell>
          <cell r="FR68">
            <v>8.3051751733949852E-2</v>
          </cell>
          <cell r="FS68">
            <v>0.17583746523158786</v>
          </cell>
          <cell r="FT68">
            <v>0.1227452705675319</v>
          </cell>
          <cell r="FV68">
            <v>0.10154525386313466</v>
          </cell>
          <cell r="FW68">
            <v>0.13032497053375988</v>
          </cell>
          <cell r="FX68">
            <v>9.7898513582778068E-2</v>
          </cell>
          <cell r="FY68">
            <v>0.17491976157725814</v>
          </cell>
          <cell r="FZ68">
            <v>0.13145237644385532</v>
          </cell>
          <cell r="GB68">
            <v>0.10532313202018558</v>
          </cell>
          <cell r="GC68">
            <v>0.13255966001961425</v>
          </cell>
          <cell r="GD68">
            <v>9.1769984292360302E-2</v>
          </cell>
          <cell r="GE68">
            <v>0.18302341955100002</v>
          </cell>
          <cell r="GF68">
            <v>0.13464669259900278</v>
          </cell>
        </row>
        <row r="69">
          <cell r="A69" t="str">
            <v>Operating Income</v>
          </cell>
          <cell r="K69">
            <v>4.9834032770134616E-2</v>
          </cell>
          <cell r="L69">
            <v>7.1056478359746725E-2</v>
          </cell>
          <cell r="N69">
            <v>4.5367455864239771E-2</v>
          </cell>
          <cell r="O69">
            <v>6.0203600080900692E-2</v>
          </cell>
          <cell r="P69">
            <v>8.8107752956636004E-2</v>
          </cell>
          <cell r="Q69">
            <v>9.4695737064757562E-2</v>
          </cell>
          <cell r="R69">
            <v>0.10562106182544138</v>
          </cell>
          <cell r="S69">
            <v>0.10644308210121409</v>
          </cell>
          <cell r="T69">
            <v>8.7171365220145708E-2</v>
          </cell>
          <cell r="U69">
            <v>9.0617172949714206E-2</v>
          </cell>
          <cell r="V69">
            <v>9.0838307812094468E-2</v>
          </cell>
          <cell r="W69">
            <v>9.5017748478701827E-2</v>
          </cell>
          <cell r="X69">
            <v>9.5489057615006701E-2</v>
          </cell>
          <cell r="Y69">
            <v>8.4278828327771602E-2</v>
          </cell>
          <cell r="Z69">
            <v>7.9124387185041611E-2</v>
          </cell>
          <cell r="AA69">
            <v>5.7247308372167766E-2</v>
          </cell>
          <cell r="AB69">
            <v>6.0849550115086838E-2</v>
          </cell>
          <cell r="AC69">
            <v>7.6750789905211378E-2</v>
          </cell>
          <cell r="AD69">
            <v>9.0361673925392919E-2</v>
          </cell>
          <cell r="AE69">
            <v>9.644428925609537E-2</v>
          </cell>
          <cell r="AF69">
            <v>9.7944289256095343E-2</v>
          </cell>
          <cell r="AG69">
            <v>0.10044428925609535</v>
          </cell>
          <cell r="AH69">
            <v>0.10044428925609533</v>
          </cell>
          <cell r="AI69">
            <v>9.9444289256095372E-2</v>
          </cell>
          <cell r="AJ69">
            <v>0.10044428925609532</v>
          </cell>
          <cell r="AK69">
            <v>0.10144428925609536</v>
          </cell>
          <cell r="AL69">
            <v>0.10244428925609525</v>
          </cell>
          <cell r="AN69" t="str">
            <v>Operating Income</v>
          </cell>
          <cell r="AO69">
            <v>1.6629151314714041E-2</v>
          </cell>
          <cell r="AP69">
            <v>-2.6258248715992489E-2</v>
          </cell>
          <cell r="AQ69">
            <v>2.3944635033584606E-2</v>
          </cell>
          <cell r="AR69">
            <v>4.7141382083007131E-2</v>
          </cell>
          <cell r="AS69">
            <v>1.8926536229503767E-2</v>
          </cell>
          <cell r="AU69">
            <v>2.6057176423778111E-2</v>
          </cell>
          <cell r="AV69">
            <v>5.6888115137426025E-3</v>
          </cell>
          <cell r="AW69">
            <v>3.1170325255822338E-2</v>
          </cell>
          <cell r="AX69">
            <v>7.6689812862537954E-2</v>
          </cell>
          <cell r="AY69">
            <v>3.8511188817947503E-2</v>
          </cell>
          <cell r="BA69">
            <v>5.3864986645255068E-2</v>
          </cell>
          <cell r="BB69">
            <v>2.1736713669665054E-2</v>
          </cell>
          <cell r="BC69">
            <v>6.1917365627611451E-2</v>
          </cell>
          <cell r="BD69">
            <v>9.3424602062388007E-2</v>
          </cell>
          <cell r="BE69">
            <v>6.1926222266541493E-2</v>
          </cell>
          <cell r="BG69">
            <v>5.4570356149532914E-2</v>
          </cell>
          <cell r="BH69">
            <v>4.1293680040045563E-2</v>
          </cell>
          <cell r="BI69">
            <v>6.0012909968339807E-2</v>
          </cell>
          <cell r="BJ69">
            <v>0.10838774480904291</v>
          </cell>
          <cell r="BK69">
            <v>7.0634157218449081E-2</v>
          </cell>
          <cell r="BM69">
            <v>6.5678497802714245E-2</v>
          </cell>
          <cell r="BN69">
            <v>5.424096234571759E-2</v>
          </cell>
          <cell r="BO69">
            <v>6.8868716236309635E-2</v>
          </cell>
          <cell r="BP69">
            <v>0.12375861094812787</v>
          </cell>
          <cell r="BQ69">
            <v>8.3179489215472066E-2</v>
          </cell>
          <cell r="BS69">
            <v>2.0592579986385289E-2</v>
          </cell>
          <cell r="BT69">
            <v>1.0944452026750382E-2</v>
          </cell>
          <cell r="BU69">
            <v>3.7008590347789791E-2</v>
          </cell>
          <cell r="BV69">
            <v>0.10404879355371534</v>
          </cell>
          <cell r="BW69">
            <v>4.9834032770134616E-2</v>
          </cell>
          <cell r="BY69">
            <v>3.2090631678785023E-2</v>
          </cell>
          <cell r="BZ69">
            <v>3.8135214965539906E-2</v>
          </cell>
          <cell r="CA69">
            <v>5.5975831011468857E-2</v>
          </cell>
          <cell r="CB69">
            <v>-0.10252169720347212</v>
          </cell>
          <cell r="CC69">
            <v>3.8446588369501468E-2</v>
          </cell>
          <cell r="CD69">
            <v>0.12873290852143857</v>
          </cell>
          <cell r="CE69">
            <v>0.11884822123876988</v>
          </cell>
          <cell r="CF69">
            <v>7.1056478359746725E-2</v>
          </cell>
          <cell r="CG69">
            <v>7.0004484251611696E-2</v>
          </cell>
          <cell r="CH69">
            <v>6.524885245670671E-2</v>
          </cell>
          <cell r="CJ69">
            <v>4.0290544429969356E-2</v>
          </cell>
          <cell r="CK69">
            <v>5.3184797157810007E-2</v>
          </cell>
          <cell r="CL69">
            <v>6.4174702727624475E-2</v>
          </cell>
          <cell r="CM69">
            <v>0.13159811859403786</v>
          </cell>
          <cell r="CN69">
            <v>7.8919319505097951E-2</v>
          </cell>
          <cell r="CP69">
            <v>4.3430932175175192E-2</v>
          </cell>
          <cell r="CQ69">
            <v>6.1358381779115137E-2</v>
          </cell>
          <cell r="CR69">
            <v>7.1527298042109028E-2</v>
          </cell>
          <cell r="CS69">
            <v>0.14088688875907193</v>
          </cell>
          <cell r="CT69">
            <v>8.5573034287292751E-2</v>
          </cell>
          <cell r="CV69">
            <v>5.391718796544534E-2</v>
          </cell>
          <cell r="CW69">
            <v>7.7933450087565678E-2</v>
          </cell>
          <cell r="CX69">
            <v>7.243517474633597E-2</v>
          </cell>
          <cell r="CY69">
            <v>0.14898688915375446</v>
          </cell>
          <cell r="CZ69">
            <v>9.4695737064757562E-2</v>
          </cell>
          <cell r="DB69">
            <v>6.25E-2</v>
          </cell>
          <cell r="DC69">
            <v>7.9380928607089368E-2</v>
          </cell>
          <cell r="DD69">
            <v>7.29997582789461E-2</v>
          </cell>
          <cell r="DE69">
            <v>0.14331156872593337</v>
          </cell>
          <cell r="DF69">
            <v>9.6014901783698356E-2</v>
          </cell>
          <cell r="DH69">
            <v>7.5286873775538762E-2</v>
          </cell>
          <cell r="DI69">
            <v>0.10926882304974178</v>
          </cell>
          <cell r="DJ69">
            <v>7.112638815441566E-2</v>
          </cell>
          <cell r="DK69">
            <v>0.14828693790149894</v>
          </cell>
          <cell r="DL69">
            <v>0.10644308210121409</v>
          </cell>
          <cell r="DN69">
            <v>6.4679415073115865E-2</v>
          </cell>
          <cell r="DO69">
            <v>7.2821100917431186E-2</v>
          </cell>
          <cell r="DP69">
            <v>4.4892086330935249E-2</v>
          </cell>
          <cell r="DQ69">
            <v>0.14341387373343725</v>
          </cell>
          <cell r="DR69">
            <v>8.7171365220145708E-2</v>
          </cell>
          <cell r="DT69">
            <v>6.4002316825948452E-2</v>
          </cell>
          <cell r="DU69">
            <v>8.6058519793459548E-2</v>
          </cell>
          <cell r="DV69">
            <v>5.4038516815176775E-2</v>
          </cell>
          <cell r="DW69">
            <v>0.13992425752441698</v>
          </cell>
          <cell r="DX69">
            <v>9.0617172949714206E-2</v>
          </cell>
          <cell r="DZ69">
            <v>4.6794287450622911E-2</v>
          </cell>
          <cell r="EA69">
            <v>7.9790331974373907E-2</v>
          </cell>
          <cell r="EB69">
            <v>5.7946069994262765E-2</v>
          </cell>
          <cell r="EC69">
            <v>0.152384721947358</v>
          </cell>
          <cell r="ED69">
            <v>9.0838307812094468E-2</v>
          </cell>
          <cell r="EF69">
            <v>6.6478873239436617E-2</v>
          </cell>
          <cell r="EG69">
            <v>7.7073443172298237E-2</v>
          </cell>
          <cell r="EH69">
            <v>5.9858156028368796E-2</v>
          </cell>
          <cell r="EI69">
            <v>0.15156249999999999</v>
          </cell>
          <cell r="EJ69">
            <v>9.5017748478701827E-2</v>
          </cell>
          <cell r="EK69" t="str">
            <v>Operating Income</v>
          </cell>
          <cell r="EL69">
            <v>6.9211755012359238E-2</v>
          </cell>
          <cell r="EM69">
            <v>8.0320176649185754E-2</v>
          </cell>
          <cell r="EN69">
            <v>4.8604860486048604E-2</v>
          </cell>
          <cell r="EO69">
            <v>0.13843903458363807</v>
          </cell>
          <cell r="EP69">
            <v>9.5489057615006701E-2</v>
          </cell>
          <cell r="ER69">
            <v>2.5126475548060707E-2</v>
          </cell>
          <cell r="ES69">
            <v>6.805671392827356E-2</v>
          </cell>
          <cell r="ET69">
            <v>4.7400611620795105E-2</v>
          </cell>
          <cell r="EU69">
            <v>0.1568948575171962</v>
          </cell>
          <cell r="EV69">
            <v>8.4278828327771602E-2</v>
          </cell>
          <cell r="EX69">
            <v>4.12092551933795E-2</v>
          </cell>
          <cell r="EY69">
            <v>5.8893414799728448E-2</v>
          </cell>
          <cell r="EZ69">
            <v>3.3863867253640365E-2</v>
          </cell>
          <cell r="FA69">
            <v>0.15022108447754248</v>
          </cell>
          <cell r="FB69">
            <v>7.9124387185041611E-2</v>
          </cell>
          <cell r="FD69">
            <v>2.4360535931790498E-2</v>
          </cell>
          <cell r="FE69">
            <v>5.8586918502973068E-2</v>
          </cell>
          <cell r="FF69">
            <v>1.5292190060076462E-2</v>
          </cell>
          <cell r="FG69">
            <v>0.10915049155533149</v>
          </cell>
          <cell r="FH69">
            <v>5.7247308372167766E-2</v>
          </cell>
          <cell r="FJ69">
            <v>4.5385779122541605E-3</v>
          </cell>
          <cell r="FK69">
            <v>5.3358561967833493E-2</v>
          </cell>
          <cell r="FL69">
            <v>1.6341689879294335E-2</v>
          </cell>
          <cell r="FM69">
            <v>0.1335517197933728</v>
          </cell>
          <cell r="FN69">
            <v>6.0849550115086838E-2</v>
          </cell>
          <cell r="FP69">
            <v>3.6419088625762472E-2</v>
          </cell>
          <cell r="FQ69">
            <v>6.6823189452772255E-2</v>
          </cell>
          <cell r="FR69">
            <v>3.1477858794237951E-2</v>
          </cell>
          <cell r="FS69">
            <v>0.14137138710847744</v>
          </cell>
          <cell r="FT69">
            <v>7.6750789905211378E-2</v>
          </cell>
          <cell r="FV69">
            <v>5.6036678553234846E-2</v>
          </cell>
          <cell r="FW69">
            <v>8.5199528540158276E-2</v>
          </cell>
          <cell r="FX69">
            <v>4.9718093285494619E-2</v>
          </cell>
          <cell r="FY69">
            <v>0.1443145346171481</v>
          </cell>
          <cell r="FZ69">
            <v>9.0361673925392919E-2</v>
          </cell>
          <cell r="GB69">
            <v>6.3649682565521726E-2</v>
          </cell>
          <cell r="GC69">
            <v>9.0552468126838842E-2</v>
          </cell>
          <cell r="GD69">
            <v>4.6390367560213731E-2</v>
          </cell>
          <cell r="GE69">
            <v>0.15423304866911453</v>
          </cell>
          <cell r="GF69">
            <v>9.644428925609537E-2</v>
          </cell>
        </row>
        <row r="70">
          <cell r="A70" t="str">
            <v>Y/Y ∆ bps</v>
          </cell>
          <cell r="O70">
            <v>148.36144216660921</v>
          </cell>
          <cell r="P70">
            <v>279.04152875735315</v>
          </cell>
          <cell r="Q70">
            <v>65.879841081215588</v>
          </cell>
          <cell r="R70">
            <v>109.25324760683822</v>
          </cell>
          <cell r="S70">
            <v>8.22020275772703</v>
          </cell>
          <cell r="T70">
            <v>-192.7171688106838</v>
          </cell>
          <cell r="U70">
            <v>34.45807729568498</v>
          </cell>
          <cell r="V70">
            <v>2.2113486238026225</v>
          </cell>
          <cell r="W70">
            <v>41.794406666073591</v>
          </cell>
          <cell r="X70">
            <v>4.7130913630487328</v>
          </cell>
          <cell r="Y70">
            <v>-112.10229287235099</v>
          </cell>
          <cell r="Z70">
            <v>-51.544411427299899</v>
          </cell>
          <cell r="AA70">
            <v>-218.77078812873845</v>
          </cell>
          <cell r="AB70">
            <v>36.022417429190725</v>
          </cell>
          <cell r="AC70">
            <v>159.01239790124541</v>
          </cell>
          <cell r="AD70">
            <v>136.10884020181541</v>
          </cell>
          <cell r="AE70">
            <v>60.826153307024512</v>
          </cell>
          <cell r="AF70">
            <v>14.999999999999735</v>
          </cell>
          <cell r="AG70">
            <v>25.000000000000021</v>
          </cell>
          <cell r="AH70">
            <v>-1.3877787807814457E-13</v>
          </cell>
          <cell r="AI70">
            <v>-9.9999999999995932</v>
          </cell>
          <cell r="AJ70">
            <v>9.9999999999994529</v>
          </cell>
          <cell r="AK70">
            <v>10.000000000000425</v>
          </cell>
          <cell r="AL70">
            <v>9.9999999999988987</v>
          </cell>
          <cell r="AN70" t="str">
            <v>Y/Y ∆ bps</v>
          </cell>
          <cell r="DH70">
            <v>127.86873775538763</v>
          </cell>
          <cell r="DI70">
            <v>298.87894442652413</v>
          </cell>
          <cell r="DJ70">
            <v>-18.733701245304406</v>
          </cell>
          <cell r="DK70">
            <v>49.753691755655694</v>
          </cell>
          <cell r="DL70">
            <v>104.28180317515731</v>
          </cell>
          <cell r="DN70">
            <v>-106.07458702422898</v>
          </cell>
          <cell r="DO70">
            <v>-364.47722132310594</v>
          </cell>
          <cell r="DP70">
            <v>-262.34301823480411</v>
          </cell>
          <cell r="DQ70">
            <v>-48.730641680616863</v>
          </cell>
          <cell r="DR70">
            <v>-192.7171688106838</v>
          </cell>
          <cell r="DT70">
            <v>-6.7709824716741256</v>
          </cell>
          <cell r="DU70">
            <v>132.37418876028363</v>
          </cell>
          <cell r="DV70">
            <v>91.46430484241526</v>
          </cell>
          <cell r="DW70">
            <v>-34.896162090202743</v>
          </cell>
          <cell r="DX70">
            <v>34.45807729568498</v>
          </cell>
          <cell r="DZ70">
            <v>-172.0802937532554</v>
          </cell>
          <cell r="EA70">
            <v>-62.681878190856409</v>
          </cell>
          <cell r="EB70">
            <v>39.075531790859905</v>
          </cell>
          <cell r="EC70">
            <v>124.6046442294102</v>
          </cell>
          <cell r="ED70">
            <v>2.2113486238026225</v>
          </cell>
          <cell r="EF70">
            <v>196.84585788813706</v>
          </cell>
          <cell r="EG70">
            <v>-27.168888020756704</v>
          </cell>
          <cell r="EH70">
            <v>19.120860341060308</v>
          </cell>
          <cell r="EI70">
            <v>-8.2222194735800951</v>
          </cell>
          <cell r="EJ70">
            <v>41.794406666073591</v>
          </cell>
          <cell r="EK70" t="str">
            <v>Y/Y ∆ bps</v>
          </cell>
          <cell r="EL70">
            <v>27.328817729226213</v>
          </cell>
          <cell r="EM70">
            <v>32.467334768875169</v>
          </cell>
          <cell r="EN70">
            <v>-112.53295542320193</v>
          </cell>
          <cell r="EO70">
            <v>-131.23465416361918</v>
          </cell>
          <cell r="EP70">
            <v>4.7130913630487328</v>
          </cell>
          <cell r="ER70">
            <v>-440.85279464298537</v>
          </cell>
          <cell r="ES70">
            <v>-122.63462720912194</v>
          </cell>
          <cell r="ET70">
            <v>-12.042488652534988</v>
          </cell>
          <cell r="EU70">
            <v>184.5582293355813</v>
          </cell>
          <cell r="EV70">
            <v>-112.10229287235099</v>
          </cell>
          <cell r="EX70">
            <v>160.82779645318794</v>
          </cell>
          <cell r="EY70">
            <v>-91.632991285451112</v>
          </cell>
          <cell r="EZ70">
            <v>-135.36744367154739</v>
          </cell>
          <cell r="FA70">
            <v>-66.737730396537188</v>
          </cell>
          <cell r="FB70">
            <v>-51.544411427299899</v>
          </cell>
          <cell r="FD70">
            <v>-168.48719261589002</v>
          </cell>
          <cell r="FE70">
            <v>-3.0649629675538055</v>
          </cell>
          <cell r="FF70">
            <v>-185.71677193563903</v>
          </cell>
          <cell r="FG70">
            <v>-410.70592922210989</v>
          </cell>
          <cell r="FH70">
            <v>-218.77078812873845</v>
          </cell>
          <cell r="FJ70">
            <v>-198.21958019536339</v>
          </cell>
          <cell r="FK70">
            <v>-52.283565351395751</v>
          </cell>
          <cell r="FL70">
            <v>10.494998192178731</v>
          </cell>
          <cell r="FM70">
            <v>244.01228238041307</v>
          </cell>
          <cell r="FN70">
            <v>36.022417429190725</v>
          </cell>
          <cell r="FP70">
            <v>318.80510713508306</v>
          </cell>
          <cell r="FQ70">
            <v>134.64627484938762</v>
          </cell>
          <cell r="FR70">
            <v>151.36168914943616</v>
          </cell>
          <cell r="FS70">
            <v>78.196673151046397</v>
          </cell>
          <cell r="FT70">
            <v>159.01239790124541</v>
          </cell>
          <cell r="FV70">
            <v>196.17589927472375</v>
          </cell>
          <cell r="FW70">
            <v>183.7633908738602</v>
          </cell>
          <cell r="FX70">
            <v>182.40234491256669</v>
          </cell>
          <cell r="FY70">
            <v>29.431475086706683</v>
          </cell>
          <cell r="FZ70">
            <v>136.10884020181541</v>
          </cell>
          <cell r="GB70">
            <v>76.130040122868792</v>
          </cell>
          <cell r="GC70">
            <v>53.529395866805665</v>
          </cell>
          <cell r="GD70">
            <v>-33.277257252808873</v>
          </cell>
          <cell r="GE70">
            <v>99.185140519664202</v>
          </cell>
          <cell r="GF70">
            <v>60.826153307024512</v>
          </cell>
        </row>
        <row r="71">
          <cell r="A71" t="str">
            <v>Interest Expense, net</v>
          </cell>
          <cell r="K71">
            <v>3.2697149947086085E-2</v>
          </cell>
          <cell r="L71">
            <v>2.9523074454598411E-2</v>
          </cell>
          <cell r="N71">
            <v>3.1545093745723278E-2</v>
          </cell>
          <cell r="O71">
            <v>3.0472594889772803E-2</v>
          </cell>
          <cell r="P71">
            <v>2.5164257555847568E-2</v>
          </cell>
          <cell r="Q71">
            <v>1.9004230393752035E-2</v>
          </cell>
          <cell r="R71">
            <v>1.9152785576143239E-2</v>
          </cell>
          <cell r="S71">
            <v>1.9293184276956366E-2</v>
          </cell>
          <cell r="T71">
            <v>2.0525815647766867E-2</v>
          </cell>
          <cell r="U71">
            <v>1.8945475563547622E-2</v>
          </cell>
          <cell r="V71">
            <v>1.6675317934077342E-2</v>
          </cell>
          <cell r="W71">
            <v>1.4262170385395538E-2</v>
          </cell>
          <cell r="X71">
            <v>1.7731129968736044E-2</v>
          </cell>
          <cell r="Y71">
            <v>1.7093066370040787E-2</v>
          </cell>
          <cell r="Z71">
            <v>2.0636187435868203E-2</v>
          </cell>
          <cell r="AA71">
            <v>2.2497187851518559E-2</v>
          </cell>
          <cell r="AB71">
            <v>2.3268466206319314E-2</v>
          </cell>
          <cell r="AC71">
            <v>2.2957245130584329E-2</v>
          </cell>
          <cell r="AD71">
            <v>1.677712554440447E-2</v>
          </cell>
          <cell r="AE71">
            <v>1.5811449048425012E-2</v>
          </cell>
          <cell r="AF71">
            <v>1.5432439405946033E-2</v>
          </cell>
          <cell r="AG71">
            <v>1.1551362026190394E-2</v>
          </cell>
          <cell r="AH71">
            <v>1.1247354128091228E-2</v>
          </cell>
          <cell r="AI71">
            <v>8.8517788743727871E-3</v>
          </cell>
          <cell r="AJ71">
            <v>7.3060870294808875E-3</v>
          </cell>
          <cell r="AK71">
            <v>6.4151370536479606E-3</v>
          </cell>
          <cell r="AL71">
            <v>6.1009977063129633E-3</v>
          </cell>
          <cell r="AN71" t="str">
            <v>Interest Expense, net</v>
          </cell>
          <cell r="AO71">
            <v>9.4412937137683436E-2</v>
          </cell>
          <cell r="AP71">
            <v>8.9822192159361131E-2</v>
          </cell>
          <cell r="AQ71">
            <v>7.6101932466374367E-2</v>
          </cell>
          <cell r="AR71">
            <v>5.9439345690775844E-2</v>
          </cell>
          <cell r="AS71">
            <v>7.7841406231294583E-2</v>
          </cell>
          <cell r="AU71">
            <v>7.2724750991421602E-2</v>
          </cell>
          <cell r="AV71">
            <v>7.3799442818719529E-2</v>
          </cell>
          <cell r="AW71">
            <v>6.4135371212258638E-2</v>
          </cell>
          <cell r="AX71">
            <v>4.7384105029377857E-2</v>
          </cell>
          <cell r="AY71">
            <v>6.303759937325483E-2</v>
          </cell>
          <cell r="BA71">
            <v>3.6447192449574548E-2</v>
          </cell>
          <cell r="BB71">
            <v>3.4143281828587738E-2</v>
          </cell>
          <cell r="BC71">
            <v>2.4557775026342047E-2</v>
          </cell>
          <cell r="BD71">
            <v>2.0725558102914272E-2</v>
          </cell>
          <cell r="BE71">
            <v>2.7945713106931256E-2</v>
          </cell>
          <cell r="BG71">
            <v>2.7210661911047193E-2</v>
          </cell>
          <cell r="BH71">
            <v>2.6805113267229716E-2</v>
          </cell>
          <cell r="BI71">
            <v>2.2350452547483253E-2</v>
          </cell>
          <cell r="BJ71">
            <v>1.729722637786555E-2</v>
          </cell>
          <cell r="BK71">
            <v>2.2704354963602815E-2</v>
          </cell>
          <cell r="BM71">
            <v>2.7417845940236968E-2</v>
          </cell>
          <cell r="BN71">
            <v>3.0510619635361193E-2</v>
          </cell>
          <cell r="BO71">
            <v>2.6461339487889576E-2</v>
          </cell>
          <cell r="BP71">
            <v>2.1503910610110491E-2</v>
          </cell>
          <cell r="BQ71">
            <v>2.587720988333796E-2</v>
          </cell>
          <cell r="BS71">
            <v>3.5071477195371001E-2</v>
          </cell>
          <cell r="BT71">
            <v>3.7450525453801002E-2</v>
          </cell>
          <cell r="BU71">
            <v>3.4075046232774568E-2</v>
          </cell>
          <cell r="BV71">
            <v>2.6999397334880916E-2</v>
          </cell>
          <cell r="BW71">
            <v>3.2697149947086085E-2</v>
          </cell>
          <cell r="BY71">
            <v>3.2647859475516454E-2</v>
          </cell>
          <cell r="BZ71">
            <v>3.3874630784378072E-2</v>
          </cell>
          <cell r="CA71">
            <v>3.1383267217194519E-2</v>
          </cell>
          <cell r="CB71">
            <v>6.1890067502410759E-2</v>
          </cell>
          <cell r="CC71">
            <v>3.4758851116312182E-2</v>
          </cell>
          <cell r="CD71">
            <v>2.3302732476509342E-2</v>
          </cell>
          <cell r="CE71">
            <v>2.4686318828467779E-2</v>
          </cell>
          <cell r="CF71">
            <v>2.9523074454598411E-2</v>
          </cell>
          <cell r="CG71">
            <v>2.9750774835216397E-2</v>
          </cell>
          <cell r="CH71">
            <v>3.0636684676753432E-2</v>
          </cell>
          <cell r="CJ71">
            <v>3.4017329657345413E-2</v>
          </cell>
          <cell r="CK71">
            <v>3.5202793472316786E-2</v>
          </cell>
          <cell r="CL71">
            <v>3.140935201327294E-2</v>
          </cell>
          <cell r="CM71">
            <v>2.1948147333105857E-2</v>
          </cell>
          <cell r="CN71">
            <v>2.966465240014567E-2</v>
          </cell>
          <cell r="CP71">
            <v>3.0617252516873267E-2</v>
          </cell>
          <cell r="CQ71">
            <v>2.8748310443407421E-2</v>
          </cell>
          <cell r="CR71">
            <v>2.4525155114038584E-2</v>
          </cell>
          <cell r="CS71">
            <v>1.7188736384699484E-2</v>
          </cell>
          <cell r="CT71">
            <v>2.4412010687558432E-2</v>
          </cell>
          <cell r="CV71">
            <v>2.2937146261543043E-2</v>
          </cell>
          <cell r="CW71">
            <v>2.1599532983070636E-2</v>
          </cell>
          <cell r="CX71">
            <v>2.0293122886133032E-2</v>
          </cell>
          <cell r="CY71">
            <v>1.3706793802145411E-2</v>
          </cell>
          <cell r="CZ71">
            <v>1.9004230393752035E-2</v>
          </cell>
          <cell r="DB71">
            <v>2.0833333333333332E-2</v>
          </cell>
          <cell r="DC71">
            <v>2.1218172740888667E-2</v>
          </cell>
          <cell r="DD71">
            <v>2.1996615905245348E-2</v>
          </cell>
          <cell r="DE71">
            <v>1.7411685919973212E-2</v>
          </cell>
          <cell r="DF71">
            <v>2.003838338225333E-2</v>
          </cell>
          <cell r="DH71">
            <v>1.9311502938706968E-2</v>
          </cell>
          <cell r="DI71">
            <v>2.1201413427561839E-2</v>
          </cell>
          <cell r="DJ71">
            <v>2.2210470650449499E-2</v>
          </cell>
          <cell r="DK71">
            <v>1.6059957173447537E-2</v>
          </cell>
          <cell r="DL71">
            <v>1.9293184276956366E-2</v>
          </cell>
          <cell r="DN71">
            <v>2.1934758155230598E-2</v>
          </cell>
          <cell r="DO71">
            <v>2.2362385321100919E-2</v>
          </cell>
          <cell r="DP71">
            <v>2.302158273381295E-2</v>
          </cell>
          <cell r="DQ71">
            <v>1.7147310989867499E-2</v>
          </cell>
          <cell r="DR71">
            <v>2.0525815647766867E-2</v>
          </cell>
          <cell r="DT71">
            <v>2.143064002316826E-2</v>
          </cell>
          <cell r="DU71">
            <v>2.2375215146299483E-2</v>
          </cell>
          <cell r="DV71">
            <v>2.0983041103765449E-2</v>
          </cell>
          <cell r="DW71">
            <v>1.3952561291608531E-2</v>
          </cell>
          <cell r="DX71">
            <v>1.8945475563547622E-2</v>
          </cell>
          <cell r="DZ71">
            <v>2.127013065937405E-2</v>
          </cell>
          <cell r="EA71">
            <v>1.8928363424577752E-2</v>
          </cell>
          <cell r="EB71">
            <v>1.7498565691336777E-2</v>
          </cell>
          <cell r="EC71">
            <v>1.2072036414011479E-2</v>
          </cell>
          <cell r="ED71">
            <v>1.6675317934077342E-2</v>
          </cell>
          <cell r="EF71">
            <v>1.6901408450704224E-2</v>
          </cell>
          <cell r="EG71">
            <v>1.6755096341803964E-2</v>
          </cell>
          <cell r="EH71">
            <v>1.5602836879432624E-2</v>
          </cell>
          <cell r="EI71">
            <v>9.765625E-3</v>
          </cell>
          <cell r="EJ71">
            <v>1.4262170385395538E-2</v>
          </cell>
          <cell r="EK71" t="str">
            <v>Interest Expense, net</v>
          </cell>
          <cell r="EL71">
            <v>1.4831090359791266E-2</v>
          </cell>
          <cell r="EM71">
            <v>1.4904775048302512E-2</v>
          </cell>
          <cell r="EN71">
            <v>2.6102610261026102E-2</v>
          </cell>
          <cell r="EO71">
            <v>1.5045449796259535E-2</v>
          </cell>
          <cell r="EP71">
            <v>1.7731129968736044E-2</v>
          </cell>
          <cell r="ER71">
            <v>2.3271500843170319E-2</v>
          </cell>
          <cell r="ES71">
            <v>1.9349457881567972E-2</v>
          </cell>
          <cell r="ET71">
            <v>1.7669045191980971E-2</v>
          </cell>
          <cell r="EU71">
            <v>1.1245769188776067E-2</v>
          </cell>
          <cell r="EV71">
            <v>1.7093066370040787E-2</v>
          </cell>
          <cell r="EX71">
            <v>2.1111298767100151E-2</v>
          </cell>
          <cell r="EY71">
            <v>2.3251866938221316E-2</v>
          </cell>
          <cell r="EZ71">
            <v>2.4551303758889264E-2</v>
          </cell>
          <cell r="FA71">
            <v>1.5824994181987434E-2</v>
          </cell>
          <cell r="FB71">
            <v>2.0636187435868203E-2</v>
          </cell>
          <cell r="FD71">
            <v>2.3664520619453629E-2</v>
          </cell>
          <cell r="FE71">
            <v>2.4134312696747113E-2</v>
          </cell>
          <cell r="FF71">
            <v>2.60331330784635E-2</v>
          </cell>
          <cell r="FG71">
            <v>1.8023695487774136E-2</v>
          </cell>
          <cell r="FH71">
            <v>2.2497187851518559E-2</v>
          </cell>
          <cell r="FJ71">
            <v>2.6664145234493192E-2</v>
          </cell>
          <cell r="FK71">
            <v>2.6300851466414379E-2</v>
          </cell>
          <cell r="FL71">
            <v>2.544103992571959E-2</v>
          </cell>
          <cell r="FM71">
            <v>1.7512914199319642E-2</v>
          </cell>
          <cell r="FN71">
            <v>2.3268466206319314E-2</v>
          </cell>
          <cell r="FP71">
            <v>2.9063509149623249E-2</v>
          </cell>
          <cell r="FQ71">
            <v>2.3478417915838903E-2</v>
          </cell>
          <cell r="FR71">
            <v>2.9165925662457761E-2</v>
          </cell>
          <cell r="FS71">
            <v>1.4270165679042206E-2</v>
          </cell>
          <cell r="FT71">
            <v>2.2957245130584329E-2</v>
          </cell>
          <cell r="FV71">
            <v>1.9697741552046188E-2</v>
          </cell>
          <cell r="FW71">
            <v>1.869001515406634E-2</v>
          </cell>
          <cell r="FX71">
            <v>1.8452075858534086E-2</v>
          </cell>
          <cell r="FY71">
            <v>1.2379642365887207E-2</v>
          </cell>
          <cell r="FZ71">
            <v>1.677712554440447E-2</v>
          </cell>
          <cell r="GB71">
            <v>1.8232134136415432E-2</v>
          </cell>
          <cell r="GC71">
            <v>1.7162471395881007E-2</v>
          </cell>
          <cell r="GD71">
            <v>1.7615406893202082E-2</v>
          </cell>
          <cell r="GE71">
            <v>1.2172632499990378E-2</v>
          </cell>
          <cell r="GF71">
            <v>1.5811449048425012E-2</v>
          </cell>
        </row>
        <row r="72">
          <cell r="A72" t="str">
            <v>Pretax Income</v>
          </cell>
          <cell r="K72">
            <v>6.7361237820676165E-3</v>
          </cell>
          <cell r="L72">
            <v>2.1767271032489204E-2</v>
          </cell>
          <cell r="N72">
            <v>1.3822362118516491E-2</v>
          </cell>
          <cell r="O72">
            <v>2.9731005191127889E-2</v>
          </cell>
          <cell r="P72">
            <v>6.2943495400788432E-2</v>
          </cell>
          <cell r="Q72">
            <v>7.5691506671005535E-2</v>
          </cell>
          <cell r="R72">
            <v>8.6468276249298148E-2</v>
          </cell>
          <cell r="S72">
            <v>8.2341627599471084E-2</v>
          </cell>
          <cell r="T72">
            <v>4.9414000633512832E-2</v>
          </cell>
          <cell r="U72">
            <v>6.7304604713891214E-2</v>
          </cell>
          <cell r="V72">
            <v>7.0334804048793151E-2</v>
          </cell>
          <cell r="W72">
            <v>7.074036511156187E-2</v>
          </cell>
          <cell r="X72">
            <v>9.1290754801250554E-2</v>
          </cell>
          <cell r="Y72">
            <v>5.0982573229514272E-2</v>
          </cell>
          <cell r="Z72">
            <v>5.0165317523657507E-2</v>
          </cell>
          <cell r="AA72">
            <v>1.783705608227543E-2</v>
          </cell>
          <cell r="AB72">
            <v>2.1217827997489013E-2</v>
          </cell>
          <cell r="AC72">
            <v>5.2793664760228773E-2</v>
          </cell>
          <cell r="AD72">
            <v>7.4531338761598176E-2</v>
          </cell>
          <cell r="AE72">
            <v>8.063284020767035E-2</v>
          </cell>
          <cell r="AF72">
            <v>8.251184985014931E-2</v>
          </cell>
          <cell r="AG72">
            <v>8.8892927229904967E-2</v>
          </cell>
          <cell r="AH72">
            <v>8.9196935128004098E-2</v>
          </cell>
          <cell r="AI72">
            <v>9.0592510381722585E-2</v>
          </cell>
          <cell r="AJ72">
            <v>9.3138202226614425E-2</v>
          </cell>
          <cell r="AK72">
            <v>9.5029152202447398E-2</v>
          </cell>
          <cell r="AL72">
            <v>9.6343291549782287E-2</v>
          </cell>
          <cell r="AN72" t="str">
            <v>Pretax Income</v>
          </cell>
          <cell r="AO72">
            <v>-9.0163223218439878E-2</v>
          </cell>
          <cell r="AP72">
            <v>-0.12220487490266711</v>
          </cell>
          <cell r="AQ72">
            <v>-6.8728084842250486E-2</v>
          </cell>
          <cell r="AR72">
            <v>-4.2722085061616032E-2</v>
          </cell>
          <cell r="AS72">
            <v>-7.6701526732841571E-2</v>
          </cell>
          <cell r="AU72">
            <v>-5.3355708699343932E-2</v>
          </cell>
          <cell r="AV72">
            <v>-0.14065250514292904</v>
          </cell>
          <cell r="AW72">
            <v>-4.6809031067335062E-2</v>
          </cell>
          <cell r="AX72">
            <v>-0.69561674772520654</v>
          </cell>
          <cell r="AY72">
            <v>-0.27021375085956034</v>
          </cell>
          <cell r="BA72">
            <v>1.4618324059028203E-2</v>
          </cell>
          <cell r="BB72">
            <v>-1.5426032725505995E-2</v>
          </cell>
          <cell r="BC72">
            <v>3.1043089160492192E-2</v>
          </cell>
          <cell r="BD72">
            <v>7.7794891155674686E-2</v>
          </cell>
          <cell r="BE72">
            <v>3.2769623362680571E-2</v>
          </cell>
          <cell r="BG72">
            <v>2.4938704953092587E-2</v>
          </cell>
          <cell r="BH72">
            <v>1.204229814789173E-2</v>
          </cell>
          <cell r="BI72">
            <v>3.5217387659523307E-2</v>
          </cell>
          <cell r="BJ72">
            <v>0.10522273490933497</v>
          </cell>
          <cell r="BK72">
            <v>5.0872782632487255E-2</v>
          </cell>
          <cell r="BM72">
            <v>3.5115451996243524E-2</v>
          </cell>
          <cell r="BN72">
            <v>6.4325543512310261E-3</v>
          </cell>
          <cell r="BO72">
            <v>4.065577786300785E-2</v>
          </cell>
          <cell r="BP72">
            <v>0.11104631292387993</v>
          </cell>
          <cell r="BQ72">
            <v>5.5494424440059829E-2</v>
          </cell>
          <cell r="BS72">
            <v>-1.7950987066031328E-2</v>
          </cell>
          <cell r="BT72">
            <v>-2.984338747099767E-2</v>
          </cell>
          <cell r="BU72">
            <v>-2.2680904372725637E-2</v>
          </cell>
          <cell r="BV72">
            <v>6.8868998459855821E-2</v>
          </cell>
          <cell r="BW72">
            <v>6.7361237820676122E-3</v>
          </cell>
          <cell r="BY72">
            <v>-2.9032070216726567E-2</v>
          </cell>
          <cell r="BZ72">
            <v>-3.3351493272070855E-2</v>
          </cell>
          <cell r="CA72">
            <v>1.2893247034373114E-2</v>
          </cell>
          <cell r="CB72">
            <v>-0.16441176470588287</v>
          </cell>
          <cell r="CC72">
            <v>-6.752536903383885E-3</v>
          </cell>
          <cell r="CD72">
            <v>9.7221946214493968E-2</v>
          </cell>
          <cell r="CE72">
            <v>7.8835875325267243E-2</v>
          </cell>
          <cell r="CF72">
            <v>2.17672710324892E-2</v>
          </cell>
          <cell r="CG72">
            <v>1.8428552040484762E-2</v>
          </cell>
          <cell r="CH72">
            <v>1.3388614238720465E-2</v>
          </cell>
          <cell r="CJ72">
            <v>-1.7267246341685142E-2</v>
          </cell>
          <cell r="CK72">
            <v>-1.2136794400388754E-2</v>
          </cell>
          <cell r="CL72">
            <v>2.0489877389345192E-2</v>
          </cell>
          <cell r="CM72">
            <v>9.2227383028815668E-2</v>
          </cell>
          <cell r="CN72">
            <v>2.8987918734701083E-2</v>
          </cell>
          <cell r="CP72">
            <v>1.2813679658301928E-2</v>
          </cell>
          <cell r="CQ72">
            <v>3.2610071335707716E-2</v>
          </cell>
          <cell r="CR72">
            <v>4.7002142928070444E-2</v>
          </cell>
          <cell r="CS72">
            <v>0.12369815237437246</v>
          </cell>
          <cell r="CT72">
            <v>6.1161023599734327E-2</v>
          </cell>
          <cell r="CV72">
            <v>3.0980041703902294E-2</v>
          </cell>
          <cell r="CW72">
            <v>5.6333917104495035E-2</v>
          </cell>
          <cell r="CX72">
            <v>5.2142051860202931E-2</v>
          </cell>
          <cell r="CY72">
            <v>0.13528009535160906</v>
          </cell>
          <cell r="CZ72">
            <v>7.5691506671005535E-2</v>
          </cell>
          <cell r="DB72">
            <v>4.1666666666666664E-2</v>
          </cell>
          <cell r="DC72">
            <v>5.8162755866200698E-2</v>
          </cell>
          <cell r="DD72">
            <v>5.1003142373700752E-2</v>
          </cell>
          <cell r="DE72">
            <v>0.12589988280596015</v>
          </cell>
          <cell r="DF72">
            <v>7.5976518401445023E-2</v>
          </cell>
          <cell r="DH72">
            <v>5.5975370836831795E-2</v>
          </cell>
          <cell r="DI72">
            <v>8.8067409622179946E-2</v>
          </cell>
          <cell r="DJ72">
            <v>4.8915917503966157E-2</v>
          </cell>
          <cell r="DK72">
            <v>0.11795146324054247</v>
          </cell>
          <cell r="DL72">
            <v>8.2341627599471084E-2</v>
          </cell>
          <cell r="DN72">
            <v>2.81214848143982E-2</v>
          </cell>
          <cell r="DO72">
            <v>3.8704128440366969E-2</v>
          </cell>
          <cell r="DP72">
            <v>1.3237410071942447E-2</v>
          </cell>
          <cell r="DQ72">
            <v>9.7233047544816834E-2</v>
          </cell>
          <cell r="DR72">
            <v>4.9414000633512832E-2</v>
          </cell>
          <cell r="DT72">
            <v>4.2571676802780192E-2</v>
          </cell>
          <cell r="DU72">
            <v>6.3683304647160072E-2</v>
          </cell>
          <cell r="DV72">
            <v>3.3055475711411327E-2</v>
          </cell>
          <cell r="DW72">
            <v>0.1124177795495316</v>
          </cell>
          <cell r="DX72">
            <v>6.7304604713891214E-2</v>
          </cell>
          <cell r="DZ72">
            <v>2.3093284715891827E-2</v>
          </cell>
          <cell r="EA72">
            <v>5.7949912638322658E-2</v>
          </cell>
          <cell r="EB72">
            <v>3.2128514056224897E-2</v>
          </cell>
          <cell r="EC72">
            <v>0.13793785869780328</v>
          </cell>
          <cell r="ED72">
            <v>7.0334804048793151E-2</v>
          </cell>
          <cell r="EF72">
            <v>4.4225352112676058E-2</v>
          </cell>
          <cell r="EG72">
            <v>3.518570231778833E-2</v>
          </cell>
          <cell r="EH72">
            <v>3.4042553191489362E-2</v>
          </cell>
          <cell r="EI72">
            <v>0.13925781249999999</v>
          </cell>
          <cell r="EJ72">
            <v>7.074036511156187E-2</v>
          </cell>
          <cell r="EK72" t="str">
            <v>Pretax Income</v>
          </cell>
          <cell r="EL72">
            <v>5.4380664652567974E-2</v>
          </cell>
          <cell r="EM72">
            <v>6.5415401600883244E-2</v>
          </cell>
          <cell r="EN72">
            <v>9.7569756975697572E-2</v>
          </cell>
          <cell r="EO72">
            <v>0.11148260369867308</v>
          </cell>
          <cell r="EP72">
            <v>9.1290754801250554E-2</v>
          </cell>
          <cell r="ER72">
            <v>-1.9898819561551432E-2</v>
          </cell>
          <cell r="ES72">
            <v>5.104253544620517E-2</v>
          </cell>
          <cell r="ET72">
            <v>5.0968399592252805E-3</v>
          </cell>
          <cell r="EU72">
            <v>0.12632383447974671</v>
          </cell>
          <cell r="EV72">
            <v>5.0982573229514272E-2</v>
          </cell>
          <cell r="EX72">
            <v>1.4017902381354501E-2</v>
          </cell>
          <cell r="EY72">
            <v>1.9178547182620503E-2</v>
          </cell>
          <cell r="EZ72">
            <v>6.4341347781916693E-3</v>
          </cell>
          <cell r="FA72">
            <v>0.12636723295322319</v>
          </cell>
          <cell r="FB72">
            <v>5.0165317523657507E-2</v>
          </cell>
          <cell r="FD72">
            <v>-1.8444405776927093E-2</v>
          </cell>
          <cell r="FE72">
            <v>2.1161245190626093E-2</v>
          </cell>
          <cell r="FF72">
            <v>-1.3653741125068269E-2</v>
          </cell>
          <cell r="FG72">
            <v>6.3524073607259895E-2</v>
          </cell>
          <cell r="FH72">
            <v>1.783705608227543E-2</v>
          </cell>
          <cell r="FJ72">
            <v>-4.8222390317700453E-2</v>
          </cell>
          <cell r="FK72">
            <v>2.0624408703878903E-2</v>
          </cell>
          <cell r="FL72">
            <v>-1.5227483751160632E-2</v>
          </cell>
          <cell r="FM72">
            <v>9.2604258535970777E-2</v>
          </cell>
          <cell r="FN72">
            <v>2.1217827997489013E-2</v>
          </cell>
          <cell r="FP72">
            <v>7.3555794761392176E-3</v>
          </cell>
          <cell r="FQ72">
            <v>4.3344771536933356E-2</v>
          </cell>
          <cell r="FR72">
            <v>2.3119331317801887E-3</v>
          </cell>
          <cell r="FS72">
            <v>0.12407788124319749</v>
          </cell>
          <cell r="FT72">
            <v>5.2793664760228773E-2</v>
          </cell>
          <cell r="FV72">
            <v>3.6338937001188655E-2</v>
          </cell>
          <cell r="FW72">
            <v>6.6509513386091929E-2</v>
          </cell>
          <cell r="FX72">
            <v>3.1266017426960536E-2</v>
          </cell>
          <cell r="FY72">
            <v>0.13480055020632736</v>
          </cell>
          <cell r="FZ72">
            <v>7.4531338761598176E-2</v>
          </cell>
          <cell r="GB72">
            <v>4.5417548429106301E-2</v>
          </cell>
          <cell r="GC72">
            <v>7.3389996730957835E-2</v>
          </cell>
          <cell r="GD72">
            <v>2.877496066701165E-2</v>
          </cell>
          <cell r="GE72">
            <v>0.14206041616912413</v>
          </cell>
          <cell r="GF72">
            <v>8.063284020767035E-2</v>
          </cell>
        </row>
        <row r="73">
          <cell r="A73" t="str">
            <v>Tax Rate</v>
          </cell>
          <cell r="K73">
            <v>0.60127905086949873</v>
          </cell>
          <cell r="L73">
            <v>0.51102235320759348</v>
          </cell>
          <cell r="N73">
            <v>0.62871287128712872</v>
          </cell>
          <cell r="O73">
            <v>0.3968253968253968</v>
          </cell>
          <cell r="P73">
            <v>0.39979123173277664</v>
          </cell>
          <cell r="Q73">
            <v>0.411006018916595</v>
          </cell>
          <cell r="R73">
            <v>0.40476190476190477</v>
          </cell>
          <cell r="S73">
            <v>0.40072992700729926</v>
          </cell>
          <cell r="T73">
            <v>0.3923076923076923</v>
          </cell>
          <cell r="U73">
            <v>0.39122137404580154</v>
          </cell>
          <cell r="V73">
            <v>0.39575645756457567</v>
          </cell>
          <cell r="W73">
            <v>0.38261648745519711</v>
          </cell>
          <cell r="X73">
            <v>0.37446604203916711</v>
          </cell>
          <cell r="Y73">
            <v>0.37218181818181817</v>
          </cell>
          <cell r="Z73">
            <v>0.37045454545454548</v>
          </cell>
          <cell r="AA73">
            <v>-0.30405405405405406</v>
          </cell>
          <cell r="AB73">
            <v>0.35108481262327418</v>
          </cell>
          <cell r="AC73">
            <v>0.35833333333333334</v>
          </cell>
          <cell r="AD73">
            <v>0.36178861788617889</v>
          </cell>
          <cell r="AE73">
            <v>0.36939105039562631</v>
          </cell>
          <cell r="AF73">
            <v>0.37</v>
          </cell>
          <cell r="AG73">
            <v>0.37</v>
          </cell>
          <cell r="AH73">
            <v>0.37</v>
          </cell>
          <cell r="AI73">
            <v>0.37</v>
          </cell>
          <cell r="AJ73">
            <v>0.37</v>
          </cell>
          <cell r="AK73">
            <v>0.37</v>
          </cell>
          <cell r="AL73">
            <v>0.37000000000000005</v>
          </cell>
          <cell r="AN73" t="str">
            <v>Tax Rate</v>
          </cell>
          <cell r="AO73">
            <v>0.30655992636034635</v>
          </cell>
          <cell r="AP73">
            <v>0.32220952871325365</v>
          </cell>
          <cell r="AQ73">
            <v>0.28537438768369477</v>
          </cell>
          <cell r="AR73">
            <v>1.4266644556836074</v>
          </cell>
          <cell r="AS73">
            <v>0.50448064169287754</v>
          </cell>
          <cell r="AU73">
            <v>0.24532451951351503</v>
          </cell>
          <cell r="AV73">
            <v>0.31634185759102562</v>
          </cell>
          <cell r="AW73">
            <v>0.23748624862486259</v>
          </cell>
          <cell r="AX73">
            <v>0.34189261006299915</v>
          </cell>
          <cell r="AY73">
            <v>0.32777388961936449</v>
          </cell>
          <cell r="BA73">
            <v>0.48589832869080435</v>
          </cell>
          <cell r="BB73">
            <v>0.29761110369678312</v>
          </cell>
          <cell r="BC73">
            <v>0.43131358602683062</v>
          </cell>
          <cell r="BD73">
            <v>0.40273902542974843</v>
          </cell>
          <cell r="BE73">
            <v>0.42800001724085901</v>
          </cell>
          <cell r="BG73">
            <v>0.45283542197231325</v>
          </cell>
          <cell r="BH73">
            <v>0.51064065004698544</v>
          </cell>
          <cell r="BI73">
            <v>0.4521304451321117</v>
          </cell>
          <cell r="BJ73">
            <v>0.40911280691456015</v>
          </cell>
          <cell r="BK73">
            <v>0.42619228886834615</v>
          </cell>
          <cell r="BM73">
            <v>0.44509884962457674</v>
          </cell>
          <cell r="BN73">
            <v>0.63260933086589088</v>
          </cell>
          <cell r="BO73">
            <v>0.43393841911764702</v>
          </cell>
          <cell r="BP73">
            <v>0.4075239013559816</v>
          </cell>
          <cell r="BQ73">
            <v>0.42286578665581953</v>
          </cell>
          <cell r="BS73">
            <v>0.29756541524459623</v>
          </cell>
          <cell r="BT73">
            <v>0.3342634196535757</v>
          </cell>
          <cell r="BU73">
            <v>0.32588900578642815</v>
          </cell>
          <cell r="BV73">
            <v>0.40580022039281777</v>
          </cell>
          <cell r="BW73">
            <v>0.60127905086949907</v>
          </cell>
          <cell r="BY73">
            <v>0.34293586019274108</v>
          </cell>
          <cell r="BZ73">
            <v>0.33897187616854652</v>
          </cell>
          <cell r="CA73">
            <v>0.49055374592834178</v>
          </cell>
          <cell r="CB73">
            <v>0</v>
          </cell>
          <cell r="CC73">
            <v>-0.83299751096360775</v>
          </cell>
          <cell r="CD73">
            <v>0.44173485688386088</v>
          </cell>
          <cell r="CE73">
            <v>0.41058345359620158</v>
          </cell>
          <cell r="CF73">
            <v>0.51102235320759359</v>
          </cell>
          <cell r="CG73">
            <v>0.47207543951378311</v>
          </cell>
          <cell r="CH73">
            <v>0.63186995905199972</v>
          </cell>
          <cell r="CJ73">
            <v>0.33461416991262155</v>
          </cell>
          <cell r="CK73">
            <v>0.31778725539387892</v>
          </cell>
          <cell r="CL73">
            <v>0.43474733269326737</v>
          </cell>
          <cell r="CM73">
            <v>0.3772043733216186</v>
          </cell>
          <cell r="CN73">
            <v>0.39770714314838579</v>
          </cell>
          <cell r="CP73">
            <v>0.44923654510907951</v>
          </cell>
          <cell r="CQ73">
            <v>0.41055267902341852</v>
          </cell>
          <cell r="CR73">
            <v>0.40304288318577025</v>
          </cell>
          <cell r="CS73">
            <v>0.394370270015513</v>
          </cell>
          <cell r="CT73">
            <v>0.40036627743167497</v>
          </cell>
          <cell r="CV73">
            <v>0.42082692307692304</v>
          </cell>
          <cell r="CW73">
            <v>0.44559585492227977</v>
          </cell>
          <cell r="CX73">
            <v>0.40540540540540543</v>
          </cell>
          <cell r="CY73">
            <v>0.40088105726872247</v>
          </cell>
          <cell r="CZ73">
            <v>0.41080481513327599</v>
          </cell>
          <cell r="DB73">
            <v>0.42</v>
          </cell>
          <cell r="DC73">
            <v>0.41201716738197425</v>
          </cell>
          <cell r="DD73">
            <v>0.41706161137440756</v>
          </cell>
          <cell r="DE73">
            <v>0.40425531914893614</v>
          </cell>
          <cell r="DF73">
            <v>0.40936106983655274</v>
          </cell>
          <cell r="DH73">
            <v>0.41</v>
          </cell>
          <cell r="DI73">
            <v>0.40123456790123457</v>
          </cell>
          <cell r="DJ73">
            <v>0.41081081081081083</v>
          </cell>
          <cell r="DK73">
            <v>0.39485627836611198</v>
          </cell>
          <cell r="DL73">
            <v>0.40072992700729926</v>
          </cell>
          <cell r="DN73">
            <v>0.42</v>
          </cell>
          <cell r="DO73">
            <v>0.40740740740740738</v>
          </cell>
          <cell r="DP73">
            <v>0.43478260869565216</v>
          </cell>
          <cell r="DQ73">
            <v>0.37875751503006011</v>
          </cell>
          <cell r="DR73">
            <v>0.3923076923076923</v>
          </cell>
          <cell r="DT73">
            <v>0.39455782312925169</v>
          </cell>
          <cell r="DU73">
            <v>0.40090090090090091</v>
          </cell>
          <cell r="DV73">
            <v>0.34782608695652173</v>
          </cell>
          <cell r="DW73">
            <v>0.3953900709219858</v>
          </cell>
          <cell r="DX73">
            <v>0.39122137404580154</v>
          </cell>
          <cell r="DZ73">
            <v>0.39473684210526316</v>
          </cell>
          <cell r="EA73">
            <v>0.39698492462311558</v>
          </cell>
          <cell r="EB73">
            <v>0.4017857142857143</v>
          </cell>
          <cell r="EC73">
            <v>0.39454806312769009</v>
          </cell>
          <cell r="ED73">
            <v>0.39575645756457567</v>
          </cell>
          <cell r="EF73">
            <v>0.38216560509554143</v>
          </cell>
          <cell r="EG73">
            <v>0.38095238095238093</v>
          </cell>
          <cell r="EH73">
            <v>0.38333333333333336</v>
          </cell>
          <cell r="EI73">
            <v>0.38288920056100983</v>
          </cell>
          <cell r="EJ73">
            <v>0.38261648745519711</v>
          </cell>
          <cell r="EK73" t="str">
            <v>Tax Rate</v>
          </cell>
          <cell r="EL73">
            <v>0.377</v>
          </cell>
          <cell r="EM73">
            <v>0.37552742616033757</v>
          </cell>
          <cell r="EN73">
            <v>0.37410071942446044</v>
          </cell>
          <cell r="EO73">
            <v>0.37394564198687907</v>
          </cell>
          <cell r="EP73">
            <v>0.37446604203916711</v>
          </cell>
          <cell r="ER73">
            <v>0.3728813559322034</v>
          </cell>
          <cell r="ES73">
            <v>0.375</v>
          </cell>
          <cell r="ET73">
            <v>0.33333333333333331</v>
          </cell>
          <cell r="EU73">
            <v>0.37251512532411407</v>
          </cell>
          <cell r="EV73">
            <v>0.37218181818181817</v>
          </cell>
          <cell r="EX73">
            <v>0.37349397590361444</v>
          </cell>
          <cell r="EY73">
            <v>0.34513274336283184</v>
          </cell>
          <cell r="EZ73">
            <v>0.13157894736842105</v>
          </cell>
          <cell r="FA73">
            <v>0.38121546961325969</v>
          </cell>
          <cell r="FB73">
            <v>0.375</v>
          </cell>
          <cell r="FD73">
            <v>0.44339622641509435</v>
          </cell>
          <cell r="FE73">
            <v>0.39669421487603307</v>
          </cell>
          <cell r="FF73">
            <v>0.41333333333333333</v>
          </cell>
          <cell r="FG73">
            <v>-0.20833333333333334</v>
          </cell>
          <cell r="FH73">
            <v>-0.30405405405405406</v>
          </cell>
          <cell r="FJ73">
            <v>0.65490196078431373</v>
          </cell>
          <cell r="FK73">
            <v>0.93577981651376152</v>
          </cell>
          <cell r="FL73">
            <v>0.57317073170731703</v>
          </cell>
          <cell r="FM73">
            <v>0.39455782312925169</v>
          </cell>
          <cell r="FN73">
            <v>0.35108481262327418</v>
          </cell>
          <cell r="FP73">
            <v>0.43902439024390244</v>
          </cell>
          <cell r="FQ73">
            <v>0.38750000000000001</v>
          </cell>
          <cell r="FR73">
            <v>0.23076923076923078</v>
          </cell>
          <cell r="FS73">
            <v>0.34990253411306044</v>
          </cell>
          <cell r="FT73">
            <v>0.35833333333333334</v>
          </cell>
          <cell r="FV73">
            <v>0.38785046728971961</v>
          </cell>
          <cell r="FW73">
            <v>0.38987341772151901</v>
          </cell>
          <cell r="FX73">
            <v>0.24043715846994534</v>
          </cell>
          <cell r="FY73">
            <v>0.36649659863945577</v>
          </cell>
          <cell r="FZ73">
            <v>0.36178861788617889</v>
          </cell>
          <cell r="GB73">
            <v>0.35125448028673834</v>
          </cell>
          <cell r="GC73">
            <v>0.37861915367483295</v>
          </cell>
          <cell r="GD73">
            <v>0.36999999999999994</v>
          </cell>
          <cell r="GE73">
            <v>0.37</v>
          </cell>
          <cell r="GF73">
            <v>0.36939105039562631</v>
          </cell>
        </row>
        <row r="74">
          <cell r="A74" t="str">
            <v>Effective Tax rate</v>
          </cell>
          <cell r="N74">
            <v>0.62871287128712872</v>
          </cell>
          <cell r="O74">
            <v>0.3968253968253968</v>
          </cell>
          <cell r="P74">
            <v>0.39979123173277664</v>
          </cell>
          <cell r="Q74">
            <v>0.411006018916595</v>
          </cell>
          <cell r="R74">
            <v>0.40476190476190477</v>
          </cell>
          <cell r="S74">
            <v>0.40072992700729926</v>
          </cell>
          <cell r="T74">
            <v>0.3923076923076923</v>
          </cell>
          <cell r="U74">
            <v>0.39122137404580154</v>
          </cell>
          <cell r="V74">
            <v>0.39575645756457567</v>
          </cell>
          <cell r="W74">
            <v>0.38261648745519711</v>
          </cell>
          <cell r="X74">
            <v>0.37446604203916711</v>
          </cell>
          <cell r="Y74">
            <v>0.37218181818181817</v>
          </cell>
          <cell r="Z74">
            <v>0.37045454545454548</v>
          </cell>
          <cell r="AA74">
            <v>-0.30405405405405406</v>
          </cell>
          <cell r="AB74">
            <v>0.35108481262327418</v>
          </cell>
          <cell r="AC74">
            <v>0.35833333333333334</v>
          </cell>
          <cell r="AD74">
            <v>0.36178861788617889</v>
          </cell>
          <cell r="AE74">
            <v>0.36939105039562631</v>
          </cell>
          <cell r="AF74">
            <v>0.37</v>
          </cell>
          <cell r="AG74">
            <v>0.37</v>
          </cell>
          <cell r="AH74">
            <v>0.37</v>
          </cell>
          <cell r="AI74">
            <v>0.37</v>
          </cell>
          <cell r="AJ74">
            <v>0.37</v>
          </cell>
          <cell r="AK74">
            <v>0.37</v>
          </cell>
          <cell r="AL74">
            <v>0.37000000000000005</v>
          </cell>
          <cell r="AN74" t="str">
            <v>Effective Tax rate</v>
          </cell>
          <cell r="EF74">
            <v>0.38216560509554143</v>
          </cell>
          <cell r="EG74">
            <v>0.38095238095238093</v>
          </cell>
          <cell r="EH74">
            <v>0.38333333333333336</v>
          </cell>
          <cell r="EI74">
            <v>0.38288920056100983</v>
          </cell>
          <cell r="EK74" t="str">
            <v>Effective Tax rate</v>
          </cell>
          <cell r="EL74">
            <v>0.377</v>
          </cell>
          <cell r="EM74">
            <v>0.37552742616033757</v>
          </cell>
          <cell r="EN74">
            <v>0.37410071942446044</v>
          </cell>
          <cell r="EO74">
            <v>0.37394564198687907</v>
          </cell>
          <cell r="EP74">
            <v>0.37446604203916711</v>
          </cell>
          <cell r="ER74">
            <v>0.3728813559322034</v>
          </cell>
          <cell r="ES74">
            <v>0.375</v>
          </cell>
          <cell r="ET74">
            <v>0.33333333333333331</v>
          </cell>
          <cell r="EU74">
            <v>0.37251512532411407</v>
          </cell>
          <cell r="EV74">
            <v>0.37218181818181817</v>
          </cell>
          <cell r="EX74">
            <v>0.37815126050420167</v>
          </cell>
          <cell r="EY74">
            <v>0.3619047619047619</v>
          </cell>
          <cell r="EZ74">
            <v>0.4</v>
          </cell>
          <cell r="FA74">
            <v>0.375</v>
          </cell>
          <cell r="FB74">
            <v>0.37483263750443169</v>
          </cell>
          <cell r="FD74">
            <v>0.37</v>
          </cell>
          <cell r="FE74">
            <v>0.37</v>
          </cell>
          <cell r="FF74">
            <v>0.37</v>
          </cell>
          <cell r="FG74">
            <v>0.37</v>
          </cell>
          <cell r="FH74">
            <v>0.37</v>
          </cell>
          <cell r="FJ74">
            <v>0.37</v>
          </cell>
          <cell r="FK74">
            <v>0.37</v>
          </cell>
          <cell r="FL74">
            <v>0.37</v>
          </cell>
          <cell r="FM74">
            <v>0.37</v>
          </cell>
          <cell r="FN74">
            <v>0.37</v>
          </cell>
          <cell r="FP74">
            <v>0.37</v>
          </cell>
          <cell r="FQ74">
            <v>0.37</v>
          </cell>
          <cell r="FR74">
            <v>0.37</v>
          </cell>
          <cell r="FS74">
            <v>0.37</v>
          </cell>
          <cell r="FT74">
            <v>0.37</v>
          </cell>
          <cell r="FV74">
            <v>0.37</v>
          </cell>
          <cell r="FW74">
            <v>0.37</v>
          </cell>
          <cell r="FX74">
            <v>0.37</v>
          </cell>
          <cell r="FY74">
            <v>0.38</v>
          </cell>
          <cell r="FZ74">
            <v>0.38</v>
          </cell>
          <cell r="GB74">
            <v>0.37</v>
          </cell>
          <cell r="GC74">
            <v>0.37</v>
          </cell>
          <cell r="GD74">
            <v>0.37</v>
          </cell>
          <cell r="GE74">
            <v>0.37</v>
          </cell>
          <cell r="GF74">
            <v>0.37</v>
          </cell>
        </row>
        <row r="75">
          <cell r="A75" t="str">
            <v>Statutory Tax Rate</v>
          </cell>
          <cell r="N75">
            <v>0.35</v>
          </cell>
          <cell r="O75">
            <v>0.35</v>
          </cell>
          <cell r="P75">
            <v>0.35</v>
          </cell>
          <cell r="Q75">
            <v>0.35</v>
          </cell>
          <cell r="R75">
            <v>0.35</v>
          </cell>
          <cell r="S75">
            <v>0.35</v>
          </cell>
          <cell r="T75">
            <v>0.35</v>
          </cell>
          <cell r="U75">
            <v>0.35</v>
          </cell>
          <cell r="V75">
            <v>0.35</v>
          </cell>
          <cell r="W75">
            <v>0.35</v>
          </cell>
          <cell r="X75">
            <v>0.35</v>
          </cell>
          <cell r="Y75">
            <v>0.35</v>
          </cell>
          <cell r="Z75">
            <v>0.35</v>
          </cell>
          <cell r="AA75">
            <v>0.35</v>
          </cell>
          <cell r="AB75">
            <v>0.35</v>
          </cell>
          <cell r="AC75">
            <v>0.35</v>
          </cell>
          <cell r="AD75">
            <v>0.35</v>
          </cell>
          <cell r="AE75">
            <v>0.35</v>
          </cell>
          <cell r="AF75">
            <v>0.35</v>
          </cell>
          <cell r="AG75">
            <v>0.35</v>
          </cell>
          <cell r="AH75">
            <v>0.35</v>
          </cell>
          <cell r="AI75">
            <v>0.35</v>
          </cell>
          <cell r="AJ75">
            <v>0.35</v>
          </cell>
          <cell r="AK75">
            <v>0.35</v>
          </cell>
          <cell r="AL75">
            <v>0.35</v>
          </cell>
          <cell r="AN75" t="str">
            <v>Statutory Tax Rate</v>
          </cell>
          <cell r="DH75">
            <v>0.35</v>
          </cell>
          <cell r="DI75">
            <v>0.35</v>
          </cell>
          <cell r="DJ75">
            <v>0.35</v>
          </cell>
          <cell r="DK75">
            <v>0.35</v>
          </cell>
          <cell r="DL75">
            <v>0.35</v>
          </cell>
          <cell r="DN75">
            <v>0.35</v>
          </cell>
          <cell r="DO75">
            <v>0.35</v>
          </cell>
          <cell r="DP75">
            <v>0.35</v>
          </cell>
          <cell r="DQ75">
            <v>0.35</v>
          </cell>
          <cell r="DR75">
            <v>0.35</v>
          </cell>
          <cell r="DT75">
            <v>0.35</v>
          </cell>
          <cell r="DU75">
            <v>0.35</v>
          </cell>
          <cell r="DV75">
            <v>0.35</v>
          </cell>
          <cell r="DW75">
            <v>0.35</v>
          </cell>
          <cell r="DX75">
            <v>0.35</v>
          </cell>
          <cell r="DZ75">
            <v>0.35</v>
          </cell>
          <cell r="EA75">
            <v>0.35</v>
          </cell>
          <cell r="EB75">
            <v>0.35</v>
          </cell>
          <cell r="EC75">
            <v>0.35</v>
          </cell>
          <cell r="ED75">
            <v>0.35</v>
          </cell>
          <cell r="EF75">
            <v>0.35</v>
          </cell>
          <cell r="EG75">
            <v>0.35</v>
          </cell>
          <cell r="EH75">
            <v>0.35</v>
          </cell>
          <cell r="EI75">
            <v>0.35</v>
          </cell>
          <cell r="EJ75">
            <v>0.35</v>
          </cell>
          <cell r="EK75" t="str">
            <v>Statutory Tax Rate</v>
          </cell>
          <cell r="EL75">
            <v>0.35</v>
          </cell>
          <cell r="EM75">
            <v>0.35</v>
          </cell>
          <cell r="EN75">
            <v>0.35</v>
          </cell>
          <cell r="EO75">
            <v>0.35</v>
          </cell>
          <cell r="EP75">
            <v>0.35</v>
          </cell>
          <cell r="ER75">
            <v>0.35</v>
          </cell>
          <cell r="ES75">
            <v>0.35</v>
          </cell>
          <cell r="ET75">
            <v>0.35</v>
          </cell>
          <cell r="EU75">
            <v>0.35</v>
          </cell>
          <cell r="EV75">
            <v>0.35</v>
          </cell>
          <cell r="EX75">
            <v>0.35</v>
          </cell>
          <cell r="EY75">
            <v>0.35</v>
          </cell>
          <cell r="EZ75">
            <v>0.35</v>
          </cell>
          <cell r="FA75">
            <v>0.35</v>
          </cell>
          <cell r="FB75">
            <v>0.35</v>
          </cell>
          <cell r="FD75">
            <v>0.35</v>
          </cell>
          <cell r="FE75">
            <v>0.35</v>
          </cell>
          <cell r="FF75">
            <v>0.35</v>
          </cell>
          <cell r="FG75">
            <v>0.35</v>
          </cell>
          <cell r="FH75">
            <v>0.35</v>
          </cell>
          <cell r="FJ75">
            <v>0.35</v>
          </cell>
          <cell r="FK75">
            <v>0.35</v>
          </cell>
          <cell r="FL75">
            <v>0.35</v>
          </cell>
          <cell r="FM75">
            <v>0.35</v>
          </cell>
          <cell r="FN75">
            <v>0.35</v>
          </cell>
          <cell r="FP75">
            <v>0.35</v>
          </cell>
          <cell r="FQ75">
            <v>0.35</v>
          </cell>
          <cell r="FR75">
            <v>0.35</v>
          </cell>
          <cell r="FS75">
            <v>0.35</v>
          </cell>
          <cell r="FT75">
            <v>0.35</v>
          </cell>
          <cell r="FV75">
            <v>0.35</v>
          </cell>
          <cell r="FW75">
            <v>0.35</v>
          </cell>
          <cell r="FX75">
            <v>0.35</v>
          </cell>
          <cell r="FY75">
            <v>0.35</v>
          </cell>
          <cell r="FZ75">
            <v>0.35</v>
          </cell>
          <cell r="GB75">
            <v>0.35</v>
          </cell>
          <cell r="GC75">
            <v>0.35</v>
          </cell>
          <cell r="GD75">
            <v>0.35</v>
          </cell>
          <cell r="GE75">
            <v>0.35</v>
          </cell>
          <cell r="GF75">
            <v>0.35</v>
          </cell>
        </row>
        <row r="76">
          <cell r="A76" t="str">
            <v>Net Income, Reported</v>
          </cell>
          <cell r="K76">
            <v>2.6858336678465423E-3</v>
          </cell>
          <cell r="L76">
            <v>1.064370896655909E-2</v>
          </cell>
          <cell r="N76">
            <v>5.1320651430135488E-3</v>
          </cell>
          <cell r="O76">
            <v>1.7932987258140631E-2</v>
          </cell>
          <cell r="P76">
            <v>3.521681997371879E-2</v>
          </cell>
          <cell r="Q76">
            <v>4.3084933289944678E-2</v>
          </cell>
          <cell r="R76">
            <v>4.959760434212989E-2</v>
          </cell>
          <cell r="S76">
            <v>-1.1059021517009255E-2</v>
          </cell>
          <cell r="T76">
            <v>-1.7484954070319924E-2</v>
          </cell>
          <cell r="U76">
            <v>5.2533555969430351E-2</v>
          </cell>
          <cell r="V76">
            <v>4.4964962366986765E-2</v>
          </cell>
          <cell r="W76">
            <v>4.3673935091277892E-2</v>
          </cell>
          <cell r="X76">
            <v>6.2822305050109079E-2</v>
          </cell>
          <cell r="Y76">
            <v>3.6888209121245831E-2</v>
          </cell>
          <cell r="Z76">
            <v>3.3937597385322843E-2</v>
          </cell>
          <cell r="AA76">
            <v>-0.19295355937650652</v>
          </cell>
          <cell r="AB76">
            <v>1.3768570830717723E-2</v>
          </cell>
          <cell r="AC76">
            <v>3.2220133583969926E-2</v>
          </cell>
          <cell r="AD76">
            <v>4.7566748721832988E-2</v>
          </cell>
          <cell r="AE76">
            <v>5.0847790666976311E-2</v>
          </cell>
          <cell r="AF76">
            <v>5.1982465405594071E-2</v>
          </cell>
          <cell r="AG76">
            <v>5.6002544154840128E-2</v>
          </cell>
          <cell r="AH76">
            <v>5.6194069130642586E-2</v>
          </cell>
          <cell r="AI76">
            <v>5.707328154048523E-2</v>
          </cell>
          <cell r="AJ76">
            <v>5.867706740276709E-2</v>
          </cell>
          <cell r="AK76">
            <v>5.9868365887541859E-2</v>
          </cell>
          <cell r="AL76">
            <v>6.0696273676362836E-2</v>
          </cell>
          <cell r="AN76" t="str">
            <v>Net Income, Reported</v>
          </cell>
          <cell r="AO76">
            <v>-6.2522792148183473E-2</v>
          </cell>
          <cell r="AP76">
            <v>-8.2829299753816629E-2</v>
          </cell>
          <cell r="AQ76">
            <v>-4.9114849713720231E-2</v>
          </cell>
          <cell r="AR76">
            <v>1.8227995168483186E-2</v>
          </cell>
          <cell r="AS76">
            <v>-3.8007091307834251E-2</v>
          </cell>
          <cell r="AU76">
            <v>-4.0266245099374307E-2</v>
          </cell>
          <cell r="AV76">
            <v>-9.6158230391183569E-2</v>
          </cell>
          <cell r="AW76">
            <v>-3.5692529877389009E-2</v>
          </cell>
          <cell r="AX76">
            <v>-0.45779052224190087</v>
          </cell>
          <cell r="AY76">
            <v>-0.17974176910106457</v>
          </cell>
          <cell r="BA76">
            <v>7.5153048304858238E-3</v>
          </cell>
          <cell r="BB76">
            <v>-1.083507410040546E-2</v>
          </cell>
          <cell r="BC76">
            <v>1.765378305332967E-2</v>
          </cell>
          <cell r="BD76">
            <v>4.6463852508224907E-2</v>
          </cell>
          <cell r="BE76">
            <v>1.8744223998476833E-2</v>
          </cell>
          <cell r="BG76">
            <v>1.3645575972215886E-2</v>
          </cell>
          <cell r="BH76">
            <v>5.8930111935926888E-3</v>
          </cell>
          <cell r="BI76">
            <v>1.9294534500632898E-2</v>
          </cell>
          <cell r="BJ76">
            <v>6.2174766479350253E-2</v>
          </cell>
          <cell r="BK76">
            <v>2.9191194961245663E-2</v>
          </cell>
          <cell r="BM76">
            <v>1.9485604708668485E-2</v>
          </cell>
          <cell r="BN76">
            <v>2.3632604473402918E-3</v>
          </cell>
          <cell r="BO76">
            <v>2.3013673889135992E-2</v>
          </cell>
          <cell r="BP76">
            <v>6.5792286249943224E-2</v>
          </cell>
          <cell r="BQ76">
            <v>3.2027730994201996E-2</v>
          </cell>
          <cell r="BS76">
            <v>-1.2609394145677338E-2</v>
          </cell>
          <cell r="BT76">
            <v>-1.9867834720895313E-2</v>
          </cell>
          <cell r="BU76">
            <v>-1.5289446996361027E-2</v>
          </cell>
          <cell r="BV76">
            <v>4.09219437066137E-2</v>
          </cell>
          <cell r="BW76">
            <v>2.6858336678465379E-3</v>
          </cell>
          <cell r="BY76">
            <v>-1.9075932243777384E-2</v>
          </cell>
          <cell r="BZ76">
            <v>-2.2046275024614342E-2</v>
          </cell>
          <cell r="CA76">
            <v>6.568416404481899E-3</v>
          </cell>
          <cell r="CB76">
            <v>-0.16441176470588287</v>
          </cell>
          <cell r="CC76">
            <v>-1.2377383336592569E-2</v>
          </cell>
          <cell r="CD76">
            <v>5.4275623717464055E-2</v>
          </cell>
          <cell r="CE76">
            <v>4.6467169366939447E-2</v>
          </cell>
          <cell r="CF76">
            <v>1.0643708966559084E-2</v>
          </cell>
          <cell r="CG76">
            <v>9.7288852363702893E-3</v>
          </cell>
          <cell r="CH76">
            <v>4.9287511079372367E-3</v>
          </cell>
          <cell r="CJ76">
            <v>-1.1489381040385417E-2</v>
          </cell>
          <cell r="CK76">
            <v>-8.2798758186094137E-3</v>
          </cell>
          <cell r="CL76">
            <v>1.1581957847115281E-2</v>
          </cell>
          <cell r="CM76">
            <v>5.7438810810338373E-2</v>
          </cell>
          <cell r="CN76">
            <v>1.7459216388905543E-2</v>
          </cell>
          <cell r="CP76">
            <v>7.0573064784718795E-3</v>
          </cell>
          <cell r="CQ76">
            <v>1.9221919185688125E-2</v>
          </cell>
          <cell r="CR76">
            <v>2.8058263726431273E-2</v>
          </cell>
          <cell r="CS76">
            <v>7.4915278622071119E-2</v>
          </cell>
          <cell r="CT76">
            <v>3.6674212257197879E-2</v>
          </cell>
          <cell r="CV76">
            <v>1.7942806076854334E-2</v>
          </cell>
          <cell r="CW76">
            <v>3.1231757151196731E-2</v>
          </cell>
          <cell r="CX76">
            <v>3.1003382187147689E-2</v>
          </cell>
          <cell r="CY76">
            <v>8.1048867699642438E-2</v>
          </cell>
          <cell r="CZ76">
            <v>4.4597071265863979E-2</v>
          </cell>
          <cell r="DB76">
            <v>2.4166666666666666E-2</v>
          </cell>
          <cell r="DC76">
            <v>3.4198701947079378E-2</v>
          </cell>
          <cell r="DD76">
            <v>2.9731689630166789E-2</v>
          </cell>
          <cell r="DE76">
            <v>7.5004185501423071E-2</v>
          </cell>
          <cell r="DF76">
            <v>4.4874689546172949E-2</v>
          </cell>
          <cell r="DH76">
            <v>2.4909040022390149E-2</v>
          </cell>
          <cell r="DI76">
            <v>1.7124218537646098E-2</v>
          </cell>
          <cell r="DJ76">
            <v>-0.17662612374405076</v>
          </cell>
          <cell r="DK76">
            <v>5.9243397573162028E-2</v>
          </cell>
          <cell r="DL76">
            <v>-1.1059021517009255E-2</v>
          </cell>
          <cell r="DN76">
            <v>1.6310461192350956E-2</v>
          </cell>
          <cell r="DO76">
            <v>3.153669724770642E-2</v>
          </cell>
          <cell r="DP76">
            <v>8.6330935251798565E-4</v>
          </cell>
          <cell r="DQ76">
            <v>-8.7100545596258766E-2</v>
          </cell>
          <cell r="DR76">
            <v>-1.7484954070319924E-2</v>
          </cell>
          <cell r="DT76">
            <v>2.5774688676513176E-2</v>
          </cell>
          <cell r="DU76">
            <v>8.0895008605851984E-2</v>
          </cell>
          <cell r="DV76">
            <v>3.046852543834435E-2</v>
          </cell>
          <cell r="DW76">
            <v>6.796890572055013E-2</v>
          </cell>
          <cell r="DX76">
            <v>5.2533555969430351E-2</v>
          </cell>
          <cell r="DZ76">
            <v>1.3977514433302947E-2</v>
          </cell>
          <cell r="EA76">
            <v>3.4944670937682006E-2</v>
          </cell>
          <cell r="EB76">
            <v>1.9219736087205966E-2</v>
          </cell>
          <cell r="EC76">
            <v>9.1035028695824263E-2</v>
          </cell>
          <cell r="ED76">
            <v>4.4964962366986765E-2</v>
          </cell>
          <cell r="EF76">
            <v>2.7323943661971831E-2</v>
          </cell>
          <cell r="EG76">
            <v>2.1781625244345154E-2</v>
          </cell>
          <cell r="EH76">
            <v>2.099290780141844E-2</v>
          </cell>
          <cell r="EI76">
            <v>8.59375E-2</v>
          </cell>
          <cell r="EJ76">
            <v>4.3673935091277892E-2</v>
          </cell>
          <cell r="EK76" t="str">
            <v>Net Income, Reported</v>
          </cell>
          <cell r="EL76">
            <v>3.3879154078549849E-2</v>
          </cell>
          <cell r="EM76">
            <v>4.0850124206458734E-2</v>
          </cell>
          <cell r="EN76">
            <v>7.8530586871636804E-2</v>
          </cell>
          <cell r="EO76">
            <v>7.3033120886009828E-2</v>
          </cell>
          <cell r="EP76">
            <v>6.2822305050109079E-2</v>
          </cell>
          <cell r="ER76">
            <v>-8.7689713322091061E-3</v>
          </cell>
          <cell r="ES76">
            <v>5.2856547122602168E-2</v>
          </cell>
          <cell r="ET76">
            <v>-5.0968399592252807E-4</v>
          </cell>
          <cell r="EU76">
            <v>8.0030571023037456E-2</v>
          </cell>
          <cell r="EV76">
            <v>3.6888209121245831E-2</v>
          </cell>
          <cell r="EX76">
            <v>6.0800540449248439E-3</v>
          </cell>
          <cell r="EY76">
            <v>1.2559402579769178E-2</v>
          </cell>
          <cell r="EZ76">
            <v>5.5875380968506607E-3</v>
          </cell>
          <cell r="FA76">
            <v>8.7270188503607168E-2</v>
          </cell>
          <cell r="FB76">
            <v>3.3937597385322843E-2</v>
          </cell>
          <cell r="FD76">
            <v>-1.0266225856968854E-2</v>
          </cell>
          <cell r="FE76">
            <v>1.2766701643931445E-2</v>
          </cell>
          <cell r="FF76">
            <v>-8.0101947933733843E-3</v>
          </cell>
          <cell r="FG76">
            <v>-0.60158810184018152</v>
          </cell>
          <cell r="FH76">
            <v>-0.19295355937650652</v>
          </cell>
          <cell r="FJ76">
            <v>-1.6641452344931921E-2</v>
          </cell>
          <cell r="FK76">
            <v>1.3245033112582781E-3</v>
          </cell>
          <cell r="FL76">
            <v>-6.4995357474466105E-3</v>
          </cell>
          <cell r="FM76">
            <v>5.6066523875519719E-2</v>
          </cell>
          <cell r="FN76">
            <v>1.3768570830717723E-2</v>
          </cell>
          <cell r="FP76">
            <v>4.1263006817366344E-3</v>
          </cell>
          <cell r="FQ76">
            <v>2.6548672566371681E-2</v>
          </cell>
          <cell r="FR76">
            <v>1.7784101013693758E-3</v>
          </cell>
          <cell r="FS76">
            <v>8.0662716168823312E-2</v>
          </cell>
          <cell r="FT76">
            <v>3.3875934887813465E-2</v>
          </cell>
          <cell r="FV76">
            <v>2.2244863304465953E-2</v>
          </cell>
          <cell r="FW76">
            <v>4.0579222091261156E-2</v>
          </cell>
          <cell r="FX76">
            <v>2.3748505040150351E-2</v>
          </cell>
          <cell r="FY76">
            <v>8.5396607060981206E-2</v>
          </cell>
          <cell r="FZ76">
            <v>4.7566748721832988E-2</v>
          </cell>
          <cell r="GB76">
            <v>2.9464431059742797E-2</v>
          </cell>
          <cell r="GC76">
            <v>4.5603138280483818E-2</v>
          </cell>
          <cell r="GD76">
            <v>1.8128225220217339E-2</v>
          </cell>
          <cell r="GE76">
            <v>8.9498062186548211E-2</v>
          </cell>
          <cell r="GF76">
            <v>5.0847790666976311E-2</v>
          </cell>
        </row>
        <row r="78">
          <cell r="A78" t="str">
            <v>% Change</v>
          </cell>
          <cell r="AN78" t="str">
            <v>% Change</v>
          </cell>
        </row>
        <row r="79">
          <cell r="A79" t="str">
            <v>Sales</v>
          </cell>
          <cell r="C79" t="str">
            <v>--</v>
          </cell>
          <cell r="D79" t="str">
            <v>--</v>
          </cell>
          <cell r="E79" t="str">
            <v>--</v>
          </cell>
          <cell r="F79">
            <v>-2.935599258637267E-2</v>
          </cell>
          <cell r="G79">
            <v>2.1294160701975429E-2</v>
          </cell>
          <cell r="H79">
            <v>2.1111051631644839E-2</v>
          </cell>
          <cell r="I79">
            <v>6.6128669492348191E-2</v>
          </cell>
          <cell r="K79" t="str">
            <v xml:space="preserve">--  </v>
          </cell>
          <cell r="L79">
            <v>2.164244790716352E-2</v>
          </cell>
          <cell r="N79" t="str">
            <v>NA</v>
          </cell>
          <cell r="O79">
            <v>1.4985630217599466E-2</v>
          </cell>
          <cell r="P79">
            <v>2.6090473943234604E-2</v>
          </cell>
          <cell r="Q79">
            <v>9.5269382391589552E-3</v>
          </cell>
          <cell r="R79">
            <v>4.3215099251545652E-2</v>
          </cell>
          <cell r="S79">
            <v>3.7993636533782515E-2</v>
          </cell>
          <cell r="T79">
            <v>-5.126818127178745E-2</v>
          </cell>
          <cell r="U79">
            <v>-1.3557174532784266E-2</v>
          </cell>
          <cell r="V79">
            <v>-1.0211290218996805E-2</v>
          </cell>
          <cell r="W79">
            <v>2.361796003114458E-2</v>
          </cell>
          <cell r="X79">
            <v>0.41924442190669375</v>
          </cell>
          <cell r="Y79">
            <v>0.20455560518088434</v>
          </cell>
          <cell r="Z79">
            <v>-2.4360400444938812E-2</v>
          </cell>
          <cell r="AA79">
            <v>-5.4003724394785846E-2</v>
          </cell>
          <cell r="AB79">
            <v>-4.0053029085650005E-2</v>
          </cell>
          <cell r="AC79">
            <v>4.6369533375183014E-2</v>
          </cell>
          <cell r="AD79">
            <v>5.60732712074552E-2</v>
          </cell>
          <cell r="AE79">
            <v>4.8961204520547419E-2</v>
          </cell>
          <cell r="AF79">
            <v>2.3867294306323394E-2</v>
          </cell>
          <cell r="AG79">
            <v>1.9271419022529823E-2</v>
          </cell>
          <cell r="AH79">
            <v>1.0360976857347159E-2</v>
          </cell>
          <cell r="AI79">
            <v>1.0000000000000009E-2</v>
          </cell>
          <cell r="AJ79">
            <v>1.0000000000000009E-2</v>
          </cell>
          <cell r="AK79">
            <v>1.0000000000000009E-2</v>
          </cell>
          <cell r="AL79">
            <v>1.0000000000000009E-2</v>
          </cell>
          <cell r="AN79" t="str">
            <v>Sales</v>
          </cell>
          <cell r="AU79">
            <v>1.86046804069262E-3</v>
          </cell>
          <cell r="AV79">
            <v>-1.9629781109162359E-2</v>
          </cell>
          <cell r="AW79">
            <v>-3.3058964187159479E-2</v>
          </cell>
          <cell r="AX79">
            <v>-5.5011636021012E-2</v>
          </cell>
          <cell r="AY79">
            <v>-2.935599258637267E-2</v>
          </cell>
          <cell r="BA79">
            <v>-1.3614121583839567E-2</v>
          </cell>
          <cell r="BB79">
            <v>-2.5760441466214368E-2</v>
          </cell>
          <cell r="BC79">
            <v>4.6851163408529795E-2</v>
          </cell>
          <cell r="BD79">
            <v>5.9869931498505169E-2</v>
          </cell>
          <cell r="BE79">
            <v>2.1294160701975429E-2</v>
          </cell>
          <cell r="BG79">
            <v>1.1791495464221979E-2</v>
          </cell>
          <cell r="BH79">
            <v>3.0933042000752087E-2</v>
          </cell>
          <cell r="BI79">
            <v>1.9564384993575601E-4</v>
          </cell>
          <cell r="BJ79">
            <v>3.7800425987538633E-2</v>
          </cell>
          <cell r="BK79">
            <v>2.1111051631644839E-2</v>
          </cell>
          <cell r="BM79">
            <v>3.9850112465956933E-2</v>
          </cell>
          <cell r="BN79">
            <v>6.2446082242552547E-2</v>
          </cell>
          <cell r="BO79">
            <v>7.6842814149548744E-2</v>
          </cell>
          <cell r="BP79">
            <v>7.8120367498969223E-2</v>
          </cell>
          <cell r="BQ79">
            <v>6.6128669492348191E-2</v>
          </cell>
          <cell r="BS79" t="str">
            <v xml:space="preserve"> --  </v>
          </cell>
          <cell r="BT79" t="str">
            <v xml:space="preserve"> --  </v>
          </cell>
          <cell r="BU79" t="str">
            <v xml:space="preserve"> --  </v>
          </cell>
          <cell r="BV79" t="str">
            <v xml:space="preserve"> --  </v>
          </cell>
          <cell r="BW79" t="str">
            <v xml:space="preserve"> --  </v>
          </cell>
          <cell r="BY79">
            <v>1.7020422055820328E-2</v>
          </cell>
          <cell r="BZ79">
            <v>3.9647877712569946E-2</v>
          </cell>
          <cell r="CA79">
            <v>-5.6887192030066203E-3</v>
          </cell>
          <cell r="CC79">
            <v>0.11804838036151044</v>
          </cell>
          <cell r="CD79">
            <v>3.3347469922546225E-2</v>
          </cell>
          <cell r="CE79">
            <v>0.1751746612798819</v>
          </cell>
          <cell r="CF79">
            <v>2.164244790716352E-2</v>
          </cell>
          <cell r="CG79">
            <v>6.8016932452651169E-2</v>
          </cell>
          <cell r="CH79">
            <v>9.8290990037587012E-2</v>
          </cell>
          <cell r="CJ79">
            <v>0.10464972292558983</v>
          </cell>
          <cell r="CK79">
            <v>7.7856252051197838E-2</v>
          </cell>
          <cell r="CL79">
            <v>-3.7141754186954423E-2</v>
          </cell>
          <cell r="CM79">
            <v>-4.3674523732644466E-2</v>
          </cell>
          <cell r="CN79">
            <v>1.2014698867654605E-2</v>
          </cell>
          <cell r="CP79">
            <v>3.2838791771442555E-2</v>
          </cell>
          <cell r="CQ79">
            <v>5.1336569811840205E-2</v>
          </cell>
          <cell r="CR79">
            <v>3.799456270565793E-2</v>
          </cell>
          <cell r="CS79">
            <v>4.9966653147852647E-3</v>
          </cell>
          <cell r="CT79">
            <v>2.8844771112862544E-2</v>
          </cell>
          <cell r="CZ79">
            <v>-1.9358307391376894E-2</v>
          </cell>
          <cell r="DF79">
            <v>4.3215099251545652E-2</v>
          </cell>
          <cell r="DH79">
            <v>-7.4999999999999512E-3</v>
          </cell>
          <cell r="DI79">
            <v>-8.1627558662006994E-2</v>
          </cell>
          <cell r="DJ79">
            <v>-8.5810974135847262E-2</v>
          </cell>
          <cell r="DK79">
            <v>-6.1778001004520355E-2</v>
          </cell>
          <cell r="DL79">
            <v>-6.0848950101603072E-2</v>
          </cell>
          <cell r="DN79">
            <v>-4.7579065211307281E-3</v>
          </cell>
          <cell r="DO79">
            <v>-5.191628159826045E-2</v>
          </cell>
          <cell r="DP79">
            <v>-8.1173982020095181E-2</v>
          </cell>
          <cell r="DQ79">
            <v>-8.4225553176302648E-2</v>
          </cell>
          <cell r="DR79">
            <v>-5.126818127178745E-2</v>
          </cell>
          <cell r="DT79">
            <v>-2.8965129358830111E-2</v>
          </cell>
          <cell r="DU79">
            <v>-5.7339449541282672E-4</v>
          </cell>
          <cell r="DV79">
            <v>1.1510791366906581E-3</v>
          </cell>
          <cell r="DW79">
            <v>-2.2408417770849565E-2</v>
          </cell>
          <cell r="DX79">
            <v>-1.3557174532784266E-2</v>
          </cell>
          <cell r="DZ79">
            <v>-4.6915725456125101E-2</v>
          </cell>
          <cell r="EA79">
            <v>-1.4916810097532984E-2</v>
          </cell>
          <cell r="EB79">
            <v>2.012072434607548E-3</v>
          </cell>
          <cell r="EC79">
            <v>7.1756029499701057E-3</v>
          </cell>
          <cell r="ED79">
            <v>-1.0211290218996805E-2</v>
          </cell>
          <cell r="EF79">
            <v>7.8699483439683915E-2</v>
          </cell>
          <cell r="EG79">
            <v>4.2807221898660375E-2</v>
          </cell>
          <cell r="EH79">
            <v>1.1187607573149849E-2</v>
          </cell>
          <cell r="EI79">
            <v>1.3259449831783066E-2</v>
          </cell>
          <cell r="EJ79">
            <v>2.361796003114458E-2</v>
          </cell>
          <cell r="EK79" t="str">
            <v>Sales</v>
          </cell>
          <cell r="EL79">
            <v>2.5633802816901419E-2</v>
          </cell>
          <cell r="EM79">
            <v>1.1728567439262871E-2</v>
          </cell>
          <cell r="EN79">
            <v>0.57588652482269498</v>
          </cell>
          <cell r="EO79">
            <v>0.86933593750000004</v>
          </cell>
          <cell r="EP79">
            <v>0.41924442190669375</v>
          </cell>
          <cell r="ER79">
            <v>0.62867344136226322</v>
          </cell>
          <cell r="ES79">
            <v>0.65470604471432514</v>
          </cell>
          <cell r="ET79">
            <v>5.9585958595859578E-2</v>
          </cell>
          <cell r="EU79">
            <v>-4.3046703583742518E-2</v>
          </cell>
          <cell r="EV79">
            <v>0.20455560518088434</v>
          </cell>
          <cell r="EX79">
            <v>-1.5177065767284503E-3</v>
          </cell>
          <cell r="EY79">
            <v>-1.7180984153461254E-2</v>
          </cell>
          <cell r="EZ79">
            <v>3.397893306150257E-3</v>
          </cell>
          <cell r="FA79">
            <v>-6.1687957200567745E-2</v>
          </cell>
          <cell r="FB79">
            <v>-2.4360400444938812E-2</v>
          </cell>
          <cell r="FD79">
            <v>-2.9386927883803371E-2</v>
          </cell>
          <cell r="FE79">
            <v>-2.9531568228105876E-2</v>
          </cell>
          <cell r="FF79">
            <v>-6.9928885878767333E-2</v>
          </cell>
          <cell r="FG79">
            <v>-7.6797765883174329E-2</v>
          </cell>
          <cell r="FH79">
            <v>-5.4003724394785846E-2</v>
          </cell>
          <cell r="FJ79">
            <v>-7.9867757090655966E-2</v>
          </cell>
          <cell r="FK79">
            <v>-7.5725778244141284E-2</v>
          </cell>
          <cell r="FL79">
            <v>-1.9661387220098359E-2</v>
          </cell>
          <cell r="FM79">
            <v>3.7811948575749987E-4</v>
          </cell>
          <cell r="FN79">
            <v>-4.0053029085650005E-2</v>
          </cell>
          <cell r="FP79">
            <v>5.4084720121028829E-2</v>
          </cell>
          <cell r="FQ79">
            <v>4.7682119205298079E-2</v>
          </cell>
          <cell r="FR79">
            <v>4.4196843082636939E-2</v>
          </cell>
          <cell r="FS79">
            <v>4.182940657679235E-2</v>
          </cell>
          <cell r="FT79">
            <v>4.6369533375183014E-2</v>
          </cell>
          <cell r="FV79">
            <v>5.6512378902045191E-2</v>
          </cell>
          <cell r="FW79">
            <v>7.2602492324363332E-2</v>
          </cell>
          <cell r="FX79">
            <v>4.0903432331495626E-2</v>
          </cell>
          <cell r="FY79">
            <v>5.5024791389527206E-2</v>
          </cell>
          <cell r="FZ79">
            <v>5.60732712074552E-2</v>
          </cell>
          <cell r="GB79">
            <v>4.313126167430803E-2</v>
          </cell>
          <cell r="GC79">
            <v>3.0139754167368249E-2</v>
          </cell>
          <cell r="GD79">
            <v>3.7021467099822347E-2</v>
          </cell>
          <cell r="GE79">
            <v>7.372007776590972E-2</v>
          </cell>
          <cell r="GF79">
            <v>4.8961204520547419E-2</v>
          </cell>
        </row>
        <row r="80">
          <cell r="A80" t="str">
            <v>Gross Profit</v>
          </cell>
          <cell r="C80" t="str">
            <v>--</v>
          </cell>
          <cell r="D80" t="str">
            <v>--</v>
          </cell>
          <cell r="E80" t="str">
            <v>--</v>
          </cell>
          <cell r="F80">
            <v>4.3771275428128309E-3</v>
          </cell>
          <cell r="G80">
            <v>3.6276141877347623E-2</v>
          </cell>
          <cell r="H80">
            <v>-3.2492537908579422E-4</v>
          </cell>
          <cell r="I80">
            <v>3.8822485147063324E-2</v>
          </cell>
          <cell r="K80" t="str">
            <v xml:space="preserve">--  </v>
          </cell>
          <cell r="L80">
            <v>2.4104472873397009E-2</v>
          </cell>
          <cell r="N80" t="str">
            <v>NA</v>
          </cell>
          <cell r="O80">
            <v>4.2862266857962794E-2</v>
          </cell>
          <cell r="P80">
            <v>3.5253654342218388E-2</v>
          </cell>
          <cell r="Q80">
            <v>2.109634551495021E-2</v>
          </cell>
          <cell r="R80">
            <v>4.9780380673499325E-2</v>
          </cell>
          <cell r="S80">
            <v>3.5642336897567128E-2</v>
          </cell>
          <cell r="T80">
            <v>-7.4966332485410736E-2</v>
          </cell>
          <cell r="U80">
            <v>1.0514396635393108E-2</v>
          </cell>
          <cell r="V80">
            <v>-1.6007683688170626E-3</v>
          </cell>
          <cell r="W80">
            <v>3.0944364277697645E-2</v>
          </cell>
          <cell r="X80">
            <v>0.418040435458787</v>
          </cell>
          <cell r="Y80">
            <v>0.2010309278350515</v>
          </cell>
          <cell r="Z80">
            <v>-2.8764496393023475E-2</v>
          </cell>
          <cell r="AA80">
            <v>-7.0797292215118435E-2</v>
          </cell>
          <cell r="AB80">
            <v>-2.6914904381260762E-2</v>
          </cell>
          <cell r="AC80">
            <v>5.843818238535925E-2</v>
          </cell>
          <cell r="AD80">
            <v>4.7941841045289424E-2</v>
          </cell>
          <cell r="AE80">
            <v>5.2283106976051208E-2</v>
          </cell>
          <cell r="AF80">
            <v>3.1446708308341842E-2</v>
          </cell>
          <cell r="AG80">
            <v>2.3016391982823015E-2</v>
          </cell>
          <cell r="AH80">
            <v>7.895213474916396E-3</v>
          </cell>
          <cell r="AI80">
            <v>5.0581747329294657E-3</v>
          </cell>
          <cell r="AJ80">
            <v>1.0000000000000009E-2</v>
          </cell>
          <cell r="AK80">
            <v>1.0000000000000231E-2</v>
          </cell>
          <cell r="AL80">
            <v>9.9999999999997868E-3</v>
          </cell>
          <cell r="AN80" t="str">
            <v>Gross Profit</v>
          </cell>
          <cell r="AU80">
            <v>6.5027775722650283E-3</v>
          </cell>
          <cell r="AV80">
            <v>3.7869418072755012E-2</v>
          </cell>
          <cell r="AW80">
            <v>-3.0220771411390679E-2</v>
          </cell>
          <cell r="AX80">
            <v>-2.6005050197239421E-2</v>
          </cell>
          <cell r="AY80">
            <v>-6.1546985500945395E-3</v>
          </cell>
          <cell r="BA80">
            <v>1.1670352425249941E-2</v>
          </cell>
          <cell r="BB80">
            <v>-1.4845097541082208E-2</v>
          </cell>
          <cell r="BC80">
            <v>7.1156503560925177E-2</v>
          </cell>
          <cell r="BD80">
            <v>0.10090327076774308</v>
          </cell>
          <cell r="BE80">
            <v>4.7257609611369489E-2</v>
          </cell>
          <cell r="BG80">
            <v>-6.9087592369292405E-3</v>
          </cell>
          <cell r="BH80">
            <v>2.1705715691430649E-2</v>
          </cell>
          <cell r="BI80">
            <v>-1.8726483357452972E-2</v>
          </cell>
          <cell r="BJ80">
            <v>4.8290496367902058E-3</v>
          </cell>
          <cell r="BK80">
            <v>-3.249253790856832E-4</v>
          </cell>
          <cell r="BM80">
            <v>1.2928263316267063E-2</v>
          </cell>
          <cell r="BN80">
            <v>3.1783854512606569E-2</v>
          </cell>
          <cell r="BO80">
            <v>4.5363312419325119E-2</v>
          </cell>
          <cell r="BP80">
            <v>5.6808313119516063E-2</v>
          </cell>
          <cell r="BQ80">
            <v>3.8822485147063324E-2</v>
          </cell>
          <cell r="BS80" t="str">
            <v xml:space="preserve"> --  </v>
          </cell>
          <cell r="BT80" t="str">
            <v xml:space="preserve"> --  </v>
          </cell>
          <cell r="BU80" t="str">
            <v xml:space="preserve"> --  </v>
          </cell>
          <cell r="BV80" t="str">
            <v xml:space="preserve"> --  </v>
          </cell>
          <cell r="BW80" t="str">
            <v xml:space="preserve"> --  </v>
          </cell>
          <cell r="BY80">
            <v>8.4989805548514319E-3</v>
          </cell>
          <cell r="BZ80">
            <v>6.1027079338339174E-2</v>
          </cell>
          <cell r="CA80">
            <v>-9.7742085728773631E-3</v>
          </cell>
          <cell r="CC80">
            <v>8.6561262946705408E-2</v>
          </cell>
          <cell r="CD80">
            <v>3.642482383578427E-2</v>
          </cell>
          <cell r="CE80">
            <v>0.1941411403085509</v>
          </cell>
          <cell r="CF80">
            <v>2.4104472873397009E-2</v>
          </cell>
          <cell r="CG80">
            <v>5.9100859621379565E-2</v>
          </cell>
          <cell r="CH80">
            <v>8.2881613838603707E-2</v>
          </cell>
          <cell r="CJ80">
            <v>0.1031062421623441</v>
          </cell>
          <cell r="CK80">
            <v>8.8312916724728296E-2</v>
          </cell>
          <cell r="CL80">
            <v>-3.8526770118407772E-4</v>
          </cell>
          <cell r="CM80">
            <v>-7.2087686537662954E-3</v>
          </cell>
          <cell r="CN80">
            <v>3.6671773517589878E-2</v>
          </cell>
          <cell r="CP80">
            <v>2.8127945059764459E-2</v>
          </cell>
          <cell r="CQ80">
            <v>5.0830517089523797E-2</v>
          </cell>
          <cell r="CR80">
            <v>2.8262914436901099E-2</v>
          </cell>
          <cell r="CS80">
            <v>2.7784685130880504E-3</v>
          </cell>
          <cell r="CT80">
            <v>2.4779188020634502E-2</v>
          </cell>
          <cell r="CV80">
            <v>9.6609808005589937E-3</v>
          </cell>
          <cell r="CW80">
            <v>4.0498966885695431E-2</v>
          </cell>
          <cell r="CX80">
            <v>-3.8617692586529473E-2</v>
          </cell>
          <cell r="CY80">
            <v>2.4693053195915082E-2</v>
          </cell>
          <cell r="CZ80">
            <v>9.7666629158388307E-3</v>
          </cell>
          <cell r="DB80">
            <v>6.8164794007490537E-2</v>
          </cell>
          <cell r="DC80">
            <v>0.19730305180979424</v>
          </cell>
          <cell r="DD80">
            <v>0.1995723449750535</v>
          </cell>
          <cell r="DE80">
            <v>0.23849999999999993</v>
          </cell>
          <cell r="DF80">
            <v>0.18317878639986995</v>
          </cell>
          <cell r="DH80">
            <v>-3.5063113604487661E-3</v>
          </cell>
          <cell r="DI80">
            <v>-0.10729104919976284</v>
          </cell>
          <cell r="DJ80">
            <v>-0.11645870469399877</v>
          </cell>
          <cell r="DK80">
            <v>-8.3972547436415024E-2</v>
          </cell>
          <cell r="DL80">
            <v>-8.1121957926577726E-2</v>
          </cell>
          <cell r="DN80">
            <v>-1.6185784658691027E-2</v>
          </cell>
          <cell r="DO80">
            <v>-9.6945551128818086E-2</v>
          </cell>
          <cell r="DP80">
            <v>-9.8184263618022904E-2</v>
          </cell>
          <cell r="DQ80">
            <v>-0.1092992507712649</v>
          </cell>
          <cell r="DR80">
            <v>-7.4966332485410736E-2</v>
          </cell>
          <cell r="DT80">
            <v>-1.6452074391988591E-2</v>
          </cell>
          <cell r="DU80">
            <v>5.5147058823529438E-2</v>
          </cell>
          <cell r="DV80">
            <v>1.9388516032811332E-2</v>
          </cell>
          <cell r="DW80">
            <v>-8.9064819396338368E-3</v>
          </cell>
          <cell r="DX80">
            <v>1.0514396635393108E-2</v>
          </cell>
          <cell r="DZ80">
            <v>-6.2545454545454571E-2</v>
          </cell>
          <cell r="EA80">
            <v>-1.8118466898954688E-2</v>
          </cell>
          <cell r="EB80">
            <v>2.0482809070958341E-2</v>
          </cell>
          <cell r="EC80">
            <v>3.4448327508736831E-2</v>
          </cell>
          <cell r="ED80">
            <v>-1.6007683688170626E-3</v>
          </cell>
          <cell r="EF80">
            <v>0.11016291698991476</v>
          </cell>
          <cell r="EG80">
            <v>5.2519517388218695E-2</v>
          </cell>
          <cell r="EH80">
            <v>1.6487455197132572E-2</v>
          </cell>
          <cell r="EI80">
            <v>1.2548262548262468E-2</v>
          </cell>
          <cell r="EJ80">
            <v>3.0944364277697645E-2</v>
          </cell>
          <cell r="EK80" t="str">
            <v>Gross Profit</v>
          </cell>
          <cell r="EL80">
            <v>2.3759608665268939E-2</v>
          </cell>
          <cell r="EM80">
            <v>9.4403236682401026E-3</v>
          </cell>
          <cell r="EN80">
            <v>0.58180535966149516</v>
          </cell>
          <cell r="EO80">
            <v>0.86510962821734982</v>
          </cell>
          <cell r="EP80">
            <v>0.418040435458787</v>
          </cell>
          <cell r="ER80">
            <v>0.57201365187713304</v>
          </cell>
          <cell r="ES80">
            <v>0.6867067468269874</v>
          </cell>
          <cell r="ET80">
            <v>5.7958091841284087E-2</v>
          </cell>
          <cell r="EU80">
            <v>-4.1656018400204498E-2</v>
          </cell>
          <cell r="EV80">
            <v>0.2010309278350515</v>
          </cell>
          <cell r="EX80">
            <v>2.3447676943117779E-2</v>
          </cell>
          <cell r="EY80">
            <v>-5.5445544554455495E-2</v>
          </cell>
          <cell r="EZ80">
            <v>-2.1913190054782983E-2</v>
          </cell>
          <cell r="FA80">
            <v>-4.720000000000002E-2</v>
          </cell>
          <cell r="FB80">
            <v>-2.8764496393023475E-2</v>
          </cell>
          <cell r="FD80">
            <v>-5.8124734832414093E-2</v>
          </cell>
          <cell r="FE80">
            <v>-5.4507337526205069E-3</v>
          </cell>
          <cell r="FF80">
            <v>-6.5489013356311965E-2</v>
          </cell>
          <cell r="FG80">
            <v>-0.12622446123705566</v>
          </cell>
          <cell r="FH80">
            <v>-7.0797292215118435E-2</v>
          </cell>
          <cell r="FJ80">
            <v>-9.5045045045045073E-2</v>
          </cell>
          <cell r="FK80">
            <v>-8.6003372681281665E-2</v>
          </cell>
          <cell r="FL80">
            <v>-1.152604887044717E-2</v>
          </cell>
          <cell r="FM80">
            <v>5.5733504163997472E-2</v>
          </cell>
          <cell r="FN80">
            <v>-2.6914904381260762E-2</v>
          </cell>
          <cell r="FP80">
            <v>9.3081134892981643E-2</v>
          </cell>
          <cell r="FQ80">
            <v>7.1494464944649394E-2</v>
          </cell>
          <cell r="FR80">
            <v>4.7574626865671599E-2</v>
          </cell>
          <cell r="FS80">
            <v>3.5800970873786309E-2</v>
          </cell>
          <cell r="FT80">
            <v>5.843818238535925E-2</v>
          </cell>
          <cell r="FV80">
            <v>4.8724954462659342E-2</v>
          </cell>
          <cell r="FW80">
            <v>6.8445975032285888E-2</v>
          </cell>
          <cell r="FX80">
            <v>2.8049866429207482E-2</v>
          </cell>
          <cell r="FY80">
            <v>4.6572934973637903E-2</v>
          </cell>
          <cell r="FZ80">
            <v>4.7941841045289424E-2</v>
          </cell>
          <cell r="GB80">
            <v>3.6039947894051183E-2</v>
          </cell>
          <cell r="GC80">
            <v>3.2634971796937862E-2</v>
          </cell>
          <cell r="GD80">
            <v>4.0964529018576501E-2</v>
          </cell>
          <cell r="GE80">
            <v>8.3715870307765616E-2</v>
          </cell>
          <cell r="GF80">
            <v>5.2283106976051208E-2</v>
          </cell>
        </row>
        <row r="81">
          <cell r="A81" t="str">
            <v>SG&amp;A Expenses</v>
          </cell>
          <cell r="C81" t="str">
            <v>--</v>
          </cell>
          <cell r="D81" t="str">
            <v>--</v>
          </cell>
          <cell r="E81" t="str">
            <v>--</v>
          </cell>
          <cell r="F81">
            <v>-5.8849835020142849E-2</v>
          </cell>
          <cell r="G81">
            <v>-1.5232729947342261E-2</v>
          </cell>
          <cell r="H81">
            <v>-3.021377428858929E-2</v>
          </cell>
          <cell r="I81">
            <v>-8.3061205190442244E-3</v>
          </cell>
          <cell r="K81" t="str">
            <v xml:space="preserve">--  </v>
          </cell>
          <cell r="L81">
            <v>-3.9988014314258802E-2</v>
          </cell>
          <cell r="N81" t="str">
            <v>NA</v>
          </cell>
          <cell r="O81">
            <v>1.8318746183594303E-3</v>
          </cell>
          <cell r="P81">
            <v>-4.937017472572125E-2</v>
          </cell>
          <cell r="Q81">
            <v>2.7783714468903042E-3</v>
          </cell>
          <cell r="R81">
            <v>1.449275362318847E-2</v>
          </cell>
          <cell r="S81">
            <v>3.1932773109243806E-2</v>
          </cell>
          <cell r="T81">
            <v>-2.157980456026054E-2</v>
          </cell>
          <cell r="U81">
            <v>6.2421972534332237E-3</v>
          </cell>
          <cell r="V81">
            <v>2.0678246484706619E-4</v>
          </cell>
          <cell r="W81">
            <v>1.9433533181724139E-2</v>
          </cell>
          <cell r="X81">
            <v>0.41553437436625429</v>
          </cell>
          <cell r="Y81">
            <v>0.24326647564469916</v>
          </cell>
          <cell r="Z81">
            <v>-1.4289006683567695E-2</v>
          </cell>
          <cell r="AA81">
            <v>-1.1222819733458067E-2</v>
          </cell>
          <cell r="AB81">
            <v>-3.4878221801844411E-2</v>
          </cell>
          <cell r="AC81">
            <v>1.1882886193801401E-2</v>
          </cell>
          <cell r="AD81">
            <v>2.5423728813558366E-3</v>
          </cell>
          <cell r="AE81">
            <v>3.2895457056668631E-2</v>
          </cell>
          <cell r="AF81">
            <v>2.8840556723293442E-2</v>
          </cell>
          <cell r="AG81">
            <v>1.5986747937983381E-2</v>
          </cell>
          <cell r="AH81">
            <v>7.0944938127868173E-3</v>
          </cell>
          <cell r="AI81">
            <v>6.7240930267471466E-3</v>
          </cell>
          <cell r="AJ81">
            <v>6.7134331383311707E-3</v>
          </cell>
          <cell r="AK81">
            <v>6.7027036483089386E-3</v>
          </cell>
          <cell r="AL81">
            <v>6.691903872772631E-3</v>
          </cell>
          <cell r="AN81" t="str">
            <v>SG&amp;A Expenses</v>
          </cell>
          <cell r="AU81">
            <v>-1.7970858333921758E-2</v>
          </cell>
          <cell r="AV81">
            <v>-4.3370859777825732E-2</v>
          </cell>
          <cell r="AW81">
            <v>-4.885680233851819E-2</v>
          </cell>
          <cell r="AX81">
            <v>-0.10812646337956822</v>
          </cell>
          <cell r="AY81">
            <v>-5.6935471396727388E-2</v>
          </cell>
          <cell r="BA81">
            <v>-5.9676054312083893E-2</v>
          </cell>
          <cell r="BB81">
            <v>-5.4336787028889333E-2</v>
          </cell>
          <cell r="BC81">
            <v>-1.490662329650605E-2</v>
          </cell>
          <cell r="BD81">
            <v>5.3097970099575953E-2</v>
          </cell>
          <cell r="BE81">
            <v>-1.7231747598988156E-2</v>
          </cell>
          <cell r="BG81">
            <v>-1.1720049306384261E-2</v>
          </cell>
          <cell r="BH81">
            <v>-3.149411479950881E-2</v>
          </cell>
          <cell r="BI81">
            <v>-1.6592873571444899E-2</v>
          </cell>
          <cell r="BJ81">
            <v>-5.6537813361945743E-2</v>
          </cell>
          <cell r="BK81">
            <v>-3.021377428858929E-2</v>
          </cell>
          <cell r="BM81">
            <v>-2.4337214952934727E-2</v>
          </cell>
          <cell r="BN81">
            <v>-9.9927988167103354E-3</v>
          </cell>
          <cell r="BO81">
            <v>1.1548493915620961E-2</v>
          </cell>
          <cell r="BP81">
            <v>-1.1683246647691825E-2</v>
          </cell>
          <cell r="BQ81">
            <v>-8.3061205190442244E-3</v>
          </cell>
          <cell r="BS81" t="str">
            <v xml:space="preserve"> --  </v>
          </cell>
          <cell r="BT81" t="str">
            <v xml:space="preserve"> --  </v>
          </cell>
          <cell r="BU81" t="str">
            <v xml:space="preserve"> --  </v>
          </cell>
          <cell r="BV81" t="str">
            <v xml:space="preserve"> --  </v>
          </cell>
          <cell r="BW81" t="str">
            <v xml:space="preserve"> --  </v>
          </cell>
          <cell r="BY81">
            <v>-2.3332298817000052E-2</v>
          </cell>
          <cell r="BZ81">
            <v>-1.4777138934813694E-2</v>
          </cell>
          <cell r="CA81">
            <v>-6.3667545852863383E-2</v>
          </cell>
          <cell r="CC81">
            <v>7.8699904820596966E-2</v>
          </cell>
          <cell r="CD81">
            <v>-5.4079481346700597E-2</v>
          </cell>
          <cell r="CE81">
            <v>7.0586242424796719E-2</v>
          </cell>
          <cell r="CF81">
            <v>-3.9988014314258802E-2</v>
          </cell>
          <cell r="CG81">
            <v>-6.2629764467387883E-3</v>
          </cell>
          <cell r="CH81">
            <v>3.0267979016805002E-2</v>
          </cell>
          <cell r="CJ81">
            <v>7.7672135100503858E-2</v>
          </cell>
          <cell r="CK81">
            <v>4.3166552266297842E-2</v>
          </cell>
          <cell r="CL81">
            <v>-6.9022795685438454E-2</v>
          </cell>
          <cell r="CM81">
            <v>-3.8207828109723896E-2</v>
          </cell>
          <cell r="CN81">
            <v>-2.0739918931514945E-3</v>
          </cell>
          <cell r="CP81">
            <v>1.8299922380784928E-2</v>
          </cell>
          <cell r="CQ81">
            <v>2.5416882109617456E-2</v>
          </cell>
          <cell r="CR81">
            <v>3.1718659615083133E-3</v>
          </cell>
          <cell r="CS81">
            <v>-3.4978053520589136E-2</v>
          </cell>
          <cell r="CT81">
            <v>1.7467615690507365E-3</v>
          </cell>
          <cell r="CV81">
            <v>-1.7174743605248288E-2</v>
          </cell>
          <cell r="CW81">
            <v>-2.6087763438265021E-4</v>
          </cell>
          <cell r="CX81">
            <v>-3.8103199943595567E-2</v>
          </cell>
          <cell r="CY81">
            <v>8.9595609007990795E-3</v>
          </cell>
          <cell r="CZ81">
            <v>-1.1536290016769368E-2</v>
          </cell>
          <cell r="DB81">
            <v>4.0727902946273931E-2</v>
          </cell>
          <cell r="DC81">
            <v>0.19877408056042034</v>
          </cell>
          <cell r="DD81">
            <v>0.20506108202443274</v>
          </cell>
          <cell r="DE81">
            <v>0.29679999999999995</v>
          </cell>
          <cell r="DF81">
            <v>0.18755328218243816</v>
          </cell>
          <cell r="DH81">
            <v>-4.079933388842627E-2</v>
          </cell>
          <cell r="DI81">
            <v>-0.19357195032870711</v>
          </cell>
          <cell r="DJ81">
            <v>-0.11803041274438808</v>
          </cell>
          <cell r="DK81">
            <v>-0.1128932757557064</v>
          </cell>
          <cell r="DL81">
            <v>-0.1184493898061737</v>
          </cell>
          <cell r="DN81">
            <v>1.388888888888884E-2</v>
          </cell>
          <cell r="DO81">
            <v>1.8115942028984477E-3</v>
          </cell>
          <cell r="DP81">
            <v>-2.7093596059113323E-2</v>
          </cell>
          <cell r="DQ81">
            <v>-0.10639777468706535</v>
          </cell>
          <cell r="DR81">
            <v>-2.157980456026054E-2</v>
          </cell>
          <cell r="DT81">
            <v>-1.1986301369863006E-2</v>
          </cell>
          <cell r="DU81">
            <v>2.6220614828209809E-2</v>
          </cell>
          <cell r="DV81">
            <v>-5.0632911392405333E-3</v>
          </cell>
          <cell r="DW81">
            <v>1.2451361867704236E-2</v>
          </cell>
          <cell r="DX81">
            <v>6.2421972534332237E-3</v>
          </cell>
          <cell r="DZ81">
            <v>-1.6464471403812797E-2</v>
          </cell>
          <cell r="EA81">
            <v>0</v>
          </cell>
          <cell r="EB81">
            <v>1.187446988973706E-2</v>
          </cell>
          <cell r="EC81">
            <v>7.6863950807082304E-4</v>
          </cell>
          <cell r="ED81">
            <v>2.0678246484706619E-4</v>
          </cell>
          <cell r="EF81">
            <v>5.2863436123347984E-2</v>
          </cell>
          <cell r="EG81">
            <v>6.3436123348017626E-2</v>
          </cell>
          <cell r="EH81">
            <v>1.1735121542330251E-2</v>
          </cell>
          <cell r="EI81">
            <v>1.5360983102918668E-2</v>
          </cell>
          <cell r="EJ81">
            <v>1.9433533181724139E-2</v>
          </cell>
          <cell r="EK81" t="str">
            <v>SG&amp;A Expenses</v>
          </cell>
          <cell r="EL81">
            <v>1.5062761506276168E-2</v>
          </cell>
          <cell r="EM81">
            <v>-8.2850041425019949E-4</v>
          </cell>
          <cell r="EN81">
            <v>0.63463131731565858</v>
          </cell>
          <cell r="EO81">
            <v>0.95763993948562787</v>
          </cell>
          <cell r="EP81">
            <v>0.41553437436625429</v>
          </cell>
          <cell r="ER81">
            <v>0.77576257213520194</v>
          </cell>
          <cell r="ES81">
            <v>0.75538971807628519</v>
          </cell>
          <cell r="ET81">
            <v>6.1327927014698469E-2</v>
          </cell>
          <cell r="EU81">
            <v>-0.10625965996908815</v>
          </cell>
          <cell r="EV81">
            <v>0.24326647564469916</v>
          </cell>
          <cell r="EX81">
            <v>-1.9034354688950761E-2</v>
          </cell>
          <cell r="EY81">
            <v>-3.7316957959376507E-2</v>
          </cell>
          <cell r="EZ81">
            <v>1.2893982808023008E-2</v>
          </cell>
          <cell r="FA81">
            <v>-1.3402507565931643E-2</v>
          </cell>
          <cell r="FB81">
            <v>-1.4289006683567695E-2</v>
          </cell>
          <cell r="FD81">
            <v>-1.5617605300520587E-2</v>
          </cell>
          <cell r="FE81">
            <v>-4.906771344455052E-4</v>
          </cell>
          <cell r="FF81">
            <v>-1.6973125884017004E-2</v>
          </cell>
          <cell r="FG81">
            <v>-1.1393514460999121E-2</v>
          </cell>
          <cell r="FH81">
            <v>-1.1222819733458067E-2</v>
          </cell>
          <cell r="FJ81">
            <v>-4.5673076923076872E-2</v>
          </cell>
          <cell r="FK81">
            <v>-7.4128620520373056E-2</v>
          </cell>
          <cell r="FL81">
            <v>-1.3908872901678637E-2</v>
          </cell>
          <cell r="FM81">
            <v>-8.8652482269503396E-3</v>
          </cell>
          <cell r="FN81">
            <v>-3.4878221801844411E-2</v>
          </cell>
          <cell r="FP81">
            <v>4.0302267002518821E-3</v>
          </cell>
          <cell r="FQ81">
            <v>3.5524920466595944E-2</v>
          </cell>
          <cell r="FR81">
            <v>6.3229571984435573E-3</v>
          </cell>
          <cell r="FS81">
            <v>4.025044722719251E-3</v>
          </cell>
          <cell r="FT81">
            <v>1.1882886193801401E-2</v>
          </cell>
          <cell r="FV81">
            <v>-1.003512293025588E-2</v>
          </cell>
          <cell r="FW81">
            <v>1.177675371223752E-2</v>
          </cell>
          <cell r="FX81">
            <v>-2.4649589173513786E-2</v>
          </cell>
          <cell r="FY81">
            <v>3.0734966592427693E-2</v>
          </cell>
          <cell r="FZ81">
            <v>2.5423728813558366E-3</v>
          </cell>
          <cell r="GB81">
            <v>1.1150532184490691E-2</v>
          </cell>
          <cell r="GC81">
            <v>1.6700404858299489E-2</v>
          </cell>
          <cell r="GD81">
            <v>5.1542171941152182E-2</v>
          </cell>
          <cell r="GE81">
            <v>4.9003965820669126E-2</v>
          </cell>
          <cell r="GF81">
            <v>3.2895457056668631E-2</v>
          </cell>
        </row>
        <row r="82">
          <cell r="A82" t="str">
            <v>EBITDA</v>
          </cell>
          <cell r="C82" t="str">
            <v>--</v>
          </cell>
          <cell r="D82" t="str">
            <v>--</v>
          </cell>
          <cell r="E82" t="str">
            <v>--</v>
          </cell>
          <cell r="F82" t="str">
            <v>NM</v>
          </cell>
          <cell r="G82">
            <v>0.25511948219509839</v>
          </cell>
          <cell r="H82">
            <v>0.11579253029559311</v>
          </cell>
          <cell r="I82">
            <v>0.24208657072438222</v>
          </cell>
          <cell r="K82" t="str">
            <v xml:space="preserve">--  </v>
          </cell>
          <cell r="L82">
            <v>0.19104509304457218</v>
          </cell>
          <cell r="N82" t="str">
            <v>NA</v>
          </cell>
          <cell r="O82">
            <v>0.22931034482758617</v>
          </cell>
          <cell r="P82">
            <v>0.3541374474053296</v>
          </cell>
          <cell r="Q82">
            <v>7.6644225789746168E-2</v>
          </cell>
          <cell r="R82">
            <v>0.13419913419913421</v>
          </cell>
          <cell r="S82">
            <v>2.714164546225617E-2</v>
          </cell>
          <cell r="T82">
            <v>-0.14739884393063585</v>
          </cell>
          <cell r="U82">
            <v>1.2590799031477085E-2</v>
          </cell>
          <cell r="V82">
            <v>9.0865614538497841E-3</v>
          </cell>
          <cell r="W82">
            <v>5.9715639810426602E-2</v>
          </cell>
          <cell r="X82">
            <v>0.39355992844364929</v>
          </cell>
          <cell r="Y82">
            <v>0.13543003851091151</v>
          </cell>
          <cell r="Z82">
            <v>-4.2962125494629744E-2</v>
          </cell>
          <cell r="AA82">
            <v>-0.20171293561724746</v>
          </cell>
          <cell r="AB82">
            <v>-1.442841287458374E-2</v>
          </cell>
          <cell r="AC82">
            <v>0.15202702702702697</v>
          </cell>
          <cell r="AD82">
            <v>0.13098729227761496</v>
          </cell>
          <cell r="AE82">
            <v>7.4451148577618476E-2</v>
          </cell>
          <cell r="AF82">
            <v>3.5273448529756779E-2</v>
          </cell>
          <cell r="AG82">
            <v>3.7987838047570444E-2</v>
          </cell>
          <cell r="AH82">
            <v>1.0360976857346715E-2</v>
          </cell>
          <cell r="AI82">
            <v>2.7152968378332254E-3</v>
          </cell>
          <cell r="AJ82">
            <v>1.7337626360135916E-2</v>
          </cell>
          <cell r="AK82">
            <v>1.7284703162167681E-2</v>
          </cell>
          <cell r="AL82">
            <v>1.7232537922685198E-2</v>
          </cell>
          <cell r="AN82" t="str">
            <v>EBITDA</v>
          </cell>
          <cell r="AU82" t="str">
            <v xml:space="preserve">NM  </v>
          </cell>
          <cell r="AV82" t="str">
            <v xml:space="preserve">NM  </v>
          </cell>
          <cell r="AW82" t="str">
            <v xml:space="preserve">NM  </v>
          </cell>
          <cell r="AX82" t="str">
            <v xml:space="preserve">NM  </v>
          </cell>
          <cell r="AY82" t="str">
            <v xml:space="preserve">NM  </v>
          </cell>
          <cell r="BA82">
            <v>0.30715301767933378</v>
          </cell>
          <cell r="BB82">
            <v>0.19582595632813016</v>
          </cell>
          <cell r="BC82">
            <v>0.44399266930912384</v>
          </cell>
          <cell r="BD82">
            <v>0.17898938622800387</v>
          </cell>
          <cell r="BE82">
            <v>0.26654996817313736</v>
          </cell>
          <cell r="BG82">
            <v>1.1949263328975057E-2</v>
          </cell>
          <cell r="BH82">
            <v>0.32806541343263529</v>
          </cell>
          <cell r="BI82">
            <v>-2.3925337363195243E-2</v>
          </cell>
          <cell r="BJ82">
            <v>0.16753388482697118</v>
          </cell>
          <cell r="BK82">
            <v>0.10749585674199169</v>
          </cell>
          <cell r="BM82">
            <v>0.17663366060081342</v>
          </cell>
          <cell r="BN82">
            <v>0.24957560913812671</v>
          </cell>
          <cell r="BO82">
            <v>0.18270446147240116</v>
          </cell>
          <cell r="BP82">
            <v>0.21384022994739493</v>
          </cell>
          <cell r="BQ82">
            <v>0.20540555871441057</v>
          </cell>
          <cell r="BS82" t="str">
            <v xml:space="preserve"> --  </v>
          </cell>
          <cell r="BT82" t="str">
            <v xml:space="preserve"> --  </v>
          </cell>
          <cell r="BU82" t="str">
            <v xml:space="preserve"> --  </v>
          </cell>
          <cell r="BV82" t="str">
            <v xml:space="preserve"> --  </v>
          </cell>
          <cell r="BW82" t="str">
            <v xml:space="preserve"> --  </v>
          </cell>
          <cell r="BY82">
            <v>7.2504330246708326E-2</v>
          </cell>
          <cell r="BZ82">
            <v>0.36575001727354395</v>
          </cell>
          <cell r="CA82">
            <v>0.18887628568682002</v>
          </cell>
          <cell r="CC82">
            <v>7.0314332404113333E-2</v>
          </cell>
          <cell r="CD82">
            <v>0.18944747525482786</v>
          </cell>
          <cell r="CE82">
            <v>0.25587278221762366</v>
          </cell>
          <cell r="CF82">
            <v>0.19104509304457218</v>
          </cell>
          <cell r="CG82">
            <v>0.23296276515129999</v>
          </cell>
          <cell r="CH82">
            <v>0.19849724971248839</v>
          </cell>
          <cell r="CJ82">
            <v>0.26127542683937688</v>
          </cell>
          <cell r="CK82">
            <v>0.29837098120557481</v>
          </cell>
          <cell r="CL82">
            <v>0.31803910016453618</v>
          </cell>
          <cell r="CM82">
            <v>4.8110886426154353E-2</v>
          </cell>
          <cell r="CN82">
            <v>0.17340990038484327</v>
          </cell>
          <cell r="CP82">
            <v>0.1030069993090823</v>
          </cell>
          <cell r="CQ82">
            <v>0.16002480753058013</v>
          </cell>
          <cell r="CR82">
            <v>0.13307730885383018</v>
          </cell>
          <cell r="CS82">
            <v>8.8538170625890755E-2</v>
          </cell>
          <cell r="CT82">
            <v>0.11286355453001029</v>
          </cell>
          <cell r="CV82">
            <v>0.14385315104308449</v>
          </cell>
          <cell r="CW82">
            <v>0.18403152938805323</v>
          </cell>
          <cell r="CX82">
            <v>-4.1302135827978592E-3</v>
          </cell>
          <cell r="CY82">
            <v>4.8178009780680986E-2</v>
          </cell>
          <cell r="CZ82">
            <v>7.6604083120670463E-2</v>
          </cell>
          <cell r="DB82">
            <v>0.18452380952380953</v>
          </cell>
          <cell r="DC82">
            <v>0.19385342789598115</v>
          </cell>
          <cell r="DD82">
            <v>0.1908212560386473</v>
          </cell>
          <cell r="DE82">
            <v>0.15121412803532008</v>
          </cell>
          <cell r="DF82">
            <v>0.17316017316017307</v>
          </cell>
          <cell r="DH82" t="str">
            <v>NA</v>
          </cell>
          <cell r="DI82" t="str">
            <v>NA</v>
          </cell>
          <cell r="DJ82" t="str">
            <v>NA</v>
          </cell>
          <cell r="DK82" t="str">
            <v>NA</v>
          </cell>
          <cell r="DL82" t="str">
            <v>NA</v>
          </cell>
          <cell r="DN82">
            <v>-0.10135135135135132</v>
          </cell>
          <cell r="DO82">
            <v>-0.26736111111111116</v>
          </cell>
          <cell r="DP82">
            <v>-0.26008968609865468</v>
          </cell>
          <cell r="DQ82">
            <v>-8.3249749247743199E-2</v>
          </cell>
          <cell r="DR82">
            <v>-0.14739884393063585</v>
          </cell>
          <cell r="DT82">
            <v>-3.2581453634085267E-2</v>
          </cell>
          <cell r="DU82">
            <v>0.1090047393364928</v>
          </cell>
          <cell r="DV82">
            <v>7.575757575757569E-2</v>
          </cell>
          <cell r="DW82">
            <v>-3.5010940919037226E-2</v>
          </cell>
          <cell r="DX82">
            <v>1.2590799031477085E-2</v>
          </cell>
          <cell r="DZ82">
            <v>-0.13471502590673579</v>
          </cell>
          <cell r="EA82">
            <v>-4.4871794871794823E-2</v>
          </cell>
          <cell r="EB82">
            <v>6.4788732394366111E-2</v>
          </cell>
          <cell r="EC82">
            <v>7.8231292517006779E-2</v>
          </cell>
          <cell r="ED82">
            <v>9.0865614538497841E-3</v>
          </cell>
          <cell r="EF82">
            <v>0.23652694610778435</v>
          </cell>
          <cell r="EG82">
            <v>1.5659955257270708E-2</v>
          </cell>
          <cell r="EH82">
            <v>2.9100529100529071E-2</v>
          </cell>
          <cell r="EI82">
            <v>3.0494216614090464E-2</v>
          </cell>
          <cell r="EJ82">
            <v>5.9715639810426602E-2</v>
          </cell>
          <cell r="EK82" t="str">
            <v>EBITDA</v>
          </cell>
          <cell r="EL82">
            <v>3.874092009685226E-2</v>
          </cell>
          <cell r="EM82">
            <v>3.3039647577092435E-2</v>
          </cell>
          <cell r="EN82">
            <v>0.45244215938303345</v>
          </cell>
          <cell r="EO82">
            <v>0.68673469387755093</v>
          </cell>
          <cell r="EP82">
            <v>0.39355992844364929</v>
          </cell>
          <cell r="ER82">
            <v>8.3916083916083961E-2</v>
          </cell>
          <cell r="ES82">
            <v>0.53944562899786774</v>
          </cell>
          <cell r="ET82">
            <v>5.1327433628318486E-2</v>
          </cell>
          <cell r="EU82">
            <v>6.291591046581968E-2</v>
          </cell>
          <cell r="EV82">
            <v>0.13543003851091151</v>
          </cell>
          <cell r="EX82">
            <v>0.23225806451612896</v>
          </cell>
          <cell r="EY82">
            <v>-6.6481994459833826E-2</v>
          </cell>
          <cell r="EZ82">
            <v>-0.12289562289562295</v>
          </cell>
          <cell r="FA82">
            <v>-7.9112122936824125E-2</v>
          </cell>
          <cell r="FB82">
            <v>-4.2962125494629744E-2</v>
          </cell>
          <cell r="FD82">
            <v>-0.20593368237347298</v>
          </cell>
          <cell r="FE82">
            <v>-3.5608308605341255E-2</v>
          </cell>
          <cell r="FF82">
            <v>-0.22456813819577737</v>
          </cell>
          <cell r="FG82">
            <v>-0.26205191594561184</v>
          </cell>
          <cell r="FH82">
            <v>-0.20171293561724746</v>
          </cell>
          <cell r="FJ82">
            <v>-0.28131868131868132</v>
          </cell>
          <cell r="FK82">
            <v>-0.10307692307692307</v>
          </cell>
          <cell r="FL82">
            <v>-3.7128712871287162E-2</v>
          </cell>
          <cell r="FM82">
            <v>0.14321608040200995</v>
          </cell>
          <cell r="FN82">
            <v>-1.442841287458374E-2</v>
          </cell>
          <cell r="FP82">
            <v>0.49847094801223246</v>
          </cell>
          <cell r="FQ82">
            <v>0.12864493996569459</v>
          </cell>
          <cell r="FR82">
            <v>0.2005141388174807</v>
          </cell>
          <cell r="FS82">
            <v>6.5201465201465192E-2</v>
          </cell>
          <cell r="FT82">
            <v>0.15202702702702697</v>
          </cell>
          <cell r="FV82">
            <v>0.2204081632653061</v>
          </cell>
          <cell r="FW82">
            <v>0.17629179331306988</v>
          </cell>
          <cell r="FX82">
            <v>0.2269807280513918</v>
          </cell>
          <cell r="FY82">
            <v>4.9518569463548934E-2</v>
          </cell>
          <cell r="FZ82">
            <v>0.13098729227761496</v>
          </cell>
          <cell r="GB82">
            <v>8.1939799331103735E-2</v>
          </cell>
          <cell r="GC82">
            <v>4.7803617571059442E-2</v>
          </cell>
          <cell r="GD82">
            <v>-2.7896948954977407E-2</v>
          </cell>
          <cell r="GE82">
            <v>0.12346322966193712</v>
          </cell>
          <cell r="GF82">
            <v>7.4451148577618476E-2</v>
          </cell>
        </row>
        <row r="83">
          <cell r="A83" t="str">
            <v>Operating Income</v>
          </cell>
          <cell r="C83" t="str">
            <v>--</v>
          </cell>
          <cell r="D83" t="str">
            <v>--</v>
          </cell>
          <cell r="E83" t="str">
            <v>--</v>
          </cell>
          <cell r="F83">
            <v>1.2260584584199381</v>
          </cell>
          <cell r="G83">
            <v>0.45706091331758403</v>
          </cell>
          <cell r="H83">
            <v>0.16469753714355728</v>
          </cell>
          <cell r="I83">
            <v>0.25548377242026232</v>
          </cell>
          <cell r="K83" t="str">
            <v xml:space="preserve">--  </v>
          </cell>
          <cell r="L83">
            <v>0.4567216509641896</v>
          </cell>
          <cell r="N83" t="str">
            <v>NA</v>
          </cell>
          <cell r="O83">
            <v>0.3469079939668176</v>
          </cell>
          <cell r="P83">
            <v>0.50167973124300103</v>
          </cell>
          <cell r="Q83">
            <v>8.5011185682326573E-2</v>
          </cell>
          <cell r="R83">
            <v>0.16357388316151211</v>
          </cell>
          <cell r="S83">
            <v>4.6072061429415223E-2</v>
          </cell>
          <cell r="T83">
            <v>-0.2230378317334839</v>
          </cell>
          <cell r="U83">
            <v>2.5436046511627897E-2</v>
          </cell>
          <cell r="V83">
            <v>-7.795889440113446E-3</v>
          </cell>
          <cell r="W83">
            <v>7.071428571428573E-2</v>
          </cell>
          <cell r="X83">
            <v>0.42628418945963986</v>
          </cell>
          <cell r="Y83">
            <v>6.3143124415341534E-2</v>
          </cell>
          <cell r="Z83">
            <v>-8.4029916410030769E-2</v>
          </cell>
          <cell r="AA83">
            <v>-0.31556195965417866</v>
          </cell>
          <cell r="AB83">
            <v>2.0350877192982564E-2</v>
          </cell>
          <cell r="AC83">
            <v>0.31980742778541948</v>
          </cell>
          <cell r="AD83">
            <v>0.24335591453882222</v>
          </cell>
          <cell r="AE83">
            <v>0.11957109062333027</v>
          </cell>
          <cell r="AF83">
            <v>3.9791523239996573E-2</v>
          </cell>
          <cell r="AG83">
            <v>4.528803078121646E-2</v>
          </cell>
          <cell r="AH83">
            <v>1.0360976857346937E-2</v>
          </cell>
          <cell r="AI83">
            <v>-5.5325270158723683E-5</v>
          </cell>
          <cell r="AJ83">
            <v>2.0156440430671108E-2</v>
          </cell>
          <cell r="AK83">
            <v>2.005532527015963E-2</v>
          </cell>
          <cell r="AL83">
            <v>1.9956203620788981E-2</v>
          </cell>
          <cell r="AN83" t="str">
            <v>Operating Income</v>
          </cell>
          <cell r="AU83">
            <v>0.56987295825771134</v>
          </cell>
          <cell r="AV83" t="str">
            <v xml:space="preserve">NM  </v>
          </cell>
          <cell r="AW83">
            <v>0.258731509050524</v>
          </cell>
          <cell r="AX83">
            <v>0.53731133005851817</v>
          </cell>
          <cell r="AY83">
            <v>0.97503939396181427</v>
          </cell>
          <cell r="BA83">
            <v>1.039041425818882</v>
          </cell>
          <cell r="BB83">
            <v>2.7225290868492564</v>
          </cell>
          <cell r="BC83">
            <v>1.0794863611616914</v>
          </cell>
          <cell r="BD83">
            <v>0.29114836628460927</v>
          </cell>
          <cell r="BE83">
            <v>0.64224712703953801</v>
          </cell>
          <cell r="BG83">
            <v>2.5041046054262051E-2</v>
          </cell>
          <cell r="BH83">
            <v>0.95848460931334034</v>
          </cell>
          <cell r="BI83">
            <v>-3.0568395204390919E-2</v>
          </cell>
          <cell r="BJ83">
            <v>0.20401741352387148</v>
          </cell>
          <cell r="BK83">
            <v>0.16469753714355861</v>
          </cell>
          <cell r="BM83">
            <v>0.25151818946543703</v>
          </cell>
          <cell r="BN83">
            <v>0.39556701861852006</v>
          </cell>
          <cell r="BO83">
            <v>0.23574714570412225</v>
          </cell>
          <cell r="BP83">
            <v>0.23101259604236768</v>
          </cell>
          <cell r="BQ83">
            <v>0.25548377242026232</v>
          </cell>
          <cell r="BS83" t="str">
            <v xml:space="preserve"> --  </v>
          </cell>
          <cell r="BT83" t="str">
            <v xml:space="preserve"> --  </v>
          </cell>
          <cell r="BU83" t="str">
            <v xml:space="preserve"> --  </v>
          </cell>
          <cell r="BV83" t="str">
            <v xml:space="preserve"> --  </v>
          </cell>
          <cell r="BW83" t="str">
            <v xml:space="preserve"> --  </v>
          </cell>
          <cell r="BY83">
            <v>0.58488289449760744</v>
          </cell>
          <cell r="BZ83">
            <v>2.6225838633246044</v>
          </cell>
          <cell r="CA83">
            <v>0.5039048962321151</v>
          </cell>
          <cell r="CC83">
            <v>0.16149103364900097</v>
          </cell>
          <cell r="CD83">
            <v>0.2784946444162697</v>
          </cell>
          <cell r="CE83">
            <v>0.34232616609710487</v>
          </cell>
          <cell r="CF83">
            <v>0.4567216509641896</v>
          </cell>
          <cell r="CG83">
            <v>0.50029950161174308</v>
          </cell>
          <cell r="CH83">
            <v>0.43801781192470157</v>
          </cell>
          <cell r="CJ83">
            <v>0.38691376307528902</v>
          </cell>
          <cell r="CK83">
            <v>0.50321864403862304</v>
          </cell>
          <cell r="CL83">
            <v>0.60719440435217531</v>
          </cell>
          <cell r="CM83">
            <v>5.8918948290300976E-2</v>
          </cell>
          <cell r="CN83">
            <v>0.22404468977879466</v>
          </cell>
          <cell r="CP83">
            <v>0.11334190559979795</v>
          </cell>
          <cell r="CQ83">
            <v>0.21290884004786315</v>
          </cell>
          <cell r="CR83">
            <v>0.15691921110803886</v>
          </cell>
          <cell r="CS83">
            <v>7.5933720802124238E-2</v>
          </cell>
          <cell r="CT83">
            <v>0.11558702516505659</v>
          </cell>
          <cell r="CV83">
            <v>0.22247737403755097</v>
          </cell>
          <cell r="CW83">
            <v>0.26026621353723955</v>
          </cell>
          <cell r="CX83">
            <v>-4.090520635465611E-2</v>
          </cell>
          <cell r="CY83">
            <v>5.2035056613513264E-2</v>
          </cell>
          <cell r="CZ83">
            <v>8.5185171373485913E-2</v>
          </cell>
          <cell r="DB83">
            <v>0.24309392265193375</v>
          </cell>
          <cell r="DC83">
            <v>0.1910112359550562</v>
          </cell>
          <cell r="DD83">
            <v>0.17509727626459148</v>
          </cell>
          <cell r="DE83">
            <v>0.14133333333333331</v>
          </cell>
          <cell r="DF83">
            <v>0.16907216494845367</v>
          </cell>
          <cell r="DH83">
            <v>0.19555555555555548</v>
          </cell>
          <cell r="DI83">
            <v>0.26415094339622636</v>
          </cell>
          <cell r="DJ83">
            <v>-0.10927152317880795</v>
          </cell>
          <cell r="DK83">
            <v>-2.9205607476635476E-2</v>
          </cell>
          <cell r="DL83">
            <v>4.1152263374485631E-2</v>
          </cell>
          <cell r="DN83">
            <v>-0.14498141263940523</v>
          </cell>
          <cell r="DO83">
            <v>-0.36815920398009949</v>
          </cell>
          <cell r="DP83">
            <v>-0.4200743494423792</v>
          </cell>
          <cell r="DQ83">
            <v>-0.11432009626955475</v>
          </cell>
          <cell r="DR83">
            <v>-0.2230378317334839</v>
          </cell>
          <cell r="DT83">
            <v>-3.9130434782608692E-2</v>
          </cell>
          <cell r="DU83">
            <v>0.18110236220472431</v>
          </cell>
          <cell r="DV83">
            <v>0.20512820512820507</v>
          </cell>
          <cell r="DW83">
            <v>-4.6195652173913082E-2</v>
          </cell>
          <cell r="DX83">
            <v>2.5436046511627897E-2</v>
          </cell>
          <cell r="DZ83">
            <v>-0.30316742081447967</v>
          </cell>
          <cell r="EA83">
            <v>-8.666666666666667E-2</v>
          </cell>
          <cell r="EB83">
            <v>7.4468085106383031E-2</v>
          </cell>
          <cell r="EC83">
            <v>9.6866096866096818E-2</v>
          </cell>
          <cell r="ED83">
            <v>-7.795889440113446E-3</v>
          </cell>
          <cell r="EF83">
            <v>0.53246753246753253</v>
          </cell>
          <cell r="EG83">
            <v>7.2992700729928028E-3</v>
          </cell>
          <cell r="EH83">
            <v>4.4554455445544594E-2</v>
          </cell>
          <cell r="EI83">
            <v>7.7922077922076838E-3</v>
          </cell>
          <cell r="EJ83">
            <v>7.071428571428573E-2</v>
          </cell>
          <cell r="EK83" t="str">
            <v>Operating Income</v>
          </cell>
          <cell r="EL83">
            <v>6.7796610169491567E-2</v>
          </cell>
          <cell r="EM83">
            <v>5.4347826086956541E-2</v>
          </cell>
          <cell r="EN83">
            <v>0.27962085308056861</v>
          </cell>
          <cell r="EO83">
            <v>0.70747422680412364</v>
          </cell>
          <cell r="EP83">
            <v>0.42628418945963986</v>
          </cell>
          <cell r="ER83">
            <v>-0.40873015873015872</v>
          </cell>
          <cell r="ES83">
            <v>0.402061855670103</v>
          </cell>
          <cell r="ET83">
            <v>3.3333333333333437E-2</v>
          </cell>
          <cell r="EU83">
            <v>8.452830188679239E-2</v>
          </cell>
          <cell r="EV83">
            <v>6.3143124415341534E-2</v>
          </cell>
          <cell r="EX83">
            <v>0.63758389261744974</v>
          </cell>
          <cell r="EY83">
            <v>-0.14950980392156865</v>
          </cell>
          <cell r="EZ83">
            <v>-0.28315412186379929</v>
          </cell>
          <cell r="FA83">
            <v>-0.10160055671537926</v>
          </cell>
          <cell r="FB83">
            <v>-8.4029916410030769E-2</v>
          </cell>
          <cell r="FD83">
            <v>-0.42622950819672134</v>
          </cell>
          <cell r="FE83">
            <v>-3.458213256484155E-2</v>
          </cell>
          <cell r="FF83">
            <v>-0.58000000000000007</v>
          </cell>
          <cell r="FG83">
            <v>-0.32920216886134779</v>
          </cell>
          <cell r="FH83">
            <v>-0.31556195965417866</v>
          </cell>
          <cell r="FJ83">
            <v>-0.82857142857142851</v>
          </cell>
          <cell r="FK83">
            <v>-0.15820895522388057</v>
          </cell>
          <cell r="FL83">
            <v>4.7619047619047672E-2</v>
          </cell>
          <cell r="FM83">
            <v>0.22401847575057743</v>
          </cell>
          <cell r="FN83">
            <v>2.0350877192982564E-2</v>
          </cell>
          <cell r="FP83">
            <v>7.4583333333333339</v>
          </cell>
          <cell r="FQ83">
            <v>0.31205673758865249</v>
          </cell>
          <cell r="FR83">
            <v>1.0113636363636362</v>
          </cell>
          <cell r="FS83">
            <v>0.10283018867924532</v>
          </cell>
          <cell r="FT83">
            <v>0.31980742778541948</v>
          </cell>
          <cell r="FV83">
            <v>0.62561576354679804</v>
          </cell>
          <cell r="FW83">
            <v>0.36756756756756759</v>
          </cell>
          <cell r="FX83">
            <v>0.64406779661016955</v>
          </cell>
          <cell r="FY83">
            <v>7.6988879384088937E-2</v>
          </cell>
          <cell r="FZ83">
            <v>0.24335591453882222</v>
          </cell>
          <cell r="GB83">
            <v>0.18484848484848482</v>
          </cell>
          <cell r="GC83">
            <v>9.486166007905128E-2</v>
          </cell>
          <cell r="GD83">
            <v>-3.238833495997262E-2</v>
          </cell>
          <cell r="GE83">
            <v>0.14751519277253244</v>
          </cell>
          <cell r="GF83">
            <v>0.11957109062333027</v>
          </cell>
        </row>
        <row r="84">
          <cell r="A84" t="str">
            <v>Pretax Income</v>
          </cell>
          <cell r="C84" t="str">
            <v>--</v>
          </cell>
          <cell r="D84" t="str">
            <v>--</v>
          </cell>
          <cell r="E84" t="str">
            <v>--</v>
          </cell>
          <cell r="F84" t="str">
            <v>NM</v>
          </cell>
          <cell r="G84">
            <v>3.354567465605613</v>
          </cell>
          <cell r="H84">
            <v>0.5852107910537101</v>
          </cell>
          <cell r="I84">
            <v>0.16298330523682636</v>
          </cell>
          <cell r="K84" t="str">
            <v xml:space="preserve">--  </v>
          </cell>
          <cell r="L84">
            <v>2.3013597703017585</v>
          </cell>
          <cell r="N84" t="str">
            <v>NA</v>
          </cell>
          <cell r="O84">
            <v>1.1831683168316833</v>
          </cell>
          <cell r="P84">
            <v>1.1723356009070294</v>
          </cell>
          <cell r="Q84">
            <v>0.21398747390396666</v>
          </cell>
          <cell r="R84">
            <v>0.1917454858125538</v>
          </cell>
          <cell r="S84">
            <v>-1.1544011544011523E-2</v>
          </cell>
          <cell r="T84">
            <v>-0.43065693430656937</v>
          </cell>
          <cell r="U84">
            <v>0.34358974358974348</v>
          </cell>
          <cell r="V84">
            <v>3.4351145038167941E-2</v>
          </cell>
          <cell r="W84">
            <v>2.9520295202952074E-2</v>
          </cell>
          <cell r="X84">
            <v>0.83154121863799291</v>
          </cell>
          <cell r="Y84">
            <v>-0.3272994129158513</v>
          </cell>
          <cell r="Z84">
            <v>-4.0000000000000036E-2</v>
          </cell>
          <cell r="AA84">
            <v>-0.66363636363636358</v>
          </cell>
          <cell r="AB84">
            <v>0.14189189189189189</v>
          </cell>
          <cell r="AC84">
            <v>1.6035502958579881</v>
          </cell>
          <cell r="AD84">
            <v>0.49090909090909096</v>
          </cell>
          <cell r="AE84">
            <v>0.13483432061642264</v>
          </cell>
          <cell r="AF84">
            <v>4.7726760420446546E-2</v>
          </cell>
          <cell r="AG84">
            <v>9.8097064157964153E-2</v>
          </cell>
          <cell r="AH84">
            <v>1.3816344190469065E-2</v>
          </cell>
          <cell r="AI84">
            <v>2.5802460075930789E-2</v>
          </cell>
          <cell r="AJ84">
            <v>3.8381471630567709E-2</v>
          </cell>
          <cell r="AK84">
            <v>3.0505651064043793E-2</v>
          </cell>
          <cell r="AL84">
            <v>2.3967090203863339E-2</v>
          </cell>
          <cell r="AN84" t="str">
            <v>Pretax Income</v>
          </cell>
          <cell r="AU84" t="str">
            <v xml:space="preserve">NM  </v>
          </cell>
          <cell r="AV84" t="str">
            <v xml:space="preserve">NM  </v>
          </cell>
          <cell r="AW84" t="str">
            <v xml:space="preserve">NM  </v>
          </cell>
          <cell r="AX84" t="str">
            <v xml:space="preserve">NM  </v>
          </cell>
          <cell r="AY84" t="str">
            <v xml:space="preserve">NM  </v>
          </cell>
          <cell r="BA84" t="str">
            <v xml:space="preserve">NM  </v>
          </cell>
          <cell r="BB84" t="str">
            <v xml:space="preserve">NM  </v>
          </cell>
          <cell r="BC84" t="str">
            <v xml:space="preserve">NM  </v>
          </cell>
          <cell r="BD84" t="str">
            <v xml:space="preserve">NM  </v>
          </cell>
          <cell r="BE84" t="str">
            <v xml:space="preserve">NM  </v>
          </cell>
          <cell r="BG84">
            <v>0.72610550139274821</v>
          </cell>
          <cell r="BH84" t="str">
            <v xml:space="preserve">NM  </v>
          </cell>
          <cell r="BI84">
            <v>0.13468983523903932</v>
          </cell>
          <cell r="BJ84">
            <v>0.403693706492398</v>
          </cell>
          <cell r="BK84">
            <v>0.58521079105371432</v>
          </cell>
          <cell r="BM84">
            <v>0.46418215285307451</v>
          </cell>
          <cell r="BN84">
            <v>-0.43248023879277786</v>
          </cell>
          <cell r="BO84">
            <v>0.24313258747917277</v>
          </cell>
          <cell r="BP84">
            <v>0.137789203084834</v>
          </cell>
          <cell r="BQ84">
            <v>0.16298330523682614</v>
          </cell>
          <cell r="BS84" t="str">
            <v xml:space="preserve"> --  </v>
          </cell>
          <cell r="BT84" t="str">
            <v xml:space="preserve"> --  </v>
          </cell>
          <cell r="BU84" t="str">
            <v xml:space="preserve"> --  </v>
          </cell>
          <cell r="BV84" t="str">
            <v xml:space="preserve"> --  </v>
          </cell>
          <cell r="BW84" t="str">
            <v xml:space="preserve"> --  </v>
          </cell>
          <cell r="BY84" t="str">
            <v xml:space="preserve">NM </v>
          </cell>
          <cell r="BZ84" t="str">
            <v xml:space="preserve">NM </v>
          </cell>
          <cell r="CA84" t="str">
            <v xml:space="preserve">NM </v>
          </cell>
          <cell r="CC84" t="str">
            <v xml:space="preserve">NM </v>
          </cell>
          <cell r="CD84">
            <v>0.45877033771958153</v>
          </cell>
          <cell r="CE84">
            <v>0.34524859013417819</v>
          </cell>
          <cell r="CF84">
            <v>2.3013597703017599</v>
          </cell>
          <cell r="CG84">
            <v>1.9218592556476608</v>
          </cell>
          <cell r="CH84">
            <v>1.1829459884067255</v>
          </cell>
          <cell r="CJ84" t="str">
            <v xml:space="preserve">NM </v>
          </cell>
          <cell r="CK84" t="str">
            <v xml:space="preserve">NM </v>
          </cell>
          <cell r="CL84" t="str">
            <v xml:space="preserve">NM </v>
          </cell>
          <cell r="CM84">
            <v>0.11877233094735073</v>
          </cell>
          <cell r="CN84">
            <v>1.1911304132026577</v>
          </cell>
          <cell r="CP84">
            <v>-1.7664490999052544</v>
          </cell>
          <cell r="CQ84">
            <v>-3.8248118414450696</v>
          </cell>
          <cell r="CR84">
            <v>1.3810766588686971</v>
          </cell>
          <cell r="CS84">
            <v>0.34793188919827567</v>
          </cell>
          <cell r="CT84">
            <v>1.1707387792270185</v>
          </cell>
          <cell r="CV84">
            <v>1.3807888652336051</v>
          </cell>
          <cell r="CW84">
            <v>0.7140776397239661</v>
          </cell>
          <cell r="CX84">
            <v>5.0640890943475458E-2</v>
          </cell>
          <cell r="CY84">
            <v>8.7986298721735912E-2</v>
          </cell>
          <cell r="CZ84">
            <v>0.2136200941259947</v>
          </cell>
          <cell r="DB84">
            <v>0.44230769230769229</v>
          </cell>
          <cell r="DC84">
            <v>0.20725388601036276</v>
          </cell>
          <cell r="DD84">
            <v>0.14054054054054044</v>
          </cell>
          <cell r="DE84">
            <v>0.10425844346549185</v>
          </cell>
          <cell r="DF84">
            <v>0.15735167669819439</v>
          </cell>
          <cell r="DH84">
            <v>0.33333333333333326</v>
          </cell>
          <cell r="DI84">
            <v>0.39055793991416299</v>
          </cell>
          <cell r="DJ84">
            <v>-0.12322274881516593</v>
          </cell>
          <cell r="DK84">
            <v>-0.12101063829787229</v>
          </cell>
          <cell r="DL84">
            <v>1.7830609212481363E-2</v>
          </cell>
          <cell r="DN84">
            <v>-0.5</v>
          </cell>
          <cell r="DO84">
            <v>-0.58333333333333326</v>
          </cell>
          <cell r="DP84">
            <v>-0.75135135135135134</v>
          </cell>
          <cell r="DQ84">
            <v>-0.24508320726172461</v>
          </cell>
          <cell r="DR84">
            <v>-0.43065693430656937</v>
          </cell>
          <cell r="DT84">
            <v>0.47</v>
          </cell>
          <cell r="DU84">
            <v>0.64444444444444438</v>
          </cell>
          <cell r="DV84">
            <v>1.5</v>
          </cell>
          <cell r="DW84">
            <v>0.13026052104208419</v>
          </cell>
          <cell r="DX84">
            <v>0.34358974358974348</v>
          </cell>
          <cell r="DZ84">
            <v>-0.48299319727891155</v>
          </cell>
          <cell r="EA84">
            <v>-0.10360360360360366</v>
          </cell>
          <cell r="EB84">
            <v>-2.6086956521739091E-2</v>
          </cell>
          <cell r="EC84">
            <v>0.23581560283687941</v>
          </cell>
          <cell r="ED84">
            <v>3.4351145038167941E-2</v>
          </cell>
          <cell r="EF84">
            <v>1.0657894736842106</v>
          </cell>
          <cell r="EG84">
            <v>-0.36683417085427139</v>
          </cell>
          <cell r="EH84">
            <v>7.1428571428571397E-2</v>
          </cell>
          <cell r="EI84">
            <v>2.2955523672883782E-2</v>
          </cell>
          <cell r="EJ84">
            <v>2.9520295202952074E-2</v>
          </cell>
          <cell r="EK84" t="str">
            <v>Pretax Income</v>
          </cell>
          <cell r="EL84">
            <v>0.26114649681528657</v>
          </cell>
          <cell r="EM84">
            <v>0.88095238095238093</v>
          </cell>
          <cell r="EN84">
            <v>3.5166666666666666</v>
          </cell>
          <cell r="EO84">
            <v>0.49649368863955123</v>
          </cell>
          <cell r="EP84">
            <v>0.83154121863799291</v>
          </cell>
          <cell r="ER84">
            <v>-1.595959595959596</v>
          </cell>
          <cell r="ES84">
            <v>0.29113924050632911</v>
          </cell>
          <cell r="ET84">
            <v>-0.94464944649446492</v>
          </cell>
          <cell r="EU84">
            <v>8.434864104967188E-2</v>
          </cell>
          <cell r="EV84">
            <v>-0.3272994129158513</v>
          </cell>
          <cell r="EX84">
            <v>-1.7033898305084745</v>
          </cell>
          <cell r="EY84">
            <v>-0.63071895424836599</v>
          </cell>
          <cell r="EZ84">
            <v>0.26666666666666661</v>
          </cell>
          <cell r="FA84">
            <v>-6.1365600691443367E-2</v>
          </cell>
          <cell r="FB84">
            <v>-4.0000000000000036E-2</v>
          </cell>
          <cell r="FD84">
            <v>-2.2771084337349397</v>
          </cell>
          <cell r="FE84">
            <v>7.079646017699126E-2</v>
          </cell>
          <cell r="FF84">
            <v>-2.9736842105263159</v>
          </cell>
          <cell r="FG84">
            <v>-0.53591160220994483</v>
          </cell>
          <cell r="FH84">
            <v>-0.66363636363636358</v>
          </cell>
          <cell r="FJ84">
            <v>1.4056603773584904</v>
          </cell>
          <cell r="FK84">
            <v>-9.9173553719008267E-2</v>
          </cell>
          <cell r="FL84">
            <v>9.3333333333333268E-2</v>
          </cell>
          <cell r="FM84">
            <v>0.45833333333333326</v>
          </cell>
          <cell r="FN84">
            <v>0.14189189189189189</v>
          </cell>
          <cell r="FP84">
            <v>-1.1607843137254903</v>
          </cell>
          <cell r="FQ84">
            <v>1.2018348623853212</v>
          </cell>
          <cell r="FR84">
            <v>-1.1585365853658536</v>
          </cell>
          <cell r="FS84">
            <v>0.39591836734693886</v>
          </cell>
          <cell r="FT84">
            <v>1.6035502958579881</v>
          </cell>
          <cell r="FV84">
            <v>4.2195121951219514</v>
          </cell>
          <cell r="FW84">
            <v>0.64583333333333326</v>
          </cell>
          <cell r="FX84">
            <v>13.076923076923077</v>
          </cell>
          <cell r="FY84">
            <v>0.14619883040935666</v>
          </cell>
          <cell r="FZ84">
            <v>0.49090909090909096</v>
          </cell>
          <cell r="GB84">
            <v>0.30373831775700944</v>
          </cell>
          <cell r="GC84">
            <v>0.13670886075949373</v>
          </cell>
          <cell r="GD84">
            <v>-4.5601122805202454E-2</v>
          </cell>
          <cell r="GE84">
            <v>0.13154672486944907</v>
          </cell>
          <cell r="GF84">
            <v>0.13483432061642264</v>
          </cell>
        </row>
        <row r="85">
          <cell r="A85" t="str">
            <v>Net Income, Reported</v>
          </cell>
          <cell r="C85" t="str">
            <v>--</v>
          </cell>
          <cell r="D85" t="str">
            <v>--</v>
          </cell>
          <cell r="E85" t="str">
            <v>--</v>
          </cell>
          <cell r="F85" t="str">
            <v>NM</v>
          </cell>
          <cell r="G85">
            <v>4.2697454632093716</v>
          </cell>
          <cell r="H85">
            <v>0.59022063477709041</v>
          </cell>
          <cell r="I85">
            <v>0.16972540099983413</v>
          </cell>
          <cell r="K85" t="str">
            <v xml:space="preserve">--  </v>
          </cell>
          <cell r="L85">
            <v>3.0486739791766411</v>
          </cell>
          <cell r="N85" t="str">
            <v>NA</v>
          </cell>
          <cell r="O85">
            <v>2.5466666666666669</v>
          </cell>
          <cell r="P85">
            <v>1.0150375939849625</v>
          </cell>
          <cell r="Q85">
            <v>0.2350746268656716</v>
          </cell>
          <cell r="R85">
            <v>0.20090634441087607</v>
          </cell>
          <cell r="S85">
            <v>-1.2314465408805031</v>
          </cell>
          <cell r="T85">
            <v>0.5</v>
          </cell>
          <cell r="U85">
            <v>-3.9637681159420288</v>
          </cell>
          <cell r="V85">
            <v>-0.15281173594132025</v>
          </cell>
          <cell r="W85">
            <v>-5.7720057720057616E-3</v>
          </cell>
          <cell r="X85">
            <v>1.0414969667227032</v>
          </cell>
          <cell r="Y85">
            <v>-0.29270505075164965</v>
          </cell>
          <cell r="Z85">
            <v>-0.10239979896971985</v>
          </cell>
          <cell r="AA85">
            <v>-6.3784994400895858</v>
          </cell>
          <cell r="AB85">
            <v>-1.0684988548823653</v>
          </cell>
          <cell r="AC85">
            <v>1.4486322188449847</v>
          </cell>
          <cell r="AD85">
            <v>0.55908639523336645</v>
          </cell>
          <cell r="AE85">
            <v>0.1213160701218674</v>
          </cell>
          <cell r="AF85">
            <v>4.6715019631404564E-2</v>
          </cell>
          <cell r="AG85">
            <v>9.8097064157964153E-2</v>
          </cell>
          <cell r="AH85">
            <v>1.3816344190469065E-2</v>
          </cell>
          <cell r="AI85">
            <v>2.5802460075930789E-2</v>
          </cell>
          <cell r="AJ85">
            <v>3.8381471630567709E-2</v>
          </cell>
          <cell r="AK85">
            <v>3.0505651064043793E-2</v>
          </cell>
          <cell r="AL85">
            <v>2.3967090203863339E-2</v>
          </cell>
          <cell r="AN85" t="str">
            <v>Net Income, Reported</v>
          </cell>
          <cell r="AU85" t="str">
            <v xml:space="preserve">NM  </v>
          </cell>
          <cell r="AV85" t="str">
            <v xml:space="preserve">NM  </v>
          </cell>
          <cell r="AW85" t="str">
            <v xml:space="preserve">NM  </v>
          </cell>
          <cell r="AX85" t="str">
            <v xml:space="preserve">NM  </v>
          </cell>
          <cell r="AY85" t="str">
            <v xml:space="preserve">NM  </v>
          </cell>
          <cell r="BA85" t="str">
            <v xml:space="preserve">NM  </v>
          </cell>
          <cell r="BB85" t="str">
            <v xml:space="preserve">NM  </v>
          </cell>
          <cell r="BC85" t="str">
            <v xml:space="preserve">NM  </v>
          </cell>
          <cell r="BD85" t="str">
            <v xml:space="preserve">NM  </v>
          </cell>
          <cell r="BE85" t="str">
            <v xml:space="preserve">NM  </v>
          </cell>
          <cell r="BG85">
            <v>0.83711479850996984</v>
          </cell>
          <cell r="BH85" t="str">
            <v xml:space="preserve">NM  </v>
          </cell>
          <cell r="BI85">
            <v>9.3154328414921661E-2</v>
          </cell>
          <cell r="BJ85">
            <v>0.38871392824181727</v>
          </cell>
          <cell r="BK85">
            <v>0.5902206347770973</v>
          </cell>
          <cell r="BM85">
            <v>0.48488479262673212</v>
          </cell>
          <cell r="BN85">
            <v>-0.57392974133063923</v>
          </cell>
          <cell r="BO85">
            <v>0.28441084462982458</v>
          </cell>
          <cell r="BP85">
            <v>0.14084873730799452</v>
          </cell>
          <cell r="BQ85">
            <v>0.16972540099983369</v>
          </cell>
          <cell r="BS85" t="str">
            <v xml:space="preserve"> --  </v>
          </cell>
          <cell r="BT85" t="str">
            <v xml:space="preserve"> --  </v>
          </cell>
          <cell r="BU85" t="str">
            <v xml:space="preserve"> --  </v>
          </cell>
          <cell r="BV85" t="str">
            <v xml:space="preserve"> --  </v>
          </cell>
          <cell r="BW85" t="str">
            <v xml:space="preserve"> --  </v>
          </cell>
          <cell r="BY85" t="str">
            <v xml:space="preserve">NM </v>
          </cell>
          <cell r="BZ85" t="str">
            <v xml:space="preserve">NM </v>
          </cell>
          <cell r="CA85" t="str">
            <v xml:space="preserve">NM </v>
          </cell>
          <cell r="CC85" t="str">
            <v xml:space="preserve">NM </v>
          </cell>
          <cell r="CD85">
            <v>0.37055020770788127</v>
          </cell>
          <cell r="CE85">
            <v>0.33441950883194549</v>
          </cell>
          <cell r="CF85">
            <v>3.0486739791766455</v>
          </cell>
          <cell r="CG85">
            <v>2.8686737346110953</v>
          </cell>
          <cell r="CH85">
            <v>1.0154646949248605</v>
          </cell>
          <cell r="CJ85" t="str">
            <v xml:space="preserve">NM </v>
          </cell>
          <cell r="CK85" t="str">
            <v xml:space="preserve">NM </v>
          </cell>
          <cell r="CL85" t="str">
            <v xml:space="preserve">NM </v>
          </cell>
          <cell r="CM85">
            <v>0.1821292076273795</v>
          </cell>
          <cell r="CN85">
            <v>2.5848804756704831</v>
          </cell>
          <cell r="CP85">
            <v>-1.6344171083511347</v>
          </cell>
          <cell r="CQ85">
            <v>-3.440701651160242</v>
          </cell>
          <cell r="CR85">
            <v>1.5146288366306782</v>
          </cell>
          <cell r="CS85">
            <v>0.31077931687886151</v>
          </cell>
          <cell r="CT85">
            <v>1.1611549267169936</v>
          </cell>
          <cell r="CV85">
            <v>1.5035953281516088</v>
          </cell>
          <cell r="CW85">
            <v>0.61217417507909366</v>
          </cell>
          <cell r="CX85">
            <v>4.6482866221435382E-2</v>
          </cell>
          <cell r="CY85">
            <v>7.6289965178854002E-2</v>
          </cell>
          <cell r="CZ85">
            <v>0.19249316508388858</v>
          </cell>
          <cell r="DB85">
            <v>0.44436696882159565</v>
          </cell>
          <cell r="DC85">
            <v>0.28037383177570097</v>
          </cell>
          <cell r="DD85">
            <v>0.11818181818181817</v>
          </cell>
          <cell r="DE85">
            <v>9.8039215686274606E-2</v>
          </cell>
          <cell r="DF85">
            <v>0.1601876147418253</v>
          </cell>
          <cell r="DH85">
            <v>2.2988505747126409E-2</v>
          </cell>
          <cell r="DI85">
            <v>-0.54014598540145986</v>
          </cell>
          <cell r="DJ85">
            <v>-6.4308943089430892</v>
          </cell>
          <cell r="DK85">
            <v>-0.2589285714285714</v>
          </cell>
          <cell r="DL85">
            <v>-1.2314465408805031</v>
          </cell>
          <cell r="DN85">
            <v>-0.348314606741573</v>
          </cell>
          <cell r="DO85">
            <v>0.74603174603174605</v>
          </cell>
          <cell r="DP85">
            <v>-1.0044910179640718</v>
          </cell>
          <cell r="DQ85">
            <v>-2.346385542168675</v>
          </cell>
          <cell r="DR85">
            <v>0.5</v>
          </cell>
          <cell r="DT85">
            <v>0.53448275862068972</v>
          </cell>
          <cell r="DU85">
            <v>1.5636363636363635</v>
          </cell>
          <cell r="DV85">
            <v>34.333333333333336</v>
          </cell>
          <cell r="DW85">
            <v>-1.7628635346756152</v>
          </cell>
          <cell r="DX85">
            <v>-3.9637681159420288</v>
          </cell>
          <cell r="DZ85">
            <v>-0.4831460674157303</v>
          </cell>
          <cell r="EA85">
            <v>-0.57446808510638303</v>
          </cell>
          <cell r="EB85">
            <v>-0.36792452830188682</v>
          </cell>
          <cell r="EC85">
            <v>0.34897360703812308</v>
          </cell>
          <cell r="ED85">
            <v>-0.15281173594132025</v>
          </cell>
          <cell r="EF85">
            <v>1.1086956521739131</v>
          </cell>
          <cell r="EG85">
            <v>-0.35</v>
          </cell>
          <cell r="EH85">
            <v>0.10447761194029859</v>
          </cell>
          <cell r="EI85">
            <v>-4.3478260869565188E-2</v>
          </cell>
          <cell r="EJ85">
            <v>-5.7720057720057616E-3</v>
          </cell>
          <cell r="EK85" t="str">
            <v>Net Income, Reported</v>
          </cell>
          <cell r="EL85">
            <v>0.2716907216494846</v>
          </cell>
          <cell r="EM85">
            <v>0.89743589743589736</v>
          </cell>
          <cell r="EN85">
            <v>4.895100136107331</v>
          </cell>
          <cell r="EO85">
            <v>0.58863636363636362</v>
          </cell>
          <cell r="EP85">
            <v>1.0414969667227032</v>
          </cell>
          <cell r="ER85">
            <v>-1.4215509833487361</v>
          </cell>
          <cell r="ES85">
            <v>1.1410472972972974</v>
          </cell>
          <cell r="ET85">
            <v>-1.006876989296964</v>
          </cell>
          <cell r="EU85">
            <v>4.8640915593705314E-2</v>
          </cell>
          <cell r="EV85">
            <v>-0.29270505075164965</v>
          </cell>
          <cell r="EX85">
            <v>-1.6923076923076923</v>
          </cell>
          <cell r="EY85">
            <v>-0.76646942800788953</v>
          </cell>
          <cell r="EZ85">
            <v>-12</v>
          </cell>
          <cell r="FA85">
            <v>2.3192360163710735E-2</v>
          </cell>
          <cell r="FB85">
            <v>-0.10239979896971985</v>
          </cell>
          <cell r="FD85">
            <v>-2.6388888888888888</v>
          </cell>
          <cell r="FE85">
            <v>-1.3513513513513487E-2</v>
          </cell>
          <cell r="FF85">
            <v>-2.333333333333333</v>
          </cell>
          <cell r="FG85">
            <v>-7.3639999999999999</v>
          </cell>
          <cell r="FH85">
            <v>-6.3784994400895858</v>
          </cell>
          <cell r="FJ85">
            <v>0.49152542372881358</v>
          </cell>
          <cell r="FK85">
            <v>-0.90410958904109595</v>
          </cell>
          <cell r="FL85">
            <v>-0.20454545454545459</v>
          </cell>
          <cell r="FM85">
            <v>-1.0932327676513722</v>
          </cell>
          <cell r="FN85">
            <v>-1.0684988548823653</v>
          </cell>
          <cell r="FP85">
            <v>-1.2613636363636362</v>
          </cell>
          <cell r="FQ85">
            <v>20</v>
          </cell>
          <cell r="FR85">
            <v>-1.2857142857142856</v>
          </cell>
          <cell r="FS85">
            <v>0.49887640449438209</v>
          </cell>
          <cell r="FT85">
            <v>1.5744680851063828</v>
          </cell>
          <cell r="FV85">
            <v>4.6956521739130439</v>
          </cell>
          <cell r="FW85">
            <v>0.63945578231292521</v>
          </cell>
          <cell r="FX85">
            <v>12.9</v>
          </cell>
          <cell r="FY85">
            <v>0.11694152923538237</v>
          </cell>
          <cell r="FZ85">
            <v>0.48288075560802834</v>
          </cell>
          <cell r="GB85">
            <v>0.38167938931297707</v>
          </cell>
          <cell r="GC85">
            <v>0.15767634854771795</v>
          </cell>
          <cell r="GD85">
            <v>-0.20839822624612792</v>
          </cell>
          <cell r="GE85">
            <v>0.12528904365272142</v>
          </cell>
          <cell r="GF85">
            <v>0.1213160701218674</v>
          </cell>
        </row>
        <row r="86">
          <cell r="A86" t="str">
            <v>EPS, Before All Extraordinary Items</v>
          </cell>
          <cell r="C86" t="str">
            <v>--</v>
          </cell>
          <cell r="D86" t="str">
            <v>--</v>
          </cell>
          <cell r="E86" t="str">
            <v>--</v>
          </cell>
          <cell r="F86" t="str">
            <v>NM</v>
          </cell>
          <cell r="G86">
            <v>4.2697454632093716</v>
          </cell>
          <cell r="H86">
            <v>0.49352714229736749</v>
          </cell>
          <cell r="I86">
            <v>0.16715720920010613</v>
          </cell>
          <cell r="K86" t="str">
            <v xml:space="preserve">--  </v>
          </cell>
          <cell r="L86">
            <v>1.2429413062163106</v>
          </cell>
          <cell r="N86" t="str">
            <v>NA</v>
          </cell>
          <cell r="O86">
            <v>2.0831760191846533</v>
          </cell>
          <cell r="P86">
            <v>1.1166002434653026</v>
          </cell>
          <cell r="Q86">
            <v>0.19781195988990907</v>
          </cell>
          <cell r="R86">
            <v>0.23893143472537992</v>
          </cell>
          <cell r="S86">
            <v>0.11804933673070495</v>
          </cell>
          <cell r="T86">
            <v>-0.23747100765953244</v>
          </cell>
          <cell r="U86">
            <v>6.7412153054829504E-2</v>
          </cell>
          <cell r="V86">
            <v>8.2618698493725606E-2</v>
          </cell>
          <cell r="W86">
            <v>0.19253228900861408</v>
          </cell>
          <cell r="X86">
            <v>0.13546350508465377</v>
          </cell>
          <cell r="Y86">
            <v>-0.17112431238754444</v>
          </cell>
          <cell r="Z86">
            <v>2.511156865799169E-2</v>
          </cell>
          <cell r="AA86">
            <v>-0.3926266519774968</v>
          </cell>
          <cell r="AB86">
            <v>5.4566031260215864E-2</v>
          </cell>
          <cell r="AC86">
            <v>0.54543966376654018</v>
          </cell>
          <cell r="AD86">
            <v>0.36638230546571982</v>
          </cell>
          <cell r="AE86">
            <v>0.18944449755233173</v>
          </cell>
          <cell r="AF86">
            <v>0.15178647079450802</v>
          </cell>
          <cell r="AG86">
            <v>0.21619225683545951</v>
          </cell>
          <cell r="AH86">
            <v>0.10368489317104679</v>
          </cell>
          <cell r="AI86">
            <v>7.5550799930256041E-2</v>
          </cell>
          <cell r="AJ86">
            <v>8.0391871180272023E-2</v>
          </cell>
          <cell r="AK86">
            <v>0.1050161104972096</v>
          </cell>
          <cell r="AL86">
            <v>0.11070075260190304</v>
          </cell>
          <cell r="AN86" t="str">
            <v>EPS, Before All Extraordinary Items</v>
          </cell>
          <cell r="AU86" t="str">
            <v xml:space="preserve">NM  </v>
          </cell>
          <cell r="AV86" t="str">
            <v xml:space="preserve">NM  </v>
          </cell>
          <cell r="AW86" t="str">
            <v xml:space="preserve">NM  </v>
          </cell>
          <cell r="AX86" t="str">
            <v xml:space="preserve">NM  </v>
          </cell>
          <cell r="AY86" t="str">
            <v xml:space="preserve">NM  </v>
          </cell>
          <cell r="BA86" t="str">
            <v xml:space="preserve">NM  </v>
          </cell>
          <cell r="BB86" t="str">
            <v xml:space="preserve">NM  </v>
          </cell>
          <cell r="BC86" t="str">
            <v xml:space="preserve">NM  </v>
          </cell>
          <cell r="BD86" t="str">
            <v xml:space="preserve">NM  </v>
          </cell>
          <cell r="BE86" t="str">
            <v xml:space="preserve">NM  </v>
          </cell>
          <cell r="BG86">
            <v>0.15093972231627273</v>
          </cell>
          <cell r="BH86" t="str">
            <v xml:space="preserve">NM  </v>
          </cell>
          <cell r="BI86">
            <v>7.7195871065800059E-2</v>
          </cell>
          <cell r="BJ86">
            <v>0.24705403271076887</v>
          </cell>
          <cell r="BK86">
            <v>0.30893389999095677</v>
          </cell>
          <cell r="BM86">
            <v>0.47058823529411753</v>
          </cell>
          <cell r="BN86">
            <v>1.2483031355031047</v>
          </cell>
          <cell r="BO86">
            <v>0.29629629629629606</v>
          </cell>
          <cell r="BP86">
            <v>0.25961538461538458</v>
          </cell>
          <cell r="BQ86">
            <v>0.33175630280524948</v>
          </cell>
          <cell r="BS86" t="str">
            <v xml:space="preserve"> --  </v>
          </cell>
          <cell r="BT86" t="str">
            <v xml:space="preserve"> --  </v>
          </cell>
          <cell r="BU86" t="str">
            <v xml:space="preserve"> --  </v>
          </cell>
          <cell r="BV86" t="str">
            <v xml:space="preserve"> --  </v>
          </cell>
          <cell r="BW86" t="str">
            <v xml:space="preserve"> --  </v>
          </cell>
          <cell r="BY86" t="str">
            <v xml:space="preserve">NM </v>
          </cell>
          <cell r="BZ86" t="str">
            <v xml:space="preserve">NM </v>
          </cell>
          <cell r="CA86" t="str">
            <v xml:space="preserve">NM </v>
          </cell>
          <cell r="CC86" t="str">
            <v xml:space="preserve">NM </v>
          </cell>
          <cell r="CD86">
            <v>0.25642012991861307</v>
          </cell>
          <cell r="CE86">
            <v>0.21559931910688945</v>
          </cell>
          <cell r="CF86">
            <v>1.242941306216311</v>
          </cell>
          <cell r="CG86">
            <v>1.273034974194021</v>
          </cell>
          <cell r="CH86">
            <v>0.80871126553133621</v>
          </cell>
          <cell r="CJ86" t="str">
            <v xml:space="preserve">NM </v>
          </cell>
          <cell r="CK86" t="str">
            <v xml:space="preserve">NM </v>
          </cell>
          <cell r="CL86" t="str">
            <v xml:space="preserve">NM </v>
          </cell>
          <cell r="CM86">
            <v>0.13358996848546845</v>
          </cell>
          <cell r="CN86">
            <v>0.5557153119638325</v>
          </cell>
          <cell r="CP86">
            <v>1.8847721822542178</v>
          </cell>
          <cell r="CQ86">
            <v>0.98095749761223572</v>
          </cell>
          <cell r="CR86">
            <v>0.5218694349129136</v>
          </cell>
          <cell r="CS86">
            <v>9.3307514801961533E-2</v>
          </cell>
          <cell r="CT86">
            <v>0.25831729550304816</v>
          </cell>
          <cell r="CV86">
            <v>1.5034529101088574</v>
          </cell>
          <cell r="CW86">
            <v>0.60059447200373395</v>
          </cell>
          <cell r="CX86">
            <v>-0.17311732873453067</v>
          </cell>
          <cell r="CY86">
            <v>7.9567640585938015E-2</v>
          </cell>
          <cell r="CZ86">
            <v>0.15234039797565679</v>
          </cell>
          <cell r="DB86">
            <v>-0.26911815031362007</v>
          </cell>
          <cell r="DC86">
            <v>-0.35868875191480443</v>
          </cell>
          <cell r="DD86">
            <v>-0.29612724531270496</v>
          </cell>
          <cell r="DE86">
            <v>-0.45822134788913216</v>
          </cell>
          <cell r="DF86">
            <v>-0.40232656840273939</v>
          </cell>
          <cell r="DH86">
            <v>0.3569488949468862</v>
          </cell>
          <cell r="DI86">
            <v>0.50706646361742713</v>
          </cell>
          <cell r="DJ86">
            <v>-3.0975973608567631E-2</v>
          </cell>
          <cell r="DK86">
            <v>9.1775708959831892E-2</v>
          </cell>
          <cell r="DL86">
            <v>0.16010779214312887</v>
          </cell>
          <cell r="DN86">
            <v>-0.20822262267582348</v>
          </cell>
          <cell r="DO86">
            <v>-0.43841864714537893</v>
          </cell>
          <cell r="DP86">
            <v>-0.59273991713233776</v>
          </cell>
          <cell r="DQ86">
            <v>-9.5511908313649863E-2</v>
          </cell>
          <cell r="DR86">
            <v>-0.23747100765953244</v>
          </cell>
          <cell r="DT86">
            <v>1.0022997402227452E-2</v>
          </cell>
          <cell r="DU86">
            <v>0.25077409537636819</v>
          </cell>
          <cell r="DV86">
            <v>0.73436521566609403</v>
          </cell>
          <cell r="DW86">
            <v>-8.1762364367958806E-3</v>
          </cell>
          <cell r="DX86">
            <v>6.7412153054829504E-2</v>
          </cell>
          <cell r="DZ86">
            <v>-0.38502923283127022</v>
          </cell>
          <cell r="EA86">
            <v>3.0104736134886956E-2</v>
          </cell>
          <cell r="EB86">
            <v>0.18641645511193183</v>
          </cell>
          <cell r="EC86">
            <v>0.16982420675683696</v>
          </cell>
          <cell r="ED86">
            <v>8.2618698493725606E-2</v>
          </cell>
          <cell r="EF86">
            <v>1.2002944973744478</v>
          </cell>
          <cell r="EG86">
            <v>9.1284054291573158E-2</v>
          </cell>
          <cell r="EH86">
            <v>0.21440795242992539</v>
          </cell>
          <cell r="EI86">
            <v>0.11331568332715758</v>
          </cell>
          <cell r="EJ86">
            <v>0.19253228900861408</v>
          </cell>
          <cell r="EK86" t="str">
            <v>EPS, Before All Extraordinary Items</v>
          </cell>
          <cell r="EL86">
            <v>0.20924520779639133</v>
          </cell>
          <cell r="EM86">
            <v>0.14652501106684346</v>
          </cell>
          <cell r="EN86">
            <v>-0.41739246783196837</v>
          </cell>
          <cell r="EO86">
            <v>2.6745738601636537E-2</v>
          </cell>
          <cell r="EP86">
            <v>0.13546350508465377</v>
          </cell>
          <cell r="ER86">
            <v>-0.96536392307397523</v>
          </cell>
          <cell r="ES86">
            <v>-0.22511768742991911</v>
          </cell>
          <cell r="ET86">
            <v>0.27056097610725471</v>
          </cell>
          <cell r="EU86">
            <v>0.19806697860755884</v>
          </cell>
          <cell r="EV86">
            <v>-0.17112431238754444</v>
          </cell>
          <cell r="EX86">
            <v>11.942309582309582</v>
          </cell>
          <cell r="EY86">
            <v>4.1797260273972681E-2</v>
          </cell>
          <cell r="EZ86">
            <v>-0.60815006068840372</v>
          </cell>
          <cell r="FA86">
            <v>4.4816334601294416E-2</v>
          </cell>
          <cell r="FB86">
            <v>2.511156865799169E-2</v>
          </cell>
          <cell r="FD86">
            <v>-0.9375</v>
          </cell>
          <cell r="FE86">
            <v>-0.14705882352941191</v>
          </cell>
          <cell r="FF86">
            <v>-2</v>
          </cell>
          <cell r="FG86">
            <v>-0.3652694610778443</v>
          </cell>
          <cell r="FH86">
            <v>-0.3926266519774968</v>
          </cell>
          <cell r="FJ86">
            <v>-17</v>
          </cell>
          <cell r="FK86">
            <v>-0.31034482758620685</v>
          </cell>
          <cell r="FL86">
            <v>-0.625</v>
          </cell>
          <cell r="FM86">
            <v>0.27358490566037741</v>
          </cell>
          <cell r="FN86">
            <v>5.4566031260215864E-2</v>
          </cell>
          <cell r="FP86">
            <v>-1.5865790708587517</v>
          </cell>
          <cell r="FQ86">
            <v>0.74999999999999978</v>
          </cell>
          <cell r="FR86">
            <v>-3.6816339257873398</v>
          </cell>
          <cell r="FS86">
            <v>0.17777777777777781</v>
          </cell>
          <cell r="FT86">
            <v>0.54543966376654018</v>
          </cell>
          <cell r="FV86">
            <v>2.2460581395348833</v>
          </cell>
          <cell r="FW86">
            <v>0.58437972519886916</v>
          </cell>
          <cell r="FX86">
            <v>3.0013949179745154</v>
          </cell>
          <cell r="FY86">
            <v>7.2258601986732174E-2</v>
          </cell>
          <cell r="FZ86">
            <v>0.36638230546571982</v>
          </cell>
          <cell r="GB86">
            <v>0.40222359547930187</v>
          </cell>
          <cell r="GC86">
            <v>0.20624824041917611</v>
          </cell>
          <cell r="GD86">
            <v>-0.15861801416910437</v>
          </cell>
          <cell r="GE86">
            <v>0.23691312416154275</v>
          </cell>
          <cell r="GF86">
            <v>0.1894444975523315</v>
          </cell>
        </row>
        <row r="87">
          <cell r="A87" t="str">
            <v>EPS Diluted, Reported</v>
          </cell>
          <cell r="N87" t="str">
            <v>NA</v>
          </cell>
          <cell r="O87">
            <v>2.2064682872901682</v>
          </cell>
          <cell r="P87">
            <v>0.93578477247880953</v>
          </cell>
          <cell r="Q87">
            <v>0.22992133264419734</v>
          </cell>
          <cell r="R87">
            <v>0.22243255164301989</v>
          </cell>
          <cell r="S87">
            <v>-1.2456829504645728</v>
          </cell>
          <cell r="T87">
            <v>0.55467184368737477</v>
          </cell>
          <cell r="U87">
            <v>-3.976817793141421</v>
          </cell>
          <cell r="V87">
            <v>-9.7762659297635945E-2</v>
          </cell>
          <cell r="W87">
            <v>4.0016904008823184E-2</v>
          </cell>
          <cell r="X87">
            <v>0.67589282323900779</v>
          </cell>
          <cell r="Y87">
            <v>-0.43876139320187513</v>
          </cell>
          <cell r="Z87">
            <v>6.3775441193242965E-2</v>
          </cell>
          <cell r="AA87">
            <v>-6.8981600687855193</v>
          </cell>
          <cell r="AB87">
            <v>-1.0683488337132727</v>
          </cell>
          <cell r="AC87">
            <v>1.5289650455927051</v>
          </cell>
          <cell r="AD87">
            <v>0.48223350253807107</v>
          </cell>
          <cell r="AE87">
            <v>0.17465753424657549</v>
          </cell>
          <cell r="AF87">
            <v>0.15026075561396901</v>
          </cell>
          <cell r="AG87">
            <v>0.21619225683545951</v>
          </cell>
          <cell r="AH87">
            <v>0.10368489317104679</v>
          </cell>
          <cell r="AI87">
            <v>7.5550799930256041E-2</v>
          </cell>
          <cell r="AJ87">
            <v>8.0391871180272023E-2</v>
          </cell>
          <cell r="AK87">
            <v>0.1050161104972096</v>
          </cell>
          <cell r="AL87">
            <v>0.11070075260190304</v>
          </cell>
          <cell r="AN87" t="str">
            <v>EPS Diluted, Reported</v>
          </cell>
          <cell r="CP87">
            <v>2.0499765917603208</v>
          </cell>
          <cell r="CQ87">
            <v>0.90901548672567323</v>
          </cell>
          <cell r="CR87">
            <v>0.44316340604453752</v>
          </cell>
          <cell r="CS87">
            <v>7.3039696864150017E-3</v>
          </cell>
          <cell r="CT87">
            <v>0.1820266466798135</v>
          </cell>
          <cell r="CV87">
            <v>1.1399977372987853</v>
          </cell>
          <cell r="CW87">
            <v>0.50736428049067683</v>
          </cell>
          <cell r="CX87">
            <v>-0.2015756294478438</v>
          </cell>
          <cell r="CY87">
            <v>0.13072202033902447</v>
          </cell>
          <cell r="CZ87">
            <v>0.13765736493310232</v>
          </cell>
          <cell r="DB87">
            <v>-0.22622031593063341</v>
          </cell>
          <cell r="DC87">
            <v>-0.32952032783985374</v>
          </cell>
          <cell r="DD87">
            <v>-0.26449326496369807</v>
          </cell>
          <cell r="DE87">
            <v>-0.45797109202935382</v>
          </cell>
          <cell r="DF87">
            <v>-0.38246866698014048</v>
          </cell>
          <cell r="DH87">
            <v>2.3345318412651306E-2</v>
          </cell>
          <cell r="DI87">
            <v>-0.51059181851599011</v>
          </cell>
          <cell r="DJ87">
            <v>-6.938605959903458</v>
          </cell>
          <cell r="DK87">
            <v>-0.1916586947278911</v>
          </cell>
          <cell r="DL87">
            <v>-1.2456549810940736</v>
          </cell>
          <cell r="DN87">
            <v>-0.30786393354904007</v>
          </cell>
          <cell r="DO87">
            <v>0.82388586697203925</v>
          </cell>
          <cell r="DP87">
            <v>-1.0046410262722243</v>
          </cell>
          <cell r="DQ87">
            <v>-2.356478387312368</v>
          </cell>
          <cell r="DR87">
            <v>0.55467184368737477</v>
          </cell>
          <cell r="DT87">
            <v>0.51052810137926508</v>
          </cell>
          <cell r="DU87">
            <v>1.5145052490507034</v>
          </cell>
          <cell r="DV87">
            <v>34.098859962565932</v>
          </cell>
          <cell r="DW87">
            <v>-1.7971226803581755</v>
          </cell>
          <cell r="DX87">
            <v>-3.976817793141421</v>
          </cell>
          <cell r="DZ87">
            <v>-0.43844927744028617</v>
          </cell>
          <cell r="EA87">
            <v>-0.53741589379887245</v>
          </cell>
          <cell r="EB87">
            <v>-0.33320632791782234</v>
          </cell>
          <cell r="EC87">
            <v>0.40472238035780639</v>
          </cell>
          <cell r="ED87">
            <v>-9.7762659297635945E-2</v>
          </cell>
          <cell r="EF87">
            <v>1.1693693055752252</v>
          </cell>
          <cell r="EG87">
            <v>-0.33142857142857152</v>
          </cell>
          <cell r="EH87">
            <v>0.17604066821854025</v>
          </cell>
          <cell r="EI87">
            <v>2.0326843538787331E-2</v>
          </cell>
          <cell r="EJ87">
            <v>4.0016904008823184E-2</v>
          </cell>
          <cell r="EK87" t="str">
            <v>EPS Diluted, Reported</v>
          </cell>
          <cell r="EL87">
            <v>0.35558698453608217</v>
          </cell>
          <cell r="EM87">
            <v>0.96547144754316094</v>
          </cell>
          <cell r="EN87">
            <v>3.2230661891029717</v>
          </cell>
          <cell r="EO87">
            <v>-1.1617072930678152E-2</v>
          </cell>
          <cell r="EP87">
            <v>0.67589282323900779</v>
          </cell>
          <cell r="ER87">
            <v>-1.2610896412998625</v>
          </cell>
          <cell r="ES87">
            <v>0.34542922079805116</v>
          </cell>
          <cell r="ET87">
            <v>-1.0060891181827454</v>
          </cell>
          <cell r="EU87">
            <v>0.10971318583546186</v>
          </cell>
          <cell r="EV87">
            <v>-0.43876139320187513</v>
          </cell>
          <cell r="EX87">
            <v>-1.810889362526642</v>
          </cell>
          <cell r="EY87">
            <v>-0.71474378362169477</v>
          </cell>
          <cell r="EZ87">
            <v>-14.807121661721066</v>
          </cell>
          <cell r="FA87">
            <v>0.27023895272896103</v>
          </cell>
          <cell r="FB87">
            <v>6.3775441193242965E-2</v>
          </cell>
          <cell r="FD87">
            <v>-2.8526666666666669</v>
          </cell>
          <cell r="FE87">
            <v>5.170270270270283E-2</v>
          </cell>
          <cell r="FF87">
            <v>-2.3275757575757576</v>
          </cell>
          <cell r="FG87">
            <v>-7.3726942536051361</v>
          </cell>
          <cell r="FH87">
            <v>-6.8981600687855193</v>
          </cell>
          <cell r="FJ87">
            <v>0.49999999999999978</v>
          </cell>
          <cell r="FK87">
            <v>-0.88235294117647056</v>
          </cell>
          <cell r="FL87">
            <v>-0.20000000000000007</v>
          </cell>
          <cell r="FM87">
            <v>-1.092674315975287</v>
          </cell>
          <cell r="FN87">
            <v>-1.0683488337132727</v>
          </cell>
          <cell r="FP87">
            <v>-1.2380952380952381</v>
          </cell>
          <cell r="FQ87">
            <v>16.23329425556858</v>
          </cell>
          <cell r="FR87">
            <v>-1.25</v>
          </cell>
          <cell r="FS87">
            <v>0.47619047619047628</v>
          </cell>
          <cell r="FT87">
            <v>1.5289650455927051</v>
          </cell>
          <cell r="FV87">
            <v>4.9999999999999991</v>
          </cell>
          <cell r="FW87">
            <v>0.60889988761266101</v>
          </cell>
          <cell r="FX87">
            <v>15</v>
          </cell>
          <cell r="FY87">
            <v>0.1225806451612903</v>
          </cell>
          <cell r="FZ87">
            <v>0.48223350253807107</v>
          </cell>
          <cell r="GB87">
            <v>0.43333333333333335</v>
          </cell>
          <cell r="GC87">
            <v>0.20822406639004165</v>
          </cell>
          <cell r="GD87">
            <v>-0.15625</v>
          </cell>
          <cell r="GE87">
            <v>0.21264367816091956</v>
          </cell>
          <cell r="GF87">
            <v>0.17465753424657549</v>
          </cell>
        </row>
        <row r="89">
          <cell r="AR89">
            <v>68.3</v>
          </cell>
          <cell r="AU89">
            <v>66.742000000000004</v>
          </cell>
          <cell r="AV89">
            <v>66.046999999999997</v>
          </cell>
          <cell r="AW89">
            <v>64.048000000000002</v>
          </cell>
          <cell r="AX89">
            <v>64.046999999999997</v>
          </cell>
          <cell r="AY89">
            <v>260.88400000000001</v>
          </cell>
          <cell r="BA89">
            <v>56.853999999999999</v>
          </cell>
          <cell r="BB89">
            <v>57.481000000000002</v>
          </cell>
          <cell r="BC89">
            <v>58.634</v>
          </cell>
          <cell r="BD89">
            <v>57.152999999999999</v>
          </cell>
          <cell r="BE89">
            <v>230.12199999999999</v>
          </cell>
          <cell r="BG89">
            <v>56.424999999999997</v>
          </cell>
          <cell r="BH89">
            <v>56.37</v>
          </cell>
          <cell r="BI89">
            <v>57.966999999999999</v>
          </cell>
          <cell r="BJ89">
            <v>59.017999999999986</v>
          </cell>
          <cell r="BK89">
            <v>229.77999999999997</v>
          </cell>
          <cell r="BM89">
            <v>59.893000000000001</v>
          </cell>
          <cell r="BN89">
            <v>61.381999999999998</v>
          </cell>
          <cell r="BO89">
            <v>62.862000000000002</v>
          </cell>
          <cell r="BP89">
            <v>67.269000000000005</v>
          </cell>
          <cell r="BQ89">
            <v>251.40600000000001</v>
          </cell>
          <cell r="BS89">
            <v>136.37</v>
          </cell>
          <cell r="BT89">
            <v>141.60000000000002</v>
          </cell>
          <cell r="BU89">
            <v>136</v>
          </cell>
          <cell r="BV89">
            <v>137.10000000000002</v>
          </cell>
          <cell r="BW89">
            <v>551.07000000000005</v>
          </cell>
          <cell r="BY89">
            <v>115.258</v>
          </cell>
          <cell r="BZ89">
            <v>121</v>
          </cell>
          <cell r="CA89">
            <v>122.6</v>
          </cell>
          <cell r="CB89">
            <v>134.25</v>
          </cell>
          <cell r="CC89">
            <v>134.25</v>
          </cell>
          <cell r="CD89">
            <v>121.56399999999999</v>
          </cell>
          <cell r="CE89">
            <v>131.88</v>
          </cell>
          <cell r="CF89">
            <v>474.94499999999999</v>
          </cell>
          <cell r="CG89">
            <v>496.911</v>
          </cell>
          <cell r="CH89">
            <v>496.911</v>
          </cell>
          <cell r="CJ89">
            <v>133.32499999999999</v>
          </cell>
          <cell r="CK89">
            <v>133.30000000000001</v>
          </cell>
          <cell r="CL89">
            <v>135.27600000000001</v>
          </cell>
          <cell r="CM89">
            <v>131.46199999999999</v>
          </cell>
          <cell r="CN89">
            <v>533.36300000000006</v>
          </cell>
          <cell r="CP89">
            <v>145.684</v>
          </cell>
          <cell r="CQ89">
            <v>145.39400000000001</v>
          </cell>
          <cell r="CR89">
            <v>147.756</v>
          </cell>
          <cell r="CS89">
            <v>151.453</v>
          </cell>
          <cell r="CT89">
            <v>590.28699999999992</v>
          </cell>
          <cell r="CV89">
            <v>155</v>
          </cell>
          <cell r="CW89">
            <v>156</v>
          </cell>
          <cell r="CX89">
            <v>157</v>
          </cell>
          <cell r="CY89">
            <v>156</v>
          </cell>
          <cell r="CZ89">
            <v>624</v>
          </cell>
          <cell r="DB89">
            <v>173</v>
          </cell>
          <cell r="DC89">
            <v>187</v>
          </cell>
          <cell r="DD89">
            <v>191</v>
          </cell>
          <cell r="DE89">
            <v>187</v>
          </cell>
          <cell r="DF89">
            <v>738</v>
          </cell>
        </row>
        <row r="90">
          <cell r="A90" t="str">
            <v>∆ Sales - ∆ Expenses</v>
          </cell>
          <cell r="AN90" t="str">
            <v>∆ Sales - ∆ Expenses</v>
          </cell>
          <cell r="AU90">
            <v>108.2620000000001</v>
          </cell>
          <cell r="AV90">
            <v>74.555999999999898</v>
          </cell>
          <cell r="AW90">
            <v>117.31500000000005</v>
          </cell>
          <cell r="AX90">
            <v>227.72300000000027</v>
          </cell>
          <cell r="AY90">
            <v>527.85600000000034</v>
          </cell>
          <cell r="BA90">
            <v>141.51500000000016</v>
          </cell>
          <cell r="BB90">
            <v>89.155999999999949</v>
          </cell>
          <cell r="BC90">
            <v>169.40199999999993</v>
          </cell>
          <cell r="BD90">
            <v>268.48300000000006</v>
          </cell>
          <cell r="BE90">
            <v>668.55600000000004</v>
          </cell>
          <cell r="BG90">
            <v>143.20600000000007</v>
          </cell>
          <cell r="BH90">
            <v>118.40499999999997</v>
          </cell>
          <cell r="BI90">
            <v>165.34899999999993</v>
          </cell>
          <cell r="BJ90">
            <v>313.46299999999979</v>
          </cell>
          <cell r="BK90">
            <v>740.42299999999909</v>
          </cell>
          <cell r="BM90">
            <v>168.50100000000018</v>
          </cell>
          <cell r="BN90">
            <v>147.95599999999985</v>
          </cell>
          <cell r="BO90">
            <v>195.559</v>
          </cell>
          <cell r="BP90">
            <v>380.49400000000003</v>
          </cell>
          <cell r="BQ90">
            <v>892.50999999999885</v>
          </cell>
          <cell r="BS90">
            <v>196.87099999999998</v>
          </cell>
          <cell r="BT90">
            <v>173.67600000000004</v>
          </cell>
          <cell r="BU90">
            <v>260.07500000000005</v>
          </cell>
          <cell r="BV90">
            <v>603.24900000000014</v>
          </cell>
          <cell r="BW90">
            <v>1233.8709999999996</v>
          </cell>
          <cell r="BY90">
            <v>211.1449999999997</v>
          </cell>
          <cell r="BZ90">
            <v>237.19800000000009</v>
          </cell>
          <cell r="CA90">
            <v>309.19699999999978</v>
          </cell>
          <cell r="CC90">
            <v>278.36199999999985</v>
          </cell>
          <cell r="CD90">
            <v>717.53299999999979</v>
          </cell>
          <cell r="CE90">
            <v>757.60399999999947</v>
          </cell>
          <cell r="CF90">
            <v>1469.5959999999989</v>
          </cell>
          <cell r="CG90">
            <v>1521.3169999999991</v>
          </cell>
          <cell r="CH90">
            <v>1478.7909999999974</v>
          </cell>
          <cell r="CJ90">
            <v>266.31199999999984</v>
          </cell>
          <cell r="CK90">
            <v>307.97100000000006</v>
          </cell>
          <cell r="CL90">
            <v>366.89200000000045</v>
          </cell>
          <cell r="CM90">
            <v>794.05299999999966</v>
          </cell>
          <cell r="CN90">
            <v>1735.2279999999998</v>
          </cell>
          <cell r="CP90">
            <v>293.74400000000014</v>
          </cell>
          <cell r="CQ90">
            <v>357.25400000000036</v>
          </cell>
          <cell r="CR90">
            <v>415.71699999999998</v>
          </cell>
          <cell r="CS90">
            <v>864.35699999999997</v>
          </cell>
          <cell r="CT90">
            <v>1931.0720000000006</v>
          </cell>
          <cell r="CV90">
            <v>336</v>
          </cell>
          <cell r="CW90">
            <v>423</v>
          </cell>
          <cell r="CX90">
            <v>414</v>
          </cell>
          <cell r="CY90">
            <v>906</v>
          </cell>
          <cell r="CZ90">
            <v>2079</v>
          </cell>
          <cell r="DB90">
            <v>398</v>
          </cell>
          <cell r="DC90">
            <v>505</v>
          </cell>
          <cell r="DD90">
            <v>493</v>
          </cell>
          <cell r="DE90">
            <v>1043</v>
          </cell>
          <cell r="DF90">
            <v>2439</v>
          </cell>
          <cell r="FJ90">
            <v>-3.4194680167579095E-2</v>
          </cell>
          <cell r="FK90">
            <v>-1.5971577237682277E-3</v>
          </cell>
          <cell r="FL90">
            <v>-5.7525143184197214E-3</v>
          </cell>
          <cell r="FM90">
            <v>9.2433677127078395E-3</v>
          </cell>
          <cell r="FN90">
            <v>-5.1748072838055936E-3</v>
          </cell>
          <cell r="FP90">
            <v>5.0054493420776947E-2</v>
          </cell>
          <cell r="FQ90">
            <v>1.2157198738702135E-2</v>
          </cell>
          <cell r="FR90">
            <v>3.7873885884193381E-2</v>
          </cell>
          <cell r="FS90">
            <v>3.7804361854073099E-2</v>
          </cell>
          <cell r="FT90">
            <v>3.4486647181381613E-2</v>
          </cell>
          <cell r="FV90">
            <v>6.654750183230107E-2</v>
          </cell>
          <cell r="FW90">
            <v>6.0825738612125813E-2</v>
          </cell>
          <cell r="FX90">
            <v>6.5553021505009412E-2</v>
          </cell>
          <cell r="FY90">
            <v>2.4289824797099513E-2</v>
          </cell>
          <cell r="FZ90">
            <v>5.3530898326099363E-2</v>
          </cell>
          <cell r="GB90">
            <v>3.1980729489817339E-2</v>
          </cell>
          <cell r="GC90">
            <v>1.343934930906876E-2</v>
          </cell>
          <cell r="GD90">
            <v>-1.4520704841329835E-2</v>
          </cell>
          <cell r="GE90">
            <v>2.4716111945240593E-2</v>
          </cell>
          <cell r="GF90">
            <v>1.6065747463878788E-2</v>
          </cell>
        </row>
        <row r="91">
          <cell r="A91" t="str">
            <v>E = MorFYn Stanley Research Estimates</v>
          </cell>
        </row>
        <row r="92">
          <cell r="A92" t="str">
            <v>Macy's Inc.</v>
          </cell>
          <cell r="AN92" t="str">
            <v>Macy's Inc.</v>
          </cell>
        </row>
        <row r="93">
          <cell r="A93" t="str">
            <v>Annual Store Model</v>
          </cell>
          <cell r="F93" t="str">
            <v>Federated (Post-Bankruptcy)</v>
          </cell>
          <cell r="AN93" t="str">
            <v>Quarterly Store Model</v>
          </cell>
        </row>
        <row r="94">
          <cell r="A94" t="str">
            <v>($ Millions)</v>
          </cell>
          <cell r="J94" t="str">
            <v>91P-94E</v>
          </cell>
          <cell r="K94" t="str">
            <v>PFMA</v>
          </cell>
          <cell r="AN94" t="str">
            <v>($ Millions)</v>
          </cell>
          <cell r="EX94">
            <v>39447</v>
          </cell>
          <cell r="FD94">
            <v>39813</v>
          </cell>
          <cell r="FJ94">
            <v>40178</v>
          </cell>
          <cell r="FP94">
            <v>40543</v>
          </cell>
          <cell r="FV94">
            <v>40908</v>
          </cell>
          <cell r="GB94">
            <v>41274</v>
          </cell>
          <cell r="GG94" t="str">
            <v xml:space="preserve"> </v>
          </cell>
        </row>
        <row r="95">
          <cell r="A95">
            <v>41396.636050578702</v>
          </cell>
          <cell r="B95">
            <v>1987</v>
          </cell>
          <cell r="C95">
            <v>1988</v>
          </cell>
          <cell r="D95">
            <v>1989</v>
          </cell>
          <cell r="E95">
            <v>1990</v>
          </cell>
          <cell r="F95">
            <v>1991</v>
          </cell>
          <cell r="G95" t="str">
            <v>1992</v>
          </cell>
          <cell r="H95">
            <v>1993</v>
          </cell>
          <cell r="I95">
            <v>1994</v>
          </cell>
          <cell r="J95" t="str">
            <v>CAGR</v>
          </cell>
          <cell r="K95">
            <v>1994</v>
          </cell>
          <cell r="M95">
            <v>1994</v>
          </cell>
          <cell r="N95">
            <v>1995</v>
          </cell>
          <cell r="O95">
            <v>1996</v>
          </cell>
          <cell r="P95">
            <v>1997</v>
          </cell>
          <cell r="Q95">
            <v>1998</v>
          </cell>
          <cell r="R95">
            <v>1999</v>
          </cell>
          <cell r="S95">
            <v>2000</v>
          </cell>
          <cell r="T95">
            <v>2001</v>
          </cell>
          <cell r="U95">
            <v>2002</v>
          </cell>
          <cell r="V95">
            <v>2003</v>
          </cell>
          <cell r="W95">
            <v>2004</v>
          </cell>
          <cell r="X95">
            <v>2005</v>
          </cell>
          <cell r="Y95">
            <v>2006</v>
          </cell>
          <cell r="Z95">
            <v>2007</v>
          </cell>
          <cell r="AA95">
            <v>2008</v>
          </cell>
          <cell r="AB95">
            <v>2009</v>
          </cell>
          <cell r="AC95">
            <v>2010</v>
          </cell>
          <cell r="AD95">
            <v>2011</v>
          </cell>
          <cell r="AE95" t="str">
            <v>2012E</v>
          </cell>
          <cell r="AF95" t="str">
            <v>2013E</v>
          </cell>
          <cell r="AG95" t="str">
            <v>2014E</v>
          </cell>
          <cell r="AH95" t="str">
            <v>2015E</v>
          </cell>
          <cell r="AI95" t="str">
            <v>2016E</v>
          </cell>
          <cell r="AJ95" t="str">
            <v>2017E</v>
          </cell>
          <cell r="AK95" t="str">
            <v>2017E</v>
          </cell>
          <cell r="AL95" t="str">
            <v>2017E</v>
          </cell>
          <cell r="AN95">
            <v>41396.636050578702</v>
          </cell>
          <cell r="BS95" t="str">
            <v>1994 (Pro forma for Macy's)</v>
          </cell>
          <cell r="BY95" t="str">
            <v>1995E</v>
          </cell>
          <cell r="CJ95" t="str">
            <v>1996A</v>
          </cell>
          <cell r="CP95" t="str">
            <v>1997A</v>
          </cell>
          <cell r="CX95">
            <v>1998</v>
          </cell>
          <cell r="DD95">
            <v>1999</v>
          </cell>
          <cell r="DJ95">
            <v>2000</v>
          </cell>
          <cell r="DP95">
            <v>2001</v>
          </cell>
          <cell r="DV95">
            <v>2002</v>
          </cell>
          <cell r="EB95">
            <v>2003</v>
          </cell>
          <cell r="EH95">
            <v>2004</v>
          </cell>
          <cell r="EN95">
            <v>2005</v>
          </cell>
          <cell r="ET95">
            <v>2006</v>
          </cell>
          <cell r="EX95">
            <v>1</v>
          </cell>
          <cell r="EY95">
            <v>2</v>
          </cell>
          <cell r="EZ95">
            <v>3</v>
          </cell>
          <cell r="FA95">
            <v>4</v>
          </cell>
          <cell r="FB95" t="str">
            <v>Year</v>
          </cell>
          <cell r="FD95">
            <v>1</v>
          </cell>
          <cell r="FE95">
            <v>2</v>
          </cell>
          <cell r="FF95">
            <v>3</v>
          </cell>
          <cell r="FG95">
            <v>4</v>
          </cell>
          <cell r="FH95" t="str">
            <v>Year</v>
          </cell>
          <cell r="FJ95">
            <v>1</v>
          </cell>
          <cell r="FK95">
            <v>2</v>
          </cell>
          <cell r="FL95">
            <v>3</v>
          </cell>
          <cell r="FM95">
            <v>4</v>
          </cell>
          <cell r="FN95" t="str">
            <v>Year</v>
          </cell>
          <cell r="FP95">
            <v>1</v>
          </cell>
          <cell r="FQ95">
            <v>2</v>
          </cell>
          <cell r="FR95">
            <v>3</v>
          </cell>
          <cell r="FS95">
            <v>4</v>
          </cell>
          <cell r="FT95" t="str">
            <v>Year</v>
          </cell>
          <cell r="FV95">
            <v>1</v>
          </cell>
          <cell r="FW95">
            <v>2</v>
          </cell>
          <cell r="FX95">
            <v>3</v>
          </cell>
          <cell r="FY95">
            <v>4</v>
          </cell>
          <cell r="FZ95" t="str">
            <v>Year</v>
          </cell>
          <cell r="GB95">
            <v>1</v>
          </cell>
          <cell r="GC95">
            <v>2</v>
          </cell>
          <cell r="GD95">
            <v>3</v>
          </cell>
          <cell r="GE95">
            <v>4</v>
          </cell>
          <cell r="GF95" t="str">
            <v>Year</v>
          </cell>
        </row>
        <row r="96">
          <cell r="A96" t="str">
            <v>TOTAL RETAIL COMPANY (A)</v>
          </cell>
          <cell r="AN96" t="str">
            <v>TOTAL RETAIL COMPANY (A)</v>
          </cell>
        </row>
        <row r="97">
          <cell r="A97" t="str">
            <v>Sales</v>
          </cell>
          <cell r="N97">
            <v>14614</v>
          </cell>
          <cell r="O97">
            <v>14833</v>
          </cell>
          <cell r="P97">
            <v>15220</v>
          </cell>
          <cell r="Q97">
            <v>15365</v>
          </cell>
          <cell r="R97">
            <v>16029</v>
          </cell>
          <cell r="S97">
            <v>16638</v>
          </cell>
          <cell r="T97">
            <v>15785</v>
          </cell>
          <cell r="U97">
            <v>15571</v>
          </cell>
          <cell r="V97">
            <v>15412</v>
          </cell>
          <cell r="W97">
            <v>15776</v>
          </cell>
          <cell r="X97">
            <v>22390</v>
          </cell>
          <cell r="Y97">
            <v>26970</v>
          </cell>
          <cell r="Z97">
            <v>26313</v>
          </cell>
          <cell r="AA97">
            <v>24892</v>
          </cell>
          <cell r="AB97">
            <v>23895</v>
          </cell>
          <cell r="AC97">
            <v>25003</v>
          </cell>
          <cell r="AD97">
            <v>26405</v>
          </cell>
          <cell r="AE97">
            <v>27697.820605365057</v>
          </cell>
          <cell r="AF97">
            <v>28358.892641397051</v>
          </cell>
          <cell r="AG97">
            <v>28905.408744504351</v>
          </cell>
          <cell r="AH97">
            <v>29204.897015558319</v>
          </cell>
          <cell r="AI97">
            <v>29496.945985713905</v>
          </cell>
          <cell r="AJ97">
            <v>29791.915445571045</v>
          </cell>
          <cell r="AK97">
            <v>30089.834600026756</v>
          </cell>
          <cell r="AL97">
            <v>30390.732946027023</v>
          </cell>
          <cell r="AN97" t="str">
            <v>Sales</v>
          </cell>
          <cell r="DB97">
            <v>3470</v>
          </cell>
          <cell r="DC97">
            <v>3609</v>
          </cell>
          <cell r="DD97">
            <v>3691</v>
          </cell>
          <cell r="DE97">
            <v>5259</v>
          </cell>
          <cell r="DF97">
            <v>16029</v>
          </cell>
          <cell r="DH97">
            <v>3573</v>
          </cell>
          <cell r="DI97">
            <v>3679</v>
          </cell>
          <cell r="DJ97">
            <v>3782</v>
          </cell>
          <cell r="DK97">
            <v>5604</v>
          </cell>
          <cell r="DL97">
            <v>16638</v>
          </cell>
          <cell r="DN97">
            <v>3556</v>
          </cell>
          <cell r="DO97">
            <v>3488</v>
          </cell>
          <cell r="DP97">
            <v>3475</v>
          </cell>
          <cell r="DQ97">
            <v>5132</v>
          </cell>
          <cell r="DR97">
            <v>15785</v>
          </cell>
          <cell r="DT97">
            <v>3453</v>
          </cell>
          <cell r="DU97">
            <v>3486</v>
          </cell>
          <cell r="DV97">
            <v>3479</v>
          </cell>
          <cell r="DW97">
            <v>5017</v>
          </cell>
          <cell r="DX97">
            <v>15571</v>
          </cell>
          <cell r="DZ97">
            <v>3291</v>
          </cell>
          <cell r="EA97">
            <v>3434</v>
          </cell>
          <cell r="EB97">
            <v>3486</v>
          </cell>
          <cell r="EC97">
            <v>5053</v>
          </cell>
          <cell r="ED97">
            <v>15412</v>
          </cell>
          <cell r="EF97">
            <v>3550</v>
          </cell>
          <cell r="EG97">
            <v>3581</v>
          </cell>
          <cell r="EH97">
            <v>3525</v>
          </cell>
          <cell r="EI97">
            <v>5120</v>
          </cell>
          <cell r="EJ97">
            <v>15776</v>
          </cell>
          <cell r="EL97">
            <v>3641</v>
          </cell>
          <cell r="EM97">
            <v>3623</v>
          </cell>
          <cell r="EN97">
            <v>5555</v>
          </cell>
          <cell r="EO97">
            <v>9571</v>
          </cell>
          <cell r="EP97">
            <v>22390</v>
          </cell>
          <cell r="ER97">
            <v>5930</v>
          </cell>
          <cell r="ES97">
            <v>5995</v>
          </cell>
          <cell r="ET97">
            <v>5886</v>
          </cell>
          <cell r="EU97">
            <v>9159</v>
          </cell>
          <cell r="EV97">
            <v>26970</v>
          </cell>
          <cell r="EX97">
            <v>5921</v>
          </cell>
          <cell r="EY97">
            <v>5892</v>
          </cell>
          <cell r="EZ97">
            <v>5906</v>
          </cell>
          <cell r="FA97">
            <v>8594</v>
          </cell>
          <cell r="FB97">
            <v>26313</v>
          </cell>
          <cell r="FD97">
            <v>5747</v>
          </cell>
          <cell r="FE97">
            <v>5718</v>
          </cell>
          <cell r="FF97">
            <v>5493</v>
          </cell>
          <cell r="FG97">
            <v>7934</v>
          </cell>
          <cell r="FH97">
            <v>24892</v>
          </cell>
          <cell r="FJ97">
            <v>5288</v>
          </cell>
          <cell r="FK97">
            <v>5285</v>
          </cell>
          <cell r="FL97">
            <v>5385</v>
          </cell>
          <cell r="FM97">
            <v>7937</v>
          </cell>
          <cell r="FN97">
            <v>23895</v>
          </cell>
          <cell r="FP97">
            <v>5574</v>
          </cell>
          <cell r="FQ97">
            <v>5537</v>
          </cell>
          <cell r="FR97">
            <v>5623</v>
          </cell>
          <cell r="FS97">
            <v>8269</v>
          </cell>
          <cell r="FT97">
            <v>25003</v>
          </cell>
          <cell r="FV97">
            <v>5889</v>
          </cell>
          <cell r="FW97">
            <v>5939</v>
          </cell>
          <cell r="FX97">
            <v>5853</v>
          </cell>
          <cell r="FY97">
            <v>8724</v>
          </cell>
          <cell r="FZ97">
            <v>26405</v>
          </cell>
          <cell r="GB97">
            <v>6143</v>
          </cell>
          <cell r="GC97">
            <v>6118</v>
          </cell>
          <cell r="GD97">
            <v>6069.6866469352608</v>
          </cell>
          <cell r="GE97">
            <v>9367.1339584297966</v>
          </cell>
          <cell r="GF97">
            <v>27697.820605365057</v>
          </cell>
        </row>
        <row r="98">
          <cell r="A98" t="str">
            <v>% Change</v>
          </cell>
          <cell r="N98" t="str">
            <v>NA</v>
          </cell>
          <cell r="O98">
            <v>1.4985630217599466E-2</v>
          </cell>
          <cell r="P98">
            <v>2.6090473943234604E-2</v>
          </cell>
          <cell r="Q98">
            <v>9.5269382391589552E-3</v>
          </cell>
          <cell r="R98">
            <v>4.3215099251545652E-2</v>
          </cell>
          <cell r="S98">
            <v>3.7993636533782515E-2</v>
          </cell>
          <cell r="T98">
            <v>-5.126818127178745E-2</v>
          </cell>
          <cell r="U98">
            <v>-1.3557174532784266E-2</v>
          </cell>
          <cell r="V98">
            <v>-1.0211290218996805E-2</v>
          </cell>
          <cell r="W98">
            <v>2.361796003114458E-2</v>
          </cell>
          <cell r="X98">
            <v>0.41924442190669375</v>
          </cell>
          <cell r="Y98">
            <v>0.20455560518088434</v>
          </cell>
          <cell r="Z98">
            <v>-2.4360400444938812E-2</v>
          </cell>
          <cell r="AA98">
            <v>-5.4003724394785846E-2</v>
          </cell>
          <cell r="AB98">
            <v>-4.0053029085650005E-2</v>
          </cell>
          <cell r="AC98">
            <v>4.6369533375183014E-2</v>
          </cell>
          <cell r="AD98">
            <v>5.60732712074552E-2</v>
          </cell>
          <cell r="AE98">
            <v>4.8961204520547419E-2</v>
          </cell>
          <cell r="AF98">
            <v>2.3867294306323394E-2</v>
          </cell>
          <cell r="AG98">
            <v>1.9271419022529823E-2</v>
          </cell>
          <cell r="AH98">
            <v>1.0360976857347159E-2</v>
          </cell>
          <cell r="AI98">
            <v>1.0000000000000009E-2</v>
          </cell>
          <cell r="AJ98">
            <v>1.0000000000000009E-2</v>
          </cell>
          <cell r="AK98">
            <v>1.0000000000000009E-2</v>
          </cell>
          <cell r="AL98">
            <v>1.0000000000000009E-2</v>
          </cell>
          <cell r="AN98" t="str">
            <v>% Change</v>
          </cell>
          <cell r="DH98">
            <v>2.9682997118155585E-2</v>
          </cell>
          <cell r="DI98">
            <v>1.9395954558049322E-2</v>
          </cell>
          <cell r="DJ98">
            <v>2.4654565158493735E-2</v>
          </cell>
          <cell r="DK98">
            <v>6.560182544209936E-2</v>
          </cell>
          <cell r="DL98">
            <v>3.7993636533782515E-2</v>
          </cell>
          <cell r="DN98">
            <v>-4.7579065211307281E-3</v>
          </cell>
          <cell r="DO98">
            <v>-5.191628159826045E-2</v>
          </cell>
          <cell r="DP98">
            <v>-8.1173982020095181E-2</v>
          </cell>
          <cell r="DQ98">
            <v>-8.4225553176302648E-2</v>
          </cell>
          <cell r="DR98">
            <v>-5.126818127178745E-2</v>
          </cell>
          <cell r="DT98">
            <v>-2.8965129358830111E-2</v>
          </cell>
          <cell r="DU98">
            <v>-5.7339449541282672E-4</v>
          </cell>
          <cell r="DV98">
            <v>1.1510791366906581E-3</v>
          </cell>
          <cell r="DW98">
            <v>-2.2408417770849565E-2</v>
          </cell>
          <cell r="DX98">
            <v>-1.3557174532784266E-2</v>
          </cell>
          <cell r="DZ98">
            <v>-4.6915725456125101E-2</v>
          </cell>
          <cell r="EA98">
            <v>-1.4916810097532984E-2</v>
          </cell>
          <cell r="EB98">
            <v>2.012072434607548E-3</v>
          </cell>
          <cell r="EC98">
            <v>7.1756029499701057E-3</v>
          </cell>
          <cell r="ED98">
            <v>-1.0211290218996805E-2</v>
          </cell>
          <cell r="EF98">
            <v>7.8699483439683915E-2</v>
          </cell>
          <cell r="EG98">
            <v>4.2807221898660375E-2</v>
          </cell>
          <cell r="EH98">
            <v>1.1187607573149849E-2</v>
          </cell>
          <cell r="EI98">
            <v>1.3259449831783066E-2</v>
          </cell>
          <cell r="EJ98">
            <v>2.361796003114458E-2</v>
          </cell>
          <cell r="EL98">
            <v>2.5633802816901419E-2</v>
          </cell>
          <cell r="EM98">
            <v>1.1728567439262871E-2</v>
          </cell>
          <cell r="EN98">
            <v>0.57588652482269498</v>
          </cell>
          <cell r="EO98">
            <v>0.86933593750000004</v>
          </cell>
          <cell r="EP98">
            <v>0.41924442190669375</v>
          </cell>
          <cell r="ER98">
            <v>0.62867344136226322</v>
          </cell>
          <cell r="ES98">
            <v>0.65470604471432514</v>
          </cell>
          <cell r="ET98">
            <v>5.9585958595859578E-2</v>
          </cell>
          <cell r="EU98">
            <v>-4.3046703583742518E-2</v>
          </cell>
          <cell r="EV98">
            <v>0.20455560518088434</v>
          </cell>
          <cell r="EX98">
            <v>-1.5177065767284503E-3</v>
          </cell>
          <cell r="EY98">
            <v>-1.7180984153461254E-2</v>
          </cell>
          <cell r="EZ98">
            <v>3.397893306150257E-3</v>
          </cell>
          <cell r="FA98">
            <v>-6.1687957200567745E-2</v>
          </cell>
          <cell r="FB98">
            <v>-2.4360400444938812E-2</v>
          </cell>
          <cell r="FD98">
            <v>-2.9386927883803371E-2</v>
          </cell>
          <cell r="FE98">
            <v>-2.9531568228105876E-2</v>
          </cell>
          <cell r="FF98">
            <v>-6.9928885878767333E-2</v>
          </cell>
          <cell r="FG98">
            <v>-7.6797765883174329E-2</v>
          </cell>
          <cell r="FH98">
            <v>-5.4003724394785846E-2</v>
          </cell>
          <cell r="FJ98">
            <v>-7.9867757090655966E-2</v>
          </cell>
          <cell r="FK98">
            <v>-7.5725778244141284E-2</v>
          </cell>
          <cell r="FL98">
            <v>-1.9661387220098359E-2</v>
          </cell>
          <cell r="FM98">
            <v>3.7811948575749987E-4</v>
          </cell>
          <cell r="FN98">
            <v>-4.0053029085650005E-2</v>
          </cell>
          <cell r="FP98">
            <v>5.4084720121028829E-2</v>
          </cell>
          <cell r="FQ98">
            <v>4.7682119205298079E-2</v>
          </cell>
          <cell r="FR98">
            <v>4.4196843082636939E-2</v>
          </cell>
          <cell r="FS98">
            <v>4.182940657679235E-2</v>
          </cell>
          <cell r="FT98">
            <v>4.6369533375183014E-2</v>
          </cell>
          <cell r="FV98">
            <v>5.6512378902045191E-2</v>
          </cell>
          <cell r="FW98">
            <v>7.2602492324363332E-2</v>
          </cell>
          <cell r="FX98">
            <v>4.0903432331495626E-2</v>
          </cell>
          <cell r="FY98">
            <v>5.5024791389527206E-2</v>
          </cell>
          <cell r="FZ98">
            <v>5.60732712074552E-2</v>
          </cell>
          <cell r="GB98">
            <v>4.313126167430803E-2</v>
          </cell>
          <cell r="GC98">
            <v>3.0139754167368249E-2</v>
          </cell>
          <cell r="GD98">
            <v>3.7021467099822347E-2</v>
          </cell>
          <cell r="GE98">
            <v>7.372007776590972E-2</v>
          </cell>
          <cell r="GF98">
            <v>4.8961204520547419E-2</v>
          </cell>
        </row>
        <row r="99">
          <cell r="A99" t="str">
            <v>Sales/Ave. Sq. Ft.</v>
          </cell>
          <cell r="N99">
            <v>185.41332301426695</v>
          </cell>
          <cell r="O99">
            <v>178.15063475096383</v>
          </cell>
          <cell r="P99">
            <v>185.57015271131161</v>
          </cell>
          <cell r="Q99">
            <v>188.14093733737411</v>
          </cell>
          <cell r="R99">
            <v>195.1982853628686</v>
          </cell>
          <cell r="S99">
            <v>201.28966693685953</v>
          </cell>
          <cell r="T99">
            <v>188.59020310633213</v>
          </cell>
          <cell r="U99">
            <v>185.92238805970149</v>
          </cell>
          <cell r="V99">
            <v>184.02388059701494</v>
          </cell>
          <cell r="W99">
            <v>188.59533771667662</v>
          </cell>
          <cell r="X99">
            <v>185.19437551695614</v>
          </cell>
          <cell r="Y99">
            <v>171.29247380120674</v>
          </cell>
          <cell r="Z99">
            <v>169.01924133080252</v>
          </cell>
          <cell r="AA99">
            <v>161.08616025782067</v>
          </cell>
          <cell r="AB99">
            <v>154.91537840650133</v>
          </cell>
          <cell r="AC99">
            <v>162.05355551450691</v>
          </cell>
          <cell r="AD99">
            <v>172.31421812545884</v>
          </cell>
          <cell r="AE99">
            <v>181.86236863425094</v>
          </cell>
          <cell r="AF99">
            <v>186.01972201820288</v>
          </cell>
          <cell r="AG99">
            <v>189.48961276294534</v>
          </cell>
          <cell r="AH99">
            <v>191.48711704856575</v>
          </cell>
          <cell r="AI99">
            <v>193.36743935804478</v>
          </cell>
          <cell r="AJ99">
            <v>195.30111375162525</v>
          </cell>
          <cell r="AK99">
            <v>197.25412488914151</v>
          </cell>
          <cell r="AL99">
            <v>199.22666613803293</v>
          </cell>
          <cell r="AN99" t="str">
            <v>Sales/Ave. Sq. Ft.</v>
          </cell>
          <cell r="DN99">
            <v>42.637889688249395</v>
          </cell>
          <cell r="DO99" t="str">
            <v>NA</v>
          </cell>
          <cell r="DP99" t="str">
            <v>NA</v>
          </cell>
          <cell r="DQ99">
            <v>61.095238095238095</v>
          </cell>
          <cell r="DR99">
            <v>188.59020310633213</v>
          </cell>
          <cell r="DT99">
            <v>40.928309062964026</v>
          </cell>
          <cell r="DU99">
            <v>41.051569071497894</v>
          </cell>
          <cell r="DV99">
            <v>40.531173985405189</v>
          </cell>
          <cell r="DW99">
            <v>58.999502465059471</v>
          </cell>
          <cell r="DX99">
            <v>185.92238805970149</v>
          </cell>
          <cell r="DZ99">
            <v>39.370030102818724</v>
          </cell>
          <cell r="EA99">
            <v>40.857109529919512</v>
          </cell>
          <cell r="EB99">
            <v>41.073351045396791</v>
          </cell>
          <cell r="EC99">
            <v>59.682254173501882</v>
          </cell>
          <cell r="ED99">
            <v>184.02388059701494</v>
          </cell>
          <cell r="EF99">
            <v>42.261904761904759</v>
          </cell>
          <cell r="EG99">
            <v>42.723255711192614</v>
          </cell>
          <cell r="EH99">
            <v>42.055145596747828</v>
          </cell>
          <cell r="EI99">
            <v>61.207411835026896</v>
          </cell>
          <cell r="EJ99">
            <v>188.59533771667662</v>
          </cell>
          <cell r="EL99">
            <v>43.709483793517407</v>
          </cell>
          <cell r="EM99">
            <v>43.445778155702293</v>
          </cell>
          <cell r="EN99">
            <v>43.791542109400297</v>
          </cell>
          <cell r="EO99">
            <v>58.232044198895025</v>
          </cell>
          <cell r="EP99">
            <v>185.19437551695614</v>
          </cell>
          <cell r="ER99">
            <v>37.564453920983773</v>
          </cell>
          <cell r="ES99">
            <v>38.241149916138319</v>
          </cell>
          <cell r="ET99">
            <v>37.633373672820916</v>
          </cell>
          <cell r="EU99">
            <v>58.543624876054047</v>
          </cell>
          <cell r="EV99">
            <v>171.29247380120674</v>
          </cell>
          <cell r="EX99">
            <v>37.779911755416386</v>
          </cell>
          <cell r="EY99">
            <v>37.537030548211384</v>
          </cell>
          <cell r="EZ99">
            <v>37.569496571290443</v>
          </cell>
          <cell r="FA99">
            <v>55.004768274652626</v>
          </cell>
          <cell r="FB99">
            <v>169.01924133080252</v>
          </cell>
          <cell r="FD99">
            <v>37.076342944882242</v>
          </cell>
          <cell r="FE99">
            <v>36.812659743637617</v>
          </cell>
          <cell r="FF99">
            <v>35.32180589404102</v>
          </cell>
          <cell r="FG99">
            <v>51.267967858977556</v>
          </cell>
          <cell r="FH99">
            <v>161.08616025782067</v>
          </cell>
          <cell r="FJ99">
            <v>34.278231896646723</v>
          </cell>
          <cell r="FK99">
            <v>34.219744501207565</v>
          </cell>
          <cell r="FL99">
            <v>34.76615964672159</v>
          </cell>
          <cell r="FM99">
            <v>51.249269551011977</v>
          </cell>
          <cell r="FN99">
            <v>154.91537840650133</v>
          </cell>
          <cell r="FP99">
            <v>36.112145899807253</v>
          </cell>
          <cell r="FQ99">
            <v>35.883477528271925</v>
          </cell>
          <cell r="FR99">
            <v>36.398238022338667</v>
          </cell>
          <cell r="FS99">
            <v>53.540615176423742</v>
          </cell>
          <cell r="FT99">
            <v>162.05355551450691</v>
          </cell>
          <cell r="FV99">
            <v>38.175188396402241</v>
          </cell>
          <cell r="FW99">
            <v>38.484218165795113</v>
          </cell>
          <cell r="FX99">
            <v>37.934811492569239</v>
          </cell>
          <cell r="FY99">
            <v>56.911364659373348</v>
          </cell>
          <cell r="FZ99">
            <v>172.31421812545884</v>
          </cell>
          <cell r="GB99">
            <v>40.344225186845712</v>
          </cell>
          <cell r="GC99">
            <v>40.196844961596831</v>
          </cell>
          <cell r="GD99">
            <v>39.865531591519826</v>
          </cell>
          <cell r="GE99">
            <v>61.502875554350474</v>
          </cell>
          <cell r="GF99">
            <v>181.86236863425094</v>
          </cell>
        </row>
        <row r="100">
          <cell r="A100" t="str">
            <v>% Change</v>
          </cell>
          <cell r="N100" t="str">
            <v>NA</v>
          </cell>
          <cell r="O100">
            <v>-3.9170261042914767E-2</v>
          </cell>
          <cell r="P100">
            <v>4.16474404973044E-2</v>
          </cell>
          <cell r="Q100">
            <v>1.3853438112226168E-2</v>
          </cell>
          <cell r="R100">
            <v>3.751096452144953E-2</v>
          </cell>
          <cell r="S100">
            <v>3.1206122342044118E-2</v>
          </cell>
          <cell r="T100">
            <v>-6.3090490554147394E-2</v>
          </cell>
          <cell r="U100">
            <v>-1.4146095622615373E-2</v>
          </cell>
          <cell r="V100">
            <v>-1.0211290218996805E-2</v>
          </cell>
          <cell r="W100">
            <v>2.4841651555389754E-2</v>
          </cell>
          <cell r="X100">
            <v>-1.8033119168776479E-2</v>
          </cell>
          <cell r="Y100">
            <v>-7.5066543878253844E-2</v>
          </cell>
          <cell r="Z100">
            <v>-1.3271058675014658E-2</v>
          </cell>
          <cell r="AA100">
            <v>-4.6935964275542585E-2</v>
          </cell>
          <cell r="AB100">
            <v>-3.8307337150770171E-2</v>
          </cell>
          <cell r="AC100">
            <v>4.607791157618224E-2</v>
          </cell>
          <cell r="AD100">
            <v>6.3316491750984083E-2</v>
          </cell>
          <cell r="AE100">
            <v>5.5411274894566542E-2</v>
          </cell>
          <cell r="AF100">
            <v>2.2859888030563047E-2</v>
          </cell>
          <cell r="AG100">
            <v>1.8653348726125563E-2</v>
          </cell>
          <cell r="AH100">
            <v>1.0541497533795186E-2</v>
          </cell>
          <cell r="AI100">
            <v>9.8195760553547728E-3</v>
          </cell>
          <cell r="AJ100">
            <v>1.0000000000000231E-2</v>
          </cell>
          <cell r="AK100">
            <v>1.0000000000000009E-2</v>
          </cell>
          <cell r="AL100">
            <v>1.0000000000000009E-2</v>
          </cell>
          <cell r="AN100" t="str">
            <v>% Change</v>
          </cell>
          <cell r="DN100" t="str">
            <v>NA</v>
          </cell>
          <cell r="DO100" t="str">
            <v>NA</v>
          </cell>
          <cell r="DP100" t="str">
            <v>NA</v>
          </cell>
          <cell r="DQ100" t="str">
            <v>NA</v>
          </cell>
          <cell r="DR100" t="str">
            <v>NA</v>
          </cell>
          <cell r="DT100">
            <v>-4.0095338624521859E-2</v>
          </cell>
          <cell r="DU100" t="str">
            <v>NA</v>
          </cell>
          <cell r="DV100" t="str">
            <v>NA</v>
          </cell>
          <cell r="DW100">
            <v>-3.430276557579981E-2</v>
          </cell>
          <cell r="DX100">
            <v>-1.4146095622615373E-2</v>
          </cell>
          <cell r="DZ100">
            <v>-3.8073377469566294E-2</v>
          </cell>
          <cell r="EA100">
            <v>-4.736957587167967E-3</v>
          </cell>
          <cell r="EB100">
            <v>1.3376791409664968E-2</v>
          </cell>
          <cell r="EC100">
            <v>1.1572160440619816E-2</v>
          </cell>
          <cell r="ED100">
            <v>-1.0211290218996805E-2</v>
          </cell>
          <cell r="EF100">
            <v>7.3453707084643272E-2</v>
          </cell>
          <cell r="EG100">
            <v>4.5674943791766065E-2</v>
          </cell>
          <cell r="EH100">
            <v>2.3903444115526362E-2</v>
          </cell>
          <cell r="EI100">
            <v>2.5554625619388371E-2</v>
          </cell>
          <cell r="EJ100">
            <v>2.4841651555389754E-2</v>
          </cell>
          <cell r="EL100">
            <v>3.4252574269144409E-2</v>
          </cell>
          <cell r="EM100">
            <v>1.6911689722194811E-2</v>
          </cell>
          <cell r="EN100">
            <v>4.1288562624468561E-2</v>
          </cell>
          <cell r="EO100">
            <v>-4.8611231008287348E-2</v>
          </cell>
          <cell r="EP100">
            <v>-1.8033119168776479E-2</v>
          </cell>
          <cell r="ER100">
            <v>-0.14058802207691612</v>
          </cell>
          <cell r="ES100">
            <v>-0.11979594935350146</v>
          </cell>
          <cell r="ET100">
            <v>-0.14062460785680952</v>
          </cell>
          <cell r="EU100">
            <v>5.3506738677213672E-3</v>
          </cell>
          <cell r="EV100">
            <v>-7.5066543878253844E-2</v>
          </cell>
          <cell r="EX100">
            <v>5.7356839230466861E-3</v>
          </cell>
          <cell r="EY100">
            <v>-1.8412609701095484E-2</v>
          </cell>
          <cell r="EZ100">
            <v>-1.6973525170985715E-3</v>
          </cell>
          <cell r="FA100">
            <v>-6.0448197543177873E-2</v>
          </cell>
          <cell r="FB100">
            <v>-1.3271058675014658E-2</v>
          </cell>
          <cell r="FD100">
            <v>-1.8622828319160289E-2</v>
          </cell>
          <cell r="FE100">
            <v>-1.9297498869640384E-2</v>
          </cell>
          <cell r="FF100">
            <v>-5.9827543150180129E-2</v>
          </cell>
          <cell r="FG100">
            <v>-6.7935935972246786E-2</v>
          </cell>
          <cell r="FH100">
            <v>-4.6935964275542585E-2</v>
          </cell>
          <cell r="FJ100">
            <v>-7.5468906207799336E-2</v>
          </cell>
          <cell r="FK100">
            <v>-7.0435422501037515E-2</v>
          </cell>
          <cell r="FL100">
            <v>-1.5730969390021166E-2</v>
          </cell>
          <cell r="FM100">
            <v>-3.6471716641883756E-4</v>
          </cell>
          <cell r="FN100">
            <v>-3.8307337150770171E-2</v>
          </cell>
          <cell r="FP100">
            <v>5.3500834252187213E-2</v>
          </cell>
          <cell r="FQ100">
            <v>4.8619095534323753E-2</v>
          </cell>
          <cell r="FR100">
            <v>4.6944453807999942E-2</v>
          </cell>
          <cell r="FS100">
            <v>4.4709820168871373E-2</v>
          </cell>
          <cell r="FT100">
            <v>4.607791157618224E-2</v>
          </cell>
          <cell r="FV100">
            <v>5.7128770533849682E-2</v>
          </cell>
          <cell r="FW100">
            <v>7.2477385601050326E-2</v>
          </cell>
          <cell r="FX100">
            <v>4.2215600361960703E-2</v>
          </cell>
          <cell r="FY100">
            <v>6.2956868759212359E-2</v>
          </cell>
          <cell r="FZ100">
            <v>6.3316491750984083E-2</v>
          </cell>
          <cell r="GB100">
            <v>5.681797213207429E-2</v>
          </cell>
          <cell r="GC100">
            <v>4.4502055061206969E-2</v>
          </cell>
          <cell r="GD100">
            <v>5.0895734629623268E-2</v>
          </cell>
          <cell r="GE100">
            <v>8.0678277923193376E-2</v>
          </cell>
          <cell r="GF100">
            <v>5.5411274894566542E-2</v>
          </cell>
        </row>
        <row r="102">
          <cell r="A102" t="str">
            <v>Number of Stores</v>
          </cell>
          <cell r="M102">
            <v>355</v>
          </cell>
          <cell r="N102">
            <v>412</v>
          </cell>
          <cell r="O102">
            <v>411</v>
          </cell>
          <cell r="P102">
            <v>400</v>
          </cell>
          <cell r="Q102">
            <v>401</v>
          </cell>
          <cell r="R102">
            <v>403</v>
          </cell>
          <cell r="S102">
            <v>440</v>
          </cell>
          <cell r="T102">
            <v>459</v>
          </cell>
          <cell r="U102">
            <v>455</v>
          </cell>
          <cell r="V102">
            <v>459</v>
          </cell>
          <cell r="W102">
            <v>459</v>
          </cell>
          <cell r="X102">
            <v>868</v>
          </cell>
          <cell r="Y102">
            <v>858</v>
          </cell>
          <cell r="Z102">
            <v>853</v>
          </cell>
          <cell r="AA102">
            <v>847</v>
          </cell>
          <cell r="AB102">
            <v>850</v>
          </cell>
          <cell r="AC102">
            <v>850</v>
          </cell>
          <cell r="AD102">
            <v>842</v>
          </cell>
          <cell r="AE102">
            <v>844</v>
          </cell>
          <cell r="AF102">
            <v>848</v>
          </cell>
          <cell r="AG102">
            <v>848</v>
          </cell>
          <cell r="AH102">
            <v>848</v>
          </cell>
          <cell r="AI102">
            <v>848</v>
          </cell>
          <cell r="AJ102">
            <v>848</v>
          </cell>
          <cell r="AK102">
            <v>848</v>
          </cell>
          <cell r="AL102">
            <v>848</v>
          </cell>
          <cell r="AN102" t="str">
            <v>Number of Stores</v>
          </cell>
          <cell r="DK102">
            <v>440</v>
          </cell>
          <cell r="DL102">
            <v>440</v>
          </cell>
          <cell r="DN102" t="str">
            <v>NA</v>
          </cell>
          <cell r="DO102" t="str">
            <v>NA</v>
          </cell>
          <cell r="DP102" t="str">
            <v>NA</v>
          </cell>
          <cell r="DQ102">
            <v>459</v>
          </cell>
          <cell r="DR102">
            <v>459</v>
          </cell>
          <cell r="DT102">
            <v>463</v>
          </cell>
          <cell r="DU102">
            <v>465</v>
          </cell>
          <cell r="DV102">
            <v>473</v>
          </cell>
          <cell r="DW102">
            <v>455</v>
          </cell>
          <cell r="DX102">
            <v>455</v>
          </cell>
          <cell r="DZ102">
            <v>456</v>
          </cell>
          <cell r="EA102">
            <v>460</v>
          </cell>
          <cell r="EB102">
            <v>465</v>
          </cell>
          <cell r="EC102">
            <v>459</v>
          </cell>
          <cell r="ED102">
            <v>459</v>
          </cell>
          <cell r="EF102">
            <v>459</v>
          </cell>
          <cell r="EG102">
            <v>457</v>
          </cell>
          <cell r="EH102">
            <v>459</v>
          </cell>
          <cell r="EI102">
            <v>459</v>
          </cell>
          <cell r="EJ102">
            <v>459</v>
          </cell>
          <cell r="EL102">
            <v>459</v>
          </cell>
          <cell r="EM102">
            <v>460</v>
          </cell>
          <cell r="EN102">
            <v>935</v>
          </cell>
          <cell r="EO102">
            <v>868</v>
          </cell>
          <cell r="EP102">
            <v>868</v>
          </cell>
          <cell r="ER102">
            <v>861</v>
          </cell>
          <cell r="ES102">
            <v>856</v>
          </cell>
          <cell r="ET102">
            <v>857</v>
          </cell>
          <cell r="EU102">
            <v>858</v>
          </cell>
          <cell r="EV102">
            <v>858</v>
          </cell>
          <cell r="EX102">
            <v>863</v>
          </cell>
          <cell r="EY102">
            <v>863</v>
          </cell>
          <cell r="EZ102">
            <v>866</v>
          </cell>
          <cell r="FA102">
            <v>852</v>
          </cell>
          <cell r="FB102">
            <v>852</v>
          </cell>
          <cell r="FD102">
            <v>851</v>
          </cell>
          <cell r="FE102">
            <v>855</v>
          </cell>
          <cell r="FF102">
            <v>856</v>
          </cell>
          <cell r="FG102">
            <v>847</v>
          </cell>
          <cell r="FH102">
            <v>847</v>
          </cell>
          <cell r="FJ102">
            <v>848</v>
          </cell>
          <cell r="FK102">
            <v>848</v>
          </cell>
          <cell r="FL102">
            <v>854</v>
          </cell>
          <cell r="FM102">
            <v>850</v>
          </cell>
          <cell r="FN102">
            <v>850</v>
          </cell>
          <cell r="FP102">
            <v>849</v>
          </cell>
          <cell r="FQ102">
            <v>849</v>
          </cell>
          <cell r="FR102">
            <v>854</v>
          </cell>
          <cell r="FS102">
            <v>850</v>
          </cell>
          <cell r="FT102">
            <v>850</v>
          </cell>
          <cell r="FV102">
            <v>850</v>
          </cell>
          <cell r="FW102">
            <v>849</v>
          </cell>
          <cell r="FX102">
            <v>850</v>
          </cell>
          <cell r="FY102">
            <v>842</v>
          </cell>
          <cell r="FZ102">
            <v>842</v>
          </cell>
          <cell r="GB102">
            <v>844</v>
          </cell>
          <cell r="GC102">
            <v>845</v>
          </cell>
          <cell r="GD102">
            <v>847</v>
          </cell>
          <cell r="GE102">
            <v>844</v>
          </cell>
          <cell r="GF102">
            <v>844</v>
          </cell>
          <cell r="GS102" t="str">
            <v>mstag:numberOfStores</v>
          </cell>
          <cell r="GT102">
            <v>0</v>
          </cell>
          <cell r="GU102" t="str">
            <v>ms_eqr_gcim_Decimal:ms_eqr_gcim_decimal</v>
          </cell>
          <cell r="GV102" t="b">
            <v>0</v>
          </cell>
          <cell r="GW102" t="b">
            <v>0</v>
          </cell>
        </row>
        <row r="103">
          <cell r="A103" t="str">
            <v>% Change</v>
          </cell>
          <cell r="N103">
            <v>0.16056338028169015</v>
          </cell>
          <cell r="O103">
            <v>-2.4271844660194164E-3</v>
          </cell>
          <cell r="P103">
            <v>-2.676399026763987E-2</v>
          </cell>
          <cell r="Q103">
            <v>2.4999999999999467E-3</v>
          </cell>
          <cell r="R103">
            <v>4.9875311720697368E-3</v>
          </cell>
          <cell r="S103">
            <v>9.1811414392059643E-2</v>
          </cell>
          <cell r="T103">
            <v>4.318181818181821E-2</v>
          </cell>
          <cell r="U103">
            <v>-8.7145969498910736E-3</v>
          </cell>
          <cell r="V103">
            <v>8.79120879120876E-3</v>
          </cell>
          <cell r="W103">
            <v>0</v>
          </cell>
          <cell r="X103">
            <v>0.89106753812636175</v>
          </cell>
          <cell r="Y103">
            <v>-1.1520737327188946E-2</v>
          </cell>
          <cell r="Z103">
            <v>-5.8275058275057967E-3</v>
          </cell>
          <cell r="AA103">
            <v>-7.0339976553340788E-3</v>
          </cell>
          <cell r="AB103">
            <v>3.5419126328217754E-3</v>
          </cell>
          <cell r="AC103">
            <v>0</v>
          </cell>
          <cell r="AD103">
            <v>-9.4117647058823417E-3</v>
          </cell>
          <cell r="AE103">
            <v>2.3752969121140222E-3</v>
          </cell>
          <cell r="AF103">
            <v>4.7393364928909332E-3</v>
          </cell>
          <cell r="AG103">
            <v>0</v>
          </cell>
          <cell r="AH103">
            <v>0</v>
          </cell>
          <cell r="AI103">
            <v>0</v>
          </cell>
          <cell r="AJ103">
            <v>0</v>
          </cell>
          <cell r="AK103">
            <v>0</v>
          </cell>
          <cell r="AL103">
            <v>0</v>
          </cell>
          <cell r="AN103" t="str">
            <v>% Change</v>
          </cell>
          <cell r="DL103">
            <v>9.1811414392059643E-2</v>
          </cell>
          <cell r="DN103" t="str">
            <v>NA</v>
          </cell>
          <cell r="DO103" t="str">
            <v>NA</v>
          </cell>
          <cell r="DP103" t="str">
            <v>NA</v>
          </cell>
          <cell r="DQ103">
            <v>4.318181818181821E-2</v>
          </cell>
          <cell r="DR103">
            <v>4.318181818181821E-2</v>
          </cell>
          <cell r="DT103" t="str">
            <v>NA</v>
          </cell>
          <cell r="DU103" t="str">
            <v>NA</v>
          </cell>
          <cell r="DV103" t="str">
            <v>NA</v>
          </cell>
          <cell r="DW103">
            <v>-8.7145969498910736E-3</v>
          </cell>
          <cell r="DX103">
            <v>-8.7145969498910736E-3</v>
          </cell>
          <cell r="DZ103">
            <v>-1.5118790496760237E-2</v>
          </cell>
          <cell r="EA103">
            <v>-1.0752688172043001E-2</v>
          </cell>
          <cell r="EB103">
            <v>-1.6913319238900604E-2</v>
          </cell>
          <cell r="EC103">
            <v>8.79120879120876E-3</v>
          </cell>
          <cell r="ED103">
            <v>8.79120879120876E-3</v>
          </cell>
          <cell r="EF103">
            <v>6.5789473684210176E-3</v>
          </cell>
          <cell r="EG103">
            <v>-6.521739130434745E-3</v>
          </cell>
          <cell r="EH103">
            <v>-1.2903225806451646E-2</v>
          </cell>
          <cell r="EI103">
            <v>0</v>
          </cell>
          <cell r="EJ103">
            <v>0</v>
          </cell>
          <cell r="EL103">
            <v>0</v>
          </cell>
          <cell r="EM103">
            <v>6.5645514223193757E-3</v>
          </cell>
          <cell r="EN103">
            <v>1.0370370370370372</v>
          </cell>
          <cell r="EO103">
            <v>0.89106753812636175</v>
          </cell>
          <cell r="EP103">
            <v>0.89106753812636175</v>
          </cell>
          <cell r="ER103">
            <v>0.87581699346405228</v>
          </cell>
          <cell r="ES103">
            <v>0.86086956521739122</v>
          </cell>
          <cell r="ET103">
            <v>-8.3422459893048084E-2</v>
          </cell>
          <cell r="EU103">
            <v>-1.1520737327188946E-2</v>
          </cell>
          <cell r="EV103">
            <v>-1.1520737327188946E-2</v>
          </cell>
          <cell r="EX103">
            <v>2.3228803716608404E-3</v>
          </cell>
          <cell r="EY103">
            <v>8.1775700934578754E-3</v>
          </cell>
          <cell r="EZ103">
            <v>1.0501750291715295E-2</v>
          </cell>
          <cell r="FA103">
            <v>-6.9930069930069783E-3</v>
          </cell>
          <cell r="FB103">
            <v>-6.9930069930069783E-3</v>
          </cell>
          <cell r="FD103">
            <v>-1.3904982618771711E-2</v>
          </cell>
          <cell r="FE103">
            <v>-9.2699884125144738E-3</v>
          </cell>
          <cell r="FF103">
            <v>-1.1547344110854452E-2</v>
          </cell>
          <cell r="FG103">
            <v>-5.8685446009389963E-3</v>
          </cell>
          <cell r="FH103">
            <v>-5.8685446009389963E-3</v>
          </cell>
          <cell r="FJ103">
            <v>-3.5252643948295859E-3</v>
          </cell>
          <cell r="FK103">
            <v>-8.1871345029239651E-3</v>
          </cell>
          <cell r="FL103">
            <v>-2.3364485981308691E-3</v>
          </cell>
          <cell r="FM103">
            <v>3.5419126328217754E-3</v>
          </cell>
          <cell r="FN103">
            <v>3.5419126328217754E-3</v>
          </cell>
          <cell r="FP103">
            <v>1.179245283018826E-3</v>
          </cell>
          <cell r="FQ103">
            <v>1.179245283018826E-3</v>
          </cell>
          <cell r="FR103">
            <v>0</v>
          </cell>
          <cell r="FS103">
            <v>0</v>
          </cell>
          <cell r="FT103">
            <v>0</v>
          </cell>
          <cell r="FV103">
            <v>1.1778563015312216E-3</v>
          </cell>
          <cell r="FW103">
            <v>0</v>
          </cell>
          <cell r="FX103">
            <v>-4.6838407494145251E-3</v>
          </cell>
          <cell r="FY103">
            <v>-9.4117647058823417E-3</v>
          </cell>
          <cell r="FZ103">
            <v>-9.4117647058823417E-3</v>
          </cell>
          <cell r="GB103">
            <v>-7.058823529411784E-3</v>
          </cell>
          <cell r="GC103">
            <v>-4.7114252061248862E-3</v>
          </cell>
          <cell r="GD103">
            <v>-3.529411764705892E-3</v>
          </cell>
          <cell r="GE103">
            <v>2.3752969121140222E-3</v>
          </cell>
          <cell r="GF103">
            <v>2.3752969121140222E-3</v>
          </cell>
        </row>
        <row r="104">
          <cell r="A104" t="str">
            <v>EOP Gross Square Feet (MM)</v>
          </cell>
          <cell r="M104">
            <v>74.134</v>
          </cell>
          <cell r="N104">
            <v>83.503</v>
          </cell>
          <cell r="O104">
            <v>83.018999999999991</v>
          </cell>
          <cell r="P104">
            <v>81.016000000000005</v>
          </cell>
          <cell r="Q104">
            <v>82.319000000000003</v>
          </cell>
          <cell r="R104">
            <v>81.914000000000001</v>
          </cell>
          <cell r="S104">
            <v>83.4</v>
          </cell>
          <cell r="T104">
            <v>84</v>
          </cell>
          <cell r="U104">
            <v>83.5</v>
          </cell>
          <cell r="V104">
            <v>84</v>
          </cell>
          <cell r="W104">
            <v>83.3</v>
          </cell>
          <cell r="X104">
            <v>158.5</v>
          </cell>
          <cell r="Y104">
            <v>156.4</v>
          </cell>
          <cell r="Z104">
            <v>154.96100000000001</v>
          </cell>
          <cell r="AA104">
            <v>154.09100000000001</v>
          </cell>
          <cell r="AB104">
            <v>154.4</v>
          </cell>
          <cell r="AC104">
            <v>154.17699999999999</v>
          </cell>
          <cell r="AD104">
            <v>152.298</v>
          </cell>
          <cell r="AE104">
            <v>152.30400000000003</v>
          </cell>
          <cell r="AF104">
            <v>152.59800000000001</v>
          </cell>
          <cell r="AG104">
            <v>152.489</v>
          </cell>
          <cell r="AH104">
            <v>152.54349999999999</v>
          </cell>
          <cell r="AI104">
            <v>152.54349999999999</v>
          </cell>
          <cell r="AJ104">
            <v>152.54349999999999</v>
          </cell>
          <cell r="AK104">
            <v>152.54349999999999</v>
          </cell>
          <cell r="AL104">
            <v>152.54349999999999</v>
          </cell>
          <cell r="AN104" t="str">
            <v>EOP Gross Square Feet (MM)</v>
          </cell>
          <cell r="DK104">
            <v>83.4</v>
          </cell>
          <cell r="DL104">
            <v>83.4</v>
          </cell>
          <cell r="DN104" t="str">
            <v>NA</v>
          </cell>
          <cell r="DO104" t="str">
            <v>NA</v>
          </cell>
          <cell r="DP104" t="str">
            <v>NA</v>
          </cell>
          <cell r="DQ104">
            <v>84</v>
          </cell>
          <cell r="DR104">
            <v>84</v>
          </cell>
          <cell r="DT104">
            <v>84.734065934065939</v>
          </cell>
          <cell r="DU104">
            <v>85.101098901098908</v>
          </cell>
          <cell r="DV104">
            <v>86.569230769230771</v>
          </cell>
          <cell r="DW104">
            <v>83.5</v>
          </cell>
          <cell r="DX104">
            <v>83.5</v>
          </cell>
          <cell r="DZ104">
            <v>83.683006535947712</v>
          </cell>
          <cell r="EA104">
            <v>84.415032679738559</v>
          </cell>
          <cell r="EB104">
            <v>85.330065359477118</v>
          </cell>
          <cell r="EC104">
            <v>84</v>
          </cell>
          <cell r="ED104">
            <v>84</v>
          </cell>
          <cell r="EF104">
            <v>84</v>
          </cell>
          <cell r="EG104">
            <v>83.637037037037032</v>
          </cell>
          <cell r="EH104">
            <v>84</v>
          </cell>
          <cell r="EI104">
            <v>83.3</v>
          </cell>
          <cell r="EJ104">
            <v>83.3</v>
          </cell>
          <cell r="EL104">
            <v>83.3</v>
          </cell>
          <cell r="EM104">
            <v>83.48260368663594</v>
          </cell>
          <cell r="EN104">
            <v>170.21935483870968</v>
          </cell>
          <cell r="EO104">
            <v>158.5</v>
          </cell>
          <cell r="EP104">
            <v>158.5</v>
          </cell>
          <cell r="ER104">
            <v>157.22400932400933</v>
          </cell>
          <cell r="ES104">
            <v>156.31258741258742</v>
          </cell>
          <cell r="ET104">
            <v>156.49487179487181</v>
          </cell>
          <cell r="EU104">
            <v>156.4</v>
          </cell>
          <cell r="EV104">
            <v>156.4</v>
          </cell>
          <cell r="EX104">
            <v>157.047</v>
          </cell>
          <cell r="EY104">
            <v>156.88300000000001</v>
          </cell>
          <cell r="EZ104">
            <v>157.52099999999999</v>
          </cell>
          <cell r="FA104">
            <v>154.96100000000001</v>
          </cell>
          <cell r="FB104">
            <v>154.96100000000001</v>
          </cell>
          <cell r="FD104">
            <v>155.048</v>
          </cell>
          <cell r="FE104">
            <v>155.60599999999999</v>
          </cell>
          <cell r="FF104">
            <v>155.41999999999999</v>
          </cell>
          <cell r="FG104">
            <v>154.09100000000001</v>
          </cell>
          <cell r="FH104">
            <v>154.09100000000001</v>
          </cell>
          <cell r="FJ104">
            <v>154.44300000000001</v>
          </cell>
          <cell r="FK104">
            <v>154.44300000000001</v>
          </cell>
          <cell r="FL104">
            <v>155.34100000000001</v>
          </cell>
          <cell r="FM104">
            <v>154.4</v>
          </cell>
          <cell r="FN104">
            <v>154.4</v>
          </cell>
          <cell r="FP104">
            <v>154.30500000000001</v>
          </cell>
          <cell r="FQ104">
            <v>154.30500000000001</v>
          </cell>
          <cell r="FR104">
            <v>154.666</v>
          </cell>
          <cell r="FS104">
            <v>154.221</v>
          </cell>
          <cell r="FT104">
            <v>154.17699999999999</v>
          </cell>
          <cell r="FV104">
            <v>154.34800000000001</v>
          </cell>
          <cell r="FW104">
            <v>154.298</v>
          </cell>
          <cell r="FX104">
            <v>154.28399999999999</v>
          </cell>
          <cell r="FY104">
            <v>152.298</v>
          </cell>
          <cell r="FZ104">
            <v>152.298</v>
          </cell>
          <cell r="GB104">
            <v>152.19800000000001</v>
          </cell>
          <cell r="GC104">
            <v>152.20400000000001</v>
          </cell>
          <cell r="GD104">
            <v>152.30400000000003</v>
          </cell>
          <cell r="GE104">
            <v>152.30400000000003</v>
          </cell>
          <cell r="GF104">
            <v>152.30400000000003</v>
          </cell>
          <cell r="GS104" t="str">
            <v>mstag:floorspace</v>
          </cell>
          <cell r="GT104">
            <v>6</v>
          </cell>
          <cell r="GU104" t="str">
            <v>area:squareFeet</v>
          </cell>
          <cell r="GV104" t="b">
            <v>0</v>
          </cell>
          <cell r="GW104" t="b">
            <v>0</v>
          </cell>
        </row>
        <row r="105">
          <cell r="A105" t="str">
            <v>% Change</v>
          </cell>
          <cell r="N105">
            <v>0.12637925917932402</v>
          </cell>
          <cell r="O105">
            <v>-5.7961989389603286E-3</v>
          </cell>
          <cell r="P105">
            <v>-2.4127007070670392E-2</v>
          </cell>
          <cell r="Q105">
            <v>1.6083242816233856E-2</v>
          </cell>
          <cell r="R105">
            <v>-4.9198848382512317E-3</v>
          </cell>
          <cell r="S105">
            <v>1.8140977122347968E-2</v>
          </cell>
          <cell r="T105">
            <v>7.194244604316502E-3</v>
          </cell>
          <cell r="U105">
            <v>-5.9523809523809312E-3</v>
          </cell>
          <cell r="V105">
            <v>5.9880239520957446E-3</v>
          </cell>
          <cell r="W105">
            <v>-8.3333333333334147E-3</v>
          </cell>
          <cell r="X105">
            <v>0.90276110444177671</v>
          </cell>
          <cell r="Y105">
            <v>-1.3249211356466839E-2</v>
          </cell>
          <cell r="Z105">
            <v>-9.200767263427112E-3</v>
          </cell>
          <cell r="AA105">
            <v>-5.614315860119623E-3</v>
          </cell>
          <cell r="AB105">
            <v>2.0053085514404323E-3</v>
          </cell>
          <cell r="AC105">
            <v>-1.4443005181348223E-3</v>
          </cell>
          <cell r="AD105">
            <v>-1.2187291230209341E-2</v>
          </cell>
          <cell r="AE105">
            <v>3.9396446440687072E-5</v>
          </cell>
          <cell r="AF105">
            <v>1.930349826662292E-3</v>
          </cell>
          <cell r="AG105">
            <v>-7.1429507595122121E-4</v>
          </cell>
          <cell r="AH105">
            <v>3.5740282905649678E-4</v>
          </cell>
          <cell r="AI105">
            <v>0</v>
          </cell>
          <cell r="AJ105">
            <v>0</v>
          </cell>
          <cell r="AK105">
            <v>0</v>
          </cell>
          <cell r="AL105">
            <v>0</v>
          </cell>
          <cell r="AN105" t="str">
            <v>% Change</v>
          </cell>
          <cell r="DL105">
            <v>1.8140977122347968E-2</v>
          </cell>
          <cell r="DN105" t="str">
            <v>NA</v>
          </cell>
          <cell r="DO105" t="str">
            <v>NA</v>
          </cell>
          <cell r="DP105" t="str">
            <v>NA</v>
          </cell>
          <cell r="DQ105">
            <v>7.194244604316502E-3</v>
          </cell>
          <cell r="DR105">
            <v>7.194244604316502E-3</v>
          </cell>
          <cell r="DT105" t="str">
            <v>NA</v>
          </cell>
          <cell r="DU105" t="str">
            <v>NA</v>
          </cell>
          <cell r="DV105" t="str">
            <v>NA</v>
          </cell>
          <cell r="DW105">
            <v>-5.9523809523809312E-3</v>
          </cell>
          <cell r="DX105">
            <v>-5.9523809523809312E-3</v>
          </cell>
          <cell r="DZ105">
            <v>-1.2404212951802496E-2</v>
          </cell>
          <cell r="EA105">
            <v>-8.0617786399875824E-3</v>
          </cell>
          <cell r="EB105">
            <v>-1.4314155257506234E-2</v>
          </cell>
          <cell r="EC105">
            <v>5.9880239520957446E-3</v>
          </cell>
          <cell r="ED105">
            <v>5.9880239520957446E-3</v>
          </cell>
          <cell r="EF105">
            <v>3.7880267114460686E-3</v>
          </cell>
          <cell r="EG105">
            <v>-9.2163163124411307E-3</v>
          </cell>
          <cell r="EH105">
            <v>-1.558730037149092E-2</v>
          </cell>
          <cell r="EI105">
            <v>-8.3333333333334147E-3</v>
          </cell>
          <cell r="EJ105">
            <v>-8.3333333333334147E-3</v>
          </cell>
          <cell r="EL105">
            <v>-8.3333333333334147E-3</v>
          </cell>
          <cell r="EM105">
            <v>-1.8464708444023703E-3</v>
          </cell>
          <cell r="EN105">
            <v>1.02642089093702</v>
          </cell>
          <cell r="EO105">
            <v>0.90276110444177671</v>
          </cell>
          <cell r="EP105">
            <v>0.90276110444177671</v>
          </cell>
          <cell r="ER105">
            <v>0.88744308912376146</v>
          </cell>
          <cell r="ES105">
            <v>0.87239712838053518</v>
          </cell>
          <cell r="ET105">
            <v>-8.0628216790284646E-2</v>
          </cell>
          <cell r="EU105">
            <v>-1.3249211356466839E-2</v>
          </cell>
          <cell r="EV105">
            <v>-1.3249211356466839E-2</v>
          </cell>
          <cell r="EX105">
            <v>-1.1258415605249761E-3</v>
          </cell>
          <cell r="EY105">
            <v>3.649178846403256E-3</v>
          </cell>
          <cell r="EZ105">
            <v>6.5569446037387902E-3</v>
          </cell>
          <cell r="FA105">
            <v>-9.200767263427112E-3</v>
          </cell>
          <cell r="FB105">
            <v>-9.200767263427112E-3</v>
          </cell>
          <cell r="FD105">
            <v>-1.272867358179397E-2</v>
          </cell>
          <cell r="FE105">
            <v>-8.13982394523316E-3</v>
          </cell>
          <cell r="FF105">
            <v>-1.3337904152462166E-2</v>
          </cell>
          <cell r="FG105">
            <v>-5.614315860119623E-3</v>
          </cell>
          <cell r="FH105">
            <v>-5.614315860119623E-3</v>
          </cell>
          <cell r="FJ105">
            <v>-3.9020174397604857E-3</v>
          </cell>
          <cell r="FK105">
            <v>-7.4740048584244212E-3</v>
          </cell>
          <cell r="FL105">
            <v>-5.0830009007840626E-4</v>
          </cell>
          <cell r="FM105">
            <v>2.0053085514404323E-3</v>
          </cell>
          <cell r="FN105">
            <v>2.0053085514404323E-3</v>
          </cell>
          <cell r="FP105">
            <v>-8.9353353664467505E-4</v>
          </cell>
          <cell r="FQ105">
            <v>-8.9353353664467505E-4</v>
          </cell>
          <cell r="FR105">
            <v>-4.3452790956670651E-3</v>
          </cell>
          <cell r="FS105">
            <v>-1.1593264248704882E-3</v>
          </cell>
          <cell r="FT105">
            <v>-1.4443005181348223E-3</v>
          </cell>
          <cell r="FV105">
            <v>2.7866887009508901E-4</v>
          </cell>
          <cell r="FW105">
            <v>-4.5364699782890483E-5</v>
          </cell>
          <cell r="FX105">
            <v>-2.4698382320613721E-3</v>
          </cell>
          <cell r="FY105">
            <v>-1.2469118991576988E-2</v>
          </cell>
          <cell r="FZ105">
            <v>-1.2187291230209341E-2</v>
          </cell>
          <cell r="GB105">
            <v>-1.3929561769507881E-2</v>
          </cell>
          <cell r="GC105">
            <v>-1.3571141557246369E-2</v>
          </cell>
          <cell r="GD105">
            <v>-1.2833475927510052E-2</v>
          </cell>
          <cell r="GE105">
            <v>3.9396446440687072E-5</v>
          </cell>
          <cell r="GF105">
            <v>3.9396446440687072E-5</v>
          </cell>
        </row>
        <row r="106">
          <cell r="A106" t="str">
            <v>Ave. Square Feet (MM)</v>
          </cell>
          <cell r="N106">
            <v>78.8185</v>
          </cell>
          <cell r="O106">
            <v>83.260999999999996</v>
          </cell>
          <cell r="P106">
            <v>82.017499999999998</v>
          </cell>
          <cell r="Q106">
            <v>81.667500000000004</v>
          </cell>
          <cell r="R106">
            <v>82.116500000000002</v>
          </cell>
          <cell r="S106">
            <v>82.657000000000011</v>
          </cell>
          <cell r="T106">
            <v>83.7</v>
          </cell>
          <cell r="U106">
            <v>83.75</v>
          </cell>
          <cell r="V106">
            <v>83.75</v>
          </cell>
          <cell r="W106">
            <v>83.65</v>
          </cell>
          <cell r="X106">
            <v>120.9</v>
          </cell>
          <cell r="Y106">
            <v>157.44999999999999</v>
          </cell>
          <cell r="Z106">
            <v>155.68049999999999</v>
          </cell>
          <cell r="AA106">
            <v>154.52600000000001</v>
          </cell>
          <cell r="AB106">
            <v>154.24549999999999</v>
          </cell>
          <cell r="AC106">
            <v>154.2885</v>
          </cell>
          <cell r="AD106">
            <v>153.23750000000001</v>
          </cell>
          <cell r="AE106">
            <v>152.30100000000002</v>
          </cell>
          <cell r="AF106">
            <v>152.45100000000002</v>
          </cell>
          <cell r="AG106">
            <v>152.54349999999999</v>
          </cell>
          <cell r="AH106">
            <v>152.51625000000001</v>
          </cell>
          <cell r="AI106">
            <v>152.54349999999999</v>
          </cell>
          <cell r="AJ106">
            <v>152.54349999999999</v>
          </cell>
          <cell r="AK106">
            <v>152.54349999999999</v>
          </cell>
          <cell r="AL106">
            <v>152.54349999999999</v>
          </cell>
          <cell r="AN106" t="str">
            <v>Ave. Square Feet (MM)</v>
          </cell>
          <cell r="DL106">
            <v>82.657000000000011</v>
          </cell>
          <cell r="DN106">
            <v>83.4</v>
          </cell>
          <cell r="DO106" t="str">
            <v>NA</v>
          </cell>
          <cell r="DP106" t="str">
            <v>NA</v>
          </cell>
          <cell r="DQ106">
            <v>84</v>
          </cell>
          <cell r="DR106">
            <v>83.7</v>
          </cell>
          <cell r="DT106">
            <v>84.367032967032969</v>
          </cell>
          <cell r="DU106">
            <v>84.917582417582423</v>
          </cell>
          <cell r="DV106">
            <v>85.835164835164846</v>
          </cell>
          <cell r="DW106">
            <v>85.034615384615392</v>
          </cell>
          <cell r="DX106">
            <v>83.75</v>
          </cell>
          <cell r="DZ106">
            <v>83.591503267973849</v>
          </cell>
          <cell r="EA106">
            <v>84.049019607843135</v>
          </cell>
          <cell r="EB106">
            <v>84.872549019607845</v>
          </cell>
          <cell r="EC106">
            <v>84.665032679738559</v>
          </cell>
          <cell r="ED106">
            <v>83.75</v>
          </cell>
          <cell r="EF106">
            <v>84</v>
          </cell>
          <cell r="EG106">
            <v>83.818518518518516</v>
          </cell>
          <cell r="EH106">
            <v>83.818518518518516</v>
          </cell>
          <cell r="EI106">
            <v>83.65</v>
          </cell>
          <cell r="EJ106">
            <v>83.65</v>
          </cell>
          <cell r="EL106">
            <v>83.3</v>
          </cell>
          <cell r="EM106">
            <v>83.391301843317962</v>
          </cell>
          <cell r="EN106">
            <v>126.85097926267281</v>
          </cell>
          <cell r="EO106">
            <v>164.35967741935485</v>
          </cell>
          <cell r="EP106">
            <v>120.9</v>
          </cell>
          <cell r="ER106">
            <v>157.86200466200467</v>
          </cell>
          <cell r="ES106">
            <v>156.76829836829836</v>
          </cell>
          <cell r="ET106">
            <v>156.40372960372963</v>
          </cell>
          <cell r="EU106">
            <v>156.44743589743592</v>
          </cell>
          <cell r="EV106">
            <v>157.44999999999999</v>
          </cell>
          <cell r="EX106">
            <v>156.7235</v>
          </cell>
          <cell r="EY106">
            <v>156.965</v>
          </cell>
          <cell r="EZ106">
            <v>157.202</v>
          </cell>
          <cell r="FA106">
            <v>156.24099999999999</v>
          </cell>
          <cell r="FB106">
            <v>155.68049999999999</v>
          </cell>
          <cell r="FD106">
            <v>155.00450000000001</v>
          </cell>
          <cell r="FE106">
            <v>155.327</v>
          </cell>
          <cell r="FF106">
            <v>155.51299999999998</v>
          </cell>
          <cell r="FG106">
            <v>154.75549999999998</v>
          </cell>
          <cell r="FH106">
            <v>154.52600000000001</v>
          </cell>
          <cell r="FJ106">
            <v>154.267</v>
          </cell>
          <cell r="FK106">
            <v>154.44300000000001</v>
          </cell>
          <cell r="FL106">
            <v>154.892</v>
          </cell>
          <cell r="FM106">
            <v>154.87049999999999</v>
          </cell>
          <cell r="FN106">
            <v>154.24549999999999</v>
          </cell>
          <cell r="FP106">
            <v>154.35250000000002</v>
          </cell>
          <cell r="FQ106">
            <v>154.30500000000001</v>
          </cell>
          <cell r="FR106">
            <v>154.4855</v>
          </cell>
          <cell r="FS106">
            <v>154.4435</v>
          </cell>
          <cell r="FT106">
            <v>154.2885</v>
          </cell>
          <cell r="FV106">
            <v>154.26249999999999</v>
          </cell>
          <cell r="FW106">
            <v>154.32300000000001</v>
          </cell>
          <cell r="FX106">
            <v>154.291</v>
          </cell>
          <cell r="FY106">
            <v>153.291</v>
          </cell>
          <cell r="FZ106">
            <v>153.23750000000001</v>
          </cell>
          <cell r="GB106">
            <v>152.24799999999999</v>
          </cell>
          <cell r="GC106">
            <v>152.20100000000002</v>
          </cell>
          <cell r="GD106">
            <v>152.25400000000002</v>
          </cell>
          <cell r="GE106">
            <v>152.30400000000003</v>
          </cell>
          <cell r="GF106">
            <v>152.30100000000002</v>
          </cell>
        </row>
        <row r="107">
          <cell r="A107" t="str">
            <v>% Change</v>
          </cell>
          <cell r="N107" t="str">
            <v>NA</v>
          </cell>
          <cell r="O107">
            <v>5.6363670965572821E-2</v>
          </cell>
          <cell r="P107">
            <v>-1.4934963548359992E-2</v>
          </cell>
          <cell r="Q107">
            <v>-4.2673819611667163E-3</v>
          </cell>
          <cell r="R107">
            <v>5.4979030826216579E-3</v>
          </cell>
          <cell r="S107">
            <v>6.5821119994156074E-3</v>
          </cell>
          <cell r="T107">
            <v>1.2618411023869625E-2</v>
          </cell>
          <cell r="U107">
            <v>5.9737156511352474E-4</v>
          </cell>
          <cell r="V107">
            <v>0</v>
          </cell>
          <cell r="W107">
            <v>-1.1940298507462366E-3</v>
          </cell>
          <cell r="X107">
            <v>0.44530783024506881</v>
          </cell>
          <cell r="Y107">
            <v>0.30231596360628599</v>
          </cell>
          <cell r="Z107">
            <v>-1.1238488409018643E-2</v>
          </cell>
          <cell r="AA107">
            <v>-7.4158292143202686E-3</v>
          </cell>
          <cell r="AB107">
            <v>-1.8152285052355221E-3</v>
          </cell>
          <cell r="AC107">
            <v>2.7877636624729085E-4</v>
          </cell>
          <cell r="AD107">
            <v>-6.8119140441444959E-3</v>
          </cell>
          <cell r="AE107">
            <v>-6.1114283383636447E-3</v>
          </cell>
          <cell r="AF107">
            <v>9.8489176039562309E-4</v>
          </cell>
          <cell r="AG107">
            <v>6.0675233353646441E-4</v>
          </cell>
          <cell r="AH107">
            <v>-1.7863756895564187E-4</v>
          </cell>
          <cell r="AI107">
            <v>1.7866948603817434E-4</v>
          </cell>
          <cell r="AJ107">
            <v>0</v>
          </cell>
          <cell r="AK107">
            <v>0</v>
          </cell>
          <cell r="AL107">
            <v>0</v>
          </cell>
          <cell r="AN107" t="str">
            <v>% Change</v>
          </cell>
          <cell r="DL107">
            <v>6.5821119994156074E-3</v>
          </cell>
          <cell r="DN107" t="str">
            <v>NA</v>
          </cell>
          <cell r="DO107" t="str">
            <v>NA</v>
          </cell>
          <cell r="DP107" t="str">
            <v>NA</v>
          </cell>
          <cell r="DQ107" t="str">
            <v>NA</v>
          </cell>
          <cell r="DR107">
            <v>1.2618411023869625E-2</v>
          </cell>
          <cell r="DT107">
            <v>1.1595119508788443E-2</v>
          </cell>
          <cell r="DU107" t="str">
            <v>NA</v>
          </cell>
          <cell r="DV107" t="str">
            <v>NA</v>
          </cell>
          <cell r="DW107">
            <v>1.2316849816849995E-2</v>
          </cell>
          <cell r="DX107">
            <v>5.9737156511352474E-4</v>
          </cell>
          <cell r="DZ107">
            <v>-9.1923310774976175E-3</v>
          </cell>
          <cell r="EA107">
            <v>-1.0228303550472329E-2</v>
          </cell>
          <cell r="EB107">
            <v>-1.1214702242438479E-2</v>
          </cell>
          <cell r="EC107">
            <v>-4.3462618511908024E-3</v>
          </cell>
          <cell r="ED107">
            <v>0</v>
          </cell>
          <cell r="EF107">
            <v>4.8868212205326333E-3</v>
          </cell>
          <cell r="EG107">
            <v>-2.7424601785969172E-3</v>
          </cell>
          <cell r="EH107">
            <v>-1.2418980144520253E-2</v>
          </cell>
          <cell r="EI107">
            <v>-1.1988806330213153E-2</v>
          </cell>
          <cell r="EJ107">
            <v>-1.1940298507462366E-3</v>
          </cell>
          <cell r="EL107">
            <v>-8.3333333333334147E-3</v>
          </cell>
          <cell r="EM107">
            <v>-5.096924674302894E-3</v>
          </cell>
          <cell r="EN107">
            <v>0.51340039772531743</v>
          </cell>
          <cell r="EO107">
            <v>0.9648497001716061</v>
          </cell>
          <cell r="EP107">
            <v>0.44530783024506881</v>
          </cell>
          <cell r="ER107">
            <v>0.8951020967827692</v>
          </cell>
          <cell r="ES107">
            <v>0.87991187213801725</v>
          </cell>
          <cell r="ET107">
            <v>0.23297218920053719</v>
          </cell>
          <cell r="EU107">
            <v>-4.8139797097138781E-2</v>
          </cell>
          <cell r="EV107">
            <v>0.30231596360628599</v>
          </cell>
          <cell r="EX107">
            <v>-7.2120246061887494E-3</v>
          </cell>
          <cell r="EY107">
            <v>1.2547283714181567E-3</v>
          </cell>
          <cell r="EZ107">
            <v>5.1039089559621331E-3</v>
          </cell>
          <cell r="FA107">
            <v>-1.3195224086079982E-3</v>
          </cell>
          <cell r="FB107">
            <v>-1.1238488409018643E-2</v>
          </cell>
          <cell r="FD107">
            <v>-1.0968361477378896E-2</v>
          </cell>
          <cell r="FE107">
            <v>-1.0435447392730945E-2</v>
          </cell>
          <cell r="FF107">
            <v>-1.0744138115291291E-2</v>
          </cell>
          <cell r="FG107">
            <v>-9.5077476462643862E-3</v>
          </cell>
          <cell r="FH107">
            <v>-7.4158292143202686E-3</v>
          </cell>
          <cell r="FJ107">
            <v>-4.7579263827824958E-3</v>
          </cell>
          <cell r="FK107">
            <v>-5.6912191698802461E-3</v>
          </cell>
          <cell r="FL107">
            <v>-3.9932352922262826E-3</v>
          </cell>
          <cell r="FM107">
            <v>7.4310767630225705E-4</v>
          </cell>
          <cell r="FN107">
            <v>-1.8152285052355221E-3</v>
          </cell>
          <cell r="FP107">
            <v>5.5423389318542959E-4</v>
          </cell>
          <cell r="FQ107">
            <v>-8.9353353664467505E-4</v>
          </cell>
          <cell r="FR107">
            <v>-2.6244092658109786E-3</v>
          </cell>
          <cell r="FS107">
            <v>-2.7571422575635163E-3</v>
          </cell>
          <cell r="FT107">
            <v>2.7877636624729085E-4</v>
          </cell>
          <cell r="FV107">
            <v>-5.8308093487335899E-4</v>
          </cell>
          <cell r="FW107">
            <v>1.1665208515609926E-4</v>
          </cell>
          <cell r="FX107">
            <v>-1.25901783662552E-3</v>
          </cell>
          <cell r="FY107">
            <v>-7.4622758484494955E-3</v>
          </cell>
          <cell r="FZ107">
            <v>-6.8119140441444959E-3</v>
          </cell>
          <cell r="GB107">
            <v>-1.3058909326634782E-2</v>
          </cell>
          <cell r="GC107">
            <v>-1.3750380695035647E-2</v>
          </cell>
          <cell r="GD107">
            <v>-1.320232547588629E-2</v>
          </cell>
          <cell r="GE107">
            <v>-6.4387341722603741E-3</v>
          </cell>
          <cell r="GF107">
            <v>-6.1114283383636447E-3</v>
          </cell>
        </row>
        <row r="108">
          <cell r="A108" t="str">
            <v>Ave. Square Feet Per Store (000's)</v>
          </cell>
          <cell r="N108">
            <v>205.52411994784876</v>
          </cell>
          <cell r="O108">
            <v>202.33535844471447</v>
          </cell>
          <cell r="P108">
            <v>202.26263871763254</v>
          </cell>
          <cell r="Q108">
            <v>203.91385767790263</v>
          </cell>
          <cell r="R108">
            <v>204.26990049751242</v>
          </cell>
          <cell r="S108">
            <v>196.10201660735473</v>
          </cell>
          <cell r="T108">
            <v>186.20689655172413</v>
          </cell>
          <cell r="U108">
            <v>183.26039387308535</v>
          </cell>
          <cell r="V108">
            <v>183.26039387308535</v>
          </cell>
          <cell r="W108">
            <v>182.24400871459696</v>
          </cell>
          <cell r="X108">
            <v>182.21552373775432</v>
          </cell>
          <cell r="Y108">
            <v>182.44495944380068</v>
          </cell>
          <cell r="Z108">
            <v>181.97603740502629</v>
          </cell>
          <cell r="AA108">
            <v>181.79529411764705</v>
          </cell>
          <cell r="AB108">
            <v>181.78609310548026</v>
          </cell>
          <cell r="AC108">
            <v>181.51588235294119</v>
          </cell>
          <cell r="AD108">
            <v>181.13179669030734</v>
          </cell>
          <cell r="AE108">
            <v>180.6654804270463</v>
          </cell>
          <cell r="AF108">
            <v>180.2021276595745</v>
          </cell>
          <cell r="AG108">
            <v>179.88620283018867</v>
          </cell>
          <cell r="AH108">
            <v>179.88620283018867</v>
          </cell>
          <cell r="AI108">
            <v>179.88620283018867</v>
          </cell>
          <cell r="AJ108">
            <v>179.88620283018867</v>
          </cell>
          <cell r="AK108">
            <v>179.88620283018867</v>
          </cell>
          <cell r="AL108">
            <v>179.88620283018867</v>
          </cell>
          <cell r="AN108" t="str">
            <v>Ave. Square Feet Per Store (000's)</v>
          </cell>
          <cell r="DL108">
            <v>196.10201660735473</v>
          </cell>
          <cell r="DN108">
            <v>189.54545454545453</v>
          </cell>
          <cell r="DO108" t="str">
            <v>NA</v>
          </cell>
          <cell r="DP108" t="str">
            <v>NA</v>
          </cell>
          <cell r="DQ108">
            <v>183.00653594771242</v>
          </cell>
          <cell r="DR108">
            <v>186.20689655172413</v>
          </cell>
          <cell r="DT108">
            <v>183.00874830158995</v>
          </cell>
          <cell r="DU108">
            <v>183.01203107237592</v>
          </cell>
          <cell r="DV108">
            <v>183.01740903020223</v>
          </cell>
          <cell r="DW108">
            <v>183.26425729442971</v>
          </cell>
          <cell r="DX108">
            <v>183.26039387308535</v>
          </cell>
          <cell r="DZ108">
            <v>183.51592374966816</v>
          </cell>
          <cell r="EA108">
            <v>183.5131432485658</v>
          </cell>
          <cell r="EB108">
            <v>183.50821409644939</v>
          </cell>
          <cell r="EC108">
            <v>183.25764649294061</v>
          </cell>
          <cell r="ED108">
            <v>183.26039387308535</v>
          </cell>
          <cell r="EF108">
            <v>183.00653594771242</v>
          </cell>
          <cell r="EG108">
            <v>183.00986576095744</v>
          </cell>
          <cell r="EH108">
            <v>183.00986576095744</v>
          </cell>
          <cell r="EI108">
            <v>182.24400871459696</v>
          </cell>
          <cell r="EJ108">
            <v>182.24400871459696</v>
          </cell>
          <cell r="EL108">
            <v>181.4814814814815</v>
          </cell>
          <cell r="EM108">
            <v>181.48270259699231</v>
          </cell>
          <cell r="EN108">
            <v>181.86520324397534</v>
          </cell>
          <cell r="EO108">
            <v>182.31800046517455</v>
          </cell>
          <cell r="EP108">
            <v>182.21552373775432</v>
          </cell>
          <cell r="ER108">
            <v>182.60497936611299</v>
          </cell>
          <cell r="ES108">
            <v>182.60721999801788</v>
          </cell>
          <cell r="ET108">
            <v>182.60797385140646</v>
          </cell>
          <cell r="EU108">
            <v>182.44598938476494</v>
          </cell>
          <cell r="EV108">
            <v>182.44495944380068</v>
          </cell>
          <cell r="EX108">
            <v>182.13073794305637</v>
          </cell>
          <cell r="EY108">
            <v>181.88296639629201</v>
          </cell>
          <cell r="EZ108">
            <v>181.84152689415848</v>
          </cell>
          <cell r="FA108">
            <v>181.88707799767172</v>
          </cell>
          <cell r="FB108">
            <v>181.97603740502629</v>
          </cell>
          <cell r="FD108">
            <v>182.03699354081033</v>
          </cell>
          <cell r="FE108">
            <v>182.09495896834702</v>
          </cell>
          <cell r="FF108">
            <v>181.78024547048506</v>
          </cell>
          <cell r="FG108">
            <v>181.74456840869053</v>
          </cell>
          <cell r="FH108">
            <v>181.79529411764705</v>
          </cell>
          <cell r="FJ108">
            <v>182.02595870206488</v>
          </cell>
          <cell r="FK108">
            <v>182.12617924528303</v>
          </cell>
          <cell r="FL108">
            <v>182.01175088131609</v>
          </cell>
          <cell r="FM108">
            <v>181.77288732394365</v>
          </cell>
          <cell r="FN108">
            <v>179.88620283018867</v>
          </cell>
          <cell r="FP108">
            <v>181.69805768098885</v>
          </cell>
          <cell r="FQ108">
            <v>181.74911660777386</v>
          </cell>
          <cell r="FR108">
            <v>181.42748091603053</v>
          </cell>
          <cell r="FS108">
            <v>181.27171361502349</v>
          </cell>
          <cell r="FT108">
            <v>0</v>
          </cell>
          <cell r="FV108">
            <v>181.48529411764707</v>
          </cell>
          <cell r="FW108">
            <v>181.66333137139495</v>
          </cell>
          <cell r="FX108">
            <v>181.62566215420836</v>
          </cell>
          <cell r="FY108">
            <v>181.1950354609929</v>
          </cell>
          <cell r="FZ108">
            <v>181.13179669030734</v>
          </cell>
          <cell r="GB108">
            <v>180.60260972716489</v>
          </cell>
          <cell r="GC108">
            <v>180.22616933096509</v>
          </cell>
          <cell r="GD108">
            <v>179.96926713947994</v>
          </cell>
          <cell r="GE108">
            <v>180.13483146067418</v>
          </cell>
          <cell r="GF108">
            <v>180.6654804270463</v>
          </cell>
        </row>
        <row r="109">
          <cell r="A109" t="str">
            <v>% Change</v>
          </cell>
          <cell r="N109" t="str">
            <v>NA</v>
          </cell>
          <cell r="O109">
            <v>-1.5515266548488005E-2</v>
          </cell>
          <cell r="P109">
            <v>-3.5940197324335621E-4</v>
          </cell>
          <cell r="Q109">
            <v>8.1637368657849763E-3</v>
          </cell>
          <cell r="R109">
            <v>1.7460452352981992E-3</v>
          </cell>
          <cell r="S109">
            <v>-3.9985743715859723E-2</v>
          </cell>
          <cell r="T109">
            <v>-5.045904283301228E-2</v>
          </cell>
          <cell r="U109">
            <v>-1.5823810681578676E-2</v>
          </cell>
          <cell r="V109">
            <v>0</v>
          </cell>
          <cell r="W109">
            <v>-5.5461255812441212E-3</v>
          </cell>
          <cell r="X109">
            <v>-1.5630130748078841E-4</v>
          </cell>
          <cell r="Y109">
            <v>1.2591446729675049E-3</v>
          </cell>
          <cell r="Z109">
            <v>-2.570210984200072E-3</v>
          </cell>
          <cell r="AA109">
            <v>-9.9322575629534615E-4</v>
          </cell>
          <cell r="AB109">
            <v>-5.0611938067213202E-5</v>
          </cell>
          <cell r="AC109">
            <v>-1.4864214743989246E-3</v>
          </cell>
          <cell r="AD109">
            <v>-2.1159892878521713E-3</v>
          </cell>
          <cell r="AE109">
            <v>-2.5744583324501802E-3</v>
          </cell>
          <cell r="AF109">
            <v>-2.5647000543577159E-3</v>
          </cell>
          <cell r="AG109">
            <v>-1.7531692521558506E-3</v>
          </cell>
          <cell r="AH109">
            <v>0</v>
          </cell>
          <cell r="AI109">
            <v>0</v>
          </cell>
          <cell r="AJ109">
            <v>0</v>
          </cell>
          <cell r="AK109">
            <v>0</v>
          </cell>
          <cell r="AL109">
            <v>0</v>
          </cell>
          <cell r="AN109" t="str">
            <v>% Change</v>
          </cell>
          <cell r="DL109">
            <v>-3.9985743715859723E-2</v>
          </cell>
          <cell r="DN109" t="str">
            <v>NA</v>
          </cell>
          <cell r="DO109" t="str">
            <v>NA</v>
          </cell>
          <cell r="DP109" t="str">
            <v>NA</v>
          </cell>
          <cell r="DQ109" t="str">
            <v>NA</v>
          </cell>
          <cell r="DR109">
            <v>-5.045904283301228E-2</v>
          </cell>
          <cell r="DT109">
            <v>-3.4486219991611722E-2</v>
          </cell>
          <cell r="DU109" t="str">
            <v>NA</v>
          </cell>
          <cell r="DV109" t="str">
            <v>NA</v>
          </cell>
          <cell r="DW109">
            <v>1.4082630731337975E-3</v>
          </cell>
          <cell r="DX109">
            <v>-1.5823810681578676E-2</v>
          </cell>
          <cell r="DZ109">
            <v>2.7713180532900061E-3</v>
          </cell>
          <cell r="EA109">
            <v>2.7381378877309182E-3</v>
          </cell>
          <cell r="EB109">
            <v>2.681739780100223E-3</v>
          </cell>
          <cell r="EC109">
            <v>-3.6072508555085037E-5</v>
          </cell>
          <cell r="ED109">
            <v>0</v>
          </cell>
          <cell r="EF109">
            <v>-2.7757144532623013E-3</v>
          </cell>
          <cell r="EG109">
            <v>-2.7424601785970282E-3</v>
          </cell>
          <cell r="EH109">
            <v>-2.7156731808747336E-3</v>
          </cell>
          <cell r="EI109">
            <v>-5.5312168291035135E-3</v>
          </cell>
          <cell r="EJ109">
            <v>-5.5461255812441212E-3</v>
          </cell>
          <cell r="EL109">
            <v>-8.3333333333333037E-3</v>
          </cell>
          <cell r="EM109">
            <v>-8.3447040279230889E-3</v>
          </cell>
          <cell r="EN109">
            <v>-6.2546492355620709E-3</v>
          </cell>
          <cell r="EO109">
            <v>4.0600374793919869E-4</v>
          </cell>
          <cell r="EP109">
            <v>-1.5630130748078841E-4</v>
          </cell>
          <cell r="ER109">
            <v>6.1907026296021961E-3</v>
          </cell>
          <cell r="ES109">
            <v>6.1962786807441272E-3</v>
          </cell>
          <cell r="ET109">
            <v>4.0841820985109134E-3</v>
          </cell>
          <cell r="EU109">
            <v>7.0200923257068837E-4</v>
          </cell>
          <cell r="EV109">
            <v>1.2591446729675049E-3</v>
          </cell>
          <cell r="EX109">
            <v>-2.5970892179548732E-3</v>
          </cell>
          <cell r="EY109">
            <v>-3.9661827266946892E-3</v>
          </cell>
          <cell r="EZ109">
            <v>-4.1972261182398052E-3</v>
          </cell>
          <cell r="FA109">
            <v>-3.0634347676150586E-3</v>
          </cell>
          <cell r="FB109">
            <v>-2.570210984200072E-3</v>
          </cell>
          <cell r="FD109">
            <v>-5.147093966937355E-4</v>
          </cell>
          <cell r="FE109">
            <v>1.1655438453379574E-3</v>
          </cell>
          <cell r="FF109">
            <v>-3.3700455952001551E-4</v>
          </cell>
          <cell r="FG109">
            <v>-7.8350584631980968E-4</v>
          </cell>
          <cell r="FH109">
            <v>-9.9322575629534615E-4</v>
          </cell>
          <cell r="FJ109">
            <v>-6.061866069528854E-5</v>
          </cell>
          <cell r="FK109">
            <v>1.7145052841049946E-4</v>
          </cell>
          <cell r="FL109">
            <v>1.2735454847243588E-3</v>
          </cell>
          <cell r="FM109">
            <v>1.5581712015433347E-4</v>
          </cell>
          <cell r="FN109">
            <v>-1.0501324012396784E-2</v>
          </cell>
          <cell r="FP109">
            <v>-1.8013970282817482E-3</v>
          </cell>
          <cell r="FQ109">
            <v>-2.070337384069032E-3</v>
          </cell>
          <cell r="FR109">
            <v>-3.2100672756373294E-3</v>
          </cell>
          <cell r="FS109">
            <v>-2.7571422575634053E-3</v>
          </cell>
          <cell r="FT109">
            <v>-1</v>
          </cell>
          <cell r="FV109">
            <v>-1.1709732402056527E-3</v>
          </cell>
          <cell r="FW109">
            <v>-4.7199809264575343E-4</v>
          </cell>
          <cell r="FX109">
            <v>1.0923440990151523E-3</v>
          </cell>
          <cell r="FY109">
            <v>-4.2300120907690086E-4</v>
          </cell>
          <cell r="FZ109" t="str">
            <v>NA</v>
          </cell>
          <cell r="GB109">
            <v>-4.8636689533091415E-3</v>
          </cell>
          <cell r="GC109">
            <v>-7.9111289525550799E-3</v>
          </cell>
          <cell r="GD109">
            <v>-9.1198291864839076E-3</v>
          </cell>
          <cell r="GE109">
            <v>-5.8511757655024255E-3</v>
          </cell>
          <cell r="GF109">
            <v>-2.5744583324501802E-3</v>
          </cell>
        </row>
        <row r="110">
          <cell r="A110" t="str">
            <v>Productivity Factor</v>
          </cell>
          <cell r="N110" t="str">
            <v>NA</v>
          </cell>
          <cell r="O110">
            <v>0.99020658295615083</v>
          </cell>
          <cell r="P110">
            <v>1.0238160014396207</v>
          </cell>
          <cell r="Q110">
            <v>0.97215995399387289</v>
          </cell>
          <cell r="R110">
            <v>1.0032277258841547</v>
          </cell>
          <cell r="S110">
            <v>0.99950875467894218</v>
          </cell>
          <cell r="T110">
            <v>0.99467282247112343</v>
          </cell>
          <cell r="U110">
            <v>1.0230408956015324</v>
          </cell>
          <cell r="V110">
            <v>0.99283260375178717</v>
          </cell>
          <cell r="W110">
            <v>1.0060621750760674</v>
          </cell>
          <cell r="X110">
            <v>0.73631472463543401</v>
          </cell>
          <cell r="Y110">
            <v>1.1692809442164345</v>
          </cell>
          <cell r="Z110">
            <v>0.99766929211669775</v>
          </cell>
          <cell r="AA110">
            <v>0.99616480017746767</v>
          </cell>
          <cell r="AB110">
            <v>1.011642907621854</v>
          </cell>
          <cell r="AC110">
            <v>1.0017002547102301</v>
          </cell>
          <cell r="AD110">
            <v>1.0152922484576603</v>
          </cell>
          <cell r="AE110">
            <v>1.0083583012001358</v>
          </cell>
          <cell r="AF110">
            <v>1</v>
          </cell>
          <cell r="AG110">
            <v>1</v>
          </cell>
          <cell r="AH110">
            <v>1</v>
          </cell>
          <cell r="AI110">
            <v>1</v>
          </cell>
          <cell r="AJ110">
            <v>1</v>
          </cell>
          <cell r="AK110">
            <v>1</v>
          </cell>
          <cell r="AL110">
            <v>1</v>
          </cell>
        </row>
        <row r="111">
          <cell r="BS111" t="str">
            <v>Q1P</v>
          </cell>
          <cell r="BT111" t="str">
            <v>Q2P</v>
          </cell>
          <cell r="BU111" t="str">
            <v>Q3P</v>
          </cell>
          <cell r="BV111" t="str">
            <v>Q4P</v>
          </cell>
          <cell r="BW111" t="str">
            <v>Year P</v>
          </cell>
          <cell r="BY111" t="str">
            <v>Q1E</v>
          </cell>
          <cell r="BZ111" t="str">
            <v>Q2E</v>
          </cell>
          <cell r="CA111" t="str">
            <v>Q3E</v>
          </cell>
          <cell r="CB111" t="str">
            <v>Q4E</v>
          </cell>
          <cell r="CF111" t="str">
            <v>Year</v>
          </cell>
          <cell r="CJ111" t="str">
            <v>Q1A</v>
          </cell>
          <cell r="CK111" t="str">
            <v>Q2A</v>
          </cell>
          <cell r="CL111" t="str">
            <v>Q3A</v>
          </cell>
          <cell r="CM111" t="str">
            <v>Q4A</v>
          </cell>
          <cell r="CN111" t="str">
            <v>Year</v>
          </cell>
          <cell r="CP111" t="str">
            <v>Q1A</v>
          </cell>
          <cell r="CQ111" t="str">
            <v>Q2A</v>
          </cell>
          <cell r="CR111" t="str">
            <v>Q3A</v>
          </cell>
          <cell r="CS111" t="str">
            <v>Q4A</v>
          </cell>
          <cell r="CT111" t="str">
            <v>Year</v>
          </cell>
          <cell r="CV111" t="str">
            <v>Q1</v>
          </cell>
          <cell r="CW111" t="str">
            <v>Q2</v>
          </cell>
          <cell r="CX111" t="str">
            <v>Q3</v>
          </cell>
          <cell r="CY111" t="str">
            <v>Q4</v>
          </cell>
          <cell r="CZ111" t="str">
            <v>Year</v>
          </cell>
          <cell r="DB111" t="str">
            <v>Q1</v>
          </cell>
          <cell r="DC111" t="str">
            <v>Q2</v>
          </cell>
          <cell r="DD111" t="str">
            <v>Q3</v>
          </cell>
          <cell r="DE111" t="str">
            <v>Q4</v>
          </cell>
          <cell r="DF111" t="str">
            <v>Year</v>
          </cell>
          <cell r="DH111" t="str">
            <v>Q1</v>
          </cell>
          <cell r="DI111" t="str">
            <v>Q2</v>
          </cell>
          <cell r="DJ111" t="str">
            <v>Q3</v>
          </cell>
          <cell r="DK111" t="str">
            <v>Q4</v>
          </cell>
          <cell r="DL111">
            <v>2000</v>
          </cell>
          <cell r="DN111" t="str">
            <v>Q1A</v>
          </cell>
          <cell r="DO111" t="str">
            <v>Q2A</v>
          </cell>
          <cell r="DP111" t="str">
            <v>Q3A</v>
          </cell>
          <cell r="DQ111" t="str">
            <v>Q4A</v>
          </cell>
          <cell r="DR111">
            <v>2001</v>
          </cell>
          <cell r="DT111" t="str">
            <v>Q1A</v>
          </cell>
          <cell r="DU111" t="str">
            <v>Q2A</v>
          </cell>
          <cell r="DV111" t="str">
            <v>Q3A</v>
          </cell>
          <cell r="DW111" t="str">
            <v>Q4A</v>
          </cell>
          <cell r="DX111">
            <v>2002</v>
          </cell>
          <cell r="DZ111" t="str">
            <v>Q1A</v>
          </cell>
          <cell r="EA111" t="str">
            <v>Q2A</v>
          </cell>
          <cell r="EB111" t="str">
            <v>Q3A</v>
          </cell>
          <cell r="EC111" t="str">
            <v>Q4A</v>
          </cell>
          <cell r="ED111">
            <v>2003</v>
          </cell>
          <cell r="EF111" t="str">
            <v>Q1A</v>
          </cell>
          <cell r="EG111" t="str">
            <v>Q2A</v>
          </cell>
          <cell r="EH111" t="str">
            <v>Q3A</v>
          </cell>
          <cell r="EI111" t="str">
            <v>Q4A</v>
          </cell>
          <cell r="EJ111">
            <v>2004</v>
          </cell>
          <cell r="EL111" t="str">
            <v>Q1A</v>
          </cell>
          <cell r="EM111" t="str">
            <v>Q2A</v>
          </cell>
          <cell r="EN111" t="str">
            <v>Q3A</v>
          </cell>
          <cell r="EO111" t="str">
            <v>Q4A</v>
          </cell>
          <cell r="EP111">
            <v>2005</v>
          </cell>
          <cell r="ER111" t="str">
            <v>Q1A</v>
          </cell>
          <cell r="ES111" t="str">
            <v>Q2A</v>
          </cell>
          <cell r="ET111" t="str">
            <v>Q3A</v>
          </cell>
          <cell r="EU111" t="str">
            <v>Q4A</v>
          </cell>
          <cell r="EV111">
            <v>2006</v>
          </cell>
          <cell r="EX111">
            <v>1</v>
          </cell>
          <cell r="EY111">
            <v>2</v>
          </cell>
          <cell r="EZ111">
            <v>3</v>
          </cell>
          <cell r="FA111">
            <v>4</v>
          </cell>
          <cell r="FB111" t="str">
            <v>Year</v>
          </cell>
          <cell r="FD111">
            <v>1</v>
          </cell>
          <cell r="FE111">
            <v>2</v>
          </cell>
          <cell r="FF111">
            <v>3</v>
          </cell>
          <cell r="FG111">
            <v>4</v>
          </cell>
          <cell r="FH111" t="str">
            <v>Year</v>
          </cell>
          <cell r="FJ111">
            <v>1</v>
          </cell>
          <cell r="FK111">
            <v>2</v>
          </cell>
          <cell r="FL111">
            <v>3</v>
          </cell>
          <cell r="FM111">
            <v>4</v>
          </cell>
          <cell r="FN111" t="str">
            <v>Year</v>
          </cell>
          <cell r="FP111">
            <v>1</v>
          </cell>
          <cell r="FQ111">
            <v>2</v>
          </cell>
          <cell r="FR111">
            <v>3</v>
          </cell>
          <cell r="FS111">
            <v>4</v>
          </cell>
          <cell r="FT111" t="str">
            <v>Year</v>
          </cell>
          <cell r="FV111">
            <v>1</v>
          </cell>
          <cell r="FW111">
            <v>2</v>
          </cell>
          <cell r="FX111">
            <v>3</v>
          </cell>
          <cell r="FY111">
            <v>4</v>
          </cell>
          <cell r="FZ111" t="str">
            <v>Year</v>
          </cell>
          <cell r="GB111">
            <v>1</v>
          </cell>
          <cell r="GC111">
            <v>2</v>
          </cell>
          <cell r="GD111">
            <v>3</v>
          </cell>
          <cell r="GE111">
            <v>4</v>
          </cell>
          <cell r="GF111" t="str">
            <v>Year</v>
          </cell>
        </row>
        <row r="112">
          <cell r="A112" t="str">
            <v>Consolidated Stores Monthly Sales ($)</v>
          </cell>
          <cell r="AN112" t="str">
            <v>Consolidated Stores Monthly Sales ($)</v>
          </cell>
          <cell r="EU112">
            <v>356</v>
          </cell>
        </row>
        <row r="113">
          <cell r="A113" t="str">
            <v>Month 1</v>
          </cell>
          <cell r="AN113" t="str">
            <v>Month 1</v>
          </cell>
          <cell r="BS113">
            <v>876.8</v>
          </cell>
          <cell r="BT113">
            <v>954.9</v>
          </cell>
          <cell r="BU113">
            <v>1050.0999999999999</v>
          </cell>
          <cell r="BV113">
            <v>1322.7</v>
          </cell>
          <cell r="BY113">
            <v>912</v>
          </cell>
          <cell r="BZ113">
            <v>1021.7430000000001</v>
          </cell>
          <cell r="CA113">
            <v>1059.5508999999997</v>
          </cell>
          <cell r="CB113">
            <v>1354.4448</v>
          </cell>
          <cell r="CJ113">
            <v>1033.0999999999999</v>
          </cell>
          <cell r="CK113">
            <v>1111.8</v>
          </cell>
          <cell r="CL113">
            <v>1121.3</v>
          </cell>
          <cell r="CM113">
            <v>1550.7</v>
          </cell>
          <cell r="CP113">
            <v>1058.4000000000001</v>
          </cell>
          <cell r="CQ113">
            <v>1147</v>
          </cell>
          <cell r="CR113">
            <v>1168.5</v>
          </cell>
          <cell r="CS113">
            <v>1563.5</v>
          </cell>
          <cell r="CV113">
            <v>1058.4000000000001</v>
          </cell>
          <cell r="CW113">
            <v>1155.5</v>
          </cell>
          <cell r="CX113">
            <v>1127.6025</v>
          </cell>
          <cell r="CY113">
            <v>1539</v>
          </cell>
          <cell r="DB113">
            <v>1025</v>
          </cell>
          <cell r="DC113">
            <v>1147</v>
          </cell>
          <cell r="DD113">
            <v>1119</v>
          </cell>
          <cell r="DE113">
            <v>1499</v>
          </cell>
          <cell r="DN113">
            <v>1081</v>
          </cell>
          <cell r="DO113">
            <v>1161</v>
          </cell>
          <cell r="DP113">
            <v>1130</v>
          </cell>
          <cell r="DQ113">
            <v>1565</v>
          </cell>
          <cell r="DT113">
            <v>1048</v>
          </cell>
          <cell r="DU113">
            <v>1150</v>
          </cell>
          <cell r="DV113">
            <v>1086</v>
          </cell>
          <cell r="DW113">
            <v>1473</v>
          </cell>
          <cell r="DZ113">
            <v>985</v>
          </cell>
          <cell r="EA113">
            <v>1137</v>
          </cell>
          <cell r="EB113">
            <v>1078</v>
          </cell>
          <cell r="EC113">
            <v>1460</v>
          </cell>
          <cell r="EF113">
            <v>1080</v>
          </cell>
          <cell r="EG113">
            <v>1182</v>
          </cell>
          <cell r="EH113">
            <v>1056</v>
          </cell>
          <cell r="EI113">
            <v>1446</v>
          </cell>
          <cell r="EL113">
            <v>1097</v>
          </cell>
          <cell r="EM113">
            <v>1189</v>
          </cell>
          <cell r="EN113">
            <v>1068</v>
          </cell>
          <cell r="EO113">
            <v>2617</v>
          </cell>
          <cell r="ER113">
            <v>1800</v>
          </cell>
          <cell r="ES113">
            <v>2026</v>
          </cell>
          <cell r="ET113">
            <v>1727</v>
          </cell>
          <cell r="EU113">
            <v>2385</v>
          </cell>
          <cell r="EX113">
            <v>1802</v>
          </cell>
          <cell r="EY113">
            <v>1976</v>
          </cell>
          <cell r="EZ113">
            <v>1788</v>
          </cell>
          <cell r="FA113">
            <v>2707</v>
          </cell>
          <cell r="FD113">
            <v>1737</v>
          </cell>
          <cell r="FE113">
            <v>1926</v>
          </cell>
          <cell r="FF113">
            <v>1686</v>
          </cell>
          <cell r="FG113">
            <v>2324</v>
          </cell>
          <cell r="FJ113">
            <v>1602.5975291456411</v>
          </cell>
          <cell r="FK113">
            <v>1783.7565582371458</v>
          </cell>
          <cell r="FL113">
            <v>1576.1490988530857</v>
          </cell>
          <cell r="FM113">
            <v>2202.7766574237457</v>
          </cell>
          <cell r="FP113">
            <v>1667</v>
          </cell>
          <cell r="FQ113">
            <v>1789</v>
          </cell>
          <cell r="FR113">
            <v>1638</v>
          </cell>
          <cell r="FS113">
            <v>2341</v>
          </cell>
          <cell r="FV113">
            <v>1763</v>
          </cell>
          <cell r="FW113">
            <v>1937</v>
          </cell>
          <cell r="FX113">
            <v>1714</v>
          </cell>
          <cell r="FY113">
            <v>2465</v>
          </cell>
          <cell r="GB113">
            <v>1860</v>
          </cell>
          <cell r="GC113">
            <v>2015</v>
          </cell>
          <cell r="GD113">
            <v>1812</v>
          </cell>
          <cell r="GE113">
            <v>2539.5720461726355</v>
          </cell>
        </row>
        <row r="114">
          <cell r="A114" t="str">
            <v>Month 2</v>
          </cell>
          <cell r="AN114" t="str">
            <v>Month 2</v>
          </cell>
          <cell r="BS114">
            <v>1162.8</v>
          </cell>
          <cell r="BT114">
            <v>1162.4000000000001</v>
          </cell>
          <cell r="BU114">
            <v>1281.9000000000001</v>
          </cell>
          <cell r="BV114">
            <v>2551.6999999999998</v>
          </cell>
          <cell r="BY114">
            <v>1133.73</v>
          </cell>
          <cell r="BZ114">
            <v>1218.1952000000001</v>
          </cell>
          <cell r="CA114">
            <v>1344.7130999999999</v>
          </cell>
          <cell r="CB114">
            <v>2584.8720999999996</v>
          </cell>
          <cell r="CJ114">
            <v>1277.0999999999999</v>
          </cell>
          <cell r="CK114">
            <v>1278.2</v>
          </cell>
          <cell r="CL114">
            <v>1397.4</v>
          </cell>
          <cell r="CM114">
            <v>2742.6</v>
          </cell>
          <cell r="CP114">
            <v>1289.2</v>
          </cell>
          <cell r="CQ114">
            <v>1328</v>
          </cell>
          <cell r="CR114">
            <v>1446.2</v>
          </cell>
          <cell r="CS114">
            <v>2748.7</v>
          </cell>
          <cell r="CV114">
            <v>1288</v>
          </cell>
          <cell r="CW114">
            <v>1358.5</v>
          </cell>
          <cell r="CX114">
            <v>1417.2760000000001</v>
          </cell>
          <cell r="CY114">
            <v>2869.0930599999992</v>
          </cell>
          <cell r="DB114">
            <v>1343</v>
          </cell>
          <cell r="DC114">
            <v>1407</v>
          </cell>
          <cell r="DD114">
            <v>1423</v>
          </cell>
          <cell r="DE114">
            <v>2916</v>
          </cell>
          <cell r="DN114">
            <v>1317</v>
          </cell>
          <cell r="DO114">
            <v>1326</v>
          </cell>
          <cell r="DP114">
            <v>1289</v>
          </cell>
          <cell r="DQ114">
            <v>2795</v>
          </cell>
          <cell r="DT114">
            <v>1311</v>
          </cell>
          <cell r="DU114">
            <v>1367</v>
          </cell>
          <cell r="DV114">
            <v>1315</v>
          </cell>
          <cell r="DW114">
            <v>2772</v>
          </cell>
          <cell r="DZ114">
            <v>1233</v>
          </cell>
          <cell r="EA114">
            <v>1337</v>
          </cell>
          <cell r="EB114">
            <v>1352</v>
          </cell>
          <cell r="EC114">
            <v>2782</v>
          </cell>
          <cell r="EF114">
            <v>1326</v>
          </cell>
          <cell r="EG114">
            <v>1394</v>
          </cell>
          <cell r="EH114">
            <v>1361</v>
          </cell>
          <cell r="EI114">
            <v>2856</v>
          </cell>
          <cell r="EL114">
            <v>1371</v>
          </cell>
          <cell r="EM114">
            <v>1436</v>
          </cell>
          <cell r="EN114">
            <v>2464</v>
          </cell>
          <cell r="EO114">
            <v>5459</v>
          </cell>
          <cell r="ER114">
            <v>2255</v>
          </cell>
          <cell r="ES114">
            <v>2367</v>
          </cell>
          <cell r="ET114">
            <v>2303</v>
          </cell>
          <cell r="EU114">
            <v>4997</v>
          </cell>
          <cell r="EX114">
            <v>2288</v>
          </cell>
          <cell r="EY114">
            <v>2321</v>
          </cell>
          <cell r="EZ114">
            <v>2274</v>
          </cell>
          <cell r="FA114">
            <v>4624</v>
          </cell>
          <cell r="FD114">
            <v>2142</v>
          </cell>
          <cell r="FE114">
            <v>2249</v>
          </cell>
          <cell r="FF114">
            <v>2093</v>
          </cell>
          <cell r="FG114">
            <v>4397</v>
          </cell>
          <cell r="FJ114">
            <v>1963.7990255785628</v>
          </cell>
          <cell r="FK114">
            <v>2092.5916404337181</v>
          </cell>
          <cell r="FL114">
            <v>2084.1512834516657</v>
          </cell>
          <cell r="FM114">
            <v>4474.7693471136881</v>
          </cell>
          <cell r="FP114">
            <v>2172</v>
          </cell>
          <cell r="FQ114">
            <v>2229</v>
          </cell>
          <cell r="FR114">
            <v>2181</v>
          </cell>
          <cell r="FS114">
            <v>4619</v>
          </cell>
          <cell r="FV114">
            <v>2206</v>
          </cell>
          <cell r="FW114">
            <v>2392</v>
          </cell>
          <cell r="FX114">
            <v>2298</v>
          </cell>
          <cell r="FY114">
            <v>4925</v>
          </cell>
          <cell r="GB114">
            <v>2358</v>
          </cell>
          <cell r="GC114">
            <v>2412</v>
          </cell>
          <cell r="GD114">
            <v>2339.3160690399509</v>
          </cell>
          <cell r="GE114">
            <v>5073.9928305883286</v>
          </cell>
        </row>
        <row r="115">
          <cell r="A115" t="str">
            <v>Month 3</v>
          </cell>
          <cell r="AN115" t="str">
            <v>Month 3</v>
          </cell>
          <cell r="BS115">
            <v>898.4</v>
          </cell>
          <cell r="BT115">
            <v>813.5</v>
          </cell>
          <cell r="BU115">
            <v>1020.6</v>
          </cell>
          <cell r="BV115">
            <v>605.70000000000005</v>
          </cell>
          <cell r="CJ115">
            <v>990.5</v>
          </cell>
          <cell r="CK115">
            <v>894.2</v>
          </cell>
          <cell r="CL115">
            <v>1090.4000000000001</v>
          </cell>
          <cell r="CM115">
            <v>742.1</v>
          </cell>
          <cell r="CP115">
            <v>1061</v>
          </cell>
          <cell r="CQ115">
            <v>977.8</v>
          </cell>
          <cell r="CR115">
            <v>1131.4000000000001</v>
          </cell>
          <cell r="CS115">
            <v>749.2</v>
          </cell>
          <cell r="CV115">
            <v>1111</v>
          </cell>
          <cell r="CW115">
            <v>1010.5</v>
          </cell>
          <cell r="CX115">
            <v>1101.0784800000001</v>
          </cell>
          <cell r="CY115">
            <v>800</v>
          </cell>
          <cell r="DB115">
            <v>1077</v>
          </cell>
          <cell r="DC115">
            <v>1015</v>
          </cell>
          <cell r="DD115">
            <v>1105</v>
          </cell>
          <cell r="DE115">
            <v>783</v>
          </cell>
          <cell r="DN115">
            <v>1162</v>
          </cell>
          <cell r="DO115">
            <v>1005</v>
          </cell>
          <cell r="DP115">
            <v>1058</v>
          </cell>
          <cell r="DQ115">
            <v>774</v>
          </cell>
          <cell r="DT115">
            <v>1097</v>
          </cell>
          <cell r="DU115">
            <v>970</v>
          </cell>
          <cell r="DV115">
            <v>1083</v>
          </cell>
          <cell r="DW115">
            <v>775</v>
          </cell>
          <cell r="DZ115">
            <v>1076</v>
          </cell>
          <cell r="EA115">
            <v>963</v>
          </cell>
          <cell r="EB115">
            <v>1058</v>
          </cell>
          <cell r="EC115">
            <v>814</v>
          </cell>
          <cell r="EF115">
            <v>1144</v>
          </cell>
          <cell r="EG115">
            <v>1005</v>
          </cell>
          <cell r="EH115">
            <v>1108</v>
          </cell>
          <cell r="EI115">
            <v>818</v>
          </cell>
          <cell r="EL115">
            <v>1173</v>
          </cell>
          <cell r="EM115">
            <v>998</v>
          </cell>
          <cell r="EN115">
            <v>2023</v>
          </cell>
          <cell r="EO115">
            <v>1495</v>
          </cell>
          <cell r="ER115">
            <v>1878</v>
          </cell>
          <cell r="ES115">
            <v>1608</v>
          </cell>
          <cell r="ET115">
            <v>1863</v>
          </cell>
          <cell r="EU115">
            <v>1780</v>
          </cell>
          <cell r="EX115">
            <v>1837</v>
          </cell>
          <cell r="EY115">
            <v>1602</v>
          </cell>
          <cell r="EZ115">
            <v>1849</v>
          </cell>
          <cell r="FA115">
            <v>1273</v>
          </cell>
          <cell r="FD115">
            <v>1868</v>
          </cell>
          <cell r="FE115">
            <v>1543</v>
          </cell>
          <cell r="FF115">
            <v>1714</v>
          </cell>
          <cell r="FG115">
            <v>1213</v>
          </cell>
          <cell r="FJ115">
            <v>1720.603445275796</v>
          </cell>
          <cell r="FK115">
            <v>1409.6518013291361</v>
          </cell>
          <cell r="FL115">
            <v>1725.6996176952484</v>
          </cell>
          <cell r="FM115">
            <v>1268.4539954625661</v>
          </cell>
          <cell r="FP115">
            <v>1739</v>
          </cell>
          <cell r="FQ115">
            <v>1528</v>
          </cell>
          <cell r="FR115">
            <v>1806</v>
          </cell>
          <cell r="FS115">
            <v>1310</v>
          </cell>
          <cell r="FV115">
            <v>1920</v>
          </cell>
          <cell r="FW115">
            <v>1612</v>
          </cell>
          <cell r="FX115">
            <v>1842</v>
          </cell>
          <cell r="FY115">
            <v>1336</v>
          </cell>
          <cell r="GB115">
            <v>1928</v>
          </cell>
          <cell r="GC115">
            <v>1693</v>
          </cell>
          <cell r="GD115">
            <v>1918.3705778953104</v>
          </cell>
          <cell r="GE115">
            <v>1753.5690816688336</v>
          </cell>
        </row>
        <row r="116">
          <cell r="A116" t="str">
            <v>Total</v>
          </cell>
          <cell r="AN116" t="str">
            <v>Total</v>
          </cell>
          <cell r="BS116">
            <v>2938</v>
          </cell>
          <cell r="BT116">
            <v>2930.8</v>
          </cell>
          <cell r="BU116">
            <v>3352.6</v>
          </cell>
          <cell r="BV116">
            <v>4480.0999999999995</v>
          </cell>
          <cell r="BW116">
            <v>13701.5</v>
          </cell>
          <cell r="CJ116">
            <v>3300.7</v>
          </cell>
          <cell r="CK116">
            <v>3284.2</v>
          </cell>
          <cell r="CL116">
            <v>3609.1</v>
          </cell>
          <cell r="CM116">
            <v>5035.4000000000005</v>
          </cell>
          <cell r="CN116">
            <v>15229.400000000001</v>
          </cell>
          <cell r="CP116">
            <v>3408.6000000000004</v>
          </cell>
          <cell r="CQ116">
            <v>3452.8</v>
          </cell>
          <cell r="CR116">
            <v>3746.1</v>
          </cell>
          <cell r="CS116">
            <v>5061.3999999999996</v>
          </cell>
          <cell r="CT116">
            <v>15668.9</v>
          </cell>
          <cell r="CV116">
            <v>3357</v>
          </cell>
          <cell r="CW116">
            <v>3524.5</v>
          </cell>
          <cell r="CX116">
            <v>3645.9569799999999</v>
          </cell>
          <cell r="CY116">
            <v>5208.0930599999992</v>
          </cell>
          <cell r="CZ116">
            <v>15735.550039999998</v>
          </cell>
          <cell r="DB116">
            <v>3470</v>
          </cell>
          <cell r="DC116">
            <v>3609</v>
          </cell>
          <cell r="DD116">
            <v>3691</v>
          </cell>
          <cell r="DE116">
            <v>5259</v>
          </cell>
          <cell r="DF116">
            <v>16029</v>
          </cell>
          <cell r="DH116">
            <v>3573</v>
          </cell>
          <cell r="DI116">
            <v>3679</v>
          </cell>
          <cell r="DJ116">
            <v>3782</v>
          </cell>
          <cell r="DK116">
            <v>5604</v>
          </cell>
          <cell r="DL116">
            <v>16638</v>
          </cell>
          <cell r="DN116">
            <v>3556</v>
          </cell>
          <cell r="DO116">
            <v>3488</v>
          </cell>
          <cell r="DP116">
            <v>3475</v>
          </cell>
          <cell r="DQ116">
            <v>5132</v>
          </cell>
          <cell r="DR116">
            <v>15785</v>
          </cell>
          <cell r="DT116">
            <v>3453</v>
          </cell>
          <cell r="DU116">
            <v>3486</v>
          </cell>
          <cell r="DV116">
            <v>3479</v>
          </cell>
          <cell r="DW116">
            <v>5017</v>
          </cell>
          <cell r="DX116">
            <v>15571</v>
          </cell>
          <cell r="DZ116">
            <v>3291</v>
          </cell>
          <cell r="EA116">
            <v>3434</v>
          </cell>
          <cell r="EB116">
            <v>3486</v>
          </cell>
          <cell r="EC116">
            <v>5053</v>
          </cell>
          <cell r="ED116">
            <v>15412</v>
          </cell>
          <cell r="EF116">
            <v>3550</v>
          </cell>
          <cell r="EG116">
            <v>3581</v>
          </cell>
          <cell r="EH116">
            <v>3525</v>
          </cell>
          <cell r="EI116">
            <v>5120</v>
          </cell>
          <cell r="EJ116">
            <v>15776</v>
          </cell>
          <cell r="EL116">
            <v>3641</v>
          </cell>
          <cell r="EM116">
            <v>3623</v>
          </cell>
          <cell r="EN116">
            <v>5555</v>
          </cell>
          <cell r="EO116">
            <v>9571</v>
          </cell>
          <cell r="EP116">
            <v>22390</v>
          </cell>
          <cell r="ER116">
            <v>5930</v>
          </cell>
          <cell r="ES116">
            <v>5995</v>
          </cell>
          <cell r="ET116">
            <v>5886</v>
          </cell>
          <cell r="EU116">
            <v>9159</v>
          </cell>
          <cell r="EV116">
            <v>26970</v>
          </cell>
          <cell r="EX116">
            <v>5921</v>
          </cell>
          <cell r="EY116">
            <v>5892</v>
          </cell>
          <cell r="EZ116">
            <v>5906</v>
          </cell>
          <cell r="FA116">
            <v>8594</v>
          </cell>
          <cell r="FB116">
            <v>26313</v>
          </cell>
          <cell r="FD116">
            <v>5747</v>
          </cell>
          <cell r="FE116">
            <v>5718</v>
          </cell>
          <cell r="FF116">
            <v>5493</v>
          </cell>
          <cell r="FG116">
            <v>7934</v>
          </cell>
          <cell r="FH116">
            <v>24892</v>
          </cell>
          <cell r="FJ116">
            <v>5288</v>
          </cell>
          <cell r="FK116">
            <v>5285</v>
          </cell>
          <cell r="FL116">
            <v>5385</v>
          </cell>
          <cell r="FM116">
            <v>7937</v>
          </cell>
          <cell r="FN116">
            <v>23895</v>
          </cell>
          <cell r="FP116">
            <v>5574</v>
          </cell>
          <cell r="FQ116">
            <v>5537</v>
          </cell>
          <cell r="FR116">
            <v>5623</v>
          </cell>
          <cell r="FS116">
            <v>8269</v>
          </cell>
          <cell r="FT116">
            <v>25003</v>
          </cell>
          <cell r="FV116">
            <v>5889</v>
          </cell>
          <cell r="FW116">
            <v>5939</v>
          </cell>
          <cell r="FX116">
            <v>5853</v>
          </cell>
          <cell r="FY116">
            <v>8724</v>
          </cell>
          <cell r="FZ116">
            <v>26405</v>
          </cell>
          <cell r="GB116">
            <v>6143</v>
          </cell>
          <cell r="GC116">
            <v>6118</v>
          </cell>
          <cell r="GD116">
            <v>6069.6866469352608</v>
          </cell>
          <cell r="GE116">
            <v>9367.1339584297966</v>
          </cell>
          <cell r="GF116">
            <v>27697.820605365057</v>
          </cell>
        </row>
        <row r="117">
          <cell r="FJ117">
            <v>1255</v>
          </cell>
          <cell r="FK117">
            <v>4426</v>
          </cell>
          <cell r="FL117">
            <v>2177</v>
          </cell>
          <cell r="FM117">
            <v>7849</v>
          </cell>
        </row>
        <row r="118">
          <cell r="A118" t="str">
            <v>Consolidated Monthly Comps</v>
          </cell>
          <cell r="AN118" t="str">
            <v>Consolidated Monthly Comps</v>
          </cell>
        </row>
        <row r="119">
          <cell r="A119" t="str">
            <v>Month 1</v>
          </cell>
          <cell r="AN119" t="str">
            <v>Month 1</v>
          </cell>
          <cell r="BS119">
            <v>3.9E-2</v>
          </cell>
          <cell r="BT119">
            <v>8.9999999999999993E-3</v>
          </cell>
          <cell r="BU119">
            <v>4.7E-2</v>
          </cell>
          <cell r="BV119">
            <v>4.2999999999999997E-2</v>
          </cell>
          <cell r="BY119">
            <v>3.1E-2</v>
          </cell>
          <cell r="BZ119">
            <v>7.0000000000000007E-2</v>
          </cell>
          <cell r="CA119">
            <v>8.9999999999999993E-3</v>
          </cell>
          <cell r="CB119">
            <v>2.4E-2</v>
          </cell>
          <cell r="CJ119">
            <v>0.09</v>
          </cell>
          <cell r="CK119">
            <v>2.1000000000000001E-2</v>
          </cell>
          <cell r="CL119">
            <v>2.5000000000000001E-2</v>
          </cell>
          <cell r="CM119">
            <v>9.6000000000000002E-2</v>
          </cell>
          <cell r="CP119">
            <v>2.1999999999999999E-2</v>
          </cell>
          <cell r="CQ119">
            <v>2.5000000000000001E-2</v>
          </cell>
          <cell r="CR119">
            <v>3.5000000000000003E-2</v>
          </cell>
          <cell r="CS119">
            <v>0.02</v>
          </cell>
          <cell r="CV119">
            <v>1.4999999999999999E-2</v>
          </cell>
          <cell r="CW119">
            <v>1.7999999999999999E-2</v>
          </cell>
          <cell r="CX119">
            <v>-1.2999999999999999E-2</v>
          </cell>
          <cell r="CY119">
            <v>-2E-3</v>
          </cell>
          <cell r="DB119">
            <v>0.01</v>
          </cell>
          <cell r="DC119">
            <v>4.1000000000000002E-2</v>
          </cell>
          <cell r="DD119">
            <v>2.9000000000000001E-2</v>
          </cell>
          <cell r="DE119">
            <v>1.0999999999999999E-2</v>
          </cell>
          <cell r="DH119">
            <v>5.2999999999999999E-2</v>
          </cell>
          <cell r="DI119">
            <v>4.2000000000000003E-2</v>
          </cell>
          <cell r="DJ119">
            <v>1.0999999999999999E-2</v>
          </cell>
          <cell r="DK119">
            <v>1.4E-2</v>
          </cell>
          <cell r="DN119">
            <v>-1.6E-2</v>
          </cell>
          <cell r="DO119">
            <v>-3.3000000000000002E-2</v>
          </cell>
          <cell r="DP119">
            <v>-2.5999999999999999E-2</v>
          </cell>
          <cell r="DQ119">
            <v>8.9999999999999993E-3</v>
          </cell>
          <cell r="DT119">
            <v>-2.8000000000000001E-2</v>
          </cell>
          <cell r="DU119">
            <v>-3.4000000000000002E-2</v>
          </cell>
          <cell r="DV119">
            <v>-5.8000000000000003E-2</v>
          </cell>
          <cell r="DW119">
            <v>-7.3999999999999996E-2</v>
          </cell>
          <cell r="DZ119">
            <v>-6.8000000000000005E-2</v>
          </cell>
          <cell r="EA119">
            <v>-8.0000000000000002E-3</v>
          </cell>
          <cell r="EB119">
            <v>-8.0000000000000002E-3</v>
          </cell>
          <cell r="EC119">
            <v>-1E-3</v>
          </cell>
          <cell r="EF119">
            <v>0.09</v>
          </cell>
          <cell r="EG119">
            <v>2.9000000000000001E-2</v>
          </cell>
          <cell r="EH119">
            <v>-2.4E-2</v>
          </cell>
          <cell r="EI119">
            <v>-1.4E-2</v>
          </cell>
          <cell r="EL119">
            <v>1.7999999999999999E-2</v>
          </cell>
          <cell r="EM119">
            <v>8.0000000000000002E-3</v>
          </cell>
          <cell r="EN119">
            <v>1.0999999999999999E-2</v>
          </cell>
          <cell r="EO119">
            <v>-3.4000000000000002E-2</v>
          </cell>
          <cell r="ER119">
            <v>0.01</v>
          </cell>
          <cell r="ES119">
            <v>9.1999999999999998E-2</v>
          </cell>
          <cell r="ET119">
            <v>3.7999999999999999E-2</v>
          </cell>
          <cell r="EU119">
            <v>8.5000000000000006E-2</v>
          </cell>
          <cell r="EX119">
            <v>1.2E-2</v>
          </cell>
          <cell r="EY119">
            <v>-3.3000000000000002E-2</v>
          </cell>
          <cell r="EZ119">
            <v>2.4E-2</v>
          </cell>
          <cell r="FA119">
            <v>0.13400000000000001</v>
          </cell>
          <cell r="FD119">
            <v>-3.5000000000000003E-2</v>
          </cell>
          <cell r="FE119">
            <v>-1.4999999999999999E-2</v>
          </cell>
          <cell r="FF119">
            <v>-4.8000000000000001E-2</v>
          </cell>
          <cell r="FG119">
            <v>-0.13300000000000001</v>
          </cell>
          <cell r="FJ119">
            <v>-8.5000000000000006E-2</v>
          </cell>
          <cell r="FK119">
            <v>-9.0999999999999998E-2</v>
          </cell>
          <cell r="FL119">
            <v>-8.1000000000000003E-2</v>
          </cell>
          <cell r="FM119">
            <v>-6.0999999999999999E-2</v>
          </cell>
          <cell r="FP119">
            <v>3.6999999999999998E-2</v>
          </cell>
          <cell r="FQ119">
            <v>1.4E-2</v>
          </cell>
          <cell r="FR119">
            <v>4.2999999999999997E-2</v>
          </cell>
          <cell r="FS119">
            <v>6.0999999999999999E-2</v>
          </cell>
          <cell r="FV119">
            <v>5.8000000000000003E-2</v>
          </cell>
          <cell r="FW119">
            <v>7.3999999999999996E-2</v>
          </cell>
          <cell r="FX119">
            <v>0.05</v>
          </cell>
          <cell r="FY119">
            <v>4.8000000000000001E-2</v>
          </cell>
          <cell r="GB119">
            <v>4.5999999999999999E-2</v>
          </cell>
          <cell r="GC119">
            <v>4.2000000000000003E-2</v>
          </cell>
          <cell r="GD119">
            <v>5.0999999999999997E-2</v>
          </cell>
          <cell r="GE119">
            <v>0.04</v>
          </cell>
        </row>
        <row r="120">
          <cell r="A120" t="str">
            <v>Month 2</v>
          </cell>
          <cell r="AN120" t="str">
            <v>Month 2</v>
          </cell>
          <cell r="BS120">
            <v>0.08</v>
          </cell>
          <cell r="BT120">
            <v>1.9E-2</v>
          </cell>
          <cell r="BU120">
            <v>3.7999999999999999E-2</v>
          </cell>
          <cell r="BV120">
            <v>2.1000000000000001E-2</v>
          </cell>
          <cell r="BY120">
            <v>-2.5000000000000001E-2</v>
          </cell>
          <cell r="BZ120">
            <v>4.8000000000000001E-2</v>
          </cell>
          <cell r="CA120">
            <v>4.9000000000000002E-2</v>
          </cell>
          <cell r="CB120">
            <v>1.2999999999999999E-2</v>
          </cell>
          <cell r="CJ120">
            <v>6.0999999999999999E-2</v>
          </cell>
          <cell r="CK120">
            <v>1.4999999999999999E-2</v>
          </cell>
          <cell r="CL120">
            <v>8.0000000000000002E-3</v>
          </cell>
          <cell r="CM120">
            <v>0</v>
          </cell>
          <cell r="CP120">
            <v>-2E-3</v>
          </cell>
          <cell r="CQ120">
            <v>3.2000000000000001E-2</v>
          </cell>
          <cell r="CR120">
            <v>2.7E-2</v>
          </cell>
          <cell r="CS120">
            <v>0.01</v>
          </cell>
          <cell r="CV120">
            <v>8.9999999999999993E-3</v>
          </cell>
          <cell r="CW120">
            <v>3.4000000000000002E-2</v>
          </cell>
          <cell r="CX120">
            <v>-7.0000000000000001E-3</v>
          </cell>
          <cell r="CY120">
            <v>5.7000000000000002E-2</v>
          </cell>
          <cell r="DB120">
            <v>0.09</v>
          </cell>
          <cell r="DC120">
            <v>8.4000000000000005E-2</v>
          </cell>
          <cell r="DD120">
            <v>3.6999999999999998E-2</v>
          </cell>
          <cell r="DE120">
            <v>6.4000000000000001E-2</v>
          </cell>
          <cell r="DH120">
            <v>-6.0000000000000001E-3</v>
          </cell>
          <cell r="DI120">
            <v>5.0000000000000001E-3</v>
          </cell>
          <cell r="DJ120">
            <v>2.9000000000000001E-2</v>
          </cell>
          <cell r="DK120">
            <v>1.2E-2</v>
          </cell>
          <cell r="DN120">
            <v>-3.2000000000000001E-2</v>
          </cell>
          <cell r="DO120">
            <v>-6.4000000000000001E-2</v>
          </cell>
          <cell r="DP120">
            <v>-0.129</v>
          </cell>
          <cell r="DQ120">
            <v>-8.6999999999999994E-2</v>
          </cell>
          <cell r="DT120">
            <v>-2E-3</v>
          </cell>
          <cell r="DU120">
            <v>-4.0000000000000001E-3</v>
          </cell>
          <cell r="DV120">
            <v>0</v>
          </cell>
          <cell r="DW120">
            <v>-2.5999999999999999E-2</v>
          </cell>
          <cell r="DZ120">
            <v>-6.5000000000000002E-2</v>
          </cell>
          <cell r="EA120">
            <v>-0.02</v>
          </cell>
          <cell r="EB120">
            <v>3.2000000000000001E-2</v>
          </cell>
          <cell r="EC120">
            <v>1.2E-2</v>
          </cell>
          <cell r="EF120">
            <v>6.8000000000000005E-2</v>
          </cell>
          <cell r="EG120">
            <v>3.4000000000000002E-2</v>
          </cell>
          <cell r="EH120">
            <v>1E-3</v>
          </cell>
          <cell r="EI120">
            <v>2.3E-2</v>
          </cell>
          <cell r="EL120">
            <v>3.4000000000000002E-2</v>
          </cell>
          <cell r="EM120">
            <v>2.9000000000000001E-2</v>
          </cell>
          <cell r="EN120">
            <v>1.2999999999999999E-2</v>
          </cell>
          <cell r="EO120">
            <v>3.4000000000000002E-2</v>
          </cell>
          <cell r="ER120">
            <v>0</v>
          </cell>
          <cell r="ES120">
            <v>1.7000000000000001E-2</v>
          </cell>
          <cell r="ET120">
            <v>6.5000000000000002E-2</v>
          </cell>
          <cell r="EU120">
            <v>4.3999999999999997E-2</v>
          </cell>
          <cell r="EX120">
            <v>2.3E-2</v>
          </cell>
          <cell r="EY120">
            <v>-2.7E-2</v>
          </cell>
          <cell r="EZ120">
            <v>-2.7E-2</v>
          </cell>
          <cell r="FA120">
            <v>-7.9000000000000001E-2</v>
          </cell>
          <cell r="FD120">
            <v>-6.2E-2</v>
          </cell>
          <cell r="FE120">
            <v>-2.1000000000000001E-2</v>
          </cell>
          <cell r="FF120">
            <v>-6.6000000000000003E-2</v>
          </cell>
          <cell r="FG120">
            <v>-0.04</v>
          </cell>
          <cell r="FJ120">
            <v>-9.1999999999999998E-2</v>
          </cell>
          <cell r="FK120">
            <v>-8.8999999999999996E-2</v>
          </cell>
          <cell r="FL120">
            <v>-2.3E-2</v>
          </cell>
          <cell r="FM120">
            <v>0.01</v>
          </cell>
          <cell r="FP120">
            <v>0.10800000000000001</v>
          </cell>
          <cell r="FQ120">
            <v>6.5000000000000002E-2</v>
          </cell>
          <cell r="FR120">
            <v>4.8000000000000001E-2</v>
          </cell>
          <cell r="FS120">
            <v>3.9E-2</v>
          </cell>
          <cell r="FV120">
            <v>8.9999999999999993E-3</v>
          </cell>
          <cell r="FW120">
            <v>6.7000000000000004E-2</v>
          </cell>
          <cell r="FX120">
            <v>4.9000000000000002E-2</v>
          </cell>
          <cell r="FY120">
            <v>6.2E-2</v>
          </cell>
          <cell r="GB120">
            <v>7.2999999999999995E-2</v>
          </cell>
          <cell r="GC120">
            <v>1.2E-2</v>
          </cell>
          <cell r="GD120">
            <v>0.03</v>
          </cell>
          <cell r="GE120">
            <v>0.04</v>
          </cell>
        </row>
        <row r="121">
          <cell r="A121" t="str">
            <v>Month 3</v>
          </cell>
          <cell r="AN121" t="str">
            <v>Month 3</v>
          </cell>
          <cell r="BS121">
            <v>-8.9999999999999993E-3</v>
          </cell>
          <cell r="BT121">
            <v>-8.0000000000000002E-3</v>
          </cell>
          <cell r="BU121">
            <v>2.5000000000000001E-2</v>
          </cell>
          <cell r="BV121">
            <v>8.8999999999999996E-2</v>
          </cell>
          <cell r="BY121">
            <v>4.1000000000000002E-2</v>
          </cell>
          <cell r="BZ121">
            <v>7.0999999999999994E-2</v>
          </cell>
          <cell r="CA121">
            <v>-1.7999999999999999E-2</v>
          </cell>
          <cell r="CB121">
            <v>5.0999999999999997E-2</v>
          </cell>
          <cell r="CJ121">
            <v>-1.0999999999999999E-2</v>
          </cell>
          <cell r="CK121">
            <v>-1.7000000000000001E-2</v>
          </cell>
          <cell r="CL121">
            <v>4.9000000000000002E-2</v>
          </cell>
          <cell r="CM121">
            <v>9.4E-2</v>
          </cell>
          <cell r="CP121">
            <v>6.2E-2</v>
          </cell>
          <cell r="CQ121">
            <v>8.5999999999999993E-2</v>
          </cell>
          <cell r="CR121">
            <v>0.03</v>
          </cell>
          <cell r="CS121">
            <v>1.4999999999999999E-2</v>
          </cell>
          <cell r="CV121">
            <v>0.05</v>
          </cell>
          <cell r="CW121">
            <v>3.9E-2</v>
          </cell>
          <cell r="CX121">
            <v>-1.9E-2</v>
          </cell>
          <cell r="CY121">
            <v>7.2999999999999995E-2</v>
          </cell>
          <cell r="DB121">
            <v>1.4999999999999999E-2</v>
          </cell>
          <cell r="DC121">
            <v>4.7E-2</v>
          </cell>
          <cell r="DD121">
            <v>4.4999999999999998E-2</v>
          </cell>
          <cell r="DE121">
            <v>4.2000000000000003E-2</v>
          </cell>
          <cell r="DH121">
            <v>5.1999999999999998E-2</v>
          </cell>
          <cell r="DI121">
            <v>1.6E-2</v>
          </cell>
          <cell r="DJ121">
            <v>1.6E-2</v>
          </cell>
          <cell r="DK121">
            <v>3.6999999999999998E-2</v>
          </cell>
          <cell r="DN121">
            <v>8.0000000000000002E-3</v>
          </cell>
          <cell r="DO121">
            <v>-4.2000000000000003E-2</v>
          </cell>
          <cell r="DP121">
            <v>-8.6999999999999994E-2</v>
          </cell>
          <cell r="DQ121">
            <v>-8.7999999999999995E-2</v>
          </cell>
          <cell r="DT121">
            <v>-5.8999999999999997E-2</v>
          </cell>
          <cell r="DU121">
            <v>-5.1999999999999998E-2</v>
          </cell>
          <cell r="DV121">
            <v>3.0000000000000001E-3</v>
          </cell>
          <cell r="DW121">
            <v>-1.2E-2</v>
          </cell>
          <cell r="DZ121">
            <v>-1.3999999999999999E-2</v>
          </cell>
          <cell r="EA121">
            <v>-4.0000000000000001E-3</v>
          </cell>
          <cell r="EB121">
            <v>-0.02</v>
          </cell>
          <cell r="EC121">
            <v>5.5E-2</v>
          </cell>
          <cell r="EF121">
            <v>5.3999999999999999E-2</v>
          </cell>
          <cell r="EG121">
            <v>3.6999999999999998E-2</v>
          </cell>
          <cell r="EH121">
            <v>0.04</v>
          </cell>
          <cell r="EI121">
            <v>-4.0000000000000001E-3</v>
          </cell>
          <cell r="EL121">
            <v>2.8000000000000001E-2</v>
          </cell>
          <cell r="EM121">
            <v>-8.9999999999999993E-3</v>
          </cell>
          <cell r="EN121">
            <v>-7.0000000000000001E-3</v>
          </cell>
          <cell r="EO121">
            <v>0.01</v>
          </cell>
          <cell r="ER121">
            <v>-8.0000000000000002E-3</v>
          </cell>
          <cell r="ES121">
            <v>3.3000000000000002E-2</v>
          </cell>
          <cell r="ET121">
            <v>7.6999999999999999E-2</v>
          </cell>
          <cell r="EU121">
            <v>8.5999999999999993E-2</v>
          </cell>
          <cell r="EX121">
            <v>-2.1999999999999999E-2</v>
          </cell>
          <cell r="EY121">
            <v>-1.4E-2</v>
          </cell>
          <cell r="EZ121">
            <v>-1.4999999999999999E-2</v>
          </cell>
          <cell r="FA121">
            <v>-7.0999999999999994E-2</v>
          </cell>
          <cell r="FD121">
            <v>0.03</v>
          </cell>
          <cell r="FE121">
            <v>-2.9000000000000001E-2</v>
          </cell>
          <cell r="FF121">
            <v>-6.3E-2</v>
          </cell>
          <cell r="FG121">
            <v>-4.4999999999999998E-2</v>
          </cell>
          <cell r="FJ121">
            <v>-9.0999999999999998E-2</v>
          </cell>
          <cell r="FK121">
            <v>-0.107</v>
          </cell>
          <cell r="FL121">
            <v>-8.0000000000000002E-3</v>
          </cell>
          <cell r="FM121">
            <v>3.4000000000000002E-2</v>
          </cell>
          <cell r="FP121">
            <v>1.0999999999999999E-2</v>
          </cell>
          <cell r="FQ121">
            <v>7.2999999999999995E-2</v>
          </cell>
          <cell r="FR121">
            <v>2.5000000000000001E-2</v>
          </cell>
          <cell r="FS121">
            <v>2.5999999999999999E-2</v>
          </cell>
          <cell r="FV121">
            <v>0.108</v>
          </cell>
          <cell r="FW121">
            <v>0.05</v>
          </cell>
          <cell r="FX121">
            <v>2.1999999999999999E-2</v>
          </cell>
          <cell r="FY121">
            <v>2.4E-2</v>
          </cell>
          <cell r="GB121">
            <v>1.2E-2</v>
          </cell>
          <cell r="GC121">
            <v>4.1000000000000002E-2</v>
          </cell>
          <cell r="GD121">
            <v>5.5E-2</v>
          </cell>
          <cell r="GE121">
            <v>0.05</v>
          </cell>
        </row>
        <row r="122">
          <cell r="A122" t="str">
            <v>Total</v>
          </cell>
          <cell r="AN122" t="str">
            <v>Total</v>
          </cell>
          <cell r="BS122">
            <v>3.9E-2</v>
          </cell>
          <cell r="BT122">
            <v>8.0000000000000002E-3</v>
          </cell>
          <cell r="BU122">
            <v>3.6999999999999998E-2</v>
          </cell>
          <cell r="BV122">
            <v>3.5999999999999997E-2</v>
          </cell>
          <cell r="BW122">
            <v>3.0898675327518881E-2</v>
          </cell>
          <cell r="CJ122">
            <v>4.8470506256248672E-2</v>
          </cell>
          <cell r="CK122">
            <v>8.3184337129285652E-3</v>
          </cell>
          <cell r="CL122">
            <v>8.9999999999999993E-3</v>
          </cell>
          <cell r="CM122">
            <v>4.3417523930571543E-2</v>
          </cell>
          <cell r="CN122">
            <v>3.0844572544785176E-2</v>
          </cell>
          <cell r="CP122">
            <v>2.5000000000000001E-2</v>
          </cell>
          <cell r="CQ122">
            <v>4.3999999999999997E-2</v>
          </cell>
          <cell r="CR122">
            <v>3.1E-2</v>
          </cell>
          <cell r="CS122">
            <v>1.4E-2</v>
          </cell>
          <cell r="CT122">
            <v>2.7069152758765591E-2</v>
          </cell>
          <cell r="CU122">
            <v>0</v>
          </cell>
          <cell r="CV122">
            <v>2.4E-2</v>
          </cell>
          <cell r="CW122">
            <v>3.0187969924812031E-2</v>
          </cell>
          <cell r="CX122">
            <v>-1.2479646871752174E-2</v>
          </cell>
          <cell r="CY122">
            <v>4.1000000000000002E-2</v>
          </cell>
          <cell r="CZ122">
            <v>4.4999999999999998E-2</v>
          </cell>
          <cell r="DB122">
            <v>0.04</v>
          </cell>
          <cell r="DC122">
            <v>5.8999999999999997E-2</v>
          </cell>
          <cell r="DD122">
            <v>3.9E-2</v>
          </cell>
          <cell r="DE122">
            <v>4.3999999999999997E-2</v>
          </cell>
          <cell r="DF122">
            <v>4.4999999999999998E-2</v>
          </cell>
          <cell r="DH122">
            <v>2.9000000000000001E-2</v>
          </cell>
          <cell r="DI122">
            <v>1.9E-2</v>
          </cell>
          <cell r="DJ122">
            <v>1.9E-2</v>
          </cell>
          <cell r="DK122">
            <v>1.6E-2</v>
          </cell>
          <cell r="DL122">
            <v>0.02</v>
          </cell>
          <cell r="DN122">
            <v>-1.4999999999999999E-2</v>
          </cell>
          <cell r="DO122">
            <v>-4.8000000000000001E-2</v>
          </cell>
          <cell r="DP122">
            <v>-8.5999999999999993E-2</v>
          </cell>
          <cell r="DQ122">
            <v>-0.06</v>
          </cell>
          <cell r="DR122">
            <v>-5.2999999999999999E-2</v>
          </cell>
          <cell r="DT122">
            <v>-2.9000000000000001E-2</v>
          </cell>
          <cell r="DU122">
            <v>-2.8000000000000001E-2</v>
          </cell>
          <cell r="DV122">
            <v>-0.02</v>
          </cell>
          <cell r="DW122">
            <v>-3.9E-2</v>
          </cell>
          <cell r="DX122">
            <v>-0.03</v>
          </cell>
          <cell r="DZ122">
            <v>-0.05</v>
          </cell>
          <cell r="EA122">
            <v>-1.2E-2</v>
          </cell>
          <cell r="EB122">
            <v>2E-3</v>
          </cell>
          <cell r="EC122">
            <v>1.3999999999999999E-2</v>
          </cell>
          <cell r="ED122">
            <v>-9.0000000000000011E-3</v>
          </cell>
          <cell r="EF122">
            <v>6.9000000000000006E-2</v>
          </cell>
          <cell r="EG122">
            <v>3.3000000000000002E-2</v>
          </cell>
          <cell r="EH122">
            <v>4.0000000000000001E-3</v>
          </cell>
          <cell r="EI122">
            <v>8.0000000000000002E-3</v>
          </cell>
          <cell r="EJ122">
            <v>2.5999999999999999E-2</v>
          </cell>
          <cell r="EL122">
            <v>2.5999999999999999E-2</v>
          </cell>
          <cell r="EM122">
            <v>1.0999999999999999E-2</v>
          </cell>
          <cell r="EN122">
            <v>6.0000000000000001E-3</v>
          </cell>
          <cell r="EO122">
            <v>1.0999999999999999E-2</v>
          </cell>
          <cell r="EP122">
            <v>1.2999999999999999E-2</v>
          </cell>
          <cell r="ER122">
            <v>0</v>
          </cell>
          <cell r="ES122">
            <v>4.5999999999999999E-2</v>
          </cell>
          <cell r="ET122">
            <v>5.8999999999999997E-2</v>
          </cell>
          <cell r="EU122">
            <v>6.0999999999999999E-2</v>
          </cell>
          <cell r="EV122">
            <v>4.3999999999999997E-2</v>
          </cell>
          <cell r="EX122">
            <v>6.0000000000000001E-3</v>
          </cell>
          <cell r="EY122">
            <v>-2.5999999999999999E-2</v>
          </cell>
          <cell r="EZ122">
            <v>-8.0000000000000002E-3</v>
          </cell>
          <cell r="FA122">
            <v>-0.02</v>
          </cell>
          <cell r="FB122">
            <v>-1.2999999999999999E-2</v>
          </cell>
          <cell r="FD122">
            <v>-2.5999999999999999E-2</v>
          </cell>
          <cell r="FE122">
            <v>-2.1000000000000001E-2</v>
          </cell>
          <cell r="FF122">
            <v>-0.06</v>
          </cell>
          <cell r="FG122">
            <v>-7.0000000000000007E-2</v>
          </cell>
          <cell r="FH122">
            <v>-4.4999999999999998E-2</v>
          </cell>
          <cell r="FJ122">
            <v>-0.09</v>
          </cell>
          <cell r="FK122">
            <v>-9.5000000000000001E-2</v>
          </cell>
          <cell r="FL122">
            <v>-3.5999999999999997E-2</v>
          </cell>
          <cell r="FM122">
            <v>-8.0000000000000002E-3</v>
          </cell>
          <cell r="FN122">
            <v>-5.2999999999999999E-2</v>
          </cell>
          <cell r="FP122">
            <v>5.5E-2</v>
          </cell>
          <cell r="FQ122">
            <v>4.9000000000000002E-2</v>
          </cell>
          <cell r="FR122">
            <v>3.9E-2</v>
          </cell>
          <cell r="FS122">
            <v>4.2999999999999997E-2</v>
          </cell>
          <cell r="FT122">
            <v>4.610434747830261E-2</v>
          </cell>
          <cell r="FV122">
            <v>5.3999999999999999E-2</v>
          </cell>
          <cell r="FW122">
            <v>6.4000000000000001E-2</v>
          </cell>
          <cell r="FX122">
            <v>0.04</v>
          </cell>
          <cell r="FY122">
            <v>5.1999999999999998E-2</v>
          </cell>
          <cell r="FZ122">
            <v>5.2999999999999999E-2</v>
          </cell>
          <cell r="GB122">
            <v>4.3999999999999997E-2</v>
          </cell>
          <cell r="GC122">
            <v>0.03</v>
          </cell>
          <cell r="GD122">
            <v>4.4170626829774157E-2</v>
          </cell>
          <cell r="GE122">
            <v>4.1872044415560798E-2</v>
          </cell>
          <cell r="GF122">
            <v>4.02253638971692E-2</v>
          </cell>
        </row>
        <row r="124">
          <cell r="A124" t="str">
            <v>Consolidated Productivity Factor</v>
          </cell>
          <cell r="AN124" t="str">
            <v>Consolidated Productivity Factor</v>
          </cell>
        </row>
        <row r="125">
          <cell r="A125" t="str">
            <v>Month 1</v>
          </cell>
          <cell r="AN125" t="str">
            <v>Month 1</v>
          </cell>
          <cell r="EF125">
            <v>1.0043063843845854</v>
          </cell>
          <cell r="EG125">
            <v>1.010810633855717</v>
          </cell>
          <cell r="EH125">
            <v>1.0130234439561103</v>
          </cell>
          <cell r="EI125">
            <v>1.0261552566722514</v>
          </cell>
          <cell r="EL125">
            <v>1.0039733185357242</v>
          </cell>
          <cell r="EM125">
            <v>0.99978472992257905</v>
          </cell>
          <cell r="EN125">
            <v>1.0012187282870586</v>
          </cell>
          <cell r="EO125">
            <v>0.91407567624195751</v>
          </cell>
          <cell r="ER125">
            <v>0.85379589916801657</v>
          </cell>
          <cell r="ES125">
            <v>0.82852877251430668</v>
          </cell>
          <cell r="ET125">
            <v>0.83475030563790842</v>
          </cell>
          <cell r="EU125">
            <v>0.91480422703367681</v>
          </cell>
          <cell r="EX125">
            <v>1.0042251017232908</v>
          </cell>
          <cell r="EY125">
            <v>1.0108075527611304</v>
          </cell>
          <cell r="EZ125">
            <v>1.0032705612197608</v>
          </cell>
          <cell r="FA125">
            <v>0.99617129302855612</v>
          </cell>
          <cell r="FD125">
            <v>1.0047260256693704</v>
          </cell>
          <cell r="FE125">
            <v>1.0011731147187122</v>
          </cell>
          <cell r="FF125">
            <v>1.0015681684828099</v>
          </cell>
          <cell r="FG125">
            <v>0.9980273685296247</v>
          </cell>
          <cell r="FJ125">
            <v>1.0146680194879518</v>
          </cell>
          <cell r="FK125">
            <v>1.0229325701507319</v>
          </cell>
          <cell r="FL125">
            <v>1.0237530410429481</v>
          </cell>
          <cell r="FM125">
            <v>1.0168796021749338</v>
          </cell>
          <cell r="FP125">
            <v>1.0016060228776302</v>
          </cell>
          <cell r="FQ125">
            <v>0.98881215735067063</v>
          </cell>
          <cell r="FR125">
            <v>1.0007452413933455</v>
          </cell>
          <cell r="FS125">
            <v>1.0028115913956974</v>
          </cell>
          <cell r="FV125">
            <v>1.0005096291516782</v>
          </cell>
          <cell r="FW125">
            <v>1.0081721608307339</v>
          </cell>
          <cell r="FX125">
            <v>0.99435769750356207</v>
          </cell>
          <cell r="FY125">
            <v>1.0114048185081832</v>
          </cell>
          <cell r="GB125">
            <v>1.0253009585429893</v>
          </cell>
          <cell r="GC125">
            <v>1.0133052611979987</v>
          </cell>
          <cell r="GD125">
            <v>1.018088666893139</v>
          </cell>
          <cell r="GE125">
            <v>1.0011764705882353</v>
          </cell>
        </row>
        <row r="126">
          <cell r="A126" t="str">
            <v>Month 2</v>
          </cell>
          <cell r="AN126" t="str">
            <v>Month 2</v>
          </cell>
          <cell r="EF126">
            <v>1.0053433076034095</v>
          </cell>
          <cell r="EG126">
            <v>1.0066663386950321</v>
          </cell>
          <cell r="EH126">
            <v>1.012796599849775</v>
          </cell>
          <cell r="EI126">
            <v>1.0251796947783753</v>
          </cell>
          <cell r="EL126">
            <v>1.0061447584995618</v>
          </cell>
          <cell r="EM126">
            <v>1.0029492195249803</v>
          </cell>
          <cell r="EN126">
            <v>0.88191400316768354</v>
          </cell>
          <cell r="EO126">
            <v>0.90286524641517052</v>
          </cell>
          <cell r="ER126">
            <v>0.87143545576033965</v>
          </cell>
          <cell r="ES126">
            <v>0.86259214604526391</v>
          </cell>
          <cell r="ET126">
            <v>0.95476655228407081</v>
          </cell>
          <cell r="EU126">
            <v>0.95390310394604827</v>
          </cell>
          <cell r="EX126">
            <v>0.99756383077735888</v>
          </cell>
          <cell r="EY126">
            <v>1.0076309712339664</v>
          </cell>
          <cell r="EZ126">
            <v>1.0058439901456568</v>
          </cell>
          <cell r="FA126">
            <v>1.0104925603418453</v>
          </cell>
          <cell r="FD126">
            <v>1.0038919718017412</v>
          </cell>
          <cell r="FE126">
            <v>1.0002262623646179</v>
          </cell>
          <cell r="FF126">
            <v>1.0022779610885877</v>
          </cell>
          <cell r="FG126">
            <v>0.98797059201406712</v>
          </cell>
          <cell r="FJ126">
            <v>1.0172356632303496</v>
          </cell>
          <cell r="FK126">
            <v>1.0266388149144143</v>
          </cell>
          <cell r="FL126">
            <v>1.0185440088098592</v>
          </cell>
          <cell r="FM126">
            <v>1.0150644106268683</v>
          </cell>
          <cell r="FP126">
            <v>0.9967530496300272</v>
          </cell>
          <cell r="FQ126">
            <v>0.99989171377441255</v>
          </cell>
          <cell r="FR126">
            <v>1.0028971230689774</v>
          </cell>
          <cell r="FS126">
            <v>0.9946391314592461</v>
          </cell>
          <cell r="FV126">
            <v>1.0074992903911262</v>
          </cell>
          <cell r="FW126">
            <v>1.0057878604073234</v>
          </cell>
          <cell r="FX126">
            <v>1.0057401642886414</v>
          </cell>
          <cell r="FY126">
            <v>1.0118477756232767</v>
          </cell>
          <cell r="GB126">
            <v>1.0102541230632647</v>
          </cell>
          <cell r="GC126">
            <v>1.011143062170935</v>
          </cell>
          <cell r="GD126">
            <v>1</v>
          </cell>
          <cell r="GE126">
            <v>1</v>
          </cell>
        </row>
        <row r="127">
          <cell r="A127" t="str">
            <v>Month 3</v>
          </cell>
          <cell r="AN127" t="str">
            <v>Month 3</v>
          </cell>
          <cell r="EF127">
            <v>1.0049191704800837</v>
          </cell>
          <cell r="EG127">
            <v>1.0157391039871562</v>
          </cell>
          <cell r="EH127">
            <v>1.0229244178565875</v>
          </cell>
          <cell r="EI127">
            <v>1.0174283739131365</v>
          </cell>
          <cell r="EL127">
            <v>1.0058035349864145</v>
          </cell>
          <cell r="EM127">
            <v>1.0039069906098907</v>
          </cell>
          <cell r="EN127">
            <v>0.90735496459885556</v>
          </cell>
          <cell r="EO127">
            <v>0.95100379512625965</v>
          </cell>
          <cell r="ER127">
            <v>0.85509041472763314</v>
          </cell>
          <cell r="ES127">
            <v>0.83302342705472399</v>
          </cell>
          <cell r="ET127">
            <v>0.9300581404093593</v>
          </cell>
          <cell r="EU127">
            <v>0.88885616548937241</v>
          </cell>
          <cell r="EX127">
            <v>1.0012993536198342</v>
          </cell>
          <cell r="EY127">
            <v>1.0067406823426219</v>
          </cell>
          <cell r="EZ127">
            <v>1.0010354929971583</v>
          </cell>
          <cell r="FA127">
            <v>0.77697496531497701</v>
          </cell>
          <cell r="FD127">
            <v>0.99998610863561077</v>
          </cell>
          <cell r="FE127">
            <v>1.0000776716315167</v>
          </cell>
          <cell r="FF127">
            <v>1.0026881239876493</v>
          </cell>
          <cell r="FG127">
            <v>1.0034001517037674</v>
          </cell>
          <cell r="FJ127">
            <v>1.017274065207098</v>
          </cell>
          <cell r="FK127">
            <v>1.0307481774152398</v>
          </cell>
          <cell r="FL127">
            <v>1.0154616377110075</v>
          </cell>
          <cell r="FM127">
            <v>1.009307170702717</v>
          </cell>
          <cell r="FP127">
            <v>1.0005893323256754</v>
          </cell>
          <cell r="FQ127">
            <v>1.0111137394005785</v>
          </cell>
          <cell r="FR127">
            <v>1.0254628236300125</v>
          </cell>
          <cell r="FS127">
            <v>1.00775043725629</v>
          </cell>
          <cell r="FV127">
            <v>0.99618702023241001</v>
          </cell>
          <cell r="FW127">
            <v>1.0047825549823146</v>
          </cell>
          <cell r="FX127">
            <v>1.0004489851343907</v>
          </cell>
          <cell r="FY127">
            <v>1.008520012530175</v>
          </cell>
          <cell r="GB127">
            <v>1.0062765433093959</v>
          </cell>
          <cell r="GC127">
            <v>1.0227639737625074</v>
          </cell>
          <cell r="GD127">
            <v>1</v>
          </cell>
          <cell r="GE127">
            <v>1.25</v>
          </cell>
        </row>
        <row r="128">
          <cell r="EX128">
            <v>0.99364581839822941</v>
          </cell>
          <cell r="EY128">
            <v>1.0053855991928882</v>
          </cell>
          <cell r="EZ128">
            <v>1.0049007333596589</v>
          </cell>
          <cell r="FA128">
            <v>0.96635245216954013</v>
          </cell>
          <cell r="FD128">
            <v>1.0093706103322386</v>
          </cell>
          <cell r="FE128">
            <v>0.99942053289687438</v>
          </cell>
          <cell r="FF128">
            <v>1.0028127761391281</v>
          </cell>
          <cell r="FG128">
            <v>0.99829531956488382</v>
          </cell>
          <cell r="FH128">
            <v>0.99616480017746767</v>
          </cell>
          <cell r="FJ128">
            <v>1.0150952522446879</v>
          </cell>
          <cell r="FK128">
            <v>1.028988144998136</v>
          </cell>
          <cell r="FL128">
            <v>1.0174659464761271</v>
          </cell>
          <cell r="FM128">
            <v>1.004258927748259</v>
          </cell>
          <cell r="FN128">
            <v>1.0094977226152135</v>
          </cell>
          <cell r="FP128">
            <v>1.0000259928958455</v>
          </cell>
          <cell r="FQ128">
            <v>0.99963688802128137</v>
          </cell>
          <cell r="FR128">
            <v>1.0093878458063197</v>
          </cell>
          <cell r="FS128">
            <v>1.0000370362620763</v>
          </cell>
          <cell r="FT128">
            <v>1.0017002547102301</v>
          </cell>
          <cell r="FV128">
            <v>1.0021044058948783</v>
          </cell>
          <cell r="FW128">
            <v>1.0081307827273334</v>
          </cell>
          <cell r="FX128">
            <v>1.0033467891940979</v>
          </cell>
          <cell r="FY128">
            <v>1.0155381429309334</v>
          </cell>
          <cell r="FZ128">
            <v>1.0152922484576603</v>
          </cell>
          <cell r="GB128">
            <v>1.0132824557239268</v>
          </cell>
          <cell r="GC128">
            <v>1.0138954016780533</v>
          </cell>
          <cell r="GD128">
            <v>1.0060645702976547</v>
          </cell>
          <cell r="GE128">
            <v>1.0305274860110949</v>
          </cell>
          <cell r="GF128">
            <v>1.0083583012001358</v>
          </cell>
        </row>
        <row r="129">
          <cell r="A129" t="str">
            <v>Consolidated Store Count</v>
          </cell>
          <cell r="AN129" t="str">
            <v>Consolidated Store Count</v>
          </cell>
        </row>
        <row r="130">
          <cell r="A130" t="str">
            <v>Month 1</v>
          </cell>
          <cell r="AN130" t="str">
            <v>Month 1</v>
          </cell>
          <cell r="DZ130">
            <v>456</v>
          </cell>
          <cell r="EA130">
            <v>456</v>
          </cell>
          <cell r="EB130">
            <v>460</v>
          </cell>
          <cell r="EC130">
            <v>465</v>
          </cell>
          <cell r="EF130">
            <v>458</v>
          </cell>
          <cell r="EG130">
            <v>457</v>
          </cell>
          <cell r="EH130">
            <v>457</v>
          </cell>
          <cell r="EI130">
            <v>459</v>
          </cell>
          <cell r="EL130">
            <v>459</v>
          </cell>
          <cell r="EM130">
            <v>460</v>
          </cell>
          <cell r="EN130">
            <v>459</v>
          </cell>
          <cell r="EO130">
            <v>935</v>
          </cell>
          <cell r="ER130">
            <v>868</v>
          </cell>
          <cell r="ES130">
            <v>861</v>
          </cell>
          <cell r="ET130">
            <v>854</v>
          </cell>
          <cell r="EU130">
            <v>860</v>
          </cell>
          <cell r="EX130">
            <v>858</v>
          </cell>
          <cell r="EY130">
            <v>863</v>
          </cell>
          <cell r="EZ130">
            <v>864</v>
          </cell>
          <cell r="FA130">
            <v>866</v>
          </cell>
          <cell r="FD130">
            <v>852</v>
          </cell>
          <cell r="FE130">
            <v>852</v>
          </cell>
          <cell r="FF130">
            <v>856</v>
          </cell>
          <cell r="FG130">
            <v>859</v>
          </cell>
          <cell r="FJ130">
            <v>847</v>
          </cell>
          <cell r="FK130">
            <v>848</v>
          </cell>
          <cell r="FL130">
            <v>849</v>
          </cell>
          <cell r="FM130">
            <v>854</v>
          </cell>
          <cell r="FP130">
            <v>850</v>
          </cell>
          <cell r="FQ130">
            <v>850</v>
          </cell>
          <cell r="FR130">
            <v>849</v>
          </cell>
          <cell r="FS130">
            <v>854</v>
          </cell>
          <cell r="FV130">
            <v>850</v>
          </cell>
          <cell r="FW130">
            <v>850</v>
          </cell>
          <cell r="FX130">
            <v>849</v>
          </cell>
          <cell r="FY130">
            <v>851</v>
          </cell>
          <cell r="GB130">
            <v>842</v>
          </cell>
          <cell r="GC130">
            <v>844</v>
          </cell>
          <cell r="GD130">
            <v>846</v>
          </cell>
          <cell r="GE130">
            <v>847</v>
          </cell>
        </row>
        <row r="131">
          <cell r="A131" t="str">
            <v>Month 2</v>
          </cell>
          <cell r="AN131" t="str">
            <v>Month 2</v>
          </cell>
          <cell r="DZ131">
            <v>456</v>
          </cell>
          <cell r="EA131">
            <v>455</v>
          </cell>
          <cell r="EB131">
            <v>460</v>
          </cell>
          <cell r="EC131">
            <v>465</v>
          </cell>
          <cell r="EF131">
            <v>458</v>
          </cell>
          <cell r="EG131">
            <v>457</v>
          </cell>
          <cell r="EH131">
            <v>458</v>
          </cell>
          <cell r="EI131">
            <v>459</v>
          </cell>
          <cell r="EL131">
            <v>459</v>
          </cell>
          <cell r="EM131">
            <v>460</v>
          </cell>
          <cell r="EN131">
            <v>933</v>
          </cell>
          <cell r="EO131">
            <v>934</v>
          </cell>
          <cell r="ER131">
            <v>861</v>
          </cell>
          <cell r="ES131">
            <v>859</v>
          </cell>
          <cell r="ET131">
            <v>855</v>
          </cell>
          <cell r="EU131">
            <v>860</v>
          </cell>
          <cell r="EX131">
            <v>859</v>
          </cell>
          <cell r="EY131">
            <v>863</v>
          </cell>
          <cell r="EZ131">
            <v>866</v>
          </cell>
          <cell r="FA131">
            <v>857</v>
          </cell>
          <cell r="FD131">
            <v>853</v>
          </cell>
          <cell r="FE131">
            <v>853</v>
          </cell>
          <cell r="FF131">
            <v>853</v>
          </cell>
          <cell r="FG131">
            <v>859</v>
          </cell>
          <cell r="FJ131">
            <v>847</v>
          </cell>
          <cell r="FK131">
            <v>848</v>
          </cell>
          <cell r="FL131">
            <v>852</v>
          </cell>
          <cell r="FM131">
            <v>854</v>
          </cell>
          <cell r="FP131">
            <v>850</v>
          </cell>
          <cell r="FQ131">
            <v>850</v>
          </cell>
          <cell r="FR131">
            <v>852</v>
          </cell>
          <cell r="FS131">
            <v>854</v>
          </cell>
          <cell r="FV131">
            <v>850</v>
          </cell>
          <cell r="FW131">
            <v>850</v>
          </cell>
          <cell r="FX131">
            <v>849</v>
          </cell>
          <cell r="FY131">
            <v>850</v>
          </cell>
          <cell r="GB131">
            <v>844</v>
          </cell>
          <cell r="GC131">
            <v>846</v>
          </cell>
          <cell r="GD131">
            <v>847</v>
          </cell>
          <cell r="GE131">
            <v>848</v>
          </cell>
        </row>
        <row r="132">
          <cell r="A132" t="str">
            <v>Month 3</v>
          </cell>
          <cell r="AN132" t="str">
            <v>Month 3</v>
          </cell>
          <cell r="DZ132">
            <v>456</v>
          </cell>
          <cell r="EA132">
            <v>460</v>
          </cell>
          <cell r="EB132">
            <v>465</v>
          </cell>
          <cell r="EC132">
            <v>459</v>
          </cell>
          <cell r="EF132">
            <v>459</v>
          </cell>
          <cell r="EG132">
            <v>457</v>
          </cell>
          <cell r="EH132">
            <v>459</v>
          </cell>
          <cell r="EI132">
            <v>459</v>
          </cell>
          <cell r="EL132">
            <v>459</v>
          </cell>
          <cell r="EM132">
            <v>460</v>
          </cell>
          <cell r="EN132">
            <v>935</v>
          </cell>
          <cell r="EO132">
            <v>868</v>
          </cell>
          <cell r="ER132">
            <v>861</v>
          </cell>
          <cell r="ES132">
            <v>856</v>
          </cell>
          <cell r="ET132">
            <v>857</v>
          </cell>
          <cell r="EU132">
            <v>858</v>
          </cell>
          <cell r="EX132">
            <v>863</v>
          </cell>
          <cell r="EY132">
            <v>863</v>
          </cell>
          <cell r="EZ132">
            <v>866</v>
          </cell>
          <cell r="FA132">
            <v>852</v>
          </cell>
          <cell r="FD132">
            <v>851</v>
          </cell>
          <cell r="FE132">
            <v>855</v>
          </cell>
          <cell r="FF132">
            <v>856</v>
          </cell>
          <cell r="FG132">
            <v>847</v>
          </cell>
          <cell r="FJ132">
            <v>848</v>
          </cell>
          <cell r="FK132">
            <v>848</v>
          </cell>
          <cell r="FL132">
            <v>854</v>
          </cell>
          <cell r="FM132">
            <v>850</v>
          </cell>
          <cell r="FP132">
            <v>849</v>
          </cell>
          <cell r="FQ132">
            <v>849</v>
          </cell>
          <cell r="FR132">
            <v>854</v>
          </cell>
          <cell r="FS132">
            <v>850</v>
          </cell>
          <cell r="FV132">
            <v>850</v>
          </cell>
          <cell r="FW132">
            <v>849</v>
          </cell>
          <cell r="FX132">
            <v>850</v>
          </cell>
          <cell r="FY132">
            <v>842</v>
          </cell>
          <cell r="GB132">
            <v>844</v>
          </cell>
          <cell r="GC132">
            <v>845</v>
          </cell>
          <cell r="GD132">
            <v>847</v>
          </cell>
          <cell r="GE132">
            <v>844</v>
          </cell>
        </row>
        <row r="133">
          <cell r="A133" t="str">
            <v>Total</v>
          </cell>
          <cell r="AN133" t="str">
            <v>Total</v>
          </cell>
          <cell r="DZ133">
            <v>456</v>
          </cell>
          <cell r="EA133">
            <v>460</v>
          </cell>
          <cell r="EB133">
            <v>465</v>
          </cell>
          <cell r="EC133">
            <v>459</v>
          </cell>
          <cell r="ED133">
            <v>459</v>
          </cell>
          <cell r="EF133">
            <v>459</v>
          </cell>
          <cell r="EG133">
            <v>457</v>
          </cell>
          <cell r="EH133">
            <v>459</v>
          </cell>
          <cell r="EI133">
            <v>459</v>
          </cell>
          <cell r="EJ133">
            <v>459</v>
          </cell>
          <cell r="EL133">
            <v>459</v>
          </cell>
          <cell r="EM133">
            <v>460</v>
          </cell>
          <cell r="EN133">
            <v>935</v>
          </cell>
          <cell r="EO133">
            <v>868</v>
          </cell>
          <cell r="EP133">
            <v>868</v>
          </cell>
          <cell r="ER133">
            <v>861</v>
          </cell>
          <cell r="ES133">
            <v>856</v>
          </cell>
          <cell r="ET133">
            <v>857</v>
          </cell>
          <cell r="EU133">
            <v>858</v>
          </cell>
          <cell r="EV133">
            <v>858</v>
          </cell>
          <cell r="EX133">
            <v>863</v>
          </cell>
          <cell r="EY133">
            <v>863</v>
          </cell>
          <cell r="EZ133">
            <v>866</v>
          </cell>
          <cell r="FA133">
            <v>852</v>
          </cell>
          <cell r="FB133">
            <v>852</v>
          </cell>
          <cell r="FD133">
            <v>851</v>
          </cell>
          <cell r="FE133">
            <v>855</v>
          </cell>
          <cell r="FF133">
            <v>856</v>
          </cell>
          <cell r="FG133">
            <v>847</v>
          </cell>
          <cell r="FH133">
            <v>847</v>
          </cell>
          <cell r="FJ133">
            <v>848</v>
          </cell>
          <cell r="FK133">
            <v>848</v>
          </cell>
          <cell r="FL133">
            <v>854</v>
          </cell>
          <cell r="FM133">
            <v>850</v>
          </cell>
          <cell r="FN133">
            <v>850</v>
          </cell>
          <cell r="FP133">
            <v>849</v>
          </cell>
          <cell r="FQ133">
            <v>849</v>
          </cell>
          <cell r="FR133">
            <v>854</v>
          </cell>
          <cell r="FS133">
            <v>850</v>
          </cell>
          <cell r="FT133">
            <v>850</v>
          </cell>
          <cell r="FV133">
            <v>850</v>
          </cell>
          <cell r="FW133">
            <v>849</v>
          </cell>
          <cell r="FX133">
            <v>850</v>
          </cell>
          <cell r="FY133">
            <v>842</v>
          </cell>
          <cell r="FZ133">
            <v>842</v>
          </cell>
          <cell r="GB133">
            <v>844</v>
          </cell>
          <cell r="GC133">
            <v>845</v>
          </cell>
          <cell r="GD133">
            <v>847</v>
          </cell>
          <cell r="GE133">
            <v>844</v>
          </cell>
          <cell r="GF133">
            <v>844</v>
          </cell>
        </row>
        <row r="134">
          <cell r="GB134">
            <v>2</v>
          </cell>
          <cell r="GC134">
            <v>1</v>
          </cell>
          <cell r="GD134">
            <v>2</v>
          </cell>
          <cell r="GE134">
            <v>-3</v>
          </cell>
        </row>
        <row r="135">
          <cell r="A135" t="str">
            <v>Consolidated EOP Sq. Ft. (Estimated)</v>
          </cell>
          <cell r="AN135" t="str">
            <v>Consolidated EOP Sq. Ft. (Estimated)</v>
          </cell>
        </row>
        <row r="136">
          <cell r="A136" t="str">
            <v>Month 1</v>
          </cell>
          <cell r="AN136" t="str">
            <v>Month 1</v>
          </cell>
          <cell r="DZ136">
            <v>83.683006535947712</v>
          </cell>
          <cell r="EA136">
            <v>83.680988917306053</v>
          </cell>
          <cell r="EB136">
            <v>84.412537774966609</v>
          </cell>
          <cell r="EC136">
            <v>85.098039215686271</v>
          </cell>
          <cell r="EF136">
            <v>83.816993464052288</v>
          </cell>
          <cell r="EG136">
            <v>83.637037037037032</v>
          </cell>
          <cell r="EH136">
            <v>83.633986928104576</v>
          </cell>
          <cell r="EI136">
            <v>83.3</v>
          </cell>
          <cell r="EL136">
            <v>83.3</v>
          </cell>
          <cell r="EM136">
            <v>83.48260368663594</v>
          </cell>
          <cell r="EN136">
            <v>83.562228739002933</v>
          </cell>
          <cell r="EO136">
            <v>170.73444700460828</v>
          </cell>
          <cell r="ER136">
            <v>158.50225330225331</v>
          </cell>
          <cell r="ES136">
            <v>157.2256282269133</v>
          </cell>
          <cell r="ET136">
            <v>155.94704843969723</v>
          </cell>
          <cell r="EU136">
            <v>156.76456876456876</v>
          </cell>
          <cell r="EX136">
            <v>156.13711008111241</v>
          </cell>
          <cell r="EY136">
            <v>156.88300000000001</v>
          </cell>
          <cell r="EZ136">
            <v>157.15721016166282</v>
          </cell>
          <cell r="FA136">
            <v>157.50730751173711</v>
          </cell>
          <cell r="FD136">
            <v>155.23019506462987</v>
          </cell>
          <cell r="FE136">
            <v>155.06001403508773</v>
          </cell>
          <cell r="FF136">
            <v>155.41999999999999</v>
          </cell>
          <cell r="FG136">
            <v>156.27410743801653</v>
          </cell>
          <cell r="FJ136">
            <v>154.26087382075474</v>
          </cell>
          <cell r="FK136">
            <v>154.44300000000001</v>
          </cell>
          <cell r="FL136">
            <v>154.43150936768151</v>
          </cell>
          <cell r="FM136">
            <v>155.12658823529412</v>
          </cell>
          <cell r="FP136">
            <v>154.48674911660777</v>
          </cell>
          <cell r="FQ136">
            <v>154.48674911660777</v>
          </cell>
          <cell r="FR136">
            <v>153.76046135831382</v>
          </cell>
          <cell r="FS136">
            <v>154.94674588235296</v>
          </cell>
          <cell r="FV136">
            <v>154.34800000000001</v>
          </cell>
          <cell r="FW136">
            <v>154.47974087161367</v>
          </cell>
          <cell r="FX136">
            <v>154.10248941176471</v>
          </cell>
          <cell r="FY136">
            <v>153.92588836104514</v>
          </cell>
          <cell r="GB136">
            <v>151.83734123222749</v>
          </cell>
          <cell r="GC136">
            <v>152.19800000000001</v>
          </cell>
          <cell r="GD136">
            <v>152.25400000000002</v>
          </cell>
          <cell r="GE136">
            <v>152.30400000000003</v>
          </cell>
        </row>
        <row r="137">
          <cell r="A137" t="str">
            <v>Month 2</v>
          </cell>
          <cell r="AN137" t="str">
            <v>Month 2</v>
          </cell>
          <cell r="DZ137">
            <v>83.683006535947712</v>
          </cell>
          <cell r="EA137">
            <v>83.497477976697922</v>
          </cell>
          <cell r="EB137">
            <v>84.412537774966609</v>
          </cell>
          <cell r="EC137">
            <v>85.098039215686271</v>
          </cell>
          <cell r="EF137">
            <v>83.816993464052288</v>
          </cell>
          <cell r="EG137">
            <v>83.637037037037032</v>
          </cell>
          <cell r="EH137">
            <v>83.816993464052288</v>
          </cell>
          <cell r="EI137">
            <v>83.3</v>
          </cell>
          <cell r="EL137">
            <v>83.3</v>
          </cell>
          <cell r="EM137">
            <v>83.48260368663594</v>
          </cell>
          <cell r="EN137">
            <v>169.85524926686216</v>
          </cell>
          <cell r="EO137">
            <v>170.55184331797236</v>
          </cell>
          <cell r="ER137">
            <v>157.22400932400933</v>
          </cell>
          <cell r="ES137">
            <v>156.86041190118294</v>
          </cell>
          <cell r="ET137">
            <v>156.12965622475542</v>
          </cell>
          <cell r="EU137">
            <v>156.76456876456876</v>
          </cell>
          <cell r="EX137">
            <v>156.31908806488991</v>
          </cell>
          <cell r="EY137">
            <v>156.88300000000001</v>
          </cell>
          <cell r="EZ137">
            <v>157.52099999999999</v>
          </cell>
          <cell r="FA137">
            <v>155.87039553990613</v>
          </cell>
          <cell r="FD137">
            <v>155.41239012925971</v>
          </cell>
          <cell r="FE137">
            <v>155.24200935672516</v>
          </cell>
          <cell r="FF137">
            <v>154.87530373831774</v>
          </cell>
          <cell r="FG137">
            <v>156.27410743801653</v>
          </cell>
          <cell r="FJ137">
            <v>154.26087382075474</v>
          </cell>
          <cell r="FK137">
            <v>154.44300000000001</v>
          </cell>
          <cell r="FL137">
            <v>154.97720374707259</v>
          </cell>
          <cell r="FM137">
            <v>155.12658823529412</v>
          </cell>
          <cell r="FP137">
            <v>154.48674911660777</v>
          </cell>
          <cell r="FQ137">
            <v>154.48674911660777</v>
          </cell>
          <cell r="FR137">
            <v>154.30378454332552</v>
          </cell>
          <cell r="FS137">
            <v>154.94674588235296</v>
          </cell>
          <cell r="FV137">
            <v>154.34800000000001</v>
          </cell>
          <cell r="FW137">
            <v>154.47974087161367</v>
          </cell>
          <cell r="FX137">
            <v>154.10248941176471</v>
          </cell>
          <cell r="FY137">
            <v>153.74501187648457</v>
          </cell>
          <cell r="GB137">
            <v>152.19800000000001</v>
          </cell>
          <cell r="GC137">
            <v>152.22800000000001</v>
          </cell>
          <cell r="GD137">
            <v>152.30400000000003</v>
          </cell>
          <cell r="GE137">
            <v>152.30400000000003</v>
          </cell>
        </row>
        <row r="138">
          <cell r="A138" t="str">
            <v>Month 3</v>
          </cell>
          <cell r="AN138" t="str">
            <v>Month 3</v>
          </cell>
          <cell r="DZ138">
            <v>83.683006535947712</v>
          </cell>
          <cell r="EA138">
            <v>84.415032679738559</v>
          </cell>
          <cell r="EB138">
            <v>85.330065359477118</v>
          </cell>
          <cell r="EC138">
            <v>84</v>
          </cell>
          <cell r="EF138">
            <v>84</v>
          </cell>
          <cell r="EG138">
            <v>83.637037037037032</v>
          </cell>
          <cell r="EH138">
            <v>84</v>
          </cell>
          <cell r="EI138">
            <v>83.3</v>
          </cell>
          <cell r="EL138">
            <v>83.3</v>
          </cell>
          <cell r="EM138">
            <v>83.48260368663594</v>
          </cell>
          <cell r="EN138">
            <v>170.21935483870968</v>
          </cell>
          <cell r="EO138">
            <v>158.5</v>
          </cell>
          <cell r="ER138">
            <v>157.22400932400933</v>
          </cell>
          <cell r="ES138">
            <v>156.31258741258742</v>
          </cell>
          <cell r="ET138">
            <v>156.49487179487181</v>
          </cell>
          <cell r="EU138">
            <v>156.4</v>
          </cell>
          <cell r="EX138">
            <v>157.047</v>
          </cell>
          <cell r="EY138">
            <v>156.88300000000001</v>
          </cell>
          <cell r="EZ138">
            <v>157.52099999999999</v>
          </cell>
          <cell r="FA138">
            <v>154.96100000000001</v>
          </cell>
          <cell r="FD138">
            <v>155.048</v>
          </cell>
          <cell r="FE138">
            <v>155.60599999999999</v>
          </cell>
          <cell r="FF138">
            <v>155.41999999999999</v>
          </cell>
          <cell r="FG138">
            <v>154.09100000000001</v>
          </cell>
          <cell r="FJ138">
            <v>154.44300000000001</v>
          </cell>
          <cell r="FK138">
            <v>154.44300000000001</v>
          </cell>
          <cell r="FL138">
            <v>155.34100000000001</v>
          </cell>
          <cell r="FM138">
            <v>154.4</v>
          </cell>
          <cell r="FP138">
            <v>154.30500000000001</v>
          </cell>
          <cell r="FQ138">
            <v>154.30500000000001</v>
          </cell>
          <cell r="FR138">
            <v>154.666</v>
          </cell>
          <cell r="FS138">
            <v>154.221</v>
          </cell>
          <cell r="FV138">
            <v>154.34800000000001</v>
          </cell>
          <cell r="FW138">
            <v>154.298</v>
          </cell>
          <cell r="FX138">
            <v>154.28399999999999</v>
          </cell>
          <cell r="FY138">
            <v>152.298</v>
          </cell>
          <cell r="GB138">
            <v>152.19800000000001</v>
          </cell>
          <cell r="GC138">
            <v>152.20400000000001</v>
          </cell>
          <cell r="GD138">
            <v>152.30400000000003</v>
          </cell>
          <cell r="GE138">
            <v>152.30400000000003</v>
          </cell>
        </row>
        <row r="139">
          <cell r="A139" t="str">
            <v>Total</v>
          </cell>
          <cell r="AN139" t="str">
            <v>Total</v>
          </cell>
          <cell r="DZ139">
            <v>83.683006535947712</v>
          </cell>
          <cell r="EA139">
            <v>84.415032679738559</v>
          </cell>
          <cell r="EB139">
            <v>85.330065359477118</v>
          </cell>
          <cell r="EC139">
            <v>84</v>
          </cell>
          <cell r="ED139">
            <v>84</v>
          </cell>
          <cell r="EF139">
            <v>84</v>
          </cell>
          <cell r="EG139">
            <v>83.637037037037032</v>
          </cell>
          <cell r="EH139">
            <v>84</v>
          </cell>
          <cell r="EI139">
            <v>83.3</v>
          </cell>
          <cell r="EJ139">
            <v>83.3</v>
          </cell>
          <cell r="EL139">
            <v>83.3</v>
          </cell>
          <cell r="EM139">
            <v>83.48260368663594</v>
          </cell>
          <cell r="EN139">
            <v>170.21935483870968</v>
          </cell>
          <cell r="EO139">
            <v>158.5</v>
          </cell>
          <cell r="EP139">
            <v>158.5</v>
          </cell>
          <cell r="ER139">
            <v>157.22400932400933</v>
          </cell>
          <cell r="ES139">
            <v>156.31258741258742</v>
          </cell>
          <cell r="ET139">
            <v>156.49487179487181</v>
          </cell>
          <cell r="EU139">
            <v>156.4</v>
          </cell>
          <cell r="EV139">
            <v>156.4</v>
          </cell>
          <cell r="EX139">
            <v>157.047</v>
          </cell>
          <cell r="EY139">
            <v>156.88300000000001</v>
          </cell>
          <cell r="EZ139">
            <v>157.52099999999999</v>
          </cell>
          <cell r="FA139">
            <v>154.96100000000001</v>
          </cell>
          <cell r="FB139">
            <v>154.96100000000001</v>
          </cell>
          <cell r="FD139">
            <v>155.048</v>
          </cell>
          <cell r="FE139">
            <v>155.60599999999999</v>
          </cell>
          <cell r="FF139">
            <v>155.41999999999999</v>
          </cell>
          <cell r="FG139">
            <v>154.09100000000001</v>
          </cell>
          <cell r="FH139">
            <v>154.09100000000001</v>
          </cell>
          <cell r="FJ139">
            <v>154.44300000000001</v>
          </cell>
          <cell r="FK139">
            <v>154.44300000000001</v>
          </cell>
          <cell r="FL139">
            <v>155.34100000000001</v>
          </cell>
          <cell r="FM139">
            <v>154.4</v>
          </cell>
          <cell r="FN139">
            <v>154.4</v>
          </cell>
          <cell r="FP139">
            <v>154.30500000000001</v>
          </cell>
          <cell r="FQ139">
            <v>154.30500000000001</v>
          </cell>
          <cell r="FR139">
            <v>154.666</v>
          </cell>
          <cell r="FS139">
            <v>154.221</v>
          </cell>
          <cell r="FT139">
            <v>154.221</v>
          </cell>
          <cell r="FV139">
            <v>154.34800000000001</v>
          </cell>
          <cell r="FW139">
            <v>154.298</v>
          </cell>
          <cell r="FX139">
            <v>154.28399999999999</v>
          </cell>
          <cell r="FY139">
            <v>152.298</v>
          </cell>
          <cell r="FZ139">
            <v>152.298</v>
          </cell>
          <cell r="GB139">
            <v>152.19800000000001</v>
          </cell>
          <cell r="GC139">
            <v>152.20400000000001</v>
          </cell>
          <cell r="GD139">
            <v>152.30400000000003</v>
          </cell>
          <cell r="GE139">
            <v>152.30400000000003</v>
          </cell>
          <cell r="GF139">
            <v>152.30400000000003</v>
          </cell>
        </row>
        <row r="141">
          <cell r="A141" t="str">
            <v>Dept. Stores Monthly Sales - % change</v>
          </cell>
          <cell r="AN141" t="str">
            <v>Dept. Stores Monthly Sales - % change</v>
          </cell>
        </row>
        <row r="142">
          <cell r="A142" t="str">
            <v>Month 1</v>
          </cell>
          <cell r="AN142" t="str">
            <v>Month 1</v>
          </cell>
          <cell r="BS142" t="str">
            <v xml:space="preserve"> --  </v>
          </cell>
          <cell r="BT142" t="str">
            <v xml:space="preserve"> --  </v>
          </cell>
          <cell r="BU142" t="str">
            <v xml:space="preserve"> --  </v>
          </cell>
          <cell r="BV142" t="str">
            <v xml:space="preserve"> --  </v>
          </cell>
          <cell r="BY142">
            <v>4.014598540145986E-2</v>
          </cell>
          <cell r="BZ142">
            <v>7.0000000000000062E-2</v>
          </cell>
          <cell r="CA142">
            <v>8.999999999999897E-3</v>
          </cell>
          <cell r="CB142">
            <v>2.4000000000000021E-2</v>
          </cell>
          <cell r="CP142">
            <v>2.4489400832446107E-2</v>
          </cell>
          <cell r="CQ142">
            <v>3.166037057024651E-2</v>
          </cell>
          <cell r="CR142">
            <v>4.2093998037991742E-2</v>
          </cell>
          <cell r="CS142">
            <v>8.2543367511445087E-3</v>
          </cell>
          <cell r="CV142">
            <v>0</v>
          </cell>
          <cell r="CW142">
            <v>7.4106364428945248E-3</v>
          </cell>
          <cell r="CX142">
            <v>-3.5000000000000031E-2</v>
          </cell>
          <cell r="CY142">
            <v>-1.5669971218420176E-2</v>
          </cell>
          <cell r="DB142">
            <v>-3.1557067271353101E-2</v>
          </cell>
          <cell r="DC142">
            <v>-7.3561228905235643E-3</v>
          </cell>
          <cell r="DD142">
            <v>-7.6290182045534172E-3</v>
          </cell>
          <cell r="DE142">
            <v>-2.5990903183885639E-2</v>
          </cell>
          <cell r="DH142">
            <v>-1</v>
          </cell>
          <cell r="DI142">
            <v>-1</v>
          </cell>
          <cell r="DJ142">
            <v>-1</v>
          </cell>
          <cell r="DK142">
            <v>-1</v>
          </cell>
          <cell r="DN142" t="str">
            <v>NA</v>
          </cell>
          <cell r="DO142" t="str">
            <v>NA</v>
          </cell>
          <cell r="DP142" t="str">
            <v>NA</v>
          </cell>
          <cell r="DQ142" t="str">
            <v>NA</v>
          </cell>
          <cell r="DT142">
            <v>-3.0527289546716019E-2</v>
          </cell>
          <cell r="DU142">
            <v>-9.4745908699397363E-3</v>
          </cell>
          <cell r="DV142">
            <v>-3.8938053097345104E-2</v>
          </cell>
          <cell r="DW142">
            <v>-5.8785942492012744E-2</v>
          </cell>
          <cell r="DZ142">
            <v>-6.0114503816793841E-2</v>
          </cell>
          <cell r="EA142">
            <v>-1.1304347826086913E-2</v>
          </cell>
          <cell r="EB142">
            <v>-7.3664825046040328E-3</v>
          </cell>
          <cell r="EC142">
            <v>-8.8255261371350535E-3</v>
          </cell>
          <cell r="EF142">
            <v>9.6446700507614169E-2</v>
          </cell>
          <cell r="EG142">
            <v>3.9577836411609502E-2</v>
          </cell>
          <cell r="EH142">
            <v>-2.0408163265306145E-2</v>
          </cell>
          <cell r="EI142">
            <v>-9.5890410958904271E-3</v>
          </cell>
          <cell r="EL142">
            <v>1.5740740740740833E-2</v>
          </cell>
          <cell r="EM142">
            <v>5.9221658206429773E-3</v>
          </cell>
          <cell r="EN142">
            <v>1.1363636363636465E-2</v>
          </cell>
          <cell r="EO142">
            <v>0.80982019363762103</v>
          </cell>
          <cell r="ER142">
            <v>0.64083865086599823</v>
          </cell>
          <cell r="ES142">
            <v>0.70395290159798152</v>
          </cell>
          <cell r="ET142">
            <v>0.61704119850187267</v>
          </cell>
          <cell r="EU142">
            <v>-8.8651127244936956E-2</v>
          </cell>
          <cell r="EX142">
            <v>1.1111111111110628E-3</v>
          </cell>
          <cell r="EY142">
            <v>-2.4679170779861814E-2</v>
          </cell>
          <cell r="EZ142">
            <v>3.5321366531557707E-2</v>
          </cell>
          <cell r="FA142">
            <v>0.13501048218029355</v>
          </cell>
          <cell r="FD142">
            <v>-3.6071032186459462E-2</v>
          </cell>
          <cell r="FE142">
            <v>-2.5303643724696401E-2</v>
          </cell>
          <cell r="FF142">
            <v>-5.7046979865771785E-2</v>
          </cell>
          <cell r="FG142">
            <v>-0.14148503878832652</v>
          </cell>
          <cell r="FJ142">
            <v>-7.7376206594334418E-2</v>
          </cell>
          <cell r="FK142">
            <v>-7.3854331133361484E-2</v>
          </cell>
          <cell r="FL142">
            <v>-6.5154745638739242E-2</v>
          </cell>
          <cell r="FM142">
            <v>-5.2161507132639562E-2</v>
          </cell>
          <cell r="FP142">
            <v>4.0186303599689444E-2</v>
          </cell>
          <cell r="FQ142">
            <v>2.9395500964750632E-3</v>
          </cell>
          <cell r="FR142">
            <v>3.9241783148511233E-2</v>
          </cell>
          <cell r="FS142">
            <v>6.2749594749162307E-2</v>
          </cell>
          <cell r="FV142">
            <v>5.7588482303539301E-2</v>
          </cell>
          <cell r="FW142">
            <v>8.2727780883175006E-2</v>
          </cell>
          <cell r="FX142">
            <v>4.6398046398046455E-2</v>
          </cell>
          <cell r="FY142">
            <v>5.2968816744980884E-2</v>
          </cell>
          <cell r="GB142">
            <v>5.5019852524106572E-2</v>
          </cell>
          <cell r="GC142">
            <v>4.0268456375838868E-2</v>
          </cell>
          <cell r="GD142">
            <v>5.7176196032672211E-2</v>
          </cell>
          <cell r="GE142">
            <v>3.0252351388493137E-2</v>
          </cell>
        </row>
        <row r="143">
          <cell r="A143" t="str">
            <v>Month 2</v>
          </cell>
          <cell r="AN143" t="str">
            <v>Month 2</v>
          </cell>
          <cell r="BS143" t="str">
            <v xml:space="preserve"> --  </v>
          </cell>
          <cell r="BT143" t="str">
            <v xml:space="preserve"> --  </v>
          </cell>
          <cell r="BU143" t="str">
            <v xml:space="preserve"> --  </v>
          </cell>
          <cell r="BV143" t="str">
            <v xml:space="preserve"> --  </v>
          </cell>
          <cell r="BY143">
            <v>-2.4999999999999911E-2</v>
          </cell>
          <cell r="BZ143">
            <v>4.8000000000000043E-2</v>
          </cell>
          <cell r="CA143">
            <v>4.8999999999999932E-2</v>
          </cell>
          <cell r="CB143">
            <v>1.2999999999999901E-2</v>
          </cell>
          <cell r="CP143">
            <v>9.4745908699398473E-3</v>
          </cell>
          <cell r="CQ143">
            <v>3.8961038961038863E-2</v>
          </cell>
          <cell r="CR143">
            <v>3.4921997996278709E-2</v>
          </cell>
          <cell r="CS143">
            <v>2.2241668489753064E-3</v>
          </cell>
          <cell r="CV143">
            <v>-9.3080980452997508E-4</v>
          </cell>
          <cell r="CW143">
            <v>2.2966867469879526E-2</v>
          </cell>
          <cell r="CX143">
            <v>-2.0000000000000018E-2</v>
          </cell>
          <cell r="CY143">
            <v>4.3799999999999839E-2</v>
          </cell>
          <cell r="DB143">
            <v>4.2701863354037251E-2</v>
          </cell>
          <cell r="DC143">
            <v>3.5701140964298883E-2</v>
          </cell>
          <cell r="DD143">
            <v>4.0387334577032252E-3</v>
          </cell>
          <cell r="DE143">
            <v>1.6349047946182971E-2</v>
          </cell>
          <cell r="DH143">
            <v>-1</v>
          </cell>
          <cell r="DI143">
            <v>-1</v>
          </cell>
          <cell r="DJ143">
            <v>-1</v>
          </cell>
          <cell r="DK143">
            <v>-1</v>
          </cell>
          <cell r="DN143" t="str">
            <v>NA</v>
          </cell>
          <cell r="DO143" t="str">
            <v>NA</v>
          </cell>
          <cell r="DP143" t="str">
            <v>NA</v>
          </cell>
          <cell r="DQ143" t="str">
            <v>NA</v>
          </cell>
          <cell r="DT143">
            <v>-4.5558086560364419E-3</v>
          </cell>
          <cell r="DU143">
            <v>3.0920060331824928E-2</v>
          </cell>
          <cell r="DV143">
            <v>2.0170674941815347E-2</v>
          </cell>
          <cell r="DW143">
            <v>-8.2289803220035873E-3</v>
          </cell>
          <cell r="DZ143">
            <v>-5.9496567505720854E-2</v>
          </cell>
          <cell r="EA143">
            <v>-2.1945866861741048E-2</v>
          </cell>
          <cell r="EB143">
            <v>2.8136882129277563E-2</v>
          </cell>
          <cell r="EC143">
            <v>3.6075036075036149E-3</v>
          </cell>
          <cell r="EF143">
            <v>7.5425790754257926E-2</v>
          </cell>
          <cell r="EG143">
            <v>4.2632759910246731E-2</v>
          </cell>
          <cell r="EH143">
            <v>6.6568047337278724E-3</v>
          </cell>
          <cell r="EI143">
            <v>2.6599568655643502E-2</v>
          </cell>
          <cell r="EL143">
            <v>3.3936651583710509E-2</v>
          </cell>
          <cell r="EM143">
            <v>3.0129124820659881E-2</v>
          </cell>
          <cell r="EN143">
            <v>0.81043350477590015</v>
          </cell>
          <cell r="EO143">
            <v>0.91141456582633062</v>
          </cell>
          <cell r="ER143">
            <v>0.64478482859226838</v>
          </cell>
          <cell r="ES143">
            <v>0.64832869080779942</v>
          </cell>
          <cell r="ET143">
            <v>-6.5340909090909061E-2</v>
          </cell>
          <cell r="EU143">
            <v>-8.4630884777431747E-2</v>
          </cell>
          <cell r="EX143">
            <v>1.4634146341463428E-2</v>
          </cell>
          <cell r="EY143">
            <v>-1.9433882551753268E-2</v>
          </cell>
          <cell r="EZ143">
            <v>-1.2592270950933515E-2</v>
          </cell>
          <cell r="FA143">
            <v>-7.4644786872123281E-2</v>
          </cell>
          <cell r="FD143">
            <v>-6.3811188811188857E-2</v>
          </cell>
          <cell r="FE143">
            <v>-3.1021111589832007E-2</v>
          </cell>
          <cell r="FF143">
            <v>-7.9595426561125726E-2</v>
          </cell>
          <cell r="FG143">
            <v>-4.9091695501730093E-2</v>
          </cell>
          <cell r="FJ143">
            <v>-8.3193732222893169E-2</v>
          </cell>
          <cell r="FK143">
            <v>-6.9545735689765187E-2</v>
          </cell>
          <cell r="FL143">
            <v>-4.2277671038386533E-3</v>
          </cell>
          <cell r="FM143">
            <v>1.7686910874161521E-2</v>
          </cell>
          <cell r="FP143">
            <v>0.10601949166366365</v>
          </cell>
          <cell r="FQ143">
            <v>6.5186325382629029E-2</v>
          </cell>
          <cell r="FR143">
            <v>4.6469139412921301E-2</v>
          </cell>
          <cell r="FS143">
            <v>3.2231974812141573E-2</v>
          </cell>
          <cell r="FV143">
            <v>1.5653775322283625E-2</v>
          </cell>
          <cell r="FW143">
            <v>7.3126962763571113E-2</v>
          </cell>
          <cell r="FX143">
            <v>5.3645116918844549E-2</v>
          </cell>
          <cell r="FY143">
            <v>6.6248105650573708E-2</v>
          </cell>
          <cell r="GB143">
            <v>6.8902991840435135E-2</v>
          </cell>
          <cell r="GC143">
            <v>8.3612040133780319E-3</v>
          </cell>
          <cell r="GD143">
            <v>1.7979142315035279E-2</v>
          </cell>
          <cell r="GE143">
            <v>3.0252351388493137E-2</v>
          </cell>
        </row>
        <row r="144">
          <cell r="A144" t="str">
            <v>Month 3</v>
          </cell>
          <cell r="AN144" t="str">
            <v>Month 3</v>
          </cell>
          <cell r="BS144" t="str">
            <v xml:space="preserve"> --  </v>
          </cell>
          <cell r="BT144" t="str">
            <v xml:space="preserve"> --  </v>
          </cell>
          <cell r="BU144" t="str">
            <v xml:space="preserve"> --  </v>
          </cell>
          <cell r="BV144" t="str">
            <v xml:space="preserve"> --  </v>
          </cell>
          <cell r="BY144">
            <v>-1</v>
          </cell>
          <cell r="BZ144">
            <v>-1</v>
          </cell>
          <cell r="CA144">
            <v>-1</v>
          </cell>
          <cell r="CB144">
            <v>-1</v>
          </cell>
          <cell r="CP144">
            <v>7.1176173649671881E-2</v>
          </cell>
          <cell r="CQ144">
            <v>9.3491388951017607E-2</v>
          </cell>
          <cell r="CR144">
            <v>3.7600880410858295E-2</v>
          </cell>
          <cell r="CS144">
            <v>9.5674437407358148E-3</v>
          </cell>
          <cell r="CV144">
            <v>4.7125353440150786E-2</v>
          </cell>
          <cell r="CW144">
            <v>3.3442421763141716E-2</v>
          </cell>
          <cell r="CX144">
            <v>-2.6799999999999935E-2</v>
          </cell>
          <cell r="CY144">
            <v>6.7805659369994498E-2</v>
          </cell>
          <cell r="DB144">
            <v>-3.0603060306030549E-2</v>
          </cell>
          <cell r="DC144">
            <v>4.4532409698170294E-3</v>
          </cell>
          <cell r="DD144">
            <v>5.2999999999999999E-2</v>
          </cell>
          <cell r="DE144">
            <v>-2.1249999999999991E-2</v>
          </cell>
          <cell r="DH144">
            <v>-1</v>
          </cell>
          <cell r="DI144">
            <v>-1</v>
          </cell>
          <cell r="DJ144">
            <v>-1</v>
          </cell>
          <cell r="DK144">
            <v>-1</v>
          </cell>
          <cell r="DN144" t="str">
            <v>NA</v>
          </cell>
          <cell r="DO144" t="str">
            <v>NA</v>
          </cell>
          <cell r="DP144" t="str">
            <v>NA</v>
          </cell>
          <cell r="DQ144" t="str">
            <v>NA</v>
          </cell>
          <cell r="DT144">
            <v>-5.5938037865748691E-2</v>
          </cell>
          <cell r="DU144">
            <v>-3.4825870646766122E-2</v>
          </cell>
          <cell r="DV144">
            <v>2.3629489603024467E-2</v>
          </cell>
          <cell r="DW144">
            <v>1.2919896640826156E-3</v>
          </cell>
          <cell r="DZ144">
            <v>-1.9143117593436676E-2</v>
          </cell>
          <cell r="EA144">
            <v>-7.2164948453607991E-3</v>
          </cell>
          <cell r="EB144">
            <v>-2.3084025854108958E-2</v>
          </cell>
          <cell r="EC144">
            <v>5.0322580645161263E-2</v>
          </cell>
          <cell r="EF144">
            <v>6.3197026022304925E-2</v>
          </cell>
          <cell r="EG144">
            <v>4.3613707165109039E-2</v>
          </cell>
          <cell r="EH144">
            <v>4.7258979206049156E-2</v>
          </cell>
          <cell r="EI144">
            <v>4.9140049140048436E-3</v>
          </cell>
          <cell r="EL144">
            <v>2.5349650349650421E-2</v>
          </cell>
          <cell r="EM144">
            <v>-6.9651741293532687E-3</v>
          </cell>
          <cell r="EN144">
            <v>0.82581227436823101</v>
          </cell>
          <cell r="EO144">
            <v>0.82762836185819078</v>
          </cell>
          <cell r="ER144">
            <v>0.60102301790281332</v>
          </cell>
          <cell r="ES144">
            <v>0.61122244488977961</v>
          </cell>
          <cell r="ET144">
            <v>-7.909045971329709E-2</v>
          </cell>
          <cell r="EU144">
            <v>0.19063545150501682</v>
          </cell>
          <cell r="EX144">
            <v>-2.183173588924392E-2</v>
          </cell>
          <cell r="EY144">
            <v>-3.7313432835820448E-3</v>
          </cell>
          <cell r="EZ144">
            <v>-7.5147611379495771E-3</v>
          </cell>
          <cell r="FA144">
            <v>-0.28483146067415732</v>
          </cell>
          <cell r="FD144">
            <v>1.6875340228633684E-2</v>
          </cell>
          <cell r="FE144">
            <v>-3.6828963795255909E-2</v>
          </cell>
          <cell r="FF144">
            <v>-7.3012439156300735E-2</v>
          </cell>
          <cell r="FG144">
            <v>-4.7132757266300063E-2</v>
          </cell>
          <cell r="FJ144">
            <v>-7.8906078546147729E-2</v>
          </cell>
          <cell r="FK144">
            <v>-8.6421386047222271E-2</v>
          </cell>
          <cell r="FL144">
            <v>6.8259146413351957E-3</v>
          </cell>
          <cell r="FM144">
            <v>4.5716401865264711E-2</v>
          </cell>
          <cell r="FP144">
            <v>1.0691920195042393E-2</v>
          </cell>
          <cell r="FQ144">
            <v>8.3955625466711314E-2</v>
          </cell>
          <cell r="FR144">
            <v>4.6532073995587009E-2</v>
          </cell>
          <cell r="FS144">
            <v>3.2753260808866314E-2</v>
          </cell>
          <cell r="FV144">
            <v>0.10408280621046573</v>
          </cell>
          <cell r="FW144">
            <v>5.4973821989528826E-2</v>
          </cell>
          <cell r="FX144">
            <v>1.9933554817275656E-2</v>
          </cell>
          <cell r="FY144">
            <v>1.984732824427482E-2</v>
          </cell>
          <cell r="GB144">
            <v>4.1666666666666519E-3</v>
          </cell>
          <cell r="GC144">
            <v>5.0248138957816435E-2</v>
          </cell>
          <cell r="GD144">
            <v>4.1460682896476753E-2</v>
          </cell>
          <cell r="GE144">
            <v>0.31255170783595321</v>
          </cell>
        </row>
        <row r="145">
          <cell r="A145" t="str">
            <v>Total</v>
          </cell>
          <cell r="AN145" t="str">
            <v>Total</v>
          </cell>
          <cell r="BS145" t="str">
            <v xml:space="preserve"> --  </v>
          </cell>
          <cell r="BT145" t="str">
            <v xml:space="preserve"> --  </v>
          </cell>
          <cell r="BU145" t="str">
            <v xml:space="preserve"> --  </v>
          </cell>
          <cell r="BV145" t="str">
            <v xml:space="preserve"> --  </v>
          </cell>
          <cell r="BW145" t="str">
            <v xml:space="preserve"> --  </v>
          </cell>
          <cell r="BY145">
            <v>-1</v>
          </cell>
          <cell r="BZ145">
            <v>-1</v>
          </cell>
          <cell r="CA145">
            <v>-1</v>
          </cell>
          <cell r="CB145">
            <v>-1</v>
          </cell>
          <cell r="CF145">
            <v>-1</v>
          </cell>
          <cell r="CP145">
            <v>3.2690035447026533E-2</v>
          </cell>
          <cell r="CQ145">
            <v>5.1336703002253348E-2</v>
          </cell>
          <cell r="CR145">
            <v>3.7959602116871327E-2</v>
          </cell>
          <cell r="CS145">
            <v>5.1634428248001907E-3</v>
          </cell>
          <cell r="CT145">
            <v>3.3414978803579842</v>
          </cell>
          <cell r="CV145">
            <v>-1.5138179897905446E-2</v>
          </cell>
          <cell r="CW145">
            <v>2.0765755329008373E-2</v>
          </cell>
          <cell r="CX145">
            <v>-2.6732607244868034E-2</v>
          </cell>
          <cell r="CY145">
            <v>2.8982704390089653E-2</v>
          </cell>
          <cell r="CZ145">
            <v>4.2536515007434161E-3</v>
          </cell>
          <cell r="DB145">
            <v>3.3661006851355424E-2</v>
          </cell>
          <cell r="DC145">
            <v>2.3975031919421186E-2</v>
          </cell>
          <cell r="DD145">
            <v>1.2354237926307077E-2</v>
          </cell>
          <cell r="DE145">
            <v>9.7745834057736403E-3</v>
          </cell>
          <cell r="DF145">
            <v>1.8648853027320111E-2</v>
          </cell>
          <cell r="DH145">
            <v>2.9682997118155585E-2</v>
          </cell>
          <cell r="DI145">
            <v>1.9395954558049322E-2</v>
          </cell>
          <cell r="DJ145">
            <v>2.4654565158493735E-2</v>
          </cell>
          <cell r="DK145">
            <v>6.560182544209936E-2</v>
          </cell>
          <cell r="DL145">
            <v>3.7993636533782515E-2</v>
          </cell>
          <cell r="DN145">
            <v>-4.7579065211307281E-3</v>
          </cell>
          <cell r="DO145">
            <v>-5.191628159826045E-2</v>
          </cell>
          <cell r="DP145">
            <v>-8.1173982020095181E-2</v>
          </cell>
          <cell r="DQ145">
            <v>-8.4225553176302648E-2</v>
          </cell>
          <cell r="DR145">
            <v>-5.126818127178745E-2</v>
          </cell>
          <cell r="DT145">
            <v>-2.8965129358830111E-2</v>
          </cell>
          <cell r="DU145">
            <v>-5.7339449541282672E-4</v>
          </cell>
          <cell r="DV145">
            <v>1.1510791366906581E-3</v>
          </cell>
          <cell r="DW145">
            <v>-2.2408417770849565E-2</v>
          </cell>
          <cell r="DX145">
            <v>-1.3557174532784266E-2</v>
          </cell>
          <cell r="DZ145">
            <v>-4.6915725456125101E-2</v>
          </cell>
          <cell r="EA145">
            <v>-1.4916810097532984E-2</v>
          </cell>
          <cell r="EB145">
            <v>2.012072434607548E-3</v>
          </cell>
          <cell r="EC145">
            <v>7.1756029499701057E-3</v>
          </cell>
          <cell r="ED145">
            <v>-1.0211290218996805E-2</v>
          </cell>
          <cell r="EF145">
            <v>7.8699483439683915E-2</v>
          </cell>
          <cell r="EG145">
            <v>4.2807221898660375E-2</v>
          </cell>
          <cell r="EH145">
            <v>1.1187607573149849E-2</v>
          </cell>
          <cell r="EI145">
            <v>1.3259449831783066E-2</v>
          </cell>
          <cell r="EJ145">
            <v>2.361796003114458E-2</v>
          </cell>
          <cell r="EL145">
            <v>2.5633802816901419E-2</v>
          </cell>
          <cell r="EM145">
            <v>1.1728567439262871E-2</v>
          </cell>
          <cell r="EN145">
            <v>0.57588652482269498</v>
          </cell>
          <cell r="EO145">
            <v>0.86933593750000004</v>
          </cell>
          <cell r="EP145">
            <v>0.41924442190669375</v>
          </cell>
          <cell r="ER145">
            <v>0.62867344136226322</v>
          </cell>
          <cell r="ES145">
            <v>0.65470604471432514</v>
          </cell>
          <cell r="ET145">
            <v>5.9585958595859578E-2</v>
          </cell>
          <cell r="EU145">
            <v>-4.3046703583742518E-2</v>
          </cell>
          <cell r="EV145">
            <v>0.20455560518088434</v>
          </cell>
          <cell r="EX145">
            <v>-1.5177065767284503E-3</v>
          </cell>
          <cell r="EY145">
            <v>-1.7180984153461254E-2</v>
          </cell>
          <cell r="EZ145">
            <v>3.397893306150257E-3</v>
          </cell>
          <cell r="FA145">
            <v>-6.1687957200567745E-2</v>
          </cell>
          <cell r="FB145">
            <v>-2.4360400444938812E-2</v>
          </cell>
          <cell r="FD145">
            <v>-2.9386927883803371E-2</v>
          </cell>
          <cell r="FE145">
            <v>-2.9531568228105876E-2</v>
          </cell>
          <cell r="FF145">
            <v>-6.9928885878767333E-2</v>
          </cell>
          <cell r="FG145">
            <v>-7.6797765883174329E-2</v>
          </cell>
          <cell r="FH145">
            <v>-5.4003724394785846E-2</v>
          </cell>
          <cell r="FJ145">
            <v>-7.9867757090655966E-2</v>
          </cell>
          <cell r="FK145">
            <v>-7.5725778244141284E-2</v>
          </cell>
          <cell r="FL145">
            <v>-1.9661387220098359E-2</v>
          </cell>
          <cell r="FM145">
            <v>3.7811948575749987E-4</v>
          </cell>
          <cell r="FN145">
            <v>-4.0053029085650005E-2</v>
          </cell>
          <cell r="FP145">
            <v>5.4084720121028829E-2</v>
          </cell>
          <cell r="FQ145">
            <v>4.7682119205298079E-2</v>
          </cell>
          <cell r="FR145">
            <v>4.4196843082636939E-2</v>
          </cell>
          <cell r="FS145">
            <v>4.182940657679235E-2</v>
          </cell>
          <cell r="FT145">
            <v>4.6369533375183014E-2</v>
          </cell>
          <cell r="FV145">
            <v>5.6512378902045191E-2</v>
          </cell>
          <cell r="FW145">
            <v>7.2602492324363332E-2</v>
          </cell>
          <cell r="FX145">
            <v>4.0903432331495626E-2</v>
          </cell>
          <cell r="FY145">
            <v>5.5024791389527206E-2</v>
          </cell>
          <cell r="FZ145">
            <v>5.60732712074552E-2</v>
          </cell>
          <cell r="GB145">
            <v>4.313126167430803E-2</v>
          </cell>
          <cell r="GC145">
            <v>3.0139754167368249E-2</v>
          </cell>
          <cell r="GD145">
            <v>3.7021467099822347E-2</v>
          </cell>
          <cell r="GE145">
            <v>7.372007776590972E-2</v>
          </cell>
          <cell r="GF145">
            <v>4.8961204520547419E-2</v>
          </cell>
        </row>
        <row r="147">
          <cell r="A147" t="str">
            <v>Dept. Stores Monthly Sales - % of Total Year</v>
          </cell>
          <cell r="AN147" t="str">
            <v>Dept. Stores Monthly Sales - % of Total Year</v>
          </cell>
        </row>
        <row r="148">
          <cell r="A148" t="str">
            <v>Month 1</v>
          </cell>
          <cell r="AN148" t="str">
            <v>Month 1</v>
          </cell>
          <cell r="BS148">
            <v>6.3992993467868478E-2</v>
          </cell>
          <cell r="BT148">
            <v>6.9693099295697544E-2</v>
          </cell>
          <cell r="BU148">
            <v>7.6641243659453337E-2</v>
          </cell>
          <cell r="BV148">
            <v>9.6536875524577598E-2</v>
          </cell>
          <cell r="CP148">
            <v>6.7547817651526273E-2</v>
          </cell>
          <cell r="CQ148">
            <v>7.3202330731576559E-2</v>
          </cell>
          <cell r="CR148">
            <v>7.4574475553484926E-2</v>
          </cell>
          <cell r="CS148">
            <v>9.9783647862964217E-2</v>
          </cell>
          <cell r="CV148">
            <v>6.7261709778783194E-2</v>
          </cell>
          <cell r="CW148">
            <v>7.3432450537966709E-2</v>
          </cell>
          <cell r="CX148">
            <v>7.1659554139106546E-2</v>
          </cell>
          <cell r="CY148">
            <v>9.7804016770169422E-2</v>
          </cell>
          <cell r="DB148">
            <v>6.3946596793312119E-2</v>
          </cell>
          <cell r="DC148">
            <v>7.1557801484808781E-2</v>
          </cell>
          <cell r="DD148">
            <v>6.9810967621186604E-2</v>
          </cell>
          <cell r="DE148">
            <v>9.3517998627487678E-2</v>
          </cell>
          <cell r="DH148">
            <v>0</v>
          </cell>
          <cell r="DI148">
            <v>0</v>
          </cell>
          <cell r="DJ148">
            <v>0</v>
          </cell>
          <cell r="DK148">
            <v>0</v>
          </cell>
          <cell r="DN148">
            <v>6.8482736775419703E-2</v>
          </cell>
          <cell r="DO148">
            <v>7.3550839404497942E-2</v>
          </cell>
          <cell r="DP148">
            <v>7.1586949635730118E-2</v>
          </cell>
          <cell r="DQ148">
            <v>9.9144757681343051E-2</v>
          </cell>
          <cell r="DT148">
            <v>6.7304604713891214E-2</v>
          </cell>
          <cell r="DU148">
            <v>7.3855243722304287E-2</v>
          </cell>
          <cell r="DV148">
            <v>6.9745038854280392E-2</v>
          </cell>
          <cell r="DW148">
            <v>9.459893391561236E-2</v>
          </cell>
          <cell r="DZ148">
            <v>6.3911237996366471E-2</v>
          </cell>
          <cell r="EA148">
            <v>7.3773682844536725E-2</v>
          </cell>
          <cell r="EB148">
            <v>6.9945497015312746E-2</v>
          </cell>
          <cell r="EC148">
            <v>9.4731378146898526E-2</v>
          </cell>
          <cell r="EF148">
            <v>6.8458417849898576E-2</v>
          </cell>
          <cell r="EG148">
            <v>7.4923935091277885E-2</v>
          </cell>
          <cell r="EH148">
            <v>6.6937119675456389E-2</v>
          </cell>
          <cell r="EI148">
            <v>9.1658215010141986E-2</v>
          </cell>
          <cell r="EL148">
            <v>4.899508709245199E-2</v>
          </cell>
          <cell r="EM148">
            <v>5.3104064314426082E-2</v>
          </cell>
          <cell r="EN148">
            <v>4.769986601161233E-2</v>
          </cell>
          <cell r="EO148">
            <v>0.11688253684680661</v>
          </cell>
          <cell r="ER148">
            <v>6.6740823136818686E-2</v>
          </cell>
          <cell r="ES148">
            <v>7.5120504263997037E-2</v>
          </cell>
          <cell r="ET148">
            <v>6.4034111976269931E-2</v>
          </cell>
          <cell r="EU148">
            <v>8.8431590656284767E-2</v>
          </cell>
          <cell r="EX148">
            <v>6.8483259225477905E-2</v>
          </cell>
          <cell r="EY148">
            <v>7.5095960171778206E-2</v>
          </cell>
          <cell r="EZ148">
            <v>6.795120282749971E-2</v>
          </cell>
          <cell r="FA148">
            <v>0.10287690495192491</v>
          </cell>
          <cell r="FD148">
            <v>6.9781455889442387E-2</v>
          </cell>
          <cell r="FE148">
            <v>7.7374256789329909E-2</v>
          </cell>
          <cell r="FF148">
            <v>6.7732604852964812E-2</v>
          </cell>
          <cell r="FG148">
            <v>9.3363329583802029E-2</v>
          </cell>
          <cell r="FJ148">
            <v>6.7068320951899615E-2</v>
          </cell>
          <cell r="FK148">
            <v>7.4649782725973876E-2</v>
          </cell>
          <cell r="FL148">
            <v>6.5961460508603714E-2</v>
          </cell>
          <cell r="FM148">
            <v>9.2185673045563743E-2</v>
          </cell>
          <cell r="FP148">
            <v>6.6671999360076797E-2</v>
          </cell>
          <cell r="FQ148">
            <v>7.155141383034036E-2</v>
          </cell>
          <cell r="FR148">
            <v>6.5512138543374801E-2</v>
          </cell>
          <cell r="FS148">
            <v>9.3628764548254209E-2</v>
          </cell>
          <cell r="FV148">
            <v>6.6767657640598374E-2</v>
          </cell>
          <cell r="FW148">
            <v>7.3357318689642112E-2</v>
          </cell>
          <cell r="FX148">
            <v>6.49119484946033E-2</v>
          </cell>
          <cell r="FY148">
            <v>9.3353531528119676E-2</v>
          </cell>
          <cell r="GB148">
            <v>6.7153297961635244E-2</v>
          </cell>
          <cell r="GC148">
            <v>7.2749406125104846E-2</v>
          </cell>
          <cell r="GD148">
            <v>6.5420309627141432E-2</v>
          </cell>
          <cell r="GE148">
            <v>9.1688515221328329E-2</v>
          </cell>
        </row>
        <row r="149">
          <cell r="A149" t="str">
            <v>Month 2</v>
          </cell>
          <cell r="AN149" t="str">
            <v>Month 2</v>
          </cell>
          <cell r="BS149">
            <v>8.4866620443017182E-2</v>
          </cell>
          <cell r="BT149">
            <v>8.483742655913587E-2</v>
          </cell>
          <cell r="BU149">
            <v>9.3559099368682272E-2</v>
          </cell>
          <cell r="BV149">
            <v>0.18623508374995437</v>
          </cell>
          <cell r="CP149">
            <v>8.2277632762989106E-2</v>
          </cell>
          <cell r="CQ149">
            <v>8.4753875511363277E-2</v>
          </cell>
          <cell r="CR149">
            <v>9.2297480997389741E-2</v>
          </cell>
          <cell r="CS149">
            <v>0.1754239289292803</v>
          </cell>
          <cell r="CV149">
            <v>8.1852874333968956E-2</v>
          </cell>
          <cell r="CW149">
            <v>8.6333175297124864E-2</v>
          </cell>
          <cell r="CX149">
            <v>9.0068411742663196E-2</v>
          </cell>
          <cell r="CY149">
            <v>0.18233192056882172</v>
          </cell>
          <cell r="DB149">
            <v>8.3785638530164075E-2</v>
          </cell>
          <cell r="DC149">
            <v>8.7778401647014781E-2</v>
          </cell>
          <cell r="DD149">
            <v>8.8776592426227457E-2</v>
          </cell>
          <cell r="DE149">
            <v>0.18192026951151039</v>
          </cell>
          <cell r="DH149">
            <v>0</v>
          </cell>
          <cell r="DI149">
            <v>0</v>
          </cell>
          <cell r="DJ149">
            <v>0</v>
          </cell>
          <cell r="DK149">
            <v>0</v>
          </cell>
          <cell r="DN149">
            <v>8.3433639531200504E-2</v>
          </cell>
          <cell r="DO149">
            <v>8.4003801076971807E-2</v>
          </cell>
          <cell r="DP149">
            <v>8.1659803611023124E-2</v>
          </cell>
          <cell r="DQ149">
            <v>0.17706683560342096</v>
          </cell>
          <cell r="DT149">
            <v>8.4194977843426888E-2</v>
          </cell>
          <cell r="DU149">
            <v>8.7791407102947791E-2</v>
          </cell>
          <cell r="DV149">
            <v>8.445186564767837E-2</v>
          </cell>
          <cell r="DW149">
            <v>0.17802324834628477</v>
          </cell>
          <cell r="DZ149">
            <v>8.0002595380223196E-2</v>
          </cell>
          <cell r="EA149">
            <v>8.6750583960550215E-2</v>
          </cell>
          <cell r="EB149">
            <v>8.7723851544251233E-2</v>
          </cell>
          <cell r="EC149">
            <v>0.18050869452374774</v>
          </cell>
          <cell r="EF149">
            <v>8.4051724137931036E-2</v>
          </cell>
          <cell r="EG149">
            <v>8.8362068965517238E-2</v>
          </cell>
          <cell r="EH149">
            <v>8.6270283975659223E-2</v>
          </cell>
          <cell r="EI149">
            <v>0.18103448275862069</v>
          </cell>
          <cell r="EL149">
            <v>6.1232693166592231E-2</v>
          </cell>
          <cell r="EM149">
            <v>6.413577489950871E-2</v>
          </cell>
          <cell r="EN149">
            <v>0.11004912907548013</v>
          </cell>
          <cell r="EO149">
            <v>0.24381420276909335</v>
          </cell>
          <cell r="ER149">
            <v>8.3611420096403405E-2</v>
          </cell>
          <cell r="ES149">
            <v>8.776418242491657E-2</v>
          </cell>
          <cell r="ET149">
            <v>8.5391175380051906E-2</v>
          </cell>
          <cell r="EU149">
            <v>0.18527994067482387</v>
          </cell>
          <cell r="EX149">
            <v>8.695321704100635E-2</v>
          </cell>
          <cell r="EY149">
            <v>8.8207349979097779E-2</v>
          </cell>
          <cell r="EZ149">
            <v>8.6421160643028155E-2</v>
          </cell>
          <cell r="FA149">
            <v>0.17573062744650933</v>
          </cell>
          <cell r="FD149">
            <v>8.6051743532058494E-2</v>
          </cell>
          <cell r="FE149">
            <v>9.0350313353687928E-2</v>
          </cell>
          <cell r="FF149">
            <v>8.4083239595050624E-2</v>
          </cell>
          <cell r="FG149">
            <v>0.17664309818415555</v>
          </cell>
          <cell r="FJ149">
            <v>8.2184516659492057E-2</v>
          </cell>
          <cell r="FK149">
            <v>8.7574456599025657E-2</v>
          </cell>
          <cell r="FL149">
            <v>8.7221229690381485E-2</v>
          </cell>
          <cell r="FM149">
            <v>0.18726802038559062</v>
          </cell>
          <cell r="FP149">
            <v>8.686957565092189E-2</v>
          </cell>
          <cell r="FQ149">
            <v>8.9149302083749951E-2</v>
          </cell>
          <cell r="FR149">
            <v>8.7229532456105263E-2</v>
          </cell>
          <cell r="FS149">
            <v>0.18473783146022477</v>
          </cell>
          <cell r="FV149">
            <v>8.3544783185002844E-2</v>
          </cell>
          <cell r="FW149">
            <v>9.0588903616739255E-2</v>
          </cell>
          <cell r="FX149">
            <v>8.7028971785646655E-2</v>
          </cell>
          <cell r="FY149">
            <v>0.18651770498011741</v>
          </cell>
          <cell r="GB149">
            <v>8.5133051932008555E-2</v>
          </cell>
          <cell r="GC149">
            <v>8.7082663808314087E-2</v>
          </cell>
          <cell r="GD149">
            <v>8.4458488715419958E-2</v>
          </cell>
          <cell r="GE149">
            <v>0.18319104968155864</v>
          </cell>
        </row>
        <row r="150">
          <cell r="A150" t="str">
            <v>Month 3</v>
          </cell>
          <cell r="AN150" t="str">
            <v>Month 3</v>
          </cell>
          <cell r="BS150">
            <v>6.5569463197460126E-2</v>
          </cell>
          <cell r="BT150">
            <v>5.9373061343648503E-2</v>
          </cell>
          <cell r="BU150">
            <v>7.4488194723205489E-2</v>
          </cell>
          <cell r="BV150">
            <v>4.4206838667299207E-2</v>
          </cell>
          <cell r="CP150">
            <v>6.7713751443943093E-2</v>
          </cell>
          <cell r="CQ150">
            <v>6.2403870086604675E-2</v>
          </cell>
          <cell r="CR150">
            <v>7.2206727977075613E-2</v>
          </cell>
          <cell r="CS150">
            <v>4.7814460491802234E-2</v>
          </cell>
          <cell r="CV150">
            <v>7.0604459149875398E-2</v>
          </cell>
          <cell r="CW150">
            <v>6.4217647138568035E-2</v>
          </cell>
          <cell r="CX150">
            <v>6.9973942900060218E-2</v>
          </cell>
          <cell r="CY150">
            <v>5.0840294617372023E-2</v>
          </cell>
          <cell r="DB150">
            <v>6.7190716825753324E-2</v>
          </cell>
          <cell r="DC150">
            <v>6.3322727556304192E-2</v>
          </cell>
          <cell r="DD150">
            <v>6.8937550689375501E-2</v>
          </cell>
          <cell r="DE150">
            <v>4.8848961257720383E-2</v>
          </cell>
          <cell r="DH150">
            <v>0</v>
          </cell>
          <cell r="DI150">
            <v>0</v>
          </cell>
          <cell r="DJ150">
            <v>0</v>
          </cell>
          <cell r="DK150">
            <v>0</v>
          </cell>
          <cell r="DN150">
            <v>7.3614190687361414E-2</v>
          </cell>
          <cell r="DO150">
            <v>6.366803927779538E-2</v>
          </cell>
          <cell r="DP150">
            <v>6.702565726955971E-2</v>
          </cell>
          <cell r="DQ150">
            <v>4.9033892936331959E-2</v>
          </cell>
          <cell r="DT150">
            <v>7.0451480315971995E-2</v>
          </cell>
          <cell r="DU150">
            <v>6.229529253098709E-2</v>
          </cell>
          <cell r="DV150">
            <v>6.9552373001091766E-2</v>
          </cell>
          <cell r="DW150">
            <v>4.97720120737268E-2</v>
          </cell>
          <cell r="DZ150">
            <v>6.9815728004152602E-2</v>
          </cell>
          <cell r="EA150">
            <v>6.2483778873604984E-2</v>
          </cell>
          <cell r="EB150">
            <v>6.8647806903711389E-2</v>
          </cell>
          <cell r="EC150">
            <v>5.2815987542174932E-2</v>
          </cell>
          <cell r="EF150">
            <v>7.2515212981744417E-2</v>
          </cell>
          <cell r="EG150">
            <v>6.3704361054766734E-2</v>
          </cell>
          <cell r="EH150">
            <v>7.0233265720081137E-2</v>
          </cell>
          <cell r="EI150">
            <v>5.1850912778904662E-2</v>
          </cell>
          <cell r="EL150">
            <v>5.2389459580169717E-2</v>
          </cell>
          <cell r="EM150">
            <v>4.4573470299240733E-2</v>
          </cell>
          <cell r="EN150">
            <v>9.0352836087539079E-2</v>
          </cell>
          <cell r="EO150">
            <v>6.6770879857079052E-2</v>
          </cell>
          <cell r="ER150">
            <v>6.9632925472747492E-2</v>
          </cell>
          <cell r="ES150">
            <v>5.9621802002224694E-2</v>
          </cell>
          <cell r="ET150">
            <v>6.907675194660734E-2</v>
          </cell>
          <cell r="EU150">
            <v>6.5999258435298483E-2</v>
          </cell>
          <cell r="EX150">
            <v>6.9813400220423372E-2</v>
          </cell>
          <cell r="EY150">
            <v>6.0882453540075245E-2</v>
          </cell>
          <cell r="EZ150">
            <v>7.0269448561547529E-2</v>
          </cell>
          <cell r="FA150">
            <v>4.8379128187587883E-2</v>
          </cell>
          <cell r="FD150">
            <v>7.5044190904708347E-2</v>
          </cell>
          <cell r="FE150">
            <v>6.1987787240880603E-2</v>
          </cell>
          <cell r="FF150">
            <v>6.8857464245540734E-2</v>
          </cell>
          <cell r="FG150">
            <v>4.8730515828378597E-2</v>
          </cell>
          <cell r="FJ150">
            <v>7.2006840145461229E-2</v>
          </cell>
          <cell r="FK150">
            <v>5.899358867248948E-2</v>
          </cell>
          <cell r="FL150">
            <v>7.2220113734892177E-2</v>
          </cell>
          <cell r="FM150">
            <v>5.3084494474265165E-2</v>
          </cell>
          <cell r="FP150">
            <v>6.9551653801543808E-2</v>
          </cell>
          <cell r="FQ150">
            <v>6.11126664800224E-2</v>
          </cell>
          <cell r="FR150">
            <v>7.2231332240131188E-2</v>
          </cell>
          <cell r="FS150">
            <v>5.2393712754469461E-2</v>
          </cell>
          <cell r="FV150">
            <v>7.2713501230827496E-2</v>
          </cell>
          <cell r="FW150">
            <v>6.1049043741715582E-2</v>
          </cell>
          <cell r="FX150">
            <v>6.9759515243325132E-2</v>
          </cell>
          <cell r="FY150">
            <v>5.0596477939784133E-2</v>
          </cell>
          <cell r="GB150">
            <v>6.9608364768834807E-2</v>
          </cell>
          <cell r="GC150">
            <v>6.112394271454219E-2</v>
          </cell>
          <cell r="GD150">
            <v>6.9260704848515153E-2</v>
          </cell>
          <cell r="GE150">
            <v>6.3310724213773262E-2</v>
          </cell>
        </row>
        <row r="151">
          <cell r="A151" t="str">
            <v>Total</v>
          </cell>
          <cell r="AN151" t="str">
            <v>Total</v>
          </cell>
          <cell r="BS151">
            <v>0.2144290771083458</v>
          </cell>
          <cell r="BT151">
            <v>0.21390358719848193</v>
          </cell>
          <cell r="BU151">
            <v>0.24468853775134108</v>
          </cell>
          <cell r="BV151">
            <v>0.32697879794183116</v>
          </cell>
          <cell r="BW151">
            <v>1</v>
          </cell>
          <cell r="CP151">
            <v>0.21753920185845851</v>
          </cell>
          <cell r="CQ151">
            <v>0.22036007632954452</v>
          </cell>
          <cell r="CR151">
            <v>0.23907868452795028</v>
          </cell>
          <cell r="CS151">
            <v>0.32302203728404671</v>
          </cell>
          <cell r="CT151">
            <v>1</v>
          </cell>
          <cell r="CV151">
            <v>0.21333858628814734</v>
          </cell>
          <cell r="CW151">
            <v>0.22398327297365961</v>
          </cell>
          <cell r="CX151">
            <v>0.23170190878182992</v>
          </cell>
          <cell r="CY151">
            <v>0.33097623195636316</v>
          </cell>
          <cell r="CZ151">
            <v>1</v>
          </cell>
          <cell r="DB151">
            <v>0.21648262524174933</v>
          </cell>
          <cell r="DC151">
            <v>0.22515440763615946</v>
          </cell>
          <cell r="DD151">
            <v>0.23027013537962443</v>
          </cell>
          <cell r="DE151">
            <v>0.32809283174246678</v>
          </cell>
          <cell r="DF151">
            <v>1</v>
          </cell>
          <cell r="DH151">
            <v>0.214749368914533</v>
          </cell>
          <cell r="DI151">
            <v>0.2211203269623753</v>
          </cell>
          <cell r="DJ151">
            <v>0.22731097487678809</v>
          </cell>
          <cell r="DK151">
            <v>0.33681932924630364</v>
          </cell>
          <cell r="DL151">
            <v>1</v>
          </cell>
          <cell r="DN151">
            <v>0.22527716186252772</v>
          </cell>
          <cell r="DO151">
            <v>0.22096927462781121</v>
          </cell>
          <cell r="DP151">
            <v>0.22014570795058599</v>
          </cell>
          <cell r="DQ151">
            <v>0.325118783655369</v>
          </cell>
          <cell r="DR151">
            <v>1</v>
          </cell>
          <cell r="DT151">
            <v>0.22175839702010147</v>
          </cell>
          <cell r="DU151">
            <v>0.22387772140517628</v>
          </cell>
          <cell r="DV151">
            <v>0.22342816774773619</v>
          </cell>
          <cell r="DW151">
            <v>0.32220152848243527</v>
          </cell>
          <cell r="DX151">
            <v>1</v>
          </cell>
          <cell r="DZ151">
            <v>0.21353490786400209</v>
          </cell>
          <cell r="EA151">
            <v>0.22281339216195173</v>
          </cell>
          <cell r="EB151">
            <v>0.22618738645211522</v>
          </cell>
          <cell r="EC151">
            <v>0.32786140669608099</v>
          </cell>
          <cell r="ED151">
            <v>1</v>
          </cell>
          <cell r="EF151">
            <v>0.22502535496957404</v>
          </cell>
          <cell r="EG151">
            <v>0.22699036511156187</v>
          </cell>
          <cell r="EH151">
            <v>0.22344066937119675</v>
          </cell>
          <cell r="EI151">
            <v>0.32454361054766734</v>
          </cell>
          <cell r="EJ151">
            <v>1</v>
          </cell>
          <cell r="EL151">
            <v>0.16261723983921395</v>
          </cell>
          <cell r="EM151">
            <v>0.16181330951317552</v>
          </cell>
          <cell r="EN151">
            <v>0.24810183117463153</v>
          </cell>
          <cell r="EO151">
            <v>0.42746761947297901</v>
          </cell>
          <cell r="EP151">
            <v>1</v>
          </cell>
          <cell r="ER151">
            <v>0.21987393400074157</v>
          </cell>
          <cell r="ES151">
            <v>0.22228401928068223</v>
          </cell>
          <cell r="ET151">
            <v>0.21824249165739712</v>
          </cell>
          <cell r="EU151">
            <v>0.33959955506117911</v>
          </cell>
          <cell r="EV151">
            <v>1</v>
          </cell>
          <cell r="EX151">
            <v>0.22502185231634553</v>
          </cell>
          <cell r="EY151">
            <v>0.22391973549196215</v>
          </cell>
          <cell r="EZ151">
            <v>0.22445179188994033</v>
          </cell>
          <cell r="FA151">
            <v>0.32660662030175197</v>
          </cell>
          <cell r="FB151">
            <v>1</v>
          </cell>
          <cell r="FD151">
            <v>0.23087739032620921</v>
          </cell>
          <cell r="FE151">
            <v>0.22971235738389845</v>
          </cell>
          <cell r="FF151">
            <v>0.22067330869355617</v>
          </cell>
          <cell r="FG151">
            <v>0.3187369435963362</v>
          </cell>
          <cell r="FH151">
            <v>1</v>
          </cell>
          <cell r="FJ151">
            <v>0.22130152751621679</v>
          </cell>
          <cell r="FK151">
            <v>0.22117597823812513</v>
          </cell>
          <cell r="FL151">
            <v>0.22536095417451349</v>
          </cell>
          <cell r="FM151">
            <v>0.33216154007114457</v>
          </cell>
          <cell r="FN151">
            <v>1</v>
          </cell>
          <cell r="FP151">
            <v>0.22293324801023878</v>
          </cell>
          <cell r="FQ151">
            <v>0.22145342558892933</v>
          </cell>
          <cell r="FR151">
            <v>0.22489301283845939</v>
          </cell>
          <cell r="FS151">
            <v>0.33072031356237253</v>
          </cell>
          <cell r="FT151">
            <v>1</v>
          </cell>
          <cell r="FV151">
            <v>0.2230259420564287</v>
          </cell>
          <cell r="FW151">
            <v>0.22491952281764818</v>
          </cell>
          <cell r="FX151">
            <v>0.22166256390835068</v>
          </cell>
          <cell r="FY151">
            <v>0.33039197121757241</v>
          </cell>
          <cell r="FZ151">
            <v>1</v>
          </cell>
          <cell r="GB151">
            <v>0.22178640289157275</v>
          </cell>
          <cell r="GC151">
            <v>0.22088380480069056</v>
          </cell>
          <cell r="GD151">
            <v>0.2191395031910765</v>
          </cell>
          <cell r="GE151">
            <v>0.33819028911666016</v>
          </cell>
          <cell r="GF151">
            <v>1</v>
          </cell>
        </row>
        <row r="153">
          <cell r="A153" t="str">
            <v>Original Federated Doors Monthly Sales</v>
          </cell>
          <cell r="AN153" t="str">
            <v>Original Federated Doors Monthly Sales</v>
          </cell>
        </row>
        <row r="154">
          <cell r="A154" t="str">
            <v>Month 1</v>
          </cell>
          <cell r="AN154" t="str">
            <v>Month 1</v>
          </cell>
          <cell r="DZ154">
            <v>985</v>
          </cell>
          <cell r="EA154">
            <v>1137</v>
          </cell>
          <cell r="EB154">
            <v>1078</v>
          </cell>
          <cell r="EC154">
            <v>1460</v>
          </cell>
          <cell r="EF154">
            <v>1080</v>
          </cell>
          <cell r="EG154">
            <v>1182</v>
          </cell>
          <cell r="EH154">
            <v>1056</v>
          </cell>
          <cell r="EI154">
            <v>1446</v>
          </cell>
          <cell r="EL154">
            <v>1097</v>
          </cell>
          <cell r="EM154">
            <v>1189</v>
          </cell>
          <cell r="EN154">
            <v>1068</v>
          </cell>
        </row>
        <row r="155">
          <cell r="A155" t="str">
            <v>Month 2</v>
          </cell>
          <cell r="AN155" t="str">
            <v>Month 2</v>
          </cell>
          <cell r="DZ155">
            <v>1233</v>
          </cell>
          <cell r="EA155">
            <v>1337</v>
          </cell>
          <cell r="EB155">
            <v>1352</v>
          </cell>
          <cell r="EC155">
            <v>2782</v>
          </cell>
          <cell r="EF155">
            <v>1326</v>
          </cell>
          <cell r="EG155">
            <v>1394</v>
          </cell>
          <cell r="EH155">
            <v>1361</v>
          </cell>
          <cell r="EI155">
            <v>2856</v>
          </cell>
          <cell r="EL155">
            <v>1371</v>
          </cell>
          <cell r="EM155">
            <v>1436</v>
          </cell>
        </row>
        <row r="156">
          <cell r="A156" t="str">
            <v>Month 3</v>
          </cell>
          <cell r="AN156" t="str">
            <v>Month 3</v>
          </cell>
          <cell r="DZ156">
            <v>1076</v>
          </cell>
          <cell r="EA156">
            <v>963</v>
          </cell>
          <cell r="EB156">
            <v>1058</v>
          </cell>
          <cell r="EC156">
            <v>814</v>
          </cell>
          <cell r="EF156">
            <v>1144</v>
          </cell>
          <cell r="EG156">
            <v>1005</v>
          </cell>
          <cell r="EH156">
            <v>1108</v>
          </cell>
          <cell r="EI156">
            <v>818</v>
          </cell>
          <cell r="EL156">
            <v>1173</v>
          </cell>
          <cell r="EM156">
            <v>998</v>
          </cell>
        </row>
        <row r="157">
          <cell r="A157" t="str">
            <v>Total</v>
          </cell>
          <cell r="AN157" t="str">
            <v>Total</v>
          </cell>
          <cell r="DZ157">
            <v>3291</v>
          </cell>
          <cell r="EA157">
            <v>3434</v>
          </cell>
          <cell r="EB157">
            <v>3486</v>
          </cell>
          <cell r="EC157">
            <v>5053</v>
          </cell>
          <cell r="ED157">
            <v>15412</v>
          </cell>
          <cell r="EF157">
            <v>3550</v>
          </cell>
          <cell r="EG157">
            <v>3581</v>
          </cell>
          <cell r="EH157">
            <v>3525</v>
          </cell>
          <cell r="EI157">
            <v>5120</v>
          </cell>
          <cell r="EJ157">
            <v>15776</v>
          </cell>
          <cell r="EL157">
            <v>3641</v>
          </cell>
          <cell r="EM157">
            <v>3623</v>
          </cell>
        </row>
        <row r="159">
          <cell r="A159" t="str">
            <v>Original Federated Doors Monthly Comps</v>
          </cell>
          <cell r="AN159" t="str">
            <v>Original Federated Doors Monthly Comps</v>
          </cell>
        </row>
        <row r="160">
          <cell r="A160" t="str">
            <v>Month 1</v>
          </cell>
          <cell r="AN160" t="str">
            <v>Month 1</v>
          </cell>
          <cell r="DH160">
            <v>5.2999999999999999E-2</v>
          </cell>
          <cell r="DI160">
            <v>4.2000000000000003E-2</v>
          </cell>
          <cell r="DJ160">
            <v>1.0999999999999999E-2</v>
          </cell>
          <cell r="DK160">
            <v>1.4E-2</v>
          </cell>
          <cell r="DN160">
            <v>-1.6E-2</v>
          </cell>
          <cell r="DO160">
            <v>-3.3000000000000002E-2</v>
          </cell>
          <cell r="DP160">
            <v>-2.5999999999999999E-2</v>
          </cell>
          <cell r="DQ160">
            <v>8.9999999999999993E-3</v>
          </cell>
          <cell r="DT160">
            <v>-2.8000000000000001E-2</v>
          </cell>
          <cell r="DU160">
            <v>-3.4000000000000002E-2</v>
          </cell>
          <cell r="DV160">
            <v>-5.8000000000000003E-2</v>
          </cell>
          <cell r="DW160">
            <v>-7.3999999999999996E-2</v>
          </cell>
          <cell r="DZ160">
            <v>-6.8000000000000005E-2</v>
          </cell>
          <cell r="EA160">
            <v>-8.0000000000000002E-3</v>
          </cell>
          <cell r="EB160">
            <v>-8.0000000000000002E-3</v>
          </cell>
          <cell r="EC160">
            <v>-1E-3</v>
          </cell>
          <cell r="EF160">
            <v>0.09</v>
          </cell>
          <cell r="EG160">
            <v>2.9000000000000001E-2</v>
          </cell>
          <cell r="EH160">
            <v>-2.4E-2</v>
          </cell>
          <cell r="EI160">
            <v>-1.4E-2</v>
          </cell>
          <cell r="EL160">
            <v>1.7999999999999999E-2</v>
          </cell>
          <cell r="EM160">
            <v>8.0000000000000002E-3</v>
          </cell>
          <cell r="EN160">
            <v>1.0999999999999999E-2</v>
          </cell>
          <cell r="EO160">
            <v>-3.4000000000000002E-2</v>
          </cell>
          <cell r="ER160">
            <v>0.01</v>
          </cell>
          <cell r="ES160">
            <v>9.1999999999999998E-2</v>
          </cell>
          <cell r="ET160">
            <v>3.7999999999999999E-2</v>
          </cell>
          <cell r="EU160">
            <v>8.5000000000000006E-2</v>
          </cell>
          <cell r="EX160">
            <v>1.2E-2</v>
          </cell>
          <cell r="EY160">
            <v>-3.3000000000000002E-2</v>
          </cell>
          <cell r="EZ160">
            <v>2.4E-2</v>
          </cell>
          <cell r="FA160">
            <v>0.13400000000000001</v>
          </cell>
          <cell r="FD160">
            <v>-3.5000000000000003E-2</v>
          </cell>
          <cell r="FE160">
            <v>-1.4999999999999999E-2</v>
          </cell>
          <cell r="FF160">
            <v>-4.8000000000000001E-2</v>
          </cell>
          <cell r="FG160">
            <v>-0.13300000000000001</v>
          </cell>
          <cell r="FJ160">
            <v>-8.5000000000000006E-2</v>
          </cell>
          <cell r="FK160">
            <v>-9.0999999999999998E-2</v>
          </cell>
          <cell r="FL160">
            <v>-8.1000000000000003E-2</v>
          </cell>
          <cell r="FM160">
            <v>-6.0999999999999999E-2</v>
          </cell>
          <cell r="FP160">
            <v>3.6999999999999998E-2</v>
          </cell>
          <cell r="FQ160">
            <v>1.4E-2</v>
          </cell>
          <cell r="FR160">
            <v>4.2999999999999997E-2</v>
          </cell>
          <cell r="FS160">
            <v>6.0999999999999999E-2</v>
          </cell>
          <cell r="FV160">
            <v>5.8000000000000003E-2</v>
          </cell>
          <cell r="FW160">
            <v>7.3999999999999996E-2</v>
          </cell>
          <cell r="FX160">
            <v>0.05</v>
          </cell>
          <cell r="FY160">
            <v>4.8000000000000001E-2</v>
          </cell>
          <cell r="GB160">
            <v>4.5999999999999999E-2</v>
          </cell>
          <cell r="GC160">
            <v>4.2000000000000003E-2</v>
          </cell>
          <cell r="GD160">
            <v>5.0999999999999997E-2</v>
          </cell>
          <cell r="GE160">
            <v>0.04</v>
          </cell>
        </row>
        <row r="161">
          <cell r="A161" t="str">
            <v>Month 2</v>
          </cell>
          <cell r="AN161" t="str">
            <v>Month 2</v>
          </cell>
          <cell r="DH161">
            <v>-6.0000000000000001E-3</v>
          </cell>
          <cell r="DI161">
            <v>5.0000000000000001E-3</v>
          </cell>
          <cell r="DJ161">
            <v>2.9000000000000001E-2</v>
          </cell>
          <cell r="DK161">
            <v>1.2E-2</v>
          </cell>
          <cell r="DN161">
            <v>-3.2000000000000001E-2</v>
          </cell>
          <cell r="DO161">
            <v>-6.4000000000000001E-2</v>
          </cell>
          <cell r="DP161">
            <v>-0.129</v>
          </cell>
          <cell r="DQ161">
            <v>-8.6999999999999994E-2</v>
          </cell>
          <cell r="DT161">
            <v>-2E-3</v>
          </cell>
          <cell r="DU161">
            <v>-4.0000000000000001E-3</v>
          </cell>
          <cell r="DV161">
            <v>0</v>
          </cell>
          <cell r="DW161">
            <v>-2.5999999999999999E-2</v>
          </cell>
          <cell r="DZ161">
            <v>-6.5000000000000002E-2</v>
          </cell>
          <cell r="EA161">
            <v>-0.02</v>
          </cell>
          <cell r="EB161">
            <v>3.2000000000000001E-2</v>
          </cell>
          <cell r="EC161">
            <v>1.2E-2</v>
          </cell>
          <cell r="EF161">
            <v>6.8000000000000005E-2</v>
          </cell>
          <cell r="EG161">
            <v>3.4000000000000002E-2</v>
          </cell>
          <cell r="EH161">
            <v>1E-3</v>
          </cell>
          <cell r="EI161">
            <v>2.3E-2</v>
          </cell>
          <cell r="EL161">
            <v>3.4000000000000002E-2</v>
          </cell>
          <cell r="EM161">
            <v>2.9000000000000001E-2</v>
          </cell>
          <cell r="EN161">
            <v>1.2999999999999999E-2</v>
          </cell>
          <cell r="EO161">
            <v>3.4000000000000002E-2</v>
          </cell>
          <cell r="ER161">
            <v>0</v>
          </cell>
          <cell r="ES161">
            <v>1.7000000000000001E-2</v>
          </cell>
          <cell r="ET161">
            <v>6.5000000000000002E-2</v>
          </cell>
          <cell r="EU161">
            <v>4.3999999999999997E-2</v>
          </cell>
          <cell r="EX161">
            <v>2.3E-2</v>
          </cell>
          <cell r="EY161">
            <v>-2.7E-2</v>
          </cell>
          <cell r="EZ161">
            <v>-2.7E-2</v>
          </cell>
          <cell r="FA161">
            <v>-7.9000000000000001E-2</v>
          </cell>
          <cell r="FD161">
            <v>-6.2E-2</v>
          </cell>
          <cell r="FE161">
            <v>-2.1000000000000001E-2</v>
          </cell>
          <cell r="FF161">
            <v>-6.6000000000000003E-2</v>
          </cell>
          <cell r="FG161">
            <v>-0.04</v>
          </cell>
          <cell r="FJ161">
            <v>-9.1999999999999998E-2</v>
          </cell>
          <cell r="FK161">
            <v>-8.8999999999999996E-2</v>
          </cell>
          <cell r="FL161">
            <v>-2.3E-2</v>
          </cell>
          <cell r="FM161">
            <v>0.01</v>
          </cell>
          <cell r="FP161">
            <v>0.10800000000000001</v>
          </cell>
          <cell r="FQ161">
            <v>6.5000000000000002E-2</v>
          </cell>
          <cell r="FR161">
            <v>4.8000000000000001E-2</v>
          </cell>
          <cell r="FS161">
            <v>3.9E-2</v>
          </cell>
          <cell r="FV161">
            <v>8.9999999999999993E-3</v>
          </cell>
          <cell r="FW161">
            <v>6.7000000000000004E-2</v>
          </cell>
          <cell r="FX161">
            <v>4.9000000000000002E-2</v>
          </cell>
          <cell r="FY161">
            <v>6.2E-2</v>
          </cell>
          <cell r="GB161">
            <v>7.2999999999999995E-2</v>
          </cell>
          <cell r="GC161">
            <v>1.2E-2</v>
          </cell>
          <cell r="GD161">
            <v>0.03</v>
          </cell>
          <cell r="GE161">
            <v>0.04</v>
          </cell>
        </row>
        <row r="162">
          <cell r="A162" t="str">
            <v>Month 3</v>
          </cell>
          <cell r="AN162" t="str">
            <v>Month 3</v>
          </cell>
          <cell r="DH162">
            <v>5.1999999999999998E-2</v>
          </cell>
          <cell r="DI162">
            <v>1.6E-2</v>
          </cell>
          <cell r="DJ162">
            <v>1.6E-2</v>
          </cell>
          <cell r="DK162">
            <v>3.6999999999999998E-2</v>
          </cell>
          <cell r="DN162">
            <v>8.0000000000000002E-3</v>
          </cell>
          <cell r="DO162">
            <v>-4.2000000000000003E-2</v>
          </cell>
          <cell r="DP162">
            <v>-8.6999999999999994E-2</v>
          </cell>
          <cell r="DQ162">
            <v>-8.7999999999999995E-2</v>
          </cell>
          <cell r="DT162">
            <v>-5.8999999999999997E-2</v>
          </cell>
          <cell r="DU162">
            <v>-5.1999999999999998E-2</v>
          </cell>
          <cell r="DV162">
            <v>3.0000000000000001E-3</v>
          </cell>
          <cell r="DW162">
            <v>-1.2E-2</v>
          </cell>
          <cell r="DZ162">
            <v>-1.3999999999999999E-2</v>
          </cell>
          <cell r="EA162">
            <v>-4.0000000000000001E-3</v>
          </cell>
          <cell r="EB162">
            <v>-0.02</v>
          </cell>
          <cell r="EC162">
            <v>5.5E-2</v>
          </cell>
          <cell r="EF162">
            <v>5.3999999999999999E-2</v>
          </cell>
          <cell r="EG162">
            <v>3.6999999999999998E-2</v>
          </cell>
          <cell r="EH162">
            <v>0.04</v>
          </cell>
          <cell r="EI162">
            <v>-4.0000000000000001E-3</v>
          </cell>
          <cell r="EL162">
            <v>2.8000000000000001E-2</v>
          </cell>
          <cell r="EM162">
            <v>-8.9999999999999993E-3</v>
          </cell>
          <cell r="EN162">
            <v>-7.0000000000000001E-3</v>
          </cell>
          <cell r="EO162">
            <v>0.01</v>
          </cell>
          <cell r="ER162">
            <v>-8.0000000000000002E-3</v>
          </cell>
          <cell r="ES162">
            <v>3.3000000000000002E-2</v>
          </cell>
          <cell r="ET162">
            <v>7.6999999999999999E-2</v>
          </cell>
          <cell r="EU162">
            <v>8.5999999999999993E-2</v>
          </cell>
          <cell r="EX162">
            <v>-2.1999999999999999E-2</v>
          </cell>
          <cell r="EY162">
            <v>-1.4E-2</v>
          </cell>
          <cell r="EZ162">
            <v>-1.4999999999999999E-2</v>
          </cell>
          <cell r="FA162">
            <v>-7.0999999999999994E-2</v>
          </cell>
          <cell r="FD162">
            <v>0.03</v>
          </cell>
          <cell r="FE162">
            <v>-2.9000000000000001E-2</v>
          </cell>
          <cell r="FF162">
            <v>-6.3E-2</v>
          </cell>
          <cell r="FG162">
            <v>-4.4999999999999998E-2</v>
          </cell>
          <cell r="FJ162">
            <v>-9.0999999999999998E-2</v>
          </cell>
          <cell r="FK162">
            <v>-0.107</v>
          </cell>
          <cell r="FL162">
            <v>-8.0000000000000002E-3</v>
          </cell>
          <cell r="FM162">
            <v>3.4000000000000002E-2</v>
          </cell>
          <cell r="FP162">
            <v>1.0999999999999999E-2</v>
          </cell>
          <cell r="FQ162">
            <v>7.2999999999999995E-2</v>
          </cell>
          <cell r="FR162">
            <v>2.5000000000000001E-2</v>
          </cell>
          <cell r="FS162">
            <v>2.5999999999999999E-2</v>
          </cell>
          <cell r="FV162">
            <v>0.108</v>
          </cell>
          <cell r="FW162">
            <v>0.05</v>
          </cell>
          <cell r="FX162">
            <v>2.1999999999999999E-2</v>
          </cell>
          <cell r="FY162">
            <v>2.4E-2</v>
          </cell>
          <cell r="GB162">
            <v>1.2E-2</v>
          </cell>
          <cell r="GC162">
            <v>4.1000000000000002E-2</v>
          </cell>
          <cell r="GD162">
            <v>5.5E-2</v>
          </cell>
          <cell r="GE162">
            <v>0.05</v>
          </cell>
        </row>
        <row r="163">
          <cell r="A163" t="str">
            <v>Total</v>
          </cell>
          <cell r="AN163" t="str">
            <v>Total</v>
          </cell>
          <cell r="DH163">
            <v>2.9000000000000001E-2</v>
          </cell>
          <cell r="DI163">
            <v>1.9E-2</v>
          </cell>
          <cell r="DJ163">
            <v>1.9E-2</v>
          </cell>
          <cell r="DK163">
            <v>1.6E-2</v>
          </cell>
          <cell r="DL163">
            <v>0.02</v>
          </cell>
          <cell r="DN163">
            <v>-1.4999999999999999E-2</v>
          </cell>
          <cell r="DO163">
            <v>-4.8000000000000001E-2</v>
          </cell>
          <cell r="DP163">
            <v>-8.5999999999999993E-2</v>
          </cell>
          <cell r="DQ163">
            <v>-0.06</v>
          </cell>
          <cell r="DR163">
            <v>-5.2999999999999999E-2</v>
          </cell>
          <cell r="DT163">
            <v>-2.9000000000000001E-2</v>
          </cell>
          <cell r="DU163">
            <v>-2.8000000000000001E-2</v>
          </cell>
          <cell r="DV163">
            <v>-0.02</v>
          </cell>
          <cell r="DW163">
            <v>-3.9E-2</v>
          </cell>
          <cell r="DX163">
            <v>-0.03</v>
          </cell>
          <cell r="DZ163">
            <v>-0.05</v>
          </cell>
          <cell r="EA163">
            <v>-1.2E-2</v>
          </cell>
          <cell r="EB163">
            <v>2E-3</v>
          </cell>
          <cell r="EC163">
            <v>1.3999999999999999E-2</v>
          </cell>
          <cell r="ED163">
            <v>-9.0000000000000011E-3</v>
          </cell>
          <cell r="EF163">
            <v>6.9000000000000006E-2</v>
          </cell>
          <cell r="EG163">
            <v>3.3000000000000002E-2</v>
          </cell>
          <cell r="EH163">
            <v>4.0000000000000001E-3</v>
          </cell>
          <cell r="EI163">
            <v>8.0000000000000002E-3</v>
          </cell>
          <cell r="EJ163">
            <v>2.5999999999999999E-2</v>
          </cell>
          <cell r="EL163">
            <v>2.5999999999999999E-2</v>
          </cell>
          <cell r="EM163">
            <v>1.0999999999999999E-2</v>
          </cell>
          <cell r="EN163">
            <v>6.0000000000000001E-3</v>
          </cell>
          <cell r="EO163">
            <v>1.0999999999999999E-2</v>
          </cell>
          <cell r="EP163">
            <v>1.2999999999999999E-2</v>
          </cell>
          <cell r="ER163">
            <v>0</v>
          </cell>
          <cell r="ES163">
            <v>4.5999999999999999E-2</v>
          </cell>
          <cell r="ET163">
            <v>5.8999999999999997E-2</v>
          </cell>
          <cell r="EU163">
            <v>6.0999999999999999E-2</v>
          </cell>
          <cell r="EV163">
            <v>4.3999999999999997E-2</v>
          </cell>
          <cell r="EX163">
            <v>6.0000000000000001E-3</v>
          </cell>
          <cell r="EY163">
            <v>-2.5999999999999999E-2</v>
          </cell>
          <cell r="EZ163">
            <v>-8.0000000000000002E-3</v>
          </cell>
          <cell r="FA163">
            <v>-0.02</v>
          </cell>
          <cell r="FB163">
            <v>-1.2999999999999999E-2</v>
          </cell>
          <cell r="FD163">
            <v>-2.5999999999999999E-2</v>
          </cell>
          <cell r="FE163">
            <v>-2.1000000000000001E-2</v>
          </cell>
          <cell r="FF163">
            <v>-0.06</v>
          </cell>
          <cell r="FG163">
            <v>-7.0000000000000007E-2</v>
          </cell>
          <cell r="FH163">
            <v>-4.4999999999999998E-2</v>
          </cell>
          <cell r="FJ163">
            <v>-0.09</v>
          </cell>
          <cell r="FK163">
            <v>-9.5000000000000001E-2</v>
          </cell>
          <cell r="FL163">
            <v>-3.5999999999999997E-2</v>
          </cell>
          <cell r="FM163">
            <v>-8.0000000000000002E-3</v>
          </cell>
          <cell r="FN163">
            <v>-5.2999999999999999E-2</v>
          </cell>
          <cell r="FP163">
            <v>5.5E-2</v>
          </cell>
          <cell r="FQ163">
            <v>4.9000000000000002E-2</v>
          </cell>
          <cell r="FR163">
            <v>3.9E-2</v>
          </cell>
          <cell r="FS163">
            <v>4.2999999999999997E-2</v>
          </cell>
          <cell r="FT163">
            <v>4.610434747830261E-2</v>
          </cell>
          <cell r="FV163">
            <v>5.3999999999999999E-2</v>
          </cell>
          <cell r="FW163">
            <v>6.4000000000000001E-2</v>
          </cell>
          <cell r="FX163">
            <v>0.04</v>
          </cell>
          <cell r="FY163">
            <v>5.1999999999999998E-2</v>
          </cell>
          <cell r="FZ163">
            <v>5.2999999999999999E-2</v>
          </cell>
          <cell r="GB163">
            <v>4.3999999999999997E-2</v>
          </cell>
          <cell r="GC163">
            <v>0.03</v>
          </cell>
          <cell r="GD163">
            <v>4.4170626829774157E-2</v>
          </cell>
          <cell r="GE163">
            <v>4.1872044415560798E-2</v>
          </cell>
          <cell r="GF163">
            <v>4.02253638971692E-2</v>
          </cell>
        </row>
        <row r="165">
          <cell r="A165" t="str">
            <v>Original Federated Doors Store Count (Estimated)</v>
          </cell>
          <cell r="AN165" t="str">
            <v>Original Federated Doors Store Count (Estimated)</v>
          </cell>
        </row>
        <row r="166">
          <cell r="A166" t="str">
            <v>Month 1</v>
          </cell>
          <cell r="AN166" t="str">
            <v>Month 1</v>
          </cell>
          <cell r="DZ166">
            <v>456</v>
          </cell>
          <cell r="EA166">
            <v>456</v>
          </cell>
          <cell r="EB166">
            <v>460</v>
          </cell>
          <cell r="EC166">
            <v>465</v>
          </cell>
          <cell r="EF166">
            <v>458</v>
          </cell>
          <cell r="EG166">
            <v>457</v>
          </cell>
          <cell r="EH166">
            <v>457</v>
          </cell>
          <cell r="EI166">
            <v>459</v>
          </cell>
          <cell r="EL166">
            <v>459</v>
          </cell>
          <cell r="EM166">
            <v>460</v>
          </cell>
          <cell r="EN166">
            <v>459</v>
          </cell>
          <cell r="EO166">
            <v>444</v>
          </cell>
          <cell r="ER166">
            <v>410</v>
          </cell>
          <cell r="ES166">
            <v>406</v>
          </cell>
          <cell r="ET166">
            <v>402</v>
          </cell>
          <cell r="EU166">
            <v>408</v>
          </cell>
          <cell r="EX166">
            <v>407</v>
          </cell>
          <cell r="EY166">
            <v>412</v>
          </cell>
          <cell r="EZ166">
            <v>413</v>
          </cell>
          <cell r="FA166">
            <v>415</v>
          </cell>
          <cell r="FD166">
            <v>415</v>
          </cell>
          <cell r="FE166">
            <v>415</v>
          </cell>
          <cell r="FF166">
            <v>419</v>
          </cell>
          <cell r="FG166">
            <v>422</v>
          </cell>
          <cell r="FJ166">
            <v>410</v>
          </cell>
          <cell r="FK166">
            <v>411</v>
          </cell>
          <cell r="FL166">
            <v>412</v>
          </cell>
          <cell r="FM166">
            <v>417</v>
          </cell>
          <cell r="FP166">
            <v>413</v>
          </cell>
          <cell r="FQ166">
            <v>413</v>
          </cell>
          <cell r="FR166">
            <v>412</v>
          </cell>
          <cell r="FS166">
            <v>417</v>
          </cell>
          <cell r="FV166">
            <v>413</v>
          </cell>
          <cell r="FW166">
            <v>413</v>
          </cell>
          <cell r="FX166">
            <v>412</v>
          </cell>
          <cell r="FY166">
            <v>414</v>
          </cell>
          <cell r="GB166">
            <v>405</v>
          </cell>
          <cell r="GC166">
            <v>407</v>
          </cell>
          <cell r="GD166">
            <v>409</v>
          </cell>
          <cell r="GE166">
            <v>410</v>
          </cell>
        </row>
        <row r="167">
          <cell r="A167" t="str">
            <v>Month 2</v>
          </cell>
          <cell r="AN167" t="str">
            <v>Month 2</v>
          </cell>
          <cell r="DZ167">
            <v>456</v>
          </cell>
          <cell r="EA167">
            <v>455</v>
          </cell>
          <cell r="EB167">
            <v>460</v>
          </cell>
          <cell r="EC167">
            <v>465</v>
          </cell>
          <cell r="EF167">
            <v>458</v>
          </cell>
          <cell r="EG167">
            <v>457</v>
          </cell>
          <cell r="EH167">
            <v>458</v>
          </cell>
          <cell r="EI167">
            <v>459</v>
          </cell>
          <cell r="EL167">
            <v>459</v>
          </cell>
          <cell r="EM167">
            <v>460</v>
          </cell>
          <cell r="EN167">
            <v>446</v>
          </cell>
          <cell r="EO167">
            <v>443</v>
          </cell>
          <cell r="ER167">
            <v>406</v>
          </cell>
          <cell r="ES167">
            <v>405</v>
          </cell>
          <cell r="ET167">
            <v>403</v>
          </cell>
          <cell r="EU167">
            <v>408</v>
          </cell>
          <cell r="EX167">
            <v>408</v>
          </cell>
          <cell r="EY167">
            <v>412</v>
          </cell>
          <cell r="EZ167">
            <v>415</v>
          </cell>
          <cell r="FA167">
            <v>415</v>
          </cell>
          <cell r="FD167">
            <v>416</v>
          </cell>
          <cell r="FE167">
            <v>416</v>
          </cell>
          <cell r="FF167">
            <v>416</v>
          </cell>
          <cell r="FG167">
            <v>422</v>
          </cell>
          <cell r="FJ167">
            <v>410</v>
          </cell>
          <cell r="FK167">
            <v>411</v>
          </cell>
          <cell r="FL167">
            <v>415</v>
          </cell>
          <cell r="FM167">
            <v>417</v>
          </cell>
          <cell r="FP167">
            <v>413</v>
          </cell>
          <cell r="FQ167">
            <v>413</v>
          </cell>
          <cell r="FR167">
            <v>415</v>
          </cell>
          <cell r="FS167">
            <v>417</v>
          </cell>
          <cell r="FV167">
            <v>413</v>
          </cell>
          <cell r="FW167">
            <v>413</v>
          </cell>
          <cell r="FX167">
            <v>412</v>
          </cell>
          <cell r="FY167">
            <v>413</v>
          </cell>
          <cell r="GB167">
            <v>407</v>
          </cell>
          <cell r="GC167">
            <v>409</v>
          </cell>
          <cell r="GD167">
            <v>410</v>
          </cell>
          <cell r="GE167">
            <v>411</v>
          </cell>
        </row>
        <row r="168">
          <cell r="A168" t="str">
            <v>Month 3</v>
          </cell>
          <cell r="AN168" t="str">
            <v>Month 3</v>
          </cell>
          <cell r="DZ168">
            <v>456</v>
          </cell>
          <cell r="EA168">
            <v>460</v>
          </cell>
          <cell r="EB168">
            <v>465</v>
          </cell>
          <cell r="EC168">
            <v>459</v>
          </cell>
          <cell r="EF168">
            <v>459</v>
          </cell>
          <cell r="EG168">
            <v>457</v>
          </cell>
          <cell r="EH168">
            <v>459</v>
          </cell>
          <cell r="EI168">
            <v>459</v>
          </cell>
          <cell r="EL168">
            <v>459</v>
          </cell>
          <cell r="EM168">
            <v>460</v>
          </cell>
          <cell r="EN168">
            <v>444</v>
          </cell>
          <cell r="EO168">
            <v>410</v>
          </cell>
          <cell r="ER168">
            <v>406</v>
          </cell>
          <cell r="ES168">
            <v>403</v>
          </cell>
          <cell r="ET168">
            <v>405</v>
          </cell>
          <cell r="EU168">
            <v>407</v>
          </cell>
          <cell r="EX168">
            <v>412</v>
          </cell>
          <cell r="EY168">
            <v>412</v>
          </cell>
          <cell r="EZ168">
            <v>415</v>
          </cell>
          <cell r="FA168">
            <v>415</v>
          </cell>
          <cell r="FD168">
            <v>414</v>
          </cell>
          <cell r="FE168">
            <v>418</v>
          </cell>
          <cell r="FF168">
            <v>419</v>
          </cell>
          <cell r="FG168">
            <v>410</v>
          </cell>
          <cell r="FJ168">
            <v>411</v>
          </cell>
          <cell r="FK168">
            <v>411</v>
          </cell>
          <cell r="FL168">
            <v>417</v>
          </cell>
          <cell r="FM168">
            <v>413</v>
          </cell>
          <cell r="FP168">
            <v>412</v>
          </cell>
          <cell r="FQ168">
            <v>412</v>
          </cell>
          <cell r="FR168">
            <v>417</v>
          </cell>
          <cell r="FS168">
            <v>413</v>
          </cell>
          <cell r="FV168">
            <v>413</v>
          </cell>
          <cell r="FW168">
            <v>412</v>
          </cell>
          <cell r="FX168">
            <v>413</v>
          </cell>
          <cell r="FY168">
            <v>405</v>
          </cell>
          <cell r="GB168">
            <v>407</v>
          </cell>
          <cell r="GC168">
            <v>408</v>
          </cell>
          <cell r="GD168">
            <v>410</v>
          </cell>
          <cell r="GE168">
            <v>407</v>
          </cell>
        </row>
        <row r="169">
          <cell r="A169" t="str">
            <v>Total</v>
          </cell>
          <cell r="AN169" t="str">
            <v>Total</v>
          </cell>
          <cell r="DZ169">
            <v>456</v>
          </cell>
          <cell r="EA169">
            <v>460</v>
          </cell>
          <cell r="EB169">
            <v>465</v>
          </cell>
          <cell r="EC169">
            <v>459</v>
          </cell>
          <cell r="ED169">
            <v>459</v>
          </cell>
          <cell r="EF169">
            <v>459</v>
          </cell>
          <cell r="EG169">
            <v>457</v>
          </cell>
          <cell r="EH169">
            <v>459</v>
          </cell>
          <cell r="EI169">
            <v>459</v>
          </cell>
          <cell r="EJ169">
            <v>459</v>
          </cell>
          <cell r="EL169">
            <v>459</v>
          </cell>
          <cell r="EM169">
            <v>460</v>
          </cell>
          <cell r="EN169">
            <v>444</v>
          </cell>
          <cell r="EO169">
            <v>410</v>
          </cell>
          <cell r="EP169">
            <v>410</v>
          </cell>
          <cell r="ER169">
            <v>406</v>
          </cell>
          <cell r="ES169">
            <v>403</v>
          </cell>
          <cell r="ET169">
            <v>405</v>
          </cell>
          <cell r="EU169">
            <v>407</v>
          </cell>
          <cell r="EV169">
            <v>407</v>
          </cell>
          <cell r="EX169">
            <v>412</v>
          </cell>
          <cell r="EY169">
            <v>412</v>
          </cell>
          <cell r="EZ169">
            <v>415</v>
          </cell>
          <cell r="FA169">
            <v>415</v>
          </cell>
          <cell r="FB169">
            <v>415</v>
          </cell>
          <cell r="FD169">
            <v>414</v>
          </cell>
          <cell r="FE169">
            <v>418</v>
          </cell>
          <cell r="FF169">
            <v>419</v>
          </cell>
          <cell r="FG169">
            <v>410</v>
          </cell>
          <cell r="FH169">
            <v>410</v>
          </cell>
          <cell r="FJ169">
            <v>411</v>
          </cell>
          <cell r="FK169">
            <v>411</v>
          </cell>
          <cell r="FL169">
            <v>417</v>
          </cell>
          <cell r="FM169">
            <v>413</v>
          </cell>
          <cell r="FN169">
            <v>413</v>
          </cell>
          <cell r="FP169">
            <v>412</v>
          </cell>
          <cell r="FQ169">
            <v>412</v>
          </cell>
          <cell r="FR169">
            <v>417</v>
          </cell>
          <cell r="FS169">
            <v>413</v>
          </cell>
          <cell r="FT169">
            <v>413</v>
          </cell>
          <cell r="FV169">
            <v>413</v>
          </cell>
          <cell r="FW169">
            <v>412</v>
          </cell>
          <cell r="FX169">
            <v>413</v>
          </cell>
          <cell r="FY169">
            <v>405</v>
          </cell>
          <cell r="FZ169">
            <v>405</v>
          </cell>
          <cell r="GB169">
            <v>407</v>
          </cell>
          <cell r="GC169">
            <v>408</v>
          </cell>
          <cell r="GD169">
            <v>410</v>
          </cell>
          <cell r="GE169">
            <v>407</v>
          </cell>
          <cell r="GF169">
            <v>407</v>
          </cell>
        </row>
        <row r="171">
          <cell r="A171" t="str">
            <v>May Co. Monthly Sales ($)</v>
          </cell>
          <cell r="AN171" t="str">
            <v>May Co. Monthly Sales ($)</v>
          </cell>
        </row>
        <row r="172">
          <cell r="A172" t="str">
            <v>Month 1</v>
          </cell>
          <cell r="AN172" t="str">
            <v>Month 1</v>
          </cell>
          <cell r="DZ172">
            <v>846</v>
          </cell>
          <cell r="EA172">
            <v>1005</v>
          </cell>
          <cell r="EB172">
            <v>953.8</v>
          </cell>
          <cell r="EC172">
            <v>1260.8</v>
          </cell>
          <cell r="EF172">
            <v>880.4</v>
          </cell>
          <cell r="EG172">
            <v>977.8</v>
          </cell>
          <cell r="EH172">
            <v>1053.9000000000001</v>
          </cell>
          <cell r="EI172">
            <v>1386.9</v>
          </cell>
          <cell r="EL172">
            <v>1007.8</v>
          </cell>
          <cell r="EM172">
            <v>1119.3</v>
          </cell>
          <cell r="EN172">
            <v>1027</v>
          </cell>
        </row>
        <row r="173">
          <cell r="A173" t="str">
            <v>Month 2</v>
          </cell>
          <cell r="AN173" t="str">
            <v>Month 2</v>
          </cell>
          <cell r="DZ173">
            <v>1060</v>
          </cell>
          <cell r="EA173">
            <v>1131.9000000000001</v>
          </cell>
          <cell r="EB173">
            <v>1135</v>
          </cell>
          <cell r="EC173">
            <v>2517</v>
          </cell>
          <cell r="EF173">
            <v>1161</v>
          </cell>
          <cell r="EG173">
            <v>1160</v>
          </cell>
          <cell r="EH173">
            <v>1339</v>
          </cell>
          <cell r="EI173">
            <v>2844.1</v>
          </cell>
          <cell r="EL173">
            <v>1280</v>
          </cell>
          <cell r="EM173">
            <v>1398.7</v>
          </cell>
        </row>
        <row r="174">
          <cell r="A174" t="str">
            <v>Month 3</v>
          </cell>
          <cell r="AN174" t="str">
            <v>Month 3</v>
          </cell>
          <cell r="DZ174">
            <v>967.4</v>
          </cell>
          <cell r="EA174">
            <v>863.4</v>
          </cell>
          <cell r="EB174">
            <v>887.2</v>
          </cell>
          <cell r="EC174">
            <v>715.4</v>
          </cell>
          <cell r="EF174">
            <v>901.5</v>
          </cell>
          <cell r="EG174">
            <v>817.9</v>
          </cell>
          <cell r="EH174">
            <v>1090.3</v>
          </cell>
          <cell r="EI174">
            <v>808</v>
          </cell>
          <cell r="EL174">
            <v>1080</v>
          </cell>
          <cell r="EM174">
            <v>927.4</v>
          </cell>
        </row>
        <row r="175">
          <cell r="A175" t="str">
            <v>Total</v>
          </cell>
          <cell r="AN175" t="str">
            <v>Total</v>
          </cell>
          <cell r="DZ175">
            <v>2873.4</v>
          </cell>
          <cell r="EA175">
            <v>3000.3</v>
          </cell>
          <cell r="EB175">
            <v>2976</v>
          </cell>
          <cell r="EC175">
            <v>4493.2</v>
          </cell>
          <cell r="ED175">
            <v>13342.900000000001</v>
          </cell>
          <cell r="EF175">
            <v>2963</v>
          </cell>
          <cell r="EG175">
            <v>2955.7</v>
          </cell>
          <cell r="EH175">
            <v>3483.2</v>
          </cell>
          <cell r="EI175">
            <v>5039</v>
          </cell>
          <cell r="EJ175">
            <v>14440.9</v>
          </cell>
          <cell r="EL175">
            <v>3369</v>
          </cell>
          <cell r="EM175">
            <v>3446</v>
          </cell>
        </row>
        <row r="177">
          <cell r="A177" t="str">
            <v>May Co. Monthly Comps</v>
          </cell>
          <cell r="AN177" t="str">
            <v>May Co. Monthly Comps</v>
          </cell>
        </row>
        <row r="178">
          <cell r="A178" t="str">
            <v>Month 1</v>
          </cell>
          <cell r="AN178" t="str">
            <v>Month 1</v>
          </cell>
          <cell r="DZ178">
            <v>-8.8999999999999996E-2</v>
          </cell>
          <cell r="EA178">
            <v>-3.9E-2</v>
          </cell>
          <cell r="EB178">
            <v>-3.2000000000000001E-2</v>
          </cell>
          <cell r="EC178">
            <v>-1.7000000000000001E-2</v>
          </cell>
          <cell r="EF178">
            <v>2.5999999999999999E-2</v>
          </cell>
          <cell r="EG178">
            <v>-3.7999999999999999E-2</v>
          </cell>
          <cell r="EH178">
            <v>-6.7000000000000004E-2</v>
          </cell>
          <cell r="EI178">
            <v>-7.9000000000000001E-2</v>
          </cell>
          <cell r="EL178">
            <v>-4.2000000000000003E-2</v>
          </cell>
          <cell r="EM178">
            <v>-2.9000000000000001E-2</v>
          </cell>
          <cell r="EN178">
            <v>-2.8000000000000001E-2</v>
          </cell>
        </row>
        <row r="179">
          <cell r="A179" t="str">
            <v>Month 2</v>
          </cell>
          <cell r="AN179" t="str">
            <v>Month 2</v>
          </cell>
          <cell r="DZ179">
            <v>-0.114</v>
          </cell>
          <cell r="EA179">
            <v>-5.8999999999999997E-2</v>
          </cell>
          <cell r="EB179">
            <v>-3.0000000000000001E-3</v>
          </cell>
          <cell r="EC179">
            <v>1.0999999999999999E-2</v>
          </cell>
          <cell r="EF179">
            <v>0.10100000000000001</v>
          </cell>
          <cell r="EG179">
            <v>1.9E-2</v>
          </cell>
          <cell r="EH179">
            <v>-1.4999999999999999E-2</v>
          </cell>
          <cell r="EI179">
            <v>-3.5000000000000003E-2</v>
          </cell>
          <cell r="EL179">
            <v>-0.108</v>
          </cell>
          <cell r="EM179">
            <v>7.0000000000000001E-3</v>
          </cell>
        </row>
        <row r="180">
          <cell r="A180" t="str">
            <v>Month 3</v>
          </cell>
          <cell r="AN180" t="str">
            <v>Month 3</v>
          </cell>
          <cell r="DZ180">
            <v>-5.6000000000000001E-2</v>
          </cell>
          <cell r="EA180">
            <v>1.7999999999999999E-2</v>
          </cell>
          <cell r="EB180">
            <v>-4.2000000000000003E-2</v>
          </cell>
          <cell r="EC180">
            <v>5.2999999999999999E-2</v>
          </cell>
          <cell r="EF180">
            <v>-8.1000000000000003E-2</v>
          </cell>
          <cell r="EG180">
            <v>-5.2999999999999999E-2</v>
          </cell>
          <cell r="EH180">
            <v>-2.3E-2</v>
          </cell>
          <cell r="EI180">
            <v>-7.1999999999999995E-2</v>
          </cell>
          <cell r="EL180">
            <v>1.4999999999999999E-2</v>
          </cell>
          <cell r="EM180">
            <v>-3.3000000000000002E-2</v>
          </cell>
        </row>
        <row r="181">
          <cell r="A181" t="str">
            <v>Total</v>
          </cell>
          <cell r="AN181" t="str">
            <v>Total</v>
          </cell>
          <cell r="DZ181">
            <v>-8.7999999999999995E-2</v>
          </cell>
          <cell r="EA181">
            <v>-3.1E-2</v>
          </cell>
          <cell r="EB181">
            <v>-2.3921034946236562E-2</v>
          </cell>
          <cell r="EC181">
            <v>8.0000000000000002E-3</v>
          </cell>
          <cell r="ED181">
            <v>-2.8562204901446453E-2</v>
          </cell>
          <cell r="EF181">
            <v>1.7000000000000001E-2</v>
          </cell>
          <cell r="EG181">
            <v>-2.1999999999999999E-2</v>
          </cell>
          <cell r="EH181">
            <v>-3.4000000000000002E-2</v>
          </cell>
          <cell r="EI181">
            <v>-5.1999999999999998E-2</v>
          </cell>
          <cell r="EJ181">
            <v>-2.4E-2</v>
          </cell>
          <cell r="EL181">
            <v>-5.0999999999999997E-2</v>
          </cell>
          <cell r="EM181">
            <v>-1.6E-2</v>
          </cell>
        </row>
        <row r="183">
          <cell r="A183" t="str">
            <v>May Co. Store Count (Estimated)</v>
          </cell>
          <cell r="AN183" t="str">
            <v>May Co. Store Count (Estimated)</v>
          </cell>
        </row>
        <row r="184">
          <cell r="A184" t="str">
            <v>Month 1</v>
          </cell>
          <cell r="AN184" t="str">
            <v>Month 1</v>
          </cell>
          <cell r="DZ184">
            <v>444</v>
          </cell>
          <cell r="EA184">
            <v>445</v>
          </cell>
          <cell r="EB184">
            <v>447</v>
          </cell>
          <cell r="EC184">
            <v>448</v>
          </cell>
          <cell r="EF184">
            <v>442</v>
          </cell>
          <cell r="EG184">
            <v>438</v>
          </cell>
          <cell r="EH184">
            <v>497</v>
          </cell>
          <cell r="EI184">
            <v>501</v>
          </cell>
          <cell r="EL184">
            <v>491</v>
          </cell>
          <cell r="EM184">
            <v>489</v>
          </cell>
          <cell r="EN184">
            <v>487</v>
          </cell>
          <cell r="EO184">
            <v>491</v>
          </cell>
          <cell r="ER184">
            <v>458</v>
          </cell>
          <cell r="ES184">
            <v>455</v>
          </cell>
          <cell r="ET184">
            <v>452</v>
          </cell>
          <cell r="EU184">
            <v>452</v>
          </cell>
          <cell r="EX184">
            <v>451</v>
          </cell>
          <cell r="EY184">
            <v>451</v>
          </cell>
          <cell r="EZ184">
            <v>451</v>
          </cell>
          <cell r="FA184">
            <v>451</v>
          </cell>
          <cell r="FD184">
            <v>437</v>
          </cell>
          <cell r="FE184">
            <v>437</v>
          </cell>
          <cell r="FF184">
            <v>437</v>
          </cell>
          <cell r="FG184">
            <v>437</v>
          </cell>
          <cell r="FJ184">
            <v>437</v>
          </cell>
          <cell r="FK184">
            <v>437</v>
          </cell>
          <cell r="FL184">
            <v>437</v>
          </cell>
          <cell r="FM184">
            <v>437</v>
          </cell>
          <cell r="FP184">
            <v>437</v>
          </cell>
          <cell r="FQ184">
            <v>437</v>
          </cell>
          <cell r="FR184">
            <v>437</v>
          </cell>
          <cell r="FS184">
            <v>437</v>
          </cell>
          <cell r="FV184">
            <v>437</v>
          </cell>
          <cell r="FW184">
            <v>437</v>
          </cell>
          <cell r="FX184">
            <v>437</v>
          </cell>
          <cell r="FY184">
            <v>437</v>
          </cell>
          <cell r="GB184">
            <v>437</v>
          </cell>
          <cell r="GC184">
            <v>437</v>
          </cell>
          <cell r="GD184">
            <v>437</v>
          </cell>
          <cell r="GE184">
            <v>437</v>
          </cell>
        </row>
        <row r="185">
          <cell r="A185" t="str">
            <v>Month 2</v>
          </cell>
          <cell r="AN185" t="str">
            <v>Month 2</v>
          </cell>
          <cell r="DZ185">
            <v>444</v>
          </cell>
          <cell r="EA185">
            <v>446</v>
          </cell>
          <cell r="EB185">
            <v>448</v>
          </cell>
          <cell r="EC185">
            <v>448</v>
          </cell>
          <cell r="EF185">
            <v>439</v>
          </cell>
          <cell r="EG185">
            <v>438</v>
          </cell>
          <cell r="EH185">
            <v>497</v>
          </cell>
          <cell r="EI185">
            <v>501</v>
          </cell>
          <cell r="EL185">
            <v>490</v>
          </cell>
          <cell r="EM185">
            <v>487</v>
          </cell>
          <cell r="EN185">
            <v>487</v>
          </cell>
          <cell r="EO185">
            <v>491</v>
          </cell>
          <cell r="ER185">
            <v>455</v>
          </cell>
          <cell r="ES185">
            <v>454</v>
          </cell>
          <cell r="ET185">
            <v>452</v>
          </cell>
          <cell r="EU185">
            <v>452</v>
          </cell>
          <cell r="EX185">
            <v>451</v>
          </cell>
          <cell r="EY185">
            <v>451</v>
          </cell>
          <cell r="EZ185">
            <v>451</v>
          </cell>
          <cell r="FA185">
            <v>442</v>
          </cell>
          <cell r="FD185">
            <v>437</v>
          </cell>
          <cell r="FE185">
            <v>437</v>
          </cell>
          <cell r="FF185">
            <v>437</v>
          </cell>
          <cell r="FG185">
            <v>437</v>
          </cell>
          <cell r="FJ185">
            <v>437</v>
          </cell>
          <cell r="FK185">
            <v>437</v>
          </cell>
          <cell r="FL185">
            <v>437</v>
          </cell>
          <cell r="FM185">
            <v>437</v>
          </cell>
          <cell r="FP185">
            <v>437</v>
          </cell>
          <cell r="FQ185">
            <v>437</v>
          </cell>
          <cell r="FR185">
            <v>437</v>
          </cell>
          <cell r="FS185">
            <v>437</v>
          </cell>
          <cell r="FV185">
            <v>437</v>
          </cell>
          <cell r="FW185">
            <v>437</v>
          </cell>
          <cell r="FX185">
            <v>437</v>
          </cell>
          <cell r="FY185">
            <v>437</v>
          </cell>
          <cell r="GB185">
            <v>437</v>
          </cell>
          <cell r="GC185">
            <v>437</v>
          </cell>
          <cell r="GD185">
            <v>437</v>
          </cell>
          <cell r="GE185">
            <v>437</v>
          </cell>
        </row>
        <row r="186">
          <cell r="A186" t="str">
            <v>Month 3</v>
          </cell>
          <cell r="AN186" t="str">
            <v>Month 3</v>
          </cell>
          <cell r="DZ186">
            <v>444</v>
          </cell>
          <cell r="EA186">
            <v>446</v>
          </cell>
          <cell r="EB186">
            <v>450</v>
          </cell>
          <cell r="EC186">
            <v>444</v>
          </cell>
          <cell r="EF186">
            <v>439</v>
          </cell>
          <cell r="EG186">
            <v>497</v>
          </cell>
          <cell r="EH186">
            <v>500</v>
          </cell>
          <cell r="EI186">
            <v>491</v>
          </cell>
          <cell r="EL186">
            <v>490</v>
          </cell>
          <cell r="EM186">
            <v>487</v>
          </cell>
          <cell r="EN186">
            <v>491</v>
          </cell>
          <cell r="EO186">
            <v>458</v>
          </cell>
          <cell r="ER186">
            <v>455</v>
          </cell>
          <cell r="ES186">
            <v>453</v>
          </cell>
          <cell r="ET186">
            <v>452</v>
          </cell>
          <cell r="EU186">
            <v>451</v>
          </cell>
          <cell r="EX186">
            <v>451</v>
          </cell>
          <cell r="EY186">
            <v>451</v>
          </cell>
          <cell r="EZ186">
            <v>451</v>
          </cell>
          <cell r="FA186">
            <v>437</v>
          </cell>
          <cell r="FD186">
            <v>437</v>
          </cell>
          <cell r="FE186">
            <v>437</v>
          </cell>
          <cell r="FF186">
            <v>437</v>
          </cell>
          <cell r="FG186">
            <v>437</v>
          </cell>
          <cell r="FJ186">
            <v>437</v>
          </cell>
          <cell r="FK186">
            <v>437</v>
          </cell>
          <cell r="FL186">
            <v>437</v>
          </cell>
          <cell r="FM186">
            <v>437</v>
          </cell>
          <cell r="FP186">
            <v>437</v>
          </cell>
          <cell r="FQ186">
            <v>437</v>
          </cell>
          <cell r="FR186">
            <v>437</v>
          </cell>
          <cell r="FS186">
            <v>437</v>
          </cell>
          <cell r="FV186">
            <v>437</v>
          </cell>
          <cell r="FW186">
            <v>437</v>
          </cell>
          <cell r="FX186">
            <v>437</v>
          </cell>
          <cell r="FY186">
            <v>437</v>
          </cell>
          <cell r="GB186">
            <v>437</v>
          </cell>
          <cell r="GC186">
            <v>437</v>
          </cell>
          <cell r="GD186">
            <v>437</v>
          </cell>
          <cell r="GE186">
            <v>437</v>
          </cell>
        </row>
        <row r="187">
          <cell r="A187" t="str">
            <v>Total</v>
          </cell>
          <cell r="AN187" t="str">
            <v>Total</v>
          </cell>
          <cell r="DZ187">
            <v>444</v>
          </cell>
          <cell r="EA187">
            <v>446</v>
          </cell>
          <cell r="EB187">
            <v>450</v>
          </cell>
          <cell r="EC187">
            <v>444</v>
          </cell>
          <cell r="ED187">
            <v>444</v>
          </cell>
          <cell r="EF187">
            <v>439</v>
          </cell>
          <cell r="EG187">
            <v>497</v>
          </cell>
          <cell r="EH187">
            <v>500</v>
          </cell>
          <cell r="EI187">
            <v>491</v>
          </cell>
          <cell r="EJ187">
            <v>491</v>
          </cell>
          <cell r="EL187">
            <v>490</v>
          </cell>
          <cell r="EM187">
            <v>487</v>
          </cell>
          <cell r="EN187">
            <v>491</v>
          </cell>
          <cell r="EO187">
            <v>458</v>
          </cell>
          <cell r="EP187">
            <v>458</v>
          </cell>
          <cell r="ER187">
            <v>455</v>
          </cell>
          <cell r="ES187">
            <v>453</v>
          </cell>
          <cell r="ET187">
            <v>452</v>
          </cell>
          <cell r="EU187">
            <v>451</v>
          </cell>
          <cell r="EV187">
            <v>451</v>
          </cell>
          <cell r="EX187">
            <v>451</v>
          </cell>
          <cell r="EY187">
            <v>451</v>
          </cell>
          <cell r="EZ187">
            <v>451</v>
          </cell>
          <cell r="FA187">
            <v>437</v>
          </cell>
          <cell r="FB187">
            <v>437</v>
          </cell>
          <cell r="FD187">
            <v>437</v>
          </cell>
          <cell r="FE187">
            <v>437</v>
          </cell>
          <cell r="FF187">
            <v>437</v>
          </cell>
          <cell r="FG187">
            <v>437</v>
          </cell>
          <cell r="FH187">
            <v>437</v>
          </cell>
          <cell r="FJ187">
            <v>437</v>
          </cell>
          <cell r="FK187">
            <v>437</v>
          </cell>
          <cell r="FL187">
            <v>437</v>
          </cell>
          <cell r="FM187">
            <v>437</v>
          </cell>
          <cell r="FN187">
            <v>437</v>
          </cell>
          <cell r="FP187">
            <v>437</v>
          </cell>
          <cell r="FQ187">
            <v>437</v>
          </cell>
          <cell r="FR187">
            <v>437</v>
          </cell>
          <cell r="FS187">
            <v>437</v>
          </cell>
          <cell r="FT187">
            <v>437</v>
          </cell>
          <cell r="FV187">
            <v>437</v>
          </cell>
          <cell r="FW187">
            <v>437</v>
          </cell>
          <cell r="FX187">
            <v>437</v>
          </cell>
          <cell r="FY187">
            <v>437</v>
          </cell>
          <cell r="FZ187">
            <v>437</v>
          </cell>
          <cell r="GB187">
            <v>437</v>
          </cell>
          <cell r="GC187">
            <v>437</v>
          </cell>
          <cell r="GD187">
            <v>437</v>
          </cell>
          <cell r="GE187">
            <v>437</v>
          </cell>
          <cell r="GF187">
            <v>437</v>
          </cell>
        </row>
        <row r="189">
          <cell r="AN189" t="str">
            <v>Direct-to-consumer Monthly Sales</v>
          </cell>
        </row>
        <row r="190">
          <cell r="AN190" t="str">
            <v>Month 1</v>
          </cell>
          <cell r="CV190" t="str">
            <v>--</v>
          </cell>
          <cell r="CW190" t="str">
            <v>--</v>
          </cell>
          <cell r="CX190" t="str">
            <v>--</v>
          </cell>
          <cell r="CY190" t="str">
            <v>--</v>
          </cell>
          <cell r="DB190">
            <v>8</v>
          </cell>
          <cell r="DC190">
            <v>141</v>
          </cell>
          <cell r="DD190">
            <v>131</v>
          </cell>
          <cell r="DE190">
            <v>209</v>
          </cell>
          <cell r="DH190">
            <v>137</v>
          </cell>
          <cell r="DI190">
            <v>142</v>
          </cell>
          <cell r="DJ190">
            <v>128</v>
          </cell>
          <cell r="DK190">
            <v>185</v>
          </cell>
          <cell r="DN190">
            <v>69</v>
          </cell>
          <cell r="DO190">
            <v>81</v>
          </cell>
          <cell r="DP190" t="str">
            <v xml:space="preserve"> </v>
          </cell>
        </row>
        <row r="201">
          <cell r="AN201" t="str">
            <v>NA = Not Applicable, NM = Not Meaningful</v>
          </cell>
        </row>
        <row r="202">
          <cell r="N202" t="str">
            <v>1995-FY</v>
          </cell>
          <cell r="O202" t="str">
            <v>1996-FY</v>
          </cell>
          <cell r="P202" t="str">
            <v>1997-FY</v>
          </cell>
          <cell r="Q202" t="str">
            <v>1998-FY</v>
          </cell>
          <cell r="R202" t="str">
            <v>1999-FY</v>
          </cell>
          <cell r="S202" t="str">
            <v>2000-FY</v>
          </cell>
          <cell r="T202" t="str">
            <v>2001-FY</v>
          </cell>
          <cell r="U202" t="str">
            <v>2002-FY</v>
          </cell>
          <cell r="V202" t="str">
            <v>2003-FY</v>
          </cell>
          <cell r="W202" t="str">
            <v>2004-FY</v>
          </cell>
          <cell r="X202" t="str">
            <v>2005-FY</v>
          </cell>
          <cell r="Y202" t="str">
            <v>2006-FY</v>
          </cell>
          <cell r="Z202" t="str">
            <v>2007-FY</v>
          </cell>
          <cell r="AA202" t="str">
            <v>2008-FY</v>
          </cell>
          <cell r="AB202" t="str">
            <v>2009-FY</v>
          </cell>
          <cell r="AC202" t="str">
            <v>2010-FY</v>
          </cell>
          <cell r="AD202" t="str">
            <v>2011-FY</v>
          </cell>
          <cell r="AE202" t="str">
            <v>2012-FY</v>
          </cell>
          <cell r="AF202" t="str">
            <v>2013-FY</v>
          </cell>
          <cell r="AG202" t="str">
            <v>2014-FY</v>
          </cell>
          <cell r="AH202" t="str">
            <v>2015-FY</v>
          </cell>
          <cell r="DH202" t="str">
            <v>2000-Q1</v>
          </cell>
          <cell r="DI202" t="str">
            <v>2000-Q2</v>
          </cell>
          <cell r="DJ202" t="str">
            <v>2000-Q3</v>
          </cell>
          <cell r="DK202" t="str">
            <v>2000-Q4</v>
          </cell>
          <cell r="DN202" t="str">
            <v>2001-Q1</v>
          </cell>
          <cell r="DO202" t="str">
            <v>2001-Q2</v>
          </cell>
          <cell r="DP202" t="str">
            <v>2001-Q3</v>
          </cell>
          <cell r="DQ202" t="str">
            <v>2001-Q4</v>
          </cell>
          <cell r="DT202" t="str">
            <v>2002-Q1</v>
          </cell>
          <cell r="DU202" t="str">
            <v>2002-Q2</v>
          </cell>
          <cell r="DV202" t="str">
            <v>2002-Q3</v>
          </cell>
          <cell r="DW202" t="str">
            <v>2002-Q4</v>
          </cell>
          <cell r="DZ202" t="str">
            <v>2003-Q1</v>
          </cell>
          <cell r="EA202" t="str">
            <v>2003-Q2</v>
          </cell>
          <cell r="EB202" t="str">
            <v>2003-Q3</v>
          </cell>
          <cell r="EC202" t="str">
            <v>2003-Q4</v>
          </cell>
          <cell r="EF202" t="str">
            <v>2004-Q1</v>
          </cell>
          <cell r="EG202" t="str">
            <v>2004-Q2</v>
          </cell>
          <cell r="EH202" t="str">
            <v>2004-Q3</v>
          </cell>
          <cell r="EI202" t="str">
            <v>2004-Q4</v>
          </cell>
          <cell r="EL202" t="str">
            <v>2005-Q1</v>
          </cell>
          <cell r="EM202" t="str">
            <v>2005-Q2</v>
          </cell>
          <cell r="EN202" t="str">
            <v>2005-Q3</v>
          </cell>
          <cell r="EO202" t="str">
            <v>2005-Q4</v>
          </cell>
          <cell r="ER202" t="str">
            <v>2006-Q1</v>
          </cell>
          <cell r="ES202" t="str">
            <v>2006-Q2</v>
          </cell>
          <cell r="ET202" t="str">
            <v>2006-Q3</v>
          </cell>
          <cell r="EU202" t="str">
            <v>2006-Q4</v>
          </cell>
          <cell r="EX202" t="str">
            <v>2007-Q1</v>
          </cell>
          <cell r="EY202" t="str">
            <v>2007-Q2</v>
          </cell>
          <cell r="EZ202" t="str">
            <v>2007-Q3</v>
          </cell>
          <cell r="FA202" t="str">
            <v>2007-Q4</v>
          </cell>
          <cell r="FD202" t="str">
            <v>2008-Q1</v>
          </cell>
          <cell r="FE202" t="str">
            <v>2008-Q2</v>
          </cell>
          <cell r="FF202" t="str">
            <v>2008-Q3</v>
          </cell>
          <cell r="FG202" t="str">
            <v>2008-Q4</v>
          </cell>
          <cell r="FJ202" t="str">
            <v>2009-Q1</v>
          </cell>
          <cell r="FK202" t="str">
            <v>2009-Q2</v>
          </cell>
          <cell r="FL202" t="str">
            <v>2009-Q3</v>
          </cell>
          <cell r="FM202" t="str">
            <v>2009-Q4</v>
          </cell>
          <cell r="FP202" t="str">
            <v>2010-Q1</v>
          </cell>
          <cell r="FQ202" t="str">
            <v>2010-Q2</v>
          </cell>
          <cell r="FR202" t="str">
            <v>2010-Q3</v>
          </cell>
          <cell r="FS202" t="str">
            <v>2010-Q4</v>
          </cell>
          <cell r="FV202" t="str">
            <v>2011-Q1</v>
          </cell>
          <cell r="FW202" t="str">
            <v>2011-Q2</v>
          </cell>
          <cell r="FX202" t="str">
            <v>2011-Q3</v>
          </cell>
          <cell r="FY202" t="str">
            <v>2011-Q4</v>
          </cell>
          <cell r="GB202" t="str">
            <v>2012-Q1</v>
          </cell>
          <cell r="GC202" t="str">
            <v>2012-Q2</v>
          </cell>
          <cell r="GD202" t="str">
            <v>2012-Q3</v>
          </cell>
          <cell r="GE202" t="str">
            <v>2012-Q4</v>
          </cell>
        </row>
        <row r="203">
          <cell r="AA203" t="str">
            <v>LINK OVER TO QUARTERLY BULL/BEAR</v>
          </cell>
        </row>
        <row r="204">
          <cell r="A204" t="str">
            <v>Base Case Assumptions</v>
          </cell>
          <cell r="N204">
            <v>1995</v>
          </cell>
          <cell r="O204">
            <v>1996</v>
          </cell>
          <cell r="P204">
            <v>1997</v>
          </cell>
          <cell r="Q204">
            <v>1998</v>
          </cell>
          <cell r="R204">
            <v>1999</v>
          </cell>
          <cell r="S204">
            <v>2000</v>
          </cell>
          <cell r="T204">
            <v>2001</v>
          </cell>
          <cell r="U204">
            <v>2002</v>
          </cell>
          <cell r="V204">
            <v>2003</v>
          </cell>
          <cell r="W204">
            <v>2004</v>
          </cell>
          <cell r="X204">
            <v>2005</v>
          </cell>
          <cell r="Y204">
            <v>2006</v>
          </cell>
          <cell r="Z204">
            <v>2007</v>
          </cell>
          <cell r="AA204">
            <v>2008</v>
          </cell>
          <cell r="AB204">
            <v>2009</v>
          </cell>
          <cell r="AC204">
            <v>2010</v>
          </cell>
          <cell r="AD204">
            <v>2011</v>
          </cell>
          <cell r="AE204" t="str">
            <v>2012E</v>
          </cell>
          <cell r="AF204" t="str">
            <v>2013E</v>
          </cell>
          <cell r="AG204" t="str">
            <v>2014E</v>
          </cell>
          <cell r="AH204" t="str">
            <v>2015E</v>
          </cell>
          <cell r="AI204" t="str">
            <v>2016E</v>
          </cell>
          <cell r="AJ204" t="str">
            <v>2017E</v>
          </cell>
          <cell r="AK204" t="str">
            <v>2018E</v>
          </cell>
          <cell r="AL204" t="str">
            <v>2019E</v>
          </cell>
          <cell r="AN204" t="str">
            <v>Base Case Assumptions</v>
          </cell>
          <cell r="EL204" t="str">
            <v>Base Case Assumptions</v>
          </cell>
        </row>
        <row r="205">
          <cell r="A205" t="str">
            <v>Revenue</v>
          </cell>
          <cell r="N205">
            <v>14614</v>
          </cell>
          <cell r="O205">
            <v>14833</v>
          </cell>
          <cell r="P205">
            <v>15220</v>
          </cell>
          <cell r="Q205">
            <v>15365</v>
          </cell>
          <cell r="R205">
            <v>16029</v>
          </cell>
          <cell r="S205">
            <v>16638</v>
          </cell>
          <cell r="T205">
            <v>15785</v>
          </cell>
          <cell r="U205">
            <v>15571</v>
          </cell>
          <cell r="V205">
            <v>15412</v>
          </cell>
          <cell r="W205">
            <v>15776</v>
          </cell>
          <cell r="X205">
            <v>22390</v>
          </cell>
          <cell r="Y205">
            <v>26970</v>
          </cell>
          <cell r="Z205">
            <v>26313</v>
          </cell>
          <cell r="AA205">
            <v>24892</v>
          </cell>
          <cell r="AB205">
            <v>23895</v>
          </cell>
          <cell r="AC205">
            <v>25003</v>
          </cell>
          <cell r="AD205">
            <v>26405</v>
          </cell>
          <cell r="AE205">
            <v>27697.820605365057</v>
          </cell>
          <cell r="AF205">
            <v>28358.892641397051</v>
          </cell>
          <cell r="AG205">
            <v>28905.408744504351</v>
          </cell>
          <cell r="AH205">
            <v>29204.897015558319</v>
          </cell>
          <cell r="AI205">
            <v>29496.945985713905</v>
          </cell>
          <cell r="AJ205">
            <v>29791.915445571045</v>
          </cell>
          <cell r="AK205">
            <v>30089.834600026756</v>
          </cell>
          <cell r="AL205">
            <v>30390.732946027023</v>
          </cell>
          <cell r="AN205" t="str">
            <v>Consolidated Stores Monthly Sales ($)</v>
          </cell>
          <cell r="EL205" t="str">
            <v>Consolidated Stores Monthly Sales ($)</v>
          </cell>
          <cell r="EU205">
            <v>356</v>
          </cell>
        </row>
        <row r="206">
          <cell r="A206" t="str">
            <v xml:space="preserve"> % Same-store</v>
          </cell>
          <cell r="N206">
            <v>2.7E-2</v>
          </cell>
          <cell r="O206">
            <v>3.1E-2</v>
          </cell>
          <cell r="P206">
            <v>2.7E-2</v>
          </cell>
          <cell r="Q206">
            <v>2.1999999999999999E-2</v>
          </cell>
          <cell r="R206">
            <v>4.4999999999999998E-2</v>
          </cell>
          <cell r="S206">
            <v>0.02</v>
          </cell>
          <cell r="T206">
            <v>-5.2999999999999999E-2</v>
          </cell>
          <cell r="U206">
            <v>-0.03</v>
          </cell>
          <cell r="V206">
            <v>-9.0000000000000011E-3</v>
          </cell>
          <cell r="W206">
            <v>2.5999999999999999E-2</v>
          </cell>
          <cell r="X206">
            <v>1.2999999999999999E-2</v>
          </cell>
          <cell r="Y206">
            <v>4.3999999999999997E-2</v>
          </cell>
          <cell r="Z206">
            <v>-1.2799528750047504E-2</v>
          </cell>
          <cell r="AA206">
            <v>-4.4999999999999998E-2</v>
          </cell>
          <cell r="AB206">
            <v>-5.0987622799162344E-2</v>
          </cell>
          <cell r="AC206">
            <v>4.610434747830261E-2</v>
          </cell>
          <cell r="AD206">
            <v>5.2999999999999999E-2</v>
          </cell>
          <cell r="AE206">
            <v>4.02253638971692E-2</v>
          </cell>
          <cell r="AF206">
            <v>3.5000000000000003E-2</v>
          </cell>
          <cell r="AG206">
            <v>0.02</v>
          </cell>
          <cell r="AH206">
            <v>0.01</v>
          </cell>
          <cell r="AI206">
            <v>0.01</v>
          </cell>
          <cell r="AJ206">
            <v>0.01</v>
          </cell>
          <cell r="AK206">
            <v>0.01</v>
          </cell>
          <cell r="AL206">
            <v>0.01</v>
          </cell>
          <cell r="AN206" t="str">
            <v>Month 1</v>
          </cell>
          <cell r="EL206" t="str">
            <v>Month 1</v>
          </cell>
          <cell r="ER206">
            <v>1800</v>
          </cell>
          <cell r="ES206">
            <v>2026</v>
          </cell>
          <cell r="ET206">
            <v>1727</v>
          </cell>
          <cell r="EU206">
            <v>2385</v>
          </cell>
          <cell r="EX206">
            <v>1802</v>
          </cell>
          <cell r="EY206">
            <v>1976</v>
          </cell>
          <cell r="EZ206">
            <v>1788</v>
          </cell>
          <cell r="FA206">
            <v>2707</v>
          </cell>
          <cell r="FD206">
            <v>1737</v>
          </cell>
          <cell r="FE206">
            <v>1926</v>
          </cell>
          <cell r="FF206">
            <v>1686</v>
          </cell>
          <cell r="FG206">
            <v>2324</v>
          </cell>
          <cell r="FJ206">
            <v>1602.5975291456411</v>
          </cell>
          <cell r="FK206">
            <v>1783.7565582371458</v>
          </cell>
          <cell r="FL206">
            <v>1576.1490988530857</v>
          </cell>
          <cell r="FM206">
            <v>2202.7766574237457</v>
          </cell>
          <cell r="FP206">
            <v>1667</v>
          </cell>
          <cell r="FQ206">
            <v>1789</v>
          </cell>
          <cell r="FR206">
            <v>1638</v>
          </cell>
          <cell r="FS206">
            <v>2341</v>
          </cell>
          <cell r="FV206">
            <v>1763</v>
          </cell>
          <cell r="FW206">
            <v>1937</v>
          </cell>
          <cell r="FX206">
            <v>1714</v>
          </cell>
          <cell r="FY206">
            <v>2465</v>
          </cell>
          <cell r="GB206">
            <v>1860</v>
          </cell>
          <cell r="GC206">
            <v>2015</v>
          </cell>
          <cell r="GD206">
            <v>1812</v>
          </cell>
          <cell r="GE206">
            <v>2539.5720461726355</v>
          </cell>
        </row>
        <row r="207">
          <cell r="A207" t="str">
            <v>CGS, OCC, Buying Costs</v>
          </cell>
          <cell r="N207">
            <v>9038</v>
          </cell>
          <cell r="O207">
            <v>9018</v>
          </cell>
          <cell r="P207">
            <v>9200</v>
          </cell>
          <cell r="Q207">
            <v>9218</v>
          </cell>
          <cell r="R207">
            <v>9576</v>
          </cell>
          <cell r="S207">
            <v>9955</v>
          </cell>
          <cell r="T207">
            <v>9603</v>
          </cell>
          <cell r="U207">
            <v>9324</v>
          </cell>
          <cell r="V207">
            <v>9175</v>
          </cell>
          <cell r="W207">
            <v>9346</v>
          </cell>
          <cell r="X207">
            <v>13272</v>
          </cell>
          <cell r="Y207">
            <v>16019</v>
          </cell>
          <cell r="Z207">
            <v>15774.299839502128</v>
          </cell>
          <cell r="AA207">
            <v>15009</v>
          </cell>
          <cell r="AB207">
            <v>14278</v>
          </cell>
          <cell r="AC207">
            <v>14824</v>
          </cell>
          <cell r="AD207">
            <v>15738</v>
          </cell>
          <cell r="AE207">
            <v>16473.116703251519</v>
          </cell>
          <cell r="AF207">
            <v>16781.208749826241</v>
          </cell>
          <cell r="AG207">
            <v>17061.248342231931</v>
          </cell>
          <cell r="AH207">
            <v>17267.224438478806</v>
          </cell>
          <cell r="AI207">
            <v>17498.890574835023</v>
          </cell>
          <cell r="AJ207">
            <v>17673.879480583375</v>
          </cell>
          <cell r="AK207">
            <v>17850.618275389206</v>
          </cell>
          <cell r="AL207">
            <v>18029.124458143102</v>
          </cell>
          <cell r="AN207" t="str">
            <v>Month 2</v>
          </cell>
          <cell r="EL207" t="str">
            <v>Month 2</v>
          </cell>
          <cell r="ER207">
            <v>2255</v>
          </cell>
          <cell r="ES207">
            <v>2367</v>
          </cell>
          <cell r="ET207">
            <v>2303</v>
          </cell>
          <cell r="EU207">
            <v>4997</v>
          </cell>
          <cell r="EX207">
            <v>2288</v>
          </cell>
          <cell r="EY207">
            <v>2321</v>
          </cell>
          <cell r="EZ207">
            <v>2274</v>
          </cell>
          <cell r="FA207">
            <v>4624</v>
          </cell>
          <cell r="FD207">
            <v>2142</v>
          </cell>
          <cell r="FE207">
            <v>2249</v>
          </cell>
          <cell r="FF207">
            <v>2093</v>
          </cell>
          <cell r="FG207">
            <v>4397</v>
          </cell>
          <cell r="FJ207">
            <v>1963.7990255785628</v>
          </cell>
          <cell r="FK207">
            <v>2092.5916404337181</v>
          </cell>
          <cell r="FL207">
            <v>2084.1512834516657</v>
          </cell>
          <cell r="FM207">
            <v>4474.7693471136881</v>
          </cell>
          <cell r="FP207">
            <v>2172</v>
          </cell>
          <cell r="FQ207">
            <v>2229</v>
          </cell>
          <cell r="FR207">
            <v>2181</v>
          </cell>
          <cell r="FS207">
            <v>4619</v>
          </cell>
          <cell r="FV207">
            <v>2206</v>
          </cell>
          <cell r="FW207">
            <v>2392</v>
          </cell>
          <cell r="FX207">
            <v>2298</v>
          </cell>
          <cell r="FY207">
            <v>4925</v>
          </cell>
          <cell r="GB207">
            <v>2358</v>
          </cell>
          <cell r="GC207">
            <v>2412</v>
          </cell>
          <cell r="GD207">
            <v>2339.3160690399509</v>
          </cell>
          <cell r="GE207">
            <v>5073.9928305883286</v>
          </cell>
        </row>
        <row r="208">
          <cell r="A208" t="str">
            <v>CGS, OCC, Buying Costs %</v>
          </cell>
          <cell r="N208">
            <v>0.61844806350075265</v>
          </cell>
          <cell r="O208">
            <v>0.60796871839816624</v>
          </cell>
          <cell r="P208">
            <v>0.60446780551905388</v>
          </cell>
          <cell r="Q208">
            <v>0.59993491701919943</v>
          </cell>
          <cell r="R208">
            <v>0.59741718135878719</v>
          </cell>
          <cell r="S208">
            <v>0.5983291260968866</v>
          </cell>
          <cell r="T208">
            <v>0.60836236933797905</v>
          </cell>
          <cell r="U208">
            <v>0.59880547171023057</v>
          </cell>
          <cell r="V208">
            <v>0.59531533869711917</v>
          </cell>
          <cell r="W208">
            <v>0.59241886409736311</v>
          </cell>
          <cell r="X208">
            <v>0.59276462706565436</v>
          </cell>
          <cell r="Y208">
            <v>0.59395624768261035</v>
          </cell>
          <cell r="Z208">
            <v>0.59948693951666965</v>
          </cell>
          <cell r="AA208">
            <v>0.60296480797043228</v>
          </cell>
          <cell r="AB208">
            <v>0.59753086419753088</v>
          </cell>
          <cell r="AC208">
            <v>0.59288885333759944</v>
          </cell>
          <cell r="AD208">
            <v>0.59602348040143915</v>
          </cell>
          <cell r="AE208">
            <v>0.59474414748937621</v>
          </cell>
          <cell r="AF208">
            <v>0.5917441474893762</v>
          </cell>
          <cell r="AG208">
            <v>0.59024414748937615</v>
          </cell>
          <cell r="AH208">
            <v>0.59124414748937626</v>
          </cell>
          <cell r="AI208">
            <v>0.59324414748937615</v>
          </cell>
          <cell r="AJ208">
            <v>0.59324414748937626</v>
          </cell>
          <cell r="AK208">
            <v>0.59324414748937615</v>
          </cell>
          <cell r="AL208">
            <v>0.59324414748937626</v>
          </cell>
          <cell r="AN208" t="str">
            <v>Month 3</v>
          </cell>
          <cell r="EL208" t="str">
            <v>Month 3</v>
          </cell>
          <cell r="ER208">
            <v>1878</v>
          </cell>
          <cell r="ES208">
            <v>1608</v>
          </cell>
          <cell r="ET208">
            <v>1863</v>
          </cell>
          <cell r="EU208">
            <v>1780</v>
          </cell>
          <cell r="EX208">
            <v>1837</v>
          </cell>
          <cell r="EY208">
            <v>1602</v>
          </cell>
          <cell r="EZ208">
            <v>1849</v>
          </cell>
          <cell r="FA208">
            <v>1273</v>
          </cell>
          <cell r="FD208">
            <v>1868</v>
          </cell>
          <cell r="FE208">
            <v>1543</v>
          </cell>
          <cell r="FF208">
            <v>1714</v>
          </cell>
          <cell r="FG208">
            <v>1213</v>
          </cell>
          <cell r="FJ208">
            <v>1720.603445275796</v>
          </cell>
          <cell r="FK208">
            <v>1409.6518013291361</v>
          </cell>
          <cell r="FL208">
            <v>1725.6996176952484</v>
          </cell>
          <cell r="FM208">
            <v>1268.4539954625661</v>
          </cell>
          <cell r="FP208">
            <v>1739</v>
          </cell>
          <cell r="FQ208">
            <v>1528</v>
          </cell>
          <cell r="FR208">
            <v>1806</v>
          </cell>
          <cell r="FS208">
            <v>1310</v>
          </cell>
          <cell r="FV208">
            <v>1920</v>
          </cell>
          <cell r="FW208">
            <v>1612</v>
          </cell>
          <cell r="FX208">
            <v>1842</v>
          </cell>
          <cell r="FY208">
            <v>1336</v>
          </cell>
          <cell r="GB208">
            <v>1928</v>
          </cell>
          <cell r="GC208">
            <v>1693</v>
          </cell>
          <cell r="GD208">
            <v>1918.3705778953104</v>
          </cell>
          <cell r="GE208">
            <v>1753.5690816688336</v>
          </cell>
        </row>
        <row r="209">
          <cell r="A209" t="str">
            <v>Y/Y ∆ CGS, OCC, Buying Costs % (bps)</v>
          </cell>
          <cell r="O209">
            <v>-104.79345102586413</v>
          </cell>
          <cell r="P209">
            <v>-35.009128791123615</v>
          </cell>
          <cell r="Q209">
            <v>-45.328884998544481</v>
          </cell>
          <cell r="R209">
            <v>-25.177356604122458</v>
          </cell>
          <cell r="S209">
            <v>9.1194473809941279</v>
          </cell>
          <cell r="T209">
            <v>100.33243241092448</v>
          </cell>
          <cell r="U209">
            <v>-95.568976277484722</v>
          </cell>
          <cell r="V209">
            <v>-34.901330131114072</v>
          </cell>
          <cell r="W209">
            <v>-28.964745997560605</v>
          </cell>
          <cell r="X209">
            <v>3.4576296829125219</v>
          </cell>
          <cell r="Y209">
            <v>11.916206169559906</v>
          </cell>
          <cell r="Z209">
            <v>55.306918340592979</v>
          </cell>
          <cell r="AA209">
            <v>34.778684537626333</v>
          </cell>
          <cell r="AB209">
            <v>-54.339437729014065</v>
          </cell>
          <cell r="AC209">
            <v>-46.420108599314332</v>
          </cell>
          <cell r="AD209">
            <v>31.346270638397122</v>
          </cell>
          <cell r="AE209">
            <v>-12.793329120629471</v>
          </cell>
          <cell r="AF209">
            <v>-30.000000000000028</v>
          </cell>
          <cell r="AG209">
            <v>-15.000000000000568</v>
          </cell>
          <cell r="AH209">
            <v>10.000000000001119</v>
          </cell>
          <cell r="AI209">
            <v>19.999999999998906</v>
          </cell>
          <cell r="AJ209">
            <v>1.1102230246251565E-12</v>
          </cell>
          <cell r="AK209">
            <v>-1.1102230246251565E-12</v>
          </cell>
          <cell r="AL209">
            <v>1.1102230246251565E-12</v>
          </cell>
          <cell r="AN209" t="str">
            <v>Total</v>
          </cell>
          <cell r="EL209" t="str">
            <v>Total</v>
          </cell>
          <cell r="ER209">
            <v>5930</v>
          </cell>
          <cell r="ES209">
            <v>5995</v>
          </cell>
          <cell r="ET209">
            <v>5886</v>
          </cell>
          <cell r="EU209">
            <v>9159</v>
          </cell>
          <cell r="EV209">
            <v>26970</v>
          </cell>
          <cell r="EX209">
            <v>5921</v>
          </cell>
          <cell r="EY209">
            <v>5892</v>
          </cell>
          <cell r="EZ209">
            <v>5906</v>
          </cell>
          <cell r="FA209">
            <v>8594</v>
          </cell>
          <cell r="FB209">
            <v>26313</v>
          </cell>
          <cell r="FD209">
            <v>5747</v>
          </cell>
          <cell r="FE209">
            <v>5718</v>
          </cell>
          <cell r="FF209">
            <v>5493</v>
          </cell>
          <cell r="FG209">
            <v>7934</v>
          </cell>
          <cell r="FH209">
            <v>24892</v>
          </cell>
          <cell r="FJ209">
            <v>5288</v>
          </cell>
          <cell r="FK209">
            <v>5285</v>
          </cell>
          <cell r="FL209">
            <v>5385</v>
          </cell>
          <cell r="FM209">
            <v>7937</v>
          </cell>
          <cell r="FN209">
            <v>23895</v>
          </cell>
          <cell r="FP209">
            <v>5574</v>
          </cell>
          <cell r="FQ209">
            <v>5537</v>
          </cell>
          <cell r="FR209">
            <v>5623</v>
          </cell>
          <cell r="FS209">
            <v>8269</v>
          </cell>
          <cell r="FT209">
            <v>25003</v>
          </cell>
          <cell r="FV209">
            <v>5889</v>
          </cell>
          <cell r="FW209">
            <v>5939</v>
          </cell>
          <cell r="FX209">
            <v>5853</v>
          </cell>
          <cell r="FY209">
            <v>8724</v>
          </cell>
          <cell r="FZ209">
            <v>26405</v>
          </cell>
          <cell r="GB209">
            <v>6143</v>
          </cell>
          <cell r="GC209">
            <v>6118</v>
          </cell>
          <cell r="GD209">
            <v>6069.6866469352608</v>
          </cell>
          <cell r="GE209">
            <v>9367.1339584297966</v>
          </cell>
          <cell r="GF209">
            <v>27697.820605365057</v>
          </cell>
        </row>
        <row r="210">
          <cell r="A210" t="str">
            <v>Gross Income</v>
          </cell>
          <cell r="N210">
            <v>5576</v>
          </cell>
          <cell r="O210">
            <v>5815</v>
          </cell>
          <cell r="P210">
            <v>6020</v>
          </cell>
          <cell r="Q210">
            <v>6147</v>
          </cell>
          <cell r="R210">
            <v>6453</v>
          </cell>
          <cell r="S210">
            <v>6683</v>
          </cell>
          <cell r="T210">
            <v>6182</v>
          </cell>
          <cell r="U210">
            <v>6247</v>
          </cell>
          <cell r="V210">
            <v>6237</v>
          </cell>
          <cell r="W210">
            <v>6430</v>
          </cell>
          <cell r="X210">
            <v>9118</v>
          </cell>
          <cell r="Y210">
            <v>10951</v>
          </cell>
          <cell r="Z210">
            <v>10538.700160497872</v>
          </cell>
          <cell r="AA210">
            <v>9883</v>
          </cell>
          <cell r="AB210">
            <v>9617</v>
          </cell>
          <cell r="AC210">
            <v>10179</v>
          </cell>
          <cell r="AD210">
            <v>10667</v>
          </cell>
          <cell r="AE210">
            <v>11224.703902113539</v>
          </cell>
          <cell r="AF210">
            <v>11577.683891570809</v>
          </cell>
          <cell r="AG210">
            <v>11844.16040227242</v>
          </cell>
          <cell r="AH210">
            <v>11937.672577079513</v>
          </cell>
          <cell r="AI210">
            <v>11998.055410878882</v>
          </cell>
          <cell r="AJ210">
            <v>12118.035964987672</v>
          </cell>
          <cell r="AK210">
            <v>12239.216324637548</v>
          </cell>
          <cell r="AL210">
            <v>12361.608487883923</v>
          </cell>
        </row>
        <row r="211">
          <cell r="A211" t="str">
            <v>Gross Margin</v>
          </cell>
          <cell r="N211">
            <v>0.38155193649924729</v>
          </cell>
          <cell r="O211">
            <v>0.39203128160183376</v>
          </cell>
          <cell r="P211">
            <v>0.39553219448094612</v>
          </cell>
          <cell r="Q211">
            <v>0.40006508298080051</v>
          </cell>
          <cell r="R211">
            <v>0.40258281864121281</v>
          </cell>
          <cell r="S211">
            <v>0.40167087390311335</v>
          </cell>
          <cell r="T211">
            <v>0.3916376306620209</v>
          </cell>
          <cell r="U211">
            <v>0.40119452828976943</v>
          </cell>
          <cell r="V211">
            <v>0.40468466130288089</v>
          </cell>
          <cell r="W211">
            <v>0.40758113590263689</v>
          </cell>
          <cell r="X211">
            <v>0.4072353729343457</v>
          </cell>
          <cell r="Y211">
            <v>0.40604375231738971</v>
          </cell>
          <cell r="Z211">
            <v>0.40051306048333035</v>
          </cell>
          <cell r="AA211">
            <v>0.39703519202956772</v>
          </cell>
          <cell r="AB211">
            <v>0.40246913580246912</v>
          </cell>
          <cell r="AC211">
            <v>0.4071111466624005</v>
          </cell>
          <cell r="AD211">
            <v>0.4039765195985609</v>
          </cell>
          <cell r="AE211">
            <v>0.40525585251062379</v>
          </cell>
          <cell r="AF211">
            <v>0.4082558525106238</v>
          </cell>
          <cell r="AG211">
            <v>0.4097558525106238</v>
          </cell>
          <cell r="AH211">
            <v>0.4087558525106238</v>
          </cell>
          <cell r="AI211">
            <v>0.40675585251062379</v>
          </cell>
          <cell r="AJ211">
            <v>0.40675585251062379</v>
          </cell>
          <cell r="AK211">
            <v>0.40675585251062379</v>
          </cell>
          <cell r="AL211">
            <v>0.40675585251062379</v>
          </cell>
          <cell r="AN211" t="str">
            <v xml:space="preserve">Consolidated Monthly Comps </v>
          </cell>
          <cell r="EL211" t="str">
            <v xml:space="preserve">Consolidated Monthly Comps </v>
          </cell>
          <cell r="EX211">
            <v>2.9599999999999991E-3</v>
          </cell>
          <cell r="FA211">
            <v>-1.5112275862068966E-2</v>
          </cell>
        </row>
        <row r="212">
          <cell r="A212" t="str">
            <v>Y/Y ∆ Gross Margin (bps)</v>
          </cell>
          <cell r="O212">
            <v>104.79345102586468</v>
          </cell>
          <cell r="P212">
            <v>35.009128791123615</v>
          </cell>
          <cell r="Q212">
            <v>45.328884998543927</v>
          </cell>
          <cell r="R212">
            <v>25.177356604123013</v>
          </cell>
          <cell r="S212">
            <v>-9.1194473809946821</v>
          </cell>
          <cell r="T212">
            <v>-100.33243241092448</v>
          </cell>
          <cell r="U212">
            <v>95.568976277485291</v>
          </cell>
          <cell r="V212">
            <v>34.901330131114626</v>
          </cell>
          <cell r="W212">
            <v>28.964745997560048</v>
          </cell>
          <cell r="X212">
            <v>-3.4576296829119668</v>
          </cell>
          <cell r="Y212">
            <v>-11.916206169559906</v>
          </cell>
          <cell r="Z212">
            <v>-55.306918340593533</v>
          </cell>
          <cell r="AA212">
            <v>-34.778684537626333</v>
          </cell>
          <cell r="AB212">
            <v>54.339437729014065</v>
          </cell>
          <cell r="AC212">
            <v>46.420108599313778</v>
          </cell>
          <cell r="AD212">
            <v>-31.346270638396014</v>
          </cell>
          <cell r="AE212">
            <v>12.793329120628915</v>
          </cell>
          <cell r="AF212">
            <v>30</v>
          </cell>
          <cell r="AG212">
            <v>15</v>
          </cell>
          <cell r="AH212">
            <v>-10</v>
          </cell>
          <cell r="AI212">
            <v>-20</v>
          </cell>
          <cell r="AJ212">
            <v>0</v>
          </cell>
          <cell r="AK212">
            <v>0</v>
          </cell>
          <cell r="AL212">
            <v>0</v>
          </cell>
          <cell r="AN212" t="str">
            <v>Month 1</v>
          </cell>
          <cell r="EL212" t="str">
            <v>Month 1</v>
          </cell>
          <cell r="ER212">
            <v>0.01</v>
          </cell>
          <cell r="ES212">
            <v>9.1999999999999998E-2</v>
          </cell>
          <cell r="ET212">
            <v>3.7999999999999999E-2</v>
          </cell>
          <cell r="EU212">
            <v>8.5000000000000006E-2</v>
          </cell>
          <cell r="EX212">
            <v>1.2E-2</v>
          </cell>
          <cell r="EY212">
            <v>-3.3000000000000002E-2</v>
          </cell>
          <cell r="EZ212">
            <v>2.4E-2</v>
          </cell>
          <cell r="FA212">
            <v>0.13400000000000001</v>
          </cell>
          <cell r="FD212">
            <v>-3.5000000000000003E-2</v>
          </cell>
          <cell r="FE212">
            <v>-1.4999999999999999E-2</v>
          </cell>
          <cell r="FF212">
            <v>-4.8000000000000001E-2</v>
          </cell>
          <cell r="FG212">
            <v>-0.13300000000000001</v>
          </cell>
          <cell r="FJ212">
            <v>-8.5000000000000006E-2</v>
          </cell>
          <cell r="FK212">
            <v>-9.0999999999999998E-2</v>
          </cell>
          <cell r="FL212">
            <v>-8.1000000000000003E-2</v>
          </cell>
          <cell r="FM212">
            <v>-6.0999999999999999E-2</v>
          </cell>
          <cell r="FP212">
            <v>3.6999999999999998E-2</v>
          </cell>
          <cell r="FQ212">
            <v>1.4E-2</v>
          </cell>
          <cell r="FR212">
            <v>4.2999999999999997E-2</v>
          </cell>
          <cell r="FS212">
            <v>6.0999999999999999E-2</v>
          </cell>
          <cell r="FV212">
            <v>5.8000000000000003E-2</v>
          </cell>
          <cell r="FW212">
            <v>7.3999999999999996E-2</v>
          </cell>
          <cell r="FX212">
            <v>0.05</v>
          </cell>
          <cell r="FY212">
            <v>4.8000000000000001E-2</v>
          </cell>
          <cell r="GB212">
            <v>4.5999999999999999E-2</v>
          </cell>
          <cell r="GC212">
            <v>4.2000000000000003E-2</v>
          </cell>
          <cell r="GD212">
            <v>5.0999999999999997E-2</v>
          </cell>
          <cell r="GE212">
            <v>0.04</v>
          </cell>
        </row>
        <row r="213">
          <cell r="A213" t="str">
            <v>SG&amp;A Expenses</v>
          </cell>
          <cell r="N213">
            <v>4913</v>
          </cell>
          <cell r="O213">
            <v>4922</v>
          </cell>
          <cell r="P213">
            <v>4679</v>
          </cell>
          <cell r="Q213">
            <v>4692</v>
          </cell>
          <cell r="R213">
            <v>4760</v>
          </cell>
          <cell r="S213">
            <v>4912</v>
          </cell>
          <cell r="T213">
            <v>4806</v>
          </cell>
          <cell r="U213">
            <v>4836</v>
          </cell>
          <cell r="V213">
            <v>4837</v>
          </cell>
          <cell r="W213">
            <v>4931</v>
          </cell>
          <cell r="X213">
            <v>6980</v>
          </cell>
          <cell r="Y213">
            <v>8678</v>
          </cell>
          <cell r="Z213">
            <v>8505.3177921820607</v>
          </cell>
          <cell r="AA213">
            <v>8458</v>
          </cell>
          <cell r="AB213">
            <v>8163</v>
          </cell>
          <cell r="AC213">
            <v>8260</v>
          </cell>
          <cell r="AD213">
            <v>8281</v>
          </cell>
          <cell r="AE213">
            <v>8553.4072798862726</v>
          </cell>
          <cell r="AF213">
            <v>8800.0923077192638</v>
          </cell>
          <cell r="AG213">
            <v>8940.7771652737574</v>
          </cell>
          <cell r="AH213">
            <v>9004.2074535542979</v>
          </cell>
          <cell r="AI213">
            <v>9064.7525821041272</v>
          </cell>
          <cell r="AJ213">
            <v>9125.6081924795981</v>
          </cell>
          <cell r="AK213">
            <v>9186.7744398043687</v>
          </cell>
          <cell r="AL213">
            <v>9248.2514512563848</v>
          </cell>
          <cell r="AN213" t="str">
            <v>Month 2</v>
          </cell>
          <cell r="EL213" t="str">
            <v>Month 2</v>
          </cell>
          <cell r="ER213">
            <v>0</v>
          </cell>
          <cell r="ES213">
            <v>1.7000000000000001E-2</v>
          </cell>
          <cell r="ET213">
            <v>6.5000000000000002E-2</v>
          </cell>
          <cell r="EU213">
            <v>4.3999999999999997E-2</v>
          </cell>
          <cell r="EX213">
            <v>2.3E-2</v>
          </cell>
          <cell r="EY213">
            <v>-2.7E-2</v>
          </cell>
          <cell r="EZ213">
            <v>-2.7E-2</v>
          </cell>
          <cell r="FA213">
            <v>-7.9000000000000001E-2</v>
          </cell>
          <cell r="FD213">
            <v>-6.2E-2</v>
          </cell>
          <cell r="FE213">
            <v>-2.1000000000000001E-2</v>
          </cell>
          <cell r="FF213">
            <v>-6.6000000000000003E-2</v>
          </cell>
          <cell r="FG213">
            <v>-0.04</v>
          </cell>
          <cell r="FJ213">
            <v>-9.1999999999999998E-2</v>
          </cell>
          <cell r="FK213">
            <v>-8.8999999999999996E-2</v>
          </cell>
          <cell r="FL213">
            <v>-2.3E-2</v>
          </cell>
          <cell r="FM213">
            <v>0.01</v>
          </cell>
          <cell r="FP213">
            <v>0.10800000000000001</v>
          </cell>
          <cell r="FQ213">
            <v>6.5000000000000002E-2</v>
          </cell>
          <cell r="FR213">
            <v>4.8000000000000001E-2</v>
          </cell>
          <cell r="FS213">
            <v>3.9E-2</v>
          </cell>
          <cell r="FV213">
            <v>8.9999999999999993E-3</v>
          </cell>
          <cell r="FW213">
            <v>6.7000000000000004E-2</v>
          </cell>
          <cell r="FX213">
            <v>4.9000000000000002E-2</v>
          </cell>
          <cell r="FY213">
            <v>6.2E-2</v>
          </cell>
          <cell r="GB213">
            <v>7.2999999999999995E-2</v>
          </cell>
          <cell r="GC213">
            <v>1.2E-2</v>
          </cell>
          <cell r="GD213">
            <v>0.03</v>
          </cell>
          <cell r="GE213">
            <v>0.04</v>
          </cell>
        </row>
        <row r="214">
          <cell r="A214" t="str">
            <v>SG&amp;A Ratio</v>
          </cell>
          <cell r="N214">
            <v>0.33618448063500755</v>
          </cell>
          <cell r="O214">
            <v>0.33182768152093306</v>
          </cell>
          <cell r="P214">
            <v>0.30742444152431014</v>
          </cell>
          <cell r="Q214">
            <v>0.30536934591604298</v>
          </cell>
          <cell r="R214">
            <v>0.29696175681577142</v>
          </cell>
          <cell r="S214">
            <v>0.29522779180189929</v>
          </cell>
          <cell r="T214">
            <v>0.30446626544187522</v>
          </cell>
          <cell r="U214">
            <v>0.31057735534005521</v>
          </cell>
          <cell r="V214">
            <v>0.31384635349078638</v>
          </cell>
          <cell r="W214">
            <v>0.31256338742393508</v>
          </cell>
          <cell r="X214">
            <v>0.311746315319339</v>
          </cell>
          <cell r="Y214">
            <v>0.32176492398961809</v>
          </cell>
          <cell r="Z214">
            <v>0.32323633915486871</v>
          </cell>
          <cell r="AA214">
            <v>0.33978788365739998</v>
          </cell>
          <cell r="AB214">
            <v>0.34161958568738232</v>
          </cell>
          <cell r="AC214">
            <v>0.33036035675718911</v>
          </cell>
          <cell r="AD214">
            <v>0.31361484567316794</v>
          </cell>
          <cell r="AE214">
            <v>0.30881156325452847</v>
          </cell>
          <cell r="AF214">
            <v>0.31031156325452847</v>
          </cell>
          <cell r="AG214">
            <v>0.30931156325452847</v>
          </cell>
          <cell r="AH214">
            <v>0.30831156325452846</v>
          </cell>
          <cell r="AI214">
            <v>0.30731156325452846</v>
          </cell>
          <cell r="AJ214">
            <v>0.30631156325452846</v>
          </cell>
          <cell r="AK214">
            <v>0.30531156325452846</v>
          </cell>
          <cell r="AL214">
            <v>0.30431156325452846</v>
          </cell>
          <cell r="AN214" t="str">
            <v>Month 3</v>
          </cell>
          <cell r="EL214" t="str">
            <v>Month 3</v>
          </cell>
          <cell r="ER214">
            <v>-8.0000000000000002E-3</v>
          </cell>
          <cell r="ES214">
            <v>3.3000000000000002E-2</v>
          </cell>
          <cell r="ET214">
            <v>7.6999999999999999E-2</v>
          </cell>
          <cell r="EU214">
            <v>8.5999999999999993E-2</v>
          </cell>
          <cell r="EX214">
            <v>-2.1999999999999999E-2</v>
          </cell>
          <cell r="EY214">
            <v>-1.4E-2</v>
          </cell>
          <cell r="EZ214">
            <v>-1.4999999999999999E-2</v>
          </cell>
          <cell r="FA214">
            <v>-7.0999999999999994E-2</v>
          </cell>
          <cell r="FD214">
            <v>0.03</v>
          </cell>
          <cell r="FE214">
            <v>-2.9000000000000001E-2</v>
          </cell>
          <cell r="FF214">
            <v>-6.3E-2</v>
          </cell>
          <cell r="FG214">
            <v>-4.4999999999999998E-2</v>
          </cell>
          <cell r="FJ214">
            <v>-9.0999999999999998E-2</v>
          </cell>
          <cell r="FK214">
            <v>-0.107</v>
          </cell>
          <cell r="FL214">
            <v>-8.0000000000000002E-3</v>
          </cell>
          <cell r="FM214">
            <v>3.4000000000000002E-2</v>
          </cell>
          <cell r="FP214">
            <v>1.0999999999999999E-2</v>
          </cell>
          <cell r="FQ214">
            <v>7.2999999999999995E-2</v>
          </cell>
          <cell r="FR214">
            <v>2.5000000000000001E-2</v>
          </cell>
          <cell r="FS214">
            <v>2.5999999999999999E-2</v>
          </cell>
          <cell r="FV214">
            <v>0.108</v>
          </cell>
          <cell r="FW214">
            <v>0.05</v>
          </cell>
          <cell r="FX214">
            <v>2.1999999999999999E-2</v>
          </cell>
          <cell r="FY214">
            <v>2.4E-2</v>
          </cell>
          <cell r="GB214">
            <v>1.2E-2</v>
          </cell>
          <cell r="GC214">
            <v>4.1000000000000002E-2</v>
          </cell>
          <cell r="GD214">
            <v>5.5E-2</v>
          </cell>
          <cell r="GE214">
            <v>0.05</v>
          </cell>
        </row>
        <row r="215">
          <cell r="A215" t="str">
            <v>Y/Y ∆ SG&amp;A Ratio (bps)</v>
          </cell>
          <cell r="O215">
            <v>-43.567991140744944</v>
          </cell>
          <cell r="P215">
            <v>-244.03239996622915</v>
          </cell>
          <cell r="Q215">
            <v>-20.550956082671657</v>
          </cell>
          <cell r="R215">
            <v>-84.075891002715622</v>
          </cell>
          <cell r="S215">
            <v>-17.339650138721296</v>
          </cell>
          <cell r="T215">
            <v>92.384736399759305</v>
          </cell>
          <cell r="U215">
            <v>61.110898981799892</v>
          </cell>
          <cell r="V215">
            <v>32.689981507311728</v>
          </cell>
          <cell r="W215">
            <v>-12.829660668512988</v>
          </cell>
          <cell r="X215">
            <v>-8.170721045960839</v>
          </cell>
          <cell r="Y215">
            <v>100.18608670279094</v>
          </cell>
          <cell r="Z215">
            <v>14.714151652506224</v>
          </cell>
          <cell r="AA215">
            <v>165.51544502531269</v>
          </cell>
          <cell r="AB215">
            <v>18.317020299823405</v>
          </cell>
          <cell r="AC215">
            <v>-112.5922893019321</v>
          </cell>
          <cell r="AD215">
            <v>-167.45511084021169</v>
          </cell>
          <cell r="AE215">
            <v>-48.032824186394762</v>
          </cell>
          <cell r="AF215">
            <v>15</v>
          </cell>
          <cell r="AG215">
            <v>-10</v>
          </cell>
          <cell r="AH215">
            <v>-10</v>
          </cell>
          <cell r="AI215">
            <v>-10</v>
          </cell>
          <cell r="AJ215">
            <v>-10</v>
          </cell>
          <cell r="AK215">
            <v>-10</v>
          </cell>
          <cell r="AL215">
            <v>-10</v>
          </cell>
          <cell r="AN215" t="str">
            <v>Total</v>
          </cell>
          <cell r="EL215" t="str">
            <v>Total</v>
          </cell>
          <cell r="ER215">
            <v>0</v>
          </cell>
          <cell r="ES215">
            <v>4.5999999999999999E-2</v>
          </cell>
          <cell r="ET215">
            <v>5.8999999999999997E-2</v>
          </cell>
          <cell r="EU215">
            <v>6.0999999999999999E-2</v>
          </cell>
          <cell r="EV215">
            <v>4.3999999999999997E-2</v>
          </cell>
          <cell r="EX215">
            <v>6.0000000000000001E-3</v>
          </cell>
          <cell r="EY215">
            <v>-2.5999999999999999E-2</v>
          </cell>
          <cell r="EZ215">
            <v>-8.0000000000000002E-3</v>
          </cell>
          <cell r="FA215">
            <v>-0.02</v>
          </cell>
          <cell r="FB215">
            <v>-1.2999999999999999E-2</v>
          </cell>
          <cell r="FD215">
            <v>-2.5999999999999999E-2</v>
          </cell>
          <cell r="FE215">
            <v>-2.1000000000000001E-2</v>
          </cell>
          <cell r="FF215">
            <v>-0.06</v>
          </cell>
          <cell r="FG215">
            <v>-7.0000000000000007E-2</v>
          </cell>
          <cell r="FH215">
            <v>-4.4999999999999998E-2</v>
          </cell>
          <cell r="FJ215">
            <v>-0.09</v>
          </cell>
          <cell r="FK215">
            <v>-9.5000000000000001E-2</v>
          </cell>
          <cell r="FL215">
            <v>-3.5999999999999997E-2</v>
          </cell>
          <cell r="FM215">
            <v>-5.8579119044959507E-3</v>
          </cell>
          <cell r="FN215">
            <v>-5.0987622799162344E-2</v>
          </cell>
          <cell r="FP215">
            <v>5.5E-2</v>
          </cell>
          <cell r="FQ215">
            <v>4.9000000000000002E-2</v>
          </cell>
          <cell r="FR215">
            <v>3.9E-2</v>
          </cell>
          <cell r="FS215">
            <v>4.2999999999999997E-2</v>
          </cell>
          <cell r="FT215">
            <v>4.610434747830261E-2</v>
          </cell>
          <cell r="FV215">
            <v>5.3999999999999999E-2</v>
          </cell>
          <cell r="FW215">
            <v>6.4000000000000001E-2</v>
          </cell>
          <cell r="FX215">
            <v>0.04</v>
          </cell>
          <cell r="FY215">
            <v>5.1999999999999998E-2</v>
          </cell>
          <cell r="FZ215">
            <v>5.2999999999999999E-2</v>
          </cell>
          <cell r="GB215">
            <v>4.3999999999999997E-2</v>
          </cell>
          <cell r="GC215">
            <v>0.03</v>
          </cell>
          <cell r="GD215">
            <v>4.4170626829774157E-2</v>
          </cell>
          <cell r="GE215">
            <v>4.1872044415560798E-2</v>
          </cell>
          <cell r="GF215">
            <v>4.02253638971692E-2</v>
          </cell>
        </row>
        <row r="216">
          <cell r="A216" t="str">
            <v>Operating Income</v>
          </cell>
          <cell r="N216">
            <v>663</v>
          </cell>
          <cell r="O216">
            <v>893</v>
          </cell>
          <cell r="P216">
            <v>1341</v>
          </cell>
          <cell r="Q216">
            <v>1455</v>
          </cell>
          <cell r="R216">
            <v>1693</v>
          </cell>
          <cell r="S216">
            <v>1771</v>
          </cell>
          <cell r="T216">
            <v>1376</v>
          </cell>
          <cell r="U216">
            <v>1411</v>
          </cell>
          <cell r="V216">
            <v>1400</v>
          </cell>
          <cell r="W216">
            <v>1499</v>
          </cell>
          <cell r="X216">
            <v>2138</v>
          </cell>
          <cell r="Y216">
            <v>2273</v>
          </cell>
          <cell r="Z216">
            <v>2033.3823683158116</v>
          </cell>
          <cell r="AA216">
            <v>1425</v>
          </cell>
          <cell r="AB216">
            <v>1454</v>
          </cell>
          <cell r="AC216">
            <v>1919</v>
          </cell>
          <cell r="AD216">
            <v>2386</v>
          </cell>
          <cell r="AE216">
            <v>2671.2966222272662</v>
          </cell>
          <cell r="AF216">
            <v>2777.5915838515448</v>
          </cell>
          <cell r="AG216">
            <v>2903.3832369986631</v>
          </cell>
          <cell r="AH216">
            <v>2933.4651235252149</v>
          </cell>
          <cell r="AI216">
            <v>2933.3028287747547</v>
          </cell>
          <cell r="AJ216">
            <v>2992.4277725080738</v>
          </cell>
          <cell r="AK216">
            <v>3052.4418848331788</v>
          </cell>
          <cell r="AL216">
            <v>3113.357036627538</v>
          </cell>
          <cell r="FV216">
            <v>5.45E-2</v>
          </cell>
          <cell r="FW216">
            <v>5.6500000000000002E-2</v>
          </cell>
          <cell r="FX216">
            <v>3.95E-2</v>
          </cell>
          <cell r="FY216">
            <v>4.7500000000000001E-2</v>
          </cell>
          <cell r="GB216">
            <v>4.9000000000000002E-2</v>
          </cell>
          <cell r="GC216">
            <v>4.7E-2</v>
          </cell>
          <cell r="GD216">
            <v>4.2085313414887082E-2</v>
          </cell>
          <cell r="GE216">
            <v>4.6936022207780398E-2</v>
          </cell>
          <cell r="GF216" t="str">
            <v>2-yr comp</v>
          </cell>
        </row>
        <row r="217">
          <cell r="A217" t="str">
            <v>Operating Margin</v>
          </cell>
          <cell r="N217">
            <v>4.5367455864239771E-2</v>
          </cell>
          <cell r="O217">
            <v>6.0203600080900692E-2</v>
          </cell>
          <cell r="P217">
            <v>8.8107752956636004E-2</v>
          </cell>
          <cell r="Q217">
            <v>9.4695737064757562E-2</v>
          </cell>
          <cell r="R217">
            <v>0.10562106182544138</v>
          </cell>
          <cell r="S217">
            <v>0.10644308210121409</v>
          </cell>
          <cell r="T217">
            <v>8.7171365220145708E-2</v>
          </cell>
          <cell r="U217">
            <v>9.0617172949714206E-2</v>
          </cell>
          <cell r="V217">
            <v>9.0838307812094468E-2</v>
          </cell>
          <cell r="W217">
            <v>9.5017748478701827E-2</v>
          </cell>
          <cell r="X217">
            <v>9.5489057615006701E-2</v>
          </cell>
          <cell r="Y217">
            <v>8.4278828327771602E-2</v>
          </cell>
          <cell r="Z217">
            <v>7.7276721328461653E-2</v>
          </cell>
          <cell r="AA217">
            <v>5.7247308372167766E-2</v>
          </cell>
          <cell r="AB217">
            <v>6.0849550115086838E-2</v>
          </cell>
          <cell r="AC217">
            <v>7.6750789905211378E-2</v>
          </cell>
          <cell r="AD217">
            <v>9.0361673925392919E-2</v>
          </cell>
          <cell r="AE217">
            <v>9.644428925609537E-2</v>
          </cell>
          <cell r="AF217">
            <v>9.7944289256095288E-2</v>
          </cell>
          <cell r="AG217">
            <v>0.10044428925609535</v>
          </cell>
          <cell r="AH217">
            <v>0.10044428925609533</v>
          </cell>
          <cell r="AI217">
            <v>9.9444289256095372E-2</v>
          </cell>
          <cell r="AJ217">
            <v>0.10044428925609539</v>
          </cell>
          <cell r="AK217">
            <v>0.1014442892560953</v>
          </cell>
          <cell r="AL217">
            <v>0.10244428925609532</v>
          </cell>
          <cell r="AN217" t="str">
            <v xml:space="preserve">Consolidated Productivity Factor </v>
          </cell>
          <cell r="EL217" t="str">
            <v xml:space="preserve">Consolidated Productivity Factor </v>
          </cell>
          <cell r="FP217">
            <v>-2.0333333333333332E-2</v>
          </cell>
          <cell r="FQ217">
            <v>-2.2333333333333334E-2</v>
          </cell>
          <cell r="FR217">
            <v>-1.9E-2</v>
          </cell>
          <cell r="FS217">
            <v>-1.0952637301498654E-2</v>
          </cell>
          <cell r="FV217">
            <v>6.333333333333334E-3</v>
          </cell>
          <cell r="FW217">
            <v>6.000000000000001E-3</v>
          </cell>
          <cell r="FX217">
            <v>1.4333333333333335E-2</v>
          </cell>
          <cell r="FY217">
            <v>2.971402936516802E-2</v>
          </cell>
        </row>
        <row r="218">
          <cell r="A218" t="str">
            <v>Y/Y ∆ Operating Margin (bps)</v>
          </cell>
          <cell r="O218">
            <v>148.36144216660921</v>
          </cell>
          <cell r="P218">
            <v>279.04152875735315</v>
          </cell>
          <cell r="Q218">
            <v>65.879841081215588</v>
          </cell>
          <cell r="R218">
            <v>109.25324760683822</v>
          </cell>
          <cell r="S218">
            <v>8.22020275772703</v>
          </cell>
          <cell r="T218">
            <v>-192.7171688106838</v>
          </cell>
          <cell r="U218">
            <v>34.45807729568498</v>
          </cell>
          <cell r="V218">
            <v>2.2113486238026225</v>
          </cell>
          <cell r="W218">
            <v>41.794406666073591</v>
          </cell>
          <cell r="X218">
            <v>4.7130913630487328</v>
          </cell>
          <cell r="Y218">
            <v>-112.10229287235099</v>
          </cell>
          <cell r="Z218">
            <v>-70.021069993099488</v>
          </cell>
          <cell r="AA218">
            <v>-200.29412956293888</v>
          </cell>
          <cell r="AB218">
            <v>36.022417429190725</v>
          </cell>
          <cell r="AC218">
            <v>159.01239790124541</v>
          </cell>
          <cell r="AD218">
            <v>136.10884020181541</v>
          </cell>
          <cell r="AE218">
            <v>60.826153307024512</v>
          </cell>
          <cell r="AF218">
            <v>14.999999999999181</v>
          </cell>
          <cell r="AG218">
            <v>25.000000000000576</v>
          </cell>
          <cell r="AH218">
            <v>-1.3877787807814457E-13</v>
          </cell>
          <cell r="AI218">
            <v>-9.9999999999995932</v>
          </cell>
          <cell r="AJ218">
            <v>10.000000000000147</v>
          </cell>
          <cell r="AK218">
            <v>9.9999999999991758</v>
          </cell>
          <cell r="AL218">
            <v>10.000000000000147</v>
          </cell>
          <cell r="AN218" t="str">
            <v>Month 1</v>
          </cell>
          <cell r="EL218" t="str">
            <v>Month 1</v>
          </cell>
          <cell r="ER218">
            <v>0.85379589916801657</v>
          </cell>
          <cell r="ES218">
            <v>0.82852877251430668</v>
          </cell>
          <cell r="ET218">
            <v>0.83475030563790842</v>
          </cell>
          <cell r="EU218">
            <v>0.91480422703367681</v>
          </cell>
          <cell r="EX218">
            <v>1.0042251017232908</v>
          </cell>
          <cell r="EY218">
            <v>1.0108075527611304</v>
          </cell>
          <cell r="EZ218">
            <v>1.0032705612197608</v>
          </cell>
          <cell r="FA218">
            <v>0.99617129302855612</v>
          </cell>
          <cell r="FD218">
            <v>1.0047260256693704</v>
          </cell>
          <cell r="FE218">
            <v>1.0011731147187122</v>
          </cell>
          <cell r="FF218">
            <v>1.0015681684828099</v>
          </cell>
          <cell r="FG218">
            <v>0.9980273685296247</v>
          </cell>
          <cell r="FJ218">
            <v>1.0146680194879518</v>
          </cell>
          <cell r="FK218">
            <v>1.0229325701507319</v>
          </cell>
          <cell r="FL218">
            <v>1.0237530410429481</v>
          </cell>
          <cell r="FM218">
            <v>1.0168796021749338</v>
          </cell>
          <cell r="FP218">
            <v>1.0016060228776302</v>
          </cell>
          <cell r="FQ218">
            <v>0.98881215735067063</v>
          </cell>
          <cell r="FR218">
            <v>1.0007452413933455</v>
          </cell>
          <cell r="FS218">
            <v>1.0028115913956974</v>
          </cell>
          <cell r="FV218">
            <v>1.0005096291516782</v>
          </cell>
          <cell r="FW218">
            <v>1.0081721608307339</v>
          </cell>
          <cell r="FX218">
            <v>0.99435769750356207</v>
          </cell>
          <cell r="FY218">
            <v>1.0114048185081832</v>
          </cell>
          <cell r="GB218">
            <v>1.0253009585429893</v>
          </cell>
          <cell r="GC218">
            <v>1.0133052611979987</v>
          </cell>
          <cell r="GD218">
            <v>1.018088666893139</v>
          </cell>
          <cell r="GE218">
            <v>1</v>
          </cell>
        </row>
        <row r="219">
          <cell r="AN219" t="str">
            <v>Month 2</v>
          </cell>
          <cell r="EL219" t="str">
            <v>Month 2</v>
          </cell>
          <cell r="ER219">
            <v>0.87143545576033965</v>
          </cell>
          <cell r="ES219">
            <v>0.86259214604526391</v>
          </cell>
          <cell r="ET219">
            <v>0.95476655228407081</v>
          </cell>
          <cell r="EU219">
            <v>0.95390310394604827</v>
          </cell>
          <cell r="EX219">
            <v>0.99756383077735888</v>
          </cell>
          <cell r="EY219">
            <v>1.0076309712339664</v>
          </cell>
          <cell r="EZ219">
            <v>1.0058439901456568</v>
          </cell>
          <cell r="FA219">
            <v>1.0104925603418453</v>
          </cell>
          <cell r="FD219">
            <v>1.0038919718017412</v>
          </cell>
          <cell r="FE219">
            <v>1.0002262623646179</v>
          </cell>
          <cell r="FF219">
            <v>1.0022779610885877</v>
          </cell>
          <cell r="FG219">
            <v>0.98797059201406712</v>
          </cell>
          <cell r="FJ219">
            <v>1.0172356632303496</v>
          </cell>
          <cell r="FK219">
            <v>1.0266388149144143</v>
          </cell>
          <cell r="FL219">
            <v>1.0185440088098592</v>
          </cell>
          <cell r="FM219">
            <v>1.0150644106268683</v>
          </cell>
          <cell r="FP219">
            <v>0.9967530496300272</v>
          </cell>
          <cell r="FQ219">
            <v>0.99989171377441255</v>
          </cell>
          <cell r="FR219">
            <v>1.0028971230689774</v>
          </cell>
          <cell r="FS219">
            <v>0.9946391314592461</v>
          </cell>
          <cell r="FV219">
            <v>1.0074992903911262</v>
          </cell>
          <cell r="FW219">
            <v>1.0057878604073234</v>
          </cell>
          <cell r="FX219">
            <v>1.0057401642886414</v>
          </cell>
          <cell r="FY219">
            <v>1.0118477756232767</v>
          </cell>
          <cell r="GB219">
            <v>1.0102541230632647</v>
          </cell>
          <cell r="GC219">
            <v>1.011143062170935</v>
          </cell>
          <cell r="GD219">
            <v>1</v>
          </cell>
          <cell r="GE219">
            <v>1</v>
          </cell>
          <cell r="GG219" t="str">
            <v>See cells GK224 and GK227 to forecast gross profit for 4Q</v>
          </cell>
          <cell r="GM219" t="str">
            <v>Calculation of Extra Week EPS Benefit</v>
          </cell>
        </row>
        <row r="220">
          <cell r="A220" t="str">
            <v>Bull Case Assumptions</v>
          </cell>
          <cell r="N220">
            <v>1995</v>
          </cell>
          <cell r="O220">
            <v>1996</v>
          </cell>
          <cell r="P220">
            <v>1997</v>
          </cell>
          <cell r="Q220">
            <v>1998</v>
          </cell>
          <cell r="R220">
            <v>1999</v>
          </cell>
          <cell r="S220">
            <v>2000</v>
          </cell>
          <cell r="T220">
            <v>2001</v>
          </cell>
          <cell r="U220">
            <v>2002</v>
          </cell>
          <cell r="V220">
            <v>2003</v>
          </cell>
          <cell r="W220">
            <v>2004</v>
          </cell>
          <cell r="X220">
            <v>2005</v>
          </cell>
          <cell r="Y220">
            <v>2006</v>
          </cell>
          <cell r="Z220">
            <v>2007</v>
          </cell>
          <cell r="AA220">
            <v>2008</v>
          </cell>
          <cell r="AB220">
            <v>2009</v>
          </cell>
          <cell r="AC220">
            <v>2010</v>
          </cell>
          <cell r="AD220">
            <v>2011</v>
          </cell>
          <cell r="AE220" t="str">
            <v>2012E</v>
          </cell>
          <cell r="AF220" t="str">
            <v>2013E</v>
          </cell>
          <cell r="AG220" t="str">
            <v>2014E</v>
          </cell>
          <cell r="AH220" t="str">
            <v>2015E</v>
          </cell>
          <cell r="AI220" t="str">
            <v>2016E</v>
          </cell>
          <cell r="AJ220" t="str">
            <v>2017E</v>
          </cell>
          <cell r="AK220" t="str">
            <v>2018E</v>
          </cell>
          <cell r="AL220" t="str">
            <v>2019E</v>
          </cell>
          <cell r="AN220" t="str">
            <v>Month 3</v>
          </cell>
          <cell r="EL220" t="str">
            <v>Month 3</v>
          </cell>
          <cell r="ER220">
            <v>0.85509041472763314</v>
          </cell>
          <cell r="ES220">
            <v>0.83302342705472399</v>
          </cell>
          <cell r="ET220">
            <v>0.9300581404093593</v>
          </cell>
          <cell r="EU220">
            <v>0.88885616548937241</v>
          </cell>
          <cell r="EX220">
            <v>1.0012993536198342</v>
          </cell>
          <cell r="EY220">
            <v>1.0067406823426219</v>
          </cell>
          <cell r="EZ220">
            <v>1.0010354929971583</v>
          </cell>
          <cell r="FA220">
            <v>0.77697496531497701</v>
          </cell>
          <cell r="FD220">
            <v>0.99998610863561077</v>
          </cell>
          <cell r="FE220">
            <v>1.0000776716315167</v>
          </cell>
          <cell r="FF220">
            <v>1.0026881239876493</v>
          </cell>
          <cell r="FG220">
            <v>1.0034001517037674</v>
          </cell>
          <cell r="FJ220">
            <v>1.017274065207098</v>
          </cell>
          <cell r="FK220">
            <v>1.0307481774152398</v>
          </cell>
          <cell r="FL220">
            <v>1.0154616377110075</v>
          </cell>
          <cell r="FM220">
            <v>1.009307170702717</v>
          </cell>
          <cell r="FP220">
            <v>1.0005893323256754</v>
          </cell>
          <cell r="FQ220">
            <v>1.0111137394005785</v>
          </cell>
          <cell r="FR220">
            <v>1.0254628236300125</v>
          </cell>
          <cell r="FS220">
            <v>1.00775043725629</v>
          </cell>
          <cell r="FV220">
            <v>0.99618702023241001</v>
          </cell>
          <cell r="FW220">
            <v>1.0047825549823146</v>
          </cell>
          <cell r="FX220">
            <v>1.0004489851343907</v>
          </cell>
          <cell r="FY220">
            <v>1.008520012530175</v>
          </cell>
          <cell r="GB220">
            <v>1.0062765433093959</v>
          </cell>
          <cell r="GC220">
            <v>1.0227639737625074</v>
          </cell>
          <cell r="GD220">
            <v>1</v>
          </cell>
          <cell r="GE220">
            <v>1</v>
          </cell>
          <cell r="GG220" t="str">
            <v>See cells GK230 and GK232 to forecast SG&amp;A for 4Q</v>
          </cell>
          <cell r="GM220" t="str">
            <v>Extra week (on = 1, off = 0)</v>
          </cell>
          <cell r="GO220">
            <v>1</v>
          </cell>
        </row>
        <row r="221">
          <cell r="A221" t="str">
            <v>Revenue</v>
          </cell>
          <cell r="N221">
            <v>14614</v>
          </cell>
          <cell r="O221">
            <v>14833</v>
          </cell>
          <cell r="P221">
            <v>15220</v>
          </cell>
          <cell r="Q221">
            <v>15365</v>
          </cell>
          <cell r="R221">
            <v>16029</v>
          </cell>
          <cell r="S221">
            <v>16638</v>
          </cell>
          <cell r="T221">
            <v>15785</v>
          </cell>
          <cell r="U221">
            <v>15571</v>
          </cell>
          <cell r="V221">
            <v>15412</v>
          </cell>
          <cell r="W221">
            <v>15776</v>
          </cell>
          <cell r="X221">
            <v>22390</v>
          </cell>
          <cell r="Y221">
            <v>26970</v>
          </cell>
          <cell r="Z221">
            <v>26313</v>
          </cell>
          <cell r="AA221">
            <v>24892</v>
          </cell>
          <cell r="AB221">
            <v>23904</v>
          </cell>
          <cell r="AC221">
            <v>25003</v>
          </cell>
          <cell r="AD221">
            <v>26405</v>
          </cell>
          <cell r="AE221">
            <v>27959.427458112747</v>
          </cell>
          <cell r="AF221">
            <v>29729.463580880543</v>
          </cell>
          <cell r="AG221">
            <v>30302.392530862733</v>
          </cell>
          <cell r="AH221">
            <v>30616.354918597252</v>
          </cell>
          <cell r="AI221">
            <v>30922.518467783226</v>
          </cell>
          <cell r="AJ221">
            <v>31231.743652461057</v>
          </cell>
          <cell r="AK221">
            <v>31544.061088985669</v>
          </cell>
          <cell r="AL221">
            <v>31859.501699875527</v>
          </cell>
          <cell r="AN221" t="str">
            <v>Total</v>
          </cell>
          <cell r="EL221" t="str">
            <v>Total</v>
          </cell>
          <cell r="EX221">
            <v>0.99364581839822941</v>
          </cell>
          <cell r="EY221">
            <v>1.0053855991928882</v>
          </cell>
          <cell r="EZ221">
            <v>1.0049007333596589</v>
          </cell>
          <cell r="FA221">
            <v>0.96635245216954013</v>
          </cell>
          <cell r="FD221">
            <v>1.0093706103322386</v>
          </cell>
          <cell r="FE221">
            <v>0.99942053289687438</v>
          </cell>
          <cell r="FF221">
            <v>1.0028127761391281</v>
          </cell>
          <cell r="FG221">
            <v>0.99829531956488382</v>
          </cell>
          <cell r="FH221">
            <v>0.99616480017746767</v>
          </cell>
          <cell r="FJ221">
            <v>1.0150952522446879</v>
          </cell>
          <cell r="FK221">
            <v>1.028988144998136</v>
          </cell>
          <cell r="FL221">
            <v>1.0174659464761271</v>
          </cell>
          <cell r="FM221">
            <v>1.004258927748259</v>
          </cell>
          <cell r="FN221">
            <v>1.0094977226152135</v>
          </cell>
          <cell r="FP221">
            <v>1.0000259928958455</v>
          </cell>
          <cell r="FQ221">
            <v>0.99963688802128137</v>
          </cell>
          <cell r="FR221">
            <v>1.0093878458063197</v>
          </cell>
          <cell r="FS221">
            <v>1.0000370362620763</v>
          </cell>
          <cell r="FT221">
            <v>1.0017002547102301</v>
          </cell>
          <cell r="FV221">
            <v>1.0021044058948783</v>
          </cell>
          <cell r="FW221">
            <v>1.0081307827273334</v>
          </cell>
          <cell r="FX221">
            <v>1.0033467891940979</v>
          </cell>
          <cell r="FY221">
            <v>1.0155381429309334</v>
          </cell>
          <cell r="FZ221">
            <v>1.0152922484576603</v>
          </cell>
          <cell r="GB221">
            <v>1.0132824557239268</v>
          </cell>
          <cell r="GC221">
            <v>1.0138954016780533</v>
          </cell>
          <cell r="GD221">
            <v>1.0060645702976547</v>
          </cell>
          <cell r="GE221">
            <v>1.0305274860110949</v>
          </cell>
          <cell r="GF221">
            <v>1.0083583012001358</v>
          </cell>
          <cell r="GG221" t="str">
            <v>53rd Week Adjustments for 4Q12e</v>
          </cell>
          <cell r="GM221" t="str">
            <v>Revenues from extra week</v>
          </cell>
          <cell r="GO221">
            <v>350.71381633376672</v>
          </cell>
        </row>
        <row r="222">
          <cell r="A222" t="str">
            <v xml:space="preserve"> % Same-store</v>
          </cell>
          <cell r="N222">
            <v>2.7E-2</v>
          </cell>
          <cell r="O222">
            <v>3.1E-2</v>
          </cell>
          <cell r="P222">
            <v>2.7E-2</v>
          </cell>
          <cell r="Q222">
            <v>2.1999999999999999E-2</v>
          </cell>
          <cell r="R222">
            <v>4.4999999999999998E-2</v>
          </cell>
          <cell r="S222">
            <v>0.02</v>
          </cell>
          <cell r="T222">
            <v>-5.2999999999999999E-2</v>
          </cell>
          <cell r="U222">
            <v>-0.03</v>
          </cell>
          <cell r="V222">
            <v>-9.0000000000000011E-3</v>
          </cell>
          <cell r="W222">
            <v>2.5999999999999999E-2</v>
          </cell>
          <cell r="X222">
            <v>1.2999999999999999E-2</v>
          </cell>
          <cell r="Y222">
            <v>4.3999999999999997E-2</v>
          </cell>
          <cell r="Z222">
            <v>-1.2799528750047504E-2</v>
          </cell>
          <cell r="AA222">
            <v>-4.4999999999999998E-2</v>
          </cell>
          <cell r="AB222">
            <v>-5.0968425652024113E-2</v>
          </cell>
          <cell r="AC222">
            <v>4.610434747830261E-2</v>
          </cell>
          <cell r="AD222">
            <v>5.2999999999999999E-2</v>
          </cell>
          <cell r="AE222">
            <v>5.0171736300135057E-2</v>
          </cell>
          <cell r="AF222">
            <v>7.5000000000000011E-2</v>
          </cell>
          <cell r="AG222">
            <v>0.02</v>
          </cell>
          <cell r="AH222">
            <v>0.01</v>
          </cell>
          <cell r="AI222">
            <v>0.01</v>
          </cell>
          <cell r="AJ222">
            <v>0.01</v>
          </cell>
          <cell r="AK222">
            <v>0.01</v>
          </cell>
          <cell r="AL222">
            <v>0.01</v>
          </cell>
          <cell r="GJ222" t="str">
            <v>4Q Gross Profit $ (ex 53rd week)</v>
          </cell>
          <cell r="GK222">
            <v>3728.8292256978107</v>
          </cell>
          <cell r="GM222" t="str">
            <v>EBIT from extra week</v>
          </cell>
          <cell r="GO222">
            <v>81.440379311760893</v>
          </cell>
        </row>
        <row r="223">
          <cell r="A223" t="str">
            <v>CGS, OCC, Buying Costs</v>
          </cell>
          <cell r="N223">
            <v>9038</v>
          </cell>
          <cell r="O223">
            <v>9018</v>
          </cell>
          <cell r="P223">
            <v>9200</v>
          </cell>
          <cell r="Q223">
            <v>9218</v>
          </cell>
          <cell r="R223">
            <v>9576</v>
          </cell>
          <cell r="S223">
            <v>9955</v>
          </cell>
          <cell r="T223">
            <v>9603</v>
          </cell>
          <cell r="U223">
            <v>9324</v>
          </cell>
          <cell r="V223">
            <v>9175</v>
          </cell>
          <cell r="W223">
            <v>9346</v>
          </cell>
          <cell r="X223">
            <v>13272</v>
          </cell>
          <cell r="Y223">
            <v>16019</v>
          </cell>
          <cell r="Z223">
            <v>15765.705839502129</v>
          </cell>
          <cell r="AA223">
            <v>15009</v>
          </cell>
          <cell r="AB223">
            <v>14287</v>
          </cell>
          <cell r="AC223">
            <v>14824</v>
          </cell>
          <cell r="AD223">
            <v>15738</v>
          </cell>
          <cell r="AE223">
            <v>16573.058987628334</v>
          </cell>
          <cell r="AF223">
            <v>17384.419050847919</v>
          </cell>
          <cell r="AG223">
            <v>17673.987886043768</v>
          </cell>
          <cell r="AH223">
            <v>17887.724020426696</v>
          </cell>
          <cell r="AI223">
            <v>18128.44629756653</v>
          </cell>
          <cell r="AJ223">
            <v>18309.730760542196</v>
          </cell>
          <cell r="AK223">
            <v>18492.828068147617</v>
          </cell>
          <cell r="AL223">
            <v>18677.756348829098</v>
          </cell>
          <cell r="AN223" t="str">
            <v>Cost of Goods Sold</v>
          </cell>
          <cell r="EL223" t="str">
            <v>Cost of Goods Sold</v>
          </cell>
          <cell r="ER223">
            <v>3627</v>
          </cell>
          <cell r="ES223">
            <v>3470</v>
          </cell>
          <cell r="ET223">
            <v>3513</v>
          </cell>
          <cell r="EU223">
            <v>5409</v>
          </cell>
          <cell r="EV223">
            <v>16019</v>
          </cell>
          <cell r="EX223">
            <v>3564</v>
          </cell>
          <cell r="EY223">
            <v>3507</v>
          </cell>
          <cell r="EZ223">
            <v>3585</v>
          </cell>
          <cell r="FA223">
            <v>5021</v>
          </cell>
          <cell r="FB223">
            <v>15677</v>
          </cell>
          <cell r="FD223">
            <v>3527</v>
          </cell>
          <cell r="FE223">
            <v>3346</v>
          </cell>
          <cell r="FF223">
            <v>3324</v>
          </cell>
          <cell r="FG223">
            <v>4812</v>
          </cell>
          <cell r="FH223">
            <v>15009</v>
          </cell>
          <cell r="FJ223">
            <v>3279</v>
          </cell>
          <cell r="FK223">
            <v>3117</v>
          </cell>
          <cell r="FL223">
            <v>3241</v>
          </cell>
          <cell r="FM223">
            <v>4641</v>
          </cell>
          <cell r="FN223">
            <v>14278</v>
          </cell>
          <cell r="FP223">
            <v>3378</v>
          </cell>
          <cell r="FQ223">
            <v>3214</v>
          </cell>
          <cell r="FR223">
            <v>3377</v>
          </cell>
          <cell r="FS223">
            <v>4855</v>
          </cell>
          <cell r="FT223">
            <v>14824</v>
          </cell>
          <cell r="FV223">
            <v>3586</v>
          </cell>
          <cell r="FW223">
            <v>3457</v>
          </cell>
          <cell r="FX223">
            <v>3544</v>
          </cell>
          <cell r="FY223">
            <v>5151</v>
          </cell>
          <cell r="FZ223">
            <v>15738</v>
          </cell>
          <cell r="GB223">
            <v>3757</v>
          </cell>
          <cell r="GC223">
            <v>3555</v>
          </cell>
          <cell r="GD223">
            <v>3666.0995494313679</v>
          </cell>
          <cell r="GE223">
            <v>5495.0171538201503</v>
          </cell>
          <cell r="GF223">
            <v>16473.116703251519</v>
          </cell>
          <cell r="GJ223" t="str">
            <v>4Q Gross Margin % (ex 53rd week)</v>
          </cell>
          <cell r="GK223">
            <v>0.41355983493810178</v>
          </cell>
          <cell r="GM223" t="str">
            <v>4Q tax rate</v>
          </cell>
          <cell r="GO223">
            <v>0.37</v>
          </cell>
        </row>
        <row r="224">
          <cell r="A224" t="str">
            <v>CGS, OCC, Buying Costs %</v>
          </cell>
          <cell r="N224">
            <v>0.61844806350075265</v>
          </cell>
          <cell r="O224">
            <v>0.60796871839816624</v>
          </cell>
          <cell r="P224">
            <v>0.60446780551905388</v>
          </cell>
          <cell r="Q224">
            <v>0.59993491701919943</v>
          </cell>
          <cell r="R224">
            <v>0.59741718135878719</v>
          </cell>
          <cell r="S224">
            <v>0.5983291260968866</v>
          </cell>
          <cell r="T224">
            <v>0.60836236933797905</v>
          </cell>
          <cell r="U224">
            <v>0.59880547171023057</v>
          </cell>
          <cell r="V224">
            <v>0.59531533869711917</v>
          </cell>
          <cell r="W224">
            <v>0.59241886409736311</v>
          </cell>
          <cell r="X224">
            <v>0.59276462706565436</v>
          </cell>
          <cell r="Y224">
            <v>0.59395624768261035</v>
          </cell>
          <cell r="Z224">
            <v>0.59916033289636794</v>
          </cell>
          <cell r="AA224">
            <v>0.60296480797043228</v>
          </cell>
          <cell r="AB224">
            <v>0.59768239625167341</v>
          </cell>
          <cell r="AC224">
            <v>0.59288885333759944</v>
          </cell>
          <cell r="AD224">
            <v>0.59602348040143915</v>
          </cell>
          <cell r="AE224">
            <v>0.59275387568136595</v>
          </cell>
          <cell r="AF224">
            <v>0.58475387568136594</v>
          </cell>
          <cell r="AG224">
            <v>0.583253875681366</v>
          </cell>
          <cell r="AH224">
            <v>0.584253875681366</v>
          </cell>
          <cell r="AI224">
            <v>0.586253875681366</v>
          </cell>
          <cell r="AJ224">
            <v>0.586253875681366</v>
          </cell>
          <cell r="AK224">
            <v>0.586253875681366</v>
          </cell>
          <cell r="AL224">
            <v>0.58625387568136611</v>
          </cell>
          <cell r="AN224" t="str">
            <v>CGS, OCC, Buying Costs %</v>
          </cell>
          <cell r="EL224" t="str">
            <v>CGS, OCC, Buying Costs %</v>
          </cell>
          <cell r="ER224">
            <v>0.61163575042158513</v>
          </cell>
          <cell r="ES224">
            <v>0.57881567973311088</v>
          </cell>
          <cell r="ET224">
            <v>0.59683995922528033</v>
          </cell>
          <cell r="EU224">
            <v>0.59056665574844414</v>
          </cell>
          <cell r="EV224">
            <v>0.59395624768261035</v>
          </cell>
          <cell r="EX224">
            <v>0.60192535044755957</v>
          </cell>
          <cell r="EY224">
            <v>0.59521384928716903</v>
          </cell>
          <cell r="EZ224">
            <v>0.60700982052150354</v>
          </cell>
          <cell r="FA224">
            <v>0.58424482196881544</v>
          </cell>
          <cell r="FB224">
            <v>0.59578915365028695</v>
          </cell>
          <cell r="FD224">
            <v>0.61371150165303634</v>
          </cell>
          <cell r="FE224">
            <v>0.5851696397341728</v>
          </cell>
          <cell r="FF224">
            <v>0.60513380666302563</v>
          </cell>
          <cell r="FG224">
            <v>0.60650365515502902</v>
          </cell>
          <cell r="FH224">
            <v>0.60296480797043228</v>
          </cell>
          <cell r="FJ224">
            <v>0.62008320726172461</v>
          </cell>
          <cell r="FK224">
            <v>0.58978240302743612</v>
          </cell>
          <cell r="FL224">
            <v>0.6018570102135562</v>
          </cell>
          <cell r="FM224">
            <v>0.58472974675570111</v>
          </cell>
          <cell r="FN224">
            <v>0.59753086419753088</v>
          </cell>
          <cell r="FP224">
            <v>0.60602798708288486</v>
          </cell>
          <cell r="FQ224">
            <v>0.58045873216543253</v>
          </cell>
          <cell r="FR224">
            <v>0.60056909123243818</v>
          </cell>
          <cell r="FS224">
            <v>0.58713266416737209</v>
          </cell>
          <cell r="FT224">
            <v>0.59288885333759944</v>
          </cell>
          <cell r="FV224">
            <v>0.60893190694515198</v>
          </cell>
          <cell r="FW224">
            <v>0.58208452601448057</v>
          </cell>
          <cell r="FX224">
            <v>0.60550145224671104</v>
          </cell>
          <cell r="FY224">
            <v>0.59044016506189823</v>
          </cell>
          <cell r="FZ224">
            <v>0.59602348040143915</v>
          </cell>
          <cell r="GB224">
            <v>0.61159042812957842</v>
          </cell>
          <cell r="GC224">
            <v>0.58107224583197126</v>
          </cell>
          <cell r="GD224">
            <v>0.60400145224671109</v>
          </cell>
          <cell r="GE224">
            <v>0.58662736950345429</v>
          </cell>
          <cell r="GF224">
            <v>0.59474414748937621</v>
          </cell>
          <cell r="GJ224" t="str">
            <v>MS 4Q Core Gross Margin ∆ (ex 53rd week)</v>
          </cell>
          <cell r="GK224">
            <v>40</v>
          </cell>
          <cell r="GM224" t="str">
            <v>Net inc. benefit from extra wk</v>
          </cell>
          <cell r="GO224">
            <v>51.307438966409364</v>
          </cell>
        </row>
        <row r="225">
          <cell r="A225" t="str">
            <v>Y/Y ∆ CGS, OCC, Buying Costs % (bps)</v>
          </cell>
          <cell r="O225">
            <v>-104.79345102586413</v>
          </cell>
          <cell r="P225">
            <v>-35.009128791123615</v>
          </cell>
          <cell r="Q225">
            <v>-45.328884998544481</v>
          </cell>
          <cell r="R225">
            <v>-25.177356604122458</v>
          </cell>
          <cell r="S225">
            <v>9.1194473809941279</v>
          </cell>
          <cell r="T225">
            <v>100.33243241092448</v>
          </cell>
          <cell r="U225">
            <v>-95.568976277484722</v>
          </cell>
          <cell r="V225">
            <v>-34.901330131114072</v>
          </cell>
          <cell r="W225">
            <v>-28.964745997560605</v>
          </cell>
          <cell r="X225">
            <v>3.4576296829125219</v>
          </cell>
          <cell r="Y225">
            <v>11.916206169559906</v>
          </cell>
          <cell r="Z225">
            <v>52.040852137575925</v>
          </cell>
          <cell r="AA225">
            <v>38.044750740643394</v>
          </cell>
          <cell r="AB225">
            <v>-52.824117187588726</v>
          </cell>
          <cell r="AC225">
            <v>-47.935429140739672</v>
          </cell>
          <cell r="AD225">
            <v>31.346270638397122</v>
          </cell>
          <cell r="AE225">
            <v>-32.696047200732046</v>
          </cell>
          <cell r="AF225">
            <v>-80.000000000000071</v>
          </cell>
          <cell r="AG225">
            <v>-14.999999999999458</v>
          </cell>
          <cell r="AH225">
            <v>10.000000000000009</v>
          </cell>
          <cell r="AI225">
            <v>20.000000000000018</v>
          </cell>
          <cell r="AJ225">
            <v>0</v>
          </cell>
          <cell r="AK225">
            <v>0</v>
          </cell>
          <cell r="AL225">
            <v>1.1102230246251565E-12</v>
          </cell>
          <cell r="AN225" t="str">
            <v>BPS Change</v>
          </cell>
          <cell r="EL225" t="str">
            <v>BPS Change</v>
          </cell>
          <cell r="ER225">
            <v>139.97738886292632</v>
          </cell>
          <cell r="ES225">
            <v>-79.90834205613973</v>
          </cell>
          <cell r="ET225">
            <v>6.2033726308408088</v>
          </cell>
          <cell r="EU225">
            <v>-5.9414249625333593</v>
          </cell>
          <cell r="EV225">
            <v>11.916206169559906</v>
          </cell>
          <cell r="EX225">
            <v>-97.103999740255631</v>
          </cell>
          <cell r="EY225">
            <v>163.98169554058151</v>
          </cell>
          <cell r="EZ225">
            <v>101.69861296223215</v>
          </cell>
          <cell r="FA225">
            <v>-63.218337796286939</v>
          </cell>
          <cell r="FB225">
            <v>18.329059676766015</v>
          </cell>
          <cell r="FD225">
            <v>117.86151205476769</v>
          </cell>
          <cell r="FE225">
            <v>-100.4420955299623</v>
          </cell>
          <cell r="FF225">
            <v>-18.760138584779096</v>
          </cell>
          <cell r="FG225">
            <v>222.58833186213579</v>
          </cell>
          <cell r="FH225">
            <v>71.756543201453297</v>
          </cell>
          <cell r="FJ225">
            <v>63.717056086882721</v>
          </cell>
          <cell r="FK225">
            <v>46.127632932633219</v>
          </cell>
          <cell r="FL225">
            <v>-32.767964494694326</v>
          </cell>
          <cell r="FM225">
            <v>-217.73908399327914</v>
          </cell>
          <cell r="FN225">
            <v>-54.339437729014065</v>
          </cell>
          <cell r="FP225">
            <v>-140.55220178839755</v>
          </cell>
          <cell r="FQ225">
            <v>-93.236708620035856</v>
          </cell>
          <cell r="FR225">
            <v>-12.879189811180192</v>
          </cell>
          <cell r="FS225">
            <v>24.029174116709797</v>
          </cell>
          <cell r="FT225">
            <v>-46.420108599314332</v>
          </cell>
          <cell r="FV225">
            <v>29.039198622671236</v>
          </cell>
          <cell r="FW225">
            <v>16.257938490480406</v>
          </cell>
          <cell r="FX225">
            <v>49.323610142728569</v>
          </cell>
          <cell r="FY225">
            <v>33.075008945261388</v>
          </cell>
          <cell r="FZ225">
            <v>31.346270638397122</v>
          </cell>
          <cell r="GB225">
            <v>26.585211844264435</v>
          </cell>
          <cell r="GC225">
            <v>-10.122801825093175</v>
          </cell>
          <cell r="GD225">
            <v>-14.999999999999458</v>
          </cell>
          <cell r="GE225">
            <v>-38.127955584439377</v>
          </cell>
          <cell r="GF225">
            <v>-12.793329120629471</v>
          </cell>
          <cell r="GJ225" t="str">
            <v>Extra Week Gross Profit $ (incremental)</v>
          </cell>
          <cell r="GK225">
            <v>143.28757891183548</v>
          </cell>
          <cell r="GM225" t="str">
            <v>4Q diluted shares</v>
          </cell>
          <cell r="GO225">
            <v>397.54335839599003</v>
          </cell>
        </row>
        <row r="226">
          <cell r="A226" t="str">
            <v>Gross Income</v>
          </cell>
          <cell r="N226">
            <v>5576</v>
          </cell>
          <cell r="O226">
            <v>5815</v>
          </cell>
          <cell r="P226">
            <v>6020</v>
          </cell>
          <cell r="Q226">
            <v>6147</v>
          </cell>
          <cell r="R226">
            <v>6453</v>
          </cell>
          <cell r="S226">
            <v>6683</v>
          </cell>
          <cell r="T226">
            <v>6182</v>
          </cell>
          <cell r="U226">
            <v>6247</v>
          </cell>
          <cell r="V226">
            <v>6237</v>
          </cell>
          <cell r="W226">
            <v>6430</v>
          </cell>
          <cell r="X226">
            <v>9118</v>
          </cell>
          <cell r="Y226">
            <v>10951</v>
          </cell>
          <cell r="Z226">
            <v>10547.294160497871</v>
          </cell>
          <cell r="AA226">
            <v>9883</v>
          </cell>
          <cell r="AB226">
            <v>9617</v>
          </cell>
          <cell r="AC226">
            <v>10179</v>
          </cell>
          <cell r="AD226">
            <v>10667</v>
          </cell>
          <cell r="AE226">
            <v>11386.368470484413</v>
          </cell>
          <cell r="AF226">
            <v>12345.044530032625</v>
          </cell>
          <cell r="AG226">
            <v>12628.404644818967</v>
          </cell>
          <cell r="AH226">
            <v>12728.630898170555</v>
          </cell>
          <cell r="AI226">
            <v>12794.072170216694</v>
          </cell>
          <cell r="AJ226">
            <v>12922.012891918861</v>
          </cell>
          <cell r="AK226">
            <v>13051.23302083805</v>
          </cell>
          <cell r="AL226">
            <v>13181.745351046431</v>
          </cell>
          <cell r="GJ226" t="str">
            <v>Extra Week Gross Margin % (incremental)</v>
          </cell>
          <cell r="GK226">
            <v>0.40855983493810177</v>
          </cell>
          <cell r="GM226" t="str">
            <v>4Q EPS benefit from extra wk</v>
          </cell>
          <cell r="GO226">
            <v>0.12906124044789702</v>
          </cell>
        </row>
        <row r="227">
          <cell r="A227" t="str">
            <v>Gross Margin</v>
          </cell>
          <cell r="N227">
            <v>0.38155193649924729</v>
          </cell>
          <cell r="O227">
            <v>0.39203128160183376</v>
          </cell>
          <cell r="P227">
            <v>0.39553219448094612</v>
          </cell>
          <cell r="Q227">
            <v>0.40006508298080051</v>
          </cell>
          <cell r="R227">
            <v>0.40258281864121281</v>
          </cell>
          <cell r="S227">
            <v>0.40167087390311335</v>
          </cell>
          <cell r="T227">
            <v>0.3916376306620209</v>
          </cell>
          <cell r="U227">
            <v>0.40119452828976943</v>
          </cell>
          <cell r="V227">
            <v>0.40468466130288089</v>
          </cell>
          <cell r="W227">
            <v>0.40758113590263689</v>
          </cell>
          <cell r="X227">
            <v>0.4072353729343457</v>
          </cell>
          <cell r="Y227">
            <v>0.40604375231738971</v>
          </cell>
          <cell r="Z227">
            <v>0.40083966710363211</v>
          </cell>
          <cell r="AA227">
            <v>0.39703519202956772</v>
          </cell>
          <cell r="AB227">
            <v>0.40231760374832665</v>
          </cell>
          <cell r="AC227">
            <v>0.4071111466624005</v>
          </cell>
          <cell r="AD227">
            <v>0.4039765195985609</v>
          </cell>
          <cell r="AE227">
            <v>0.407246124318634</v>
          </cell>
          <cell r="AF227">
            <v>0.415246124318634</v>
          </cell>
          <cell r="AG227">
            <v>0.416746124318634</v>
          </cell>
          <cell r="AH227">
            <v>0.415746124318634</v>
          </cell>
          <cell r="AI227">
            <v>0.413746124318634</v>
          </cell>
          <cell r="AJ227">
            <v>0.413746124318634</v>
          </cell>
          <cell r="AK227">
            <v>0.413746124318634</v>
          </cell>
          <cell r="AL227">
            <v>0.413746124318634</v>
          </cell>
          <cell r="AN227" t="str">
            <v>Gross Income</v>
          </cell>
          <cell r="EL227" t="str">
            <v>Gross Income</v>
          </cell>
          <cell r="ER227">
            <v>2303</v>
          </cell>
          <cell r="ES227">
            <v>2525</v>
          </cell>
          <cell r="ET227">
            <v>2373</v>
          </cell>
          <cell r="EU227">
            <v>3750</v>
          </cell>
          <cell r="EV227">
            <v>10951</v>
          </cell>
          <cell r="EX227">
            <v>2357</v>
          </cell>
          <cell r="EY227">
            <v>2385</v>
          </cell>
          <cell r="EZ227">
            <v>2321</v>
          </cell>
          <cell r="FA227">
            <v>3573</v>
          </cell>
          <cell r="FB227">
            <v>10636</v>
          </cell>
          <cell r="FD227">
            <v>2220</v>
          </cell>
          <cell r="FE227">
            <v>2372</v>
          </cell>
          <cell r="FF227">
            <v>2169</v>
          </cell>
          <cell r="FG227">
            <v>3122</v>
          </cell>
          <cell r="FH227">
            <v>9883</v>
          </cell>
          <cell r="FJ227">
            <v>2009</v>
          </cell>
          <cell r="FK227">
            <v>2168</v>
          </cell>
          <cell r="FL227">
            <v>2144</v>
          </cell>
          <cell r="FM227">
            <v>3296</v>
          </cell>
          <cell r="FN227">
            <v>9617</v>
          </cell>
          <cell r="FP227">
            <v>2196</v>
          </cell>
          <cell r="FQ227">
            <v>2323</v>
          </cell>
          <cell r="FR227">
            <v>2246</v>
          </cell>
          <cell r="FS227">
            <v>3414</v>
          </cell>
          <cell r="FT227">
            <v>10179</v>
          </cell>
          <cell r="FU227" t="str">
            <v>2H</v>
          </cell>
          <cell r="FV227">
            <v>2303</v>
          </cell>
          <cell r="FW227">
            <v>2482</v>
          </cell>
          <cell r="FX227">
            <v>2309</v>
          </cell>
          <cell r="FY227">
            <v>3573</v>
          </cell>
          <cell r="FZ227">
            <v>10667</v>
          </cell>
          <cell r="GB227">
            <v>2386</v>
          </cell>
          <cell r="GC227">
            <v>2563</v>
          </cell>
          <cell r="GD227">
            <v>2403.5870975038929</v>
          </cell>
          <cell r="GE227">
            <v>3872.1168046096464</v>
          </cell>
          <cell r="GF227">
            <v>11224.703902113539</v>
          </cell>
          <cell r="GJ227" t="str">
            <v>Extra Week Gross Margin ∆ bps (incremental vs 4Q)</v>
          </cell>
          <cell r="GK227">
            <v>-50</v>
          </cell>
          <cell r="GM227" t="str">
            <v>FY12 diluted shares</v>
          </cell>
          <cell r="GO227">
            <v>411.14899749373433</v>
          </cell>
        </row>
        <row r="228">
          <cell r="A228" t="str">
            <v>Y/Y ∆ Gross Margin (bps)</v>
          </cell>
          <cell r="O228">
            <v>104.79345102586468</v>
          </cell>
          <cell r="P228">
            <v>35.009128791123615</v>
          </cell>
          <cell r="Q228">
            <v>45.328884998543927</v>
          </cell>
          <cell r="R228">
            <v>25.177356604123013</v>
          </cell>
          <cell r="S228">
            <v>-9.1194473809946821</v>
          </cell>
          <cell r="T228">
            <v>-100.33243241092448</v>
          </cell>
          <cell r="U228">
            <v>95.568976277485291</v>
          </cell>
          <cell r="V228">
            <v>34.901330131114626</v>
          </cell>
          <cell r="W228">
            <v>28.964745997560048</v>
          </cell>
          <cell r="X228">
            <v>-3.4576296829119668</v>
          </cell>
          <cell r="Y228">
            <v>-11.916206169559906</v>
          </cell>
          <cell r="Z228">
            <v>-52.040852137575925</v>
          </cell>
          <cell r="AA228">
            <v>-38.044750740643948</v>
          </cell>
          <cell r="AB228">
            <v>52.82411718758928</v>
          </cell>
          <cell r="AC228">
            <v>47.935429140738563</v>
          </cell>
          <cell r="AD228">
            <v>-31.346270638396014</v>
          </cell>
          <cell r="AE228">
            <v>32.696047200730938</v>
          </cell>
          <cell r="AF228">
            <v>80</v>
          </cell>
          <cell r="AG228">
            <v>15</v>
          </cell>
          <cell r="AH228">
            <v>-10</v>
          </cell>
          <cell r="AI228">
            <v>-20</v>
          </cell>
          <cell r="AJ228">
            <v>0</v>
          </cell>
          <cell r="AK228">
            <v>0</v>
          </cell>
          <cell r="AL228">
            <v>0</v>
          </cell>
          <cell r="AN228" t="str">
            <v>Gross Margin</v>
          </cell>
          <cell r="EL228" t="str">
            <v>Gross Margin</v>
          </cell>
          <cell r="ER228">
            <v>0.38836424957841487</v>
          </cell>
          <cell r="ES228">
            <v>0.42118432026688907</v>
          </cell>
          <cell r="ET228">
            <v>0.40316004077471967</v>
          </cell>
          <cell r="EU228">
            <v>0.40943334425155586</v>
          </cell>
          <cell r="EV228">
            <v>0.40604375231738971</v>
          </cell>
          <cell r="EX228">
            <v>0.39807464955244048</v>
          </cell>
          <cell r="EY228">
            <v>0.40478615071283097</v>
          </cell>
          <cell r="EZ228">
            <v>0.39299017947849646</v>
          </cell>
          <cell r="FA228">
            <v>0.41575517803118456</v>
          </cell>
          <cell r="FB228">
            <v>0.40421084634971305</v>
          </cell>
          <cell r="FD228">
            <v>0.38628849834696366</v>
          </cell>
          <cell r="FE228">
            <v>0.4148303602658272</v>
          </cell>
          <cell r="FF228">
            <v>0.39486619333697431</v>
          </cell>
          <cell r="FG228">
            <v>0.39349634484497104</v>
          </cell>
          <cell r="FH228">
            <v>0.39703519202956772</v>
          </cell>
          <cell r="FJ228">
            <v>0.37991679273827533</v>
          </cell>
          <cell r="FK228">
            <v>0.41021759697256388</v>
          </cell>
          <cell r="FL228">
            <v>0.3981429897864438</v>
          </cell>
          <cell r="FM228">
            <v>0.41527025324429884</v>
          </cell>
          <cell r="FN228">
            <v>0.40246913580246912</v>
          </cell>
          <cell r="FP228">
            <v>0.3939720129171152</v>
          </cell>
          <cell r="FQ228">
            <v>0.41954126783456747</v>
          </cell>
          <cell r="FR228">
            <v>0.39943090876756182</v>
          </cell>
          <cell r="FS228">
            <v>0.41286733583262791</v>
          </cell>
          <cell r="FT228">
            <v>0.4071111466624005</v>
          </cell>
          <cell r="FU228">
            <v>0.40742873596314427</v>
          </cell>
          <cell r="FV228">
            <v>0.39106809305484802</v>
          </cell>
          <cell r="FW228">
            <v>0.41791547398551943</v>
          </cell>
          <cell r="FX228">
            <v>0.39449854775328891</v>
          </cell>
          <cell r="FY228">
            <v>0.40955983493810177</v>
          </cell>
          <cell r="FZ228">
            <v>0.4039765195985609</v>
          </cell>
          <cell r="GB228">
            <v>0.38840957187042163</v>
          </cell>
          <cell r="GC228">
            <v>0.41892775416802874</v>
          </cell>
          <cell r="GD228">
            <v>0.39599854775328891</v>
          </cell>
          <cell r="GE228">
            <v>0.41337263049654577</v>
          </cell>
          <cell r="GF228">
            <v>0.40525585251062379</v>
          </cell>
          <cell r="GM228" t="str">
            <v>FY12 EPS benefit</v>
          </cell>
          <cell r="GO228">
            <v>0.12479037837661579</v>
          </cell>
        </row>
        <row r="229">
          <cell r="A229" t="str">
            <v>SG&amp;A Expenses</v>
          </cell>
          <cell r="N229">
            <v>4913</v>
          </cell>
          <cell r="O229">
            <v>4922</v>
          </cell>
          <cell r="P229">
            <v>4679</v>
          </cell>
          <cell r="Q229">
            <v>4692</v>
          </cell>
          <cell r="R229">
            <v>4760</v>
          </cell>
          <cell r="S229">
            <v>4912</v>
          </cell>
          <cell r="T229">
            <v>4806</v>
          </cell>
          <cell r="U229">
            <v>4836</v>
          </cell>
          <cell r="V229">
            <v>4837</v>
          </cell>
          <cell r="W229">
            <v>4931</v>
          </cell>
          <cell r="X229">
            <v>6980</v>
          </cell>
          <cell r="Y229">
            <v>8678</v>
          </cell>
          <cell r="Z229">
            <v>8486.7237921820597</v>
          </cell>
          <cell r="AA229">
            <v>8458</v>
          </cell>
          <cell r="AB229">
            <v>8163</v>
          </cell>
          <cell r="AC229">
            <v>8260</v>
          </cell>
          <cell r="AD229">
            <v>8281</v>
          </cell>
          <cell r="AE229">
            <v>8590.9232459556424</v>
          </cell>
          <cell r="AF229">
            <v>9075.3325541519971</v>
          </cell>
          <cell r="AG229">
            <v>9219.9246980410044</v>
          </cell>
          <cell r="AH229">
            <v>9284.8357695452942</v>
          </cell>
          <cell r="AI229">
            <v>9346.7616087729639</v>
          </cell>
          <cell r="AJ229">
            <v>9408.997481208231</v>
          </cell>
          <cell r="AK229">
            <v>9471.5433949313283</v>
          </cell>
          <cell r="AL229">
            <v>9534.3993271807667</v>
          </cell>
          <cell r="AN229" t="str">
            <v>BPS Change</v>
          </cell>
          <cell r="EL229" t="str">
            <v>BPS Change</v>
          </cell>
          <cell r="ER229">
            <v>-139.97738886292632</v>
          </cell>
          <cell r="ES229">
            <v>79.908342056138622</v>
          </cell>
          <cell r="ET229">
            <v>-6.2033726308408088</v>
          </cell>
          <cell r="EU229">
            <v>5.9414249625339144</v>
          </cell>
          <cell r="EV229">
            <v>-11.916206169559906</v>
          </cell>
          <cell r="EX229">
            <v>97.103999740256185</v>
          </cell>
          <cell r="EY229">
            <v>-163.98169554058094</v>
          </cell>
          <cell r="EZ229">
            <v>-101.69861296223215</v>
          </cell>
          <cell r="FA229">
            <v>63.218337796286939</v>
          </cell>
          <cell r="FB229">
            <v>-18.329059676766569</v>
          </cell>
          <cell r="FD229">
            <v>-117.86151205476824</v>
          </cell>
          <cell r="FE229">
            <v>100.4420955299623</v>
          </cell>
          <cell r="FF229">
            <v>18.760138584778542</v>
          </cell>
          <cell r="FG229">
            <v>-222.58833186213522</v>
          </cell>
          <cell r="FH229">
            <v>-71.756543201453297</v>
          </cell>
          <cell r="FJ229">
            <v>-63.717056086883275</v>
          </cell>
          <cell r="FK229">
            <v>-46.127632932633219</v>
          </cell>
          <cell r="FL229">
            <v>32.76796449469488</v>
          </cell>
          <cell r="FM229">
            <v>217.73908399327803</v>
          </cell>
          <cell r="FN229">
            <v>54.339437729014065</v>
          </cell>
          <cell r="FP229">
            <v>140.55220178839866</v>
          </cell>
          <cell r="FQ229">
            <v>93.236708620035856</v>
          </cell>
          <cell r="FR229">
            <v>12.879189811180192</v>
          </cell>
          <cell r="FS229">
            <v>-24.029174116709239</v>
          </cell>
          <cell r="FT229">
            <v>46.420108599313778</v>
          </cell>
          <cell r="FU229">
            <v>0.40834709503077615</v>
          </cell>
          <cell r="FV229">
            <v>-29.03919862267179</v>
          </cell>
          <cell r="FW229">
            <v>-16.257938490480406</v>
          </cell>
          <cell r="FX229">
            <v>-49.323610142729123</v>
          </cell>
          <cell r="FY229">
            <v>-33.075008945261388</v>
          </cell>
          <cell r="FZ229">
            <v>-31.346270638396014</v>
          </cell>
          <cell r="GB229">
            <v>-26.585211844263878</v>
          </cell>
          <cell r="GC229">
            <v>10.122801825093175</v>
          </cell>
          <cell r="GD229">
            <v>15</v>
          </cell>
          <cell r="GE229">
            <v>38.127955584439931</v>
          </cell>
          <cell r="GF229">
            <v>12.793329120628915</v>
          </cell>
          <cell r="GG229" t="str">
            <v>SEE CREDIT INCOME TAB FOR SG&amp;A EXPENSE CALCS</v>
          </cell>
        </row>
        <row r="230">
          <cell r="A230" t="str">
            <v>SG&amp;A Ratio</v>
          </cell>
          <cell r="N230">
            <v>0.33618448063500755</v>
          </cell>
          <cell r="O230">
            <v>0.33182768152093306</v>
          </cell>
          <cell r="P230">
            <v>0.30742444152431014</v>
          </cell>
          <cell r="Q230">
            <v>0.30536934591604298</v>
          </cell>
          <cell r="R230">
            <v>0.29696175681577142</v>
          </cell>
          <cell r="S230">
            <v>0.29522779180189929</v>
          </cell>
          <cell r="T230">
            <v>0.30446626544187522</v>
          </cell>
          <cell r="U230">
            <v>0.31057735534005521</v>
          </cell>
          <cell r="V230">
            <v>0.31384635349078638</v>
          </cell>
          <cell r="W230">
            <v>0.31256338742393508</v>
          </cell>
          <cell r="X230">
            <v>0.311746315319339</v>
          </cell>
          <cell r="Y230">
            <v>0.32176492398961809</v>
          </cell>
          <cell r="Z230">
            <v>0.32252969225029682</v>
          </cell>
          <cell r="AA230">
            <v>0.33978788365739998</v>
          </cell>
          <cell r="AB230">
            <v>0.34149096385542171</v>
          </cell>
          <cell r="AC230">
            <v>0.33036035675718911</v>
          </cell>
          <cell r="AD230">
            <v>0.31361484567316794</v>
          </cell>
          <cell r="AE230">
            <v>0.30726391872029868</v>
          </cell>
          <cell r="AF230">
            <v>0.30526391872029868</v>
          </cell>
          <cell r="AG230">
            <v>0.30426391872029868</v>
          </cell>
          <cell r="AH230">
            <v>0.30326391872029868</v>
          </cell>
          <cell r="AI230">
            <v>0.30226391872029867</v>
          </cell>
          <cell r="AJ230">
            <v>0.30126391872029867</v>
          </cell>
          <cell r="AK230">
            <v>0.30026391872029867</v>
          </cell>
          <cell r="AL230">
            <v>0.29926391872029867</v>
          </cell>
          <cell r="GB230" t="str">
            <v>SEE CREDIT INCOME TAB FOR SG&amp;A FORECASTS</v>
          </cell>
          <cell r="GJ230" t="str">
            <v>Extra Week SG&amp;A $ (incremental)</v>
          </cell>
          <cell r="GK230">
            <v>61.847199600074589</v>
          </cell>
        </row>
        <row r="231">
          <cell r="A231" t="str">
            <v>Y/Y ∆ SG&amp;A Ratio (bps)</v>
          </cell>
          <cell r="O231">
            <v>-43.567991140744944</v>
          </cell>
          <cell r="P231">
            <v>-244.03239996622915</v>
          </cell>
          <cell r="Q231">
            <v>-20.550956082671657</v>
          </cell>
          <cell r="R231">
            <v>-84.075891002715622</v>
          </cell>
          <cell r="S231">
            <v>-17.339650138721296</v>
          </cell>
          <cell r="T231">
            <v>92.384736399759305</v>
          </cell>
          <cell r="U231">
            <v>61.110898981799892</v>
          </cell>
          <cell r="V231">
            <v>32.689981507311728</v>
          </cell>
          <cell r="W231">
            <v>-12.829660668512988</v>
          </cell>
          <cell r="X231">
            <v>-8.170721045960839</v>
          </cell>
          <cell r="Y231">
            <v>100.18608670279094</v>
          </cell>
          <cell r="Z231">
            <v>7.6476826067872761</v>
          </cell>
          <cell r="AA231">
            <v>172.58191407103163</v>
          </cell>
          <cell r="AB231">
            <v>17.030801980217337</v>
          </cell>
          <cell r="AC231">
            <v>-111.30607098232603</v>
          </cell>
          <cell r="AD231">
            <v>-167.45511084021169</v>
          </cell>
          <cell r="AE231">
            <v>-63.509269528692627</v>
          </cell>
          <cell r="AF231">
            <v>-20</v>
          </cell>
          <cell r="AG231">
            <v>-10</v>
          </cell>
          <cell r="AH231">
            <v>-10</v>
          </cell>
          <cell r="AI231">
            <v>-10</v>
          </cell>
          <cell r="AJ231">
            <v>-10</v>
          </cell>
          <cell r="AK231">
            <v>-10</v>
          </cell>
          <cell r="AL231">
            <v>-10</v>
          </cell>
          <cell r="AN231" t="str">
            <v>SG&amp;A Expenses (Total)</v>
          </cell>
          <cell r="EL231" t="str">
            <v>SG&amp;A Expenses (Total)</v>
          </cell>
          <cell r="ER231">
            <v>2154</v>
          </cell>
          <cell r="ES231">
            <v>2117</v>
          </cell>
          <cell r="ET231">
            <v>2094</v>
          </cell>
          <cell r="EU231">
            <v>2313</v>
          </cell>
          <cell r="EV231">
            <v>8678</v>
          </cell>
          <cell r="EX231">
            <v>2113</v>
          </cell>
          <cell r="EY231">
            <v>2038</v>
          </cell>
          <cell r="EZ231">
            <v>2121</v>
          </cell>
          <cell r="FA231">
            <v>2282</v>
          </cell>
          <cell r="FB231">
            <v>8554</v>
          </cell>
          <cell r="FD231">
            <v>2080</v>
          </cell>
          <cell r="FE231">
            <v>2037</v>
          </cell>
          <cell r="FF231">
            <v>2085</v>
          </cell>
          <cell r="FG231">
            <v>2256</v>
          </cell>
          <cell r="FH231">
            <v>8458</v>
          </cell>
          <cell r="FJ231">
            <v>1985</v>
          </cell>
          <cell r="FK231">
            <v>1886</v>
          </cell>
          <cell r="FL231">
            <v>2056</v>
          </cell>
          <cell r="FM231">
            <v>2236</v>
          </cell>
          <cell r="FN231">
            <v>8163</v>
          </cell>
          <cell r="FP231">
            <v>1993</v>
          </cell>
          <cell r="FQ231">
            <v>1953</v>
          </cell>
          <cell r="FR231">
            <v>2069</v>
          </cell>
          <cell r="FS231">
            <v>2245</v>
          </cell>
          <cell r="FT231">
            <v>8260</v>
          </cell>
          <cell r="FU231">
            <v>4314</v>
          </cell>
          <cell r="FV231">
            <v>1973</v>
          </cell>
          <cell r="FW231">
            <v>1976</v>
          </cell>
          <cell r="FX231">
            <v>2018</v>
          </cell>
          <cell r="FY231">
            <v>2314</v>
          </cell>
          <cell r="FZ231">
            <v>8281</v>
          </cell>
          <cell r="GB231">
            <v>1995</v>
          </cell>
          <cell r="GC231">
            <v>2009</v>
          </cell>
          <cell r="GD231">
            <v>2122.0121029772449</v>
          </cell>
          <cell r="GE231">
            <v>2427.3951769090281</v>
          </cell>
          <cell r="GF231">
            <v>8553.4072798862726</v>
          </cell>
          <cell r="GM231" t="str">
            <v>Bull Retail Revenues from extra week</v>
          </cell>
          <cell r="GO231">
            <v>357.39407950202894</v>
          </cell>
        </row>
        <row r="232">
          <cell r="A232" t="str">
            <v>Operating Income</v>
          </cell>
          <cell r="N232">
            <v>663</v>
          </cell>
          <cell r="O232">
            <v>893</v>
          </cell>
          <cell r="P232">
            <v>1341</v>
          </cell>
          <cell r="Q232">
            <v>1455</v>
          </cell>
          <cell r="R232">
            <v>1693</v>
          </cell>
          <cell r="S232">
            <v>1771</v>
          </cell>
          <cell r="T232">
            <v>1376</v>
          </cell>
          <cell r="U232">
            <v>1411</v>
          </cell>
          <cell r="V232">
            <v>1400</v>
          </cell>
          <cell r="W232">
            <v>1499</v>
          </cell>
          <cell r="X232">
            <v>2138</v>
          </cell>
          <cell r="Y232">
            <v>2273</v>
          </cell>
          <cell r="Z232">
            <v>2060.5703683158117</v>
          </cell>
          <cell r="AA232">
            <v>1425</v>
          </cell>
          <cell r="AB232">
            <v>1454</v>
          </cell>
          <cell r="AC232">
            <v>1919</v>
          </cell>
          <cell r="AD232">
            <v>2386</v>
          </cell>
          <cell r="AE232">
            <v>2795.4452245287703</v>
          </cell>
          <cell r="AF232">
            <v>3269.7119758806275</v>
          </cell>
          <cell r="AG232">
            <v>3408.4799467779631</v>
          </cell>
          <cell r="AH232">
            <v>3443.795128625261</v>
          </cell>
          <cell r="AI232">
            <v>3447.31056144373</v>
          </cell>
          <cell r="AJ232">
            <v>3513.01541071063</v>
          </cell>
          <cell r="AK232">
            <v>3579.6896259067216</v>
          </cell>
          <cell r="AL232">
            <v>3647.3460238656644</v>
          </cell>
          <cell r="AN232" t="str">
            <v>SG&amp;A Expense (Ex Pension, Incl. Credit)</v>
          </cell>
          <cell r="EL232" t="str">
            <v>SG&amp;A Expense (Core Operations)</v>
          </cell>
          <cell r="ER232">
            <v>0.36323777403035412</v>
          </cell>
          <cell r="ES232">
            <v>0.35312760633861551</v>
          </cell>
          <cell r="ET232">
            <v>0.35575942915392456</v>
          </cell>
          <cell r="EU232">
            <v>0.25253848673435964</v>
          </cell>
          <cell r="EV232">
            <v>0.32176492398961809</v>
          </cell>
          <cell r="EX232">
            <v>2078</v>
          </cell>
          <cell r="EY232">
            <v>1998</v>
          </cell>
          <cell r="EZ232">
            <v>2082</v>
          </cell>
          <cell r="FA232">
            <v>2243</v>
          </cell>
          <cell r="FB232">
            <v>8401</v>
          </cell>
          <cell r="FD232">
            <v>2033</v>
          </cell>
          <cell r="FE232">
            <v>1976</v>
          </cell>
          <cell r="FF232">
            <v>2023</v>
          </cell>
          <cell r="FG232">
            <v>2215</v>
          </cell>
          <cell r="FH232">
            <v>11928</v>
          </cell>
          <cell r="FJ232">
            <v>1876</v>
          </cell>
          <cell r="FK232">
            <v>1731</v>
          </cell>
          <cell r="FL232">
            <v>1946</v>
          </cell>
          <cell r="FM232">
            <v>2171</v>
          </cell>
          <cell r="FN232">
            <v>7724</v>
          </cell>
          <cell r="FP232">
            <v>1838.25</v>
          </cell>
          <cell r="FQ232">
            <v>1828.25</v>
          </cell>
          <cell r="FR232">
            <v>1944.25</v>
          </cell>
          <cell r="FS232">
            <v>2210.25</v>
          </cell>
          <cell r="FT232">
            <v>7821</v>
          </cell>
          <cell r="FU232">
            <v>1.6254416961130724E-2</v>
          </cell>
          <cell r="FV232">
            <v>1938.25</v>
          </cell>
          <cell r="FW232">
            <v>1938</v>
          </cell>
          <cell r="FX232">
            <v>1980</v>
          </cell>
          <cell r="FY232">
            <v>2275</v>
          </cell>
          <cell r="FZ232">
            <v>8131.25</v>
          </cell>
          <cell r="GB232">
            <v>1944.25</v>
          </cell>
          <cell r="GC232">
            <v>1952</v>
          </cell>
          <cell r="GD232">
            <v>2066.0121029772449</v>
          </cell>
          <cell r="GE232">
            <v>2370.3951769090281</v>
          </cell>
          <cell r="GF232">
            <v>8332.6572798862726</v>
          </cell>
          <cell r="GM232" t="str">
            <v>Bear Retail Revenues from extra week</v>
          </cell>
          <cell r="GO232">
            <v>344.03355316550449</v>
          </cell>
        </row>
        <row r="233">
          <cell r="A233" t="str">
            <v>Operating Margin</v>
          </cell>
          <cell r="N233">
            <v>4.5367455864239771E-2</v>
          </cell>
          <cell r="O233">
            <v>6.0203600080900692E-2</v>
          </cell>
          <cell r="P233">
            <v>8.8107752956636004E-2</v>
          </cell>
          <cell r="Q233">
            <v>9.4695737064757562E-2</v>
          </cell>
          <cell r="R233">
            <v>0.10562106182544138</v>
          </cell>
          <cell r="S233">
            <v>0.10644308210121409</v>
          </cell>
          <cell r="T233">
            <v>8.7171365220145708E-2</v>
          </cell>
          <cell r="U233">
            <v>9.0617172949714206E-2</v>
          </cell>
          <cell r="V233">
            <v>9.0838307812094468E-2</v>
          </cell>
          <cell r="W233">
            <v>9.5017748478701827E-2</v>
          </cell>
          <cell r="X233">
            <v>9.5489057615006701E-2</v>
          </cell>
          <cell r="Y233">
            <v>8.4278828327771602E-2</v>
          </cell>
          <cell r="Z233">
            <v>7.8309974853335296E-2</v>
          </cell>
          <cell r="AA233">
            <v>5.7247308372167766E-2</v>
          </cell>
          <cell r="AB233">
            <v>6.0826639892904953E-2</v>
          </cell>
          <cell r="AC233">
            <v>7.6750789905211378E-2</v>
          </cell>
          <cell r="AD233">
            <v>9.0361673925392919E-2</v>
          </cell>
          <cell r="AE233">
            <v>9.9982205598335316E-2</v>
          </cell>
          <cell r="AF233">
            <v>0.10998220559833537</v>
          </cell>
          <cell r="AG233">
            <v>0.11248220559833534</v>
          </cell>
          <cell r="AH233">
            <v>0.11248220559833533</v>
          </cell>
          <cell r="AI233">
            <v>0.1114822055983353</v>
          </cell>
          <cell r="AJ233">
            <v>0.11248220559833537</v>
          </cell>
          <cell r="AK233">
            <v>0.11348220559833534</v>
          </cell>
          <cell r="AL233">
            <v>0.11448220559833534</v>
          </cell>
          <cell r="AN233" t="str">
            <v>Pension Expense (Benefit)</v>
          </cell>
          <cell r="EL233" t="str">
            <v>Pension Expense (Benefit)</v>
          </cell>
          <cell r="ER233">
            <v>300.87540578005888</v>
          </cell>
          <cell r="ES233">
            <v>202.54296926526084</v>
          </cell>
          <cell r="ET233">
            <v>5.8391160216936244</v>
          </cell>
          <cell r="EU233">
            <v>-178.61680437304796</v>
          </cell>
          <cell r="EV233">
            <v>100.18608670279094</v>
          </cell>
          <cell r="EX233">
            <v>35</v>
          </cell>
          <cell r="EY233">
            <v>40</v>
          </cell>
          <cell r="EZ233">
            <v>39</v>
          </cell>
          <cell r="FA233">
            <v>39</v>
          </cell>
          <cell r="FB233">
            <v>153</v>
          </cell>
          <cell r="FD233">
            <v>38</v>
          </cell>
          <cell r="FE233">
            <v>37</v>
          </cell>
          <cell r="FF233">
            <v>38</v>
          </cell>
          <cell r="FG233">
            <v>17</v>
          </cell>
          <cell r="FH233">
            <v>130</v>
          </cell>
          <cell r="FJ233">
            <v>34</v>
          </cell>
          <cell r="FK233">
            <v>35</v>
          </cell>
          <cell r="FL233">
            <v>35</v>
          </cell>
          <cell r="FM233">
            <v>35</v>
          </cell>
          <cell r="FN233">
            <v>139</v>
          </cell>
          <cell r="FP233">
            <v>34.75</v>
          </cell>
          <cell r="FQ233">
            <v>34.75</v>
          </cell>
          <cell r="FR233">
            <v>34.75</v>
          </cell>
          <cell r="FS233">
            <v>34.75</v>
          </cell>
          <cell r="FT233">
            <v>139</v>
          </cell>
          <cell r="FV233">
            <v>34.75</v>
          </cell>
          <cell r="FW233">
            <v>38</v>
          </cell>
          <cell r="FX233">
            <v>38</v>
          </cell>
          <cell r="FY233">
            <v>39</v>
          </cell>
          <cell r="FZ233">
            <v>149.75</v>
          </cell>
          <cell r="GB233">
            <v>50.75</v>
          </cell>
          <cell r="GC233">
            <v>57</v>
          </cell>
          <cell r="GD233">
            <v>56</v>
          </cell>
          <cell r="GE233">
            <v>57</v>
          </cell>
          <cell r="GF233">
            <v>220.75</v>
          </cell>
        </row>
        <row r="234">
          <cell r="A234" t="str">
            <v>Y/Y ∆ Operating Margin (bps)</v>
          </cell>
          <cell r="O234">
            <v>148.36144216660921</v>
          </cell>
          <cell r="P234">
            <v>279.04152875735315</v>
          </cell>
          <cell r="Q234">
            <v>65.879841081215588</v>
          </cell>
          <cell r="R234">
            <v>109.25324760683822</v>
          </cell>
          <cell r="S234">
            <v>8.22020275772703</v>
          </cell>
          <cell r="T234">
            <v>-192.7171688106838</v>
          </cell>
          <cell r="U234">
            <v>34.45807729568498</v>
          </cell>
          <cell r="V234">
            <v>2.2113486238026225</v>
          </cell>
          <cell r="W234">
            <v>41.794406666073591</v>
          </cell>
          <cell r="X234">
            <v>4.7130913630487328</v>
          </cell>
          <cell r="Y234">
            <v>-112.10229287235099</v>
          </cell>
          <cell r="Z234">
            <v>-59.688534744363061</v>
          </cell>
          <cell r="AA234">
            <v>-210.62666481167531</v>
          </cell>
          <cell r="AB234">
            <v>35.793315207371876</v>
          </cell>
          <cell r="AC234">
            <v>159.24150012306424</v>
          </cell>
          <cell r="AD234">
            <v>136.10884020181541</v>
          </cell>
          <cell r="AE234">
            <v>96.205316729423984</v>
          </cell>
          <cell r="AF234">
            <v>100.00000000000051</v>
          </cell>
          <cell r="AG234">
            <v>24.999999999999744</v>
          </cell>
          <cell r="AH234">
            <v>-1.3877787807814457E-13</v>
          </cell>
          <cell r="AI234">
            <v>-10.000000000000286</v>
          </cell>
          <cell r="AJ234">
            <v>10.000000000000703</v>
          </cell>
          <cell r="AK234">
            <v>9.9999999999997318</v>
          </cell>
          <cell r="AL234">
            <v>10.000000000000009</v>
          </cell>
          <cell r="AN234" t="str">
            <v>SG&amp;A Ratio (Ex Pension, Incl. Credit)</v>
          </cell>
          <cell r="EL234" t="str">
            <v>SG&amp;A Ratio (Core Operations)</v>
          </cell>
          <cell r="EX234">
            <v>0.35095423070427295</v>
          </cell>
          <cell r="EY234">
            <v>0.33910386965376782</v>
          </cell>
          <cell r="EZ234">
            <v>0.35252285811039619</v>
          </cell>
          <cell r="FA234">
            <v>0.26099604375145452</v>
          </cell>
          <cell r="FB234">
            <v>0.31927184281533844</v>
          </cell>
          <cell r="FD234">
            <v>0.35374978249521488</v>
          </cell>
          <cell r="FE234">
            <v>0.34557537600559635</v>
          </cell>
          <cell r="FF234">
            <v>0.3682869106135081</v>
          </cell>
          <cell r="FG234">
            <v>0.27917822031762035</v>
          </cell>
          <cell r="FH234">
            <v>0.47919010123734535</v>
          </cell>
          <cell r="FJ234">
            <v>0.35476550680786689</v>
          </cell>
          <cell r="FK234">
            <v>0.32753074739829707</v>
          </cell>
          <cell r="FL234">
            <v>0.36137418755803158</v>
          </cell>
          <cell r="FM234">
            <v>0.27352904119944565</v>
          </cell>
          <cell r="FN234">
            <v>0.32324754132663736</v>
          </cell>
          <cell r="FP234">
            <v>0.32979009687836386</v>
          </cell>
          <cell r="FQ234">
            <v>0.33018782734332669</v>
          </cell>
          <cell r="FR234">
            <v>0.3457673839587409</v>
          </cell>
          <cell r="FS234">
            <v>0.26729350586527995</v>
          </cell>
          <cell r="FT234">
            <v>0.31280246370435549</v>
          </cell>
          <cell r="FV234">
            <v>0.32913058244184074</v>
          </cell>
          <cell r="FW234">
            <v>0.32631756187910421</v>
          </cell>
          <cell r="FX234">
            <v>0.33828805740645823</v>
          </cell>
          <cell r="FY234">
            <v>0.26077487391104998</v>
          </cell>
          <cell r="FZ234">
            <v>0.30794357129331568</v>
          </cell>
          <cell r="GB234">
            <v>0.31649845352433664</v>
          </cell>
          <cell r="GC234">
            <v>0.31905851585485451</v>
          </cell>
          <cell r="GD234">
            <v>0.34038200374321254</v>
          </cell>
          <cell r="GE234">
            <v>0.25305447615338417</v>
          </cell>
          <cell r="GF234">
            <v>0.30084162211203869</v>
          </cell>
        </row>
        <row r="235">
          <cell r="AN235" t="str">
            <v>Y/Y ∆ SG&amp;A Ratio (bps)</v>
          </cell>
          <cell r="EL235" t="str">
            <v>Y/Y ∆ SG&amp;A Ratio (bps)</v>
          </cell>
          <cell r="FD235">
            <v>27.955517909419303</v>
          </cell>
          <cell r="FE235">
            <v>64.715063518285262</v>
          </cell>
          <cell r="FF235">
            <v>157.64052503111913</v>
          </cell>
          <cell r="FG235">
            <v>181.8217656616583</v>
          </cell>
          <cell r="FH235">
            <v>1599.1825842200692</v>
          </cell>
          <cell r="FJ235">
            <v>10.157243126520111</v>
          </cell>
          <cell r="FK235">
            <v>-180.44628607299273</v>
          </cell>
          <cell r="FL235">
            <v>-69.127230554765219</v>
          </cell>
          <cell r="FM235">
            <v>-56.491791181746962</v>
          </cell>
          <cell r="FN235">
            <v>-1559.42559910708</v>
          </cell>
          <cell r="FP235">
            <v>-249.75409929503033</v>
          </cell>
          <cell r="FQ235">
            <v>26.570799450296168</v>
          </cell>
          <cell r="FR235">
            <v>-156.06803599290674</v>
          </cell>
          <cell r="FS235">
            <v>-62.355353341657093</v>
          </cell>
          <cell r="FT235">
            <v>-104.45077622281862</v>
          </cell>
          <cell r="FV235">
            <v>-6.5951443652312314</v>
          </cell>
          <cell r="FW235">
            <v>-38.702654642224779</v>
          </cell>
          <cell r="FX235">
            <v>-74.793265522826729</v>
          </cell>
          <cell r="FY235">
            <v>-65.186319542299699</v>
          </cell>
          <cell r="FZ235">
            <v>-48.588924110398167</v>
          </cell>
          <cell r="GB235">
            <v>-126.32128917504093</v>
          </cell>
          <cell r="GC235">
            <v>-72.590460242497045</v>
          </cell>
          <cell r="GD235">
            <v>20.939463367543041</v>
          </cell>
          <cell r="GE235">
            <v>-77.20397757665809</v>
          </cell>
          <cell r="GF235">
            <v>-71.0194918127699</v>
          </cell>
        </row>
        <row r="236">
          <cell r="AN236" t="str">
            <v>SG&amp;A Ratio (Including Pension Impact)</v>
          </cell>
          <cell r="EL236" t="str">
            <v>SG&amp;A Ratio (Including Pension Impact)</v>
          </cell>
          <cell r="EX236">
            <v>0.35686539435906095</v>
          </cell>
          <cell r="EY236">
            <v>0.34589273591310249</v>
          </cell>
          <cell r="EZ236">
            <v>0.35912631222485608</v>
          </cell>
          <cell r="FA236">
            <v>0.2655340935536421</v>
          </cell>
          <cell r="FB236">
            <v>0.32508645916467144</v>
          </cell>
          <cell r="FD236">
            <v>0.36192796241517311</v>
          </cell>
          <cell r="FE236">
            <v>0.35624344176285416</v>
          </cell>
          <cell r="FF236">
            <v>0.37957400327689789</v>
          </cell>
          <cell r="FG236">
            <v>0.28434585328963952</v>
          </cell>
          <cell r="FH236">
            <v>0.33978788365739998</v>
          </cell>
          <cell r="FJ236">
            <v>0.37537821482602118</v>
          </cell>
          <cell r="FK236">
            <v>0.35685903500473037</v>
          </cell>
          <cell r="FL236">
            <v>0.38180129990714951</v>
          </cell>
          <cell r="FM236">
            <v>0.28171853345092607</v>
          </cell>
          <cell r="FN236">
            <v>0.34161958568738232</v>
          </cell>
          <cell r="FP236">
            <v>0.35755292429135271</v>
          </cell>
          <cell r="FQ236">
            <v>0.3527180783817952</v>
          </cell>
          <cell r="FR236">
            <v>0.36795304997332384</v>
          </cell>
          <cell r="FS236">
            <v>0.27149594872415045</v>
          </cell>
          <cell r="FT236">
            <v>0.33036035675718911</v>
          </cell>
          <cell r="FU236">
            <v>0.31053843938957676</v>
          </cell>
          <cell r="FV236">
            <v>0.33503141450161317</v>
          </cell>
          <cell r="FW236">
            <v>0.33271594544536115</v>
          </cell>
          <cell r="FX236">
            <v>0.34478045446779432</v>
          </cell>
          <cell r="FY236">
            <v>0.26524530032095367</v>
          </cell>
          <cell r="FZ236">
            <v>0.31361484567316794</v>
          </cell>
          <cell r="GB236">
            <v>0.32475988930489991</v>
          </cell>
          <cell r="GC236">
            <v>0.32837528604118993</v>
          </cell>
          <cell r="GD236">
            <v>0.34960818019307516</v>
          </cell>
          <cell r="GE236">
            <v>0.25913958182743124</v>
          </cell>
          <cell r="GF236">
            <v>0.30881156325452847</v>
          </cell>
          <cell r="GG236" t="str">
            <v>Implied 2012e Margins (ex Extra Week)</v>
          </cell>
          <cell r="GM236" t="str">
            <v>'12 Spring SG&amp;A</v>
          </cell>
          <cell r="GN236">
            <v>4004</v>
          </cell>
        </row>
        <row r="237">
          <cell r="AN237" t="str">
            <v>Y/Y ∆ SG&amp;A Ratio (bps)</v>
          </cell>
          <cell r="EL237" t="str">
            <v>Y/Y ∆ SG&amp;A Ratio (bps)</v>
          </cell>
          <cell r="EX237">
            <v>-63.723796712931716</v>
          </cell>
          <cell r="EY237">
            <v>-72.348704255130187</v>
          </cell>
          <cell r="EZ237">
            <v>33.668830709315259</v>
          </cell>
          <cell r="FA237">
            <v>129.95606819282469</v>
          </cell>
          <cell r="FB237">
            <v>33.215351750533472</v>
          </cell>
          <cell r="FD237">
            <v>50.625680561121598</v>
          </cell>
          <cell r="FE237">
            <v>103.50705849751674</v>
          </cell>
          <cell r="FF237">
            <v>204.47691052041804</v>
          </cell>
          <cell r="FG237">
            <v>188.11759735997413</v>
          </cell>
          <cell r="FH237">
            <v>147.01424492728543</v>
          </cell>
          <cell r="FJ237">
            <v>134.50252410848074</v>
          </cell>
          <cell r="FK237">
            <v>6.1559324187621112</v>
          </cell>
          <cell r="FL237">
            <v>22.272966302516185</v>
          </cell>
          <cell r="FM237">
            <v>-26.273198387134489</v>
          </cell>
          <cell r="FN237">
            <v>18.317020299823405</v>
          </cell>
          <cell r="FP237">
            <v>-178.25290534668468</v>
          </cell>
          <cell r="FQ237">
            <v>-41.409566229351768</v>
          </cell>
          <cell r="FR237">
            <v>-138.48249933825662</v>
          </cell>
          <cell r="FS237">
            <v>-102.22584726775619</v>
          </cell>
          <cell r="FT237">
            <v>-112.5922893019321</v>
          </cell>
          <cell r="FU237">
            <v>0.32217384777060504</v>
          </cell>
          <cell r="FV237">
            <v>-225.21509789739548</v>
          </cell>
          <cell r="FW237">
            <v>-200.02132936434046</v>
          </cell>
          <cell r="FX237">
            <v>-231.72595505529526</v>
          </cell>
          <cell r="FY237">
            <v>-62.506484031967787</v>
          </cell>
          <cell r="FZ237">
            <v>-167.45511084021169</v>
          </cell>
          <cell r="GB237">
            <v>-102.7152519671326</v>
          </cell>
          <cell r="GC237">
            <v>-43.406594041712211</v>
          </cell>
          <cell r="GD237">
            <v>48.277257252808404</v>
          </cell>
          <cell r="GE237">
            <v>-61.057184935224271</v>
          </cell>
          <cell r="GF237">
            <v>-48.032824186394762</v>
          </cell>
          <cell r="GJ237" t="str">
            <v>FY12e Gross Margin (%) (ex extra week)</v>
          </cell>
          <cell r="GK237">
            <v>0.40521348048585426</v>
          </cell>
          <cell r="GM237" t="str">
            <v>'12 Fall SG&amp;A</v>
          </cell>
          <cell r="GN237">
            <v>4549.4072798862726</v>
          </cell>
        </row>
        <row r="238">
          <cell r="FP238">
            <v>-120</v>
          </cell>
          <cell r="FQ238">
            <v>-90</v>
          </cell>
          <cell r="FR238">
            <v>-90</v>
          </cell>
          <cell r="FS238">
            <v>0</v>
          </cell>
          <cell r="GJ238" t="str">
            <v>FY12e Gross Margin ∆ (bps) (ex extra week)</v>
          </cell>
          <cell r="GK238">
            <v>12.36960887293359</v>
          </cell>
          <cell r="GM238" t="str">
            <v>% Change 2H vs. 1H</v>
          </cell>
          <cell r="GN238">
            <v>0.13621560436720093</v>
          </cell>
        </row>
        <row r="239">
          <cell r="AN239" t="str">
            <v>% Breakout of credit deterioration</v>
          </cell>
          <cell r="FD239">
            <v>0.15</v>
          </cell>
          <cell r="FE239">
            <v>0.2</v>
          </cell>
          <cell r="FF239">
            <v>0.3</v>
          </cell>
          <cell r="FG239">
            <v>0.35000000000000009</v>
          </cell>
          <cell r="FH239">
            <v>50</v>
          </cell>
          <cell r="FK239">
            <v>-120</v>
          </cell>
          <cell r="GJ239" t="str">
            <v>Impact from Extra Wk on FY12e Gross Mgn ∆ (bps)</v>
          </cell>
          <cell r="GK239">
            <v>-0.42372024769532501</v>
          </cell>
          <cell r="GM239" t="str">
            <v>'11 Spring SG&amp;A</v>
          </cell>
          <cell r="GN239">
            <v>3949</v>
          </cell>
        </row>
        <row r="240">
          <cell r="A240" t="str">
            <v>Bear Case Assumptions</v>
          </cell>
          <cell r="N240">
            <v>1995</v>
          </cell>
          <cell r="O240">
            <v>1996</v>
          </cell>
          <cell r="P240">
            <v>1997</v>
          </cell>
          <cell r="Q240">
            <v>1998</v>
          </cell>
          <cell r="R240">
            <v>1999</v>
          </cell>
          <cell r="S240">
            <v>2000</v>
          </cell>
          <cell r="T240">
            <v>2001</v>
          </cell>
          <cell r="U240">
            <v>2002</v>
          </cell>
          <cell r="V240">
            <v>2003</v>
          </cell>
          <cell r="W240">
            <v>2004</v>
          </cell>
          <cell r="X240">
            <v>2005</v>
          </cell>
          <cell r="Y240">
            <v>2006</v>
          </cell>
          <cell r="Z240">
            <v>2007</v>
          </cell>
          <cell r="AA240">
            <v>2008</v>
          </cell>
          <cell r="AB240">
            <v>2009</v>
          </cell>
          <cell r="AC240">
            <v>2010</v>
          </cell>
          <cell r="AD240">
            <v>2011</v>
          </cell>
          <cell r="AE240" t="str">
            <v>2012E</v>
          </cell>
          <cell r="AF240" t="str">
            <v>2013E</v>
          </cell>
          <cell r="AG240" t="str">
            <v>2014E</v>
          </cell>
          <cell r="AH240" t="str">
            <v>2015E</v>
          </cell>
          <cell r="AI240" t="str">
            <v>2016E</v>
          </cell>
          <cell r="AJ240" t="str">
            <v>2017E</v>
          </cell>
          <cell r="AK240" t="str">
            <v>2018E</v>
          </cell>
          <cell r="AL240" t="str">
            <v>2019E</v>
          </cell>
          <cell r="AN240" t="str">
            <v>% Breakout of consolidation SG&amp;A saves</v>
          </cell>
          <cell r="FD240">
            <v>0.05</v>
          </cell>
          <cell r="FE240">
            <v>0.15</v>
          </cell>
          <cell r="FF240">
            <v>0.4</v>
          </cell>
          <cell r="FG240">
            <v>0.39999999999999991</v>
          </cell>
          <cell r="FH240">
            <v>-60</v>
          </cell>
          <cell r="FJ240">
            <v>0.25</v>
          </cell>
          <cell r="FK240">
            <v>0.4</v>
          </cell>
          <cell r="FL240">
            <v>0.25</v>
          </cell>
          <cell r="FM240">
            <v>9.9999999999999978E-2</v>
          </cell>
          <cell r="FN240">
            <v>-300</v>
          </cell>
          <cell r="FP240">
            <v>0.4</v>
          </cell>
          <cell r="FQ240">
            <v>0.3</v>
          </cell>
          <cell r="FR240">
            <v>0.3</v>
          </cell>
          <cell r="FS240">
            <v>0</v>
          </cell>
          <cell r="FT240">
            <v>-140</v>
          </cell>
          <cell r="GJ240" t="str">
            <v>FY12e SG&amp;A Ratio Incl. Pension (%) (ex extra week)</v>
          </cell>
          <cell r="GK240">
            <v>0.31051036388580949</v>
          </cell>
          <cell r="GM240" t="str">
            <v>'11 Fall SG&amp;A</v>
          </cell>
          <cell r="GN240">
            <v>4332</v>
          </cell>
        </row>
        <row r="241">
          <cell r="A241" t="str">
            <v>Revenue</v>
          </cell>
          <cell r="N241">
            <v>14614</v>
          </cell>
          <cell r="O241">
            <v>14833</v>
          </cell>
          <cell r="P241">
            <v>15220</v>
          </cell>
          <cell r="Q241">
            <v>15365</v>
          </cell>
          <cell r="R241">
            <v>16029</v>
          </cell>
          <cell r="S241">
            <v>16638</v>
          </cell>
          <cell r="T241">
            <v>15785</v>
          </cell>
          <cell r="U241">
            <v>15571</v>
          </cell>
          <cell r="V241">
            <v>15412</v>
          </cell>
          <cell r="W241">
            <v>15776</v>
          </cell>
          <cell r="X241">
            <v>22390</v>
          </cell>
          <cell r="Y241">
            <v>26970</v>
          </cell>
          <cell r="Z241">
            <v>26313</v>
          </cell>
          <cell r="AA241">
            <v>24892</v>
          </cell>
          <cell r="AB241">
            <v>23904</v>
          </cell>
          <cell r="AC241">
            <v>25003</v>
          </cell>
          <cell r="AD241">
            <v>26405</v>
          </cell>
          <cell r="AE241">
            <v>27436.213752617372</v>
          </cell>
          <cell r="AF241">
            <v>27415.922360651821</v>
          </cell>
          <cell r="AG241">
            <v>27944.266088353088</v>
          </cell>
          <cell r="AH241">
            <v>28233.795982590062</v>
          </cell>
          <cell r="AI241">
            <v>28516.133942415963</v>
          </cell>
          <cell r="AJ241">
            <v>28801.295281840125</v>
          </cell>
          <cell r="AK241">
            <v>29089.308234658525</v>
          </cell>
          <cell r="AL241">
            <v>29380.20131700511</v>
          </cell>
          <cell r="AN241" t="str">
            <v>% Breakout of pre-tax charges assoc. with consolidation</v>
          </cell>
          <cell r="FD241">
            <v>0.57999999999999996</v>
          </cell>
          <cell r="FE241">
            <v>0.17333333333333334</v>
          </cell>
          <cell r="FF241">
            <v>0.10666666666666667</v>
          </cell>
          <cell r="FG241">
            <v>0.14000000000000001</v>
          </cell>
          <cell r="FH241">
            <v>150</v>
          </cell>
          <cell r="FJ241">
            <v>0.34499999999999997</v>
          </cell>
          <cell r="FK241">
            <v>8.5000000000000006E-2</v>
          </cell>
          <cell r="FL241">
            <v>8.2500000000000004E-2</v>
          </cell>
          <cell r="FM241">
            <v>0.48750000000000004</v>
          </cell>
          <cell r="FN241">
            <v>400</v>
          </cell>
          <cell r="FP241">
            <v>0</v>
          </cell>
          <cell r="FQ241">
            <v>0</v>
          </cell>
          <cell r="FR241">
            <v>0</v>
          </cell>
          <cell r="FS241">
            <v>1</v>
          </cell>
          <cell r="FT241">
            <v>0</v>
          </cell>
          <cell r="GF241" t="str">
            <v xml:space="preserve"> </v>
          </cell>
          <cell r="GJ241" t="str">
            <v>FY12e SG&amp;A Ratio Incl. Pension ∆ (bps) (ex extra wk)</v>
          </cell>
          <cell r="GK241">
            <v>-31.044817873584485</v>
          </cell>
          <cell r="GM241" t="str">
            <v>Y/Y $ Change</v>
          </cell>
          <cell r="GN241">
            <v>159</v>
          </cell>
        </row>
        <row r="242">
          <cell r="A242" t="str">
            <v xml:space="preserve"> % Same-store</v>
          </cell>
          <cell r="N242">
            <v>2.7E-2</v>
          </cell>
          <cell r="O242">
            <v>3.1E-2</v>
          </cell>
          <cell r="P242">
            <v>2.7E-2</v>
          </cell>
          <cell r="Q242">
            <v>2.1999999999999999E-2</v>
          </cell>
          <cell r="R242">
            <v>4.4999999999999998E-2</v>
          </cell>
          <cell r="S242">
            <v>0.02</v>
          </cell>
          <cell r="T242">
            <v>-5.2999999999999999E-2</v>
          </cell>
          <cell r="U242">
            <v>-0.03</v>
          </cell>
          <cell r="V242">
            <v>-9.0000000000000011E-3</v>
          </cell>
          <cell r="W242">
            <v>2.5999999999999999E-2</v>
          </cell>
          <cell r="X242">
            <v>1.2999999999999999E-2</v>
          </cell>
          <cell r="Y242">
            <v>4.3999999999999997E-2</v>
          </cell>
          <cell r="Z242">
            <v>-1.2799528750047504E-2</v>
          </cell>
          <cell r="AA242">
            <v>-4.4999999999999998E-2</v>
          </cell>
          <cell r="AB242">
            <v>-5.0968425652024113E-2</v>
          </cell>
          <cell r="AC242">
            <v>4.610434747830261E-2</v>
          </cell>
          <cell r="AD242">
            <v>5.2999999999999999E-2</v>
          </cell>
          <cell r="AE242">
            <v>3.0470716044687752E-2</v>
          </cell>
          <cell r="AF242">
            <v>1.0000000000000002E-2</v>
          </cell>
          <cell r="AG242">
            <v>0.02</v>
          </cell>
          <cell r="AH242">
            <v>0.01</v>
          </cell>
          <cell r="AI242">
            <v>0.01</v>
          </cell>
          <cell r="AJ242">
            <v>0.01</v>
          </cell>
          <cell r="AK242">
            <v>0.01</v>
          </cell>
          <cell r="AL242">
            <v>0.01</v>
          </cell>
          <cell r="GJ242" t="str">
            <v>Impact from Extra Wk on FY12e SG&amp;A Ratio ∆ (bps)</v>
          </cell>
          <cell r="GK242">
            <v>-16.988006312810278</v>
          </cell>
          <cell r="GN242">
            <v>217.40727988627259</v>
          </cell>
        </row>
        <row r="243">
          <cell r="A243" t="str">
            <v>CGS, OCC, Buying Costs</v>
          </cell>
          <cell r="N243">
            <v>9038</v>
          </cell>
          <cell r="O243">
            <v>9018</v>
          </cell>
          <cell r="P243">
            <v>9200</v>
          </cell>
          <cell r="Q243">
            <v>9218</v>
          </cell>
          <cell r="R243">
            <v>9576</v>
          </cell>
          <cell r="S243">
            <v>9955</v>
          </cell>
          <cell r="T243">
            <v>9603</v>
          </cell>
          <cell r="U243">
            <v>9324</v>
          </cell>
          <cell r="V243">
            <v>9175</v>
          </cell>
          <cell r="W243">
            <v>9346</v>
          </cell>
          <cell r="X243">
            <v>13272</v>
          </cell>
          <cell r="Y243">
            <v>16019</v>
          </cell>
          <cell r="Z243">
            <v>15782.893839502129</v>
          </cell>
          <cell r="AA243">
            <v>15009</v>
          </cell>
          <cell r="AB243">
            <v>14278</v>
          </cell>
          <cell r="AC243">
            <v>14824</v>
          </cell>
          <cell r="AD243">
            <v>15738</v>
          </cell>
          <cell r="AE243">
            <v>16371.343170905468</v>
          </cell>
          <cell r="AF243">
            <v>16386.651105470184</v>
          </cell>
          <cell r="AG243">
            <v>16660.528726167173</v>
          </cell>
          <cell r="AH243">
            <v>16861.381874712744</v>
          </cell>
          <cell r="AI243">
            <v>17087.027961344706</v>
          </cell>
          <cell r="AJ243">
            <v>17257.898240958151</v>
          </cell>
          <cell r="AK243">
            <v>17430.477223367736</v>
          </cell>
          <cell r="AL243">
            <v>17604.781995601414</v>
          </cell>
        </row>
        <row r="244">
          <cell r="A244" t="str">
            <v>CGS, OCC, Buying Costs %</v>
          </cell>
          <cell r="N244">
            <v>0.61844806350075265</v>
          </cell>
          <cell r="O244">
            <v>0.60796871839816624</v>
          </cell>
          <cell r="P244">
            <v>0.60446780551905388</v>
          </cell>
          <cell r="Q244">
            <v>0.59993491701919943</v>
          </cell>
          <cell r="R244">
            <v>0.59741718135878719</v>
          </cell>
          <cell r="S244">
            <v>0.5983291260968866</v>
          </cell>
          <cell r="T244">
            <v>0.60836236933797905</v>
          </cell>
          <cell r="U244">
            <v>0.59880547171023057</v>
          </cell>
          <cell r="V244">
            <v>0.59531533869711917</v>
          </cell>
          <cell r="W244">
            <v>0.59241886409736311</v>
          </cell>
          <cell r="X244">
            <v>0.59276462706565436</v>
          </cell>
          <cell r="Y244">
            <v>0.59395624768261035</v>
          </cell>
          <cell r="Z244">
            <v>0.59981354613697135</v>
          </cell>
          <cell r="AA244">
            <v>0.60296480797043228</v>
          </cell>
          <cell r="AB244">
            <v>0.59730589022757696</v>
          </cell>
          <cell r="AC244">
            <v>0.59288885333759944</v>
          </cell>
          <cell r="AD244">
            <v>0.59602348040143915</v>
          </cell>
          <cell r="AE244">
            <v>0.59670562849962006</v>
          </cell>
          <cell r="AF244">
            <v>0.59770562849962006</v>
          </cell>
          <cell r="AG244">
            <v>0.59620562849962011</v>
          </cell>
          <cell r="AH244">
            <v>0.59720562849962</v>
          </cell>
          <cell r="AI244">
            <v>0.59920562849962</v>
          </cell>
          <cell r="AJ244">
            <v>0.59920562849962</v>
          </cell>
          <cell r="AK244">
            <v>0.59920562849962011</v>
          </cell>
          <cell r="AL244">
            <v>0.59920562849962011</v>
          </cell>
          <cell r="AN244" t="str">
            <v>Operating Margin</v>
          </cell>
          <cell r="EL244" t="str">
            <v>Operating Margin</v>
          </cell>
          <cell r="ER244">
            <v>149</v>
          </cell>
          <cell r="ES244">
            <v>408</v>
          </cell>
          <cell r="ET244">
            <v>279</v>
          </cell>
          <cell r="EU244">
            <v>1437</v>
          </cell>
          <cell r="EV244">
            <v>2273</v>
          </cell>
          <cell r="EX244">
            <v>244</v>
          </cell>
          <cell r="EY244">
            <v>347</v>
          </cell>
          <cell r="EZ244">
            <v>200</v>
          </cell>
          <cell r="FA244">
            <v>1291</v>
          </cell>
          <cell r="FB244">
            <v>2082</v>
          </cell>
          <cell r="FD244">
            <v>140</v>
          </cell>
          <cell r="FE244">
            <v>335</v>
          </cell>
          <cell r="FF244">
            <v>84</v>
          </cell>
          <cell r="FG244">
            <v>866</v>
          </cell>
          <cell r="FH244">
            <v>1425</v>
          </cell>
          <cell r="FJ244">
            <v>24</v>
          </cell>
          <cell r="FK244">
            <v>282</v>
          </cell>
          <cell r="FL244">
            <v>88</v>
          </cell>
          <cell r="FM244">
            <v>1060</v>
          </cell>
          <cell r="FN244">
            <v>1454</v>
          </cell>
          <cell r="FP244">
            <v>203</v>
          </cell>
          <cell r="FQ244">
            <v>370</v>
          </cell>
          <cell r="FR244">
            <v>177</v>
          </cell>
          <cell r="FS244">
            <v>1169</v>
          </cell>
          <cell r="FT244">
            <v>1919</v>
          </cell>
          <cell r="FV244">
            <v>330</v>
          </cell>
          <cell r="FW244">
            <v>506</v>
          </cell>
          <cell r="FX244">
            <v>291</v>
          </cell>
          <cell r="FY244">
            <v>1259</v>
          </cell>
          <cell r="FZ244">
            <v>2386</v>
          </cell>
          <cell r="GB244">
            <v>391</v>
          </cell>
          <cell r="GC244">
            <v>554</v>
          </cell>
          <cell r="GD244">
            <v>281.57499452664797</v>
          </cell>
          <cell r="GE244">
            <v>1444.7216277006182</v>
          </cell>
          <cell r="GF244">
            <v>2671.2966222272662</v>
          </cell>
        </row>
        <row r="245">
          <cell r="A245" t="str">
            <v>Y/Y ∆ CGS, OCC, Buying Costs % (bps)</v>
          </cell>
          <cell r="O245">
            <v>-104.79345102586413</v>
          </cell>
          <cell r="P245">
            <v>-35.009128791123615</v>
          </cell>
          <cell r="Q245">
            <v>-45.328884998544481</v>
          </cell>
          <cell r="R245">
            <v>-25.177356604122458</v>
          </cell>
          <cell r="S245">
            <v>9.1194473809941279</v>
          </cell>
          <cell r="T245">
            <v>100.33243241092448</v>
          </cell>
          <cell r="U245">
            <v>-95.568976277484722</v>
          </cell>
          <cell r="V245">
            <v>-34.901330131114072</v>
          </cell>
          <cell r="W245">
            <v>-28.964745997560605</v>
          </cell>
          <cell r="X245">
            <v>3.4576296829125219</v>
          </cell>
          <cell r="Y245">
            <v>11.916206169559906</v>
          </cell>
          <cell r="Z245">
            <v>58.57298454361004</v>
          </cell>
          <cell r="AA245">
            <v>31.512618334609279</v>
          </cell>
          <cell r="AB245">
            <v>-56.589177428553185</v>
          </cell>
          <cell r="AC245">
            <v>-44.170368899775212</v>
          </cell>
          <cell r="AD245">
            <v>31.346270638397122</v>
          </cell>
          <cell r="AE245">
            <v>6.8214809818090139</v>
          </cell>
          <cell r="AF245">
            <v>10.000000000000009</v>
          </cell>
          <cell r="AG245">
            <v>-14.999999999999458</v>
          </cell>
          <cell r="AH245">
            <v>9.9999999999988987</v>
          </cell>
          <cell r="AI245">
            <v>20.000000000000018</v>
          </cell>
          <cell r="AJ245">
            <v>0</v>
          </cell>
          <cell r="AK245">
            <v>1.1102230246251565E-12</v>
          </cell>
          <cell r="AL245">
            <v>0</v>
          </cell>
          <cell r="AN245" t="str">
            <v>BPS Change</v>
          </cell>
          <cell r="EL245" t="str">
            <v>BPS Change</v>
          </cell>
          <cell r="ER245">
            <v>2.5126475548060707E-2</v>
          </cell>
          <cell r="ES245">
            <v>6.805671392827356E-2</v>
          </cell>
          <cell r="ET245">
            <v>4.7400611620795105E-2</v>
          </cell>
          <cell r="EU245">
            <v>0.1568948575171962</v>
          </cell>
          <cell r="EV245">
            <v>8.4278828327771602E-2</v>
          </cell>
          <cell r="EX245">
            <v>4.12092551933795E-2</v>
          </cell>
          <cell r="EY245">
            <v>5.8893414799728448E-2</v>
          </cell>
          <cell r="EZ245">
            <v>3.3863867253640365E-2</v>
          </cell>
          <cell r="FA245">
            <v>0.15022108447754248</v>
          </cell>
          <cell r="FB245">
            <v>7.9124387185041611E-2</v>
          </cell>
          <cell r="FD245">
            <v>2.4360535931790498E-2</v>
          </cell>
          <cell r="FE245">
            <v>5.8586918502973068E-2</v>
          </cell>
          <cell r="FF245">
            <v>1.5292190060076462E-2</v>
          </cell>
          <cell r="FG245">
            <v>0.10915049155533149</v>
          </cell>
          <cell r="FH245">
            <v>5.7247308372167766E-2</v>
          </cell>
          <cell r="FJ245">
            <v>4.5385779122541605E-3</v>
          </cell>
          <cell r="FK245">
            <v>5.3358561967833493E-2</v>
          </cell>
          <cell r="FL245">
            <v>1.6341689879294335E-2</v>
          </cell>
          <cell r="FM245">
            <v>0.1335517197933728</v>
          </cell>
          <cell r="FN245">
            <v>6.0849550115086838E-2</v>
          </cell>
          <cell r="FP245">
            <v>3.6419088625762472E-2</v>
          </cell>
          <cell r="FQ245">
            <v>6.6823189452772255E-2</v>
          </cell>
          <cell r="FR245">
            <v>3.1477858794237951E-2</v>
          </cell>
          <cell r="FS245">
            <v>0.14137138710847744</v>
          </cell>
          <cell r="FT245">
            <v>7.6750789905211378E-2</v>
          </cell>
          <cell r="FV245">
            <v>5.6036678553234846E-2</v>
          </cell>
          <cell r="FW245">
            <v>8.5199528540158276E-2</v>
          </cell>
          <cell r="FX245">
            <v>4.9718093285494619E-2</v>
          </cell>
          <cell r="FY245">
            <v>0.1443145346171481</v>
          </cell>
          <cell r="FZ245">
            <v>9.0361673925392919E-2</v>
          </cell>
          <cell r="GB245">
            <v>6.3649682565521726E-2</v>
          </cell>
          <cell r="GC245">
            <v>9.0552468126838842E-2</v>
          </cell>
          <cell r="GD245">
            <v>4.6390367560213731E-2</v>
          </cell>
          <cell r="GE245">
            <v>0.15423304866911453</v>
          </cell>
          <cell r="GF245">
            <v>9.644428925609537E-2</v>
          </cell>
        </row>
        <row r="246">
          <cell r="A246" t="str">
            <v>Gross Income</v>
          </cell>
          <cell r="N246">
            <v>5576</v>
          </cell>
          <cell r="O246">
            <v>5815</v>
          </cell>
          <cell r="P246">
            <v>6020</v>
          </cell>
          <cell r="Q246">
            <v>6147</v>
          </cell>
          <cell r="R246">
            <v>6453</v>
          </cell>
          <cell r="S246">
            <v>6683</v>
          </cell>
          <cell r="T246">
            <v>6182</v>
          </cell>
          <cell r="U246">
            <v>6247</v>
          </cell>
          <cell r="V246">
            <v>6237</v>
          </cell>
          <cell r="W246">
            <v>6430</v>
          </cell>
          <cell r="X246">
            <v>9118</v>
          </cell>
          <cell r="Y246">
            <v>10951</v>
          </cell>
          <cell r="Z246">
            <v>10530.106160497871</v>
          </cell>
          <cell r="AA246">
            <v>9883</v>
          </cell>
          <cell r="AB246">
            <v>9626</v>
          </cell>
          <cell r="AC246">
            <v>10179</v>
          </cell>
          <cell r="AD246">
            <v>10667</v>
          </cell>
          <cell r="AE246">
            <v>11064.870581711904</v>
          </cell>
          <cell r="AF246">
            <v>11029.271255181637</v>
          </cell>
          <cell r="AG246">
            <v>11283.737362185915</v>
          </cell>
          <cell r="AH246">
            <v>11372.414107877315</v>
          </cell>
          <cell r="AI246">
            <v>11429.105981071258</v>
          </cell>
          <cell r="AJ246">
            <v>11543.397040881971</v>
          </cell>
          <cell r="AK246">
            <v>11658.831011290791</v>
          </cell>
          <cell r="AL246">
            <v>11775.419321403699</v>
          </cell>
        </row>
        <row r="247">
          <cell r="A247" t="str">
            <v>Gross Margin</v>
          </cell>
          <cell r="N247">
            <v>0.38155193649924729</v>
          </cell>
          <cell r="O247">
            <v>0.39203128160183376</v>
          </cell>
          <cell r="P247">
            <v>0.39553219448094612</v>
          </cell>
          <cell r="Q247">
            <v>0.40006508298080051</v>
          </cell>
          <cell r="R247">
            <v>0.40258281864121281</v>
          </cell>
          <cell r="S247">
            <v>0.40167087390311335</v>
          </cell>
          <cell r="T247">
            <v>0.3916376306620209</v>
          </cell>
          <cell r="U247">
            <v>0.40119452828976943</v>
          </cell>
          <cell r="V247">
            <v>0.40468466130288089</v>
          </cell>
          <cell r="W247">
            <v>0.40758113590263689</v>
          </cell>
          <cell r="X247">
            <v>0.4072353729343457</v>
          </cell>
          <cell r="Y247">
            <v>0.40604375231738971</v>
          </cell>
          <cell r="Z247">
            <v>0.40018645386302859</v>
          </cell>
          <cell r="AA247">
            <v>0.39703519202956772</v>
          </cell>
          <cell r="AB247">
            <v>0.40269410977242304</v>
          </cell>
          <cell r="AC247">
            <v>0.4071111466624005</v>
          </cell>
          <cell r="AD247">
            <v>0.4039765195985609</v>
          </cell>
          <cell r="AE247">
            <v>0.40329437150037994</v>
          </cell>
          <cell r="AF247">
            <v>0.40229437150037994</v>
          </cell>
          <cell r="AG247">
            <v>0.40379437150037994</v>
          </cell>
          <cell r="AH247">
            <v>0.40279437150037994</v>
          </cell>
          <cell r="AI247">
            <v>0.40079437150037994</v>
          </cell>
          <cell r="AJ247">
            <v>0.40079437150037994</v>
          </cell>
          <cell r="AK247">
            <v>0.40079437150037994</v>
          </cell>
          <cell r="AL247">
            <v>0.40079437150037994</v>
          </cell>
        </row>
        <row r="248">
          <cell r="A248" t="str">
            <v>Y/Y ∆ Gross Margin (bps)</v>
          </cell>
          <cell r="O248">
            <v>104.79345102586468</v>
          </cell>
          <cell r="P248">
            <v>35.009128791123615</v>
          </cell>
          <cell r="Q248">
            <v>45.328884998543927</v>
          </cell>
          <cell r="R248">
            <v>25.177356604123013</v>
          </cell>
          <cell r="S248">
            <v>-9.1194473809946821</v>
          </cell>
          <cell r="T248">
            <v>-100.33243241092448</v>
          </cell>
          <cell r="U248">
            <v>95.568976277485291</v>
          </cell>
          <cell r="V248">
            <v>34.901330131114626</v>
          </cell>
          <cell r="W248">
            <v>28.964745997560048</v>
          </cell>
          <cell r="X248">
            <v>-3.4576296829119668</v>
          </cell>
          <cell r="Y248">
            <v>-11.916206169559906</v>
          </cell>
          <cell r="Z248">
            <v>-58.572984543611149</v>
          </cell>
          <cell r="AA248">
            <v>-31.512618334608721</v>
          </cell>
          <cell r="AB248">
            <v>56.589177428553185</v>
          </cell>
          <cell r="AC248">
            <v>44.170368899774658</v>
          </cell>
          <cell r="AD248">
            <v>-31.346270638396014</v>
          </cell>
          <cell r="AE248">
            <v>-6.821480981809569</v>
          </cell>
          <cell r="AF248">
            <v>-10</v>
          </cell>
          <cell r="AG248">
            <v>15</v>
          </cell>
          <cell r="AH248">
            <v>-10</v>
          </cell>
          <cell r="AI248">
            <v>-20</v>
          </cell>
          <cell r="AJ248">
            <v>0</v>
          </cell>
          <cell r="AK248">
            <v>0</v>
          </cell>
          <cell r="AL248">
            <v>0</v>
          </cell>
          <cell r="AN248" t="str">
            <v>Bull Case Assumptions</v>
          </cell>
          <cell r="EL248" t="str">
            <v>Bull Case Assumptions</v>
          </cell>
        </row>
        <row r="249">
          <cell r="A249" t="str">
            <v>SG&amp;A Expenses</v>
          </cell>
          <cell r="N249">
            <v>4913</v>
          </cell>
          <cell r="O249">
            <v>4922</v>
          </cell>
          <cell r="P249">
            <v>4679</v>
          </cell>
          <cell r="Q249">
            <v>4692</v>
          </cell>
          <cell r="R249">
            <v>4760</v>
          </cell>
          <cell r="S249">
            <v>4912</v>
          </cell>
          <cell r="T249">
            <v>4806</v>
          </cell>
          <cell r="U249">
            <v>4836</v>
          </cell>
          <cell r="V249">
            <v>4837</v>
          </cell>
          <cell r="W249">
            <v>4931</v>
          </cell>
          <cell r="X249">
            <v>6980</v>
          </cell>
          <cell r="Y249">
            <v>8678</v>
          </cell>
          <cell r="Z249">
            <v>8523.9117921820616</v>
          </cell>
          <cell r="AA249">
            <v>8458</v>
          </cell>
          <cell r="AB249">
            <v>8163</v>
          </cell>
          <cell r="AC249">
            <v>8260</v>
          </cell>
          <cell r="AD249">
            <v>8281</v>
          </cell>
          <cell r="AE249">
            <v>8516.1531222989761</v>
          </cell>
          <cell r="AF249">
            <v>8646.9343212599488</v>
          </cell>
          <cell r="AG249">
            <v>8785.6287497368903</v>
          </cell>
          <cell r="AH249">
            <v>8848.4226499075667</v>
          </cell>
          <cell r="AI249">
            <v>8908.3907424642257</v>
          </cell>
          <cell r="AJ249">
            <v>8968.67335460703</v>
          </cell>
          <cell r="AK249">
            <v>9029.2707799184409</v>
          </cell>
          <cell r="AL249">
            <v>9090.1832864006192</v>
          </cell>
          <cell r="AN249" t="str">
            <v>Consolidated Stores Monthly Sales ($)</v>
          </cell>
          <cell r="EL249" t="str">
            <v>Consolidated Stores Monthly Sales ($)</v>
          </cell>
          <cell r="EU249">
            <v>356</v>
          </cell>
        </row>
        <row r="250">
          <cell r="A250" t="str">
            <v>SG&amp;A Ratio</v>
          </cell>
          <cell r="N250">
            <v>0.33618448063500755</v>
          </cell>
          <cell r="O250">
            <v>0.33182768152093306</v>
          </cell>
          <cell r="P250">
            <v>0.30742444152431014</v>
          </cell>
          <cell r="Q250">
            <v>0.30536934591604298</v>
          </cell>
          <cell r="R250">
            <v>0.29696175681577142</v>
          </cell>
          <cell r="S250">
            <v>0.29522779180189929</v>
          </cell>
          <cell r="T250">
            <v>0.30446626544187522</v>
          </cell>
          <cell r="U250">
            <v>0.31057735534005521</v>
          </cell>
          <cell r="V250">
            <v>0.31384635349078638</v>
          </cell>
          <cell r="W250">
            <v>0.31256338742393508</v>
          </cell>
          <cell r="X250">
            <v>0.311746315319339</v>
          </cell>
          <cell r="Y250">
            <v>0.32176492398961809</v>
          </cell>
          <cell r="Z250">
            <v>0.32394298605944066</v>
          </cell>
          <cell r="AA250">
            <v>0.33978788365739998</v>
          </cell>
          <cell r="AB250">
            <v>0.34149096385542171</v>
          </cell>
          <cell r="AC250">
            <v>0.33036035675718911</v>
          </cell>
          <cell r="AD250">
            <v>0.31361484567316794</v>
          </cell>
          <cell r="AE250">
            <v>0.31039826410036436</v>
          </cell>
          <cell r="AF250">
            <v>0.31539826410036437</v>
          </cell>
          <cell r="AG250">
            <v>0.31439826410036437</v>
          </cell>
          <cell r="AH250">
            <v>0.31339826410036437</v>
          </cell>
          <cell r="AI250">
            <v>0.31239826410036436</v>
          </cell>
          <cell r="AJ250">
            <v>0.31139826410036436</v>
          </cell>
          <cell r="AK250">
            <v>0.31039826410036436</v>
          </cell>
          <cell r="AL250">
            <v>0.30939826410036436</v>
          </cell>
          <cell r="AN250" t="str">
            <v>Month 1</v>
          </cell>
          <cell r="EL250" t="str">
            <v>Month 1</v>
          </cell>
          <cell r="ER250">
            <v>1800</v>
          </cell>
          <cell r="ES250">
            <v>2026</v>
          </cell>
          <cell r="ET250">
            <v>1727</v>
          </cell>
          <cell r="EU250">
            <v>2385</v>
          </cell>
          <cell r="EX250">
            <v>1802</v>
          </cell>
          <cell r="EY250">
            <v>1976</v>
          </cell>
          <cell r="EZ250">
            <v>1788</v>
          </cell>
          <cell r="FA250">
            <v>2707</v>
          </cell>
          <cell r="FD250">
            <v>1737</v>
          </cell>
          <cell r="FE250">
            <v>1926</v>
          </cell>
          <cell r="FF250">
            <v>1686</v>
          </cell>
          <cell r="FG250">
            <v>2324</v>
          </cell>
          <cell r="FJ250">
            <v>1602.5975291456411</v>
          </cell>
          <cell r="FK250">
            <v>1783.7565582371458</v>
          </cell>
          <cell r="FL250">
            <v>1576.1490988530857</v>
          </cell>
          <cell r="FM250">
            <v>2202.7766574237457</v>
          </cell>
          <cell r="FP250">
            <v>1667</v>
          </cell>
          <cell r="FQ250">
            <v>1789</v>
          </cell>
          <cell r="FR250">
            <v>1638</v>
          </cell>
          <cell r="FS250">
            <v>2341</v>
          </cell>
          <cell r="FV250">
            <v>1763</v>
          </cell>
          <cell r="FW250">
            <v>1937</v>
          </cell>
          <cell r="FX250">
            <v>1714</v>
          </cell>
          <cell r="FY250">
            <v>2465</v>
          </cell>
          <cell r="GB250">
            <v>1860</v>
          </cell>
          <cell r="GC250">
            <v>2015</v>
          </cell>
          <cell r="GD250">
            <v>1812</v>
          </cell>
          <cell r="GE250">
            <v>2588.4099701374939</v>
          </cell>
        </row>
        <row r="251">
          <cell r="A251" t="str">
            <v>Y/Y ∆ SG&amp;A Ratio (bps)</v>
          </cell>
          <cell r="O251">
            <v>-43.567991140744944</v>
          </cell>
          <cell r="P251">
            <v>-244.03239996622915</v>
          </cell>
          <cell r="Q251">
            <v>-20.550956082671657</v>
          </cell>
          <cell r="R251">
            <v>-84.075891002715622</v>
          </cell>
          <cell r="S251">
            <v>-17.339650138721296</v>
          </cell>
          <cell r="T251">
            <v>92.384736399759305</v>
          </cell>
          <cell r="U251">
            <v>61.110898981799892</v>
          </cell>
          <cell r="V251">
            <v>32.689981507311728</v>
          </cell>
          <cell r="W251">
            <v>-12.829660668512988</v>
          </cell>
          <cell r="X251">
            <v>-8.170721045960839</v>
          </cell>
          <cell r="Y251">
            <v>100.18608670279094</v>
          </cell>
          <cell r="Z251">
            <v>21.780620698225729</v>
          </cell>
          <cell r="AA251">
            <v>158.44897597959317</v>
          </cell>
          <cell r="AB251">
            <v>17.030801980217337</v>
          </cell>
          <cell r="AC251">
            <v>-111.30607098232603</v>
          </cell>
          <cell r="AD251">
            <v>-167.45511084021169</v>
          </cell>
          <cell r="AE251">
            <v>-32.165815728035781</v>
          </cell>
          <cell r="AF251">
            <v>50</v>
          </cell>
          <cell r="AG251">
            <v>-10</v>
          </cell>
          <cell r="AH251">
            <v>-10</v>
          </cell>
          <cell r="AI251">
            <v>-10</v>
          </cell>
          <cell r="AJ251">
            <v>-10</v>
          </cell>
          <cell r="AK251">
            <v>-10</v>
          </cell>
          <cell r="AL251">
            <v>-10</v>
          </cell>
          <cell r="AN251" t="str">
            <v>Month 2</v>
          </cell>
          <cell r="EL251" t="str">
            <v>Month 2</v>
          </cell>
          <cell r="ER251">
            <v>2255</v>
          </cell>
          <cell r="ES251">
            <v>2367</v>
          </cell>
          <cell r="ET251">
            <v>2303</v>
          </cell>
          <cell r="EU251">
            <v>4997</v>
          </cell>
          <cell r="EX251">
            <v>2288</v>
          </cell>
          <cell r="EY251">
            <v>2321</v>
          </cell>
          <cell r="EZ251">
            <v>2274</v>
          </cell>
          <cell r="FA251">
            <v>4624</v>
          </cell>
          <cell r="FD251">
            <v>2142</v>
          </cell>
          <cell r="FE251">
            <v>2249</v>
          </cell>
          <cell r="FF251">
            <v>2093</v>
          </cell>
          <cell r="FG251">
            <v>4397</v>
          </cell>
          <cell r="FJ251">
            <v>1963.7990255785628</v>
          </cell>
          <cell r="FK251">
            <v>2092.5916404337181</v>
          </cell>
          <cell r="FL251">
            <v>2084.1512834516657</v>
          </cell>
          <cell r="FM251">
            <v>4474.7693471136881</v>
          </cell>
          <cell r="FP251">
            <v>2172</v>
          </cell>
          <cell r="FQ251">
            <v>2229</v>
          </cell>
          <cell r="FR251">
            <v>2181</v>
          </cell>
          <cell r="FS251">
            <v>4619</v>
          </cell>
          <cell r="FV251">
            <v>2206</v>
          </cell>
          <cell r="FW251">
            <v>2392</v>
          </cell>
          <cell r="FX251">
            <v>2298</v>
          </cell>
          <cell r="FY251">
            <v>4925</v>
          </cell>
          <cell r="GB251">
            <v>2358</v>
          </cell>
          <cell r="GC251">
            <v>2412</v>
          </cell>
          <cell r="GD251">
            <v>2384.7396820310178</v>
          </cell>
          <cell r="GE251">
            <v>5171.5696157919501</v>
          </cell>
        </row>
        <row r="252">
          <cell r="A252" t="str">
            <v>Operating Income</v>
          </cell>
          <cell r="N252">
            <v>663</v>
          </cell>
          <cell r="O252">
            <v>893</v>
          </cell>
          <cell r="P252">
            <v>1341</v>
          </cell>
          <cell r="Q252">
            <v>1455</v>
          </cell>
          <cell r="R252">
            <v>1693</v>
          </cell>
          <cell r="S252">
            <v>1771</v>
          </cell>
          <cell r="T252">
            <v>1376</v>
          </cell>
          <cell r="U252">
            <v>1411</v>
          </cell>
          <cell r="V252">
            <v>1400</v>
          </cell>
          <cell r="W252">
            <v>1499</v>
          </cell>
          <cell r="X252">
            <v>2138</v>
          </cell>
          <cell r="Y252">
            <v>2273</v>
          </cell>
          <cell r="Z252">
            <v>2006.1943683158097</v>
          </cell>
          <cell r="AA252">
            <v>1425</v>
          </cell>
          <cell r="AB252">
            <v>1463</v>
          </cell>
          <cell r="AC252">
            <v>1919</v>
          </cell>
          <cell r="AD252">
            <v>2386</v>
          </cell>
          <cell r="AE252">
            <v>2548.7174594129283</v>
          </cell>
          <cell r="AF252">
            <v>2382.3369339216879</v>
          </cell>
          <cell r="AG252">
            <v>2498.1086124490248</v>
          </cell>
          <cell r="AH252">
            <v>2523.9914579697488</v>
          </cell>
          <cell r="AI252">
            <v>2520.715238607032</v>
          </cell>
          <cell r="AJ252">
            <v>2574.7236862749414</v>
          </cell>
          <cell r="AK252">
            <v>2629.5602313723502</v>
          </cell>
          <cell r="AL252">
            <v>2685.2360350030795</v>
          </cell>
          <cell r="AN252" t="str">
            <v>Month 3</v>
          </cell>
          <cell r="EL252" t="str">
            <v>Month 3</v>
          </cell>
          <cell r="ER252">
            <v>1878</v>
          </cell>
          <cell r="ES252">
            <v>1608</v>
          </cell>
          <cell r="ET252">
            <v>1863</v>
          </cell>
          <cell r="EU252">
            <v>1780</v>
          </cell>
          <cell r="EX252">
            <v>1837</v>
          </cell>
          <cell r="EY252">
            <v>1602</v>
          </cell>
          <cell r="EZ252">
            <v>1849</v>
          </cell>
          <cell r="FA252">
            <v>1273</v>
          </cell>
          <cell r="FD252">
            <v>1868</v>
          </cell>
          <cell r="FE252">
            <v>1543</v>
          </cell>
          <cell r="FF252">
            <v>1714</v>
          </cell>
          <cell r="FG252">
            <v>1213</v>
          </cell>
          <cell r="FJ252">
            <v>1720.603445275796</v>
          </cell>
          <cell r="FK252">
            <v>1409.6518013291361</v>
          </cell>
          <cell r="FL252">
            <v>1725.6996176952484</v>
          </cell>
          <cell r="FM252">
            <v>1268.4539954625661</v>
          </cell>
          <cell r="FP252">
            <v>1739</v>
          </cell>
          <cell r="FQ252">
            <v>1528</v>
          </cell>
          <cell r="FR252">
            <v>1806</v>
          </cell>
          <cell r="FS252">
            <v>1310</v>
          </cell>
          <cell r="FV252">
            <v>1920</v>
          </cell>
          <cell r="FW252">
            <v>1612</v>
          </cell>
          <cell r="FX252">
            <v>1842</v>
          </cell>
          <cell r="FY252">
            <v>1336</v>
          </cell>
          <cell r="GB252">
            <v>1928</v>
          </cell>
          <cell r="GC252">
            <v>1693</v>
          </cell>
          <cell r="GD252">
            <v>1954.7377926421409</v>
          </cell>
          <cell r="GE252">
            <v>1786.9703975101447</v>
          </cell>
        </row>
        <row r="253">
          <cell r="A253" t="str">
            <v>Operating Margin</v>
          </cell>
          <cell r="N253">
            <v>4.5367455864239771E-2</v>
          </cell>
          <cell r="O253">
            <v>6.0203600080900692E-2</v>
          </cell>
          <cell r="P253">
            <v>8.8107752956636004E-2</v>
          </cell>
          <cell r="Q253">
            <v>9.4695737064757562E-2</v>
          </cell>
          <cell r="R253">
            <v>0.10562106182544138</v>
          </cell>
          <cell r="S253">
            <v>0.10644308210121409</v>
          </cell>
          <cell r="T253">
            <v>8.7171365220145708E-2</v>
          </cell>
          <cell r="U253">
            <v>9.0617172949714206E-2</v>
          </cell>
          <cell r="V253">
            <v>9.0838307812094468E-2</v>
          </cell>
          <cell r="W253">
            <v>9.5017748478701827E-2</v>
          </cell>
          <cell r="X253">
            <v>9.5489057615006701E-2</v>
          </cell>
          <cell r="Y253">
            <v>8.4278828327771602E-2</v>
          </cell>
          <cell r="Z253">
            <v>7.6243467803587955E-2</v>
          </cell>
          <cell r="AA253">
            <v>5.7247308372167766E-2</v>
          </cell>
          <cell r="AB253">
            <v>6.1203145917001336E-2</v>
          </cell>
          <cell r="AC253">
            <v>7.6750789905211378E-2</v>
          </cell>
          <cell r="AD253">
            <v>9.0361673925392919E-2</v>
          </cell>
          <cell r="AE253">
            <v>9.2896107400015596E-2</v>
          </cell>
          <cell r="AF253">
            <v>8.6896107400015535E-2</v>
          </cell>
          <cell r="AG253">
            <v>8.9396107400015537E-2</v>
          </cell>
          <cell r="AH253">
            <v>8.9396107400015551E-2</v>
          </cell>
          <cell r="AI253">
            <v>8.8396107400015606E-2</v>
          </cell>
          <cell r="AJ253">
            <v>8.9396107400015565E-2</v>
          </cell>
          <cell r="AK253">
            <v>9.0396107400015593E-2</v>
          </cell>
          <cell r="AL253">
            <v>9.1396107400015622E-2</v>
          </cell>
          <cell r="AN253" t="str">
            <v>Total</v>
          </cell>
          <cell r="EL253" t="str">
            <v>Total</v>
          </cell>
          <cell r="ER253">
            <v>5930</v>
          </cell>
          <cell r="ES253">
            <v>5995</v>
          </cell>
          <cell r="ET253">
            <v>5886</v>
          </cell>
          <cell r="EU253">
            <v>9159</v>
          </cell>
          <cell r="EV253">
            <v>26970</v>
          </cell>
          <cell r="EX253">
            <v>5921</v>
          </cell>
          <cell r="EY253">
            <v>5892</v>
          </cell>
          <cell r="EZ253">
            <v>5906</v>
          </cell>
          <cell r="FA253">
            <v>8594</v>
          </cell>
          <cell r="FB253">
            <v>26313</v>
          </cell>
          <cell r="FD253">
            <v>5747</v>
          </cell>
          <cell r="FE253">
            <v>5718</v>
          </cell>
          <cell r="FF253">
            <v>5493</v>
          </cell>
          <cell r="FG253">
            <v>7934</v>
          </cell>
          <cell r="FH253">
            <v>24892</v>
          </cell>
          <cell r="FJ253">
            <v>5288</v>
          </cell>
          <cell r="FK253">
            <v>5285</v>
          </cell>
          <cell r="FL253">
            <v>5385</v>
          </cell>
          <cell r="FM253">
            <v>7946</v>
          </cell>
          <cell r="FN253">
            <v>23904</v>
          </cell>
          <cell r="FP253">
            <v>5574</v>
          </cell>
          <cell r="FQ253">
            <v>5537</v>
          </cell>
          <cell r="FR253">
            <v>5623</v>
          </cell>
          <cell r="FS253">
            <v>8269</v>
          </cell>
          <cell r="FT253">
            <v>25003</v>
          </cell>
          <cell r="FV253">
            <v>5889</v>
          </cell>
          <cell r="FW253">
            <v>5939</v>
          </cell>
          <cell r="FX253">
            <v>5853</v>
          </cell>
          <cell r="FY253">
            <v>8724</v>
          </cell>
          <cell r="FZ253">
            <v>26405</v>
          </cell>
          <cell r="GB253">
            <v>6143</v>
          </cell>
          <cell r="GC253">
            <v>6118</v>
          </cell>
          <cell r="GD253">
            <v>6151.4774746731582</v>
          </cell>
          <cell r="GE253">
            <v>9546.9499834395901</v>
          </cell>
          <cell r="GF253">
            <v>27959.427458112747</v>
          </cell>
        </row>
        <row r="254">
          <cell r="A254" t="str">
            <v>Y/Y ∆ Operating Margin (bps)</v>
          </cell>
          <cell r="O254">
            <v>148.36144216660921</v>
          </cell>
          <cell r="P254">
            <v>279.04152875735315</v>
          </cell>
          <cell r="Q254">
            <v>65.879841081215588</v>
          </cell>
          <cell r="R254">
            <v>109.25324760683822</v>
          </cell>
          <cell r="S254">
            <v>8.22020275772703</v>
          </cell>
          <cell r="T254">
            <v>-192.7171688106838</v>
          </cell>
          <cell r="U254">
            <v>34.45807729568498</v>
          </cell>
          <cell r="V254">
            <v>2.2113486238026225</v>
          </cell>
          <cell r="W254">
            <v>41.794406666073591</v>
          </cell>
          <cell r="X254">
            <v>4.7130913630487328</v>
          </cell>
          <cell r="Y254">
            <v>-112.10229287235099</v>
          </cell>
          <cell r="Z254">
            <v>-80.353605241836462</v>
          </cell>
          <cell r="AA254">
            <v>-189.9615943142019</v>
          </cell>
          <cell r="AB254">
            <v>39.55837544833571</v>
          </cell>
          <cell r="AC254">
            <v>155.47643988210041</v>
          </cell>
          <cell r="AD254">
            <v>136.10884020181541</v>
          </cell>
          <cell r="AE254">
            <v>25.344334746226771</v>
          </cell>
          <cell r="AF254">
            <v>-60.000000000000611</v>
          </cell>
          <cell r="AG254">
            <v>25.000000000000021</v>
          </cell>
          <cell r="AH254">
            <v>1.3877787807814457E-13</v>
          </cell>
          <cell r="AI254">
            <v>-9.9999999999994529</v>
          </cell>
          <cell r="AJ254">
            <v>9.9999999999995932</v>
          </cell>
          <cell r="AK254">
            <v>10.000000000000286</v>
          </cell>
          <cell r="AL254">
            <v>10.000000000000286</v>
          </cell>
        </row>
        <row r="255">
          <cell r="AN255" t="str">
            <v xml:space="preserve">Consolidated Monthly Comps </v>
          </cell>
          <cell r="EL255" t="str">
            <v xml:space="preserve">Consolidated Monthly Comps </v>
          </cell>
        </row>
        <row r="256">
          <cell r="A256" t="str">
            <v>Assumptions Spreads</v>
          </cell>
          <cell r="N256">
            <v>1995</v>
          </cell>
          <cell r="O256">
            <v>1996</v>
          </cell>
          <cell r="P256">
            <v>1997</v>
          </cell>
          <cell r="Q256">
            <v>1998</v>
          </cell>
          <cell r="R256">
            <v>1999</v>
          </cell>
          <cell r="S256">
            <v>2000</v>
          </cell>
          <cell r="T256">
            <v>2001</v>
          </cell>
          <cell r="U256">
            <v>2002</v>
          </cell>
          <cell r="V256">
            <v>2003</v>
          </cell>
          <cell r="W256">
            <v>2004</v>
          </cell>
          <cell r="X256">
            <v>2005</v>
          </cell>
          <cell r="Y256">
            <v>2006</v>
          </cell>
          <cell r="Z256">
            <v>2007</v>
          </cell>
          <cell r="AA256">
            <v>2008</v>
          </cell>
          <cell r="AB256">
            <v>2009</v>
          </cell>
          <cell r="AC256">
            <v>2010</v>
          </cell>
          <cell r="AD256">
            <v>2011</v>
          </cell>
          <cell r="AE256" t="str">
            <v>2012E</v>
          </cell>
          <cell r="AF256" t="str">
            <v>2013E</v>
          </cell>
          <cell r="AG256" t="str">
            <v>2014E</v>
          </cell>
          <cell r="AH256" t="str">
            <v>2015E</v>
          </cell>
          <cell r="AI256" t="str">
            <v>2016E</v>
          </cell>
          <cell r="AJ256" t="str">
            <v>2017E</v>
          </cell>
          <cell r="AK256" t="str">
            <v>2018E</v>
          </cell>
          <cell r="AL256" t="str">
            <v>2019E</v>
          </cell>
          <cell r="AN256" t="str">
            <v>Month 1</v>
          </cell>
          <cell r="EL256" t="str">
            <v>Month 1</v>
          </cell>
          <cell r="ER256">
            <v>0.01</v>
          </cell>
          <cell r="ES256">
            <v>9.1999999999999998E-2</v>
          </cell>
          <cell r="ET256">
            <v>3.7999999999999999E-2</v>
          </cell>
          <cell r="EU256">
            <v>8.5000000000000006E-2</v>
          </cell>
          <cell r="EX256">
            <v>1.2E-2</v>
          </cell>
          <cell r="EY256">
            <v>-3.3000000000000002E-2</v>
          </cell>
          <cell r="EZ256">
            <v>2.4E-2</v>
          </cell>
          <cell r="FA256">
            <v>0.13400000000000001</v>
          </cell>
          <cell r="FD256">
            <v>-3.5000000000000003E-2</v>
          </cell>
          <cell r="FE256">
            <v>-1.4999999999999999E-2</v>
          </cell>
          <cell r="FF256">
            <v>-4.8000000000000001E-2</v>
          </cell>
          <cell r="FG256">
            <v>-0.13300000000000001</v>
          </cell>
          <cell r="FJ256">
            <v>-8.5000000000000006E-2</v>
          </cell>
          <cell r="FK256">
            <v>-9.0999999999999998E-2</v>
          </cell>
          <cell r="FL256">
            <v>-8.1000000000000003E-2</v>
          </cell>
          <cell r="FM256">
            <v>-6.0999999999999999E-2</v>
          </cell>
          <cell r="FP256">
            <v>3.6999999999999998E-2</v>
          </cell>
          <cell r="FQ256">
            <v>1.4E-2</v>
          </cell>
          <cell r="FR256">
            <v>4.2999999999999997E-2</v>
          </cell>
          <cell r="FS256">
            <v>6.0999999999999999E-2</v>
          </cell>
          <cell r="FV256">
            <v>5.8000000000000003E-2</v>
          </cell>
          <cell r="FW256">
            <v>7.3999999999999996E-2</v>
          </cell>
          <cell r="FX256">
            <v>0.05</v>
          </cell>
          <cell r="FY256">
            <v>4.8000000000000001E-2</v>
          </cell>
          <cell r="GB256">
            <v>4.5999999999999999E-2</v>
          </cell>
          <cell r="GC256">
            <v>4.2000000000000003E-2</v>
          </cell>
          <cell r="GD256">
            <v>5.0999999999999997E-2</v>
          </cell>
          <cell r="GE256">
            <v>0.06</v>
          </cell>
        </row>
        <row r="257">
          <cell r="A257" t="str">
            <v>Bull Case Assumptions</v>
          </cell>
          <cell r="AN257" t="str">
            <v>Month 2</v>
          </cell>
          <cell r="EL257" t="str">
            <v>Month 2</v>
          </cell>
          <cell r="ER257">
            <v>0</v>
          </cell>
          <cell r="ES257">
            <v>1.7000000000000001E-2</v>
          </cell>
          <cell r="ET257">
            <v>6.5000000000000002E-2</v>
          </cell>
          <cell r="EU257">
            <v>4.3999999999999997E-2</v>
          </cell>
          <cell r="EX257">
            <v>2.3E-2</v>
          </cell>
          <cell r="EY257">
            <v>-2.7E-2</v>
          </cell>
          <cell r="EZ257">
            <v>-2.7E-2</v>
          </cell>
          <cell r="FA257">
            <v>-7.9000000000000001E-2</v>
          </cell>
          <cell r="FD257">
            <v>-6.2E-2</v>
          </cell>
          <cell r="FE257">
            <v>-2.1000000000000001E-2</v>
          </cell>
          <cell r="FF257">
            <v>-6.6000000000000003E-2</v>
          </cell>
          <cell r="FG257">
            <v>-0.04</v>
          </cell>
          <cell r="FJ257">
            <v>-9.1999999999999998E-2</v>
          </cell>
          <cell r="FK257">
            <v>-8.8999999999999996E-2</v>
          </cell>
          <cell r="FL257">
            <v>-2.3E-2</v>
          </cell>
          <cell r="FM257">
            <v>0.01</v>
          </cell>
          <cell r="FP257">
            <v>0.10800000000000001</v>
          </cell>
          <cell r="FQ257">
            <v>6.5000000000000002E-2</v>
          </cell>
          <cell r="FR257">
            <v>4.8000000000000001E-2</v>
          </cell>
          <cell r="FS257">
            <v>3.9E-2</v>
          </cell>
          <cell r="FV257">
            <v>8.9999999999999993E-3</v>
          </cell>
          <cell r="FW257">
            <v>6.7000000000000004E-2</v>
          </cell>
          <cell r="FX257">
            <v>4.9000000000000002E-2</v>
          </cell>
          <cell r="FY257">
            <v>6.2E-2</v>
          </cell>
          <cell r="GB257">
            <v>7.2999999999999995E-2</v>
          </cell>
          <cell r="GC257">
            <v>1.2E-2</v>
          </cell>
          <cell r="GD257">
            <v>0.05</v>
          </cell>
          <cell r="GE257">
            <v>0.06</v>
          </cell>
        </row>
        <row r="258">
          <cell r="A258" t="str">
            <v>Same Store</v>
          </cell>
          <cell r="AF258">
            <v>0.04</v>
          </cell>
          <cell r="AN258" t="str">
            <v>Month 3</v>
          </cell>
          <cell r="EL258" t="str">
            <v>Month 3</v>
          </cell>
          <cell r="ER258">
            <v>-8.0000000000000002E-3</v>
          </cell>
          <cell r="ES258">
            <v>3.3000000000000002E-2</v>
          </cell>
          <cell r="ET258">
            <v>7.6999999999999999E-2</v>
          </cell>
          <cell r="EU258">
            <v>8.5999999999999993E-2</v>
          </cell>
          <cell r="EX258">
            <v>-2.1999999999999999E-2</v>
          </cell>
          <cell r="EY258">
            <v>-1.4E-2</v>
          </cell>
          <cell r="EZ258">
            <v>-1.4999999999999999E-2</v>
          </cell>
          <cell r="FA258">
            <v>-7.0999999999999994E-2</v>
          </cell>
          <cell r="FD258">
            <v>0.03</v>
          </cell>
          <cell r="FE258">
            <v>-2.9000000000000001E-2</v>
          </cell>
          <cell r="FF258">
            <v>-6.3E-2</v>
          </cell>
          <cell r="FG258">
            <v>-4.4999999999999998E-2</v>
          </cell>
          <cell r="FJ258">
            <v>-9.0999999999999998E-2</v>
          </cell>
          <cell r="FK258">
            <v>-0.107</v>
          </cell>
          <cell r="FL258">
            <v>-8.0000000000000002E-3</v>
          </cell>
          <cell r="FM258">
            <v>3.4000000000000002E-2</v>
          </cell>
          <cell r="FP258">
            <v>1.0999999999999999E-2</v>
          </cell>
          <cell r="FQ258">
            <v>7.2999999999999995E-2</v>
          </cell>
          <cell r="FR258">
            <v>2.5000000000000001E-2</v>
          </cell>
          <cell r="FS258">
            <v>2.5999999999999999E-2</v>
          </cell>
          <cell r="FV258">
            <v>0.108</v>
          </cell>
          <cell r="FW258">
            <v>0.05</v>
          </cell>
          <cell r="FX258">
            <v>2.1999999999999999E-2</v>
          </cell>
          <cell r="FY258">
            <v>2.4E-2</v>
          </cell>
          <cell r="GB258">
            <v>1.2E-2</v>
          </cell>
          <cell r="GC258">
            <v>4.1000000000000002E-2</v>
          </cell>
          <cell r="GD258">
            <v>7.4999999999999997E-2</v>
          </cell>
          <cell r="GE258">
            <v>7.0000000000000007E-2</v>
          </cell>
        </row>
        <row r="259">
          <cell r="A259" t="str">
            <v>Y/Y ∆ Gross Margin (bps)</v>
          </cell>
          <cell r="AF259">
            <v>50</v>
          </cell>
          <cell r="AN259" t="str">
            <v>Total</v>
          </cell>
          <cell r="EL259" t="str">
            <v>Total</v>
          </cell>
          <cell r="ER259">
            <v>0</v>
          </cell>
          <cell r="ES259">
            <v>4.5999999999999999E-2</v>
          </cell>
          <cell r="ET259">
            <v>5.8999999999999997E-2</v>
          </cell>
          <cell r="EU259">
            <v>6.0999999999999999E-2</v>
          </cell>
          <cell r="EV259">
            <v>4.3999999999999997E-2</v>
          </cell>
          <cell r="EX259">
            <v>6.0000000000000001E-3</v>
          </cell>
          <cell r="EY259">
            <v>-2.5999999999999999E-2</v>
          </cell>
          <cell r="EZ259">
            <v>-8.0000000000000002E-3</v>
          </cell>
          <cell r="FA259">
            <v>-0.02</v>
          </cell>
          <cell r="FB259">
            <v>-1.2999999999999999E-2</v>
          </cell>
          <cell r="FD259">
            <v>-2.5999999999999999E-2</v>
          </cell>
          <cell r="FE259">
            <v>-2.1000000000000001E-2</v>
          </cell>
          <cell r="FF259">
            <v>-0.06</v>
          </cell>
          <cell r="FG259">
            <v>-7.0000000000000007E-2</v>
          </cell>
          <cell r="FH259">
            <v>-4.4999999999999998E-2</v>
          </cell>
          <cell r="FJ259">
            <v>-0.09</v>
          </cell>
          <cell r="FK259">
            <v>-9.5000000000000001E-2</v>
          </cell>
          <cell r="FL259">
            <v>-3.5999999999999997E-2</v>
          </cell>
          <cell r="FM259">
            <v>-5.8512769677805648E-3</v>
          </cell>
          <cell r="FN259">
            <v>-5.0968425652024113E-2</v>
          </cell>
          <cell r="FP259">
            <v>5.5E-2</v>
          </cell>
          <cell r="FQ259">
            <v>4.9000000000000002E-2</v>
          </cell>
          <cell r="FR259">
            <v>3.9E-2</v>
          </cell>
          <cell r="FS259">
            <v>4.2999999999999997E-2</v>
          </cell>
          <cell r="FT259">
            <v>4.610434747830261E-2</v>
          </cell>
          <cell r="FV259">
            <v>5.3999999999999999E-2</v>
          </cell>
          <cell r="FW259">
            <v>6.4000000000000001E-2</v>
          </cell>
          <cell r="FX259">
            <v>0.04</v>
          </cell>
          <cell r="FY259">
            <v>5.1999999999999998E-2</v>
          </cell>
          <cell r="FZ259">
            <v>5.2999999999999999E-2</v>
          </cell>
          <cell r="GB259">
            <v>4.3999999999999997E-2</v>
          </cell>
          <cell r="GC259">
            <v>0.03</v>
          </cell>
          <cell r="GD259">
            <v>5.8238743460366213E-2</v>
          </cell>
          <cell r="GE259">
            <v>6.1871770985089329E-2</v>
          </cell>
          <cell r="GF259">
            <v>5.0171736300135057E-2</v>
          </cell>
        </row>
        <row r="260">
          <cell r="A260" t="str">
            <v>Y/Y ∆ SG&amp;A Ratio (bps)</v>
          </cell>
          <cell r="AF260">
            <v>-35</v>
          </cell>
        </row>
        <row r="261">
          <cell r="A261" t="str">
            <v>Bear Case Assumptions</v>
          </cell>
          <cell r="AN261" t="str">
            <v xml:space="preserve">Consolidated Productivity Factor </v>
          </cell>
          <cell r="EL261" t="str">
            <v xml:space="preserve">Consolidated Productivity Factor </v>
          </cell>
        </row>
        <row r="262">
          <cell r="A262" t="str">
            <v>Same Store</v>
          </cell>
          <cell r="AF262">
            <v>-2.5000000000000001E-2</v>
          </cell>
          <cell r="AN262" t="str">
            <v>Month 1</v>
          </cell>
          <cell r="EL262" t="str">
            <v>Month 1</v>
          </cell>
          <cell r="ER262">
            <v>0.85379589916801657</v>
          </cell>
          <cell r="ES262">
            <v>0.82852877251430668</v>
          </cell>
          <cell r="ET262">
            <v>0.83475030563790842</v>
          </cell>
          <cell r="EU262">
            <v>0.91480422703367681</v>
          </cell>
          <cell r="EX262">
            <v>1.0042251017232908</v>
          </cell>
          <cell r="EY262">
            <v>1.0108075527611304</v>
          </cell>
          <cell r="EZ262">
            <v>1.0032705612197608</v>
          </cell>
          <cell r="FA262">
            <v>0.99617129302855612</v>
          </cell>
          <cell r="FD262">
            <v>1.0047260256693704</v>
          </cell>
          <cell r="FE262">
            <v>1.0011731147187122</v>
          </cell>
          <cell r="FF262">
            <v>1.0015681684828099</v>
          </cell>
          <cell r="FG262">
            <v>0.9980273685296247</v>
          </cell>
          <cell r="FJ262">
            <v>1.0146680194879518</v>
          </cell>
          <cell r="FK262">
            <v>1.0229325701507319</v>
          </cell>
          <cell r="FL262">
            <v>1.0237530410429481</v>
          </cell>
          <cell r="FM262">
            <v>1.0168796021749338</v>
          </cell>
          <cell r="FP262">
            <v>1.0016060228776302</v>
          </cell>
          <cell r="FQ262">
            <v>0.98881215735067063</v>
          </cell>
          <cell r="FR262">
            <v>1.0007452413933455</v>
          </cell>
          <cell r="FS262">
            <v>1.0028115913956974</v>
          </cell>
          <cell r="FV262">
            <v>1.0005096291516782</v>
          </cell>
          <cell r="FW262">
            <v>1.0081721608307339</v>
          </cell>
          <cell r="FX262">
            <v>0.99435769750356207</v>
          </cell>
          <cell r="FY262">
            <v>1.0114048185081832</v>
          </cell>
          <cell r="GB262">
            <v>1.0253009585429893</v>
          </cell>
          <cell r="GC262">
            <v>1.0133052611979987</v>
          </cell>
          <cell r="GD262">
            <v>1.018088666893139</v>
          </cell>
          <cell r="GE262">
            <v>1</v>
          </cell>
        </row>
        <row r="263">
          <cell r="A263" t="str">
            <v>Y/Y ∆ Gross Margin (bps)</v>
          </cell>
          <cell r="AF263">
            <v>-40</v>
          </cell>
          <cell r="AN263" t="str">
            <v>Month 2</v>
          </cell>
          <cell r="EL263" t="str">
            <v>Month 2</v>
          </cell>
          <cell r="ER263">
            <v>0.87143545576033965</v>
          </cell>
          <cell r="ES263">
            <v>0.86259214604526391</v>
          </cell>
          <cell r="ET263">
            <v>0.95476655228407081</v>
          </cell>
          <cell r="EU263">
            <v>0.95390310394604827</v>
          </cell>
          <cell r="EX263">
            <v>0.99756383077735888</v>
          </cell>
          <cell r="EY263">
            <v>1.0076309712339664</v>
          </cell>
          <cell r="EZ263">
            <v>1.0058439901456568</v>
          </cell>
          <cell r="FA263">
            <v>1.0104925603418453</v>
          </cell>
          <cell r="FD263">
            <v>1.0038919718017412</v>
          </cell>
          <cell r="FE263">
            <v>1.0002262623646179</v>
          </cell>
          <cell r="FF263">
            <v>1.0022779610885877</v>
          </cell>
          <cell r="FG263">
            <v>0.98797059201406712</v>
          </cell>
          <cell r="FJ263">
            <v>1.0172356632303496</v>
          </cell>
          <cell r="FK263">
            <v>1.0266388149144143</v>
          </cell>
          <cell r="FL263">
            <v>1.0185440088098592</v>
          </cell>
          <cell r="FM263">
            <v>1.0150644106268683</v>
          </cell>
          <cell r="FP263">
            <v>0.9967530496300272</v>
          </cell>
          <cell r="FQ263">
            <v>0.99989171377441255</v>
          </cell>
          <cell r="FR263">
            <v>1.0028971230689774</v>
          </cell>
          <cell r="FS263">
            <v>0.9946391314592461</v>
          </cell>
          <cell r="FV263">
            <v>1.0074992903911262</v>
          </cell>
          <cell r="FW263">
            <v>1.0057878604073234</v>
          </cell>
          <cell r="FX263">
            <v>1.0057401642886414</v>
          </cell>
          <cell r="FY263">
            <v>1.0118477756232767</v>
          </cell>
          <cell r="GB263">
            <v>1.0102541230632647</v>
          </cell>
          <cell r="GC263">
            <v>1.011143062170935</v>
          </cell>
          <cell r="GD263">
            <v>1</v>
          </cell>
          <cell r="GE263">
            <v>1</v>
          </cell>
        </row>
        <row r="264">
          <cell r="A264" t="str">
            <v>Y/Y ∆ SG&amp;A Ratio (bps)</v>
          </cell>
          <cell r="AF264">
            <v>35</v>
          </cell>
          <cell r="AN264" t="str">
            <v>Month 3</v>
          </cell>
          <cell r="EL264" t="str">
            <v>Month 3</v>
          </cell>
          <cell r="ER264">
            <v>0.85509041472763314</v>
          </cell>
          <cell r="ES264">
            <v>0.83302342705472399</v>
          </cell>
          <cell r="ET264">
            <v>0.9300581404093593</v>
          </cell>
          <cell r="EU264">
            <v>0.88885616548937241</v>
          </cell>
          <cell r="EX264">
            <v>1.0012993536198342</v>
          </cell>
          <cell r="EY264">
            <v>1.0067406823426219</v>
          </cell>
          <cell r="EZ264">
            <v>1.0010354929971583</v>
          </cell>
          <cell r="FA264">
            <v>0.77697496531497701</v>
          </cell>
          <cell r="FD264">
            <v>0.99998610863561077</v>
          </cell>
          <cell r="FE264">
            <v>1.0000776716315167</v>
          </cell>
          <cell r="FF264">
            <v>1.0026881239876493</v>
          </cell>
          <cell r="FG264">
            <v>1.0034001517037674</v>
          </cell>
          <cell r="FJ264">
            <v>1.017274065207098</v>
          </cell>
          <cell r="FK264">
            <v>1.0307481774152398</v>
          </cell>
          <cell r="FL264">
            <v>1.0154616377110075</v>
          </cell>
          <cell r="FM264">
            <v>1.009307170702717</v>
          </cell>
          <cell r="FP264">
            <v>1.0005893323256754</v>
          </cell>
          <cell r="FQ264">
            <v>1.0111137394005785</v>
          </cell>
          <cell r="FR264">
            <v>1.0254628236300125</v>
          </cell>
          <cell r="FS264">
            <v>1.00775043725629</v>
          </cell>
          <cell r="FV264">
            <v>0.99618702023241001</v>
          </cell>
          <cell r="FW264">
            <v>1.0047825549823146</v>
          </cell>
          <cell r="FX264">
            <v>1.0004489851343907</v>
          </cell>
          <cell r="FY264">
            <v>1.008520012530175</v>
          </cell>
          <cell r="GB264">
            <v>1.0062765433093959</v>
          </cell>
          <cell r="GC264">
            <v>1.0227639737625074</v>
          </cell>
          <cell r="GD264">
            <v>1</v>
          </cell>
          <cell r="GE264">
            <v>1</v>
          </cell>
        </row>
        <row r="265">
          <cell r="AN265" t="str">
            <v>Total</v>
          </cell>
          <cell r="EL265" t="str">
            <v>Total</v>
          </cell>
        </row>
        <row r="267">
          <cell r="AN267" t="str">
            <v>Cost of Goods Sold</v>
          </cell>
          <cell r="EL267" t="str">
            <v>Cost of Goods Sold</v>
          </cell>
          <cell r="ER267">
            <v>3627</v>
          </cell>
          <cell r="ES267">
            <v>3470</v>
          </cell>
          <cell r="ET267">
            <v>3513</v>
          </cell>
          <cell r="EU267">
            <v>5409</v>
          </cell>
          <cell r="EV267">
            <v>16019</v>
          </cell>
          <cell r="EX267">
            <v>3564</v>
          </cell>
          <cell r="EY267">
            <v>3507</v>
          </cell>
          <cell r="EZ267">
            <v>3585</v>
          </cell>
          <cell r="FA267">
            <v>5021</v>
          </cell>
          <cell r="FB267">
            <v>15677</v>
          </cell>
          <cell r="FD267">
            <v>3527</v>
          </cell>
          <cell r="FE267">
            <v>3346</v>
          </cell>
          <cell r="FF267">
            <v>3324</v>
          </cell>
          <cell r="FG267">
            <v>4812</v>
          </cell>
          <cell r="FH267">
            <v>15009</v>
          </cell>
          <cell r="FJ267">
            <v>3279</v>
          </cell>
          <cell r="FK267">
            <v>3117</v>
          </cell>
          <cell r="FL267">
            <v>3241</v>
          </cell>
          <cell r="FM267">
            <v>4650</v>
          </cell>
          <cell r="FN267">
            <v>14287</v>
          </cell>
          <cell r="FP267">
            <v>3378</v>
          </cell>
          <cell r="FQ267">
            <v>3214</v>
          </cell>
          <cell r="FR267">
            <v>3377</v>
          </cell>
          <cell r="FS267">
            <v>4855</v>
          </cell>
          <cell r="FT267">
            <v>14824</v>
          </cell>
          <cell r="FV267">
            <v>3586</v>
          </cell>
          <cell r="FW267">
            <v>3457</v>
          </cell>
          <cell r="FX267">
            <v>3544</v>
          </cell>
          <cell r="FY267">
            <v>5151</v>
          </cell>
          <cell r="FZ267">
            <v>15738</v>
          </cell>
          <cell r="GB267">
            <v>3757</v>
          </cell>
          <cell r="GC267">
            <v>3555</v>
          </cell>
          <cell r="GD267">
            <v>3693.9711570041623</v>
          </cell>
          <cell r="GE267">
            <v>5567.0878306241739</v>
          </cell>
          <cell r="GF267">
            <v>16573.058987628334</v>
          </cell>
        </row>
        <row r="268">
          <cell r="AN268" t="str">
            <v>CGS, OCC, Buying Costs %</v>
          </cell>
          <cell r="EL268" t="str">
            <v>CGS, OCC, Buying Costs %</v>
          </cell>
          <cell r="ER268">
            <v>0.61163575042158513</v>
          </cell>
          <cell r="ES268">
            <v>0.57881567973311088</v>
          </cell>
          <cell r="ET268">
            <v>0.59683995922528033</v>
          </cell>
          <cell r="EU268">
            <v>0.59056665574844414</v>
          </cell>
          <cell r="EV268">
            <v>0.59395624768261035</v>
          </cell>
          <cell r="EX268">
            <v>0.60192535044755957</v>
          </cell>
          <cell r="EY268">
            <v>0.59521384928716903</v>
          </cell>
          <cell r="EZ268">
            <v>0.60700982052150354</v>
          </cell>
          <cell r="FA268">
            <v>0.58424482196881544</v>
          </cell>
          <cell r="FB268">
            <v>0.59578915365028695</v>
          </cell>
          <cell r="FD268">
            <v>0.61371150165303634</v>
          </cell>
          <cell r="FE268">
            <v>0.5851696397341728</v>
          </cell>
          <cell r="FF268">
            <v>0.60513380666302563</v>
          </cell>
          <cell r="FG268">
            <v>0.60650365515502902</v>
          </cell>
          <cell r="FH268">
            <v>0.60296480797043228</v>
          </cell>
          <cell r="FJ268">
            <v>0.62008320726172461</v>
          </cell>
          <cell r="FK268">
            <v>0.58978240302743612</v>
          </cell>
          <cell r="FL268">
            <v>0.6018570102135562</v>
          </cell>
          <cell r="FM268">
            <v>0.58520010067958717</v>
          </cell>
          <cell r="FN268">
            <v>0.59768239625167341</v>
          </cell>
          <cell r="FP268">
            <v>0.60602798708288486</v>
          </cell>
          <cell r="FQ268">
            <v>0.58045873216543253</v>
          </cell>
          <cell r="FR268">
            <v>0.60056909123243818</v>
          </cell>
          <cell r="FS268">
            <v>0.58713266416737209</v>
          </cell>
          <cell r="FT268">
            <v>0.59288885333759944</v>
          </cell>
          <cell r="FV268">
            <v>0.60893190694515198</v>
          </cell>
          <cell r="FW268">
            <v>0.58208452601448057</v>
          </cell>
          <cell r="FX268">
            <v>0.60550145224671104</v>
          </cell>
          <cell r="FY268">
            <v>0.59044016506189823</v>
          </cell>
          <cell r="FZ268">
            <v>0.59602348040143915</v>
          </cell>
          <cell r="GB268">
            <v>0.61159042812957842</v>
          </cell>
          <cell r="GC268">
            <v>0.58107224583197126</v>
          </cell>
          <cell r="GD268">
            <v>0.60050145224671103</v>
          </cell>
          <cell r="GE268">
            <v>0.58312736950345423</v>
          </cell>
          <cell r="GF268">
            <v>0.59275387568136595</v>
          </cell>
        </row>
        <row r="269">
          <cell r="AN269" t="str">
            <v>BPS Change</v>
          </cell>
          <cell r="EL269" t="str">
            <v>BPS Change</v>
          </cell>
          <cell r="ER269">
            <v>139.97738886292632</v>
          </cell>
          <cell r="ES269">
            <v>-79.90834205613973</v>
          </cell>
          <cell r="ET269">
            <v>6.2033726308408088</v>
          </cell>
          <cell r="EU269">
            <v>-5.9414249625333593</v>
          </cell>
          <cell r="EV269">
            <v>11.916206169559906</v>
          </cell>
          <cell r="EX269">
            <v>-97.103999740255631</v>
          </cell>
          <cell r="EY269">
            <v>163.98169554058151</v>
          </cell>
          <cell r="EZ269">
            <v>101.69861296223215</v>
          </cell>
          <cell r="FA269">
            <v>-63.218337796286939</v>
          </cell>
          <cell r="FB269">
            <v>18.329059676766015</v>
          </cell>
          <cell r="FD269">
            <v>117.86151205476769</v>
          </cell>
          <cell r="FE269">
            <v>-100.4420955299623</v>
          </cell>
          <cell r="FF269">
            <v>-18.760138584779096</v>
          </cell>
          <cell r="FG269">
            <v>222.58833186213579</v>
          </cell>
          <cell r="FH269">
            <v>71.756543201453297</v>
          </cell>
          <cell r="FJ269">
            <v>63.717056086882721</v>
          </cell>
          <cell r="FK269">
            <v>46.127632932633219</v>
          </cell>
          <cell r="FL269">
            <v>-32.767964494694326</v>
          </cell>
          <cell r="FM269">
            <v>-213.03554475441854</v>
          </cell>
          <cell r="FN269">
            <v>-52.824117187588726</v>
          </cell>
          <cell r="FP269">
            <v>-140.55220178839755</v>
          </cell>
          <cell r="FQ269">
            <v>-93.236708620035856</v>
          </cell>
          <cell r="FR269">
            <v>-12.879189811180192</v>
          </cell>
          <cell r="FS269">
            <v>19.325634877849218</v>
          </cell>
          <cell r="FT269">
            <v>-47.935429140739672</v>
          </cell>
          <cell r="FV269">
            <v>29.039198622671236</v>
          </cell>
          <cell r="FW269">
            <v>16.257938490480406</v>
          </cell>
          <cell r="FX269">
            <v>49.323610142728569</v>
          </cell>
          <cell r="FY269">
            <v>33.075008945261388</v>
          </cell>
          <cell r="FZ269">
            <v>31.346270638397122</v>
          </cell>
          <cell r="GB269">
            <v>26.585211844264435</v>
          </cell>
          <cell r="GC269">
            <v>-10.122801825093175</v>
          </cell>
          <cell r="GD269">
            <v>-50.000000000000043</v>
          </cell>
          <cell r="GE269">
            <v>-73.12795558443996</v>
          </cell>
          <cell r="GF269">
            <v>-32.696047200732046</v>
          </cell>
        </row>
        <row r="271">
          <cell r="AN271" t="str">
            <v>Gross Income</v>
          </cell>
          <cell r="EL271" t="str">
            <v>Gross Income</v>
          </cell>
          <cell r="ER271">
            <v>2303</v>
          </cell>
          <cell r="ES271">
            <v>2525</v>
          </cell>
          <cell r="ET271">
            <v>2373</v>
          </cell>
          <cell r="EU271">
            <v>3750</v>
          </cell>
          <cell r="EV271">
            <v>10951</v>
          </cell>
          <cell r="EX271">
            <v>2357</v>
          </cell>
          <cell r="EY271">
            <v>2385</v>
          </cell>
          <cell r="EZ271">
            <v>2321</v>
          </cell>
          <cell r="FA271">
            <v>3573</v>
          </cell>
          <cell r="FB271">
            <v>10636</v>
          </cell>
          <cell r="FD271">
            <v>2220</v>
          </cell>
          <cell r="FE271">
            <v>2372</v>
          </cell>
          <cell r="FF271">
            <v>2169</v>
          </cell>
          <cell r="FG271">
            <v>3122</v>
          </cell>
          <cell r="FH271">
            <v>9883</v>
          </cell>
          <cell r="FJ271">
            <v>2009</v>
          </cell>
          <cell r="FK271">
            <v>2168</v>
          </cell>
          <cell r="FL271">
            <v>2144</v>
          </cell>
          <cell r="FM271">
            <v>3296</v>
          </cell>
          <cell r="FN271">
            <v>9617</v>
          </cell>
          <cell r="FP271">
            <v>2196</v>
          </cell>
          <cell r="FQ271">
            <v>2323</v>
          </cell>
          <cell r="FR271">
            <v>2246</v>
          </cell>
          <cell r="FS271">
            <v>3414</v>
          </cell>
          <cell r="FT271">
            <v>10179</v>
          </cell>
          <cell r="FV271">
            <v>2303</v>
          </cell>
          <cell r="FW271">
            <v>2482</v>
          </cell>
          <cell r="FX271">
            <v>2309</v>
          </cell>
          <cell r="FY271">
            <v>3573</v>
          </cell>
          <cell r="FZ271">
            <v>10667</v>
          </cell>
          <cell r="GB271">
            <v>2386</v>
          </cell>
          <cell r="GC271">
            <v>2563</v>
          </cell>
          <cell r="GD271">
            <v>2457.506317668996</v>
          </cell>
          <cell r="GE271">
            <v>3979.8621528154158</v>
          </cell>
          <cell r="GF271">
            <v>11386.368470484413</v>
          </cell>
        </row>
        <row r="272">
          <cell r="AN272" t="str">
            <v>Gross Margin</v>
          </cell>
          <cell r="EL272" t="str">
            <v>Gross Margin</v>
          </cell>
          <cell r="ER272">
            <v>0.38836424957841487</v>
          </cell>
          <cell r="ES272">
            <v>0.42118432026688907</v>
          </cell>
          <cell r="ET272">
            <v>0.40316004077471967</v>
          </cell>
          <cell r="EU272">
            <v>0.40943334425155586</v>
          </cell>
          <cell r="EV272">
            <v>0.40604375231738971</v>
          </cell>
          <cell r="EX272">
            <v>0.39807464955244048</v>
          </cell>
          <cell r="EY272">
            <v>0.40478615071283097</v>
          </cell>
          <cell r="EZ272">
            <v>0.39299017947849646</v>
          </cell>
          <cell r="FA272">
            <v>0.41575517803118456</v>
          </cell>
          <cell r="FB272">
            <v>0.40421084634971305</v>
          </cell>
          <cell r="FD272">
            <v>0.38628849834696366</v>
          </cell>
          <cell r="FE272">
            <v>0.4148303602658272</v>
          </cell>
          <cell r="FF272">
            <v>0.39486619333697431</v>
          </cell>
          <cell r="FG272">
            <v>0.39349634484497104</v>
          </cell>
          <cell r="FH272">
            <v>0.39703519202956772</v>
          </cell>
          <cell r="FJ272">
            <v>0.37991679273827533</v>
          </cell>
          <cell r="FK272">
            <v>0.41021759697256388</v>
          </cell>
          <cell r="FL272">
            <v>0.3981429897864438</v>
          </cell>
          <cell r="FM272">
            <v>0.41479989932041278</v>
          </cell>
          <cell r="FN272">
            <v>0.40231760374832665</v>
          </cell>
          <cell r="FP272">
            <v>0.3939720129171152</v>
          </cell>
          <cell r="FQ272">
            <v>0.41954126783456747</v>
          </cell>
          <cell r="FR272">
            <v>0.39943090876756182</v>
          </cell>
          <cell r="FS272">
            <v>0.41286733583262791</v>
          </cell>
          <cell r="FT272">
            <v>0.4071111466624005</v>
          </cell>
          <cell r="FV272">
            <v>0.39106809305484802</v>
          </cell>
          <cell r="FW272">
            <v>0.41791547398551943</v>
          </cell>
          <cell r="FX272">
            <v>0.39449854775328891</v>
          </cell>
          <cell r="FY272">
            <v>0.40955983493810177</v>
          </cell>
          <cell r="FZ272">
            <v>0.4039765195985609</v>
          </cell>
          <cell r="GB272">
            <v>0.38840957187042163</v>
          </cell>
          <cell r="GC272">
            <v>0.41892775416802874</v>
          </cell>
          <cell r="GD272">
            <v>0.39949854775328891</v>
          </cell>
          <cell r="GE272">
            <v>0.41687263049654577</v>
          </cell>
          <cell r="GF272">
            <v>0.407246124318634</v>
          </cell>
        </row>
        <row r="273">
          <cell r="AN273" t="str">
            <v>BPS Change</v>
          </cell>
          <cell r="EL273" t="str">
            <v>BPS Change</v>
          </cell>
          <cell r="ER273">
            <v>-139.97738886292632</v>
          </cell>
          <cell r="ES273">
            <v>79.908342056138622</v>
          </cell>
          <cell r="ET273">
            <v>-6.2033726308408088</v>
          </cell>
          <cell r="EU273">
            <v>5.9414249625339144</v>
          </cell>
          <cell r="EV273">
            <v>-11.916206169559906</v>
          </cell>
          <cell r="EX273">
            <v>97.103999740256185</v>
          </cell>
          <cell r="EY273">
            <v>-163.98169554058094</v>
          </cell>
          <cell r="EZ273">
            <v>-101.69861296223215</v>
          </cell>
          <cell r="FA273">
            <v>63.218337796286939</v>
          </cell>
          <cell r="FB273">
            <v>-18.329059676766569</v>
          </cell>
          <cell r="FD273">
            <v>-117.86151205476824</v>
          </cell>
          <cell r="FE273">
            <v>100.4420955299623</v>
          </cell>
          <cell r="FF273">
            <v>18.760138584778542</v>
          </cell>
          <cell r="FG273">
            <v>-222.58833186213522</v>
          </cell>
          <cell r="FH273">
            <v>-71.756543201453297</v>
          </cell>
          <cell r="FJ273">
            <v>-63.717056086883275</v>
          </cell>
          <cell r="FK273">
            <v>-46.127632932633219</v>
          </cell>
          <cell r="FL273">
            <v>32.76796449469488</v>
          </cell>
          <cell r="FM273">
            <v>213.03554475441743</v>
          </cell>
          <cell r="FN273">
            <v>52.82411718758928</v>
          </cell>
          <cell r="FP273">
            <v>140.55220178839866</v>
          </cell>
          <cell r="FQ273">
            <v>93.236708620035856</v>
          </cell>
          <cell r="FR273">
            <v>12.879189811180192</v>
          </cell>
          <cell r="FS273">
            <v>-19.325634877848664</v>
          </cell>
          <cell r="FT273">
            <v>47.935429140738563</v>
          </cell>
          <cell r="FV273">
            <v>-29.03919862267179</v>
          </cell>
          <cell r="FW273">
            <v>-16.257938490480406</v>
          </cell>
          <cell r="FX273">
            <v>-49.323610142729123</v>
          </cell>
          <cell r="FY273">
            <v>-33.075008945261388</v>
          </cell>
          <cell r="FZ273">
            <v>-31.346270638396014</v>
          </cell>
          <cell r="GB273">
            <v>-26.585211844263878</v>
          </cell>
          <cell r="GC273">
            <v>10.122801825093175</v>
          </cell>
          <cell r="GD273">
            <v>50</v>
          </cell>
          <cell r="GE273">
            <v>73.127955584439931</v>
          </cell>
          <cell r="GF273">
            <v>32.696047200730938</v>
          </cell>
        </row>
        <row r="275">
          <cell r="AN275" t="str">
            <v>SG&amp;A</v>
          </cell>
          <cell r="EL275" t="str">
            <v>SG&amp;A</v>
          </cell>
          <cell r="ER275">
            <v>2154</v>
          </cell>
          <cell r="ES275">
            <v>2117</v>
          </cell>
          <cell r="ET275">
            <v>2094</v>
          </cell>
          <cell r="EU275">
            <v>2313</v>
          </cell>
          <cell r="EV275">
            <v>8678</v>
          </cell>
          <cell r="EX275">
            <v>2113</v>
          </cell>
          <cell r="EY275">
            <v>2038</v>
          </cell>
          <cell r="EZ275">
            <v>2121</v>
          </cell>
          <cell r="FA275">
            <v>2282</v>
          </cell>
          <cell r="FB275">
            <v>8554</v>
          </cell>
          <cell r="FD275">
            <v>2080</v>
          </cell>
          <cell r="FE275">
            <v>2037</v>
          </cell>
          <cell r="FF275">
            <v>2085</v>
          </cell>
          <cell r="FG275">
            <v>2256</v>
          </cell>
          <cell r="FH275">
            <v>8458</v>
          </cell>
          <cell r="FJ275">
            <v>1985</v>
          </cell>
          <cell r="FK275">
            <v>1886</v>
          </cell>
          <cell r="FL275">
            <v>2056</v>
          </cell>
          <cell r="FM275">
            <v>2236</v>
          </cell>
          <cell r="FN275">
            <v>8163</v>
          </cell>
          <cell r="FP275">
            <v>1993</v>
          </cell>
          <cell r="FQ275">
            <v>1953</v>
          </cell>
          <cell r="FR275">
            <v>2069</v>
          </cell>
          <cell r="FS275">
            <v>2245</v>
          </cell>
          <cell r="FT275">
            <v>8260</v>
          </cell>
          <cell r="FV275">
            <v>1973</v>
          </cell>
          <cell r="FW275">
            <v>1976</v>
          </cell>
          <cell r="FX275">
            <v>2018</v>
          </cell>
          <cell r="FY275">
            <v>2314</v>
          </cell>
          <cell r="FZ275">
            <v>8281</v>
          </cell>
          <cell r="GB275">
            <v>1995</v>
          </cell>
          <cell r="GC275">
            <v>2009</v>
          </cell>
          <cell r="GD275">
            <v>2135.8432994799609</v>
          </cell>
          <cell r="GE275">
            <v>2451.0799464756819</v>
          </cell>
          <cell r="GF275">
            <v>8590.9232459556424</v>
          </cell>
        </row>
        <row r="276">
          <cell r="AN276" t="str">
            <v>SG&amp;A Ratio</v>
          </cell>
          <cell r="EL276" t="str">
            <v>SG&amp;A Ratio</v>
          </cell>
          <cell r="ER276">
            <v>0.36323777403035412</v>
          </cell>
          <cell r="ES276">
            <v>0.35312760633861551</v>
          </cell>
          <cell r="ET276">
            <v>0.35575942915392456</v>
          </cell>
          <cell r="EU276">
            <v>0.25253848673435964</v>
          </cell>
          <cell r="EV276">
            <v>0.32176492398961809</v>
          </cell>
          <cell r="EX276">
            <v>0.35686539435906095</v>
          </cell>
          <cell r="EY276">
            <v>0.34589273591310249</v>
          </cell>
          <cell r="EZ276">
            <v>0.35912631222485608</v>
          </cell>
          <cell r="FA276">
            <v>0.2655340935536421</v>
          </cell>
          <cell r="FB276">
            <v>0.32508645916467144</v>
          </cell>
          <cell r="FD276">
            <v>0.36192796241517311</v>
          </cell>
          <cell r="FE276">
            <v>0.35624344176285416</v>
          </cell>
          <cell r="FF276">
            <v>0.37957400327689789</v>
          </cell>
          <cell r="FG276">
            <v>0.28434585328963952</v>
          </cell>
          <cell r="FH276">
            <v>0.33978788365739998</v>
          </cell>
          <cell r="FJ276">
            <v>0.37537821482602118</v>
          </cell>
          <cell r="FK276">
            <v>0.35685903500473037</v>
          </cell>
          <cell r="FL276">
            <v>0.38180129990714951</v>
          </cell>
          <cell r="FM276">
            <v>0.28139944626227031</v>
          </cell>
          <cell r="FN276">
            <v>0.34149096385542171</v>
          </cell>
          <cell r="FP276">
            <v>0.35755292429135271</v>
          </cell>
          <cell r="FQ276">
            <v>0.3527180783817952</v>
          </cell>
          <cell r="FR276">
            <v>0.36795304997332384</v>
          </cell>
          <cell r="FS276">
            <v>0.27149594872415045</v>
          </cell>
          <cell r="FT276">
            <v>0.33036035675718911</v>
          </cell>
          <cell r="FV276">
            <v>0.33503141450161317</v>
          </cell>
          <cell r="FW276">
            <v>0.33271594544536115</v>
          </cell>
          <cell r="FX276">
            <v>0.34478045446779432</v>
          </cell>
          <cell r="FY276">
            <v>0.26524530032095367</v>
          </cell>
          <cell r="FZ276">
            <v>0.31361484567316794</v>
          </cell>
          <cell r="GB276">
            <v>0.32475988930489991</v>
          </cell>
          <cell r="GC276">
            <v>0.32837528604118993</v>
          </cell>
          <cell r="GD276">
            <v>0.34720818019307514</v>
          </cell>
          <cell r="GE276">
            <v>0.25673958182743123</v>
          </cell>
          <cell r="GF276">
            <v>0.30726391872029868</v>
          </cell>
        </row>
        <row r="277">
          <cell r="AN277" t="str">
            <v>BPS Change</v>
          </cell>
          <cell r="EL277" t="str">
            <v>BPS Change</v>
          </cell>
          <cell r="ER277">
            <v>300.87540578005888</v>
          </cell>
          <cell r="ES277">
            <v>202.54296926526084</v>
          </cell>
          <cell r="ET277">
            <v>5.8391160216936244</v>
          </cell>
          <cell r="EU277">
            <v>-178.61680437304796</v>
          </cell>
          <cell r="EV277">
            <v>100.18608670279094</v>
          </cell>
          <cell r="EX277">
            <v>-63.723796712931716</v>
          </cell>
          <cell r="EY277">
            <v>-72.348704255130187</v>
          </cell>
          <cell r="EZ277">
            <v>33.668830709315259</v>
          </cell>
          <cell r="FA277">
            <v>129.95606819282469</v>
          </cell>
          <cell r="FB277">
            <v>33.215351750533472</v>
          </cell>
          <cell r="FD277">
            <v>50.625680561121598</v>
          </cell>
          <cell r="FE277">
            <v>103.50705849751674</v>
          </cell>
          <cell r="FF277">
            <v>204.47691052041804</v>
          </cell>
          <cell r="FG277">
            <v>188.11759735997413</v>
          </cell>
          <cell r="FH277">
            <v>147.01424492728543</v>
          </cell>
          <cell r="FJ277">
            <v>134.50252410848074</v>
          </cell>
          <cell r="FK277">
            <v>6.1559324187621112</v>
          </cell>
          <cell r="FL277">
            <v>22.272966302516185</v>
          </cell>
          <cell r="FM277">
            <v>-29.464070273692023</v>
          </cell>
          <cell r="FN277">
            <v>17.030801980217337</v>
          </cell>
          <cell r="FP277">
            <v>-178.25290534668468</v>
          </cell>
          <cell r="FQ277">
            <v>-41.409566229351768</v>
          </cell>
          <cell r="FR277">
            <v>-138.48249933825662</v>
          </cell>
          <cell r="FS277">
            <v>-99.034975381198649</v>
          </cell>
          <cell r="FT277">
            <v>-111.30607098232603</v>
          </cell>
          <cell r="FV277">
            <v>-225.21509789739548</v>
          </cell>
          <cell r="FW277">
            <v>-200.02132936434046</v>
          </cell>
          <cell r="FX277">
            <v>-231.72595505529526</v>
          </cell>
          <cell r="FY277">
            <v>-62.506484031967787</v>
          </cell>
          <cell r="FZ277">
            <v>-167.45511084021169</v>
          </cell>
          <cell r="GB277">
            <v>-102.7152519671326</v>
          </cell>
          <cell r="GC277">
            <v>-43.406594041712211</v>
          </cell>
          <cell r="GD277">
            <v>24.277257252808404</v>
          </cell>
          <cell r="GE277">
            <v>-85.057184935224271</v>
          </cell>
          <cell r="GF277">
            <v>-63.509269528692627</v>
          </cell>
        </row>
        <row r="279">
          <cell r="AN279" t="str">
            <v>Operating Income</v>
          </cell>
          <cell r="EL279" t="str">
            <v>Operating Income</v>
          </cell>
          <cell r="ER279">
            <v>149</v>
          </cell>
          <cell r="ES279">
            <v>408</v>
          </cell>
          <cell r="ET279">
            <v>279</v>
          </cell>
          <cell r="EU279">
            <v>1437</v>
          </cell>
          <cell r="EV279">
            <v>2273</v>
          </cell>
          <cell r="EX279">
            <v>244</v>
          </cell>
          <cell r="EY279">
            <v>347</v>
          </cell>
          <cell r="EZ279">
            <v>200</v>
          </cell>
          <cell r="FA279">
            <v>1291</v>
          </cell>
          <cell r="FB279">
            <v>2082</v>
          </cell>
          <cell r="FD279">
            <v>140</v>
          </cell>
          <cell r="FE279">
            <v>335</v>
          </cell>
          <cell r="FF279">
            <v>84</v>
          </cell>
          <cell r="FG279">
            <v>866</v>
          </cell>
          <cell r="FH279">
            <v>1425</v>
          </cell>
          <cell r="FJ279">
            <v>24</v>
          </cell>
          <cell r="FK279">
            <v>282</v>
          </cell>
          <cell r="FL279">
            <v>88</v>
          </cell>
          <cell r="FM279">
            <v>1060</v>
          </cell>
          <cell r="FN279">
            <v>1454</v>
          </cell>
          <cell r="FP279">
            <v>203</v>
          </cell>
          <cell r="FQ279">
            <v>370</v>
          </cell>
          <cell r="FR279">
            <v>177</v>
          </cell>
          <cell r="FS279">
            <v>1169</v>
          </cell>
          <cell r="FT279">
            <v>1919</v>
          </cell>
          <cell r="FV279">
            <v>330</v>
          </cell>
          <cell r="FW279">
            <v>506</v>
          </cell>
          <cell r="FX279">
            <v>291</v>
          </cell>
          <cell r="FY279">
            <v>1259</v>
          </cell>
          <cell r="FZ279">
            <v>2386</v>
          </cell>
          <cell r="GB279">
            <v>391</v>
          </cell>
          <cell r="GC279">
            <v>554</v>
          </cell>
          <cell r="GD279">
            <v>321.66301818903503</v>
          </cell>
          <cell r="GE279">
            <v>1528.7822063397339</v>
          </cell>
          <cell r="GF279">
            <v>2795.4452245287689</v>
          </cell>
        </row>
        <row r="280">
          <cell r="AN280" t="str">
            <v>Operating Margin</v>
          </cell>
          <cell r="EL280" t="str">
            <v>Operating Margin</v>
          </cell>
          <cell r="ER280">
            <v>2.5126475548060707E-2</v>
          </cell>
          <cell r="ES280">
            <v>6.805671392827356E-2</v>
          </cell>
          <cell r="ET280">
            <v>4.7400611620795105E-2</v>
          </cell>
          <cell r="EU280">
            <v>0.1568948575171962</v>
          </cell>
          <cell r="EV280">
            <v>8.4278828327771602E-2</v>
          </cell>
          <cell r="EX280">
            <v>4.12092551933795E-2</v>
          </cell>
          <cell r="EY280">
            <v>5.8893414799728448E-2</v>
          </cell>
          <cell r="EZ280">
            <v>3.3863867253640365E-2</v>
          </cell>
          <cell r="FA280">
            <v>0.15022108447754248</v>
          </cell>
          <cell r="FB280">
            <v>7.9124387185041611E-2</v>
          </cell>
          <cell r="FD280">
            <v>2.4360535931790498E-2</v>
          </cell>
          <cell r="FE280">
            <v>5.8586918502973068E-2</v>
          </cell>
          <cell r="FF280">
            <v>1.5292190060076462E-2</v>
          </cell>
          <cell r="FG280">
            <v>0.10915049155533149</v>
          </cell>
          <cell r="FH280">
            <v>5.7247308372167766E-2</v>
          </cell>
          <cell r="FJ280">
            <v>4.5385779122541605E-3</v>
          </cell>
          <cell r="FK280">
            <v>5.3358561967833493E-2</v>
          </cell>
          <cell r="FL280">
            <v>1.6341689879294335E-2</v>
          </cell>
          <cell r="FM280">
            <v>0.13340045305814247</v>
          </cell>
          <cell r="FN280">
            <v>6.0826639892904953E-2</v>
          </cell>
          <cell r="FP280">
            <v>3.6419088625762472E-2</v>
          </cell>
          <cell r="FQ280">
            <v>6.6823189452772255E-2</v>
          </cell>
          <cell r="FR280">
            <v>3.1477858794237951E-2</v>
          </cell>
          <cell r="FS280">
            <v>0.14137138710847744</v>
          </cell>
          <cell r="FT280">
            <v>7.6750789905211378E-2</v>
          </cell>
          <cell r="FV280">
            <v>5.6036678553234846E-2</v>
          </cell>
          <cell r="FW280">
            <v>8.5199528540158276E-2</v>
          </cell>
          <cell r="FX280">
            <v>4.9718093285494619E-2</v>
          </cell>
          <cell r="FY280">
            <v>0.1443145346171481</v>
          </cell>
          <cell r="FZ280">
            <v>9.0361673925392919E-2</v>
          </cell>
          <cell r="GB280">
            <v>6.3649682565521726E-2</v>
          </cell>
          <cell r="GC280">
            <v>9.0552468126838842E-2</v>
          </cell>
          <cell r="GD280">
            <v>5.2290367560213769E-2</v>
          </cell>
          <cell r="GE280">
            <v>0.16013304866911451</v>
          </cell>
          <cell r="GF280">
            <v>9.9982205598335261E-2</v>
          </cell>
        </row>
        <row r="281">
          <cell r="AN281" t="str">
            <v>BPS Change</v>
          </cell>
          <cell r="EL281" t="str">
            <v>BPS Change</v>
          </cell>
        </row>
        <row r="283">
          <cell r="AN283" t="str">
            <v>Bear Case Assumptions</v>
          </cell>
          <cell r="EL283" t="str">
            <v>Bear Case Assumptions</v>
          </cell>
        </row>
        <row r="284">
          <cell r="AN284" t="str">
            <v>Consolidated Stores Monthly Sales ($)</v>
          </cell>
          <cell r="EL284" t="str">
            <v>Consolidated Stores Monthly Sales ($)</v>
          </cell>
          <cell r="EU284">
            <v>356</v>
          </cell>
        </row>
        <row r="285">
          <cell r="AN285" t="str">
            <v>Month 1</v>
          </cell>
          <cell r="EL285" t="str">
            <v>Month 1</v>
          </cell>
          <cell r="ER285">
            <v>1800</v>
          </cell>
          <cell r="ES285">
            <v>2026</v>
          </cell>
          <cell r="ET285">
            <v>1727</v>
          </cell>
          <cell r="EU285">
            <v>2385</v>
          </cell>
          <cell r="EX285">
            <v>1802</v>
          </cell>
          <cell r="EY285">
            <v>1976</v>
          </cell>
          <cell r="EZ285">
            <v>1788</v>
          </cell>
          <cell r="FA285">
            <v>2707</v>
          </cell>
          <cell r="FD285">
            <v>1737</v>
          </cell>
          <cell r="FE285">
            <v>1926</v>
          </cell>
          <cell r="FF285">
            <v>1686</v>
          </cell>
          <cell r="FG285">
            <v>2324</v>
          </cell>
          <cell r="FJ285">
            <v>1602.5975291456411</v>
          </cell>
          <cell r="FK285">
            <v>1783.7565582371458</v>
          </cell>
          <cell r="FL285">
            <v>1576.1490988530857</v>
          </cell>
          <cell r="FM285">
            <v>2202.7766574237457</v>
          </cell>
          <cell r="FP285">
            <v>1667</v>
          </cell>
          <cell r="FQ285">
            <v>1789</v>
          </cell>
          <cell r="FR285">
            <v>1638</v>
          </cell>
          <cell r="FS285">
            <v>2341</v>
          </cell>
          <cell r="FV285">
            <v>1763</v>
          </cell>
          <cell r="FW285">
            <v>1937</v>
          </cell>
          <cell r="FX285">
            <v>1714</v>
          </cell>
          <cell r="FY285">
            <v>2465</v>
          </cell>
          <cell r="GB285">
            <v>1860</v>
          </cell>
          <cell r="GC285">
            <v>2015</v>
          </cell>
          <cell r="GD285">
            <v>1812</v>
          </cell>
          <cell r="GE285">
            <v>2490.7341222077775</v>
          </cell>
        </row>
        <row r="286">
          <cell r="AN286" t="str">
            <v>Month 2</v>
          </cell>
          <cell r="EL286" t="str">
            <v>Month 2</v>
          </cell>
          <cell r="ER286">
            <v>2255</v>
          </cell>
          <cell r="ES286">
            <v>2367</v>
          </cell>
          <cell r="ET286">
            <v>2303</v>
          </cell>
          <cell r="EU286">
            <v>4997</v>
          </cell>
          <cell r="EX286">
            <v>2288</v>
          </cell>
          <cell r="EY286">
            <v>2321</v>
          </cell>
          <cell r="EZ286">
            <v>2274</v>
          </cell>
          <cell r="FA286">
            <v>4624</v>
          </cell>
          <cell r="FD286">
            <v>2142</v>
          </cell>
          <cell r="FE286">
            <v>2249</v>
          </cell>
          <cell r="FF286">
            <v>2093</v>
          </cell>
          <cell r="FG286">
            <v>4397</v>
          </cell>
          <cell r="FJ286">
            <v>1963.7990255785628</v>
          </cell>
          <cell r="FK286">
            <v>2092.5916404337181</v>
          </cell>
          <cell r="FL286">
            <v>2084.1512834516657</v>
          </cell>
          <cell r="FM286">
            <v>4474.7693471136881</v>
          </cell>
          <cell r="FP286">
            <v>2172</v>
          </cell>
          <cell r="FQ286">
            <v>2229</v>
          </cell>
          <cell r="FR286">
            <v>2181</v>
          </cell>
          <cell r="FS286">
            <v>4619</v>
          </cell>
          <cell r="FV286">
            <v>2206</v>
          </cell>
          <cell r="FW286">
            <v>2392</v>
          </cell>
          <cell r="FX286">
            <v>2298</v>
          </cell>
          <cell r="FY286">
            <v>4925</v>
          </cell>
          <cell r="GB286">
            <v>2358</v>
          </cell>
          <cell r="GC286">
            <v>2412</v>
          </cell>
          <cell r="GD286">
            <v>2293.892456048884</v>
          </cell>
          <cell r="GE286">
            <v>4976.4160453847071</v>
          </cell>
        </row>
        <row r="287">
          <cell r="AN287" t="str">
            <v>Month 3</v>
          </cell>
          <cell r="EL287" t="str">
            <v>Month 3</v>
          </cell>
          <cell r="ER287">
            <v>1878</v>
          </cell>
          <cell r="ES287">
            <v>1608</v>
          </cell>
          <cell r="ET287">
            <v>1863</v>
          </cell>
          <cell r="EU287">
            <v>1780</v>
          </cell>
          <cell r="EX287">
            <v>1837</v>
          </cell>
          <cell r="EY287">
            <v>1602</v>
          </cell>
          <cell r="EZ287">
            <v>1849</v>
          </cell>
          <cell r="FA287">
            <v>1273</v>
          </cell>
          <cell r="FD287">
            <v>1868</v>
          </cell>
          <cell r="FE287">
            <v>1543</v>
          </cell>
          <cell r="FF287">
            <v>1714</v>
          </cell>
          <cell r="FG287">
            <v>1213</v>
          </cell>
          <cell r="FJ287">
            <v>1720.603445275796</v>
          </cell>
          <cell r="FK287">
            <v>1409.6518013291361</v>
          </cell>
          <cell r="FL287">
            <v>1725.6996176952484</v>
          </cell>
          <cell r="FM287">
            <v>1268.4539954625661</v>
          </cell>
          <cell r="FP287">
            <v>1739</v>
          </cell>
          <cell r="FQ287">
            <v>1528</v>
          </cell>
          <cell r="FR287">
            <v>1806</v>
          </cell>
          <cell r="FS287">
            <v>1310</v>
          </cell>
          <cell r="FV287">
            <v>1920</v>
          </cell>
          <cell r="FW287">
            <v>1612</v>
          </cell>
          <cell r="FX287">
            <v>1842</v>
          </cell>
          <cell r="FY287">
            <v>1336</v>
          </cell>
          <cell r="GB287">
            <v>1928</v>
          </cell>
          <cell r="GC287">
            <v>1693</v>
          </cell>
          <cell r="GD287">
            <v>1882.0033631484798</v>
          </cell>
          <cell r="GE287">
            <v>1720.1677658275225</v>
          </cell>
        </row>
        <row r="288">
          <cell r="AN288" t="str">
            <v>Total</v>
          </cell>
          <cell r="EL288" t="str">
            <v>Total</v>
          </cell>
          <cell r="ER288">
            <v>5930</v>
          </cell>
          <cell r="ES288">
            <v>5995</v>
          </cell>
          <cell r="ET288">
            <v>5886</v>
          </cell>
          <cell r="EU288">
            <v>9159</v>
          </cell>
          <cell r="EV288">
            <v>26970</v>
          </cell>
          <cell r="EX288">
            <v>5921</v>
          </cell>
          <cell r="EY288">
            <v>5892</v>
          </cell>
          <cell r="EZ288">
            <v>5906</v>
          </cell>
          <cell r="FA288">
            <v>8594</v>
          </cell>
          <cell r="FB288">
            <v>26313</v>
          </cell>
          <cell r="FD288">
            <v>5747</v>
          </cell>
          <cell r="FE288">
            <v>5718</v>
          </cell>
          <cell r="FF288">
            <v>5493</v>
          </cell>
          <cell r="FG288">
            <v>7934</v>
          </cell>
          <cell r="FH288">
            <v>24892</v>
          </cell>
          <cell r="FJ288">
            <v>5288</v>
          </cell>
          <cell r="FK288">
            <v>5285</v>
          </cell>
          <cell r="FL288">
            <v>5385</v>
          </cell>
          <cell r="FM288">
            <v>7946</v>
          </cell>
          <cell r="FN288">
            <v>23904</v>
          </cell>
          <cell r="FP288">
            <v>5574</v>
          </cell>
          <cell r="FQ288">
            <v>5537</v>
          </cell>
          <cell r="FR288">
            <v>5623</v>
          </cell>
          <cell r="FS288">
            <v>8269</v>
          </cell>
          <cell r="FT288">
            <v>25003</v>
          </cell>
          <cell r="FV288">
            <v>5889</v>
          </cell>
          <cell r="FW288">
            <v>5939</v>
          </cell>
          <cell r="FX288">
            <v>5853</v>
          </cell>
          <cell r="FY288">
            <v>8724</v>
          </cell>
          <cell r="FZ288">
            <v>26405</v>
          </cell>
          <cell r="GB288">
            <v>6143</v>
          </cell>
          <cell r="GC288">
            <v>6118</v>
          </cell>
          <cell r="GD288">
            <v>5987.8958191973634</v>
          </cell>
          <cell r="GE288">
            <v>9187.3179334200067</v>
          </cell>
          <cell r="GF288">
            <v>27436.213752617372</v>
          </cell>
        </row>
        <row r="290">
          <cell r="AN290" t="str">
            <v xml:space="preserve">Consolidated Monthly Comps </v>
          </cell>
          <cell r="EL290" t="str">
            <v xml:space="preserve">Consolidated Monthly Comps </v>
          </cell>
        </row>
        <row r="291">
          <cell r="AN291" t="str">
            <v>Month 1</v>
          </cell>
          <cell r="EL291" t="str">
            <v>Month 1</v>
          </cell>
          <cell r="ER291">
            <v>0.01</v>
          </cell>
          <cell r="ES291">
            <v>9.1999999999999998E-2</v>
          </cell>
          <cell r="ET291">
            <v>3.7999999999999999E-2</v>
          </cell>
          <cell r="EU291">
            <v>8.5000000000000006E-2</v>
          </cell>
          <cell r="EX291">
            <v>1.2E-2</v>
          </cell>
          <cell r="EY291">
            <v>-3.3000000000000002E-2</v>
          </cell>
          <cell r="EZ291">
            <v>2.4E-2</v>
          </cell>
          <cell r="FA291">
            <v>0.13400000000000001</v>
          </cell>
          <cell r="FD291">
            <v>-3.5000000000000003E-2</v>
          </cell>
          <cell r="FE291">
            <v>-1.4999999999999999E-2</v>
          </cell>
          <cell r="FF291">
            <v>-4.8000000000000001E-2</v>
          </cell>
          <cell r="FG291">
            <v>-0.13300000000000001</v>
          </cell>
          <cell r="FJ291">
            <v>-8.5000000000000006E-2</v>
          </cell>
          <cell r="FK291">
            <v>-9.0999999999999998E-2</v>
          </cell>
          <cell r="FL291">
            <v>-8.1000000000000003E-2</v>
          </cell>
          <cell r="FM291">
            <v>-6.0999999999999999E-2</v>
          </cell>
          <cell r="FP291">
            <v>3.6999999999999998E-2</v>
          </cell>
          <cell r="FQ291">
            <v>1.4E-2</v>
          </cell>
          <cell r="FR291">
            <v>4.2999999999999997E-2</v>
          </cell>
          <cell r="FS291">
            <v>6.0999999999999999E-2</v>
          </cell>
          <cell r="FV291">
            <v>5.8000000000000003E-2</v>
          </cell>
          <cell r="FW291">
            <v>7.3999999999999996E-2</v>
          </cell>
          <cell r="FX291">
            <v>0.05</v>
          </cell>
          <cell r="FY291">
            <v>4.8000000000000001E-2</v>
          </cell>
          <cell r="GB291">
            <v>4.5999999999999999E-2</v>
          </cell>
          <cell r="GC291">
            <v>4.2000000000000003E-2</v>
          </cell>
          <cell r="GD291">
            <v>5.0999999999999997E-2</v>
          </cell>
          <cell r="GE291">
            <v>0.02</v>
          </cell>
        </row>
        <row r="292">
          <cell r="AN292" t="str">
            <v>Month 2</v>
          </cell>
          <cell r="EL292" t="str">
            <v>Month 2</v>
          </cell>
          <cell r="ER292">
            <v>0</v>
          </cell>
          <cell r="ES292">
            <v>1.7000000000000001E-2</v>
          </cell>
          <cell r="ET292">
            <v>6.5000000000000002E-2</v>
          </cell>
          <cell r="EU292">
            <v>4.3999999999999997E-2</v>
          </cell>
          <cell r="EX292">
            <v>2.3E-2</v>
          </cell>
          <cell r="EY292">
            <v>-2.7E-2</v>
          </cell>
          <cell r="EZ292">
            <v>-2.7E-2</v>
          </cell>
          <cell r="FA292">
            <v>-7.9000000000000001E-2</v>
          </cell>
          <cell r="FD292">
            <v>-6.2E-2</v>
          </cell>
          <cell r="FE292">
            <v>-2.1000000000000001E-2</v>
          </cell>
          <cell r="FF292">
            <v>-6.6000000000000003E-2</v>
          </cell>
          <cell r="FG292">
            <v>-0.04</v>
          </cell>
          <cell r="FJ292">
            <v>-9.1999999999999998E-2</v>
          </cell>
          <cell r="FK292">
            <v>-8.8999999999999996E-2</v>
          </cell>
          <cell r="FL292">
            <v>-2.3E-2</v>
          </cell>
          <cell r="FM292">
            <v>0.01</v>
          </cell>
          <cell r="FP292">
            <v>0.10800000000000001</v>
          </cell>
          <cell r="FQ292">
            <v>6.5000000000000002E-2</v>
          </cell>
          <cell r="FR292">
            <v>4.8000000000000001E-2</v>
          </cell>
          <cell r="FS292">
            <v>3.9E-2</v>
          </cell>
          <cell r="FV292">
            <v>8.9999999999999993E-3</v>
          </cell>
          <cell r="FW292">
            <v>6.7000000000000004E-2</v>
          </cell>
          <cell r="FX292">
            <v>4.9000000000000002E-2</v>
          </cell>
          <cell r="FY292">
            <v>6.2E-2</v>
          </cell>
          <cell r="GB292">
            <v>7.2999999999999995E-2</v>
          </cell>
          <cell r="GC292">
            <v>1.2E-2</v>
          </cell>
          <cell r="GD292">
            <v>9.9999999999999985E-3</v>
          </cell>
          <cell r="GE292">
            <v>0.02</v>
          </cell>
        </row>
        <row r="293">
          <cell r="AN293" t="str">
            <v>Month 3</v>
          </cell>
          <cell r="EL293" t="str">
            <v>Month 3</v>
          </cell>
          <cell r="ER293">
            <v>-8.0000000000000002E-3</v>
          </cell>
          <cell r="ES293">
            <v>3.3000000000000002E-2</v>
          </cell>
          <cell r="ET293">
            <v>7.6999999999999999E-2</v>
          </cell>
          <cell r="EU293">
            <v>8.5999999999999993E-2</v>
          </cell>
          <cell r="EX293">
            <v>-2.1999999999999999E-2</v>
          </cell>
          <cell r="EY293">
            <v>-1.4E-2</v>
          </cell>
          <cell r="EZ293">
            <v>-1.4999999999999999E-2</v>
          </cell>
          <cell r="FA293">
            <v>-7.0999999999999994E-2</v>
          </cell>
          <cell r="FD293">
            <v>0.03</v>
          </cell>
          <cell r="FE293">
            <v>-2.9000000000000001E-2</v>
          </cell>
          <cell r="FF293">
            <v>-6.3E-2</v>
          </cell>
          <cell r="FG293">
            <v>-4.4999999999999998E-2</v>
          </cell>
          <cell r="FJ293">
            <v>-9.0999999999999998E-2</v>
          </cell>
          <cell r="FK293">
            <v>-0.107</v>
          </cell>
          <cell r="FL293">
            <v>-8.0000000000000002E-3</v>
          </cell>
          <cell r="FM293">
            <v>3.4000000000000002E-2</v>
          </cell>
          <cell r="FP293">
            <v>1.0999999999999999E-2</v>
          </cell>
          <cell r="FQ293">
            <v>7.2999999999999995E-2</v>
          </cell>
          <cell r="FR293">
            <v>2.5000000000000001E-2</v>
          </cell>
          <cell r="FS293">
            <v>2.5999999999999999E-2</v>
          </cell>
          <cell r="FV293">
            <v>0.108</v>
          </cell>
          <cell r="FW293">
            <v>0.05</v>
          </cell>
          <cell r="FX293">
            <v>2.1999999999999999E-2</v>
          </cell>
          <cell r="FY293">
            <v>2.4E-2</v>
          </cell>
          <cell r="GB293">
            <v>1.2E-2</v>
          </cell>
          <cell r="GC293">
            <v>4.1000000000000002E-2</v>
          </cell>
          <cell r="GD293">
            <v>3.5000000000000003E-2</v>
          </cell>
          <cell r="GE293">
            <v>3.0000000000000002E-2</v>
          </cell>
        </row>
        <row r="294">
          <cell r="AN294" t="str">
            <v>Total</v>
          </cell>
          <cell r="EL294" t="str">
            <v>Total</v>
          </cell>
          <cell r="ER294">
            <v>0</v>
          </cell>
          <cell r="ES294">
            <v>4.5999999999999999E-2</v>
          </cell>
          <cell r="ET294">
            <v>5.8999999999999997E-2</v>
          </cell>
          <cell r="EU294">
            <v>6.0999999999999999E-2</v>
          </cell>
          <cell r="EV294">
            <v>4.3999999999999997E-2</v>
          </cell>
          <cell r="EX294">
            <v>6.0000000000000001E-3</v>
          </cell>
          <cell r="EY294">
            <v>-2.5999999999999999E-2</v>
          </cell>
          <cell r="EZ294">
            <v>-8.0000000000000002E-3</v>
          </cell>
          <cell r="FA294">
            <v>-0.02</v>
          </cell>
          <cell r="FB294">
            <v>-1.2999999999999999E-2</v>
          </cell>
          <cell r="FD294">
            <v>-2.5999999999999999E-2</v>
          </cell>
          <cell r="FE294">
            <v>-2.1000000000000001E-2</v>
          </cell>
          <cell r="FF294">
            <v>-0.06</v>
          </cell>
          <cell r="FG294">
            <v>-7.0000000000000007E-2</v>
          </cell>
          <cell r="FH294">
            <v>-4.4999999999999998E-2</v>
          </cell>
          <cell r="FJ294">
            <v>-0.09</v>
          </cell>
          <cell r="FK294">
            <v>-9.5000000000000001E-2</v>
          </cell>
          <cell r="FL294">
            <v>-3.5999999999999997E-2</v>
          </cell>
          <cell r="FM294">
            <v>-5.8512769677805648E-3</v>
          </cell>
          <cell r="FN294">
            <v>-5.0968425652024113E-2</v>
          </cell>
          <cell r="FP294">
            <v>5.5E-2</v>
          </cell>
          <cell r="FQ294">
            <v>4.9000000000000002E-2</v>
          </cell>
          <cell r="FR294">
            <v>3.9E-2</v>
          </cell>
          <cell r="FS294">
            <v>4.2999999999999997E-2</v>
          </cell>
          <cell r="FT294">
            <v>4.610434747830261E-2</v>
          </cell>
          <cell r="FV294">
            <v>5.3999999999999999E-2</v>
          </cell>
          <cell r="FW294">
            <v>6.4000000000000001E-2</v>
          </cell>
          <cell r="FX294">
            <v>0.04</v>
          </cell>
          <cell r="FY294">
            <v>5.1999999999999998E-2</v>
          </cell>
          <cell r="FZ294">
            <v>5.2999999999999999E-2</v>
          </cell>
          <cell r="GB294">
            <v>4.3999999999999997E-2</v>
          </cell>
          <cell r="GC294">
            <v>0.03</v>
          </cell>
          <cell r="GD294">
            <v>3.0264561666167575E-2</v>
          </cell>
          <cell r="GE294">
            <v>2.1872328549304036E-2</v>
          </cell>
          <cell r="GF294">
            <v>3.0470716044687752E-2</v>
          </cell>
        </row>
        <row r="296">
          <cell r="AN296" t="str">
            <v xml:space="preserve">Consolidated Productivity Factor </v>
          </cell>
          <cell r="EL296" t="str">
            <v xml:space="preserve">Consolidated Productivity Factor </v>
          </cell>
        </row>
        <row r="297">
          <cell r="AN297" t="str">
            <v>Month 1</v>
          </cell>
          <cell r="EL297" t="str">
            <v>Month 1</v>
          </cell>
          <cell r="ER297">
            <v>0.85379589916801657</v>
          </cell>
          <cell r="ES297">
            <v>0.82852877251430668</v>
          </cell>
          <cell r="ET297">
            <v>0.83475030563790842</v>
          </cell>
          <cell r="EU297">
            <v>0.91480422703367681</v>
          </cell>
          <cell r="EX297">
            <v>1.0042251017232908</v>
          </cell>
          <cell r="EY297">
            <v>1.0108075527611304</v>
          </cell>
          <cell r="EZ297">
            <v>1.0032705612197608</v>
          </cell>
          <cell r="FA297">
            <v>0.99617129302855612</v>
          </cell>
          <cell r="FD297">
            <v>1.0047260256693704</v>
          </cell>
          <cell r="FE297">
            <v>1.0011731147187122</v>
          </cell>
          <cell r="FF297">
            <v>1.0015681684828099</v>
          </cell>
          <cell r="FG297">
            <v>0.9980273685296247</v>
          </cell>
          <cell r="FJ297">
            <v>1.0146680194879518</v>
          </cell>
          <cell r="FK297">
            <v>1.0229325701507319</v>
          </cell>
          <cell r="FL297">
            <v>1.0237530410429481</v>
          </cell>
          <cell r="FM297">
            <v>1.0168796021749338</v>
          </cell>
          <cell r="FP297">
            <v>1.0016060228776302</v>
          </cell>
          <cell r="FQ297">
            <v>0.98881215735067063</v>
          </cell>
          <cell r="FR297">
            <v>1.0007452413933455</v>
          </cell>
          <cell r="FS297">
            <v>1.0028115913956974</v>
          </cell>
          <cell r="FV297">
            <v>1.0005096291516782</v>
          </cell>
          <cell r="FW297">
            <v>1.0081721608307339</v>
          </cell>
          <cell r="FX297">
            <v>0.99435769750356207</v>
          </cell>
          <cell r="FY297">
            <v>1.0114048185081832</v>
          </cell>
          <cell r="GB297">
            <v>1.0253009585429893</v>
          </cell>
          <cell r="GC297">
            <v>1.0133052611979987</v>
          </cell>
          <cell r="GD297">
            <v>1.018088666893139</v>
          </cell>
          <cell r="GE297">
            <v>1</v>
          </cell>
        </row>
        <row r="298">
          <cell r="AN298" t="str">
            <v>Month 2</v>
          </cell>
          <cell r="EL298" t="str">
            <v>Month 2</v>
          </cell>
          <cell r="ER298">
            <v>0.87143545576033965</v>
          </cell>
          <cell r="ES298">
            <v>0.86259214604526391</v>
          </cell>
          <cell r="ET298">
            <v>0.95476655228407081</v>
          </cell>
          <cell r="EU298">
            <v>0.95390310394604827</v>
          </cell>
          <cell r="EX298">
            <v>0.99756383077735888</v>
          </cell>
          <cell r="EY298">
            <v>1.0076309712339664</v>
          </cell>
          <cell r="EZ298">
            <v>1.0058439901456568</v>
          </cell>
          <cell r="FA298">
            <v>1.0104925603418453</v>
          </cell>
          <cell r="FD298">
            <v>1.0038919718017412</v>
          </cell>
          <cell r="FE298">
            <v>1.0002262623646179</v>
          </cell>
          <cell r="FF298">
            <v>1.0022779610885877</v>
          </cell>
          <cell r="FG298">
            <v>0.98797059201406712</v>
          </cell>
          <cell r="FJ298">
            <v>1.0172356632303496</v>
          </cell>
          <cell r="FK298">
            <v>1.0266388149144143</v>
          </cell>
          <cell r="FL298">
            <v>1.0185440088098592</v>
          </cell>
          <cell r="FM298">
            <v>1.0150644106268683</v>
          </cell>
          <cell r="FP298">
            <v>0.9967530496300272</v>
          </cell>
          <cell r="FQ298">
            <v>0.99989171377441255</v>
          </cell>
          <cell r="FR298">
            <v>1.0028971230689774</v>
          </cell>
          <cell r="FS298">
            <v>0.9946391314592461</v>
          </cell>
          <cell r="FV298">
            <v>1.0074992903911262</v>
          </cell>
          <cell r="FW298">
            <v>1.0057878604073234</v>
          </cell>
          <cell r="FX298">
            <v>1.0057401642886414</v>
          </cell>
          <cell r="FY298">
            <v>1.0118477756232767</v>
          </cell>
          <cell r="GB298">
            <v>1.0102541230632647</v>
          </cell>
          <cell r="GC298">
            <v>1.011143062170935</v>
          </cell>
          <cell r="GD298">
            <v>1</v>
          </cell>
          <cell r="GE298">
            <v>1</v>
          </cell>
        </row>
        <row r="299">
          <cell r="AN299" t="str">
            <v>Month 3</v>
          </cell>
          <cell r="EL299" t="str">
            <v>Month 3</v>
          </cell>
          <cell r="ER299">
            <v>0.85509041472763314</v>
          </cell>
          <cell r="ES299">
            <v>0.83302342705472399</v>
          </cell>
          <cell r="ET299">
            <v>0.9300581404093593</v>
          </cell>
          <cell r="EU299">
            <v>0.88885616548937241</v>
          </cell>
          <cell r="EX299">
            <v>1.0012993536198342</v>
          </cell>
          <cell r="EY299">
            <v>1.0067406823426219</v>
          </cell>
          <cell r="EZ299">
            <v>1.0010354929971583</v>
          </cell>
          <cell r="FA299">
            <v>0.77697496531497701</v>
          </cell>
          <cell r="FD299">
            <v>0.99998610863561077</v>
          </cell>
          <cell r="FE299">
            <v>1.0000776716315167</v>
          </cell>
          <cell r="FF299">
            <v>1.0026881239876493</v>
          </cell>
          <cell r="FG299">
            <v>1.0034001517037674</v>
          </cell>
          <cell r="FJ299">
            <v>1.017274065207098</v>
          </cell>
          <cell r="FK299">
            <v>1.0307481774152398</v>
          </cell>
          <cell r="FL299">
            <v>1.0154616377110075</v>
          </cell>
          <cell r="FM299">
            <v>1.009307170702717</v>
          </cell>
          <cell r="FP299">
            <v>1.0005893323256754</v>
          </cell>
          <cell r="FQ299">
            <v>1.0111137394005785</v>
          </cell>
          <cell r="FR299">
            <v>1.0254628236300125</v>
          </cell>
          <cell r="FS299">
            <v>1.00775043725629</v>
          </cell>
          <cell r="FV299">
            <v>0.99618702023241001</v>
          </cell>
          <cell r="FW299">
            <v>1.0047825549823146</v>
          </cell>
          <cell r="FX299">
            <v>1.0004489851343907</v>
          </cell>
          <cell r="FY299">
            <v>1.008520012530175</v>
          </cell>
          <cell r="GB299">
            <v>1.0062765433093959</v>
          </cell>
          <cell r="GC299">
            <v>1.0227639737625074</v>
          </cell>
          <cell r="GD299">
            <v>1</v>
          </cell>
          <cell r="GE299">
            <v>1</v>
          </cell>
        </row>
        <row r="300">
          <cell r="AN300" t="str">
            <v>Total</v>
          </cell>
          <cell r="EL300" t="str">
            <v>Total</v>
          </cell>
        </row>
        <row r="302">
          <cell r="AN302" t="str">
            <v>Cost of Goods Sold</v>
          </cell>
          <cell r="EL302" t="str">
            <v>Cost of Goods Sold</v>
          </cell>
          <cell r="ER302">
            <v>3627</v>
          </cell>
          <cell r="ES302">
            <v>3470</v>
          </cell>
          <cell r="ET302">
            <v>3513</v>
          </cell>
          <cell r="EU302">
            <v>5409</v>
          </cell>
          <cell r="EV302">
            <v>16019</v>
          </cell>
          <cell r="EX302">
            <v>3564</v>
          </cell>
          <cell r="EY302">
            <v>3507</v>
          </cell>
          <cell r="EZ302">
            <v>3585</v>
          </cell>
          <cell r="FA302">
            <v>5021</v>
          </cell>
          <cell r="FB302">
            <v>15677</v>
          </cell>
          <cell r="FD302">
            <v>3527</v>
          </cell>
          <cell r="FE302">
            <v>3346</v>
          </cell>
          <cell r="FF302">
            <v>3324</v>
          </cell>
          <cell r="FG302">
            <v>4812</v>
          </cell>
          <cell r="FH302">
            <v>15009</v>
          </cell>
          <cell r="FJ302">
            <v>3279</v>
          </cell>
          <cell r="FK302">
            <v>3117</v>
          </cell>
          <cell r="FL302">
            <v>3241</v>
          </cell>
          <cell r="FM302">
            <v>4641</v>
          </cell>
          <cell r="FN302">
            <v>14278</v>
          </cell>
          <cell r="FP302">
            <v>3378</v>
          </cell>
          <cell r="FQ302">
            <v>3214</v>
          </cell>
          <cell r="FR302">
            <v>3377</v>
          </cell>
          <cell r="FS302">
            <v>4855</v>
          </cell>
          <cell r="FT302">
            <v>14824</v>
          </cell>
          <cell r="FV302">
            <v>3586</v>
          </cell>
          <cell r="FW302">
            <v>3457</v>
          </cell>
          <cell r="FX302">
            <v>3544</v>
          </cell>
          <cell r="FY302">
            <v>5151</v>
          </cell>
          <cell r="FZ302">
            <v>15738</v>
          </cell>
          <cell r="GB302">
            <v>3757</v>
          </cell>
          <cell r="GC302">
            <v>3555</v>
          </cell>
          <cell r="GD302">
            <v>3637.655406064408</v>
          </cell>
          <cell r="GE302">
            <v>5421.68776484106</v>
          </cell>
          <cell r="GF302">
            <v>16371.343170905468</v>
          </cell>
        </row>
        <row r="303">
          <cell r="AN303" t="str">
            <v>% of Sales</v>
          </cell>
          <cell r="EL303" t="str">
            <v>% of Sales</v>
          </cell>
          <cell r="ER303">
            <v>0.61163575042158513</v>
          </cell>
          <cell r="ES303">
            <v>0.57881567973311088</v>
          </cell>
          <cell r="ET303">
            <v>0.59683995922528033</v>
          </cell>
          <cell r="EU303">
            <v>0.59056665574844414</v>
          </cell>
          <cell r="EV303">
            <v>0.59395624768261035</v>
          </cell>
          <cell r="EX303">
            <v>0.60192535044755957</v>
          </cell>
          <cell r="EY303">
            <v>0.59521384928716903</v>
          </cell>
          <cell r="EZ303">
            <v>0.60700982052150354</v>
          </cell>
          <cell r="FA303">
            <v>0.58424482196881544</v>
          </cell>
          <cell r="FB303">
            <v>0.59578915365028695</v>
          </cell>
          <cell r="FD303">
            <v>0.61371150165303634</v>
          </cell>
          <cell r="FE303">
            <v>0.5851696397341728</v>
          </cell>
          <cell r="FF303">
            <v>0.60513380666302563</v>
          </cell>
          <cell r="FG303">
            <v>0.60650365515502902</v>
          </cell>
          <cell r="FH303">
            <v>0.60296480797043228</v>
          </cell>
          <cell r="FJ303">
            <v>0.62008320726172461</v>
          </cell>
          <cell r="FK303">
            <v>0.58978240302743612</v>
          </cell>
          <cell r="FL303">
            <v>0.6018570102135562</v>
          </cell>
          <cell r="FM303">
            <v>0.58406745532343318</v>
          </cell>
          <cell r="FN303">
            <v>0.59730589022757696</v>
          </cell>
          <cell r="FP303">
            <v>0.60602798708288486</v>
          </cell>
          <cell r="FQ303">
            <v>0.58045873216543253</v>
          </cell>
          <cell r="FR303">
            <v>0.60056909123243818</v>
          </cell>
          <cell r="FS303">
            <v>0.58713266416737209</v>
          </cell>
          <cell r="FT303">
            <v>0.59288885333759944</v>
          </cell>
          <cell r="FV303">
            <v>0.60893190694515198</v>
          </cell>
          <cell r="FW303">
            <v>0.58208452601448057</v>
          </cell>
          <cell r="FX303">
            <v>0.60550145224671104</v>
          </cell>
          <cell r="FY303">
            <v>0.59044016506189823</v>
          </cell>
          <cell r="FZ303">
            <v>0.59602348040143915</v>
          </cell>
          <cell r="GB303">
            <v>0.61159042812957842</v>
          </cell>
          <cell r="GC303">
            <v>0.58107224583197126</v>
          </cell>
          <cell r="GD303">
            <v>0.60750145224671104</v>
          </cell>
          <cell r="GE303">
            <v>0.59012736950345424</v>
          </cell>
          <cell r="GF303">
            <v>0.59670562849962006</v>
          </cell>
        </row>
        <row r="304">
          <cell r="AN304" t="str">
            <v>BPS Change</v>
          </cell>
          <cell r="EL304" t="str">
            <v>BPS Change</v>
          </cell>
          <cell r="ER304">
            <v>139.97738886292632</v>
          </cell>
          <cell r="ES304">
            <v>-79.90834205613973</v>
          </cell>
          <cell r="ET304">
            <v>6.2033726308408088</v>
          </cell>
          <cell r="EU304">
            <v>-5.9414249625333593</v>
          </cell>
          <cell r="EV304">
            <v>11.916206169559906</v>
          </cell>
          <cell r="EX304">
            <v>-97.103999740255631</v>
          </cell>
          <cell r="EY304">
            <v>163.98169554058151</v>
          </cell>
          <cell r="EZ304">
            <v>101.69861296223215</v>
          </cell>
          <cell r="FA304">
            <v>-63.218337796286939</v>
          </cell>
          <cell r="FB304">
            <v>18.329059676766015</v>
          </cell>
          <cell r="FD304">
            <v>117.86151205476769</v>
          </cell>
          <cell r="FE304">
            <v>-100.4420955299623</v>
          </cell>
          <cell r="FF304">
            <v>-18.760138584779096</v>
          </cell>
          <cell r="FG304">
            <v>222.58833186213579</v>
          </cell>
          <cell r="FH304">
            <v>71.756543201453297</v>
          </cell>
          <cell r="FJ304">
            <v>63.717056086882721</v>
          </cell>
          <cell r="FK304">
            <v>46.127632932633219</v>
          </cell>
          <cell r="FL304">
            <v>-32.767964494694326</v>
          </cell>
          <cell r="FM304">
            <v>-224.36199831595837</v>
          </cell>
          <cell r="FN304">
            <v>-56.589177428553185</v>
          </cell>
          <cell r="FP304">
            <v>-140.55220178839755</v>
          </cell>
          <cell r="FQ304">
            <v>-93.236708620035856</v>
          </cell>
          <cell r="FR304">
            <v>-12.879189811180192</v>
          </cell>
          <cell r="FS304">
            <v>30.652088439389047</v>
          </cell>
          <cell r="FT304">
            <v>-44.170368899775212</v>
          </cell>
          <cell r="FV304">
            <v>29.039198622671236</v>
          </cell>
          <cell r="FW304">
            <v>16.257938490480406</v>
          </cell>
          <cell r="FX304">
            <v>49.323610142728569</v>
          </cell>
          <cell r="FY304">
            <v>33.075008945261388</v>
          </cell>
          <cell r="FZ304">
            <v>31.346270638397122</v>
          </cell>
          <cell r="GB304">
            <v>26.585211844264435</v>
          </cell>
          <cell r="GC304">
            <v>-10.122801825093175</v>
          </cell>
          <cell r="GD304">
            <v>20.000000000000018</v>
          </cell>
          <cell r="GE304">
            <v>-3.127955584439901</v>
          </cell>
          <cell r="GF304">
            <v>6.8214809818090139</v>
          </cell>
        </row>
        <row r="306">
          <cell r="AN306" t="str">
            <v>Gross Income</v>
          </cell>
          <cell r="EL306" t="str">
            <v>Gross Income</v>
          </cell>
          <cell r="ER306">
            <v>2303</v>
          </cell>
          <cell r="ES306">
            <v>2525</v>
          </cell>
          <cell r="ET306">
            <v>2373</v>
          </cell>
          <cell r="EU306">
            <v>3750</v>
          </cell>
          <cell r="EV306">
            <v>10951</v>
          </cell>
          <cell r="EX306">
            <v>2357</v>
          </cell>
          <cell r="EY306">
            <v>2385</v>
          </cell>
          <cell r="EZ306">
            <v>2321</v>
          </cell>
          <cell r="FA306">
            <v>3573</v>
          </cell>
          <cell r="FB306">
            <v>10636</v>
          </cell>
          <cell r="FD306">
            <v>2220</v>
          </cell>
          <cell r="FE306">
            <v>2372</v>
          </cell>
          <cell r="FF306">
            <v>2169</v>
          </cell>
          <cell r="FG306">
            <v>3122</v>
          </cell>
          <cell r="FH306">
            <v>9883</v>
          </cell>
          <cell r="FJ306">
            <v>2009</v>
          </cell>
          <cell r="FK306">
            <v>2168</v>
          </cell>
          <cell r="FL306">
            <v>2144</v>
          </cell>
          <cell r="FM306">
            <v>3296</v>
          </cell>
          <cell r="FN306">
            <v>9617</v>
          </cell>
          <cell r="FP306">
            <v>2196</v>
          </cell>
          <cell r="FQ306">
            <v>2323</v>
          </cell>
          <cell r="FR306">
            <v>2246</v>
          </cell>
          <cell r="FS306">
            <v>3414</v>
          </cell>
          <cell r="FT306">
            <v>10179</v>
          </cell>
          <cell r="FV306">
            <v>2303</v>
          </cell>
          <cell r="FW306">
            <v>2482</v>
          </cell>
          <cell r="FX306">
            <v>2309</v>
          </cell>
          <cell r="FY306">
            <v>3573</v>
          </cell>
          <cell r="FZ306">
            <v>10667</v>
          </cell>
          <cell r="GB306">
            <v>2386</v>
          </cell>
          <cell r="GC306">
            <v>2563</v>
          </cell>
          <cell r="GD306">
            <v>2350.2404131329554</v>
          </cell>
          <cell r="GE306">
            <v>3765.6301685789467</v>
          </cell>
          <cell r="GF306">
            <v>11064.870581711901</v>
          </cell>
        </row>
        <row r="307">
          <cell r="AN307" t="str">
            <v>Gross Margin</v>
          </cell>
          <cell r="EL307" t="str">
            <v>Gross Margin</v>
          </cell>
          <cell r="ER307">
            <v>0.38836424957841487</v>
          </cell>
          <cell r="ES307">
            <v>0.42118432026688907</v>
          </cell>
          <cell r="ET307">
            <v>0.40316004077471967</v>
          </cell>
          <cell r="EU307">
            <v>0.40943334425155586</v>
          </cell>
          <cell r="EV307">
            <v>0.40604375231738971</v>
          </cell>
          <cell r="EX307">
            <v>0.39807464955244048</v>
          </cell>
          <cell r="EY307">
            <v>0.40478615071283097</v>
          </cell>
          <cell r="EZ307">
            <v>0.39299017947849646</v>
          </cell>
          <cell r="FA307">
            <v>0.41575517803118456</v>
          </cell>
          <cell r="FB307">
            <v>0.40421084634971305</v>
          </cell>
          <cell r="FD307">
            <v>0.38628849834696366</v>
          </cell>
          <cell r="FE307">
            <v>0.4148303602658272</v>
          </cell>
          <cell r="FF307">
            <v>0.39486619333697431</v>
          </cell>
          <cell r="FG307">
            <v>0.39349634484497104</v>
          </cell>
          <cell r="FH307">
            <v>0.39703519202956772</v>
          </cell>
          <cell r="FJ307">
            <v>0.37991679273827533</v>
          </cell>
          <cell r="FK307">
            <v>0.41021759697256388</v>
          </cell>
          <cell r="FL307">
            <v>0.3981429897864438</v>
          </cell>
          <cell r="FM307">
            <v>0.41479989932041278</v>
          </cell>
          <cell r="FN307">
            <v>0.40231760374832665</v>
          </cell>
          <cell r="FP307">
            <v>0.3939720129171152</v>
          </cell>
          <cell r="FQ307">
            <v>0.41954126783456747</v>
          </cell>
          <cell r="FR307">
            <v>0.39943090876756182</v>
          </cell>
          <cell r="FS307">
            <v>0.41286733583262791</v>
          </cell>
          <cell r="FT307">
            <v>0.4071111466624005</v>
          </cell>
          <cell r="FV307">
            <v>0.39106809305484802</v>
          </cell>
          <cell r="FW307">
            <v>0.41791547398551943</v>
          </cell>
          <cell r="FX307">
            <v>0.39449854775328891</v>
          </cell>
          <cell r="FY307">
            <v>0.40955983493810177</v>
          </cell>
          <cell r="FZ307">
            <v>0.4039765195985609</v>
          </cell>
          <cell r="GB307">
            <v>0.38840957187042163</v>
          </cell>
          <cell r="GC307">
            <v>0.41892775416802874</v>
          </cell>
          <cell r="GD307">
            <v>0.39249854775328891</v>
          </cell>
          <cell r="GE307">
            <v>0.40987263049654576</v>
          </cell>
          <cell r="GF307">
            <v>0.40329437150037983</v>
          </cell>
        </row>
        <row r="308">
          <cell r="AN308" t="str">
            <v>BPS Change</v>
          </cell>
          <cell r="EL308" t="str">
            <v>BPS Change</v>
          </cell>
          <cell r="ER308">
            <v>-139.97738886292632</v>
          </cell>
          <cell r="ES308">
            <v>79.908342056138622</v>
          </cell>
          <cell r="ET308">
            <v>-6.2033726308408088</v>
          </cell>
          <cell r="EU308">
            <v>5.9414249625339144</v>
          </cell>
          <cell r="EV308">
            <v>-11.916206169559906</v>
          </cell>
          <cell r="EX308">
            <v>97.103999740256185</v>
          </cell>
          <cell r="EY308">
            <v>-163.98169554058094</v>
          </cell>
          <cell r="EZ308">
            <v>-101.69861296223215</v>
          </cell>
          <cell r="FA308">
            <v>63.218337796286939</v>
          </cell>
          <cell r="FB308">
            <v>-18.329059676766569</v>
          </cell>
          <cell r="FD308">
            <v>-117.86151205476824</v>
          </cell>
          <cell r="FE308">
            <v>100.4420955299623</v>
          </cell>
          <cell r="FF308">
            <v>18.760138584778542</v>
          </cell>
          <cell r="FG308">
            <v>-222.58833186213522</v>
          </cell>
          <cell r="FH308">
            <v>-71.756543201453297</v>
          </cell>
          <cell r="FJ308">
            <v>-63.717056086883275</v>
          </cell>
          <cell r="FK308">
            <v>-46.127632932633219</v>
          </cell>
          <cell r="FL308">
            <v>32.76796449469488</v>
          </cell>
          <cell r="FM308">
            <v>213.03554475441743</v>
          </cell>
          <cell r="FN308">
            <v>52.82411718758928</v>
          </cell>
          <cell r="FP308">
            <v>140.55220178839866</v>
          </cell>
          <cell r="FQ308">
            <v>93.236708620035856</v>
          </cell>
          <cell r="FR308">
            <v>12.879189811180192</v>
          </cell>
          <cell r="FS308">
            <v>-19.325634877848664</v>
          </cell>
          <cell r="FT308">
            <v>47.935429140738563</v>
          </cell>
          <cell r="FV308">
            <v>-29.03919862267179</v>
          </cell>
          <cell r="FW308">
            <v>-16.257938490480406</v>
          </cell>
          <cell r="FX308">
            <v>-49.323610142729123</v>
          </cell>
          <cell r="FY308">
            <v>-33.075008945261388</v>
          </cell>
          <cell r="FZ308">
            <v>-31.346270638396014</v>
          </cell>
          <cell r="GB308">
            <v>-26.585211844263878</v>
          </cell>
          <cell r="GC308">
            <v>10.122801825093175</v>
          </cell>
          <cell r="GD308">
            <v>-20</v>
          </cell>
          <cell r="GE308">
            <v>3.1279555844399312</v>
          </cell>
          <cell r="GF308">
            <v>-6.8214809818106792</v>
          </cell>
        </row>
        <row r="310">
          <cell r="AN310" t="str">
            <v>Total SG&amp;A</v>
          </cell>
          <cell r="EL310" t="str">
            <v>Total SG&amp;A</v>
          </cell>
          <cell r="ER310">
            <v>2154</v>
          </cell>
          <cell r="ES310">
            <v>2117</v>
          </cell>
          <cell r="ET310">
            <v>2094</v>
          </cell>
          <cell r="EU310">
            <v>2313</v>
          </cell>
          <cell r="EV310">
            <v>8678</v>
          </cell>
          <cell r="EX310">
            <v>2113</v>
          </cell>
          <cell r="EY310">
            <v>2038</v>
          </cell>
          <cell r="EZ310">
            <v>2121</v>
          </cell>
          <cell r="FA310">
            <v>2282</v>
          </cell>
          <cell r="FB310">
            <v>8554</v>
          </cell>
          <cell r="FD310">
            <v>2080</v>
          </cell>
          <cell r="FE310">
            <v>2037</v>
          </cell>
          <cell r="FF310">
            <v>2085</v>
          </cell>
          <cell r="FG310">
            <v>2256</v>
          </cell>
          <cell r="FH310">
            <v>8458</v>
          </cell>
          <cell r="FJ310">
            <v>1985</v>
          </cell>
          <cell r="FK310">
            <v>1886</v>
          </cell>
          <cell r="FL310">
            <v>2056</v>
          </cell>
          <cell r="FM310">
            <v>2236</v>
          </cell>
          <cell r="FN310">
            <v>8163</v>
          </cell>
          <cell r="FP310">
            <v>1993</v>
          </cell>
          <cell r="FQ310">
            <v>1953</v>
          </cell>
          <cell r="FR310">
            <v>2069</v>
          </cell>
          <cell r="FS310">
            <v>2245</v>
          </cell>
          <cell r="FT310">
            <v>8260</v>
          </cell>
          <cell r="FV310">
            <v>1973</v>
          </cell>
          <cell r="FW310">
            <v>1976</v>
          </cell>
          <cell r="FX310">
            <v>2018</v>
          </cell>
          <cell r="FY310">
            <v>2314</v>
          </cell>
          <cell r="FZ310">
            <v>8281</v>
          </cell>
          <cell r="GB310">
            <v>1995</v>
          </cell>
          <cell r="GC310">
            <v>2009</v>
          </cell>
          <cell r="GD310">
            <v>2108.3871000833064</v>
          </cell>
          <cell r="GE310">
            <v>2403.7660222156705</v>
          </cell>
          <cell r="GF310">
            <v>8516.1531222989761</v>
          </cell>
        </row>
        <row r="311">
          <cell r="AN311" t="str">
            <v>SG&amp;A Ratio</v>
          </cell>
          <cell r="EL311" t="str">
            <v>SG&amp;A Ratio</v>
          </cell>
          <cell r="ER311">
            <v>0.36323777403035412</v>
          </cell>
          <cell r="ES311">
            <v>0.35312760633861551</v>
          </cell>
          <cell r="ET311">
            <v>0.35575942915392456</v>
          </cell>
          <cell r="EU311">
            <v>0.25253848673435964</v>
          </cell>
          <cell r="EV311">
            <v>0.32176492398961809</v>
          </cell>
          <cell r="EX311">
            <v>0.35686539435906095</v>
          </cell>
          <cell r="EY311">
            <v>0.34589273591310249</v>
          </cell>
          <cell r="EZ311">
            <v>0.35912631222485608</v>
          </cell>
          <cell r="FA311">
            <v>0.2655340935536421</v>
          </cell>
          <cell r="FB311">
            <v>0.32508645916467144</v>
          </cell>
          <cell r="FD311">
            <v>0.36192796241517311</v>
          </cell>
          <cell r="FE311">
            <v>0.35624344176285416</v>
          </cell>
          <cell r="FF311">
            <v>0.37957400327689789</v>
          </cell>
          <cell r="FG311">
            <v>0.28434585328963952</v>
          </cell>
          <cell r="FH311">
            <v>0.33978788365739998</v>
          </cell>
          <cell r="FJ311">
            <v>0.37537821482602118</v>
          </cell>
          <cell r="FK311">
            <v>0.35685903500473037</v>
          </cell>
          <cell r="FL311">
            <v>0.38180129990714951</v>
          </cell>
          <cell r="FM311">
            <v>0.28139944626227031</v>
          </cell>
          <cell r="FN311">
            <v>0.34149096385542171</v>
          </cell>
          <cell r="FP311">
            <v>0.35755292429135271</v>
          </cell>
          <cell r="FQ311">
            <v>0.3527180783817952</v>
          </cell>
          <cell r="FR311">
            <v>0.36795304997332384</v>
          </cell>
          <cell r="FS311">
            <v>0.27149594872415045</v>
          </cell>
          <cell r="FT311">
            <v>0.33036035675718911</v>
          </cell>
          <cell r="FV311">
            <v>0.33503141450161317</v>
          </cell>
          <cell r="FW311">
            <v>0.33271594544536115</v>
          </cell>
          <cell r="FX311">
            <v>0.34478045446779432</v>
          </cell>
          <cell r="FY311">
            <v>0.26524530032095367</v>
          </cell>
          <cell r="FZ311">
            <v>0.31361484567316794</v>
          </cell>
          <cell r="GB311">
            <v>0.32475988930489991</v>
          </cell>
          <cell r="GC311">
            <v>0.32837528604118993</v>
          </cell>
          <cell r="GD311">
            <v>0.35210818019307516</v>
          </cell>
          <cell r="GE311">
            <v>0.26163958182743124</v>
          </cell>
          <cell r="GF311">
            <v>0.31039826410036436</v>
          </cell>
        </row>
        <row r="312">
          <cell r="AN312" t="str">
            <v>BPS Change</v>
          </cell>
          <cell r="EL312" t="str">
            <v>BPS Change</v>
          </cell>
          <cell r="ER312">
            <v>300.87540578005888</v>
          </cell>
          <cell r="ES312">
            <v>202.54296926526084</v>
          </cell>
          <cell r="ET312">
            <v>5.8391160216936244</v>
          </cell>
          <cell r="EU312">
            <v>-178.61680437304796</v>
          </cell>
          <cell r="EV312">
            <v>100.18608670279094</v>
          </cell>
          <cell r="EX312">
            <v>-63.723796712931716</v>
          </cell>
          <cell r="EY312">
            <v>-72.348704255130187</v>
          </cell>
          <cell r="EZ312">
            <v>33.668830709315259</v>
          </cell>
          <cell r="FA312">
            <v>129.95606819282469</v>
          </cell>
          <cell r="FB312">
            <v>33.215351750533472</v>
          </cell>
          <cell r="FD312">
            <v>50.625680561121598</v>
          </cell>
          <cell r="FE312">
            <v>103.50705849751674</v>
          </cell>
          <cell r="FF312">
            <v>204.47691052041804</v>
          </cell>
          <cell r="FG312">
            <v>188.11759735997413</v>
          </cell>
          <cell r="FH312">
            <v>147.01424492728543</v>
          </cell>
          <cell r="FJ312">
            <v>134.50252410848074</v>
          </cell>
          <cell r="FK312">
            <v>6.1559324187621112</v>
          </cell>
          <cell r="FL312">
            <v>22.272966302516185</v>
          </cell>
          <cell r="FM312">
            <v>-29.464070273692023</v>
          </cell>
          <cell r="FN312">
            <v>17.030801980217337</v>
          </cell>
          <cell r="FP312">
            <v>-178.25290534668468</v>
          </cell>
          <cell r="FQ312">
            <v>-41.409566229351768</v>
          </cell>
          <cell r="FR312">
            <v>-138.48249933825662</v>
          </cell>
          <cell r="FS312">
            <v>-99.034975381198649</v>
          </cell>
          <cell r="FT312">
            <v>-111.30607098232603</v>
          </cell>
          <cell r="FV312">
            <v>-225.21509789739548</v>
          </cell>
          <cell r="FW312">
            <v>-200.02132936434046</v>
          </cell>
          <cell r="FX312">
            <v>-231.72595505529526</v>
          </cell>
          <cell r="FY312">
            <v>-62.506484031967787</v>
          </cell>
          <cell r="FZ312">
            <v>-167.45511084021169</v>
          </cell>
          <cell r="GB312">
            <v>-102.7152519671326</v>
          </cell>
          <cell r="GC312">
            <v>-43.406594041712211</v>
          </cell>
          <cell r="GD312">
            <v>73.277257252808397</v>
          </cell>
          <cell r="GE312">
            <v>-36.057184935224271</v>
          </cell>
          <cell r="GF312">
            <v>-32.165815728035781</v>
          </cell>
        </row>
        <row r="314">
          <cell r="AN314" t="str">
            <v>Operating Income</v>
          </cell>
          <cell r="EL314" t="str">
            <v>Operating Income</v>
          </cell>
          <cell r="ER314">
            <v>149</v>
          </cell>
          <cell r="ES314">
            <v>408</v>
          </cell>
          <cell r="ET314">
            <v>279</v>
          </cell>
          <cell r="EU314">
            <v>1437</v>
          </cell>
          <cell r="EV314">
            <v>2273</v>
          </cell>
          <cell r="EX314">
            <v>244</v>
          </cell>
          <cell r="EY314">
            <v>347</v>
          </cell>
          <cell r="EZ314">
            <v>200</v>
          </cell>
          <cell r="FA314">
            <v>1291</v>
          </cell>
          <cell r="FB314">
            <v>2082</v>
          </cell>
          <cell r="FD314">
            <v>140</v>
          </cell>
          <cell r="FE314">
            <v>335</v>
          </cell>
          <cell r="FF314">
            <v>84</v>
          </cell>
          <cell r="FG314">
            <v>866</v>
          </cell>
          <cell r="FH314">
            <v>1425</v>
          </cell>
          <cell r="FJ314">
            <v>24</v>
          </cell>
          <cell r="FK314">
            <v>282</v>
          </cell>
          <cell r="FL314">
            <v>88</v>
          </cell>
          <cell r="FM314">
            <v>1060</v>
          </cell>
          <cell r="FN314">
            <v>1454</v>
          </cell>
          <cell r="FP314">
            <v>203</v>
          </cell>
          <cell r="FQ314">
            <v>370</v>
          </cell>
          <cell r="FR314">
            <v>177</v>
          </cell>
          <cell r="FS314">
            <v>1169</v>
          </cell>
          <cell r="FT314">
            <v>1919</v>
          </cell>
          <cell r="FV314">
            <v>330</v>
          </cell>
          <cell r="FW314">
            <v>506</v>
          </cell>
          <cell r="FX314">
            <v>291</v>
          </cell>
          <cell r="FY314">
            <v>1259</v>
          </cell>
          <cell r="FZ314">
            <v>2386</v>
          </cell>
          <cell r="GB314">
            <v>391</v>
          </cell>
          <cell r="GC314">
            <v>554</v>
          </cell>
          <cell r="GD314">
            <v>241.85331304964893</v>
          </cell>
          <cell r="GE314">
            <v>1361.8641463632762</v>
          </cell>
          <cell r="GF314">
            <v>2548.7174594129251</v>
          </cell>
        </row>
        <row r="315">
          <cell r="AN315" t="str">
            <v>Operating Margin</v>
          </cell>
          <cell r="EL315" t="str">
            <v>Operating Margin</v>
          </cell>
          <cell r="ER315">
            <v>2.5126475548060707E-2</v>
          </cell>
          <cell r="ES315">
            <v>6.805671392827356E-2</v>
          </cell>
          <cell r="ET315">
            <v>4.7400611620795105E-2</v>
          </cell>
          <cell r="EU315">
            <v>0.1568948575171962</v>
          </cell>
          <cell r="EV315">
            <v>8.4278828327771602E-2</v>
          </cell>
          <cell r="EX315">
            <v>4.12092551933795E-2</v>
          </cell>
          <cell r="EY315">
            <v>5.8893414799728448E-2</v>
          </cell>
          <cell r="EZ315">
            <v>3.3863867253640365E-2</v>
          </cell>
          <cell r="FA315">
            <v>0.15022108447754248</v>
          </cell>
          <cell r="FB315">
            <v>7.9124387185041611E-2</v>
          </cell>
          <cell r="FD315">
            <v>2.4360535931790498E-2</v>
          </cell>
          <cell r="FE315">
            <v>5.8586918502973068E-2</v>
          </cell>
          <cell r="FF315">
            <v>1.5292190060076462E-2</v>
          </cell>
          <cell r="FG315">
            <v>0.10915049155533149</v>
          </cell>
          <cell r="FH315">
            <v>5.7247308372167766E-2</v>
          </cell>
          <cell r="FJ315">
            <v>4.5385779122541605E-3</v>
          </cell>
          <cell r="FK315">
            <v>5.3358561967833493E-2</v>
          </cell>
          <cell r="FL315">
            <v>1.6341689879294335E-2</v>
          </cell>
          <cell r="FM315">
            <v>0.13340045305814247</v>
          </cell>
          <cell r="FN315">
            <v>6.0826639892904953E-2</v>
          </cell>
          <cell r="FP315">
            <v>3.6419088625762472E-2</v>
          </cell>
          <cell r="FQ315">
            <v>6.6823189452772255E-2</v>
          </cell>
          <cell r="FR315">
            <v>3.1477858794237951E-2</v>
          </cell>
          <cell r="FS315">
            <v>0.14137138710847744</v>
          </cell>
          <cell r="FT315">
            <v>7.6750789905211378E-2</v>
          </cell>
          <cell r="FV315">
            <v>5.6036678553234846E-2</v>
          </cell>
          <cell r="FW315">
            <v>8.5199528540158276E-2</v>
          </cell>
          <cell r="FX315">
            <v>4.9718093285494619E-2</v>
          </cell>
          <cell r="FY315">
            <v>0.1443145346171481</v>
          </cell>
          <cell r="FZ315">
            <v>9.0361673925392919E-2</v>
          </cell>
          <cell r="GB315">
            <v>6.3649682565521726E-2</v>
          </cell>
          <cell r="GC315">
            <v>9.0552468126838842E-2</v>
          </cell>
          <cell r="GD315">
            <v>4.0390367560213782E-2</v>
          </cell>
          <cell r="GE315">
            <v>0.14823304866911449</v>
          </cell>
          <cell r="GF315">
            <v>9.2896107400015485E-2</v>
          </cell>
        </row>
        <row r="316">
          <cell r="AN316" t="str">
            <v>BPS Change</v>
          </cell>
          <cell r="EL316" t="str">
            <v>BPS Change</v>
          </cell>
          <cell r="ER316">
            <v>-440.85279464298537</v>
          </cell>
          <cell r="ES316">
            <v>-122.63462720912194</v>
          </cell>
          <cell r="ET316">
            <v>-12.042488652534988</v>
          </cell>
          <cell r="EU316">
            <v>184.5582293355813</v>
          </cell>
          <cell r="EV316">
            <v>-112.10229287235099</v>
          </cell>
          <cell r="EX316">
            <v>160.82779645318794</v>
          </cell>
          <cell r="EY316">
            <v>-91.632991285451112</v>
          </cell>
          <cell r="EZ316">
            <v>-135.36744367154739</v>
          </cell>
          <cell r="FA316">
            <v>-66.737730396537188</v>
          </cell>
          <cell r="FB316">
            <v>-51.544411427299899</v>
          </cell>
          <cell r="FD316">
            <v>-168.48719261589002</v>
          </cell>
          <cell r="FE316">
            <v>-3.0649629675538055</v>
          </cell>
          <cell r="FF316">
            <v>-185.71677193563903</v>
          </cell>
          <cell r="FG316">
            <v>-410.70592922210989</v>
          </cell>
          <cell r="FJ316">
            <v>-198.21958019536339</v>
          </cell>
          <cell r="FK316">
            <v>-52.283565351395751</v>
          </cell>
          <cell r="FL316">
            <v>10.494998192178731</v>
          </cell>
          <cell r="FM316">
            <v>242.49961502810973</v>
          </cell>
          <cell r="FP316">
            <v>318.80510713508306</v>
          </cell>
          <cell r="FQ316">
            <v>134.64627484938762</v>
          </cell>
          <cell r="FR316">
            <v>151.36168914943616</v>
          </cell>
          <cell r="FS316">
            <v>78.196673151046397</v>
          </cell>
          <cell r="FV316">
            <v>196.17589927472375</v>
          </cell>
          <cell r="FW316">
            <v>183.7633908738602</v>
          </cell>
          <cell r="FX316">
            <v>182.40234491256669</v>
          </cell>
          <cell r="FY316">
            <v>29.431475086706683</v>
          </cell>
          <cell r="GB316">
            <v>76.130040122868792</v>
          </cell>
          <cell r="GC316">
            <v>53.529395866805665</v>
          </cell>
          <cell r="GD316">
            <v>-93.277257252808369</v>
          </cell>
          <cell r="GE316">
            <v>39.185140519663875</v>
          </cell>
        </row>
        <row r="318">
          <cell r="AN318" t="str">
            <v>Assumptions Spreads</v>
          </cell>
        </row>
        <row r="319">
          <cell r="AN319" t="str">
            <v>Bull Case Assumptions</v>
          </cell>
        </row>
        <row r="320">
          <cell r="AN320" t="str">
            <v>Monthly Comps</v>
          </cell>
        </row>
        <row r="321">
          <cell r="AN321" t="str">
            <v>Month 1</v>
          </cell>
          <cell r="GE321">
            <v>0.02</v>
          </cell>
        </row>
        <row r="322">
          <cell r="AN322" t="str">
            <v>Month 2</v>
          </cell>
          <cell r="GD322">
            <v>0.02</v>
          </cell>
          <cell r="GE322">
            <v>0.02</v>
          </cell>
        </row>
        <row r="323">
          <cell r="AN323" t="str">
            <v>Month 3</v>
          </cell>
          <cell r="GD323">
            <v>0.02</v>
          </cell>
          <cell r="GE323">
            <v>0.02</v>
          </cell>
        </row>
        <row r="324">
          <cell r="AN324" t="str">
            <v xml:space="preserve">  Total</v>
          </cell>
        </row>
        <row r="325">
          <cell r="AN325" t="str">
            <v>Y/Y ∆ Gross Margin (bps)</v>
          </cell>
          <cell r="GD325">
            <v>35</v>
          </cell>
          <cell r="GE325">
            <v>35</v>
          </cell>
        </row>
        <row r="326">
          <cell r="AN326" t="str">
            <v>Y/Y ∆ SG&amp;A Ratio (bps)</v>
          </cell>
          <cell r="GD326">
            <v>-24</v>
          </cell>
          <cell r="GE326">
            <v>-24</v>
          </cell>
        </row>
        <row r="328">
          <cell r="AN328" t="str">
            <v>Bear Case Assumptions</v>
          </cell>
        </row>
        <row r="329">
          <cell r="AN329" t="str">
            <v>Monthly Comps</v>
          </cell>
        </row>
        <row r="330">
          <cell r="AN330" t="str">
            <v>Month 1</v>
          </cell>
          <cell r="GE330">
            <v>-0.02</v>
          </cell>
        </row>
        <row r="331">
          <cell r="AN331" t="str">
            <v>Month 2</v>
          </cell>
          <cell r="GD331">
            <v>-0.02</v>
          </cell>
          <cell r="GE331">
            <v>-0.02</v>
          </cell>
        </row>
        <row r="332">
          <cell r="AN332" t="str">
            <v>Month 3</v>
          </cell>
          <cell r="GD332">
            <v>-0.02</v>
          </cell>
          <cell r="GE332">
            <v>-0.02</v>
          </cell>
        </row>
        <row r="333">
          <cell r="AN333" t="str">
            <v xml:space="preserve">  Total</v>
          </cell>
        </row>
        <row r="334">
          <cell r="AN334" t="str">
            <v>Y/Y ∆ Gross Margin (bps)</v>
          </cell>
          <cell r="GD334">
            <v>-35</v>
          </cell>
          <cell r="GE334">
            <v>-35</v>
          </cell>
        </row>
        <row r="335">
          <cell r="AN335" t="str">
            <v>Y/Y ∆ SG&amp;A Ratio (bps)</v>
          </cell>
          <cell r="GD335">
            <v>25</v>
          </cell>
          <cell r="GE335">
            <v>25</v>
          </cell>
        </row>
        <row r="338">
          <cell r="AN338" t="str">
            <v>Pension Expense (Benefit)</v>
          </cell>
          <cell r="EX338">
            <v>35</v>
          </cell>
          <cell r="EY338">
            <v>40</v>
          </cell>
          <cell r="EZ338">
            <v>39</v>
          </cell>
          <cell r="FA338">
            <v>39</v>
          </cell>
          <cell r="FB338">
            <v>153</v>
          </cell>
          <cell r="FD338">
            <v>38</v>
          </cell>
          <cell r="FE338">
            <v>37</v>
          </cell>
          <cell r="FF338">
            <v>38</v>
          </cell>
          <cell r="FG338">
            <v>17</v>
          </cell>
          <cell r="FH338">
            <v>130</v>
          </cell>
          <cell r="FJ338">
            <v>34</v>
          </cell>
          <cell r="FK338">
            <v>35</v>
          </cell>
          <cell r="FL338">
            <v>35</v>
          </cell>
          <cell r="FM338">
            <v>35</v>
          </cell>
          <cell r="FN338">
            <v>139</v>
          </cell>
          <cell r="FP338">
            <v>34.75</v>
          </cell>
          <cell r="FQ338">
            <v>34.75</v>
          </cell>
          <cell r="FR338">
            <v>34.75</v>
          </cell>
          <cell r="FS338">
            <v>34.75</v>
          </cell>
          <cell r="FT338">
            <v>139</v>
          </cell>
          <cell r="FV338">
            <v>34.75</v>
          </cell>
          <cell r="FW338">
            <v>38</v>
          </cell>
          <cell r="FX338">
            <v>38</v>
          </cell>
          <cell r="FY338">
            <v>39</v>
          </cell>
          <cell r="FZ338">
            <v>149.75</v>
          </cell>
          <cell r="GB338">
            <v>50.75</v>
          </cell>
          <cell r="GC338">
            <v>57</v>
          </cell>
          <cell r="GD338">
            <v>56</v>
          </cell>
          <cell r="GE338">
            <v>57</v>
          </cell>
          <cell r="GF338">
            <v>220.75</v>
          </cell>
        </row>
        <row r="339">
          <cell r="GB339">
            <v>16</v>
          </cell>
          <cell r="GC339">
            <v>19</v>
          </cell>
          <cell r="GD339">
            <v>18</v>
          </cell>
          <cell r="GE339">
            <v>18</v>
          </cell>
          <cell r="GF339">
            <v>71</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nce-4Q12A"/>
      <sheetName val="bal"/>
      <sheetName val="flow"/>
      <sheetName val="qtrP&amp;L"/>
      <sheetName val="Flow-through"/>
      <sheetName val="mthSales-Total"/>
      <sheetName val="sumry"/>
      <sheetName val="FY13 Guidance"/>
      <sheetName val="BBB"/>
      <sheetName val="yrP&amp;L"/>
      <sheetName val="qtrSales"/>
      <sheetName val="qtrSales-seg"/>
      <sheetName val="stores"/>
      <sheetName val="qtlycomp"/>
      <sheetName val="yrSales"/>
      <sheetName val="qtrP&amp;L-seg"/>
      <sheetName val="JWN ROIC"/>
      <sheetName val="turn"/>
      <sheetName val="wc"/>
      <sheetName val="Debt"/>
      <sheetName val="Earnings"/>
      <sheetName val="E-comm chart"/>
      <sheetName val="MWA RR"/>
      <sheetName val="dtc"/>
      <sheetName val="LEASES NEW"/>
      <sheetName val="mwareDates"/>
      <sheetName val="mwareSettings"/>
      <sheetName val="MW-Cach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B2" t="str">
            <v>2001-Q1</v>
          </cell>
          <cell r="C2">
            <v>36557</v>
          </cell>
          <cell r="D2">
            <v>36646</v>
          </cell>
          <cell r="E2" t="str">
            <v>A</v>
          </cell>
        </row>
        <row r="3">
          <cell r="B3" t="str">
            <v>2001-Q2</v>
          </cell>
          <cell r="C3">
            <v>36647</v>
          </cell>
          <cell r="D3">
            <v>36738</v>
          </cell>
          <cell r="E3" t="str">
            <v>A</v>
          </cell>
        </row>
        <row r="4">
          <cell r="B4" t="str">
            <v>2001-Q3</v>
          </cell>
          <cell r="C4">
            <v>36739</v>
          </cell>
          <cell r="D4">
            <v>36830</v>
          </cell>
          <cell r="E4" t="str">
            <v>A</v>
          </cell>
        </row>
        <row r="5">
          <cell r="B5" t="str">
            <v>2001-Q4</v>
          </cell>
          <cell r="C5">
            <v>36831</v>
          </cell>
          <cell r="D5">
            <v>36922</v>
          </cell>
          <cell r="E5" t="str">
            <v>A</v>
          </cell>
        </row>
        <row r="6">
          <cell r="B6" t="str">
            <v>2001-FY</v>
          </cell>
          <cell r="C6">
            <v>36557</v>
          </cell>
          <cell r="D6">
            <v>36922</v>
          </cell>
          <cell r="E6" t="str">
            <v>A</v>
          </cell>
        </row>
        <row r="7">
          <cell r="B7" t="str">
            <v>2002-Q1</v>
          </cell>
          <cell r="C7">
            <v>36923</v>
          </cell>
          <cell r="D7">
            <v>37011</v>
          </cell>
          <cell r="E7" t="str">
            <v>A</v>
          </cell>
        </row>
        <row r="8">
          <cell r="B8" t="str">
            <v>2002-Q2</v>
          </cell>
          <cell r="C8">
            <v>37012</v>
          </cell>
          <cell r="D8">
            <v>37103</v>
          </cell>
          <cell r="E8" t="str">
            <v>A</v>
          </cell>
        </row>
        <row r="9">
          <cell r="B9" t="str">
            <v>2002-Q3</v>
          </cell>
          <cell r="C9">
            <v>37104</v>
          </cell>
          <cell r="D9">
            <v>37195</v>
          </cell>
          <cell r="E9" t="str">
            <v>A</v>
          </cell>
        </row>
        <row r="10">
          <cell r="B10" t="str">
            <v>2002-Q4</v>
          </cell>
          <cell r="C10">
            <v>37196</v>
          </cell>
          <cell r="D10">
            <v>37287</v>
          </cell>
          <cell r="E10" t="str">
            <v>A</v>
          </cell>
        </row>
        <row r="11">
          <cell r="B11" t="str">
            <v>2002-FY</v>
          </cell>
          <cell r="C11">
            <v>36923</v>
          </cell>
          <cell r="D11">
            <v>37287</v>
          </cell>
          <cell r="E11" t="str">
            <v>A</v>
          </cell>
        </row>
        <row r="12">
          <cell r="B12" t="str">
            <v>2003-Q1</v>
          </cell>
          <cell r="C12">
            <v>37288</v>
          </cell>
          <cell r="D12">
            <v>37376</v>
          </cell>
          <cell r="E12" t="str">
            <v>A</v>
          </cell>
        </row>
        <row r="13">
          <cell r="B13" t="str">
            <v>2003-Q2</v>
          </cell>
          <cell r="C13">
            <v>37377</v>
          </cell>
          <cell r="D13">
            <v>37468</v>
          </cell>
          <cell r="E13" t="str">
            <v>A</v>
          </cell>
        </row>
        <row r="14">
          <cell r="B14" t="str">
            <v>2003-Q3</v>
          </cell>
          <cell r="C14">
            <v>37469</v>
          </cell>
          <cell r="D14">
            <v>37560</v>
          </cell>
          <cell r="E14" t="str">
            <v>A</v>
          </cell>
        </row>
        <row r="15">
          <cell r="B15" t="str">
            <v>2003-Q4</v>
          </cell>
          <cell r="C15">
            <v>37561</v>
          </cell>
          <cell r="D15">
            <v>37652</v>
          </cell>
          <cell r="E15" t="str">
            <v>A</v>
          </cell>
        </row>
        <row r="16">
          <cell r="B16" t="str">
            <v>2003-FY</v>
          </cell>
          <cell r="C16">
            <v>37288</v>
          </cell>
          <cell r="D16">
            <v>37652</v>
          </cell>
          <cell r="E16" t="str">
            <v>A</v>
          </cell>
        </row>
        <row r="17">
          <cell r="B17" t="str">
            <v>2004-Q1</v>
          </cell>
          <cell r="C17">
            <v>37653</v>
          </cell>
          <cell r="D17">
            <v>37741</v>
          </cell>
          <cell r="E17" t="str">
            <v>A</v>
          </cell>
        </row>
        <row r="18">
          <cell r="B18" t="str">
            <v>2004-Q2</v>
          </cell>
          <cell r="C18">
            <v>37742</v>
          </cell>
          <cell r="D18">
            <v>37833</v>
          </cell>
          <cell r="E18" t="str">
            <v>A</v>
          </cell>
        </row>
        <row r="19">
          <cell r="B19" t="str">
            <v>2004-Q3</v>
          </cell>
          <cell r="C19">
            <v>37834</v>
          </cell>
          <cell r="D19">
            <v>37925</v>
          </cell>
          <cell r="E19" t="str">
            <v>A</v>
          </cell>
        </row>
        <row r="20">
          <cell r="B20" t="str">
            <v>2004-Q4</v>
          </cell>
          <cell r="C20">
            <v>37926</v>
          </cell>
          <cell r="D20">
            <v>38017</v>
          </cell>
          <cell r="E20" t="str">
            <v>A</v>
          </cell>
        </row>
        <row r="21">
          <cell r="B21" t="str">
            <v>2004-FY</v>
          </cell>
          <cell r="C21">
            <v>37653</v>
          </cell>
          <cell r="D21">
            <v>38017</v>
          </cell>
          <cell r="E21" t="str">
            <v>A</v>
          </cell>
        </row>
        <row r="22">
          <cell r="B22" t="str">
            <v>2005-Q1</v>
          </cell>
          <cell r="C22">
            <v>38018</v>
          </cell>
          <cell r="D22">
            <v>38107</v>
          </cell>
          <cell r="E22" t="str">
            <v>A</v>
          </cell>
        </row>
        <row r="23">
          <cell r="B23" t="str">
            <v>2005-Q2</v>
          </cell>
          <cell r="C23">
            <v>38108</v>
          </cell>
          <cell r="D23">
            <v>38199</v>
          </cell>
          <cell r="E23" t="str">
            <v>A</v>
          </cell>
        </row>
        <row r="24">
          <cell r="B24" t="str">
            <v>2005-Q3</v>
          </cell>
          <cell r="C24">
            <v>38200</v>
          </cell>
          <cell r="D24">
            <v>38291</v>
          </cell>
          <cell r="E24" t="str">
            <v>A</v>
          </cell>
        </row>
        <row r="25">
          <cell r="B25" t="str">
            <v>2005-Q4</v>
          </cell>
          <cell r="C25">
            <v>38292</v>
          </cell>
          <cell r="D25">
            <v>38383</v>
          </cell>
          <cell r="E25" t="str">
            <v>A</v>
          </cell>
        </row>
        <row r="26">
          <cell r="B26" t="str">
            <v>2005-FY</v>
          </cell>
          <cell r="C26">
            <v>38018</v>
          </cell>
          <cell r="D26">
            <v>38383</v>
          </cell>
          <cell r="E26" t="str">
            <v>A</v>
          </cell>
        </row>
        <row r="27">
          <cell r="B27" t="str">
            <v>2006-Q1</v>
          </cell>
          <cell r="C27">
            <v>38384</v>
          </cell>
          <cell r="D27">
            <v>38472</v>
          </cell>
          <cell r="E27" t="str">
            <v>A</v>
          </cell>
        </row>
        <row r="28">
          <cell r="B28" t="str">
            <v>2006-Q2</v>
          </cell>
          <cell r="C28">
            <v>38473</v>
          </cell>
          <cell r="D28">
            <v>38564</v>
          </cell>
          <cell r="E28" t="str">
            <v>A</v>
          </cell>
        </row>
        <row r="29">
          <cell r="B29" t="str">
            <v>2006-Q3</v>
          </cell>
          <cell r="C29">
            <v>38565</v>
          </cell>
          <cell r="D29">
            <v>38656</v>
          </cell>
          <cell r="E29" t="str">
            <v>A</v>
          </cell>
        </row>
        <row r="30">
          <cell r="B30" t="str">
            <v>2006-Q4</v>
          </cell>
          <cell r="C30">
            <v>38657</v>
          </cell>
          <cell r="D30">
            <v>38748</v>
          </cell>
          <cell r="E30" t="str">
            <v>A</v>
          </cell>
        </row>
        <row r="31">
          <cell r="B31" t="str">
            <v>2006-FY</v>
          </cell>
          <cell r="C31">
            <v>38384</v>
          </cell>
          <cell r="D31">
            <v>38748</v>
          </cell>
          <cell r="E31" t="str">
            <v>A</v>
          </cell>
        </row>
        <row r="32">
          <cell r="B32" t="str">
            <v>2007-Q1</v>
          </cell>
          <cell r="C32">
            <v>38749</v>
          </cell>
          <cell r="D32">
            <v>38837</v>
          </cell>
          <cell r="E32" t="str">
            <v>A</v>
          </cell>
        </row>
        <row r="33">
          <cell r="B33" t="str">
            <v>2007-Q2</v>
          </cell>
          <cell r="C33">
            <v>38838</v>
          </cell>
          <cell r="D33">
            <v>38929</v>
          </cell>
          <cell r="E33" t="str">
            <v>A</v>
          </cell>
        </row>
        <row r="34">
          <cell r="B34" t="str">
            <v>2007-Q3</v>
          </cell>
          <cell r="C34">
            <v>38930</v>
          </cell>
          <cell r="D34">
            <v>39021</v>
          </cell>
          <cell r="E34" t="str">
            <v>A</v>
          </cell>
        </row>
        <row r="35">
          <cell r="B35" t="str">
            <v>2007-Q4</v>
          </cell>
          <cell r="C35">
            <v>39022</v>
          </cell>
          <cell r="D35">
            <v>39113</v>
          </cell>
          <cell r="E35" t="str">
            <v>A</v>
          </cell>
        </row>
        <row r="36">
          <cell r="B36" t="str">
            <v>2007-FY</v>
          </cell>
          <cell r="C36">
            <v>38749</v>
          </cell>
          <cell r="D36">
            <v>39113</v>
          </cell>
          <cell r="E36" t="str">
            <v>A</v>
          </cell>
        </row>
        <row r="37">
          <cell r="B37" t="str">
            <v>2008-Q1</v>
          </cell>
          <cell r="C37">
            <v>39114</v>
          </cell>
          <cell r="D37">
            <v>39202</v>
          </cell>
          <cell r="E37" t="str">
            <v>A</v>
          </cell>
        </row>
        <row r="38">
          <cell r="B38" t="str">
            <v>2008-Q2</v>
          </cell>
          <cell r="C38">
            <v>39203</v>
          </cell>
          <cell r="D38">
            <v>39294</v>
          </cell>
          <cell r="E38" t="str">
            <v>A</v>
          </cell>
        </row>
        <row r="39">
          <cell r="B39" t="str">
            <v>2008-Q3</v>
          </cell>
          <cell r="C39">
            <v>39295</v>
          </cell>
          <cell r="D39">
            <v>39386</v>
          </cell>
          <cell r="E39" t="str">
            <v>A</v>
          </cell>
        </row>
        <row r="40">
          <cell r="B40" t="str">
            <v>2008-Q4</v>
          </cell>
          <cell r="C40">
            <v>39387</v>
          </cell>
          <cell r="D40">
            <v>39478</v>
          </cell>
          <cell r="E40" t="str">
            <v>A</v>
          </cell>
        </row>
        <row r="41">
          <cell r="B41" t="str">
            <v>2008-FY</v>
          </cell>
          <cell r="C41">
            <v>39114</v>
          </cell>
          <cell r="D41">
            <v>39478</v>
          </cell>
          <cell r="E41" t="str">
            <v>A</v>
          </cell>
        </row>
        <row r="42">
          <cell r="B42" t="str">
            <v>2009-Q1</v>
          </cell>
          <cell r="C42">
            <v>39479</v>
          </cell>
          <cell r="D42">
            <v>39568</v>
          </cell>
          <cell r="E42" t="str">
            <v>A</v>
          </cell>
        </row>
        <row r="43">
          <cell r="B43" t="str">
            <v>2009-Q2</v>
          </cell>
          <cell r="C43">
            <v>39569</v>
          </cell>
          <cell r="D43">
            <v>39660</v>
          </cell>
          <cell r="E43" t="str">
            <v>A</v>
          </cell>
        </row>
        <row r="44">
          <cell r="B44" t="str">
            <v>2009-Q3</v>
          </cell>
          <cell r="C44">
            <v>39661</v>
          </cell>
          <cell r="D44">
            <v>39752</v>
          </cell>
          <cell r="E44" t="str">
            <v>A</v>
          </cell>
        </row>
        <row r="45">
          <cell r="B45" t="str">
            <v>2009-Q4</v>
          </cell>
          <cell r="C45">
            <v>39753</v>
          </cell>
          <cell r="D45">
            <v>39844</v>
          </cell>
          <cell r="E45" t="str">
            <v>A</v>
          </cell>
        </row>
        <row r="46">
          <cell r="B46" t="str">
            <v>2009-FY</v>
          </cell>
          <cell r="C46">
            <v>39479</v>
          </cell>
          <cell r="D46">
            <v>39844</v>
          </cell>
          <cell r="E46" t="str">
            <v>A</v>
          </cell>
        </row>
        <row r="47">
          <cell r="B47" t="str">
            <v>2010-Q1</v>
          </cell>
          <cell r="C47">
            <v>39845</v>
          </cell>
          <cell r="D47">
            <v>39933</v>
          </cell>
          <cell r="E47" t="str">
            <v>A</v>
          </cell>
        </row>
        <row r="48">
          <cell r="B48" t="str">
            <v>2010-Q2</v>
          </cell>
          <cell r="C48">
            <v>39934</v>
          </cell>
          <cell r="D48">
            <v>40025</v>
          </cell>
          <cell r="E48" t="str">
            <v>A</v>
          </cell>
        </row>
        <row r="49">
          <cell r="B49" t="str">
            <v>2010-Q3</v>
          </cell>
          <cell r="C49">
            <v>40026</v>
          </cell>
          <cell r="D49">
            <v>40117</v>
          </cell>
          <cell r="E49" t="str">
            <v>A</v>
          </cell>
        </row>
        <row r="50">
          <cell r="B50" t="str">
            <v>2010-Q4</v>
          </cell>
          <cell r="C50">
            <v>40118</v>
          </cell>
          <cell r="D50">
            <v>40209</v>
          </cell>
          <cell r="E50" t="str">
            <v>A</v>
          </cell>
        </row>
        <row r="51">
          <cell r="B51" t="str">
            <v>2010-FY</v>
          </cell>
          <cell r="C51">
            <v>39845</v>
          </cell>
          <cell r="D51">
            <v>40209</v>
          </cell>
          <cell r="E51" t="str">
            <v>A</v>
          </cell>
        </row>
        <row r="52">
          <cell r="B52" t="str">
            <v>2011-Q1</v>
          </cell>
          <cell r="C52">
            <v>40210</v>
          </cell>
          <cell r="D52">
            <v>40298</v>
          </cell>
          <cell r="E52" t="str">
            <v>A</v>
          </cell>
        </row>
        <row r="53">
          <cell r="B53" t="str">
            <v>2011-Q2</v>
          </cell>
          <cell r="C53">
            <v>40299</v>
          </cell>
          <cell r="D53">
            <v>40390</v>
          </cell>
          <cell r="E53" t="str">
            <v>A</v>
          </cell>
        </row>
        <row r="54">
          <cell r="B54" t="str">
            <v>2011-Q3</v>
          </cell>
          <cell r="C54">
            <v>40391</v>
          </cell>
          <cell r="D54">
            <v>40482</v>
          </cell>
          <cell r="E54" t="str">
            <v>A</v>
          </cell>
        </row>
        <row r="55">
          <cell r="B55" t="str">
            <v>2011-Q4</v>
          </cell>
          <cell r="C55">
            <v>40483</v>
          </cell>
          <cell r="D55">
            <v>40574</v>
          </cell>
          <cell r="E55" t="str">
            <v>A</v>
          </cell>
        </row>
        <row r="56">
          <cell r="B56" t="str">
            <v>2011-FY</v>
          </cell>
          <cell r="C56">
            <v>40210</v>
          </cell>
          <cell r="D56">
            <v>40574</v>
          </cell>
          <cell r="E56" t="str">
            <v>A</v>
          </cell>
        </row>
        <row r="57">
          <cell r="B57" t="str">
            <v>2012-Q1</v>
          </cell>
          <cell r="C57">
            <v>40575</v>
          </cell>
          <cell r="D57">
            <v>40663</v>
          </cell>
          <cell r="E57" t="str">
            <v>A</v>
          </cell>
        </row>
        <row r="58">
          <cell r="B58" t="str">
            <v>2012-Q2</v>
          </cell>
          <cell r="C58">
            <v>40664</v>
          </cell>
          <cell r="D58">
            <v>40755</v>
          </cell>
          <cell r="E58" t="str">
            <v>A</v>
          </cell>
        </row>
        <row r="59">
          <cell r="B59" t="str">
            <v>2012-Q3</v>
          </cell>
          <cell r="C59">
            <v>40756</v>
          </cell>
          <cell r="D59">
            <v>40847</v>
          </cell>
          <cell r="E59" t="str">
            <v>A</v>
          </cell>
        </row>
        <row r="60">
          <cell r="B60" t="str">
            <v>2012-Q4</v>
          </cell>
          <cell r="C60">
            <v>40848</v>
          </cell>
          <cell r="D60">
            <v>40939</v>
          </cell>
          <cell r="E60" t="str">
            <v>A</v>
          </cell>
        </row>
        <row r="61">
          <cell r="B61" t="str">
            <v>2012-FY</v>
          </cell>
          <cell r="C61">
            <v>40575</v>
          </cell>
          <cell r="D61">
            <v>40939</v>
          </cell>
          <cell r="E61" t="str">
            <v>A</v>
          </cell>
        </row>
        <row r="62">
          <cell r="B62" t="str">
            <v>2013-Q1</v>
          </cell>
          <cell r="C62">
            <v>40940</v>
          </cell>
          <cell r="D62">
            <v>41029</v>
          </cell>
          <cell r="E62" t="str">
            <v>A</v>
          </cell>
        </row>
        <row r="63">
          <cell r="B63" t="str">
            <v>2013-Q2</v>
          </cell>
          <cell r="C63">
            <v>41030</v>
          </cell>
          <cell r="D63">
            <v>41121</v>
          </cell>
          <cell r="E63" t="str">
            <v>A</v>
          </cell>
        </row>
        <row r="64">
          <cell r="B64" t="str">
            <v>2013-Q3</v>
          </cell>
          <cell r="C64">
            <v>41122</v>
          </cell>
          <cell r="D64">
            <v>41213</v>
          </cell>
          <cell r="E64" t="str">
            <v>E</v>
          </cell>
        </row>
        <row r="65">
          <cell r="B65" t="str">
            <v>2013-Q4</v>
          </cell>
          <cell r="C65">
            <v>41214</v>
          </cell>
          <cell r="D65">
            <v>41305</v>
          </cell>
          <cell r="E65" t="str">
            <v>E</v>
          </cell>
        </row>
        <row r="66">
          <cell r="B66" t="str">
            <v>2013-FY</v>
          </cell>
          <cell r="C66">
            <v>40940</v>
          </cell>
          <cell r="D66">
            <v>41305</v>
          </cell>
          <cell r="E66" t="str">
            <v>E</v>
          </cell>
        </row>
        <row r="67">
          <cell r="B67" t="str">
            <v>2014-Q1</v>
          </cell>
          <cell r="C67">
            <v>41306</v>
          </cell>
          <cell r="D67">
            <v>41394</v>
          </cell>
          <cell r="E67" t="str">
            <v>E</v>
          </cell>
        </row>
        <row r="68">
          <cell r="B68" t="str">
            <v>2014-Q2</v>
          </cell>
          <cell r="C68">
            <v>41395</v>
          </cell>
          <cell r="D68">
            <v>41486</v>
          </cell>
          <cell r="E68" t="str">
            <v>E</v>
          </cell>
        </row>
        <row r="69">
          <cell r="B69" t="str">
            <v>2014-Q3</v>
          </cell>
          <cell r="C69">
            <v>41487</v>
          </cell>
          <cell r="D69">
            <v>41578</v>
          </cell>
          <cell r="E69" t="str">
            <v>E</v>
          </cell>
        </row>
        <row r="70">
          <cell r="B70" t="str">
            <v>2014-Q4</v>
          </cell>
          <cell r="C70">
            <v>41579</v>
          </cell>
          <cell r="D70">
            <v>41670</v>
          </cell>
          <cell r="E70" t="str">
            <v>E</v>
          </cell>
        </row>
        <row r="71">
          <cell r="B71" t="str">
            <v>2014-FY</v>
          </cell>
          <cell r="C71">
            <v>41306</v>
          </cell>
          <cell r="D71">
            <v>41670</v>
          </cell>
          <cell r="E71" t="str">
            <v>E</v>
          </cell>
        </row>
        <row r="72">
          <cell r="B72" t="str">
            <v>2015-Q1</v>
          </cell>
          <cell r="C72">
            <v>41671</v>
          </cell>
          <cell r="D72">
            <v>41759</v>
          </cell>
          <cell r="E72" t="str">
            <v>E</v>
          </cell>
        </row>
        <row r="73">
          <cell r="B73" t="str">
            <v>2015-Q2</v>
          </cell>
          <cell r="C73">
            <v>41760</v>
          </cell>
          <cell r="D73">
            <v>41851</v>
          </cell>
          <cell r="E73" t="str">
            <v>E</v>
          </cell>
        </row>
        <row r="74">
          <cell r="B74" t="str">
            <v>2015-Q3</v>
          </cell>
          <cell r="C74">
            <v>41852</v>
          </cell>
          <cell r="D74">
            <v>41943</v>
          </cell>
          <cell r="E74" t="str">
            <v>E</v>
          </cell>
        </row>
        <row r="75">
          <cell r="B75" t="str">
            <v>2015-Q4</v>
          </cell>
          <cell r="C75">
            <v>41944</v>
          </cell>
          <cell r="D75">
            <v>42035</v>
          </cell>
          <cell r="E75" t="str">
            <v>E</v>
          </cell>
        </row>
        <row r="76">
          <cell r="B76" t="str">
            <v>2015-FY</v>
          </cell>
          <cell r="C76">
            <v>41671</v>
          </cell>
          <cell r="D76">
            <v>42035</v>
          </cell>
          <cell r="E76" t="str">
            <v>E</v>
          </cell>
        </row>
      </sheetData>
      <sheetData sheetId="26"/>
      <sheetData sheetId="27"/>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Euro vs. PM"/>
      <sheetName val="Ruble"/>
      <sheetName val="Income Statement"/>
      <sheetName val="Margins"/>
      <sheetName val="MS_IRI_Methodology"/>
      <sheetName val="MARKET_SHARE ($)_RAW_DATA"/>
      <sheetName val="NEXXUS_RAW_DATA"/>
      <sheetName val="HAIR_CARE_MARKET SHARE ROLL-UP"/>
      <sheetName val="TOTAL_ACV_DOLLAR_SALES"/>
      <sheetName val="Comps"/>
      <sheetName val="Switches"/>
      <sheetName val="SSB Nielsen Sales"/>
      <sheetName val="TimeSeries"/>
      <sheetName val="Valuation Analyzer"/>
      <sheetName val="EBITDA"/>
      <sheetName val="GWP-WLine"/>
      <sheetName val="TS_Stnd_Dev_Band"/>
      <sheetName val="Print "/>
      <sheetName val="Lookup"/>
      <sheetName val="Input"/>
      <sheetName val="99 cons YTD"/>
      <sheetName val="KP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Market_Share"/>
      <sheetName val="Assumptions"/>
      <sheetName val="P"/>
      <sheetName val="Summary"/>
      <sheetName val="Consol_Income"/>
      <sheetName val="Rate Case"/>
      <sheetName val="Balance Sheet"/>
      <sheetName val="Sheet9"/>
      <sheetName val="Leases"/>
      <sheetName val="Graph"/>
      <sheetName val="Income"/>
      <sheetName val="Financial Summary"/>
      <sheetName val="Cash flow"/>
      <sheetName val="Profit &amp; Loss"/>
      <sheetName val="Inputs, sensitivity &amp; val"/>
      <sheetName val="Exclusion List"/>
      <sheetName val="CFOld"/>
      <sheetName val="PLOld"/>
      <sheetName val="Headline"/>
      <sheetName val="MTT old"/>
      <sheetName val="BizJet Deliveries"/>
      <sheetName val="DOMNETREV1002B"/>
      <sheetName val="c1"/>
      <sheetName val="Monthly figures"/>
      <sheetName val="Consolidated"/>
      <sheetName val="CENMODEL"/>
      <sheetName val="Customize Your Statement"/>
      <sheetName val="Sainsbury"/>
      <sheetName val="KQ"/>
    </sheetNames>
    <definedNames>
      <definedName name="Download_seri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S"/>
      <sheetName val="Analysis"/>
      <sheetName val="Print Macro"/>
      <sheetName val="P"/>
      <sheetName val="Deferred tax analysis4"/>
      <sheetName val="Assumpt"/>
      <sheetName val="Switches"/>
      <sheetName val="Income Statement"/>
      <sheetName val="Old BKS"/>
      <sheetName val="QuarterlyData"/>
      <sheetName val="Report Summary"/>
      <sheetName val="NA_ANNUAL"/>
      <sheetName val="XOM"/>
      <sheetName val="NKEBALST"/>
      <sheetName val="NKEQTRIN"/>
      <sheetName val="Fixed Line Mkt"/>
      <sheetName val="Bal Sheet &amp; Cash Flow"/>
      <sheetName val="LT"/>
    </sheetNames>
    <sheetDataSet>
      <sheetData sheetId="0" refreshError="1">
        <row r="4">
          <cell r="C4">
            <v>3</v>
          </cell>
        </row>
        <row r="5">
          <cell r="C5">
            <v>5</v>
          </cell>
        </row>
        <row r="6">
          <cell r="C6">
            <v>7</v>
          </cell>
        </row>
        <row r="7">
          <cell r="C7">
            <v>10</v>
          </cell>
        </row>
        <row r="8">
          <cell r="C8">
            <v>15</v>
          </cell>
        </row>
      </sheetData>
      <sheetData sheetId="1" refreshError="1">
        <row r="2">
          <cell r="C2">
            <v>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Quarterly"/>
      <sheetName val="Combo Box"/>
      <sheetName val="MMD"/>
      <sheetName val="Model"/>
      <sheetName val="MATQTRS"/>
      <sheetName val="UNIV-EBS DATA"/>
      <sheetName val="Ratios"/>
      <sheetName val="MATINC"/>
      <sheetName val="MATBAL"/>
      <sheetName val="Macro1"/>
      <sheetName val="Macro2"/>
      <sheetName val="Valuation"/>
      <sheetName val="Analysis"/>
      <sheetName val="MACRS"/>
      <sheetName val="FutureAcq"/>
      <sheetName val="Credit Output"/>
      <sheetName val="CalcsMO"/>
      <sheetName val=" Capital"/>
      <sheetName val="New Business"/>
      <sheetName val="LXK"/>
      <sheetName val="yearly"/>
      <sheetName val="OnAir"/>
      <sheetName val="RELPE"/>
      <sheetName val="SALESCAT"/>
      <sheetName val="MATCASH"/>
      <sheetName val="FinSum"/>
      <sheetName val="Scenario"/>
      <sheetName val="Aladdin Macro1"/>
      <sheetName val="DATA"/>
      <sheetName val="Gas"/>
      <sheetName val="Off Peak"/>
      <sheetName val="Peak"/>
      <sheetName val="WY"/>
      <sheetName val="changes in EST"/>
      <sheetName val="US peers EBIT Margins"/>
      <sheetName val="Sheet7"/>
      <sheetName val="Sheet1"/>
      <sheetName val="main"/>
      <sheetName val="Model (Euro)"/>
      <sheetName val="Monthly Spot"/>
      <sheetName val="NKEBALST"/>
      <sheetName val="NKEQTRIN"/>
      <sheetName val="DMK"/>
      <sheetName val="Cashflow Mode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s>
    <sheetDataSet>
      <sheetData sheetId="0"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T Screen"/>
      <sheetName val="Exclusion List"/>
      <sheetName val="MVT Demo"/>
      <sheetName val="OIT Screening"/>
      <sheetName val="BALANCE SHEET"/>
      <sheetName val="Traffic"/>
      <sheetName val="Financial Summary"/>
    </sheetNames>
    <sheetDataSet>
      <sheetData sheetId="0" refreshError="1"/>
      <sheetData sheetId="1" refreshError="1">
        <row r="1">
          <cell r="A1" t="str">
            <v>ticker</v>
          </cell>
        </row>
        <row r="2">
          <cell r="A2" t="str">
            <v>ABP.L</v>
          </cell>
        </row>
        <row r="3">
          <cell r="A3" t="str">
            <v>AGG.L</v>
          </cell>
        </row>
        <row r="4">
          <cell r="A4" t="str">
            <v>AHLN.AS</v>
          </cell>
        </row>
        <row r="5">
          <cell r="A5" t="str">
            <v>AHo.N</v>
          </cell>
        </row>
        <row r="6">
          <cell r="A6" t="str">
            <v>AIRF.PA</v>
          </cell>
        </row>
        <row r="7">
          <cell r="A7" t="str">
            <v>AKH.N</v>
          </cell>
        </row>
        <row r="8">
          <cell r="A8" t="str">
            <v>AIB.N</v>
          </cell>
        </row>
        <row r="9">
          <cell r="A9" t="str">
            <v>ALBK.I</v>
          </cell>
        </row>
        <row r="10">
          <cell r="A10" t="str">
            <v>ALO.N</v>
          </cell>
        </row>
        <row r="11">
          <cell r="A11" t="str">
            <v>AHC.N</v>
          </cell>
        </row>
        <row r="12">
          <cell r="A12" t="str">
            <v>AMGN.O</v>
          </cell>
        </row>
        <row r="13">
          <cell r="A13" t="str">
            <v>AAL.L</v>
          </cell>
        </row>
        <row r="14">
          <cell r="A14" t="str">
            <v>ANGL.I</v>
          </cell>
        </row>
        <row r="15">
          <cell r="A15" t="str">
            <v>A3TV.MC</v>
          </cell>
        </row>
        <row r="16">
          <cell r="A16" t="str">
            <v>5201.T</v>
          </cell>
        </row>
        <row r="17">
          <cell r="A17" t="str">
            <v>ASGLY.PK</v>
          </cell>
        </row>
        <row r="18">
          <cell r="A18" t="str">
            <v>020560.KQ</v>
          </cell>
        </row>
        <row r="19">
          <cell r="A19" t="str">
            <v>ASSAb.ST</v>
          </cell>
        </row>
        <row r="20">
          <cell r="A20" t="str">
            <v>AZN.L</v>
          </cell>
        </row>
        <row r="21">
          <cell r="A21" t="str">
            <v>AZN.N</v>
          </cell>
        </row>
        <row r="22">
          <cell r="A22" t="str">
            <v>AZN.ST</v>
          </cell>
        </row>
        <row r="23">
          <cell r="A23" t="str">
            <v>ATML.O</v>
          </cell>
        </row>
        <row r="24">
          <cell r="A24" t="str">
            <v>AMS.S</v>
          </cell>
        </row>
        <row r="25">
          <cell r="A25" t="str">
            <v>AWG.L</v>
          </cell>
        </row>
        <row r="26">
          <cell r="A26" t="str">
            <v>BBY.L</v>
          </cell>
        </row>
        <row r="27">
          <cell r="A27" t="str">
            <v>BRL.N</v>
          </cell>
        </row>
        <row r="28">
          <cell r="A28" t="str">
            <v>BCOM.BR</v>
          </cell>
        </row>
        <row r="29">
          <cell r="A29" t="str">
            <v>BKG_u.L</v>
          </cell>
        </row>
        <row r="30">
          <cell r="A30" t="str">
            <v>BEZQ.TA</v>
          </cell>
        </row>
        <row r="31">
          <cell r="A31" t="str">
            <v>1114.HK</v>
          </cell>
        </row>
        <row r="32">
          <cell r="A32" t="str">
            <v>CBA.N</v>
          </cell>
        </row>
        <row r="33">
          <cell r="A33" t="str">
            <v>BAB.N</v>
          </cell>
        </row>
        <row r="34">
          <cell r="A34" t="str">
            <v>BAY.L</v>
          </cell>
        </row>
        <row r="35">
          <cell r="A35" t="str">
            <v>BGY.L</v>
          </cell>
        </row>
        <row r="36">
          <cell r="A36" t="str">
            <v>BGY.N</v>
          </cell>
        </row>
        <row r="37">
          <cell r="A37" t="str">
            <v>BSY.L</v>
          </cell>
        </row>
        <row r="38">
          <cell r="A38" t="str">
            <v>BSY.N</v>
          </cell>
        </row>
        <row r="39">
          <cell r="A39" t="str">
            <v>BLGSY.OTC</v>
          </cell>
        </row>
        <row r="40">
          <cell r="A40" t="str">
            <v>BULG.MI</v>
          </cell>
        </row>
        <row r="41">
          <cell r="A41" t="str">
            <v>BNI.N</v>
          </cell>
        </row>
        <row r="42">
          <cell r="A42" t="str">
            <v>CW.L</v>
          </cell>
        </row>
        <row r="43">
          <cell r="A43" t="str">
            <v>CWP.N</v>
          </cell>
        </row>
        <row r="44">
          <cell r="A44" t="str">
            <v>CECO.O</v>
          </cell>
        </row>
        <row r="45">
          <cell r="A45" t="str">
            <v>CASP.PA</v>
          </cell>
        </row>
        <row r="46">
          <cell r="A46" t="str">
            <v>CASP_p.PA</v>
          </cell>
        </row>
        <row r="47">
          <cell r="A47" t="str">
            <v>6952.T</v>
          </cell>
        </row>
        <row r="48">
          <cell r="A48" t="str">
            <v>CSIOY.PK</v>
          </cell>
        </row>
        <row r="49">
          <cell r="A49" t="str">
            <v>0293.HK</v>
          </cell>
        </row>
        <row r="50">
          <cell r="A50" t="str">
            <v>CE.N</v>
          </cell>
        </row>
        <row r="51">
          <cell r="A51" t="str">
            <v>CZ.N</v>
          </cell>
        </row>
        <row r="52">
          <cell r="A52" t="str">
            <v>CNA.L</v>
          </cell>
        </row>
        <row r="53">
          <cell r="A53" t="str">
            <v>CVX.N</v>
          </cell>
        </row>
        <row r="54">
          <cell r="A54" t="str">
            <v>2002.TW</v>
          </cell>
        </row>
        <row r="55">
          <cell r="A55" t="str">
            <v>2002q.L</v>
          </cell>
        </row>
        <row r="56">
          <cell r="A56" t="str">
            <v>2891.TW</v>
          </cell>
        </row>
        <row r="57">
          <cell r="A57" t="str">
            <v>1110.HK</v>
          </cell>
        </row>
        <row r="58">
          <cell r="A58" t="str">
            <v>CBKG.DE</v>
          </cell>
        </row>
        <row r="59">
          <cell r="A59" t="str">
            <v>CRZBY.OTC</v>
          </cell>
        </row>
        <row r="60">
          <cell r="A60" t="str">
            <v>CAL.N</v>
          </cell>
        </row>
        <row r="61">
          <cell r="A61" t="str">
            <v>CHRN.S</v>
          </cell>
        </row>
        <row r="62">
          <cell r="A62" t="str">
            <v>CRBK.BO</v>
          </cell>
        </row>
        <row r="63">
          <cell r="A63" t="str">
            <v>COSr.AT</v>
          </cell>
        </row>
        <row r="64">
          <cell r="A64" t="str">
            <v>CSGKY.OTC</v>
          </cell>
        </row>
        <row r="65">
          <cell r="A65" t="str">
            <v>CSGN.VX</v>
          </cell>
        </row>
        <row r="66">
          <cell r="A66" t="str">
            <v>8601.T</v>
          </cell>
        </row>
        <row r="67">
          <cell r="A67" t="str">
            <v>DSECY.PK</v>
          </cell>
        </row>
        <row r="68">
          <cell r="A68" t="str">
            <v>DES.N</v>
          </cell>
        </row>
        <row r="69">
          <cell r="A69" t="str">
            <v>DESCB.MX</v>
          </cell>
        </row>
        <row r="70">
          <cell r="A70" t="str">
            <v>DT.N</v>
          </cell>
        </row>
        <row r="71">
          <cell r="A71" t="str">
            <v>DTEGn.DE</v>
          </cell>
        </row>
        <row r="72">
          <cell r="A72" t="str">
            <v>DEO.N</v>
          </cell>
        </row>
        <row r="73">
          <cell r="A73" t="str">
            <v>DGE.L</v>
          </cell>
        </row>
        <row r="74">
          <cell r="A74" t="str">
            <v>2884.TW</v>
          </cell>
        </row>
        <row r="75">
          <cell r="A75" t="str">
            <v>ELN.N</v>
          </cell>
        </row>
        <row r="76">
          <cell r="A76" t="str">
            <v>AKD_pb.SN</v>
          </cell>
        </row>
        <row r="77">
          <cell r="A77" t="str">
            <v>AKOa.N</v>
          </cell>
        </row>
        <row r="78">
          <cell r="A78" t="str">
            <v>AKOb.N</v>
          </cell>
        </row>
        <row r="79">
          <cell r="A79" t="str">
            <v>AND_pa.SN</v>
          </cell>
        </row>
        <row r="80">
          <cell r="A80" t="str">
            <v>END.SN</v>
          </cell>
        </row>
        <row r="81">
          <cell r="A81" t="str">
            <v>EOC.N</v>
          </cell>
        </row>
        <row r="82">
          <cell r="A82" t="str">
            <v>ENE.SN</v>
          </cell>
        </row>
        <row r="83">
          <cell r="A83" t="str">
            <v>ENI.N</v>
          </cell>
        </row>
        <row r="84">
          <cell r="A84" t="str">
            <v>2618.TW</v>
          </cell>
        </row>
        <row r="85">
          <cell r="A85" t="str">
            <v>XJT.N</v>
          </cell>
        </row>
        <row r="86">
          <cell r="A86" t="str">
            <v>XOM.N</v>
          </cell>
        </row>
        <row r="87">
          <cell r="A87" t="str">
            <v>FAMVY.OTC</v>
          </cell>
        </row>
        <row r="88">
          <cell r="A88" t="str">
            <v>FOR.AS</v>
          </cell>
        </row>
        <row r="89">
          <cell r="A89" t="str">
            <v>FOR.BR</v>
          </cell>
        </row>
        <row r="90">
          <cell r="A90" t="str">
            <v>FRNT.O</v>
          </cell>
        </row>
        <row r="91">
          <cell r="A91" t="str">
            <v>2817.TW</v>
          </cell>
        </row>
        <row r="92">
          <cell r="A92" t="str">
            <v>2881.TW</v>
          </cell>
        </row>
        <row r="93">
          <cell r="A93" t="str">
            <v>2881q.L</v>
          </cell>
        </row>
        <row r="94">
          <cell r="A94" t="str">
            <v>GAZPq.L</v>
          </cell>
        </row>
        <row r="95">
          <cell r="A95" t="str">
            <v>RADGYP.OTC</v>
          </cell>
        </row>
        <row r="96">
          <cell r="A96" t="str">
            <v>GFCP.PA</v>
          </cell>
        </row>
        <row r="97">
          <cell r="A97" t="str">
            <v>GD.N</v>
          </cell>
        </row>
        <row r="98">
          <cell r="A98" t="str">
            <v>GASI.MI</v>
          </cell>
        </row>
        <row r="99">
          <cell r="A99" t="str">
            <v>GNW.N</v>
          </cell>
        </row>
        <row r="100">
          <cell r="A100" t="str">
            <v>TL5.MC</v>
          </cell>
        </row>
        <row r="101">
          <cell r="A101" t="str">
            <v>GRAS.BO</v>
          </cell>
        </row>
        <row r="102">
          <cell r="A102" t="str">
            <v>GFS.L</v>
          </cell>
        </row>
        <row r="103">
          <cell r="A103" t="str">
            <v>ASR.N</v>
          </cell>
        </row>
        <row r="104">
          <cell r="A104" t="str">
            <v>ASUR.MX</v>
          </cell>
        </row>
        <row r="105">
          <cell r="A105" t="str">
            <v>GCARSOA1.MX</v>
          </cell>
        </row>
        <row r="106">
          <cell r="A106" t="str">
            <v>GPOOY.O</v>
          </cell>
        </row>
        <row r="107">
          <cell r="A107" t="str">
            <v>PRS.MC</v>
          </cell>
        </row>
        <row r="108">
          <cell r="A108" t="str">
            <v>HAN.N</v>
          </cell>
        </row>
        <row r="109">
          <cell r="A109" t="str">
            <v>HNS.L</v>
          </cell>
        </row>
        <row r="110">
          <cell r="A110" t="str">
            <v>HAS.L</v>
          </cell>
        </row>
        <row r="111">
          <cell r="A111" t="str">
            <v>HRMS.PA</v>
          </cell>
        </row>
        <row r="112">
          <cell r="A112" t="str">
            <v>HLT.N</v>
          </cell>
        </row>
        <row r="113">
          <cell r="A113" t="str">
            <v>HOLMb.ST</v>
          </cell>
        </row>
        <row r="114">
          <cell r="A114" t="str">
            <v>011170.KS</v>
          </cell>
        </row>
        <row r="115">
          <cell r="A115" t="str">
            <v>HMT.N</v>
          </cell>
        </row>
        <row r="116">
          <cell r="A116" t="str">
            <v>HVMG.DE</v>
          </cell>
        </row>
        <row r="117">
          <cell r="A117" t="str">
            <v>HVMGY.OTC</v>
          </cell>
        </row>
        <row r="118">
          <cell r="A118" t="str">
            <v>012330.KS</v>
          </cell>
        </row>
        <row r="119">
          <cell r="A119" t="str">
            <v>IBE.MC</v>
          </cell>
        </row>
        <row r="120">
          <cell r="A120" t="str">
            <v>IBLA.MC</v>
          </cell>
        </row>
        <row r="121">
          <cell r="A121" t="str">
            <v>ITX.MC</v>
          </cell>
        </row>
        <row r="122">
          <cell r="A122" t="str">
            <v>ING.AS</v>
          </cell>
        </row>
        <row r="123">
          <cell r="A123" t="str">
            <v>ING.N</v>
          </cell>
        </row>
        <row r="124">
          <cell r="A124" t="str">
            <v>IPR.L</v>
          </cell>
        </row>
        <row r="125">
          <cell r="A125" t="str">
            <v>IPR.N</v>
          </cell>
        </row>
        <row r="126">
          <cell r="A126" t="str">
            <v>ITRK.L</v>
          </cell>
        </row>
        <row r="127">
          <cell r="A127" t="str">
            <v>JCDX.PA</v>
          </cell>
        </row>
        <row r="128">
          <cell r="A128" t="str">
            <v>KEL.L</v>
          </cell>
        </row>
        <row r="129">
          <cell r="A129" t="str">
            <v>KPN.AS</v>
          </cell>
        </row>
        <row r="130">
          <cell r="A130" t="str">
            <v>KPN.N</v>
          </cell>
        </row>
        <row r="131">
          <cell r="A131" t="str">
            <v>LQI.N</v>
          </cell>
        </row>
        <row r="132">
          <cell r="A132" t="str">
            <v>LH.N</v>
          </cell>
        </row>
        <row r="133">
          <cell r="A133" t="str">
            <v>0992.HK</v>
          </cell>
        </row>
        <row r="134">
          <cell r="A134" t="str">
            <v>LGHLY.O</v>
          </cell>
        </row>
        <row r="135">
          <cell r="A135" t="str">
            <v>LING.DE</v>
          </cell>
        </row>
        <row r="136">
          <cell r="A136" t="str">
            <v>LAD.N</v>
          </cell>
        </row>
        <row r="137">
          <cell r="A137" t="str">
            <v>LOG.L</v>
          </cell>
        </row>
        <row r="138">
          <cell r="A138" t="str">
            <v>LMI.L</v>
          </cell>
        </row>
        <row r="139">
          <cell r="A139" t="str">
            <v>LKOH.RTS</v>
          </cell>
        </row>
        <row r="140">
          <cell r="A140" t="str">
            <v>LUKOY.OTC</v>
          </cell>
        </row>
        <row r="141">
          <cell r="A141" t="str">
            <v>LUN.CO</v>
          </cell>
        </row>
        <row r="142">
          <cell r="A142" t="str">
            <v>LYO.N</v>
          </cell>
        </row>
        <row r="143">
          <cell r="A143" t="str">
            <v>MANG.DE</v>
          </cell>
        </row>
        <row r="144">
          <cell r="A144" t="str">
            <v>MANG_p.DE</v>
          </cell>
        </row>
        <row r="145">
          <cell r="A145" t="str">
            <v>MOLB.BU</v>
          </cell>
        </row>
        <row r="146">
          <cell r="A146" t="str">
            <v>MOLBq.L</v>
          </cell>
        </row>
        <row r="147">
          <cell r="A147" t="str">
            <v>MRLAV.HE</v>
          </cell>
        </row>
        <row r="148">
          <cell r="A148" t="str">
            <v>MRLBV.HE</v>
          </cell>
        </row>
        <row r="149">
          <cell r="A149" t="str">
            <v>NGT.L</v>
          </cell>
        </row>
        <row r="150">
          <cell r="A150" t="str">
            <v>NGT.N</v>
          </cell>
        </row>
        <row r="151">
          <cell r="A151" t="str">
            <v>NXT.L</v>
          </cell>
        </row>
        <row r="152">
          <cell r="A152" t="str">
            <v>NHH.MC</v>
          </cell>
        </row>
        <row r="153">
          <cell r="A153" t="str">
            <v>8603.T</v>
          </cell>
        </row>
        <row r="154">
          <cell r="A154" t="str">
            <v>NIKOY.PK</v>
          </cell>
        </row>
        <row r="155">
          <cell r="A155" t="str">
            <v>NSG.OL</v>
          </cell>
        </row>
        <row r="156">
          <cell r="A156" t="str">
            <v>NSG.OTC</v>
          </cell>
        </row>
        <row r="157">
          <cell r="A157" t="str">
            <v>NSGB.OL</v>
          </cell>
        </row>
        <row r="158">
          <cell r="A158" t="str">
            <v>NOC.N</v>
          </cell>
        </row>
        <row r="159">
          <cell r="A159" t="str">
            <v>NVDA.O</v>
          </cell>
        </row>
        <row r="160">
          <cell r="A160" t="str">
            <v>OMVKY.OTC</v>
          </cell>
        </row>
        <row r="161">
          <cell r="A161" t="str">
            <v>OMVV.VI</v>
          </cell>
        </row>
        <row r="162">
          <cell r="A162" t="str">
            <v>ORBC.BO</v>
          </cell>
        </row>
        <row r="163">
          <cell r="A163" t="str">
            <v>0008.HK</v>
          </cell>
        </row>
        <row r="164">
          <cell r="A164" t="str">
            <v>PCW.N</v>
          </cell>
        </row>
        <row r="165">
          <cell r="A165" t="str">
            <v>PNN.L</v>
          </cell>
        </row>
        <row r="166">
          <cell r="A166" t="str">
            <v>PDRDY.OTC</v>
          </cell>
        </row>
        <row r="167">
          <cell r="A167" t="str">
            <v>PERP.PA</v>
          </cell>
        </row>
        <row r="168">
          <cell r="A168" t="str">
            <v>PER.BA</v>
          </cell>
        </row>
        <row r="169">
          <cell r="A169" t="str">
            <v>PZE.N</v>
          </cell>
        </row>
        <row r="170">
          <cell r="A170" t="str">
            <v>PNCL.O</v>
          </cell>
        </row>
        <row r="171">
          <cell r="A171" t="str">
            <v>PT.N</v>
          </cell>
        </row>
        <row r="172">
          <cell r="A172" t="str">
            <v>PTCO.IN</v>
          </cell>
        </row>
        <row r="173">
          <cell r="A173" t="str">
            <v>PPS.N</v>
          </cell>
        </row>
        <row r="174">
          <cell r="A174" t="str">
            <v>DPBGn.DE</v>
          </cell>
        </row>
        <row r="175">
          <cell r="A175" t="str">
            <v>PCO.N</v>
          </cell>
        </row>
        <row r="176">
          <cell r="A176" t="str">
            <v>PFG.N</v>
          </cell>
        </row>
        <row r="177">
          <cell r="A177" t="str">
            <v>PSMG_p.DE</v>
          </cell>
        </row>
        <row r="178">
          <cell r="A178" t="str">
            <v>PEUGY.OTC</v>
          </cell>
        </row>
        <row r="179">
          <cell r="A179" t="str">
            <v>PEUP.PA</v>
          </cell>
        </row>
        <row r="180">
          <cell r="A180" t="str">
            <v>PUBP.PA</v>
          </cell>
        </row>
        <row r="181">
          <cell r="A181" t="str">
            <v>PUMG.DE</v>
          </cell>
        </row>
        <row r="182">
          <cell r="A182" t="str">
            <v>PUMG.OTC</v>
          </cell>
        </row>
        <row r="183">
          <cell r="A183" t="str">
            <v>RANB.BO</v>
          </cell>
        </row>
        <row r="184">
          <cell r="A184" t="str">
            <v>RANBq.L</v>
          </cell>
        </row>
        <row r="185">
          <cell r="A185" t="str">
            <v>RTN.N</v>
          </cell>
        </row>
        <row r="186">
          <cell r="A186" t="str">
            <v>RTNa.N</v>
          </cell>
        </row>
        <row r="187">
          <cell r="A187" t="str">
            <v>RCOP.PA</v>
          </cell>
        </row>
        <row r="188">
          <cell r="A188" t="str">
            <v>RENA.PA</v>
          </cell>
        </row>
        <row r="189">
          <cell r="A189" t="str">
            <v>RSA.L</v>
          </cell>
        </row>
        <row r="190">
          <cell r="A190" t="str">
            <v>SBS.N</v>
          </cell>
        </row>
        <row r="191">
          <cell r="A191" t="str">
            <v>SBSP3.SA</v>
          </cell>
        </row>
        <row r="192">
          <cell r="A192" t="str">
            <v>005930.KS</v>
          </cell>
        </row>
        <row r="193">
          <cell r="A193" t="str">
            <v>0593q.L</v>
          </cell>
        </row>
        <row r="194">
          <cell r="A194" t="str">
            <v>SANM.O</v>
          </cell>
        </row>
        <row r="195">
          <cell r="A195" t="str">
            <v>SASY.PA</v>
          </cell>
        </row>
        <row r="196">
          <cell r="A196" t="str">
            <v>SNY.N</v>
          </cell>
        </row>
        <row r="197">
          <cell r="A197" t="str">
            <v>SAPJ.J</v>
          </cell>
        </row>
        <row r="198">
          <cell r="A198" t="str">
            <v>SPP.N</v>
          </cell>
        </row>
        <row r="199">
          <cell r="A199" t="str">
            <v>SAS.ST</v>
          </cell>
        </row>
        <row r="200">
          <cell r="A200" t="str">
            <v>SCAb.ST</v>
          </cell>
        </row>
        <row r="201">
          <cell r="A201" t="str">
            <v>SVCBY.OTC</v>
          </cell>
        </row>
        <row r="202">
          <cell r="A202" t="str">
            <v>SCHG.DE</v>
          </cell>
        </row>
        <row r="203">
          <cell r="A203" t="str">
            <v>SCO.N</v>
          </cell>
        </row>
        <row r="204">
          <cell r="A204" t="str">
            <v>SCOR.PA</v>
          </cell>
        </row>
        <row r="205">
          <cell r="A205" t="str">
            <v>SPI.N</v>
          </cell>
        </row>
        <row r="206">
          <cell r="A206" t="str">
            <v>SPW.L</v>
          </cell>
        </row>
        <row r="207">
          <cell r="A207" t="str">
            <v>SVT.L</v>
          </cell>
        </row>
        <row r="208">
          <cell r="A208" t="str">
            <v>8184.T</v>
          </cell>
        </row>
        <row r="209">
          <cell r="A209" t="str">
            <v>SHI.L</v>
          </cell>
        </row>
        <row r="210">
          <cell r="A210" t="str">
            <v>2890.TW</v>
          </cell>
        </row>
        <row r="211">
          <cell r="A211" t="str">
            <v>SKFa.ST</v>
          </cell>
        </row>
        <row r="212">
          <cell r="A212" t="str">
            <v>SKFb.ST</v>
          </cell>
        </row>
        <row r="213">
          <cell r="A213" t="str">
            <v>SKFR.O</v>
          </cell>
        </row>
        <row r="214">
          <cell r="A214" t="str">
            <v>SCGLY.OTC</v>
          </cell>
        </row>
        <row r="215">
          <cell r="A215" t="str">
            <v>SOGN.PA</v>
          </cell>
        </row>
        <row r="216">
          <cell r="A216" t="str">
            <v>6758.T</v>
          </cell>
        </row>
        <row r="217">
          <cell r="A217" t="str">
            <v>SNE.N</v>
          </cell>
        </row>
        <row r="218">
          <cell r="A218" t="str">
            <v>SGC.L</v>
          </cell>
        </row>
        <row r="219">
          <cell r="A219" t="str">
            <v>SEO.N</v>
          </cell>
        </row>
        <row r="220">
          <cell r="A220" t="str">
            <v>STERV.HE</v>
          </cell>
        </row>
        <row r="221">
          <cell r="A221" t="str">
            <v>LYOE.PA</v>
          </cell>
        </row>
        <row r="222">
          <cell r="A222" t="str">
            <v>5713.T</v>
          </cell>
        </row>
        <row r="223">
          <cell r="A223" t="str">
            <v>SLF.TO</v>
          </cell>
        </row>
        <row r="224">
          <cell r="A224" t="str">
            <v>SHO.N</v>
          </cell>
        </row>
        <row r="225">
          <cell r="A225" t="str">
            <v>SNGS.RTS</v>
          </cell>
        </row>
        <row r="226">
          <cell r="A226" t="str">
            <v>SNGSyq.L</v>
          </cell>
        </row>
        <row r="227">
          <cell r="A227" t="str">
            <v>SCM.N</v>
          </cell>
        </row>
        <row r="228">
          <cell r="A228" t="str">
            <v>SCMN.VX</v>
          </cell>
        </row>
        <row r="229">
          <cell r="A229" t="str">
            <v>2887.TW</v>
          </cell>
        </row>
        <row r="230">
          <cell r="A230" t="str">
            <v>1310.TW</v>
          </cell>
        </row>
        <row r="231">
          <cell r="A231" t="str">
            <v>TELA.VI</v>
          </cell>
        </row>
        <row r="232">
          <cell r="A232" t="str">
            <v>TKA.US</v>
          </cell>
        </row>
        <row r="233">
          <cell r="A233" t="str">
            <v>TMB.N</v>
          </cell>
        </row>
        <row r="234">
          <cell r="A234" t="str">
            <v>TMCP4.SA</v>
          </cell>
        </row>
        <row r="235">
          <cell r="A235" t="str">
            <v>TLSN.ST</v>
          </cell>
        </row>
        <row r="236">
          <cell r="A236" t="str">
            <v>TKGJ.J</v>
          </cell>
        </row>
        <row r="237">
          <cell r="A237" t="str">
            <v>THAI.BK</v>
          </cell>
        </row>
        <row r="238">
          <cell r="A238" t="str">
            <v>UU.L</v>
          </cell>
        </row>
        <row r="239">
          <cell r="A239" t="str">
            <v>UU.N</v>
          </cell>
        </row>
        <row r="240">
          <cell r="A240" t="str">
            <v>UNM.N</v>
          </cell>
        </row>
        <row r="241">
          <cell r="A241" t="str">
            <v>UPM.N</v>
          </cell>
        </row>
        <row r="242">
          <cell r="A242" t="str">
            <v>UPM1V.HE</v>
          </cell>
        </row>
        <row r="243">
          <cell r="A243" t="str">
            <v>VLO.N</v>
          </cell>
        </row>
        <row r="244">
          <cell r="A244" t="str">
            <v>VDOR.AS</v>
          </cell>
        </row>
        <row r="245">
          <cell r="A245" t="str">
            <v>2388.TW</v>
          </cell>
        </row>
        <row r="246">
          <cell r="A246" t="str">
            <v>VIA.N</v>
          </cell>
        </row>
        <row r="247">
          <cell r="A247" t="str">
            <v>6792.T</v>
          </cell>
        </row>
        <row r="248">
          <cell r="A248" t="str">
            <v>VJAPY.PK</v>
          </cell>
        </row>
        <row r="249">
          <cell r="A249" t="str">
            <v>VMOB.L</v>
          </cell>
        </row>
        <row r="250">
          <cell r="A250" t="str">
            <v>VLKAY.OTC</v>
          </cell>
        </row>
        <row r="251">
          <cell r="A251" t="str">
            <v>VOWG.DE</v>
          </cell>
        </row>
        <row r="252">
          <cell r="A252" t="str">
            <v>VOWG_p.F</v>
          </cell>
        </row>
        <row r="253">
          <cell r="A253" t="str">
            <v>WLTHYP.O</v>
          </cell>
        </row>
        <row r="254">
          <cell r="A254" t="str">
            <v>WOW.AX</v>
          </cell>
        </row>
        <row r="255">
          <cell r="A255" t="str">
            <v>XTA.L</v>
          </cell>
        </row>
      </sheetData>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2.vml" Type="http://schemas.openxmlformats.org/officeDocument/2006/relationships/vmlDrawing"/>
<Relationship Id="rId3" Target="../comments12.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13.vml" Type="http://schemas.openxmlformats.org/officeDocument/2006/relationships/vmlDrawing"/>
<Relationship Id="rId3" Target="../comments13.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391"/>
  <sheetViews>
    <sheetView showGridLines="0" tabSelected="1" workbookViewId="0">
      <selection activeCell="A42" sqref="A42"/>
    </sheetView>
  </sheetViews>
  <sheetFormatPr defaultRowHeight="12.75" x14ac:dyDescent="0.2"/>
  <cols>
    <col min="1" max="1" width="25.7109375" style="1373" customWidth="1"/>
    <col min="2" max="5" width="9.140625" style="1373"/>
    <col min="6" max="6" width="18.7109375" style="1373" customWidth="1"/>
    <col min="7" max="256" width="9.140625" style="1373"/>
    <col min="257" max="257" width="100.7109375" style="1373" customWidth="1"/>
    <col min="258" max="512" width="9.140625" style="1373"/>
    <col min="513" max="513" width="100.7109375" style="1373" customWidth="1"/>
    <col min="514" max="768" width="9.140625" style="1373"/>
    <col min="769" max="769" width="100.7109375" style="1373" customWidth="1"/>
    <col min="770" max="1024" width="9.140625" style="1373"/>
    <col min="1025" max="1025" width="100.7109375" style="1373" customWidth="1"/>
    <col min="1026" max="1280" width="9.140625" style="1373"/>
    <col min="1281" max="1281" width="100.7109375" style="1373" customWidth="1"/>
    <col min="1282" max="1536" width="9.140625" style="1373"/>
    <col min="1537" max="1537" width="100.7109375" style="1373" customWidth="1"/>
    <col min="1538" max="1792" width="9.140625" style="1373"/>
    <col min="1793" max="1793" width="100.7109375" style="1373" customWidth="1"/>
    <col min="1794" max="2048" width="9.140625" style="1373"/>
    <col min="2049" max="2049" width="100.7109375" style="1373" customWidth="1"/>
    <col min="2050" max="2304" width="9.140625" style="1373"/>
    <col min="2305" max="2305" width="100.7109375" style="1373" customWidth="1"/>
    <col min="2306" max="2560" width="9.140625" style="1373"/>
    <col min="2561" max="2561" width="100.7109375" style="1373" customWidth="1"/>
    <col min="2562" max="2816" width="9.140625" style="1373"/>
    <col min="2817" max="2817" width="100.7109375" style="1373" customWidth="1"/>
    <col min="2818" max="3072" width="9.140625" style="1373"/>
    <col min="3073" max="3073" width="100.7109375" style="1373" customWidth="1"/>
    <col min="3074" max="3328" width="9.140625" style="1373"/>
    <col min="3329" max="3329" width="100.7109375" style="1373" customWidth="1"/>
    <col min="3330" max="3584" width="9.140625" style="1373"/>
    <col min="3585" max="3585" width="100.7109375" style="1373" customWidth="1"/>
    <col min="3586" max="3840" width="9.140625" style="1373"/>
    <col min="3841" max="3841" width="100.7109375" style="1373" customWidth="1"/>
    <col min="3842" max="4096" width="9.140625" style="1373"/>
    <col min="4097" max="4097" width="100.7109375" style="1373" customWidth="1"/>
    <col min="4098" max="4352" width="9.140625" style="1373"/>
    <col min="4353" max="4353" width="100.7109375" style="1373" customWidth="1"/>
    <col min="4354" max="4608" width="9.140625" style="1373"/>
    <col min="4609" max="4609" width="100.7109375" style="1373" customWidth="1"/>
    <col min="4610" max="4864" width="9.140625" style="1373"/>
    <col min="4865" max="4865" width="100.7109375" style="1373" customWidth="1"/>
    <col min="4866" max="5120" width="9.140625" style="1373"/>
    <col min="5121" max="5121" width="100.7109375" style="1373" customWidth="1"/>
    <col min="5122" max="5376" width="9.140625" style="1373"/>
    <col min="5377" max="5377" width="100.7109375" style="1373" customWidth="1"/>
    <col min="5378" max="5632" width="9.140625" style="1373"/>
    <col min="5633" max="5633" width="100.7109375" style="1373" customWidth="1"/>
    <col min="5634" max="5888" width="9.140625" style="1373"/>
    <col min="5889" max="5889" width="100.7109375" style="1373" customWidth="1"/>
    <col min="5890" max="6144" width="9.140625" style="1373"/>
    <col min="6145" max="6145" width="100.7109375" style="1373" customWidth="1"/>
    <col min="6146" max="6400" width="9.140625" style="1373"/>
    <col min="6401" max="6401" width="100.7109375" style="1373" customWidth="1"/>
    <col min="6402" max="6656" width="9.140625" style="1373"/>
    <col min="6657" max="6657" width="100.7109375" style="1373" customWidth="1"/>
    <col min="6658" max="6912" width="9.140625" style="1373"/>
    <col min="6913" max="6913" width="100.7109375" style="1373" customWidth="1"/>
    <col min="6914" max="7168" width="9.140625" style="1373"/>
    <col min="7169" max="7169" width="100.7109375" style="1373" customWidth="1"/>
    <col min="7170" max="7424" width="9.140625" style="1373"/>
    <col min="7425" max="7425" width="100.7109375" style="1373" customWidth="1"/>
    <col min="7426" max="7680" width="9.140625" style="1373"/>
    <col min="7681" max="7681" width="100.7109375" style="1373" customWidth="1"/>
    <col min="7682" max="7936" width="9.140625" style="1373"/>
    <col min="7937" max="7937" width="100.7109375" style="1373" customWidth="1"/>
    <col min="7938" max="8192" width="9.140625" style="1373"/>
    <col min="8193" max="8193" width="100.7109375" style="1373" customWidth="1"/>
    <col min="8194" max="8448" width="9.140625" style="1373"/>
    <col min="8449" max="8449" width="100.7109375" style="1373" customWidth="1"/>
    <col min="8450" max="8704" width="9.140625" style="1373"/>
    <col min="8705" max="8705" width="100.7109375" style="1373" customWidth="1"/>
    <col min="8706" max="8960" width="9.140625" style="1373"/>
    <col min="8961" max="8961" width="100.7109375" style="1373" customWidth="1"/>
    <col min="8962" max="9216" width="9.140625" style="1373"/>
    <col min="9217" max="9217" width="100.7109375" style="1373" customWidth="1"/>
    <col min="9218" max="9472" width="9.140625" style="1373"/>
    <col min="9473" max="9473" width="100.7109375" style="1373" customWidth="1"/>
    <col min="9474" max="9728" width="9.140625" style="1373"/>
    <col min="9729" max="9729" width="100.7109375" style="1373" customWidth="1"/>
    <col min="9730" max="9984" width="9.140625" style="1373"/>
    <col min="9985" max="9985" width="100.7109375" style="1373" customWidth="1"/>
    <col min="9986" max="10240" width="9.140625" style="1373"/>
    <col min="10241" max="10241" width="100.7109375" style="1373" customWidth="1"/>
    <col min="10242" max="10496" width="9.140625" style="1373"/>
    <col min="10497" max="10497" width="100.7109375" style="1373" customWidth="1"/>
    <col min="10498" max="10752" width="9.140625" style="1373"/>
    <col min="10753" max="10753" width="100.7109375" style="1373" customWidth="1"/>
    <col min="10754" max="11008" width="9.140625" style="1373"/>
    <col min="11009" max="11009" width="100.7109375" style="1373" customWidth="1"/>
    <col min="11010" max="11264" width="9.140625" style="1373"/>
    <col min="11265" max="11265" width="100.7109375" style="1373" customWidth="1"/>
    <col min="11266" max="11520" width="9.140625" style="1373"/>
    <col min="11521" max="11521" width="100.7109375" style="1373" customWidth="1"/>
    <col min="11522" max="11776" width="9.140625" style="1373"/>
    <col min="11777" max="11777" width="100.7109375" style="1373" customWidth="1"/>
    <col min="11778" max="12032" width="9.140625" style="1373"/>
    <col min="12033" max="12033" width="100.7109375" style="1373" customWidth="1"/>
    <col min="12034" max="12288" width="9.140625" style="1373"/>
    <col min="12289" max="12289" width="100.7109375" style="1373" customWidth="1"/>
    <col min="12290" max="12544" width="9.140625" style="1373"/>
    <col min="12545" max="12545" width="100.7109375" style="1373" customWidth="1"/>
    <col min="12546" max="12800" width="9.140625" style="1373"/>
    <col min="12801" max="12801" width="100.7109375" style="1373" customWidth="1"/>
    <col min="12802" max="13056" width="9.140625" style="1373"/>
    <col min="13057" max="13057" width="100.7109375" style="1373" customWidth="1"/>
    <col min="13058" max="13312" width="9.140625" style="1373"/>
    <col min="13313" max="13313" width="100.7109375" style="1373" customWidth="1"/>
    <col min="13314" max="13568" width="9.140625" style="1373"/>
    <col min="13569" max="13569" width="100.7109375" style="1373" customWidth="1"/>
    <col min="13570" max="13824" width="9.140625" style="1373"/>
    <col min="13825" max="13825" width="100.7109375" style="1373" customWidth="1"/>
    <col min="13826" max="14080" width="9.140625" style="1373"/>
    <col min="14081" max="14081" width="100.7109375" style="1373" customWidth="1"/>
    <col min="14082" max="14336" width="9.140625" style="1373"/>
    <col min="14337" max="14337" width="100.7109375" style="1373" customWidth="1"/>
    <col min="14338" max="14592" width="9.140625" style="1373"/>
    <col min="14593" max="14593" width="100.7109375" style="1373" customWidth="1"/>
    <col min="14594" max="14848" width="9.140625" style="1373"/>
    <col min="14849" max="14849" width="100.7109375" style="1373" customWidth="1"/>
    <col min="14850" max="15104" width="9.140625" style="1373"/>
    <col min="15105" max="15105" width="100.7109375" style="1373" customWidth="1"/>
    <col min="15106" max="15360" width="9.140625" style="1373"/>
    <col min="15361" max="15361" width="100.7109375" style="1373" customWidth="1"/>
    <col min="15362" max="15616" width="9.140625" style="1373"/>
    <col min="15617" max="15617" width="100.7109375" style="1373" customWidth="1"/>
    <col min="15618" max="15872" width="9.140625" style="1373"/>
    <col min="15873" max="15873" width="100.7109375" style="1373" customWidth="1"/>
    <col min="15874" max="16128" width="9.140625" style="1373"/>
    <col min="16129" max="16129" width="100.7109375" style="1373" customWidth="1"/>
    <col min="16130" max="16384" width="9.140625" style="1373"/>
  </cols>
  <sheetData>
    <row r="1" spans="1:8" ht="30" customHeight="1" x14ac:dyDescent="0.2">
      <c r="A1" s="1371"/>
      <c r="B1" s="1372"/>
      <c r="C1" s="1372"/>
      <c r="D1" s="1372"/>
      <c r="E1" s="1372"/>
      <c r="F1" s="1372"/>
      <c r="G1" s="1372"/>
      <c r="H1" s="1372"/>
    </row>
    <row r="2" spans="1:8" ht="14.25" x14ac:dyDescent="0.2">
      <c r="A2" s="1374" t="s">
        <v>628</v>
      </c>
      <c r="B2" s="1372"/>
      <c r="C2" s="1372"/>
      <c r="D2" s="1372"/>
      <c r="E2" s="1372"/>
      <c r="F2" s="1372"/>
      <c r="G2" s="1372"/>
      <c r="H2" s="1372"/>
    </row>
    <row r="3" spans="1:8" ht="14.25" x14ac:dyDescent="0.2">
      <c r="A3" s="1374" t="s">
        <v>629</v>
      </c>
      <c r="B3" s="1372"/>
      <c r="C3" s="1372"/>
      <c r="D3" s="1372"/>
      <c r="E3" s="1372"/>
      <c r="F3" s="1372"/>
      <c r="G3" s="1372"/>
      <c r="H3" s="1372"/>
    </row>
    <row r="4" spans="1:8" ht="14.25" x14ac:dyDescent="0.2">
      <c r="A4" s="1374" t="s">
        <v>630</v>
      </c>
      <c r="B4" s="1372"/>
      <c r="C4" s="1372"/>
      <c r="D4" s="1372"/>
      <c r="E4" s="1372"/>
      <c r="F4" s="1372"/>
      <c r="G4" s="1372"/>
      <c r="H4" s="1372"/>
    </row>
    <row r="5" spans="1:8" ht="14.25" x14ac:dyDescent="0.2">
      <c r="A5" s="1374" t="s">
        <v>631</v>
      </c>
      <c r="B5" s="1372"/>
      <c r="C5" s="1372"/>
      <c r="D5" s="1372"/>
      <c r="E5" s="1372"/>
      <c r="F5" s="1372"/>
      <c r="G5" s="1372"/>
      <c r="H5" s="1372"/>
    </row>
    <row r="6" spans="1:8" ht="14.25" x14ac:dyDescent="0.2">
      <c r="A6" s="1374"/>
      <c r="B6" s="1372"/>
      <c r="C6" s="1372"/>
      <c r="D6" s="1372"/>
      <c r="E6" s="1372"/>
      <c r="F6" s="1372"/>
      <c r="G6" s="1372"/>
      <c r="H6" s="1372"/>
    </row>
    <row r="7" spans="1:8" x14ac:dyDescent="0.2">
      <c r="A7" s="1371" t="s">
        <v>632</v>
      </c>
      <c r="B7" s="1372"/>
      <c r="C7" s="1372"/>
      <c r="D7" s="1372"/>
      <c r="E7" s="1372"/>
      <c r="F7" s="1372"/>
      <c r="G7" s="1372"/>
      <c r="H7" s="1372"/>
    </row>
    <row r="8" spans="1:8" x14ac:dyDescent="0.2">
      <c r="A8" s="1371" t="s">
        <v>633</v>
      </c>
      <c r="B8" s="1372"/>
      <c r="C8" s="1372"/>
      <c r="D8" s="1372"/>
      <c r="E8" s="1372"/>
      <c r="F8" s="1372"/>
      <c r="G8" s="1372"/>
      <c r="H8" s="1372"/>
    </row>
    <row r="9" spans="1:8" x14ac:dyDescent="0.2">
      <c r="A9" s="1371"/>
      <c r="B9" s="1372"/>
      <c r="C9" s="1372"/>
      <c r="D9" s="1372"/>
      <c r="E9" s="1372"/>
      <c r="F9" s="1372"/>
      <c r="G9" s="1372"/>
      <c r="H9" s="1372"/>
    </row>
    <row r="10" spans="1:8" x14ac:dyDescent="0.2">
      <c r="A10" s="1375" t="s">
        <v>634</v>
      </c>
      <c r="B10" s="1372"/>
      <c r="C10" s="1372"/>
      <c r="D10" s="1372"/>
      <c r="E10" s="1372"/>
      <c r="F10" s="1372"/>
      <c r="G10" s="1372"/>
      <c r="H10" s="1372"/>
    </row>
    <row r="11" spans="1:8" x14ac:dyDescent="0.2">
      <c r="A11" s="1375" t="s">
        <v>635</v>
      </c>
      <c r="B11" s="1372"/>
      <c r="C11" s="1372"/>
      <c r="D11" s="1372"/>
      <c r="E11" s="1372"/>
      <c r="F11" s="1372"/>
      <c r="G11" s="1372"/>
      <c r="H11" s="1372"/>
    </row>
    <row r="12" spans="1:8" x14ac:dyDescent="0.2">
      <c r="A12" s="1375" t="s">
        <v>636</v>
      </c>
      <c r="B12" s="1372"/>
      <c r="C12" s="1372"/>
      <c r="D12" s="1372"/>
      <c r="E12" s="1372"/>
      <c r="F12" s="1372"/>
      <c r="G12" s="1372"/>
      <c r="H12" s="1372"/>
    </row>
    <row r="13" spans="1:8" x14ac:dyDescent="0.2">
      <c r="A13" s="1375" t="s">
        <v>637</v>
      </c>
      <c r="B13" s="1372"/>
      <c r="C13" s="1372"/>
      <c r="D13" s="1372"/>
      <c r="E13" s="1372"/>
      <c r="F13" s="1372"/>
      <c r="G13" s="1372"/>
      <c r="H13" s="1372"/>
    </row>
    <row r="14" spans="1:8" x14ac:dyDescent="0.2">
      <c r="A14" s="1375" t="s">
        <v>638</v>
      </c>
      <c r="B14" s="1372"/>
      <c r="C14" s="1372"/>
      <c r="D14" s="1372"/>
      <c r="E14" s="1372"/>
      <c r="F14" s="1372"/>
      <c r="G14" s="1372"/>
      <c r="H14" s="1372"/>
    </row>
    <row r="15" spans="1:8" x14ac:dyDescent="0.2">
      <c r="A15" s="1375" t="s">
        <v>639</v>
      </c>
      <c r="B15" s="1372"/>
      <c r="C15" s="1372"/>
      <c r="D15" s="1372"/>
      <c r="E15" s="1372"/>
      <c r="F15" s="1372"/>
      <c r="G15" s="1372"/>
      <c r="H15" s="1372"/>
    </row>
    <row r="16" spans="1:8" x14ac:dyDescent="0.2">
      <c r="A16" s="1375"/>
      <c r="B16" s="1372"/>
      <c r="C16" s="1372"/>
      <c r="D16" s="1372"/>
      <c r="E16" s="1372"/>
      <c r="F16" s="1372"/>
      <c r="G16" s="1372"/>
      <c r="H16" s="1372"/>
    </row>
    <row r="17" spans="1:8" x14ac:dyDescent="0.2">
      <c r="A17" s="1375" t="s">
        <v>625</v>
      </c>
      <c r="B17" s="1372"/>
      <c r="C17" s="1372"/>
      <c r="D17" s="1372"/>
      <c r="E17" s="1372"/>
      <c r="F17" s="1372"/>
      <c r="G17" s="1372"/>
      <c r="H17" s="1372"/>
    </row>
    <row r="18" spans="1:8" x14ac:dyDescent="0.2">
      <c r="A18" s="1375"/>
      <c r="B18" s="1372"/>
      <c r="C18" s="1372"/>
      <c r="D18" s="1372"/>
      <c r="E18" s="1372"/>
      <c r="F18" s="1372"/>
      <c r="G18" s="1372"/>
      <c r="H18" s="1372"/>
    </row>
    <row r="19" spans="1:8" x14ac:dyDescent="0.2">
      <c r="A19" s="1375" t="s">
        <v>626</v>
      </c>
      <c r="B19" s="1372"/>
      <c r="C19" s="1372"/>
      <c r="D19" s="1372"/>
      <c r="E19" s="1372"/>
      <c r="F19" s="1372"/>
      <c r="G19" s="1372"/>
      <c r="H19" s="1372"/>
    </row>
    <row r="20" spans="1:8" x14ac:dyDescent="0.2">
      <c r="A20" s="1371"/>
      <c r="B20" s="1372"/>
      <c r="C20" s="1372"/>
      <c r="D20" s="1372"/>
      <c r="E20" s="1372"/>
      <c r="F20" s="1372"/>
      <c r="G20" s="1372"/>
      <c r="H20" s="1372"/>
    </row>
    <row r="21" spans="1:8" x14ac:dyDescent="0.2">
      <c r="A21" s="1376" t="s">
        <v>627</v>
      </c>
      <c r="B21" s="1372"/>
      <c r="C21" s="1372"/>
      <c r="D21" s="1372"/>
      <c r="E21" s="1372"/>
      <c r="F21" s="1372"/>
      <c r="G21" s="1372"/>
      <c r="H21" s="1372"/>
    </row>
    <row r="22" spans="1:8" x14ac:dyDescent="0.2">
      <c r="A22" s="1377"/>
      <c r="B22" s="1377"/>
      <c r="C22" s="1377"/>
      <c r="D22" s="1377"/>
      <c r="E22" s="1377"/>
      <c r="F22" s="1377"/>
      <c r="G22" s="1377"/>
      <c r="H22" s="1377"/>
    </row>
    <row r="23" spans="1:8" x14ac:dyDescent="0.2">
      <c r="A23" s="1378" t="s">
        <v>917</v>
      </c>
      <c r="B23" s="1377"/>
      <c r="C23" s="1377"/>
      <c r="D23" s="1377"/>
      <c r="E23" s="1377"/>
      <c r="F23" s="1377"/>
      <c r="G23" s="1377"/>
      <c r="H23" s="1377"/>
    </row>
    <row r="24" spans="1:8" x14ac:dyDescent="0.2">
      <c r="A24" s="1378" t="s">
        <v>918</v>
      </c>
      <c r="B24" s="1377"/>
      <c r="C24" s="1377"/>
      <c r="D24" s="1377"/>
      <c r="E24" s="1377"/>
      <c r="F24" s="1377"/>
      <c r="G24" s="1377"/>
      <c r="H24" s="1377"/>
    </row>
    <row r="25" spans="1:8" x14ac:dyDescent="0.2">
      <c r="A25" s="1378" t="s">
        <v>919</v>
      </c>
      <c r="B25" s="1377"/>
      <c r="C25" s="1377"/>
      <c r="D25" s="1377"/>
      <c r="E25" s="1377"/>
      <c r="F25" s="1377"/>
      <c r="G25" s="1377"/>
      <c r="H25" s="1377"/>
    </row>
    <row r="26" spans="1:8" x14ac:dyDescent="0.2">
      <c r="A26" s="1378" t="s">
        <v>920</v>
      </c>
      <c r="B26" s="1377"/>
      <c r="C26" s="1377"/>
      <c r="D26" s="1377"/>
      <c r="E26" s="1377"/>
      <c r="F26" s="1377"/>
      <c r="G26" s="1377"/>
      <c r="H26" s="1377"/>
    </row>
    <row r="27" spans="1:8" x14ac:dyDescent="0.2">
      <c r="A27" s="1377"/>
      <c r="B27" s="1377"/>
      <c r="C27" s="1377"/>
      <c r="D27" s="1377"/>
      <c r="E27" s="1377"/>
      <c r="F27" s="1377"/>
      <c r="G27" s="1377"/>
      <c r="H27" s="1377"/>
    </row>
    <row r="28" spans="1:8" x14ac:dyDescent="0.2">
      <c r="A28" s="1377"/>
      <c r="B28" s="1377"/>
      <c r="C28" s="1377"/>
      <c r="D28" s="1377"/>
      <c r="E28" s="1377"/>
      <c r="F28" s="1377"/>
      <c r="G28" s="1377"/>
      <c r="H28" s="1377"/>
    </row>
    <row r="29" spans="1:8" x14ac:dyDescent="0.2">
      <c r="A29" s="1378" t="s">
        <v>912</v>
      </c>
      <c r="B29" s="1377"/>
      <c r="C29" s="1377"/>
      <c r="D29" s="1377"/>
      <c r="E29" s="1377"/>
      <c r="F29" s="1377"/>
      <c r="G29" s="1377"/>
      <c r="H29" s="1377"/>
    </row>
    <row r="30" spans="1:8" x14ac:dyDescent="0.2">
      <c r="A30" s="1378" t="s">
        <v>913</v>
      </c>
      <c r="B30" s="1377"/>
      <c r="C30" s="1377"/>
      <c r="D30" s="1377"/>
      <c r="E30" s="1377"/>
      <c r="F30" s="1377"/>
      <c r="G30" s="1377"/>
      <c r="H30" s="1377"/>
    </row>
    <row r="31" spans="1:8" x14ac:dyDescent="0.2">
      <c r="A31" s="1378" t="s">
        <v>914</v>
      </c>
      <c r="B31" s="1377"/>
      <c r="C31" s="1377"/>
      <c r="D31" s="1377"/>
      <c r="E31" s="1377"/>
      <c r="F31" s="1377"/>
      <c r="G31" s="1377"/>
      <c r="H31" s="1377"/>
    </row>
    <row r="32" spans="1:8" x14ac:dyDescent="0.2">
      <c r="A32" s="1378" t="s">
        <v>915</v>
      </c>
      <c r="B32" s="1377"/>
      <c r="C32" s="1377"/>
      <c r="D32" s="1377"/>
      <c r="E32" s="1377"/>
      <c r="F32" s="1377"/>
      <c r="G32" s="1377"/>
      <c r="H32" s="1377"/>
    </row>
    <row r="33" spans="1:8" x14ac:dyDescent="0.2">
      <c r="A33" s="1378" t="s">
        <v>916</v>
      </c>
      <c r="B33" s="1377"/>
      <c r="C33" s="1377"/>
      <c r="D33" s="1377"/>
      <c r="E33" s="1377"/>
      <c r="F33" s="1377"/>
      <c r="G33" s="1377"/>
      <c r="H33" s="1377"/>
    </row>
    <row r="34" spans="1:8" x14ac:dyDescent="0.2">
      <c r="A34" s="1377"/>
      <c r="B34" s="1377"/>
      <c r="C34" s="1377"/>
      <c r="D34" s="1377"/>
      <c r="E34" s="1377"/>
      <c r="F34" s="1377"/>
      <c r="G34" s="1377"/>
      <c r="H34" s="1377"/>
    </row>
    <row r="35" spans="1:8" x14ac:dyDescent="0.2">
      <c r="A35" s="1378" t="s">
        <v>908</v>
      </c>
      <c r="B35" s="1377"/>
      <c r="C35" s="1377"/>
      <c r="D35" s="1377"/>
      <c r="E35" s="1377"/>
      <c r="F35" s="1377"/>
      <c r="G35" s="1377"/>
      <c r="H35" s="1377"/>
    </row>
    <row r="36" spans="1:8" x14ac:dyDescent="0.2">
      <c r="A36" s="1378" t="s">
        <v>909</v>
      </c>
      <c r="B36" s="1377"/>
      <c r="C36" s="1377"/>
      <c r="D36" s="1377"/>
      <c r="E36" s="1377"/>
      <c r="F36" s="1377"/>
      <c r="G36" s="1377"/>
      <c r="H36" s="1377"/>
    </row>
    <row r="37" spans="1:8" x14ac:dyDescent="0.2">
      <c r="A37" s="1378" t="s">
        <v>910</v>
      </c>
      <c r="B37" s="1377"/>
      <c r="C37" s="1377"/>
      <c r="D37" s="1377"/>
      <c r="E37" s="1377"/>
      <c r="F37" s="1377"/>
      <c r="G37" s="1377"/>
      <c r="H37" s="1377"/>
    </row>
    <row r="38" spans="1:8" x14ac:dyDescent="0.2">
      <c r="A38" s="1378" t="s">
        <v>911</v>
      </c>
      <c r="B38" s="1377"/>
      <c r="C38" s="1377"/>
      <c r="D38" s="1377"/>
      <c r="E38" s="1377"/>
      <c r="F38" s="1377"/>
      <c r="G38" s="1377"/>
      <c r="H38" s="1377"/>
    </row>
    <row r="39" spans="1:8" x14ac:dyDescent="0.2">
      <c r="A39" s="1377"/>
      <c r="B39" s="1377"/>
      <c r="C39" s="1377"/>
      <c r="D39" s="1377"/>
      <c r="E39" s="1377"/>
      <c r="F39" s="1377"/>
      <c r="G39" s="1377"/>
      <c r="H39" s="1377"/>
    </row>
    <row r="40" spans="1:8" x14ac:dyDescent="0.2">
      <c r="A40" s="1378" t="s">
        <v>902</v>
      </c>
      <c r="B40" s="1377"/>
      <c r="C40" s="1377"/>
      <c r="D40" s="1377"/>
      <c r="E40" s="1377"/>
      <c r="F40" s="1377"/>
      <c r="G40" s="1377"/>
      <c r="H40" s="1377"/>
    </row>
    <row r="41" spans="1:8" x14ac:dyDescent="0.2">
      <c r="A41" s="1378" t="s">
        <v>903</v>
      </c>
      <c r="B41" s="1377"/>
      <c r="C41" s="1377"/>
      <c r="D41" s="1377"/>
      <c r="E41" s="1377"/>
      <c r="F41" s="1377"/>
      <c r="G41" s="1377"/>
      <c r="H41" s="1377"/>
    </row>
    <row r="42" spans="1:8" x14ac:dyDescent="0.2">
      <c r="A42" s="1378" t="s">
        <v>904</v>
      </c>
      <c r="B42" s="1377"/>
      <c r="C42" s="1377"/>
      <c r="D42" s="1377"/>
      <c r="E42" s="1377"/>
      <c r="F42" s="1377"/>
      <c r="G42" s="1377"/>
      <c r="H42" s="1377"/>
    </row>
    <row r="43" spans="1:8" x14ac:dyDescent="0.2">
      <c r="A43" s="1378" t="s">
        <v>905</v>
      </c>
      <c r="B43" s="1377"/>
      <c r="C43" s="1377"/>
      <c r="D43" s="1377"/>
      <c r="E43" s="1377"/>
      <c r="F43" s="1377"/>
      <c r="G43" s="1377"/>
      <c r="H43" s="1377"/>
    </row>
    <row r="44" spans="1:8" x14ac:dyDescent="0.2">
      <c r="A44" s="1378" t="s">
        <v>906</v>
      </c>
      <c r="B44" s="1377"/>
      <c r="C44" s="1377"/>
      <c r="D44" s="1377"/>
      <c r="E44" s="1377"/>
      <c r="F44" s="1377"/>
      <c r="G44" s="1377"/>
      <c r="H44" s="1377"/>
    </row>
    <row r="45" spans="1:8" x14ac:dyDescent="0.2">
      <c r="A45" s="1378" t="s">
        <v>907</v>
      </c>
      <c r="B45" s="1377"/>
      <c r="C45" s="1377"/>
      <c r="D45" s="1377"/>
      <c r="E45" s="1377"/>
      <c r="F45" s="1377"/>
      <c r="G45" s="1377"/>
      <c r="H45" s="1377"/>
    </row>
    <row r="46" spans="1:8" x14ac:dyDescent="0.2">
      <c r="A46" s="1377"/>
      <c r="B46" s="1377"/>
      <c r="C46" s="1377"/>
      <c r="D46" s="1377"/>
      <c r="E46" s="1377"/>
      <c r="F46" s="1377"/>
      <c r="G46" s="1377"/>
      <c r="H46" s="1377"/>
    </row>
    <row r="47" spans="1:8" ht="15.75" x14ac:dyDescent="0.2">
      <c r="A47" s="1379" t="s">
        <v>640</v>
      </c>
      <c r="B47" s="1377"/>
      <c r="C47" s="1377"/>
      <c r="D47" s="1377"/>
      <c r="E47" s="1377"/>
      <c r="F47" s="1377"/>
      <c r="G47" s="1377"/>
      <c r="H47" s="1377"/>
    </row>
    <row r="48" spans="1:8" x14ac:dyDescent="0.2">
      <c r="A48" s="1377"/>
      <c r="B48" s="1377"/>
      <c r="C48" s="1377"/>
      <c r="D48" s="1377"/>
      <c r="E48" s="1377"/>
      <c r="F48" s="1377"/>
      <c r="G48" s="1377"/>
      <c r="H48" s="1377"/>
    </row>
    <row r="49" spans="1:8" x14ac:dyDescent="0.2">
      <c r="A49" s="1378" t="s">
        <v>898</v>
      </c>
      <c r="B49" s="1377"/>
      <c r="C49" s="1377"/>
      <c r="D49" s="1377"/>
      <c r="E49" s="1377"/>
      <c r="F49" s="1377"/>
      <c r="G49" s="1377"/>
      <c r="H49" s="1377"/>
    </row>
    <row r="50" spans="1:8" x14ac:dyDescent="0.2">
      <c r="A50" s="1378" t="s">
        <v>899</v>
      </c>
      <c r="B50" s="1377"/>
      <c r="C50" s="1377"/>
      <c r="D50" s="1377"/>
      <c r="E50" s="1377"/>
      <c r="F50" s="1377"/>
      <c r="G50" s="1377"/>
      <c r="H50" s="1377"/>
    </row>
    <row r="51" spans="1:8" x14ac:dyDescent="0.2">
      <c r="A51" s="1378" t="s">
        <v>900</v>
      </c>
      <c r="B51" s="1377"/>
      <c r="C51" s="1377"/>
      <c r="D51" s="1377"/>
      <c r="E51" s="1377"/>
      <c r="F51" s="1377"/>
      <c r="G51" s="1377"/>
      <c r="H51" s="1377"/>
    </row>
    <row r="52" spans="1:8" x14ac:dyDescent="0.2">
      <c r="A52" s="1378" t="s">
        <v>901</v>
      </c>
      <c r="B52" s="1377"/>
      <c r="C52" s="1377"/>
      <c r="D52" s="1377"/>
      <c r="E52" s="1377"/>
      <c r="F52" s="1377"/>
      <c r="G52" s="1377"/>
      <c r="H52" s="1377"/>
    </row>
    <row r="53" spans="1:8" x14ac:dyDescent="0.2">
      <c r="A53" s="1377"/>
      <c r="B53" s="1377"/>
      <c r="C53" s="1377"/>
      <c r="D53" s="1377"/>
      <c r="E53" s="1377"/>
      <c r="F53" s="1377"/>
      <c r="G53" s="1377"/>
      <c r="H53" s="1377"/>
    </row>
    <row r="54" spans="1:8" x14ac:dyDescent="0.2">
      <c r="A54" s="1378" t="s">
        <v>641</v>
      </c>
      <c r="B54" s="1377"/>
      <c r="C54" s="1377"/>
      <c r="D54" s="1377"/>
      <c r="E54" s="1377"/>
      <c r="F54" s="1377"/>
      <c r="G54" s="1377"/>
      <c r="H54" s="1377"/>
    </row>
    <row r="55" spans="1:8" x14ac:dyDescent="0.2">
      <c r="A55" s="1377"/>
      <c r="B55" s="1377"/>
      <c r="C55" s="1377"/>
      <c r="D55" s="1377"/>
      <c r="E55" s="1377"/>
      <c r="F55" s="1377"/>
      <c r="G55" s="1377"/>
      <c r="H55" s="1377"/>
    </row>
    <row r="56" spans="1:8" ht="15.75" x14ac:dyDescent="0.2">
      <c r="A56" s="1379" t="s">
        <v>642</v>
      </c>
      <c r="B56" s="1377"/>
      <c r="C56" s="1377"/>
      <c r="D56" s="1377"/>
      <c r="E56" s="1377"/>
      <c r="F56" s="1377"/>
      <c r="G56" s="1377"/>
      <c r="H56" s="1377"/>
    </row>
    <row r="57" spans="1:8" x14ac:dyDescent="0.2">
      <c r="A57" s="1377"/>
      <c r="B57" s="1377"/>
      <c r="C57" s="1377"/>
      <c r="D57" s="1377"/>
      <c r="E57" s="1377"/>
      <c r="F57" s="1377"/>
      <c r="G57" s="1377"/>
      <c r="H57" s="1377"/>
    </row>
    <row r="58" spans="1:8" x14ac:dyDescent="0.2">
      <c r="A58" s="1378" t="s">
        <v>896</v>
      </c>
      <c r="B58" s="1377"/>
      <c r="C58" s="1377"/>
      <c r="D58" s="1377"/>
      <c r="E58" s="1377"/>
      <c r="F58" s="1377"/>
      <c r="G58" s="1377"/>
      <c r="H58" s="1377"/>
    </row>
    <row r="59" spans="1:8" x14ac:dyDescent="0.2">
      <c r="A59" s="1378" t="s">
        <v>897</v>
      </c>
      <c r="B59" s="1377"/>
      <c r="C59" s="1377"/>
      <c r="D59" s="1377"/>
      <c r="E59" s="1377"/>
      <c r="F59" s="1377"/>
      <c r="G59" s="1377"/>
      <c r="H59" s="1377"/>
    </row>
    <row r="60" spans="1:8" x14ac:dyDescent="0.2">
      <c r="A60" s="1377"/>
      <c r="B60" s="1377"/>
      <c r="C60" s="1377"/>
      <c r="D60" s="1377"/>
      <c r="E60" s="1377"/>
      <c r="F60" s="1377"/>
      <c r="G60" s="1377"/>
      <c r="H60" s="1377"/>
    </row>
    <row r="61" spans="1:8" ht="15.75" x14ac:dyDescent="0.2">
      <c r="A61" s="1379" t="s">
        <v>643</v>
      </c>
      <c r="B61" s="1377"/>
      <c r="C61" s="1377"/>
      <c r="D61" s="1377"/>
      <c r="E61" s="1377"/>
      <c r="F61" s="1377"/>
      <c r="G61" s="1377"/>
      <c r="H61" s="1377"/>
    </row>
    <row r="62" spans="1:8" x14ac:dyDescent="0.2">
      <c r="A62" s="1377"/>
      <c r="B62" s="1377"/>
      <c r="C62" s="1377"/>
      <c r="D62" s="1377"/>
      <c r="E62" s="1377"/>
      <c r="F62" s="1377"/>
      <c r="G62" s="1377"/>
      <c r="H62" s="1377"/>
    </row>
    <row r="63" spans="1:8" x14ac:dyDescent="0.2">
      <c r="A63" s="1378" t="s">
        <v>894</v>
      </c>
      <c r="B63" s="1377"/>
      <c r="C63" s="1377"/>
      <c r="D63" s="1377"/>
      <c r="E63" s="1377"/>
      <c r="F63" s="1377"/>
      <c r="G63" s="1377"/>
      <c r="H63" s="1377"/>
    </row>
    <row r="64" spans="1:8" x14ac:dyDescent="0.2">
      <c r="A64" s="1378" t="s">
        <v>895</v>
      </c>
      <c r="B64" s="1377"/>
      <c r="C64" s="1377"/>
      <c r="D64" s="1377"/>
      <c r="E64" s="1377"/>
      <c r="F64" s="1377"/>
      <c r="G64" s="1377"/>
      <c r="H64" s="1377"/>
    </row>
    <row r="65" spans="1:8" x14ac:dyDescent="0.2">
      <c r="A65" s="1377"/>
      <c r="B65" s="1377"/>
      <c r="C65" s="1377"/>
      <c r="D65" s="1377"/>
      <c r="E65" s="1377"/>
      <c r="F65" s="1377"/>
      <c r="G65" s="1377"/>
      <c r="H65" s="1377"/>
    </row>
    <row r="66" spans="1:8" x14ac:dyDescent="0.2">
      <c r="A66" s="1378" t="s">
        <v>892</v>
      </c>
      <c r="B66" s="1377"/>
      <c r="C66" s="1377"/>
      <c r="D66" s="1377"/>
      <c r="E66" s="1377"/>
      <c r="F66" s="1377"/>
      <c r="G66" s="1377"/>
      <c r="H66" s="1377"/>
    </row>
    <row r="67" spans="1:8" x14ac:dyDescent="0.2">
      <c r="A67" s="1378" t="s">
        <v>893</v>
      </c>
      <c r="B67" s="1377"/>
      <c r="C67" s="1377"/>
      <c r="D67" s="1377"/>
      <c r="E67" s="1377"/>
      <c r="F67" s="1377"/>
      <c r="G67" s="1377"/>
      <c r="H67" s="1377"/>
    </row>
    <row r="68" spans="1:8" x14ac:dyDescent="0.2">
      <c r="A68" s="1377"/>
      <c r="B68" s="1377"/>
      <c r="C68" s="1377"/>
      <c r="D68" s="1377"/>
      <c r="E68" s="1377"/>
      <c r="F68" s="1377"/>
      <c r="G68" s="1377"/>
      <c r="H68" s="1377"/>
    </row>
    <row r="69" spans="1:8" x14ac:dyDescent="0.2">
      <c r="A69" s="1378" t="s">
        <v>890</v>
      </c>
      <c r="B69" s="1377"/>
      <c r="C69" s="1377"/>
      <c r="D69" s="1377"/>
      <c r="E69" s="1377"/>
      <c r="F69" s="1377"/>
      <c r="G69" s="1377"/>
      <c r="H69" s="1377"/>
    </row>
    <row r="70" spans="1:8" x14ac:dyDescent="0.2">
      <c r="A70" s="1378" t="s">
        <v>891</v>
      </c>
      <c r="B70" s="1377"/>
      <c r="C70" s="1377"/>
      <c r="D70" s="1377"/>
      <c r="E70" s="1377"/>
      <c r="F70" s="1377"/>
      <c r="G70" s="1377"/>
      <c r="H70" s="1377"/>
    </row>
    <row r="71" spans="1:8" x14ac:dyDescent="0.2">
      <c r="A71" s="1377"/>
      <c r="B71" s="1377"/>
      <c r="C71" s="1377"/>
      <c r="D71" s="1377"/>
      <c r="E71" s="1377"/>
      <c r="F71" s="1377"/>
      <c r="G71" s="1377"/>
      <c r="H71" s="1377"/>
    </row>
    <row r="72" spans="1:8" x14ac:dyDescent="0.2">
      <c r="A72" s="1378" t="s">
        <v>887</v>
      </c>
      <c r="B72" s="1377"/>
      <c r="C72" s="1377"/>
      <c r="D72" s="1377"/>
      <c r="E72" s="1377"/>
      <c r="F72" s="1377"/>
      <c r="G72" s="1377"/>
      <c r="H72" s="1377"/>
    </row>
    <row r="73" spans="1:8" x14ac:dyDescent="0.2">
      <c r="A73" s="1378" t="s">
        <v>888</v>
      </c>
      <c r="B73" s="1377"/>
      <c r="C73" s="1377"/>
      <c r="D73" s="1377"/>
      <c r="E73" s="1377"/>
      <c r="F73" s="1377"/>
      <c r="G73" s="1377"/>
      <c r="H73" s="1377"/>
    </row>
    <row r="74" spans="1:8" x14ac:dyDescent="0.2">
      <c r="A74" s="1378" t="s">
        <v>889</v>
      </c>
      <c r="B74" s="1377"/>
      <c r="C74" s="1377"/>
      <c r="D74" s="1377"/>
      <c r="E74" s="1377"/>
      <c r="F74" s="1377"/>
      <c r="G74" s="1377"/>
      <c r="H74" s="1377"/>
    </row>
    <row r="75" spans="1:8" x14ac:dyDescent="0.2">
      <c r="A75" s="1377"/>
      <c r="B75" s="1377"/>
      <c r="C75" s="1377"/>
      <c r="D75" s="1377"/>
      <c r="E75" s="1377"/>
      <c r="F75" s="1377"/>
      <c r="G75" s="1377"/>
      <c r="H75" s="1377"/>
    </row>
    <row r="76" spans="1:8" x14ac:dyDescent="0.2">
      <c r="A76" s="1378" t="s">
        <v>644</v>
      </c>
      <c r="B76" s="1377"/>
      <c r="C76" s="1377"/>
      <c r="D76" s="1377"/>
      <c r="E76" s="1377"/>
      <c r="F76" s="1377"/>
      <c r="G76" s="1377"/>
      <c r="H76" s="1377"/>
    </row>
    <row r="77" spans="1:8" x14ac:dyDescent="0.2">
      <c r="A77" s="1377"/>
      <c r="B77" s="1377"/>
      <c r="C77" s="1377"/>
      <c r="D77" s="1377"/>
      <c r="E77" s="1377"/>
      <c r="F77" s="1377"/>
      <c r="G77" s="1377"/>
      <c r="H77" s="1377"/>
    </row>
    <row r="78" spans="1:8" x14ac:dyDescent="0.2">
      <c r="A78" s="1378" t="s">
        <v>882</v>
      </c>
      <c r="B78" s="1377"/>
      <c r="C78" s="1377"/>
      <c r="D78" s="1377"/>
      <c r="E78" s="1377"/>
      <c r="F78" s="1377"/>
      <c r="G78" s="1377"/>
      <c r="H78" s="1377"/>
    </row>
    <row r="79" spans="1:8" x14ac:dyDescent="0.2">
      <c r="A79" s="1378" t="s">
        <v>883</v>
      </c>
      <c r="B79" s="1377"/>
      <c r="C79" s="1377"/>
      <c r="D79" s="1377"/>
      <c r="E79" s="1377"/>
      <c r="F79" s="1377"/>
      <c r="G79" s="1377"/>
      <c r="H79" s="1377"/>
    </row>
    <row r="80" spans="1:8" x14ac:dyDescent="0.2">
      <c r="A80" s="1378" t="s">
        <v>884</v>
      </c>
      <c r="B80" s="1377"/>
      <c r="C80" s="1377"/>
      <c r="D80" s="1377"/>
      <c r="E80" s="1377"/>
      <c r="F80" s="1377"/>
      <c r="G80" s="1377"/>
      <c r="H80" s="1377"/>
    </row>
    <row r="81" spans="1:8" x14ac:dyDescent="0.2">
      <c r="A81" s="1378" t="s">
        <v>885</v>
      </c>
      <c r="B81" s="1377"/>
      <c r="C81" s="1377"/>
      <c r="D81" s="1377"/>
      <c r="E81" s="1377"/>
      <c r="F81" s="1377"/>
      <c r="G81" s="1377"/>
      <c r="H81" s="1377"/>
    </row>
    <row r="82" spans="1:8" x14ac:dyDescent="0.2">
      <c r="A82" s="1378" t="s">
        <v>886</v>
      </c>
      <c r="B82" s="1377"/>
      <c r="C82" s="1377"/>
      <c r="D82" s="1377"/>
      <c r="E82" s="1377"/>
      <c r="F82" s="1377"/>
      <c r="G82" s="1377"/>
      <c r="H82" s="1377"/>
    </row>
    <row r="83" spans="1:8" x14ac:dyDescent="0.2">
      <c r="A83" s="1378" t="s">
        <v>769</v>
      </c>
      <c r="B83" s="1377"/>
      <c r="C83" s="1377"/>
      <c r="D83" s="1377"/>
      <c r="E83" s="1377"/>
      <c r="F83" s="1377"/>
      <c r="G83" s="1377"/>
      <c r="H83" s="1377"/>
    </row>
    <row r="84" spans="1:8" x14ac:dyDescent="0.2">
      <c r="A84" s="1377"/>
      <c r="B84" s="1377"/>
      <c r="C84" s="1377"/>
      <c r="D84" s="1377"/>
      <c r="E84" s="1377"/>
      <c r="F84" s="1377"/>
      <c r="G84" s="1377"/>
      <c r="H84" s="1377"/>
    </row>
    <row r="85" spans="1:8" x14ac:dyDescent="0.2">
      <c r="A85" s="1378" t="s">
        <v>875</v>
      </c>
      <c r="B85" s="1377"/>
      <c r="C85" s="1377"/>
      <c r="D85" s="1377"/>
      <c r="E85" s="1377"/>
      <c r="F85" s="1377"/>
      <c r="G85" s="1377"/>
      <c r="H85" s="1377"/>
    </row>
    <row r="86" spans="1:8" x14ac:dyDescent="0.2">
      <c r="A86" s="1378" t="s">
        <v>876</v>
      </c>
      <c r="B86" s="1377"/>
      <c r="C86" s="1377"/>
      <c r="D86" s="1377"/>
      <c r="E86" s="1377"/>
      <c r="F86" s="1377"/>
      <c r="G86" s="1377"/>
      <c r="H86" s="1377"/>
    </row>
    <row r="87" spans="1:8" x14ac:dyDescent="0.2">
      <c r="A87" s="1378" t="s">
        <v>877</v>
      </c>
      <c r="B87" s="1377"/>
      <c r="C87" s="1377"/>
      <c r="D87" s="1377"/>
      <c r="E87" s="1377"/>
      <c r="F87" s="1377"/>
      <c r="G87" s="1377"/>
      <c r="H87" s="1377"/>
    </row>
    <row r="88" spans="1:8" x14ac:dyDescent="0.2">
      <c r="A88" s="1378" t="s">
        <v>878</v>
      </c>
      <c r="B88" s="1377"/>
      <c r="C88" s="1377"/>
      <c r="D88" s="1377"/>
      <c r="E88" s="1377"/>
      <c r="F88" s="1377"/>
      <c r="G88" s="1377"/>
      <c r="H88" s="1377"/>
    </row>
    <row r="89" spans="1:8" x14ac:dyDescent="0.2">
      <c r="A89" s="1378" t="s">
        <v>879</v>
      </c>
      <c r="B89" s="1377"/>
      <c r="C89" s="1377"/>
      <c r="D89" s="1377"/>
      <c r="E89" s="1377"/>
      <c r="F89" s="1377"/>
      <c r="G89" s="1377"/>
      <c r="H89" s="1377"/>
    </row>
    <row r="90" spans="1:8" x14ac:dyDescent="0.2">
      <c r="A90" s="1378" t="s">
        <v>880</v>
      </c>
      <c r="B90" s="1377"/>
      <c r="C90" s="1377"/>
      <c r="D90" s="1377"/>
      <c r="E90" s="1377"/>
      <c r="F90" s="1377"/>
      <c r="G90" s="1377"/>
      <c r="H90" s="1377"/>
    </row>
    <row r="91" spans="1:8" x14ac:dyDescent="0.2">
      <c r="A91" s="1378" t="s">
        <v>881</v>
      </c>
      <c r="B91" s="1377"/>
      <c r="C91" s="1377"/>
      <c r="D91" s="1377"/>
      <c r="E91" s="1377"/>
      <c r="F91" s="1377"/>
      <c r="G91" s="1377"/>
      <c r="H91" s="1377"/>
    </row>
    <row r="92" spans="1:8" x14ac:dyDescent="0.2">
      <c r="A92" s="1377"/>
      <c r="B92" s="1377"/>
      <c r="C92" s="1377"/>
      <c r="D92" s="1377"/>
      <c r="E92" s="1377"/>
      <c r="F92" s="1377"/>
      <c r="G92" s="1377"/>
      <c r="H92" s="1377"/>
    </row>
    <row r="93" spans="1:8" x14ac:dyDescent="0.2">
      <c r="A93" s="1378" t="s">
        <v>873</v>
      </c>
      <c r="B93" s="1377"/>
      <c r="C93" s="1377"/>
      <c r="D93" s="1377"/>
      <c r="E93" s="1377"/>
      <c r="F93" s="1377"/>
      <c r="G93" s="1377"/>
      <c r="H93" s="1377"/>
    </row>
    <row r="94" spans="1:8" x14ac:dyDescent="0.2">
      <c r="A94" s="1378" t="s">
        <v>874</v>
      </c>
      <c r="B94" s="1377"/>
      <c r="C94" s="1377"/>
      <c r="D94" s="1377"/>
      <c r="E94" s="1377"/>
      <c r="F94" s="1377"/>
      <c r="G94" s="1377"/>
      <c r="H94" s="1377"/>
    </row>
    <row r="95" spans="1:8" x14ac:dyDescent="0.2">
      <c r="A95" s="1377"/>
      <c r="B95" s="1377"/>
      <c r="C95" s="1377"/>
      <c r="D95" s="1377"/>
      <c r="E95" s="1377"/>
      <c r="F95" s="1377"/>
      <c r="G95" s="1377"/>
      <c r="H95" s="1377"/>
    </row>
    <row r="96" spans="1:8" ht="15.75" x14ac:dyDescent="0.2">
      <c r="A96" s="1379" t="s">
        <v>645</v>
      </c>
      <c r="B96" s="1377"/>
      <c r="C96" s="1377"/>
      <c r="D96" s="1377"/>
      <c r="E96" s="1377"/>
      <c r="F96" s="1377"/>
      <c r="G96" s="1377"/>
      <c r="H96" s="1377"/>
    </row>
    <row r="97" spans="1:8" x14ac:dyDescent="0.2">
      <c r="A97" s="1377"/>
      <c r="B97" s="1377"/>
      <c r="C97" s="1377"/>
      <c r="D97" s="1377"/>
      <c r="E97" s="1377"/>
      <c r="F97" s="1377"/>
      <c r="G97" s="1377"/>
      <c r="H97" s="1377"/>
    </row>
    <row r="98" spans="1:8" x14ac:dyDescent="0.2">
      <c r="A98" s="1378" t="s">
        <v>864</v>
      </c>
      <c r="B98" s="1377"/>
      <c r="C98" s="1377"/>
      <c r="D98" s="1377"/>
      <c r="E98" s="1377"/>
      <c r="F98" s="1377"/>
      <c r="G98" s="1377"/>
      <c r="H98" s="1377"/>
    </row>
    <row r="99" spans="1:8" x14ac:dyDescent="0.2">
      <c r="A99" s="1378" t="s">
        <v>865</v>
      </c>
      <c r="B99" s="1377"/>
      <c r="C99" s="1377"/>
      <c r="D99" s="1377"/>
      <c r="E99" s="1377"/>
      <c r="F99" s="1377"/>
      <c r="G99" s="1377"/>
      <c r="H99" s="1377"/>
    </row>
    <row r="100" spans="1:8" x14ac:dyDescent="0.2">
      <c r="A100" s="1378" t="s">
        <v>866</v>
      </c>
      <c r="B100" s="1377"/>
      <c r="C100" s="1377"/>
      <c r="D100" s="1377"/>
      <c r="E100" s="1377"/>
      <c r="F100" s="1377"/>
      <c r="G100" s="1377"/>
      <c r="H100" s="1377"/>
    </row>
    <row r="101" spans="1:8" x14ac:dyDescent="0.2">
      <c r="A101" s="1378" t="s">
        <v>867</v>
      </c>
      <c r="B101" s="1377"/>
      <c r="C101" s="1377"/>
      <c r="D101" s="1377"/>
      <c r="E101" s="1377"/>
      <c r="F101" s="1377"/>
      <c r="G101" s="1377"/>
      <c r="H101" s="1377"/>
    </row>
    <row r="102" spans="1:8" x14ac:dyDescent="0.2">
      <c r="A102" s="1378" t="s">
        <v>868</v>
      </c>
      <c r="B102" s="1377"/>
      <c r="C102" s="1377"/>
      <c r="D102" s="1377"/>
      <c r="E102" s="1377"/>
      <c r="F102" s="1377"/>
      <c r="G102" s="1377"/>
      <c r="H102" s="1377"/>
    </row>
    <row r="103" spans="1:8" x14ac:dyDescent="0.2">
      <c r="A103" s="1378" t="s">
        <v>869</v>
      </c>
      <c r="B103" s="1377"/>
      <c r="C103" s="1377"/>
      <c r="D103" s="1377"/>
      <c r="E103" s="1377"/>
      <c r="F103" s="1377"/>
      <c r="G103" s="1377"/>
      <c r="H103" s="1377"/>
    </row>
    <row r="104" spans="1:8" x14ac:dyDescent="0.2">
      <c r="A104" s="1378" t="s">
        <v>870</v>
      </c>
      <c r="B104" s="1377"/>
      <c r="C104" s="1377"/>
      <c r="D104" s="1377"/>
      <c r="E104" s="1377"/>
      <c r="F104" s="1377"/>
      <c r="G104" s="1377"/>
      <c r="H104" s="1377"/>
    </row>
    <row r="105" spans="1:8" x14ac:dyDescent="0.2">
      <c r="A105" s="1378" t="s">
        <v>871</v>
      </c>
      <c r="B105" s="1377"/>
      <c r="C105" s="1377"/>
      <c r="D105" s="1377"/>
      <c r="E105" s="1377"/>
      <c r="F105" s="1377"/>
      <c r="G105" s="1377"/>
      <c r="H105" s="1377"/>
    </row>
    <row r="106" spans="1:8" x14ac:dyDescent="0.2">
      <c r="A106" s="1378" t="s">
        <v>872</v>
      </c>
      <c r="B106" s="1377"/>
      <c r="C106" s="1377"/>
      <c r="D106" s="1377"/>
      <c r="E106" s="1377"/>
      <c r="F106" s="1377"/>
      <c r="G106" s="1377"/>
      <c r="H106" s="1377"/>
    </row>
    <row r="107" spans="1:8" x14ac:dyDescent="0.2">
      <c r="A107" s="1377"/>
      <c r="B107" s="1377"/>
      <c r="C107" s="1377"/>
      <c r="D107" s="1377"/>
      <c r="E107" s="1377"/>
      <c r="F107" s="1377"/>
      <c r="G107" s="1377"/>
      <c r="H107" s="1377"/>
    </row>
    <row r="108" spans="1:8" ht="15.75" x14ac:dyDescent="0.2">
      <c r="A108" s="1393" t="s">
        <v>646</v>
      </c>
      <c r="B108" s="1393"/>
      <c r="C108" s="1393"/>
      <c r="D108" s="1393"/>
      <c r="E108" s="1393"/>
      <c r="F108" s="1393"/>
      <c r="G108" s="1393"/>
      <c r="H108" s="1393"/>
    </row>
    <row r="109" spans="1:8" x14ac:dyDescent="0.2">
      <c r="A109" s="1389" t="s">
        <v>647</v>
      </c>
      <c r="B109" s="1389"/>
      <c r="C109" s="1389"/>
      <c r="D109" s="1389"/>
      <c r="E109" s="1389"/>
      <c r="F109" s="1389"/>
      <c r="G109" s="1389"/>
      <c r="H109" s="1389"/>
    </row>
    <row r="110" spans="1:8" x14ac:dyDescent="0.2">
      <c r="A110" s="1394"/>
      <c r="B110" s="1394"/>
      <c r="C110" s="1394"/>
      <c r="D110" s="1394"/>
      <c r="E110" s="1394"/>
      <c r="F110" s="1394"/>
      <c r="G110" s="1394"/>
      <c r="H110" s="1394"/>
    </row>
    <row r="111" spans="1:8" x14ac:dyDescent="0.2">
      <c r="A111" s="1389" t="s">
        <v>862</v>
      </c>
      <c r="B111" s="1389"/>
      <c r="C111" s="1389"/>
      <c r="D111" s="1389"/>
      <c r="E111" s="1389"/>
      <c r="F111" s="1389"/>
      <c r="G111" s="1389"/>
      <c r="H111" s="1389"/>
    </row>
    <row r="112" spans="1:8" x14ac:dyDescent="0.2">
      <c r="A112" s="1378" t="s">
        <v>863</v>
      </c>
      <c r="B112" s="1378"/>
      <c r="C112" s="1378"/>
      <c r="D112" s="1378"/>
      <c r="E112" s="1378"/>
      <c r="F112" s="1378"/>
      <c r="G112" s="1378"/>
      <c r="H112" s="1378"/>
    </row>
    <row r="113" spans="1:8" x14ac:dyDescent="0.2">
      <c r="A113" s="1394"/>
      <c r="B113" s="1394"/>
      <c r="C113" s="1394"/>
      <c r="D113" s="1394"/>
      <c r="E113" s="1394"/>
      <c r="F113" s="1394"/>
      <c r="G113" s="1394"/>
      <c r="H113" s="1394"/>
    </row>
    <row r="114" spans="1:8" x14ac:dyDescent="0.2">
      <c r="A114" s="1389" t="s">
        <v>855</v>
      </c>
      <c r="B114" s="1389"/>
      <c r="C114" s="1389"/>
      <c r="D114" s="1389"/>
      <c r="E114" s="1389"/>
      <c r="F114" s="1389"/>
      <c r="G114" s="1389"/>
      <c r="H114" s="1389"/>
    </row>
    <row r="115" spans="1:8" x14ac:dyDescent="0.2">
      <c r="A115" s="1378" t="s">
        <v>856</v>
      </c>
      <c r="B115" s="1378"/>
      <c r="C115" s="1378"/>
      <c r="D115" s="1378"/>
      <c r="E115" s="1378"/>
      <c r="F115" s="1378"/>
      <c r="G115" s="1378"/>
      <c r="H115" s="1378"/>
    </row>
    <row r="116" spans="1:8" x14ac:dyDescent="0.2">
      <c r="A116" s="1378" t="s">
        <v>857</v>
      </c>
      <c r="B116" s="1378"/>
      <c r="C116" s="1378"/>
      <c r="D116" s="1378"/>
      <c r="E116" s="1378"/>
      <c r="F116" s="1378"/>
      <c r="G116" s="1378"/>
      <c r="H116" s="1378"/>
    </row>
    <row r="117" spans="1:8" x14ac:dyDescent="0.2">
      <c r="A117" s="1378" t="s">
        <v>858</v>
      </c>
      <c r="B117" s="1378"/>
      <c r="C117" s="1378"/>
      <c r="D117" s="1378"/>
      <c r="E117" s="1378"/>
      <c r="F117" s="1378"/>
      <c r="G117" s="1378"/>
      <c r="H117" s="1378"/>
    </row>
    <row r="118" spans="1:8" x14ac:dyDescent="0.2">
      <c r="A118" s="1378" t="s">
        <v>859</v>
      </c>
      <c r="B118" s="1378"/>
      <c r="C118" s="1378"/>
      <c r="D118" s="1378"/>
      <c r="E118" s="1378"/>
      <c r="F118" s="1378"/>
      <c r="G118" s="1378"/>
      <c r="H118" s="1378"/>
    </row>
    <row r="119" spans="1:8" x14ac:dyDescent="0.2">
      <c r="A119" s="1378" t="s">
        <v>860</v>
      </c>
      <c r="B119" s="1378"/>
      <c r="C119" s="1378"/>
      <c r="D119" s="1378"/>
      <c r="E119" s="1378"/>
      <c r="F119" s="1378"/>
      <c r="G119" s="1378"/>
      <c r="H119" s="1378"/>
    </row>
    <row r="120" spans="1:8" x14ac:dyDescent="0.2">
      <c r="A120" s="1378" t="s">
        <v>861</v>
      </c>
      <c r="B120" s="1378"/>
      <c r="C120" s="1378"/>
      <c r="D120" s="1378"/>
      <c r="E120" s="1378"/>
      <c r="F120" s="1378"/>
      <c r="G120" s="1378"/>
      <c r="H120" s="1378"/>
    </row>
    <row r="121" spans="1:8" x14ac:dyDescent="0.2">
      <c r="A121" s="1395"/>
      <c r="B121" s="1395"/>
      <c r="C121" s="1395"/>
      <c r="D121" s="1395"/>
      <c r="E121" s="1395"/>
      <c r="F121" s="1395"/>
      <c r="G121" s="1395"/>
      <c r="H121" s="1395"/>
    </row>
    <row r="122" spans="1:8" x14ac:dyDescent="0.2">
      <c r="A122" s="1380"/>
      <c r="B122" s="1390" t="s">
        <v>648</v>
      </c>
      <c r="C122" s="1391"/>
      <c r="D122" s="1390" t="s">
        <v>649</v>
      </c>
      <c r="E122" s="1392"/>
      <c r="F122" s="1391"/>
      <c r="G122" s="1390" t="s">
        <v>650</v>
      </c>
      <c r="H122" s="1391"/>
    </row>
    <row r="123" spans="1:8" x14ac:dyDescent="0.2">
      <c r="A123" s="1380" t="s">
        <v>651</v>
      </c>
      <c r="B123" s="1380" t="s">
        <v>276</v>
      </c>
      <c r="C123" s="1380" t="s">
        <v>652</v>
      </c>
      <c r="D123" s="1380" t="s">
        <v>276</v>
      </c>
      <c r="E123" s="1380" t="s">
        <v>653</v>
      </c>
      <c r="F123" s="1380" t="s">
        <v>654</v>
      </c>
      <c r="G123" s="1380" t="s">
        <v>276</v>
      </c>
      <c r="H123" s="1380" t="s">
        <v>655</v>
      </c>
    </row>
    <row r="124" spans="1:8" x14ac:dyDescent="0.2">
      <c r="A124" s="1380" t="s">
        <v>656</v>
      </c>
      <c r="B124" s="1380">
        <v>1189</v>
      </c>
      <c r="C124" s="1381">
        <v>0.38</v>
      </c>
      <c r="D124" s="1380">
        <v>315</v>
      </c>
      <c r="E124" s="1381">
        <v>0.41</v>
      </c>
      <c r="F124" s="1381">
        <v>0.26</v>
      </c>
      <c r="G124" s="1380">
        <v>555</v>
      </c>
      <c r="H124" s="1381">
        <v>0.39</v>
      </c>
    </row>
    <row r="125" spans="1:8" x14ac:dyDescent="0.2">
      <c r="A125" s="1380" t="s">
        <v>657</v>
      </c>
      <c r="B125" s="1380">
        <v>1355</v>
      </c>
      <c r="C125" s="1381">
        <v>0.43</v>
      </c>
      <c r="D125" s="1380">
        <v>364</v>
      </c>
      <c r="E125" s="1381">
        <v>0.47</v>
      </c>
      <c r="F125" s="1381">
        <v>0.27</v>
      </c>
      <c r="G125" s="1380">
        <v>644</v>
      </c>
      <c r="H125" s="1381">
        <v>0.45</v>
      </c>
    </row>
    <row r="126" spans="1:8" x14ac:dyDescent="0.2">
      <c r="A126" s="1380" t="s">
        <v>658</v>
      </c>
      <c r="B126" s="1380">
        <v>53</v>
      </c>
      <c r="C126" s="1381">
        <v>0.02</v>
      </c>
      <c r="D126" s="1380">
        <v>4</v>
      </c>
      <c r="E126" s="1381">
        <v>0.01</v>
      </c>
      <c r="F126" s="1381">
        <v>0.08</v>
      </c>
      <c r="G126" s="1380">
        <v>7</v>
      </c>
      <c r="H126" s="1381">
        <v>0</v>
      </c>
    </row>
    <row r="127" spans="1:8" x14ac:dyDescent="0.2">
      <c r="A127" s="1380" t="s">
        <v>659</v>
      </c>
      <c r="B127" s="1380">
        <v>545</v>
      </c>
      <c r="C127" s="1381">
        <v>0.17</v>
      </c>
      <c r="D127" s="1380">
        <v>84</v>
      </c>
      <c r="E127" s="1381">
        <v>0.11</v>
      </c>
      <c r="F127" s="1381">
        <v>0.15</v>
      </c>
      <c r="G127" s="1380">
        <v>214</v>
      </c>
      <c r="H127" s="1381">
        <v>0.15</v>
      </c>
    </row>
    <row r="128" spans="1:8" x14ac:dyDescent="0.2">
      <c r="A128" s="1380" t="s">
        <v>87</v>
      </c>
      <c r="B128" s="1382">
        <v>3142</v>
      </c>
      <c r="C128" s="1380"/>
      <c r="D128" s="1380">
        <v>767</v>
      </c>
      <c r="E128" s="1380"/>
      <c r="F128" s="1380"/>
      <c r="G128" s="1380">
        <v>1420</v>
      </c>
      <c r="H128" s="1380"/>
    </row>
    <row r="129" spans="1:8" x14ac:dyDescent="0.2">
      <c r="A129" s="1388"/>
      <c r="B129" s="1388"/>
      <c r="C129" s="1388"/>
      <c r="D129" s="1388"/>
      <c r="E129" s="1388"/>
      <c r="F129" s="1388"/>
      <c r="G129" s="1388"/>
      <c r="H129" s="1388"/>
    </row>
    <row r="130" spans="1:8" x14ac:dyDescent="0.2">
      <c r="A130" s="1389" t="s">
        <v>851</v>
      </c>
      <c r="B130" s="1389"/>
      <c r="C130" s="1389"/>
      <c r="D130" s="1389"/>
      <c r="E130" s="1389"/>
      <c r="F130" s="1389"/>
      <c r="G130" s="1389"/>
      <c r="H130" s="1389"/>
    </row>
    <row r="131" spans="1:8" x14ac:dyDescent="0.2">
      <c r="A131" s="1378" t="s">
        <v>852</v>
      </c>
      <c r="B131" s="1378"/>
      <c r="C131" s="1378"/>
      <c r="D131" s="1378"/>
      <c r="E131" s="1378"/>
      <c r="F131" s="1378"/>
      <c r="G131" s="1378"/>
      <c r="H131" s="1378"/>
    </row>
    <row r="132" spans="1:8" x14ac:dyDescent="0.2">
      <c r="A132" s="1378" t="s">
        <v>853</v>
      </c>
      <c r="B132" s="1378"/>
      <c r="C132" s="1378"/>
      <c r="D132" s="1378"/>
      <c r="E132" s="1378"/>
      <c r="F132" s="1378"/>
      <c r="G132" s="1378"/>
      <c r="H132" s="1378"/>
    </row>
    <row r="133" spans="1:8" x14ac:dyDescent="0.2">
      <c r="A133" s="1378" t="s">
        <v>854</v>
      </c>
      <c r="B133" s="1378"/>
      <c r="C133" s="1378"/>
      <c r="D133" s="1378"/>
      <c r="E133" s="1378"/>
      <c r="F133" s="1378"/>
      <c r="G133" s="1378"/>
      <c r="H133" s="1378"/>
    </row>
    <row r="134" spans="1:8" x14ac:dyDescent="0.2">
      <c r="A134" s="1377"/>
      <c r="B134" s="1377"/>
      <c r="C134" s="1377"/>
      <c r="D134" s="1377"/>
      <c r="E134" s="1377"/>
      <c r="F134" s="1377"/>
      <c r="G134" s="1377"/>
      <c r="H134" s="1377"/>
    </row>
    <row r="135" spans="1:8" ht="15.75" x14ac:dyDescent="0.2">
      <c r="A135" s="1379" t="s">
        <v>660</v>
      </c>
      <c r="B135" s="1377"/>
      <c r="C135" s="1377"/>
      <c r="D135" s="1377"/>
      <c r="E135" s="1377"/>
      <c r="F135" s="1377"/>
      <c r="G135" s="1377"/>
      <c r="H135" s="1377"/>
    </row>
    <row r="136" spans="1:8" x14ac:dyDescent="0.2">
      <c r="A136" s="1377"/>
      <c r="B136" s="1377"/>
      <c r="C136" s="1377"/>
      <c r="D136" s="1377"/>
      <c r="E136" s="1377"/>
      <c r="F136" s="1377"/>
      <c r="G136" s="1377"/>
      <c r="H136" s="1377"/>
    </row>
    <row r="137" spans="1:8" x14ac:dyDescent="0.2">
      <c r="A137" s="1378" t="s">
        <v>849</v>
      </c>
      <c r="B137" s="1377"/>
      <c r="C137" s="1377"/>
      <c r="D137" s="1377"/>
      <c r="E137" s="1377"/>
      <c r="F137" s="1377"/>
      <c r="G137" s="1377"/>
      <c r="H137" s="1377"/>
    </row>
    <row r="138" spans="1:8" x14ac:dyDescent="0.2">
      <c r="A138" s="1378" t="s">
        <v>850</v>
      </c>
      <c r="B138" s="1377"/>
      <c r="C138" s="1377"/>
      <c r="D138" s="1377"/>
      <c r="E138" s="1377"/>
      <c r="F138" s="1377"/>
      <c r="G138" s="1377"/>
      <c r="H138" s="1377"/>
    </row>
    <row r="139" spans="1:8" x14ac:dyDescent="0.2">
      <c r="A139" s="1377"/>
      <c r="B139" s="1377"/>
      <c r="C139" s="1377"/>
      <c r="D139" s="1377"/>
      <c r="E139" s="1377"/>
      <c r="F139" s="1377"/>
      <c r="G139" s="1377"/>
      <c r="H139" s="1377"/>
    </row>
    <row r="140" spans="1:8" x14ac:dyDescent="0.2">
      <c r="A140" s="1378" t="s">
        <v>846</v>
      </c>
      <c r="B140" s="1377"/>
      <c r="C140" s="1377"/>
      <c r="D140" s="1377"/>
      <c r="E140" s="1377"/>
      <c r="F140" s="1377"/>
      <c r="G140" s="1377"/>
      <c r="H140" s="1377"/>
    </row>
    <row r="141" spans="1:8" x14ac:dyDescent="0.2">
      <c r="A141" s="1378" t="s">
        <v>847</v>
      </c>
      <c r="B141" s="1377"/>
      <c r="C141" s="1377"/>
      <c r="D141" s="1377"/>
      <c r="E141" s="1377"/>
      <c r="F141" s="1377"/>
      <c r="G141" s="1377"/>
      <c r="H141" s="1377"/>
    </row>
    <row r="142" spans="1:8" x14ac:dyDescent="0.2">
      <c r="A142" s="1378" t="s">
        <v>848</v>
      </c>
      <c r="B142" s="1377"/>
      <c r="C142" s="1377"/>
      <c r="D142" s="1377"/>
      <c r="E142" s="1377"/>
      <c r="F142" s="1377"/>
      <c r="G142" s="1377"/>
      <c r="H142" s="1377"/>
    </row>
    <row r="143" spans="1:8" x14ac:dyDescent="0.2">
      <c r="A143" s="1377"/>
      <c r="B143" s="1377"/>
      <c r="C143" s="1377"/>
      <c r="D143" s="1377"/>
      <c r="E143" s="1377"/>
      <c r="F143" s="1377"/>
      <c r="G143" s="1377"/>
      <c r="H143" s="1377"/>
    </row>
    <row r="144" spans="1:8" x14ac:dyDescent="0.2">
      <c r="A144" s="1378" t="s">
        <v>843</v>
      </c>
      <c r="B144" s="1377"/>
      <c r="C144" s="1377"/>
      <c r="D144" s="1377"/>
      <c r="E144" s="1377"/>
      <c r="F144" s="1377"/>
      <c r="G144" s="1377"/>
      <c r="H144" s="1377"/>
    </row>
    <row r="145" spans="1:8" x14ac:dyDescent="0.2">
      <c r="A145" s="1378" t="s">
        <v>844</v>
      </c>
      <c r="B145" s="1377"/>
      <c r="C145" s="1377"/>
      <c r="D145" s="1377"/>
      <c r="E145" s="1377"/>
      <c r="F145" s="1377"/>
      <c r="G145" s="1377"/>
      <c r="H145" s="1377"/>
    </row>
    <row r="146" spans="1:8" x14ac:dyDescent="0.2">
      <c r="A146" s="1378" t="s">
        <v>845</v>
      </c>
      <c r="B146" s="1377"/>
      <c r="C146" s="1377"/>
      <c r="D146" s="1377"/>
      <c r="E146" s="1377"/>
      <c r="F146" s="1377"/>
      <c r="G146" s="1377"/>
      <c r="H146" s="1377"/>
    </row>
    <row r="147" spans="1:8" x14ac:dyDescent="0.2">
      <c r="A147" s="1377"/>
      <c r="B147" s="1377"/>
      <c r="C147" s="1377"/>
      <c r="D147" s="1377"/>
      <c r="E147" s="1377"/>
      <c r="F147" s="1377"/>
      <c r="G147" s="1377"/>
      <c r="H147" s="1377"/>
    </row>
    <row r="148" spans="1:8" x14ac:dyDescent="0.2">
      <c r="A148" s="1378" t="s">
        <v>840</v>
      </c>
      <c r="B148" s="1377"/>
      <c r="C148" s="1377"/>
      <c r="D148" s="1377"/>
      <c r="E148" s="1377"/>
      <c r="F148" s="1377"/>
      <c r="G148" s="1377"/>
      <c r="H148" s="1377"/>
    </row>
    <row r="149" spans="1:8" x14ac:dyDescent="0.2">
      <c r="A149" s="1378" t="s">
        <v>841</v>
      </c>
      <c r="B149" s="1377"/>
      <c r="C149" s="1377"/>
      <c r="D149" s="1377"/>
      <c r="E149" s="1377"/>
      <c r="F149" s="1377"/>
      <c r="G149" s="1377"/>
      <c r="H149" s="1377"/>
    </row>
    <row r="150" spans="1:8" x14ac:dyDescent="0.2">
      <c r="A150" s="1378" t="s">
        <v>842</v>
      </c>
      <c r="B150" s="1377"/>
      <c r="C150" s="1377"/>
      <c r="D150" s="1377"/>
      <c r="E150" s="1377"/>
      <c r="F150" s="1377"/>
      <c r="G150" s="1377"/>
      <c r="H150" s="1377"/>
    </row>
    <row r="151" spans="1:8" x14ac:dyDescent="0.2">
      <c r="A151" s="1377"/>
      <c r="B151" s="1377"/>
      <c r="C151" s="1377"/>
      <c r="D151" s="1377"/>
      <c r="E151" s="1377"/>
      <c r="F151" s="1377"/>
      <c r="G151" s="1377"/>
      <c r="H151" s="1377"/>
    </row>
    <row r="152" spans="1:8" x14ac:dyDescent="0.2">
      <c r="A152" s="1378" t="s">
        <v>838</v>
      </c>
      <c r="B152" s="1377"/>
      <c r="C152" s="1377"/>
      <c r="D152" s="1377"/>
      <c r="E152" s="1377"/>
      <c r="F152" s="1377"/>
      <c r="G152" s="1377"/>
      <c r="H152" s="1377"/>
    </row>
    <row r="153" spans="1:8" x14ac:dyDescent="0.2">
      <c r="A153" s="1378" t="s">
        <v>839</v>
      </c>
      <c r="B153" s="1377"/>
      <c r="C153" s="1377"/>
      <c r="D153" s="1377"/>
      <c r="E153" s="1377"/>
      <c r="F153" s="1377"/>
      <c r="G153" s="1377"/>
      <c r="H153" s="1377"/>
    </row>
    <row r="154" spans="1:8" x14ac:dyDescent="0.2">
      <c r="A154" s="1377"/>
      <c r="B154" s="1377"/>
      <c r="C154" s="1377"/>
      <c r="D154" s="1377"/>
      <c r="E154" s="1377"/>
      <c r="F154" s="1377"/>
      <c r="G154" s="1377"/>
      <c r="H154" s="1377"/>
    </row>
    <row r="155" spans="1:8" ht="15.75" x14ac:dyDescent="0.2">
      <c r="A155" s="1379" t="s">
        <v>661</v>
      </c>
      <c r="B155" s="1377"/>
      <c r="C155" s="1377"/>
      <c r="D155" s="1377"/>
      <c r="E155" s="1377"/>
      <c r="F155" s="1377"/>
      <c r="G155" s="1377"/>
      <c r="H155" s="1377"/>
    </row>
    <row r="156" spans="1:8" x14ac:dyDescent="0.2">
      <c r="A156" s="1377"/>
      <c r="B156" s="1377"/>
      <c r="C156" s="1377"/>
      <c r="D156" s="1377"/>
      <c r="E156" s="1377"/>
      <c r="F156" s="1377"/>
      <c r="G156" s="1377"/>
      <c r="H156" s="1377"/>
    </row>
    <row r="157" spans="1:8" x14ac:dyDescent="0.2">
      <c r="A157" s="1378" t="s">
        <v>836</v>
      </c>
      <c r="B157" s="1377"/>
      <c r="C157" s="1377"/>
      <c r="D157" s="1377"/>
      <c r="E157" s="1377"/>
      <c r="F157" s="1377"/>
      <c r="G157" s="1377"/>
      <c r="H157" s="1377"/>
    </row>
    <row r="158" spans="1:8" x14ac:dyDescent="0.2">
      <c r="A158" s="1378" t="s">
        <v>837</v>
      </c>
      <c r="B158" s="1377"/>
      <c r="C158" s="1377"/>
      <c r="D158" s="1377"/>
      <c r="E158" s="1377"/>
      <c r="F158" s="1377"/>
      <c r="G158" s="1377"/>
      <c r="H158" s="1377"/>
    </row>
    <row r="159" spans="1:8" x14ac:dyDescent="0.2">
      <c r="A159" s="1377"/>
      <c r="B159" s="1377"/>
      <c r="C159" s="1377"/>
      <c r="D159" s="1377"/>
      <c r="E159" s="1377"/>
      <c r="F159" s="1377"/>
      <c r="G159" s="1377"/>
      <c r="H159" s="1377"/>
    </row>
    <row r="160" spans="1:8" x14ac:dyDescent="0.2">
      <c r="A160" s="1378" t="s">
        <v>834</v>
      </c>
      <c r="B160" s="1377"/>
      <c r="C160" s="1377"/>
      <c r="D160" s="1377"/>
      <c r="E160" s="1377"/>
      <c r="F160" s="1377"/>
      <c r="G160" s="1377"/>
      <c r="H160" s="1377"/>
    </row>
    <row r="161" spans="1:8" x14ac:dyDescent="0.2">
      <c r="A161" s="1378" t="s">
        <v>835</v>
      </c>
      <c r="B161" s="1377"/>
      <c r="C161" s="1377"/>
      <c r="D161" s="1377"/>
      <c r="E161" s="1377"/>
      <c r="F161" s="1377"/>
      <c r="G161" s="1377"/>
      <c r="H161" s="1377"/>
    </row>
    <row r="162" spans="1:8" x14ac:dyDescent="0.2">
      <c r="A162" s="1377"/>
      <c r="B162" s="1377"/>
      <c r="C162" s="1377"/>
      <c r="D162" s="1377"/>
      <c r="E162" s="1377"/>
      <c r="F162" s="1377"/>
      <c r="G162" s="1377"/>
      <c r="H162" s="1377"/>
    </row>
    <row r="163" spans="1:8" x14ac:dyDescent="0.2">
      <c r="A163" s="1378" t="s">
        <v>832</v>
      </c>
      <c r="B163" s="1377"/>
      <c r="C163" s="1377"/>
      <c r="D163" s="1377"/>
      <c r="E163" s="1377"/>
      <c r="F163" s="1377"/>
      <c r="G163" s="1377"/>
      <c r="H163" s="1377"/>
    </row>
    <row r="164" spans="1:8" x14ac:dyDescent="0.2">
      <c r="A164" s="1378" t="s">
        <v>833</v>
      </c>
      <c r="B164" s="1377"/>
      <c r="C164" s="1377"/>
      <c r="D164" s="1377"/>
      <c r="E164" s="1377"/>
      <c r="F164" s="1377"/>
      <c r="G164" s="1377"/>
      <c r="H164" s="1377"/>
    </row>
    <row r="165" spans="1:8" x14ac:dyDescent="0.2">
      <c r="A165" s="1377"/>
      <c r="B165" s="1377"/>
      <c r="C165" s="1377"/>
      <c r="D165" s="1377"/>
      <c r="E165" s="1377"/>
      <c r="F165" s="1377"/>
      <c r="G165" s="1377"/>
      <c r="H165" s="1377"/>
    </row>
    <row r="166" spans="1:8" x14ac:dyDescent="0.2">
      <c r="A166" s="1378" t="s">
        <v>829</v>
      </c>
      <c r="B166" s="1377"/>
      <c r="C166" s="1377"/>
      <c r="D166" s="1377"/>
      <c r="E166" s="1377"/>
      <c r="F166" s="1377"/>
      <c r="G166" s="1377"/>
      <c r="H166" s="1377"/>
    </row>
    <row r="167" spans="1:8" x14ac:dyDescent="0.2">
      <c r="A167" s="1378" t="s">
        <v>830</v>
      </c>
      <c r="B167" s="1377"/>
      <c r="C167" s="1377"/>
      <c r="D167" s="1377"/>
      <c r="E167" s="1377"/>
      <c r="F167" s="1377"/>
      <c r="G167" s="1377"/>
      <c r="H167" s="1377"/>
    </row>
    <row r="168" spans="1:8" x14ac:dyDescent="0.2">
      <c r="A168" s="1378" t="s">
        <v>831</v>
      </c>
      <c r="B168" s="1377"/>
      <c r="C168" s="1377"/>
      <c r="D168" s="1377"/>
      <c r="E168" s="1377"/>
      <c r="F168" s="1377"/>
      <c r="G168" s="1377"/>
      <c r="H168" s="1377"/>
    </row>
    <row r="169" spans="1:8" x14ac:dyDescent="0.2">
      <c r="A169" s="1377"/>
      <c r="B169" s="1377"/>
      <c r="C169" s="1377"/>
      <c r="D169" s="1377"/>
      <c r="E169" s="1377"/>
      <c r="F169" s="1377"/>
      <c r="G169" s="1377"/>
      <c r="H169" s="1377"/>
    </row>
    <row r="170" spans="1:8" x14ac:dyDescent="0.2">
      <c r="A170" s="1377"/>
      <c r="B170" s="1377"/>
      <c r="C170" s="1377"/>
      <c r="D170" s="1377"/>
      <c r="E170" s="1377"/>
      <c r="F170" s="1377"/>
      <c r="G170" s="1377"/>
      <c r="H170" s="1377"/>
    </row>
    <row r="171" spans="1:8" x14ac:dyDescent="0.2">
      <c r="A171" s="1378" t="s">
        <v>463</v>
      </c>
      <c r="B171" s="1377"/>
      <c r="C171" s="1377"/>
      <c r="D171" s="1377"/>
      <c r="E171" s="1377"/>
      <c r="F171" s="1377"/>
      <c r="G171" s="1377"/>
      <c r="H171" s="1377"/>
    </row>
    <row r="172" spans="1:8" x14ac:dyDescent="0.2">
      <c r="A172" s="1377"/>
      <c r="B172" s="1377"/>
      <c r="C172" s="1377"/>
      <c r="D172" s="1377"/>
      <c r="E172" s="1377"/>
      <c r="F172" s="1377"/>
      <c r="G172" s="1377"/>
      <c r="H172" s="1377"/>
    </row>
    <row r="173" spans="1:8" ht="15.75" x14ac:dyDescent="0.2">
      <c r="A173" s="1379" t="s">
        <v>662</v>
      </c>
      <c r="B173" s="1377"/>
      <c r="C173" s="1377"/>
      <c r="D173" s="1377"/>
      <c r="E173" s="1377"/>
      <c r="F173" s="1377"/>
      <c r="G173" s="1377"/>
      <c r="H173" s="1377"/>
    </row>
    <row r="174" spans="1:8" x14ac:dyDescent="0.2">
      <c r="A174" s="1377"/>
      <c r="B174" s="1377"/>
      <c r="C174" s="1377"/>
      <c r="D174" s="1377"/>
      <c r="E174" s="1377"/>
      <c r="F174" s="1377"/>
      <c r="G174" s="1377"/>
      <c r="H174" s="1377"/>
    </row>
    <row r="175" spans="1:8" x14ac:dyDescent="0.2">
      <c r="A175" s="1377"/>
      <c r="B175" s="1377"/>
      <c r="C175" s="1377"/>
      <c r="D175" s="1377"/>
      <c r="E175" s="1377"/>
      <c r="F175" s="1377"/>
      <c r="G175" s="1377"/>
      <c r="H175" s="1377"/>
    </row>
    <row r="176" spans="1:8" x14ac:dyDescent="0.2">
      <c r="A176" s="1377"/>
      <c r="B176" s="1377"/>
      <c r="C176" s="1377"/>
      <c r="D176" s="1377"/>
      <c r="E176" s="1377"/>
      <c r="F176" s="1377"/>
      <c r="G176" s="1377"/>
      <c r="H176" s="1377"/>
    </row>
    <row r="177" spans="1:8" x14ac:dyDescent="0.2">
      <c r="A177" s="1377"/>
      <c r="B177" s="1377"/>
      <c r="C177" s="1377"/>
      <c r="D177" s="1377"/>
      <c r="E177" s="1377"/>
      <c r="F177" s="1377"/>
      <c r="G177" s="1377"/>
      <c r="H177" s="1377"/>
    </row>
    <row r="178" spans="1:8" x14ac:dyDescent="0.2">
      <c r="A178" s="1377"/>
      <c r="B178" s="1377"/>
      <c r="C178" s="1377"/>
      <c r="D178" s="1377"/>
      <c r="E178" s="1377"/>
      <c r="F178" s="1377"/>
      <c r="G178" s="1377"/>
      <c r="H178" s="1377"/>
    </row>
    <row r="179" spans="1:8" x14ac:dyDescent="0.2">
      <c r="A179" s="1377"/>
      <c r="B179" s="1377"/>
      <c r="C179" s="1377"/>
      <c r="D179" s="1377"/>
      <c r="E179" s="1377"/>
      <c r="F179" s="1377"/>
      <c r="G179" s="1377"/>
      <c r="H179" s="1377"/>
    </row>
    <row r="180" spans="1:8" x14ac:dyDescent="0.2">
      <c r="A180" s="1377"/>
      <c r="B180" s="1377"/>
      <c r="C180" s="1377"/>
      <c r="D180" s="1377"/>
      <c r="E180" s="1377"/>
      <c r="F180" s="1377"/>
      <c r="G180" s="1377"/>
      <c r="H180" s="1377"/>
    </row>
    <row r="181" spans="1:8" x14ac:dyDescent="0.2">
      <c r="A181" s="1377"/>
      <c r="B181" s="1377"/>
      <c r="C181" s="1377"/>
      <c r="D181" s="1377"/>
      <c r="E181" s="1377"/>
      <c r="F181" s="1377"/>
      <c r="G181" s="1377"/>
      <c r="H181" s="1377"/>
    </row>
    <row r="182" spans="1:8" x14ac:dyDescent="0.2">
      <c r="A182" s="1377"/>
      <c r="B182" s="1377"/>
      <c r="C182" s="1377"/>
      <c r="D182" s="1377"/>
      <c r="E182" s="1377"/>
      <c r="F182" s="1377"/>
      <c r="G182" s="1377"/>
      <c r="H182" s="1377"/>
    </row>
    <row r="183" spans="1:8" x14ac:dyDescent="0.2">
      <c r="A183" s="1377"/>
      <c r="B183" s="1377"/>
      <c r="C183" s="1377"/>
      <c r="D183" s="1377"/>
      <c r="E183" s="1377"/>
      <c r="F183" s="1377"/>
      <c r="G183" s="1377"/>
      <c r="H183" s="1377"/>
    </row>
    <row r="184" spans="1:8" x14ac:dyDescent="0.2">
      <c r="A184" s="1377"/>
      <c r="B184" s="1377"/>
      <c r="C184" s="1377"/>
      <c r="D184" s="1377"/>
      <c r="E184" s="1377"/>
      <c r="F184" s="1377"/>
      <c r="G184" s="1377"/>
      <c r="H184" s="1377"/>
    </row>
    <row r="185" spans="1:8" x14ac:dyDescent="0.2">
      <c r="A185" s="1377"/>
      <c r="B185" s="1377"/>
      <c r="C185" s="1377"/>
      <c r="D185" s="1377"/>
      <c r="E185" s="1377"/>
      <c r="F185" s="1377"/>
      <c r="G185" s="1377"/>
      <c r="H185" s="1377"/>
    </row>
    <row r="186" spans="1:8" x14ac:dyDescent="0.2">
      <c r="A186" s="1377"/>
      <c r="B186" s="1377"/>
      <c r="C186" s="1377"/>
      <c r="D186" s="1377"/>
      <c r="E186" s="1377"/>
      <c r="F186" s="1377"/>
      <c r="G186" s="1377"/>
      <c r="H186" s="1377"/>
    </row>
    <row r="187" spans="1:8" x14ac:dyDescent="0.2">
      <c r="A187" s="1377"/>
      <c r="B187" s="1377"/>
      <c r="C187" s="1377"/>
      <c r="D187" s="1377"/>
      <c r="E187" s="1377"/>
      <c r="F187" s="1377"/>
      <c r="G187" s="1377"/>
      <c r="H187" s="1377"/>
    </row>
    <row r="188" spans="1:8" x14ac:dyDescent="0.2">
      <c r="A188" s="1377"/>
      <c r="B188" s="1377"/>
      <c r="C188" s="1377"/>
      <c r="D188" s="1377"/>
      <c r="E188" s="1377"/>
      <c r="F188" s="1377"/>
      <c r="G188" s="1377"/>
      <c r="H188" s="1377"/>
    </row>
    <row r="189" spans="1:8" x14ac:dyDescent="0.2">
      <c r="A189" s="1377"/>
      <c r="B189" s="1377"/>
      <c r="C189" s="1377"/>
      <c r="D189" s="1377"/>
      <c r="E189" s="1377"/>
      <c r="F189" s="1377"/>
      <c r="G189" s="1377"/>
      <c r="H189" s="1377"/>
    </row>
    <row r="190" spans="1:8" x14ac:dyDescent="0.2">
      <c r="A190" s="1377"/>
      <c r="B190" s="1377"/>
      <c r="C190" s="1377"/>
      <c r="D190" s="1377"/>
      <c r="E190" s="1377"/>
      <c r="F190" s="1377"/>
      <c r="G190" s="1377"/>
      <c r="H190" s="1377"/>
    </row>
    <row r="191" spans="1:8" x14ac:dyDescent="0.2">
      <c r="A191" s="1377"/>
      <c r="B191" s="1377"/>
      <c r="C191" s="1377"/>
      <c r="D191" s="1377"/>
      <c r="E191" s="1377"/>
      <c r="F191" s="1377"/>
      <c r="G191" s="1377"/>
      <c r="H191" s="1377"/>
    </row>
    <row r="192" spans="1:8" x14ac:dyDescent="0.2">
      <c r="A192" s="1377"/>
      <c r="B192" s="1377"/>
      <c r="C192" s="1377"/>
      <c r="D192" s="1377"/>
      <c r="E192" s="1377"/>
      <c r="F192" s="1377"/>
      <c r="G192" s="1377"/>
      <c r="H192" s="1377"/>
    </row>
    <row r="193" spans="1:8" x14ac:dyDescent="0.2">
      <c r="A193" s="1377"/>
      <c r="B193" s="1377"/>
      <c r="C193" s="1377"/>
      <c r="D193" s="1377"/>
      <c r="E193" s="1377"/>
      <c r="F193" s="1377"/>
      <c r="G193" s="1377"/>
      <c r="H193" s="1377"/>
    </row>
    <row r="194" spans="1:8" x14ac:dyDescent="0.2">
      <c r="A194" s="1377"/>
      <c r="B194" s="1377"/>
      <c r="C194" s="1377"/>
      <c r="D194" s="1377"/>
      <c r="E194" s="1377"/>
      <c r="F194" s="1377"/>
      <c r="G194" s="1377"/>
      <c r="H194" s="1377"/>
    </row>
    <row r="195" spans="1:8" x14ac:dyDescent="0.2">
      <c r="A195" s="1377"/>
      <c r="B195" s="1377"/>
      <c r="C195" s="1377"/>
      <c r="D195" s="1377"/>
      <c r="E195" s="1377"/>
      <c r="F195" s="1377"/>
      <c r="G195" s="1377"/>
      <c r="H195" s="1377"/>
    </row>
    <row r="196" spans="1:8" x14ac:dyDescent="0.2">
      <c r="A196" s="1377"/>
      <c r="B196" s="1377"/>
      <c r="C196" s="1377"/>
      <c r="D196" s="1377"/>
      <c r="E196" s="1377"/>
      <c r="F196" s="1377"/>
      <c r="G196" s="1377"/>
      <c r="H196" s="1377"/>
    </row>
    <row r="197" spans="1:8" x14ac:dyDescent="0.2">
      <c r="A197" s="1377"/>
      <c r="B197" s="1377"/>
      <c r="C197" s="1377"/>
      <c r="D197" s="1377"/>
      <c r="E197" s="1377"/>
      <c r="F197" s="1377"/>
      <c r="G197" s="1377"/>
      <c r="H197" s="1377"/>
    </row>
    <row r="198" spans="1:8" x14ac:dyDescent="0.2">
      <c r="A198" s="1377"/>
      <c r="B198" s="1377"/>
      <c r="C198" s="1377"/>
      <c r="D198" s="1377"/>
      <c r="E198" s="1377"/>
      <c r="F198" s="1377"/>
      <c r="G198" s="1377"/>
      <c r="H198" s="1377"/>
    </row>
    <row r="199" spans="1:8" x14ac:dyDescent="0.2">
      <c r="A199" s="1377"/>
      <c r="B199" s="1377"/>
      <c r="C199" s="1377"/>
      <c r="D199" s="1377"/>
      <c r="E199" s="1377"/>
      <c r="F199" s="1377"/>
      <c r="G199" s="1377"/>
      <c r="H199" s="1377"/>
    </row>
    <row r="200" spans="1:8" ht="15.75" x14ac:dyDescent="0.2">
      <c r="A200" s="1379" t="s">
        <v>663</v>
      </c>
      <c r="B200" s="1377"/>
      <c r="C200" s="1377"/>
      <c r="D200" s="1377"/>
      <c r="E200" s="1377"/>
      <c r="F200" s="1377"/>
      <c r="G200" s="1377"/>
      <c r="H200" s="1377"/>
    </row>
    <row r="201" spans="1:8" x14ac:dyDescent="0.2">
      <c r="A201" s="1377"/>
      <c r="B201" s="1377"/>
      <c r="C201" s="1377"/>
      <c r="D201" s="1377"/>
      <c r="E201" s="1377"/>
      <c r="F201" s="1377"/>
      <c r="G201" s="1377"/>
      <c r="H201" s="1377"/>
    </row>
    <row r="202" spans="1:8" x14ac:dyDescent="0.2">
      <c r="A202" s="1378" t="s">
        <v>824</v>
      </c>
      <c r="B202" s="1377"/>
      <c r="C202" s="1377"/>
      <c r="D202" s="1377"/>
      <c r="E202" s="1377"/>
      <c r="F202" s="1377"/>
      <c r="G202" s="1377"/>
      <c r="H202" s="1377"/>
    </row>
    <row r="203" spans="1:8" x14ac:dyDescent="0.2">
      <c r="A203" s="1378" t="s">
        <v>825</v>
      </c>
      <c r="B203" s="1377"/>
      <c r="C203" s="1377"/>
      <c r="D203" s="1377"/>
      <c r="E203" s="1377"/>
      <c r="F203" s="1377"/>
      <c r="G203" s="1377"/>
      <c r="H203" s="1377"/>
    </row>
    <row r="204" spans="1:8" x14ac:dyDescent="0.2">
      <c r="A204" s="1378" t="s">
        <v>826</v>
      </c>
      <c r="B204" s="1377"/>
      <c r="C204" s="1377"/>
      <c r="D204" s="1377"/>
      <c r="E204" s="1377"/>
      <c r="F204" s="1377"/>
      <c r="G204" s="1377"/>
      <c r="H204" s="1377"/>
    </row>
    <row r="205" spans="1:8" x14ac:dyDescent="0.2">
      <c r="A205" s="1378" t="s">
        <v>827</v>
      </c>
      <c r="B205" s="1377"/>
      <c r="C205" s="1377"/>
      <c r="D205" s="1377"/>
      <c r="E205" s="1377"/>
      <c r="F205" s="1377"/>
      <c r="G205" s="1377"/>
      <c r="H205" s="1377"/>
    </row>
    <row r="206" spans="1:8" x14ac:dyDescent="0.2">
      <c r="A206" s="1378" t="s">
        <v>828</v>
      </c>
      <c r="B206" s="1377"/>
      <c r="C206" s="1377"/>
      <c r="D206" s="1377"/>
      <c r="E206" s="1377"/>
      <c r="F206" s="1377"/>
      <c r="G206" s="1377"/>
      <c r="H206" s="1377"/>
    </row>
    <row r="207" spans="1:8" x14ac:dyDescent="0.2">
      <c r="A207" s="1377"/>
      <c r="B207" s="1377"/>
      <c r="C207" s="1377"/>
      <c r="D207" s="1377"/>
      <c r="E207" s="1377"/>
      <c r="F207" s="1377"/>
      <c r="G207" s="1377"/>
      <c r="H207" s="1377"/>
    </row>
    <row r="208" spans="1:8" x14ac:dyDescent="0.2">
      <c r="A208" s="1378" t="s">
        <v>821</v>
      </c>
      <c r="B208" s="1377"/>
      <c r="C208" s="1377"/>
      <c r="D208" s="1377"/>
      <c r="E208" s="1377"/>
      <c r="F208" s="1377"/>
      <c r="G208" s="1377"/>
      <c r="H208" s="1377"/>
    </row>
    <row r="209" spans="1:8" x14ac:dyDescent="0.2">
      <c r="A209" s="1378" t="s">
        <v>822</v>
      </c>
      <c r="B209" s="1377"/>
      <c r="C209" s="1377"/>
      <c r="D209" s="1377"/>
      <c r="E209" s="1377"/>
      <c r="F209" s="1377"/>
      <c r="G209" s="1377"/>
      <c r="H209" s="1377"/>
    </row>
    <row r="210" spans="1:8" x14ac:dyDescent="0.2">
      <c r="A210" s="1378" t="s">
        <v>823</v>
      </c>
      <c r="B210" s="1377"/>
      <c r="C210" s="1377"/>
      <c r="D210" s="1377"/>
      <c r="E210" s="1377"/>
      <c r="F210" s="1377"/>
      <c r="G210" s="1377"/>
      <c r="H210" s="1377"/>
    </row>
    <row r="211" spans="1:8" ht="15.75" x14ac:dyDescent="0.2">
      <c r="A211" s="1379" t="s">
        <v>664</v>
      </c>
      <c r="B211" s="1377"/>
      <c r="C211" s="1377"/>
      <c r="D211" s="1377"/>
      <c r="E211" s="1377"/>
      <c r="F211" s="1377"/>
      <c r="G211" s="1377"/>
      <c r="H211" s="1377"/>
    </row>
    <row r="212" spans="1:8" x14ac:dyDescent="0.2">
      <c r="A212" s="1377"/>
      <c r="B212" s="1377"/>
      <c r="C212" s="1377"/>
      <c r="D212" s="1377"/>
      <c r="E212" s="1377"/>
      <c r="F212" s="1377"/>
      <c r="G212" s="1377"/>
      <c r="H212" s="1377"/>
    </row>
    <row r="213" spans="1:8" x14ac:dyDescent="0.2">
      <c r="A213" s="1378" t="s">
        <v>819</v>
      </c>
      <c r="B213" s="1377"/>
      <c r="C213" s="1377"/>
      <c r="D213" s="1377"/>
      <c r="E213" s="1377"/>
      <c r="F213" s="1377"/>
      <c r="G213" s="1377"/>
      <c r="H213" s="1377"/>
    </row>
    <row r="214" spans="1:8" x14ac:dyDescent="0.2">
      <c r="A214" s="1378" t="s">
        <v>820</v>
      </c>
      <c r="B214" s="1377"/>
      <c r="C214" s="1377"/>
      <c r="D214" s="1377"/>
      <c r="E214" s="1377"/>
      <c r="F214" s="1377"/>
      <c r="G214" s="1377"/>
      <c r="H214" s="1377"/>
    </row>
    <row r="215" spans="1:8" x14ac:dyDescent="0.2">
      <c r="A215" s="1377"/>
      <c r="B215" s="1377"/>
      <c r="C215" s="1377"/>
      <c r="D215" s="1377"/>
      <c r="E215" s="1377"/>
      <c r="F215" s="1377"/>
      <c r="G215" s="1377"/>
      <c r="H215" s="1377"/>
    </row>
    <row r="216" spans="1:8" x14ac:dyDescent="0.2">
      <c r="A216" s="1378" t="s">
        <v>812</v>
      </c>
      <c r="B216" s="1377"/>
      <c r="C216" s="1377"/>
      <c r="D216" s="1377"/>
      <c r="E216" s="1377"/>
      <c r="F216" s="1377"/>
      <c r="G216" s="1377"/>
      <c r="H216" s="1377"/>
    </row>
    <row r="217" spans="1:8" x14ac:dyDescent="0.2">
      <c r="A217" s="1378" t="s">
        <v>813</v>
      </c>
      <c r="B217" s="1377"/>
      <c r="C217" s="1377"/>
      <c r="D217" s="1377"/>
      <c r="E217" s="1377"/>
      <c r="F217" s="1377"/>
      <c r="G217" s="1377"/>
      <c r="H217" s="1377"/>
    </row>
    <row r="218" spans="1:8" x14ac:dyDescent="0.2">
      <c r="A218" s="1378" t="s">
        <v>814</v>
      </c>
      <c r="B218" s="1377"/>
      <c r="C218" s="1377"/>
      <c r="D218" s="1377"/>
      <c r="E218" s="1377"/>
      <c r="F218" s="1377"/>
      <c r="G218" s="1377"/>
      <c r="H218" s="1377"/>
    </row>
    <row r="219" spans="1:8" x14ac:dyDescent="0.2">
      <c r="A219" s="1378" t="s">
        <v>815</v>
      </c>
      <c r="B219" s="1377"/>
      <c r="C219" s="1377"/>
      <c r="D219" s="1377"/>
      <c r="E219" s="1377"/>
      <c r="F219" s="1377"/>
      <c r="G219" s="1377"/>
      <c r="H219" s="1377"/>
    </row>
    <row r="220" spans="1:8" x14ac:dyDescent="0.2">
      <c r="A220" s="1378" t="s">
        <v>816</v>
      </c>
      <c r="B220" s="1377"/>
      <c r="C220" s="1377"/>
      <c r="D220" s="1377"/>
      <c r="E220" s="1377"/>
      <c r="F220" s="1377"/>
      <c r="G220" s="1377"/>
      <c r="H220" s="1377"/>
    </row>
    <row r="221" spans="1:8" x14ac:dyDescent="0.2">
      <c r="A221" s="1378" t="s">
        <v>817</v>
      </c>
      <c r="B221" s="1377"/>
      <c r="C221" s="1377"/>
      <c r="D221" s="1377"/>
      <c r="E221" s="1377"/>
      <c r="F221" s="1377"/>
      <c r="G221" s="1377"/>
      <c r="H221" s="1377"/>
    </row>
    <row r="222" spans="1:8" x14ac:dyDescent="0.2">
      <c r="A222" s="1378" t="s">
        <v>818</v>
      </c>
      <c r="B222" s="1377"/>
      <c r="C222" s="1377"/>
      <c r="D222" s="1377"/>
      <c r="E222" s="1377"/>
      <c r="F222" s="1377"/>
      <c r="G222" s="1377"/>
      <c r="H222" s="1377"/>
    </row>
    <row r="223" spans="1:8" x14ac:dyDescent="0.2">
      <c r="A223" s="1377"/>
      <c r="B223" s="1377"/>
      <c r="C223" s="1377"/>
      <c r="D223" s="1377"/>
      <c r="E223" s="1377"/>
      <c r="F223" s="1377"/>
      <c r="G223" s="1377"/>
      <c r="H223" s="1377"/>
    </row>
    <row r="224" spans="1:8" x14ac:dyDescent="0.2">
      <c r="A224" s="1378" t="s">
        <v>809</v>
      </c>
      <c r="B224" s="1377"/>
      <c r="C224" s="1377"/>
      <c r="D224" s="1377"/>
      <c r="E224" s="1377"/>
      <c r="F224" s="1377"/>
      <c r="G224" s="1377"/>
      <c r="H224" s="1377"/>
    </row>
    <row r="225" spans="1:8" x14ac:dyDescent="0.2">
      <c r="A225" s="1378" t="s">
        <v>810</v>
      </c>
      <c r="B225" s="1377"/>
      <c r="C225" s="1377"/>
      <c r="D225" s="1377"/>
      <c r="E225" s="1377"/>
      <c r="F225" s="1377"/>
      <c r="G225" s="1377"/>
      <c r="H225" s="1377"/>
    </row>
    <row r="226" spans="1:8" x14ac:dyDescent="0.2">
      <c r="A226" s="1378" t="s">
        <v>811</v>
      </c>
      <c r="B226" s="1377"/>
      <c r="C226" s="1377"/>
      <c r="D226" s="1377"/>
      <c r="E226" s="1377"/>
      <c r="F226" s="1377"/>
      <c r="G226" s="1377"/>
      <c r="H226" s="1377"/>
    </row>
    <row r="227" spans="1:8" x14ac:dyDescent="0.2">
      <c r="A227" s="1377"/>
      <c r="B227" s="1377"/>
      <c r="C227" s="1377"/>
      <c r="D227" s="1377"/>
      <c r="E227" s="1377"/>
      <c r="F227" s="1377"/>
      <c r="G227" s="1377"/>
      <c r="H227" s="1377"/>
    </row>
    <row r="228" spans="1:8" x14ac:dyDescent="0.2">
      <c r="A228" s="1378" t="s">
        <v>804</v>
      </c>
      <c r="B228" s="1377"/>
      <c r="C228" s="1377"/>
      <c r="D228" s="1377"/>
      <c r="E228" s="1377"/>
      <c r="F228" s="1377"/>
      <c r="G228" s="1377"/>
      <c r="H228" s="1377"/>
    </row>
    <row r="229" spans="1:8" x14ac:dyDescent="0.2">
      <c r="A229" s="1378" t="s">
        <v>805</v>
      </c>
      <c r="B229" s="1377"/>
      <c r="C229" s="1377"/>
      <c r="D229" s="1377"/>
      <c r="E229" s="1377"/>
      <c r="F229" s="1377"/>
      <c r="G229" s="1377"/>
      <c r="H229" s="1377"/>
    </row>
    <row r="230" spans="1:8" x14ac:dyDescent="0.2">
      <c r="A230" s="1378" t="s">
        <v>806</v>
      </c>
      <c r="B230" s="1377"/>
      <c r="C230" s="1377"/>
      <c r="D230" s="1377"/>
      <c r="E230" s="1377"/>
      <c r="F230" s="1377"/>
      <c r="G230" s="1377"/>
      <c r="H230" s="1377"/>
    </row>
    <row r="231" spans="1:8" x14ac:dyDescent="0.2">
      <c r="A231" s="1378" t="s">
        <v>807</v>
      </c>
      <c r="B231" s="1377"/>
      <c r="C231" s="1377"/>
      <c r="D231" s="1377"/>
      <c r="E231" s="1377"/>
      <c r="F231" s="1377"/>
      <c r="G231" s="1377"/>
      <c r="H231" s="1377"/>
    </row>
    <row r="232" spans="1:8" x14ac:dyDescent="0.2">
      <c r="A232" s="1378" t="s">
        <v>808</v>
      </c>
      <c r="B232" s="1377"/>
      <c r="C232" s="1377"/>
      <c r="D232" s="1377"/>
      <c r="E232" s="1377"/>
      <c r="F232" s="1377"/>
      <c r="G232" s="1377"/>
      <c r="H232" s="1377"/>
    </row>
    <row r="233" spans="1:8" x14ac:dyDescent="0.2">
      <c r="A233" s="1377"/>
      <c r="B233" s="1377"/>
      <c r="C233" s="1377"/>
      <c r="D233" s="1377"/>
      <c r="E233" s="1377"/>
      <c r="F233" s="1377"/>
      <c r="G233" s="1377"/>
      <c r="H233" s="1377"/>
    </row>
    <row r="234" spans="1:8" x14ac:dyDescent="0.2">
      <c r="A234" s="1378" t="s">
        <v>798</v>
      </c>
      <c r="B234" s="1377"/>
      <c r="C234" s="1377"/>
      <c r="D234" s="1377"/>
      <c r="E234" s="1377"/>
      <c r="F234" s="1377"/>
      <c r="G234" s="1377"/>
      <c r="H234" s="1377"/>
    </row>
    <row r="235" spans="1:8" x14ac:dyDescent="0.2">
      <c r="A235" s="1378" t="s">
        <v>799</v>
      </c>
      <c r="B235" s="1377"/>
      <c r="C235" s="1377"/>
      <c r="D235" s="1377"/>
      <c r="E235" s="1377"/>
      <c r="F235" s="1377"/>
      <c r="G235" s="1377"/>
      <c r="H235" s="1377"/>
    </row>
    <row r="236" spans="1:8" x14ac:dyDescent="0.2">
      <c r="A236" s="1378" t="s">
        <v>800</v>
      </c>
      <c r="B236" s="1377"/>
      <c r="C236" s="1377"/>
      <c r="D236" s="1377"/>
      <c r="E236" s="1377"/>
      <c r="F236" s="1377"/>
      <c r="G236" s="1377"/>
      <c r="H236" s="1377"/>
    </row>
    <row r="237" spans="1:8" x14ac:dyDescent="0.2">
      <c r="A237" s="1378" t="s">
        <v>801</v>
      </c>
      <c r="B237" s="1377"/>
      <c r="C237" s="1377"/>
      <c r="D237" s="1377"/>
      <c r="E237" s="1377"/>
      <c r="F237" s="1377"/>
      <c r="G237" s="1377"/>
      <c r="H237" s="1377"/>
    </row>
    <row r="238" spans="1:8" x14ac:dyDescent="0.2">
      <c r="A238" s="1378" t="s">
        <v>802</v>
      </c>
      <c r="B238" s="1377"/>
      <c r="C238" s="1377"/>
      <c r="D238" s="1377"/>
      <c r="E238" s="1377"/>
      <c r="F238" s="1377"/>
      <c r="G238" s="1377"/>
      <c r="H238" s="1377"/>
    </row>
    <row r="239" spans="1:8" x14ac:dyDescent="0.2">
      <c r="A239" s="1378" t="s">
        <v>803</v>
      </c>
      <c r="B239" s="1377"/>
      <c r="C239" s="1377"/>
      <c r="D239" s="1377"/>
      <c r="E239" s="1377"/>
      <c r="F239" s="1377"/>
      <c r="G239" s="1377"/>
      <c r="H239" s="1377"/>
    </row>
    <row r="240" spans="1:8" x14ac:dyDescent="0.2">
      <c r="A240" s="1377"/>
      <c r="B240" s="1377"/>
      <c r="C240" s="1377"/>
      <c r="D240" s="1377"/>
      <c r="E240" s="1377"/>
      <c r="F240" s="1377"/>
      <c r="G240" s="1377"/>
      <c r="H240" s="1377"/>
    </row>
    <row r="241" spans="1:8" x14ac:dyDescent="0.2">
      <c r="A241" s="1378" t="s">
        <v>788</v>
      </c>
      <c r="B241" s="1377"/>
      <c r="C241" s="1377"/>
      <c r="D241" s="1377"/>
      <c r="E241" s="1377"/>
      <c r="F241" s="1377"/>
      <c r="G241" s="1377"/>
      <c r="H241" s="1377"/>
    </row>
    <row r="242" spans="1:8" x14ac:dyDescent="0.2">
      <c r="A242" s="1378" t="s">
        <v>789</v>
      </c>
      <c r="B242" s="1377"/>
      <c r="C242" s="1377"/>
      <c r="D242" s="1377"/>
      <c r="E242" s="1377"/>
      <c r="F242" s="1377"/>
      <c r="G242" s="1377"/>
      <c r="H242" s="1377"/>
    </row>
    <row r="243" spans="1:8" x14ac:dyDescent="0.2">
      <c r="A243" s="1378" t="s">
        <v>790</v>
      </c>
      <c r="B243" s="1377"/>
      <c r="C243" s="1377"/>
      <c r="D243" s="1377"/>
      <c r="E243" s="1377"/>
      <c r="F243" s="1377"/>
      <c r="G243" s="1377"/>
      <c r="H243" s="1377"/>
    </row>
    <row r="244" spans="1:8" x14ac:dyDescent="0.2">
      <c r="A244" s="1378" t="s">
        <v>791</v>
      </c>
      <c r="B244" s="1377"/>
      <c r="C244" s="1377"/>
      <c r="D244" s="1377"/>
      <c r="E244" s="1377"/>
      <c r="F244" s="1377"/>
      <c r="G244" s="1377"/>
      <c r="H244" s="1377"/>
    </row>
    <row r="245" spans="1:8" x14ac:dyDescent="0.2">
      <c r="A245" s="1378" t="s">
        <v>792</v>
      </c>
      <c r="B245" s="1377"/>
      <c r="C245" s="1377"/>
      <c r="D245" s="1377"/>
      <c r="E245" s="1377"/>
      <c r="F245" s="1377"/>
      <c r="G245" s="1377"/>
      <c r="H245" s="1377"/>
    </row>
    <row r="246" spans="1:8" x14ac:dyDescent="0.2">
      <c r="A246" s="1378" t="s">
        <v>793</v>
      </c>
      <c r="B246" s="1377"/>
      <c r="C246" s="1377"/>
      <c r="D246" s="1377"/>
      <c r="E246" s="1377"/>
      <c r="F246" s="1377"/>
      <c r="G246" s="1377"/>
      <c r="H246" s="1377"/>
    </row>
    <row r="247" spans="1:8" x14ac:dyDescent="0.2">
      <c r="A247" s="1378" t="s">
        <v>794</v>
      </c>
      <c r="B247" s="1377"/>
      <c r="C247" s="1377"/>
      <c r="D247" s="1377"/>
      <c r="E247" s="1377"/>
      <c r="F247" s="1377"/>
      <c r="G247" s="1377"/>
      <c r="H247" s="1377"/>
    </row>
    <row r="248" spans="1:8" x14ac:dyDescent="0.2">
      <c r="A248" s="1378" t="s">
        <v>795</v>
      </c>
      <c r="B248" s="1377"/>
      <c r="C248" s="1377"/>
      <c r="D248" s="1377"/>
      <c r="E248" s="1377"/>
      <c r="F248" s="1377"/>
      <c r="G248" s="1377"/>
      <c r="H248" s="1377"/>
    </row>
    <row r="249" spans="1:8" x14ac:dyDescent="0.2">
      <c r="A249" s="1378" t="s">
        <v>796</v>
      </c>
      <c r="B249" s="1377"/>
      <c r="C249" s="1377"/>
      <c r="D249" s="1377"/>
      <c r="E249" s="1377"/>
      <c r="F249" s="1377"/>
      <c r="G249" s="1377"/>
      <c r="H249" s="1377"/>
    </row>
    <row r="250" spans="1:8" x14ac:dyDescent="0.2">
      <c r="A250" s="1378" t="s">
        <v>797</v>
      </c>
      <c r="B250" s="1377"/>
      <c r="C250" s="1377"/>
      <c r="D250" s="1377"/>
      <c r="E250" s="1377"/>
      <c r="F250" s="1377"/>
      <c r="G250" s="1377"/>
      <c r="H250" s="1377"/>
    </row>
    <row r="251" spans="1:8" x14ac:dyDescent="0.2">
      <c r="A251" s="1377"/>
      <c r="B251" s="1377"/>
      <c r="C251" s="1377"/>
      <c r="D251" s="1377"/>
      <c r="E251" s="1377"/>
      <c r="F251" s="1377"/>
      <c r="G251" s="1377"/>
      <c r="H251" s="1377"/>
    </row>
    <row r="252" spans="1:8" x14ac:dyDescent="0.2">
      <c r="A252" s="1378" t="s">
        <v>786</v>
      </c>
      <c r="B252" s="1377"/>
      <c r="C252" s="1377"/>
      <c r="D252" s="1377"/>
      <c r="E252" s="1377"/>
      <c r="F252" s="1377"/>
      <c r="G252" s="1377"/>
      <c r="H252" s="1377"/>
    </row>
    <row r="253" spans="1:8" x14ac:dyDescent="0.2">
      <c r="A253" s="1378" t="s">
        <v>787</v>
      </c>
      <c r="B253" s="1377"/>
      <c r="C253" s="1377"/>
      <c r="D253" s="1377"/>
      <c r="E253" s="1377"/>
      <c r="F253" s="1377"/>
      <c r="G253" s="1377"/>
      <c r="H253" s="1377"/>
    </row>
    <row r="254" spans="1:8" x14ac:dyDescent="0.2">
      <c r="A254" s="1377"/>
      <c r="B254" s="1377"/>
      <c r="C254" s="1377"/>
      <c r="D254" s="1377"/>
      <c r="E254" s="1377"/>
      <c r="F254" s="1377"/>
      <c r="G254" s="1377"/>
      <c r="H254" s="1377"/>
    </row>
    <row r="255" spans="1:8" x14ac:dyDescent="0.2">
      <c r="A255" s="1378" t="s">
        <v>770</v>
      </c>
      <c r="B255" s="1377"/>
      <c r="C255" s="1377"/>
      <c r="D255" s="1377"/>
      <c r="E255" s="1377"/>
      <c r="F255" s="1377"/>
      <c r="G255" s="1377"/>
      <c r="H255" s="1377"/>
    </row>
    <row r="256" spans="1:8" x14ac:dyDescent="0.2">
      <c r="A256" s="1378" t="s">
        <v>771</v>
      </c>
      <c r="B256" s="1377"/>
      <c r="C256" s="1377"/>
      <c r="D256" s="1377"/>
      <c r="E256" s="1377"/>
      <c r="F256" s="1377"/>
      <c r="G256" s="1377"/>
      <c r="H256" s="1377"/>
    </row>
    <row r="257" spans="1:8" x14ac:dyDescent="0.2">
      <c r="A257" s="1378" t="s">
        <v>772</v>
      </c>
      <c r="B257" s="1377"/>
      <c r="C257" s="1377"/>
      <c r="D257" s="1377"/>
      <c r="E257" s="1377"/>
      <c r="F257" s="1377"/>
      <c r="G257" s="1377"/>
      <c r="H257" s="1377"/>
    </row>
    <row r="258" spans="1:8" x14ac:dyDescent="0.2">
      <c r="A258" s="1378" t="s">
        <v>773</v>
      </c>
      <c r="B258" s="1377"/>
      <c r="C258" s="1377"/>
      <c r="D258" s="1377"/>
      <c r="E258" s="1377"/>
      <c r="F258" s="1377"/>
      <c r="G258" s="1377"/>
      <c r="H258" s="1377"/>
    </row>
    <row r="259" spans="1:8" x14ac:dyDescent="0.2">
      <c r="A259" s="1378" t="s">
        <v>774</v>
      </c>
      <c r="B259" s="1377"/>
      <c r="C259" s="1377"/>
      <c r="D259" s="1377"/>
      <c r="E259" s="1377"/>
      <c r="F259" s="1377"/>
      <c r="G259" s="1377"/>
      <c r="H259" s="1377"/>
    </row>
    <row r="260" spans="1:8" x14ac:dyDescent="0.2">
      <c r="A260" s="1378" t="s">
        <v>775</v>
      </c>
      <c r="B260" s="1377"/>
      <c r="C260" s="1377"/>
      <c r="D260" s="1377"/>
      <c r="E260" s="1377"/>
      <c r="F260" s="1377"/>
      <c r="G260" s="1377"/>
      <c r="H260" s="1377"/>
    </row>
    <row r="261" spans="1:8" x14ac:dyDescent="0.2">
      <c r="A261" s="1378" t="s">
        <v>776</v>
      </c>
      <c r="B261" s="1377"/>
      <c r="C261" s="1377"/>
      <c r="D261" s="1377"/>
      <c r="E261" s="1377"/>
      <c r="F261" s="1377"/>
      <c r="G261" s="1377"/>
      <c r="H261" s="1377"/>
    </row>
    <row r="262" spans="1:8" x14ac:dyDescent="0.2">
      <c r="A262" s="1378" t="s">
        <v>777</v>
      </c>
      <c r="B262" s="1377"/>
      <c r="C262" s="1377"/>
      <c r="D262" s="1377"/>
      <c r="E262" s="1377"/>
      <c r="F262" s="1377"/>
      <c r="G262" s="1377"/>
      <c r="H262" s="1377"/>
    </row>
    <row r="263" spans="1:8" x14ac:dyDescent="0.2">
      <c r="A263" s="1378" t="s">
        <v>778</v>
      </c>
      <c r="B263" s="1377"/>
      <c r="C263" s="1377"/>
      <c r="D263" s="1377"/>
      <c r="E263" s="1377"/>
      <c r="F263" s="1377"/>
      <c r="G263" s="1377"/>
      <c r="H263" s="1377"/>
    </row>
    <row r="264" spans="1:8" x14ac:dyDescent="0.2">
      <c r="A264" s="1378" t="s">
        <v>779</v>
      </c>
      <c r="B264" s="1377"/>
      <c r="C264" s="1377"/>
      <c r="D264" s="1377"/>
      <c r="E264" s="1377"/>
      <c r="F264" s="1377"/>
      <c r="G264" s="1377"/>
      <c r="H264" s="1377"/>
    </row>
    <row r="265" spans="1:8" x14ac:dyDescent="0.2">
      <c r="A265" s="1378" t="s">
        <v>780</v>
      </c>
      <c r="B265" s="1377"/>
      <c r="C265" s="1377"/>
      <c r="D265" s="1377"/>
      <c r="E265" s="1377"/>
      <c r="F265" s="1377"/>
      <c r="G265" s="1377"/>
      <c r="H265" s="1377"/>
    </row>
    <row r="266" spans="1:8" x14ac:dyDescent="0.2">
      <c r="A266" s="1378" t="s">
        <v>781</v>
      </c>
      <c r="B266" s="1377"/>
      <c r="C266" s="1377"/>
      <c r="D266" s="1377"/>
      <c r="E266" s="1377"/>
      <c r="F266" s="1377"/>
      <c r="G266" s="1377"/>
      <c r="H266" s="1377"/>
    </row>
    <row r="267" spans="1:8" x14ac:dyDescent="0.2">
      <c r="A267" s="1378" t="s">
        <v>782</v>
      </c>
      <c r="B267" s="1377"/>
      <c r="C267" s="1377"/>
      <c r="D267" s="1377"/>
      <c r="E267" s="1377"/>
      <c r="F267" s="1377"/>
      <c r="G267" s="1377"/>
      <c r="H267" s="1377"/>
    </row>
    <row r="268" spans="1:8" x14ac:dyDescent="0.2">
      <c r="A268" s="1378" t="s">
        <v>783</v>
      </c>
      <c r="B268" s="1377"/>
      <c r="C268" s="1377"/>
      <c r="D268" s="1377"/>
      <c r="E268" s="1377"/>
      <c r="F268" s="1377"/>
      <c r="G268" s="1377"/>
      <c r="H268" s="1377"/>
    </row>
    <row r="269" spans="1:8" x14ac:dyDescent="0.2">
      <c r="A269" s="1378" t="s">
        <v>784</v>
      </c>
      <c r="B269" s="1377"/>
      <c r="C269" s="1377"/>
      <c r="D269" s="1377"/>
      <c r="E269" s="1377"/>
      <c r="F269" s="1377"/>
      <c r="G269" s="1377"/>
      <c r="H269" s="1377"/>
    </row>
    <row r="270" spans="1:8" x14ac:dyDescent="0.2">
      <c r="A270" s="1378" t="s">
        <v>785</v>
      </c>
      <c r="B270" s="1377"/>
      <c r="C270" s="1377"/>
      <c r="D270" s="1377"/>
      <c r="E270" s="1377"/>
      <c r="F270" s="1377"/>
      <c r="G270" s="1377"/>
      <c r="H270" s="1377"/>
    </row>
    <row r="271" spans="1:8" x14ac:dyDescent="0.2">
      <c r="A271" s="1377"/>
      <c r="B271" s="1377"/>
      <c r="C271" s="1377"/>
      <c r="D271" s="1377"/>
      <c r="E271" s="1377"/>
      <c r="F271" s="1377"/>
      <c r="G271" s="1377"/>
      <c r="H271" s="1377"/>
    </row>
    <row r="272" spans="1:8" x14ac:dyDescent="0.2">
      <c r="A272" s="1378" t="s">
        <v>763</v>
      </c>
      <c r="B272" s="1377"/>
      <c r="C272" s="1377"/>
      <c r="D272" s="1377"/>
      <c r="E272" s="1377"/>
      <c r="F272" s="1377"/>
      <c r="G272" s="1377"/>
      <c r="H272" s="1377"/>
    </row>
    <row r="273" spans="1:8" x14ac:dyDescent="0.2">
      <c r="A273" s="1378" t="s">
        <v>764</v>
      </c>
      <c r="B273" s="1377"/>
      <c r="C273" s="1377"/>
      <c r="D273" s="1377"/>
      <c r="E273" s="1377"/>
      <c r="F273" s="1377"/>
      <c r="G273" s="1377"/>
      <c r="H273" s="1377"/>
    </row>
    <row r="274" spans="1:8" x14ac:dyDescent="0.2">
      <c r="A274" s="1378" t="s">
        <v>765</v>
      </c>
      <c r="B274" s="1377"/>
      <c r="C274" s="1377"/>
      <c r="D274" s="1377"/>
      <c r="E274" s="1377"/>
      <c r="F274" s="1377"/>
      <c r="G274" s="1377"/>
      <c r="H274" s="1377"/>
    </row>
    <row r="275" spans="1:8" x14ac:dyDescent="0.2">
      <c r="A275" s="1378" t="s">
        <v>766</v>
      </c>
      <c r="B275" s="1377"/>
      <c r="C275" s="1377"/>
      <c r="D275" s="1377"/>
      <c r="E275" s="1377"/>
      <c r="F275" s="1377"/>
      <c r="G275" s="1377"/>
      <c r="H275" s="1377"/>
    </row>
    <row r="276" spans="1:8" x14ac:dyDescent="0.2">
      <c r="A276" s="1378" t="s">
        <v>767</v>
      </c>
      <c r="B276" s="1377"/>
      <c r="C276" s="1377"/>
      <c r="D276" s="1377"/>
      <c r="E276" s="1377"/>
      <c r="F276" s="1377"/>
      <c r="G276" s="1377"/>
      <c r="H276" s="1377"/>
    </row>
    <row r="277" spans="1:8" x14ac:dyDescent="0.2">
      <c r="A277" s="1378" t="s">
        <v>768</v>
      </c>
      <c r="B277" s="1377"/>
      <c r="C277" s="1377"/>
      <c r="D277" s="1377"/>
      <c r="E277" s="1377"/>
      <c r="F277" s="1377"/>
      <c r="G277" s="1377"/>
      <c r="H277" s="1377"/>
    </row>
    <row r="278" spans="1:8" x14ac:dyDescent="0.2">
      <c r="A278" s="1378" t="s">
        <v>769</v>
      </c>
      <c r="B278" s="1377"/>
      <c r="C278" s="1377"/>
      <c r="D278" s="1377"/>
      <c r="E278" s="1377"/>
      <c r="F278" s="1377"/>
      <c r="G278" s="1377"/>
      <c r="H278" s="1377"/>
    </row>
    <row r="279" spans="1:8" x14ac:dyDescent="0.2">
      <c r="A279" s="1377"/>
      <c r="B279" s="1377"/>
      <c r="C279" s="1377"/>
      <c r="D279" s="1377"/>
      <c r="E279" s="1377"/>
      <c r="F279" s="1377"/>
      <c r="G279" s="1377"/>
      <c r="H279" s="1377"/>
    </row>
    <row r="280" spans="1:8" x14ac:dyDescent="0.2">
      <c r="A280" s="1378" t="s">
        <v>754</v>
      </c>
      <c r="B280" s="1377"/>
      <c r="C280" s="1377"/>
      <c r="D280" s="1377"/>
      <c r="E280" s="1377"/>
      <c r="F280" s="1377"/>
      <c r="G280" s="1377"/>
      <c r="H280" s="1377"/>
    </row>
    <row r="281" spans="1:8" x14ac:dyDescent="0.2">
      <c r="A281" s="1378" t="s">
        <v>755</v>
      </c>
      <c r="B281" s="1377"/>
      <c r="C281" s="1377"/>
      <c r="D281" s="1377"/>
      <c r="E281" s="1377"/>
      <c r="F281" s="1377"/>
      <c r="G281" s="1377"/>
      <c r="H281" s="1377"/>
    </row>
    <row r="282" spans="1:8" x14ac:dyDescent="0.2">
      <c r="A282" s="1378" t="s">
        <v>756</v>
      </c>
      <c r="B282" s="1377"/>
      <c r="C282" s="1377"/>
      <c r="D282" s="1377"/>
      <c r="E282" s="1377"/>
      <c r="F282" s="1377"/>
      <c r="G282" s="1377"/>
      <c r="H282" s="1377"/>
    </row>
    <row r="283" spans="1:8" x14ac:dyDescent="0.2">
      <c r="A283" s="1378" t="s">
        <v>757</v>
      </c>
      <c r="B283" s="1377"/>
      <c r="C283" s="1377"/>
      <c r="D283" s="1377"/>
      <c r="E283" s="1377"/>
      <c r="F283" s="1377"/>
      <c r="G283" s="1377"/>
      <c r="H283" s="1377"/>
    </row>
    <row r="284" spans="1:8" x14ac:dyDescent="0.2">
      <c r="A284" s="1378" t="s">
        <v>758</v>
      </c>
      <c r="B284" s="1377"/>
      <c r="C284" s="1377"/>
      <c r="D284" s="1377"/>
      <c r="E284" s="1377"/>
      <c r="F284" s="1377"/>
      <c r="G284" s="1377"/>
      <c r="H284" s="1377"/>
    </row>
    <row r="285" spans="1:8" x14ac:dyDescent="0.2">
      <c r="A285" s="1378" t="s">
        <v>759</v>
      </c>
      <c r="B285" s="1377"/>
      <c r="C285" s="1377"/>
      <c r="D285" s="1377"/>
      <c r="E285" s="1377"/>
      <c r="F285" s="1377"/>
      <c r="G285" s="1377"/>
      <c r="H285" s="1377"/>
    </row>
    <row r="286" spans="1:8" x14ac:dyDescent="0.2">
      <c r="A286" s="1378" t="s">
        <v>760</v>
      </c>
      <c r="B286" s="1377"/>
      <c r="C286" s="1377"/>
      <c r="D286" s="1377"/>
      <c r="E286" s="1377"/>
      <c r="F286" s="1377"/>
      <c r="G286" s="1377"/>
      <c r="H286" s="1377"/>
    </row>
    <row r="287" spans="1:8" x14ac:dyDescent="0.2">
      <c r="A287" s="1378" t="s">
        <v>761</v>
      </c>
      <c r="B287" s="1377"/>
      <c r="C287" s="1377"/>
      <c r="D287" s="1377"/>
      <c r="E287" s="1377"/>
      <c r="F287" s="1377"/>
      <c r="G287" s="1377"/>
      <c r="H287" s="1377"/>
    </row>
    <row r="288" spans="1:8" x14ac:dyDescent="0.2">
      <c r="A288" s="1378" t="s">
        <v>762</v>
      </c>
      <c r="B288" s="1377"/>
      <c r="C288" s="1377"/>
      <c r="D288" s="1377"/>
      <c r="E288" s="1377"/>
      <c r="F288" s="1377"/>
      <c r="G288" s="1377"/>
      <c r="H288" s="1377"/>
    </row>
    <row r="289" spans="1:8" x14ac:dyDescent="0.2">
      <c r="A289" s="1377"/>
      <c r="B289" s="1377"/>
      <c r="C289" s="1377"/>
      <c r="D289" s="1377"/>
      <c r="E289" s="1377"/>
      <c r="F289" s="1377"/>
      <c r="G289" s="1377"/>
      <c r="H289" s="1377"/>
    </row>
    <row r="290" spans="1:8" x14ac:dyDescent="0.2">
      <c r="A290" s="1378" t="s">
        <v>747</v>
      </c>
      <c r="B290" s="1377"/>
      <c r="C290" s="1377"/>
      <c r="D290" s="1377"/>
      <c r="E290" s="1377"/>
      <c r="F290" s="1377"/>
      <c r="G290" s="1377"/>
      <c r="H290" s="1377"/>
    </row>
    <row r="291" spans="1:8" x14ac:dyDescent="0.2">
      <c r="A291" s="1378" t="s">
        <v>748</v>
      </c>
      <c r="B291" s="1377"/>
      <c r="C291" s="1377"/>
      <c r="D291" s="1377"/>
      <c r="E291" s="1377"/>
      <c r="F291" s="1377"/>
      <c r="G291" s="1377"/>
      <c r="H291" s="1377"/>
    </row>
    <row r="292" spans="1:8" x14ac:dyDescent="0.2">
      <c r="A292" s="1378" t="s">
        <v>749</v>
      </c>
      <c r="B292" s="1377"/>
      <c r="C292" s="1377"/>
      <c r="D292" s="1377"/>
      <c r="E292" s="1377"/>
      <c r="F292" s="1377"/>
      <c r="G292" s="1377"/>
      <c r="H292" s="1377"/>
    </row>
    <row r="293" spans="1:8" x14ac:dyDescent="0.2">
      <c r="A293" s="1378" t="s">
        <v>750</v>
      </c>
      <c r="B293" s="1377"/>
      <c r="C293" s="1377"/>
      <c r="D293" s="1377"/>
      <c r="E293" s="1377"/>
      <c r="F293" s="1377"/>
      <c r="G293" s="1377"/>
      <c r="H293" s="1377"/>
    </row>
    <row r="294" spans="1:8" x14ac:dyDescent="0.2">
      <c r="A294" s="1378" t="s">
        <v>751</v>
      </c>
      <c r="B294" s="1377"/>
      <c r="C294" s="1377"/>
      <c r="D294" s="1377"/>
      <c r="E294" s="1377"/>
      <c r="F294" s="1377"/>
      <c r="G294" s="1377"/>
      <c r="H294" s="1377"/>
    </row>
    <row r="295" spans="1:8" x14ac:dyDescent="0.2">
      <c r="A295" s="1378" t="s">
        <v>752</v>
      </c>
      <c r="B295" s="1377"/>
      <c r="C295" s="1377"/>
      <c r="D295" s="1377"/>
      <c r="E295" s="1377"/>
      <c r="F295" s="1377"/>
      <c r="G295" s="1377"/>
      <c r="H295" s="1377"/>
    </row>
    <row r="296" spans="1:8" x14ac:dyDescent="0.2">
      <c r="A296" s="1378" t="s">
        <v>753</v>
      </c>
      <c r="B296" s="1377"/>
      <c r="C296" s="1377"/>
      <c r="D296" s="1377"/>
      <c r="E296" s="1377"/>
      <c r="F296" s="1377"/>
      <c r="G296" s="1377"/>
      <c r="H296" s="1377"/>
    </row>
    <row r="297" spans="1:8" x14ac:dyDescent="0.2">
      <c r="A297" s="1377"/>
      <c r="B297" s="1377"/>
      <c r="C297" s="1377"/>
      <c r="D297" s="1377"/>
      <c r="E297" s="1377"/>
      <c r="F297" s="1377"/>
      <c r="G297" s="1377"/>
      <c r="H297" s="1377"/>
    </row>
    <row r="298" spans="1:8" x14ac:dyDescent="0.2">
      <c r="A298" s="1378" t="s">
        <v>744</v>
      </c>
      <c r="B298" s="1377"/>
      <c r="C298" s="1377"/>
      <c r="D298" s="1377"/>
      <c r="E298" s="1377"/>
      <c r="F298" s="1377"/>
      <c r="G298" s="1377"/>
      <c r="H298" s="1377"/>
    </row>
    <row r="299" spans="1:8" x14ac:dyDescent="0.2">
      <c r="A299" s="1378" t="s">
        <v>745</v>
      </c>
      <c r="B299" s="1377"/>
      <c r="C299" s="1377"/>
      <c r="D299" s="1377"/>
      <c r="E299" s="1377"/>
      <c r="F299" s="1377"/>
      <c r="G299" s="1377"/>
      <c r="H299" s="1377"/>
    </row>
    <row r="300" spans="1:8" x14ac:dyDescent="0.2">
      <c r="A300" s="1378" t="s">
        <v>746</v>
      </c>
      <c r="B300" s="1377"/>
      <c r="C300" s="1377"/>
      <c r="D300" s="1377"/>
      <c r="E300" s="1377"/>
      <c r="F300" s="1377"/>
      <c r="G300" s="1377"/>
      <c r="H300" s="1377"/>
    </row>
    <row r="301" spans="1:8" x14ac:dyDescent="0.2">
      <c r="A301" s="1377"/>
      <c r="B301" s="1377"/>
      <c r="C301" s="1377"/>
      <c r="D301" s="1377"/>
      <c r="E301" s="1377"/>
      <c r="F301" s="1377"/>
      <c r="G301" s="1377"/>
      <c r="H301" s="1377"/>
    </row>
    <row r="302" spans="1:8" x14ac:dyDescent="0.2">
      <c r="A302" s="1378" t="s">
        <v>742</v>
      </c>
      <c r="B302" s="1377"/>
      <c r="C302" s="1377"/>
      <c r="D302" s="1377"/>
      <c r="E302" s="1377"/>
      <c r="F302" s="1377"/>
      <c r="G302" s="1377"/>
      <c r="H302" s="1377"/>
    </row>
    <row r="303" spans="1:8" x14ac:dyDescent="0.2">
      <c r="A303" s="1378" t="s">
        <v>743</v>
      </c>
      <c r="B303" s="1377"/>
      <c r="C303" s="1377"/>
      <c r="D303" s="1377"/>
      <c r="E303" s="1377"/>
      <c r="F303" s="1377"/>
      <c r="G303" s="1377"/>
      <c r="H303" s="1377"/>
    </row>
    <row r="304" spans="1:8" x14ac:dyDescent="0.2">
      <c r="A304" s="1377"/>
      <c r="B304" s="1377"/>
      <c r="C304" s="1377"/>
      <c r="D304" s="1377"/>
      <c r="E304" s="1377"/>
      <c r="F304" s="1377"/>
      <c r="G304" s="1377"/>
      <c r="H304" s="1377"/>
    </row>
    <row r="305" spans="1:8" x14ac:dyDescent="0.2">
      <c r="A305" s="1378" t="s">
        <v>729</v>
      </c>
      <c r="B305" s="1377"/>
      <c r="C305" s="1377"/>
      <c r="D305" s="1377"/>
      <c r="E305" s="1377"/>
      <c r="F305" s="1377"/>
      <c r="G305" s="1377"/>
      <c r="H305" s="1377"/>
    </row>
    <row r="306" spans="1:8" x14ac:dyDescent="0.2">
      <c r="A306" s="1378" t="s">
        <v>730</v>
      </c>
      <c r="B306" s="1377"/>
      <c r="C306" s="1377"/>
      <c r="D306" s="1377"/>
      <c r="E306" s="1377"/>
      <c r="F306" s="1377"/>
      <c r="G306" s="1377"/>
      <c r="H306" s="1377"/>
    </row>
    <row r="307" spans="1:8" x14ac:dyDescent="0.2">
      <c r="A307" s="1378" t="s">
        <v>731</v>
      </c>
      <c r="B307" s="1377"/>
      <c r="C307" s="1377"/>
      <c r="D307" s="1377"/>
      <c r="E307" s="1377"/>
      <c r="F307" s="1377"/>
      <c r="G307" s="1377"/>
      <c r="H307" s="1377"/>
    </row>
    <row r="308" spans="1:8" x14ac:dyDescent="0.2">
      <c r="A308" s="1378" t="s">
        <v>732</v>
      </c>
      <c r="B308" s="1377"/>
      <c r="C308" s="1377"/>
      <c r="D308" s="1377"/>
      <c r="E308" s="1377"/>
      <c r="F308" s="1377"/>
      <c r="G308" s="1377"/>
      <c r="H308" s="1377"/>
    </row>
    <row r="309" spans="1:8" x14ac:dyDescent="0.2">
      <c r="A309" s="1378" t="s">
        <v>733</v>
      </c>
      <c r="B309" s="1377"/>
      <c r="C309" s="1377"/>
      <c r="D309" s="1377"/>
      <c r="E309" s="1377"/>
      <c r="F309" s="1377"/>
      <c r="G309" s="1377"/>
      <c r="H309" s="1377"/>
    </row>
    <row r="310" spans="1:8" x14ac:dyDescent="0.2">
      <c r="A310" s="1378" t="s">
        <v>734</v>
      </c>
      <c r="B310" s="1377"/>
      <c r="C310" s="1377"/>
      <c r="D310" s="1377"/>
      <c r="E310" s="1377"/>
      <c r="F310" s="1377"/>
      <c r="G310" s="1377"/>
      <c r="H310" s="1377"/>
    </row>
    <row r="311" spans="1:8" x14ac:dyDescent="0.2">
      <c r="A311" s="1378" t="s">
        <v>735</v>
      </c>
      <c r="B311" s="1377"/>
      <c r="C311" s="1377"/>
      <c r="D311" s="1377"/>
      <c r="E311" s="1377"/>
      <c r="F311" s="1377"/>
      <c r="G311" s="1377"/>
      <c r="H311" s="1377"/>
    </row>
    <row r="312" spans="1:8" x14ac:dyDescent="0.2">
      <c r="A312" s="1378" t="s">
        <v>736</v>
      </c>
      <c r="B312" s="1377"/>
      <c r="C312" s="1377"/>
      <c r="D312" s="1377"/>
      <c r="E312" s="1377"/>
      <c r="F312" s="1377"/>
      <c r="G312" s="1377"/>
      <c r="H312" s="1377"/>
    </row>
    <row r="313" spans="1:8" x14ac:dyDescent="0.2">
      <c r="A313" s="1378" t="s">
        <v>737</v>
      </c>
      <c r="B313" s="1377"/>
      <c r="C313" s="1377"/>
      <c r="D313" s="1377"/>
      <c r="E313" s="1377"/>
      <c r="F313" s="1377"/>
      <c r="G313" s="1377"/>
      <c r="H313" s="1377"/>
    </row>
    <row r="314" spans="1:8" x14ac:dyDescent="0.2">
      <c r="A314" s="1378" t="s">
        <v>738</v>
      </c>
      <c r="B314" s="1377"/>
      <c r="C314" s="1377"/>
      <c r="D314" s="1377"/>
      <c r="E314" s="1377"/>
      <c r="F314" s="1377"/>
      <c r="G314" s="1377"/>
      <c r="H314" s="1377"/>
    </row>
    <row r="315" spans="1:8" x14ac:dyDescent="0.2">
      <c r="A315" s="1378" t="s">
        <v>739</v>
      </c>
      <c r="B315" s="1377"/>
      <c r="C315" s="1377"/>
      <c r="D315" s="1377"/>
      <c r="E315" s="1377"/>
      <c r="F315" s="1377"/>
      <c r="G315" s="1377"/>
      <c r="H315" s="1377"/>
    </row>
    <row r="316" spans="1:8" x14ac:dyDescent="0.2">
      <c r="A316" s="1378" t="s">
        <v>740</v>
      </c>
      <c r="B316" s="1377"/>
      <c r="C316" s="1377"/>
      <c r="D316" s="1377"/>
      <c r="E316" s="1377"/>
      <c r="F316" s="1377"/>
      <c r="G316" s="1377"/>
      <c r="H316" s="1377"/>
    </row>
    <row r="317" spans="1:8" x14ac:dyDescent="0.2">
      <c r="A317" s="1378" t="s">
        <v>741</v>
      </c>
      <c r="B317" s="1377"/>
      <c r="C317" s="1377"/>
      <c r="D317" s="1377"/>
      <c r="E317" s="1377"/>
      <c r="F317" s="1377"/>
      <c r="G317" s="1377"/>
      <c r="H317" s="1377"/>
    </row>
    <row r="318" spans="1:8" x14ac:dyDescent="0.2">
      <c r="A318" s="1377"/>
      <c r="B318" s="1377"/>
      <c r="C318" s="1377"/>
      <c r="D318" s="1377"/>
      <c r="E318" s="1377"/>
      <c r="F318" s="1377"/>
      <c r="G318" s="1377"/>
      <c r="H318" s="1377"/>
    </row>
    <row r="319" spans="1:8" x14ac:dyDescent="0.2">
      <c r="A319" s="1378" t="s">
        <v>721</v>
      </c>
      <c r="B319" s="1377"/>
      <c r="C319" s="1377"/>
      <c r="D319" s="1377"/>
      <c r="E319" s="1377"/>
      <c r="F319" s="1377"/>
      <c r="G319" s="1377"/>
      <c r="H319" s="1377"/>
    </row>
    <row r="320" spans="1:8" x14ac:dyDescent="0.2">
      <c r="A320" s="1378" t="s">
        <v>722</v>
      </c>
      <c r="B320" s="1377"/>
      <c r="C320" s="1377"/>
      <c r="D320" s="1377"/>
      <c r="E320" s="1377"/>
      <c r="F320" s="1377"/>
      <c r="G320" s="1377"/>
      <c r="H320" s="1377"/>
    </row>
    <row r="321" spans="1:8" x14ac:dyDescent="0.2">
      <c r="A321" s="1378" t="s">
        <v>723</v>
      </c>
      <c r="B321" s="1377"/>
      <c r="C321" s="1377"/>
      <c r="D321" s="1377"/>
      <c r="E321" s="1377"/>
      <c r="F321" s="1377"/>
      <c r="G321" s="1377"/>
      <c r="H321" s="1377"/>
    </row>
    <row r="322" spans="1:8" x14ac:dyDescent="0.2">
      <c r="A322" s="1378" t="s">
        <v>724</v>
      </c>
      <c r="B322" s="1377"/>
      <c r="C322" s="1377"/>
      <c r="D322" s="1377"/>
      <c r="E322" s="1377"/>
      <c r="F322" s="1377"/>
      <c r="G322" s="1377"/>
      <c r="H322" s="1377"/>
    </row>
    <row r="323" spans="1:8" x14ac:dyDescent="0.2">
      <c r="A323" s="1378" t="s">
        <v>725</v>
      </c>
      <c r="B323" s="1377"/>
      <c r="C323" s="1377"/>
      <c r="D323" s="1377"/>
      <c r="E323" s="1377"/>
      <c r="F323" s="1377"/>
      <c r="G323" s="1377"/>
      <c r="H323" s="1377"/>
    </row>
    <row r="324" spans="1:8" x14ac:dyDescent="0.2">
      <c r="A324" s="1378" t="s">
        <v>726</v>
      </c>
      <c r="B324" s="1377"/>
      <c r="C324" s="1377"/>
      <c r="D324" s="1377"/>
      <c r="E324" s="1377"/>
      <c r="F324" s="1377"/>
      <c r="G324" s="1377"/>
      <c r="H324" s="1377"/>
    </row>
    <row r="325" spans="1:8" x14ac:dyDescent="0.2">
      <c r="A325" s="1378" t="s">
        <v>727</v>
      </c>
      <c r="B325" s="1377"/>
      <c r="C325" s="1377"/>
      <c r="D325" s="1377"/>
      <c r="E325" s="1377"/>
      <c r="F325" s="1377"/>
      <c r="G325" s="1377"/>
      <c r="H325" s="1377"/>
    </row>
    <row r="326" spans="1:8" x14ac:dyDescent="0.2">
      <c r="A326" s="1378" t="s">
        <v>728</v>
      </c>
      <c r="B326" s="1377"/>
      <c r="C326" s="1377"/>
      <c r="D326" s="1377"/>
      <c r="E326" s="1377"/>
      <c r="F326" s="1377"/>
      <c r="G326" s="1377"/>
      <c r="H326" s="1377"/>
    </row>
    <row r="327" spans="1:8" x14ac:dyDescent="0.2">
      <c r="A327" s="1377"/>
      <c r="B327" s="1377"/>
      <c r="C327" s="1377"/>
      <c r="D327" s="1377"/>
      <c r="E327" s="1377"/>
      <c r="F327" s="1377"/>
      <c r="G327" s="1377"/>
      <c r="H327" s="1377"/>
    </row>
    <row r="328" spans="1:8" x14ac:dyDescent="0.2">
      <c r="A328" s="1378" t="s">
        <v>686</v>
      </c>
      <c r="B328" s="1377"/>
      <c r="C328" s="1377"/>
      <c r="D328" s="1377"/>
      <c r="E328" s="1377"/>
      <c r="F328" s="1377"/>
      <c r="G328" s="1377"/>
      <c r="H328" s="1377"/>
    </row>
    <row r="329" spans="1:8" x14ac:dyDescent="0.2">
      <c r="A329" s="1378" t="s">
        <v>687</v>
      </c>
      <c r="B329" s="1377"/>
      <c r="C329" s="1377"/>
      <c r="D329" s="1377"/>
      <c r="E329" s="1377"/>
      <c r="F329" s="1377"/>
      <c r="G329" s="1377"/>
      <c r="H329" s="1377"/>
    </row>
    <row r="330" spans="1:8" x14ac:dyDescent="0.2">
      <c r="A330" s="1378" t="s">
        <v>688</v>
      </c>
      <c r="B330" s="1377"/>
      <c r="C330" s="1377"/>
      <c r="D330" s="1377"/>
      <c r="E330" s="1377"/>
      <c r="F330" s="1377"/>
      <c r="G330" s="1377"/>
      <c r="H330" s="1377"/>
    </row>
    <row r="331" spans="1:8" x14ac:dyDescent="0.2">
      <c r="A331" s="1378" t="s">
        <v>689</v>
      </c>
      <c r="B331" s="1377"/>
      <c r="C331" s="1377"/>
      <c r="D331" s="1377"/>
      <c r="E331" s="1377"/>
      <c r="F331" s="1377"/>
      <c r="G331" s="1377"/>
      <c r="H331" s="1377"/>
    </row>
    <row r="332" spans="1:8" x14ac:dyDescent="0.2">
      <c r="A332" s="1378" t="s">
        <v>690</v>
      </c>
      <c r="B332" s="1377"/>
      <c r="C332" s="1377"/>
      <c r="D332" s="1377"/>
      <c r="E332" s="1377"/>
      <c r="F332" s="1377"/>
      <c r="G332" s="1377"/>
      <c r="H332" s="1377"/>
    </row>
    <row r="333" spans="1:8" x14ac:dyDescent="0.2">
      <c r="A333" s="1378" t="s">
        <v>691</v>
      </c>
      <c r="B333" s="1377"/>
      <c r="C333" s="1377"/>
      <c r="D333" s="1377"/>
      <c r="E333" s="1377"/>
      <c r="F333" s="1377"/>
      <c r="G333" s="1377"/>
      <c r="H333" s="1377"/>
    </row>
    <row r="334" spans="1:8" x14ac:dyDescent="0.2">
      <c r="A334" s="1378" t="s">
        <v>692</v>
      </c>
      <c r="B334" s="1377"/>
      <c r="C334" s="1377"/>
      <c r="D334" s="1377"/>
      <c r="E334" s="1377"/>
      <c r="F334" s="1377"/>
      <c r="G334" s="1377"/>
      <c r="H334" s="1377"/>
    </row>
    <row r="335" spans="1:8" x14ac:dyDescent="0.2">
      <c r="A335" s="1378" t="s">
        <v>693</v>
      </c>
      <c r="B335" s="1377"/>
      <c r="C335" s="1377"/>
      <c r="D335" s="1377"/>
      <c r="E335" s="1377"/>
      <c r="F335" s="1377"/>
      <c r="G335" s="1377"/>
      <c r="H335" s="1377"/>
    </row>
    <row r="336" spans="1:8" x14ac:dyDescent="0.2">
      <c r="A336" s="1378" t="s">
        <v>694</v>
      </c>
      <c r="B336" s="1377"/>
      <c r="C336" s="1377"/>
      <c r="D336" s="1377"/>
      <c r="E336" s="1377"/>
      <c r="F336" s="1377"/>
      <c r="G336" s="1377"/>
      <c r="H336" s="1377"/>
    </row>
    <row r="337" spans="1:8" x14ac:dyDescent="0.2">
      <c r="A337" s="1378" t="s">
        <v>695</v>
      </c>
      <c r="B337" s="1377"/>
      <c r="C337" s="1377"/>
      <c r="D337" s="1377"/>
      <c r="E337" s="1377"/>
      <c r="F337" s="1377"/>
      <c r="G337" s="1377"/>
      <c r="H337" s="1377"/>
    </row>
    <row r="338" spans="1:8" x14ac:dyDescent="0.2">
      <c r="A338" s="1378" t="s">
        <v>696</v>
      </c>
      <c r="B338" s="1377"/>
      <c r="C338" s="1377"/>
      <c r="D338" s="1377"/>
      <c r="E338" s="1377"/>
      <c r="F338" s="1377"/>
      <c r="G338" s="1377"/>
      <c r="H338" s="1377"/>
    </row>
    <row r="339" spans="1:8" x14ac:dyDescent="0.2">
      <c r="A339" s="1378" t="s">
        <v>697</v>
      </c>
      <c r="B339" s="1377"/>
      <c r="C339" s="1377"/>
      <c r="D339" s="1377"/>
      <c r="E339" s="1377"/>
      <c r="F339" s="1377"/>
      <c r="G339" s="1377"/>
      <c r="H339" s="1377"/>
    </row>
    <row r="340" spans="1:8" x14ac:dyDescent="0.2">
      <c r="A340" s="1378" t="s">
        <v>698</v>
      </c>
      <c r="B340" s="1377"/>
      <c r="C340" s="1377"/>
      <c r="D340" s="1377"/>
      <c r="E340" s="1377"/>
      <c r="F340" s="1377"/>
      <c r="G340" s="1377"/>
      <c r="H340" s="1377"/>
    </row>
    <row r="341" spans="1:8" x14ac:dyDescent="0.2">
      <c r="A341" s="1378" t="s">
        <v>699</v>
      </c>
      <c r="B341" s="1377"/>
      <c r="C341" s="1377"/>
      <c r="D341" s="1377"/>
      <c r="E341" s="1377"/>
      <c r="F341" s="1377"/>
      <c r="G341" s="1377"/>
      <c r="H341" s="1377"/>
    </row>
    <row r="342" spans="1:8" x14ac:dyDescent="0.2">
      <c r="A342" s="1378" t="s">
        <v>700</v>
      </c>
      <c r="B342" s="1377"/>
      <c r="C342" s="1377"/>
      <c r="D342" s="1377"/>
      <c r="E342" s="1377"/>
      <c r="F342" s="1377"/>
      <c r="G342" s="1377"/>
      <c r="H342" s="1377"/>
    </row>
    <row r="343" spans="1:8" x14ac:dyDescent="0.2">
      <c r="A343" s="1378" t="s">
        <v>701</v>
      </c>
      <c r="B343" s="1377"/>
      <c r="C343" s="1377"/>
      <c r="D343" s="1377"/>
      <c r="E343" s="1377"/>
      <c r="F343" s="1377"/>
      <c r="G343" s="1377"/>
      <c r="H343" s="1377"/>
    </row>
    <row r="344" spans="1:8" x14ac:dyDescent="0.2">
      <c r="A344" s="1378" t="s">
        <v>702</v>
      </c>
      <c r="B344" s="1377"/>
      <c r="C344" s="1377"/>
      <c r="D344" s="1377"/>
      <c r="E344" s="1377"/>
      <c r="F344" s="1377"/>
      <c r="G344" s="1377"/>
      <c r="H344" s="1377"/>
    </row>
    <row r="345" spans="1:8" x14ac:dyDescent="0.2">
      <c r="A345" s="1378" t="s">
        <v>703</v>
      </c>
      <c r="B345" s="1377"/>
      <c r="C345" s="1377"/>
      <c r="D345" s="1377"/>
      <c r="E345" s="1377"/>
      <c r="F345" s="1377"/>
      <c r="G345" s="1377"/>
      <c r="H345" s="1377"/>
    </row>
    <row r="346" spans="1:8" x14ac:dyDescent="0.2">
      <c r="A346" s="1378" t="s">
        <v>704</v>
      </c>
      <c r="B346" s="1377"/>
      <c r="C346" s="1377"/>
      <c r="D346" s="1377"/>
      <c r="E346" s="1377"/>
      <c r="F346" s="1377"/>
      <c r="G346" s="1377"/>
      <c r="H346" s="1377"/>
    </row>
    <row r="347" spans="1:8" x14ac:dyDescent="0.2">
      <c r="A347" s="1378" t="s">
        <v>705</v>
      </c>
      <c r="B347" s="1377"/>
      <c r="C347" s="1377"/>
      <c r="D347" s="1377"/>
      <c r="E347" s="1377"/>
      <c r="F347" s="1377"/>
      <c r="G347" s="1377"/>
      <c r="H347" s="1377"/>
    </row>
    <row r="348" spans="1:8" x14ac:dyDescent="0.2">
      <c r="A348" s="1378" t="s">
        <v>706</v>
      </c>
      <c r="B348" s="1377"/>
      <c r="C348" s="1377"/>
      <c r="D348" s="1377"/>
      <c r="E348" s="1377"/>
      <c r="F348" s="1377"/>
      <c r="G348" s="1377"/>
      <c r="H348" s="1377"/>
    </row>
    <row r="349" spans="1:8" x14ac:dyDescent="0.2">
      <c r="A349" s="1378" t="s">
        <v>707</v>
      </c>
      <c r="B349" s="1377"/>
      <c r="C349" s="1377"/>
      <c r="D349" s="1377"/>
      <c r="E349" s="1377"/>
      <c r="F349" s="1377"/>
      <c r="G349" s="1377"/>
      <c r="H349" s="1377"/>
    </row>
    <row r="350" spans="1:8" x14ac:dyDescent="0.2">
      <c r="A350" s="1378" t="s">
        <v>708</v>
      </c>
      <c r="B350" s="1377"/>
      <c r="C350" s="1377"/>
      <c r="D350" s="1377"/>
      <c r="E350" s="1377"/>
      <c r="F350" s="1377"/>
      <c r="G350" s="1377"/>
      <c r="H350" s="1377"/>
    </row>
    <row r="351" spans="1:8" x14ac:dyDescent="0.2">
      <c r="A351" s="1378" t="s">
        <v>709</v>
      </c>
      <c r="B351" s="1377"/>
      <c r="C351" s="1377"/>
      <c r="D351" s="1377"/>
      <c r="E351" s="1377"/>
      <c r="F351" s="1377"/>
      <c r="G351" s="1377"/>
      <c r="H351" s="1377"/>
    </row>
    <row r="352" spans="1:8" x14ac:dyDescent="0.2">
      <c r="A352" s="1378" t="s">
        <v>710</v>
      </c>
      <c r="B352" s="1377"/>
      <c r="C352" s="1377"/>
      <c r="D352" s="1377"/>
      <c r="E352" s="1377"/>
      <c r="F352" s="1377"/>
      <c r="G352" s="1377"/>
      <c r="H352" s="1377"/>
    </row>
    <row r="353" spans="1:8" x14ac:dyDescent="0.2">
      <c r="A353" s="1378" t="s">
        <v>711</v>
      </c>
      <c r="B353" s="1377"/>
      <c r="C353" s="1377"/>
      <c r="D353" s="1377"/>
      <c r="E353" s="1377"/>
      <c r="F353" s="1377"/>
      <c r="G353" s="1377"/>
      <c r="H353" s="1377"/>
    </row>
    <row r="354" spans="1:8" x14ac:dyDescent="0.2">
      <c r="A354" s="1378" t="s">
        <v>712</v>
      </c>
      <c r="B354" s="1377"/>
      <c r="C354" s="1377"/>
      <c r="D354" s="1377"/>
      <c r="E354" s="1377"/>
      <c r="F354" s="1377"/>
      <c r="G354" s="1377"/>
      <c r="H354" s="1377"/>
    </row>
    <row r="355" spans="1:8" x14ac:dyDescent="0.2">
      <c r="A355" s="1378" t="s">
        <v>713</v>
      </c>
      <c r="B355" s="1377"/>
      <c r="C355" s="1377"/>
      <c r="D355" s="1377"/>
      <c r="E355" s="1377"/>
      <c r="F355" s="1377"/>
      <c r="G355" s="1377"/>
      <c r="H355" s="1377"/>
    </row>
    <row r="356" spans="1:8" x14ac:dyDescent="0.2">
      <c r="A356" s="1378" t="s">
        <v>714</v>
      </c>
      <c r="B356" s="1377"/>
      <c r="C356" s="1377"/>
      <c r="D356" s="1377"/>
      <c r="E356" s="1377"/>
      <c r="F356" s="1377"/>
      <c r="G356" s="1377"/>
      <c r="H356" s="1377"/>
    </row>
    <row r="357" spans="1:8" x14ac:dyDescent="0.2">
      <c r="A357" s="1378" t="s">
        <v>715</v>
      </c>
      <c r="B357" s="1377"/>
      <c r="C357" s="1377"/>
      <c r="D357" s="1377"/>
      <c r="E357" s="1377"/>
      <c r="F357" s="1377"/>
      <c r="G357" s="1377"/>
      <c r="H357" s="1377"/>
    </row>
    <row r="358" spans="1:8" x14ac:dyDescent="0.2">
      <c r="A358" s="1378" t="s">
        <v>716</v>
      </c>
      <c r="B358" s="1377"/>
      <c r="C358" s="1377"/>
      <c r="D358" s="1377"/>
      <c r="E358" s="1377"/>
      <c r="F358" s="1377"/>
      <c r="G358" s="1377"/>
      <c r="H358" s="1377"/>
    </row>
    <row r="359" spans="1:8" x14ac:dyDescent="0.2">
      <c r="A359" s="1378" t="s">
        <v>717</v>
      </c>
      <c r="B359" s="1377"/>
      <c r="C359" s="1377"/>
      <c r="D359" s="1377"/>
      <c r="E359" s="1377"/>
      <c r="F359" s="1377"/>
      <c r="G359" s="1377"/>
      <c r="H359" s="1377"/>
    </row>
    <row r="360" spans="1:8" x14ac:dyDescent="0.2">
      <c r="A360" s="1378" t="s">
        <v>718</v>
      </c>
      <c r="B360" s="1377"/>
      <c r="C360" s="1377"/>
      <c r="D360" s="1377"/>
      <c r="E360" s="1377"/>
      <c r="F360" s="1377"/>
      <c r="G360" s="1377"/>
      <c r="H360" s="1377"/>
    </row>
    <row r="361" spans="1:8" x14ac:dyDescent="0.2">
      <c r="A361" s="1378" t="s">
        <v>719</v>
      </c>
      <c r="B361" s="1377"/>
      <c r="C361" s="1377"/>
      <c r="D361" s="1377"/>
      <c r="E361" s="1377"/>
      <c r="F361" s="1377"/>
      <c r="G361" s="1377"/>
      <c r="H361" s="1377"/>
    </row>
    <row r="362" spans="1:8" x14ac:dyDescent="0.2">
      <c r="A362" s="1378" t="s">
        <v>720</v>
      </c>
      <c r="B362" s="1377"/>
      <c r="C362" s="1377"/>
      <c r="D362" s="1377"/>
      <c r="E362" s="1377"/>
      <c r="F362" s="1377"/>
      <c r="G362" s="1377"/>
      <c r="H362" s="1377"/>
    </row>
    <row r="363" spans="1:8" x14ac:dyDescent="0.2">
      <c r="A363" s="1377"/>
      <c r="B363" s="1377"/>
      <c r="C363" s="1377"/>
      <c r="D363" s="1377"/>
      <c r="E363" s="1377"/>
      <c r="F363" s="1377"/>
      <c r="G363" s="1377"/>
      <c r="H363" s="1377"/>
    </row>
    <row r="364" spans="1:8" x14ac:dyDescent="0.2">
      <c r="A364" s="1378" t="s">
        <v>678</v>
      </c>
      <c r="B364" s="1377"/>
      <c r="C364" s="1377"/>
      <c r="D364" s="1377"/>
      <c r="E364" s="1377"/>
      <c r="F364" s="1377"/>
      <c r="G364" s="1377"/>
      <c r="H364" s="1377"/>
    </row>
    <row r="365" spans="1:8" x14ac:dyDescent="0.2">
      <c r="A365" s="1378" t="s">
        <v>682</v>
      </c>
      <c r="B365" s="1377"/>
      <c r="C365" s="1377"/>
      <c r="D365" s="1377"/>
      <c r="E365" s="1377"/>
      <c r="F365" s="1377"/>
      <c r="G365" s="1377"/>
      <c r="H365" s="1377"/>
    </row>
    <row r="366" spans="1:8" x14ac:dyDescent="0.2">
      <c r="A366" s="1378" t="s">
        <v>683</v>
      </c>
      <c r="B366" s="1377"/>
      <c r="C366" s="1377"/>
      <c r="D366" s="1377"/>
      <c r="E366" s="1377"/>
      <c r="F366" s="1377"/>
      <c r="G366" s="1377"/>
      <c r="H366" s="1377"/>
    </row>
    <row r="367" spans="1:8" x14ac:dyDescent="0.2">
      <c r="A367" s="1378" t="s">
        <v>684</v>
      </c>
      <c r="B367" s="1377"/>
      <c r="C367" s="1377"/>
      <c r="D367" s="1377"/>
      <c r="E367" s="1377"/>
      <c r="F367" s="1377"/>
      <c r="G367" s="1377"/>
      <c r="H367" s="1377"/>
    </row>
    <row r="368" spans="1:8" x14ac:dyDescent="0.2">
      <c r="A368" s="1378" t="s">
        <v>685</v>
      </c>
      <c r="B368" s="1377"/>
      <c r="C368" s="1377"/>
      <c r="D368" s="1377"/>
      <c r="E368" s="1377"/>
      <c r="F368" s="1377"/>
      <c r="G368" s="1377"/>
      <c r="H368" s="1377"/>
    </row>
    <row r="369" spans="1:8" x14ac:dyDescent="0.2">
      <c r="A369" s="1377"/>
      <c r="B369" s="1377"/>
      <c r="C369" s="1377"/>
      <c r="D369" s="1377"/>
      <c r="E369" s="1377"/>
      <c r="F369" s="1377"/>
      <c r="G369" s="1377"/>
      <c r="H369" s="1377"/>
    </row>
    <row r="370" spans="1:8" x14ac:dyDescent="0.2">
      <c r="A370" s="1378" t="s">
        <v>678</v>
      </c>
      <c r="B370" s="1377"/>
      <c r="C370" s="1377"/>
      <c r="D370" s="1377"/>
      <c r="E370" s="1377"/>
      <c r="F370" s="1377"/>
      <c r="G370" s="1377"/>
      <c r="H370" s="1377"/>
    </row>
    <row r="371" spans="1:8" x14ac:dyDescent="0.2">
      <c r="A371" s="1378" t="s">
        <v>679</v>
      </c>
      <c r="B371" s="1377"/>
      <c r="C371" s="1377"/>
      <c r="D371" s="1377"/>
      <c r="E371" s="1377"/>
      <c r="F371" s="1377"/>
      <c r="G371" s="1377"/>
      <c r="H371" s="1377"/>
    </row>
    <row r="372" spans="1:8" x14ac:dyDescent="0.2">
      <c r="A372" s="1378" t="s">
        <v>680</v>
      </c>
      <c r="B372" s="1377"/>
      <c r="C372" s="1377"/>
      <c r="D372" s="1377"/>
      <c r="E372" s="1377"/>
      <c r="F372" s="1377"/>
      <c r="G372" s="1377"/>
      <c r="H372" s="1377"/>
    </row>
    <row r="373" spans="1:8" x14ac:dyDescent="0.2">
      <c r="A373" s="1378" t="s">
        <v>681</v>
      </c>
      <c r="B373" s="1377"/>
      <c r="C373" s="1377"/>
      <c r="D373" s="1377"/>
      <c r="E373" s="1377"/>
      <c r="F373" s="1377"/>
      <c r="G373" s="1377"/>
      <c r="H373" s="1377"/>
    </row>
    <row r="374" spans="1:8" x14ac:dyDescent="0.2">
      <c r="A374" s="1377"/>
      <c r="B374" s="1377"/>
      <c r="C374" s="1377"/>
      <c r="D374" s="1377"/>
      <c r="E374" s="1377"/>
      <c r="F374" s="1377"/>
      <c r="G374" s="1377"/>
      <c r="H374" s="1377"/>
    </row>
    <row r="375" spans="1:8" x14ac:dyDescent="0.2">
      <c r="A375" s="1378" t="s">
        <v>672</v>
      </c>
      <c r="B375" s="1377"/>
      <c r="C375" s="1377"/>
      <c r="D375" s="1377"/>
      <c r="E375" s="1377"/>
      <c r="F375" s="1377"/>
      <c r="G375" s="1377"/>
      <c r="H375" s="1377"/>
    </row>
    <row r="376" spans="1:8" x14ac:dyDescent="0.2">
      <c r="A376" s="1378" t="s">
        <v>673</v>
      </c>
      <c r="B376" s="1377"/>
      <c r="C376" s="1377"/>
      <c r="D376" s="1377"/>
      <c r="E376" s="1377"/>
      <c r="F376" s="1377"/>
      <c r="G376" s="1377"/>
      <c r="H376" s="1377"/>
    </row>
    <row r="377" spans="1:8" x14ac:dyDescent="0.2">
      <c r="A377" s="1378" t="s">
        <v>674</v>
      </c>
      <c r="B377" s="1377"/>
      <c r="C377" s="1377"/>
      <c r="D377" s="1377"/>
      <c r="E377" s="1377"/>
      <c r="F377" s="1377"/>
      <c r="G377" s="1377"/>
      <c r="H377" s="1377"/>
    </row>
    <row r="378" spans="1:8" x14ac:dyDescent="0.2">
      <c r="A378" s="1378" t="s">
        <v>675</v>
      </c>
      <c r="B378" s="1377"/>
      <c r="C378" s="1377"/>
      <c r="D378" s="1377"/>
      <c r="E378" s="1377"/>
      <c r="F378" s="1377"/>
      <c r="G378" s="1377"/>
      <c r="H378" s="1377"/>
    </row>
    <row r="379" spans="1:8" x14ac:dyDescent="0.2">
      <c r="A379" s="1378" t="s">
        <v>676</v>
      </c>
      <c r="B379" s="1377"/>
      <c r="C379" s="1377"/>
      <c r="D379" s="1377"/>
      <c r="E379" s="1377"/>
      <c r="F379" s="1377"/>
      <c r="G379" s="1377"/>
      <c r="H379" s="1377"/>
    </row>
    <row r="380" spans="1:8" x14ac:dyDescent="0.2">
      <c r="A380" s="1378" t="s">
        <v>677</v>
      </c>
      <c r="B380" s="1377"/>
      <c r="C380" s="1377"/>
      <c r="D380" s="1377"/>
      <c r="E380" s="1377"/>
      <c r="F380" s="1377"/>
      <c r="G380" s="1377"/>
      <c r="H380" s="1377"/>
    </row>
    <row r="381" spans="1:8" x14ac:dyDescent="0.2">
      <c r="A381" s="1377"/>
      <c r="B381" s="1377"/>
      <c r="C381" s="1377"/>
      <c r="D381" s="1377"/>
      <c r="E381" s="1377"/>
      <c r="F381" s="1377"/>
      <c r="G381" s="1377"/>
      <c r="H381" s="1377"/>
    </row>
    <row r="382" spans="1:8" x14ac:dyDescent="0.2">
      <c r="A382" s="1378" t="s">
        <v>667</v>
      </c>
      <c r="B382" s="1377"/>
      <c r="C382" s="1377"/>
      <c r="D382" s="1377"/>
      <c r="E382" s="1377"/>
      <c r="F382" s="1377"/>
      <c r="G382" s="1377"/>
      <c r="H382" s="1377"/>
    </row>
    <row r="383" spans="1:8" x14ac:dyDescent="0.2">
      <c r="A383" s="1378" t="s">
        <v>668</v>
      </c>
      <c r="B383" s="1377"/>
      <c r="C383" s="1377"/>
      <c r="D383" s="1377"/>
      <c r="E383" s="1377"/>
      <c r="F383" s="1377"/>
      <c r="G383" s="1377"/>
      <c r="H383" s="1377"/>
    </row>
    <row r="384" spans="1:8" x14ac:dyDescent="0.2">
      <c r="A384" s="1378" t="s">
        <v>669</v>
      </c>
      <c r="B384" s="1377"/>
      <c r="C384" s="1377"/>
      <c r="D384" s="1377"/>
      <c r="E384" s="1377"/>
      <c r="F384" s="1377"/>
      <c r="G384" s="1377"/>
      <c r="H384" s="1377"/>
    </row>
    <row r="385" spans="1:8" x14ac:dyDescent="0.2">
      <c r="A385" s="1378" t="s">
        <v>670</v>
      </c>
      <c r="B385" s="1377"/>
      <c r="C385" s="1377"/>
      <c r="D385" s="1377"/>
      <c r="E385" s="1377"/>
      <c r="F385" s="1377"/>
      <c r="G385" s="1377"/>
      <c r="H385" s="1377"/>
    </row>
    <row r="386" spans="1:8" x14ac:dyDescent="0.2">
      <c r="A386" s="1378" t="s">
        <v>671</v>
      </c>
      <c r="B386" s="1377"/>
      <c r="C386" s="1377"/>
      <c r="D386" s="1377"/>
      <c r="E386" s="1377"/>
      <c r="F386" s="1377"/>
      <c r="G386" s="1377"/>
      <c r="H386" s="1377"/>
    </row>
    <row r="387" spans="1:8" x14ac:dyDescent="0.2">
      <c r="A387" s="1377"/>
      <c r="B387" s="1377"/>
      <c r="C387" s="1377"/>
      <c r="D387" s="1377"/>
      <c r="E387" s="1377"/>
      <c r="F387" s="1377"/>
      <c r="G387" s="1377"/>
      <c r="H387" s="1377"/>
    </row>
    <row r="388" spans="1:8" x14ac:dyDescent="0.2">
      <c r="A388" s="1378" t="s">
        <v>665</v>
      </c>
      <c r="B388" s="1377"/>
      <c r="C388" s="1377"/>
      <c r="D388" s="1377"/>
      <c r="E388" s="1377"/>
      <c r="F388" s="1377"/>
      <c r="G388" s="1377"/>
      <c r="H388" s="1377"/>
    </row>
    <row r="389" spans="1:8" x14ac:dyDescent="0.2">
      <c r="A389" s="1378" t="s">
        <v>666</v>
      </c>
      <c r="B389" s="1377"/>
      <c r="C389" s="1377"/>
      <c r="D389" s="1377"/>
      <c r="E389" s="1377"/>
      <c r="F389" s="1377"/>
      <c r="G389" s="1377"/>
      <c r="H389" s="1377"/>
    </row>
    <row r="391" spans="1:8" x14ac:dyDescent="0.2">
      <c r="A391" s="1373" t="s">
        <v>921</v>
      </c>
    </row>
  </sheetData>
  <mergeCells count="12">
    <mergeCell ref="A114:H114"/>
    <mergeCell ref="A121:H121"/>
    <mergeCell ref="A108:H108"/>
    <mergeCell ref="A109:H109"/>
    <mergeCell ref="A110:H110"/>
    <mergeCell ref="A111:H111"/>
    <mergeCell ref="A113:H113"/>
    <mergeCell ref="A129:H129"/>
    <mergeCell ref="A130:H130"/>
    <mergeCell ref="B122:C122"/>
    <mergeCell ref="D122:F122"/>
    <mergeCell ref="G122:H122"/>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enableFormatConditionsCalculation="0"/>
  <dimension ref="A1:Z55"/>
  <sheetViews>
    <sheetView workbookViewId="0">
      <selection activeCell="P53" sqref="P53"/>
    </sheetView>
  </sheetViews>
  <sheetFormatPr defaultColWidth="10.28515625" defaultRowHeight="12" outlineLevelRow="1" x14ac:dyDescent="0.15"/>
  <cols>
    <col min="1" max="1" width="3" style="380" customWidth="1"/>
    <col min="2" max="2" width="17" style="380" customWidth="1"/>
    <col min="3" max="6" width="8.7109375" style="380" customWidth="1"/>
    <col min="7" max="7" width="3" style="380" customWidth="1"/>
    <col min="8" max="10" width="8.7109375" style="380" customWidth="1"/>
    <col min="11" max="11" width="3" style="380" customWidth="1"/>
    <col min="12" max="12" width="12.42578125" style="380" bestFit="1" customWidth="1"/>
    <col min="13" max="14" width="3" style="380" customWidth="1"/>
    <col min="15" max="15" width="19.5703125" style="380" bestFit="1" customWidth="1"/>
    <col min="16" max="18" width="7.5703125" style="380" customWidth="1"/>
    <col min="19" max="19" width="3" style="380" customWidth="1"/>
    <col min="20" max="22" width="7.5703125" style="380" customWidth="1"/>
    <col min="23" max="23" width="3" style="380" customWidth="1"/>
    <col min="24" max="26" width="7.5703125" style="380" customWidth="1"/>
    <col min="27" max="27" width="3" style="380" customWidth="1"/>
    <col min="28" max="16384" width="10.28515625" style="380"/>
  </cols>
  <sheetData>
    <row r="1" spans="1:26" ht="13.5" thickBot="1" x14ac:dyDescent="0.25">
      <c r="A1" s="377"/>
      <c r="B1" s="378" t="s">
        <v>469</v>
      </c>
      <c r="C1" s="379"/>
      <c r="D1" s="379"/>
      <c r="E1" s="379"/>
      <c r="F1" s="1079" t="s">
        <v>611</v>
      </c>
      <c r="G1" s="377"/>
      <c r="H1" s="377"/>
      <c r="I1" s="377"/>
      <c r="J1" s="377"/>
      <c r="K1" s="377"/>
      <c r="L1" s="377"/>
      <c r="M1" s="377"/>
      <c r="N1" s="377"/>
      <c r="O1" s="378"/>
      <c r="P1" s="379"/>
      <c r="Q1" s="379"/>
      <c r="R1" s="379"/>
      <c r="S1" s="377"/>
      <c r="T1" s="377"/>
      <c r="U1" s="377"/>
      <c r="V1" s="377"/>
      <c r="W1" s="377"/>
      <c r="X1" s="377"/>
      <c r="Y1" s="377"/>
      <c r="Z1" s="377"/>
    </row>
    <row r="2" spans="1:26" ht="12.75" x14ac:dyDescent="0.2">
      <c r="A2" s="377"/>
      <c r="B2" s="472"/>
      <c r="C2" s="473" t="s">
        <v>519</v>
      </c>
      <c r="D2" s="473" t="s">
        <v>502</v>
      </c>
      <c r="E2" s="473" t="s">
        <v>519</v>
      </c>
      <c r="F2" s="474" t="s">
        <v>607</v>
      </c>
      <c r="G2" s="377"/>
      <c r="H2" s="489" t="s">
        <v>465</v>
      </c>
      <c r="I2" s="490"/>
      <c r="J2" s="491"/>
      <c r="K2" s="377"/>
      <c r="L2" s="492" t="s">
        <v>504</v>
      </c>
      <c r="M2" s="377"/>
      <c r="N2" s="377"/>
      <c r="O2" s="381"/>
      <c r="P2" s="382"/>
      <c r="Q2" s="382"/>
      <c r="R2" s="382"/>
      <c r="S2" s="377"/>
      <c r="T2" s="382"/>
      <c r="U2" s="382"/>
      <c r="V2" s="382"/>
      <c r="W2" s="377"/>
      <c r="X2" s="382"/>
      <c r="Y2" s="382"/>
      <c r="Z2" s="382"/>
    </row>
    <row r="3" spans="1:26" ht="12.75" x14ac:dyDescent="0.2">
      <c r="A3" s="377"/>
      <c r="B3" s="475"/>
      <c r="C3" s="476" t="s">
        <v>614</v>
      </c>
      <c r="D3" s="476" t="s">
        <v>615</v>
      </c>
      <c r="E3" s="476" t="s">
        <v>614</v>
      </c>
      <c r="F3" s="477" t="s">
        <v>616</v>
      </c>
      <c r="G3" s="377"/>
      <c r="H3" s="673" t="str">
        <f>C3</f>
        <v>3Q17A</v>
      </c>
      <c r="I3" s="674" t="str">
        <f>E2&amp;" "&amp;E3</f>
        <v>TY 3Q17A</v>
      </c>
      <c r="J3" s="675" t="s">
        <v>503</v>
      </c>
      <c r="K3" s="377"/>
      <c r="L3" s="383" t="s">
        <v>505</v>
      </c>
      <c r="M3" s="377"/>
      <c r="N3" s="377"/>
      <c r="O3" s="382"/>
      <c r="P3" s="382"/>
      <c r="Q3" s="382"/>
      <c r="R3" s="382"/>
      <c r="S3" s="377"/>
      <c r="T3" s="382"/>
      <c r="U3" s="382"/>
      <c r="V3" s="382"/>
      <c r="W3" s="377"/>
      <c r="X3" s="382"/>
      <c r="Y3" s="382"/>
      <c r="Z3" s="382"/>
    </row>
    <row r="4" spans="1:26" ht="12.75" x14ac:dyDescent="0.2">
      <c r="A4" s="377"/>
      <c r="B4" s="384" t="s">
        <v>287</v>
      </c>
      <c r="C4" s="478">
        <f>sumry!EJ10</f>
        <v>3541</v>
      </c>
      <c r="D4" s="385">
        <f>sumry!EE12</f>
        <v>3542</v>
      </c>
      <c r="E4" s="385">
        <v>3544.9786706056129</v>
      </c>
      <c r="F4" s="1080">
        <f>_xll.ThomsonONEAddinShim.SpreadsheetFormulas.TF($B$1,"TF.ES.Sales.Mean(period=#1,scale=6)",,F1)</f>
        <v>3343.1</v>
      </c>
      <c r="G4" s="377"/>
      <c r="H4" s="386">
        <f>IF(ISERROR(C4-D4)=TRUE,"NA",C4-D4)</f>
        <v>-1</v>
      </c>
      <c r="I4" s="387">
        <f>IF(ISERROR(C4-E4)=TRUE,"NA",C4-E4)</f>
        <v>-3.9786706056129333</v>
      </c>
      <c r="J4" s="388">
        <f>IF(ISERROR(C4-F4)=TRUE,"NA",C4-F4)</f>
        <v>197.90000000000009</v>
      </c>
      <c r="K4" s="377"/>
      <c r="L4" s="389">
        <f>(C4-E4)*C38/C27</f>
        <v>-7.5820111734101235E-4</v>
      </c>
      <c r="M4" s="377"/>
      <c r="N4" s="377"/>
      <c r="O4" s="390"/>
      <c r="P4" s="391"/>
      <c r="Q4" s="391"/>
      <c r="R4" s="391"/>
      <c r="S4" s="377"/>
      <c r="T4" s="392"/>
      <c r="U4" s="392"/>
      <c r="V4" s="392"/>
      <c r="W4" s="377"/>
      <c r="X4" s="393"/>
      <c r="Y4" s="391"/>
      <c r="Z4" s="391"/>
    </row>
    <row r="5" spans="1:26" ht="12.75" x14ac:dyDescent="0.2">
      <c r="A5" s="377"/>
      <c r="B5" s="394" t="s">
        <v>522</v>
      </c>
      <c r="C5" s="479">
        <f>'qtrP&amp;L'!DH11</f>
        <v>3717</v>
      </c>
      <c r="D5" s="395">
        <f>'qtrP&amp;L'!DD11</f>
        <v>3592</v>
      </c>
      <c r="E5" s="395">
        <v>3717</v>
      </c>
      <c r="F5" s="396"/>
      <c r="G5" s="377"/>
      <c r="H5" s="397"/>
      <c r="I5" s="398"/>
      <c r="J5" s="399"/>
      <c r="K5" s="377"/>
      <c r="L5" s="400"/>
      <c r="M5" s="377"/>
      <c r="N5" s="377"/>
      <c r="O5" s="390"/>
      <c r="P5" s="401"/>
      <c r="Q5" s="401"/>
      <c r="R5" s="401"/>
      <c r="S5" s="377"/>
      <c r="T5" s="402"/>
      <c r="U5" s="402"/>
      <c r="V5" s="402"/>
      <c r="W5" s="377"/>
      <c r="X5" s="401"/>
      <c r="Y5" s="401"/>
      <c r="Z5" s="401"/>
    </row>
    <row r="6" spans="1:26" ht="12.75" x14ac:dyDescent="0.2">
      <c r="A6" s="377"/>
      <c r="B6" s="384" t="s">
        <v>156</v>
      </c>
      <c r="C6" s="480">
        <f>sumry!EJ14</f>
        <v>2315</v>
      </c>
      <c r="D6" s="403">
        <f>sumry!EE14</f>
        <v>2261</v>
      </c>
      <c r="E6" s="404">
        <v>2321.9610292466764</v>
      </c>
      <c r="F6" s="405">
        <f>F4-F9</f>
        <v>2176.1</v>
      </c>
      <c r="G6" s="377"/>
      <c r="H6" s="406">
        <f>IF(ISERROR(C6-D6)=TRUE,"NA",C6-D6)</f>
        <v>54</v>
      </c>
      <c r="I6" s="407">
        <f>IF(ISERROR(C6-E6)=TRUE,"NA",C6-E6)</f>
        <v>-6.9610292466763894</v>
      </c>
      <c r="J6" s="408">
        <f>IF(ISERROR(C6-F6)=TRUE,"NA",C6-F6)</f>
        <v>138.90000000000009</v>
      </c>
      <c r="K6" s="377"/>
      <c r="L6" s="400"/>
      <c r="M6" s="377"/>
      <c r="N6" s="377"/>
      <c r="O6" s="390"/>
      <c r="P6" s="409"/>
      <c r="Q6" s="409"/>
      <c r="R6" s="409"/>
      <c r="S6" s="377"/>
      <c r="T6" s="410"/>
      <c r="U6" s="410"/>
      <c r="V6" s="410"/>
      <c r="W6" s="377"/>
      <c r="X6" s="409"/>
      <c r="Y6" s="409"/>
      <c r="Z6" s="409"/>
    </row>
    <row r="7" spans="1:26" ht="12.75" x14ac:dyDescent="0.2">
      <c r="A7" s="377"/>
      <c r="B7" s="394" t="s">
        <v>328</v>
      </c>
      <c r="C7" s="481">
        <f>sumry!EJ11</f>
        <v>88</v>
      </c>
      <c r="D7" s="411">
        <f>sumry!E11</f>
        <v>21.4</v>
      </c>
      <c r="E7" s="412">
        <v>73.5</v>
      </c>
      <c r="F7" s="413"/>
      <c r="G7" s="377"/>
      <c r="H7" s="397"/>
      <c r="I7" s="398"/>
      <c r="J7" s="399"/>
      <c r="K7" s="377"/>
      <c r="L7" s="400"/>
      <c r="M7" s="377"/>
      <c r="N7" s="377"/>
      <c r="O7" s="390"/>
      <c r="P7" s="379"/>
      <c r="Q7" s="379"/>
      <c r="R7" s="379"/>
      <c r="S7" s="377"/>
      <c r="T7" s="414"/>
      <c r="U7" s="414"/>
      <c r="V7" s="414"/>
      <c r="W7" s="377"/>
      <c r="X7" s="379"/>
      <c r="Y7" s="379"/>
      <c r="Z7" s="379"/>
    </row>
    <row r="8" spans="1:26" ht="12.75" x14ac:dyDescent="0.2">
      <c r="A8" s="377"/>
      <c r="B8" s="394" t="s">
        <v>524</v>
      </c>
      <c r="C8" s="481">
        <f>C5-C6</f>
        <v>1402</v>
      </c>
      <c r="D8" s="411">
        <f>D5-D6</f>
        <v>1331</v>
      </c>
      <c r="E8" s="412">
        <v>1395.0389707533236</v>
      </c>
      <c r="F8" s="413"/>
      <c r="G8" s="377"/>
      <c r="H8" s="397"/>
      <c r="I8" s="398"/>
      <c r="J8" s="399"/>
      <c r="K8" s="377"/>
      <c r="L8" s="400"/>
      <c r="M8" s="377"/>
      <c r="N8" s="377"/>
      <c r="O8" s="390"/>
      <c r="P8" s="1087" t="s">
        <v>608</v>
      </c>
      <c r="Q8" s="379"/>
      <c r="R8" s="379"/>
      <c r="S8" s="377"/>
      <c r="T8" s="414"/>
      <c r="U8" s="414"/>
      <c r="V8" s="414"/>
      <c r="W8" s="377"/>
      <c r="X8" s="379"/>
      <c r="Y8" s="379"/>
      <c r="Z8" s="379"/>
    </row>
    <row r="9" spans="1:26" ht="12.75" x14ac:dyDescent="0.2">
      <c r="A9" s="377"/>
      <c r="B9" s="384" t="s">
        <v>157</v>
      </c>
      <c r="C9" s="480">
        <f>C4-C6</f>
        <v>1226</v>
      </c>
      <c r="D9" s="403">
        <f>D4-D6</f>
        <v>1281</v>
      </c>
      <c r="E9" s="404">
        <v>1223.0176413589365</v>
      </c>
      <c r="F9" s="1081">
        <f>_xll.ThomsonONEAddinShim.SpreadsheetFormulas.TF($B$1,"TF.ES.GPM.Mean(period=#1)*TF.ES.Sales.Mean(period=#1,scale=6)",,F$1)</f>
        <v>1167</v>
      </c>
      <c r="G9" s="377"/>
      <c r="H9" s="406">
        <f>IF(ISERROR(C9-D9)=TRUE,"NA",C9-D9)</f>
        <v>-55</v>
      </c>
      <c r="I9" s="407">
        <f>IF(ISERROR(C9-E9)=TRUE,"NA",C9-E9)</f>
        <v>2.9823586410634562</v>
      </c>
      <c r="J9" s="408">
        <f>IF(ISERROR(C9-F9)=TRUE,"NA",C9-F9)</f>
        <v>59</v>
      </c>
      <c r="K9" s="377"/>
      <c r="L9" s="415">
        <f>(C$9-(C$4*E$32)-E$11-E$18)*(1-E$37)/E$27-(E$26+L$4)</f>
        <v>-0.25594215523246189</v>
      </c>
      <c r="M9" s="377"/>
      <c r="N9" s="377"/>
      <c r="O9" s="390"/>
      <c r="P9" s="409" t="s">
        <v>506</v>
      </c>
      <c r="Q9" s="409" t="s">
        <v>464</v>
      </c>
      <c r="R9" s="409" t="s">
        <v>472</v>
      </c>
      <c r="S9" s="377"/>
      <c r="T9" s="410"/>
      <c r="U9" s="410"/>
      <c r="V9" s="410"/>
      <c r="W9" s="377"/>
      <c r="X9" s="409"/>
      <c r="Y9" s="409"/>
      <c r="Z9" s="409"/>
    </row>
    <row r="10" spans="1:26" ht="13.5" thickBot="1" x14ac:dyDescent="0.25">
      <c r="A10" s="377"/>
      <c r="B10" s="384" t="s">
        <v>140</v>
      </c>
      <c r="C10" s="480">
        <f>sumry!EJ19</f>
        <v>1106</v>
      </c>
      <c r="D10" s="403">
        <f>sumry!EE19</f>
        <v>1029</v>
      </c>
      <c r="E10" s="404">
        <v>1095.4036438404728</v>
      </c>
      <c r="F10" s="405">
        <f>F9-F16</f>
        <v>1058</v>
      </c>
      <c r="G10" s="377"/>
      <c r="H10" s="406">
        <f>IF(ISERROR(C10-D10)=TRUE,"NA",C10-D10)</f>
        <v>77</v>
      </c>
      <c r="I10" s="407"/>
      <c r="J10" s="408"/>
      <c r="K10" s="377"/>
      <c r="L10" s="416">
        <f>(C$9-C$10-E$11-E$18)*(1-E$37)/E$27-(E$26+L$4+L$9)</f>
        <v>-4.381234529992728E-2</v>
      </c>
      <c r="M10" s="377"/>
      <c r="N10" s="377"/>
      <c r="O10" s="390"/>
      <c r="P10" s="417">
        <f>C10/D10-1</f>
        <v>7.4829931972789199E-2</v>
      </c>
      <c r="Q10" s="417">
        <f>E10/D10-1</f>
        <v>6.4532209757505177E-2</v>
      </c>
      <c r="R10" s="417">
        <f>F10/D10-1</f>
        <v>2.818270165208947E-2</v>
      </c>
      <c r="S10" s="377"/>
      <c r="T10" s="410"/>
      <c r="U10" s="410"/>
      <c r="V10" s="410"/>
      <c r="W10" s="377"/>
      <c r="X10" s="409"/>
      <c r="Y10" s="409"/>
      <c r="Z10" s="409"/>
    </row>
    <row r="11" spans="1:26" ht="13.5" outlineLevel="1" thickTop="1" x14ac:dyDescent="0.2">
      <c r="A11" s="377"/>
      <c r="B11" s="384" t="s">
        <v>507</v>
      </c>
      <c r="C11" s="480">
        <v>0</v>
      </c>
      <c r="D11" s="403">
        <v>0</v>
      </c>
      <c r="E11" s="404">
        <v>0</v>
      </c>
      <c r="F11" s="405">
        <v>0</v>
      </c>
      <c r="G11" s="377"/>
      <c r="H11" s="406">
        <f>IF(ISERROR(C11-D11)=TRUE,"NA",C11-D11)</f>
        <v>0</v>
      </c>
      <c r="I11" s="407"/>
      <c r="J11" s="408"/>
      <c r="K11" s="377"/>
      <c r="L11" s="418">
        <f>(C$9-C$10-C$11-E$18)*(1-E$37)/E$27-(E$26+L$4+L$9+L$10)</f>
        <v>0</v>
      </c>
      <c r="M11" s="377"/>
      <c r="N11" s="377"/>
      <c r="O11" s="390"/>
      <c r="P11" s="409"/>
      <c r="Q11" s="409"/>
      <c r="R11" s="409"/>
      <c r="S11" s="377"/>
      <c r="T11" s="410"/>
      <c r="U11" s="410"/>
      <c r="V11" s="410"/>
      <c r="W11" s="377"/>
      <c r="X11" s="409"/>
      <c r="Y11" s="409"/>
      <c r="Z11" s="409"/>
    </row>
    <row r="12" spans="1:26" ht="13.5" outlineLevel="1" collapsed="1" thickBot="1" x14ac:dyDescent="0.25">
      <c r="A12" s="377"/>
      <c r="B12" s="384" t="s">
        <v>508</v>
      </c>
      <c r="C12" s="480">
        <f>C11+C10</f>
        <v>1106</v>
      </c>
      <c r="D12" s="403">
        <f>D11+D10</f>
        <v>1029</v>
      </c>
      <c r="E12" s="404">
        <v>1095.4036438404728</v>
      </c>
      <c r="F12" s="405">
        <f>F9-F16</f>
        <v>1058</v>
      </c>
      <c r="G12" s="377"/>
      <c r="H12" s="406">
        <f>IF(ISERROR(C12-D12)=TRUE,"NA",C12-D12)</f>
        <v>77</v>
      </c>
      <c r="I12" s="407">
        <f>IF(ISERROR(C12-E12)=TRUE,"NA",C12-E12)</f>
        <v>10.596356159527204</v>
      </c>
      <c r="J12" s="408">
        <f>IF(ISERROR(C12-F12)=TRUE,"NA",C12-F12)</f>
        <v>48</v>
      </c>
      <c r="K12" s="377"/>
      <c r="L12" s="416">
        <f>(C$9-C$12-E$18)*(1-E$37)/E$27-(E$26+L$4+L$9)</f>
        <v>-4.381234529992728E-2</v>
      </c>
      <c r="M12" s="377"/>
      <c r="N12" s="377"/>
      <c r="O12" s="390"/>
      <c r="P12" s="409"/>
      <c r="Q12" s="409"/>
      <c r="R12" s="409"/>
      <c r="S12" s="377"/>
      <c r="T12" s="410"/>
      <c r="U12" s="410"/>
      <c r="V12" s="410"/>
      <c r="W12" s="377"/>
      <c r="X12" s="409"/>
      <c r="Y12" s="409"/>
      <c r="Z12" s="409"/>
    </row>
    <row r="13" spans="1:26" ht="13.5" outlineLevel="1" thickTop="1" x14ac:dyDescent="0.2">
      <c r="A13" s="377"/>
      <c r="B13" s="384"/>
      <c r="C13" s="482"/>
      <c r="D13" s="419"/>
      <c r="E13" s="419"/>
      <c r="F13" s="405"/>
      <c r="G13" s="377"/>
      <c r="H13" s="406"/>
      <c r="I13" s="407"/>
      <c r="J13" s="408"/>
      <c r="K13" s="377"/>
      <c r="L13" s="420"/>
      <c r="M13" s="377"/>
      <c r="N13" s="377"/>
      <c r="O13" s="390"/>
      <c r="P13" s="409"/>
      <c r="Q13" s="409"/>
      <c r="R13" s="409"/>
      <c r="S13" s="377"/>
      <c r="T13" s="410"/>
      <c r="U13" s="410"/>
      <c r="V13" s="410"/>
      <c r="W13" s="377"/>
      <c r="X13" s="409"/>
      <c r="Y13" s="409"/>
      <c r="Z13" s="409"/>
    </row>
    <row r="14" spans="1:26" ht="12.75" outlineLevel="1" x14ac:dyDescent="0.2">
      <c r="A14" s="377"/>
      <c r="B14" s="384"/>
      <c r="C14" s="482"/>
      <c r="D14" s="419"/>
      <c r="E14" s="419"/>
      <c r="F14" s="405"/>
      <c r="G14" s="377"/>
      <c r="H14" s="406"/>
      <c r="I14" s="407"/>
      <c r="J14" s="408"/>
      <c r="K14" s="377"/>
      <c r="L14" s="420"/>
      <c r="M14" s="377"/>
      <c r="N14" s="377"/>
      <c r="O14" s="390"/>
      <c r="P14" s="409"/>
      <c r="Q14" s="409"/>
      <c r="R14" s="409"/>
      <c r="S14" s="377"/>
      <c r="T14" s="410"/>
      <c r="U14" s="410"/>
      <c r="V14" s="410"/>
      <c r="W14" s="377"/>
      <c r="X14" s="409"/>
      <c r="Y14" s="409"/>
      <c r="Z14" s="409"/>
    </row>
    <row r="15" spans="1:26" ht="12.75" outlineLevel="1" x14ac:dyDescent="0.2">
      <c r="A15" s="377"/>
      <c r="B15" s="384"/>
      <c r="C15" s="482"/>
      <c r="D15" s="419"/>
      <c r="E15" s="419"/>
      <c r="F15" s="405"/>
      <c r="G15" s="377"/>
      <c r="H15" s="397"/>
      <c r="I15" s="398"/>
      <c r="J15" s="399"/>
      <c r="K15" s="377"/>
      <c r="L15" s="415" t="s">
        <v>509</v>
      </c>
      <c r="M15" s="377"/>
      <c r="N15" s="377"/>
      <c r="O15" s="390"/>
      <c r="P15" s="409"/>
      <c r="Q15" s="409"/>
      <c r="R15" s="409"/>
      <c r="S15" s="377"/>
      <c r="T15" s="410"/>
      <c r="U15" s="410"/>
      <c r="V15" s="410"/>
      <c r="W15" s="377"/>
      <c r="X15" s="409"/>
      <c r="Y15" s="409"/>
      <c r="Z15" s="409"/>
    </row>
    <row r="16" spans="1:26" ht="12.75" x14ac:dyDescent="0.2">
      <c r="A16" s="377"/>
      <c r="B16" s="384" t="s">
        <v>510</v>
      </c>
      <c r="C16" s="480">
        <f>C9-C12+C7</f>
        <v>208</v>
      </c>
      <c r="D16" s="403">
        <f>D9-D12</f>
        <v>252</v>
      </c>
      <c r="E16" s="404">
        <v>201.11399751846375</v>
      </c>
      <c r="F16" s="1082">
        <f>_xll.ThomsonONEAddinShim.SpreadsheetFormulas.TF($B$1,"TF.ES.EBIT.Mean(period=#1,scale=6)",,F$1)</f>
        <v>109</v>
      </c>
      <c r="G16" s="377"/>
      <c r="H16" s="406">
        <f>IF(ISERROR(C16-D16)=TRUE,"NA",C16-D16)</f>
        <v>-44</v>
      </c>
      <c r="I16" s="407">
        <f>IF(ISERROR(C16-E16)=TRUE,"NA",C16-E16)</f>
        <v>6.8860024815362522</v>
      </c>
      <c r="J16" s="408">
        <f>IF(ISERROR(C16-F16)=TRUE,"NA",C16-F16)</f>
        <v>99</v>
      </c>
      <c r="K16" s="377"/>
      <c r="L16" s="418">
        <f>(C$16-E$18)*(1-E$37)/E$27-(E$26)</f>
        <v>2.5511394735811987E-2</v>
      </c>
      <c r="M16" s="377"/>
      <c r="N16" s="377"/>
      <c r="O16" s="390"/>
      <c r="P16" s="409"/>
      <c r="Q16" s="409"/>
      <c r="R16" s="409"/>
      <c r="S16" s="377"/>
      <c r="T16" s="410"/>
      <c r="U16" s="410"/>
      <c r="V16" s="410"/>
      <c r="W16" s="377"/>
      <c r="X16" s="409"/>
      <c r="Y16" s="409"/>
      <c r="Z16" s="409"/>
    </row>
    <row r="17" spans="1:26" ht="12.75" x14ac:dyDescent="0.2">
      <c r="A17" s="377"/>
      <c r="B17" s="384"/>
      <c r="C17" s="483"/>
      <c r="D17" s="422"/>
      <c r="E17" s="404"/>
      <c r="F17" s="421"/>
      <c r="G17" s="377"/>
      <c r="H17" s="406"/>
      <c r="I17" s="407"/>
      <c r="J17" s="408"/>
      <c r="K17" s="377"/>
      <c r="L17" s="400"/>
      <c r="M17" s="377"/>
      <c r="N17" s="377"/>
      <c r="O17" s="390"/>
      <c r="P17" s="409"/>
      <c r="Q17" s="409"/>
      <c r="R17" s="409"/>
      <c r="S17" s="377"/>
      <c r="T17" s="410"/>
      <c r="U17" s="410"/>
      <c r="V17" s="410"/>
      <c r="W17" s="377"/>
      <c r="X17" s="409"/>
      <c r="Y17" s="409"/>
      <c r="Z17" s="409"/>
    </row>
    <row r="18" spans="1:26" ht="12.75" x14ac:dyDescent="0.2">
      <c r="A18" s="377"/>
      <c r="B18" s="384" t="s">
        <v>466</v>
      </c>
      <c r="C18" s="480">
        <f>sumry!EJ25</f>
        <v>28</v>
      </c>
      <c r="D18" s="403">
        <f>sumry!EE25</f>
        <v>30</v>
      </c>
      <c r="E18" s="404">
        <v>30</v>
      </c>
      <c r="F18" s="405">
        <f>F16-F20</f>
        <v>29</v>
      </c>
      <c r="G18" s="377"/>
      <c r="H18" s="406">
        <f>IF(ISERROR(C18-D18)=TRUE,"NA",C18-D18)</f>
        <v>-2</v>
      </c>
      <c r="I18" s="407">
        <f>IF(ISERROR(C18-E18)=TRUE,"NA",C18-E18)</f>
        <v>-2</v>
      </c>
      <c r="J18" s="408">
        <f>IF(ISERROR(C18-F18)=TRUE,"NA",C18-F18)</f>
        <v>-1</v>
      </c>
      <c r="K18" s="377"/>
      <c r="L18" s="420">
        <f>(C$16-C$18)*(1-E$37)/E$27-(E$26+L16)</f>
        <v>7.4096385542168353E-3</v>
      </c>
      <c r="M18" s="377"/>
      <c r="N18" s="377"/>
      <c r="O18" s="390"/>
      <c r="P18" s="409"/>
      <c r="Q18" s="409"/>
      <c r="R18" s="409"/>
      <c r="S18" s="377"/>
      <c r="T18" s="410"/>
      <c r="U18" s="410"/>
      <c r="V18" s="410"/>
      <c r="W18" s="377"/>
      <c r="X18" s="409"/>
      <c r="Y18" s="409"/>
      <c r="Z18" s="409"/>
    </row>
    <row r="19" spans="1:26" ht="12.75" outlineLevel="1" x14ac:dyDescent="0.2">
      <c r="A19" s="377"/>
      <c r="B19" s="384" t="s">
        <v>511</v>
      </c>
      <c r="C19" s="484">
        <f>+sumry!EJ26*0</f>
        <v>0</v>
      </c>
      <c r="D19" s="423">
        <f>+sumry!EE26*0</f>
        <v>0</v>
      </c>
      <c r="E19" s="404">
        <v>0</v>
      </c>
      <c r="F19" s="405"/>
      <c r="G19" s="377"/>
      <c r="H19" s="406"/>
      <c r="I19" s="407"/>
      <c r="J19" s="408"/>
      <c r="K19" s="377"/>
      <c r="L19" s="420"/>
      <c r="M19" s="377"/>
      <c r="N19" s="377"/>
      <c r="O19" s="390"/>
      <c r="P19" s="409"/>
      <c r="Q19" s="409"/>
      <c r="R19" s="409"/>
      <c r="S19" s="377"/>
      <c r="T19" s="410"/>
      <c r="U19" s="410"/>
      <c r="V19" s="410"/>
      <c r="W19" s="377"/>
      <c r="X19" s="409"/>
      <c r="Y19" s="409"/>
      <c r="Z19" s="409"/>
    </row>
    <row r="20" spans="1:26" ht="12.75" x14ac:dyDescent="0.2">
      <c r="A20" s="377"/>
      <c r="B20" s="384" t="s">
        <v>512</v>
      </c>
      <c r="C20" s="480">
        <f>C16-C18-C19</f>
        <v>180</v>
      </c>
      <c r="D20" s="403">
        <f>D16-D18-D19</f>
        <v>222</v>
      </c>
      <c r="E20" s="404">
        <v>171.11399751846375</v>
      </c>
      <c r="F20" s="1082">
        <f>_xll.ThomsonONEAddinShim.SpreadsheetFormulas.TF($B$1,"TF.ES.PBT.Mean(period=#1,scale=6)",,F$1)</f>
        <v>80</v>
      </c>
      <c r="G20" s="377"/>
      <c r="H20" s="406">
        <f>IF(ISERROR(C20-D20)=TRUE,"NA",C20-D20)</f>
        <v>-42</v>
      </c>
      <c r="I20" s="407">
        <f>IF(ISERROR(C20-E20)=TRUE,"NA",C20-E20)</f>
        <v>8.8860024815362522</v>
      </c>
      <c r="J20" s="408">
        <f>IF(ISERROR(C20-F20)=TRUE,"NA",C20-F20)</f>
        <v>100</v>
      </c>
      <c r="K20" s="377"/>
      <c r="L20" s="400"/>
      <c r="M20" s="377"/>
      <c r="N20" s="377"/>
      <c r="O20" s="390"/>
      <c r="P20" s="409"/>
      <c r="Q20" s="409"/>
      <c r="R20" s="409"/>
      <c r="S20" s="377"/>
      <c r="T20" s="410"/>
      <c r="U20" s="410"/>
      <c r="V20" s="410"/>
      <c r="W20" s="377"/>
      <c r="X20" s="409"/>
      <c r="Y20" s="409"/>
      <c r="Z20" s="409"/>
    </row>
    <row r="21" spans="1:26" ht="12.75" x14ac:dyDescent="0.2">
      <c r="A21" s="377"/>
      <c r="B21" s="384"/>
      <c r="C21" s="480"/>
      <c r="D21" s="403"/>
      <c r="E21" s="404"/>
      <c r="F21" s="405"/>
      <c r="G21" s="377"/>
      <c r="H21" s="406"/>
      <c r="I21" s="407"/>
      <c r="J21" s="408"/>
      <c r="K21" s="377"/>
      <c r="L21" s="400" t="s">
        <v>463</v>
      </c>
      <c r="M21" s="377"/>
      <c r="N21" s="377"/>
      <c r="O21" s="390"/>
      <c r="P21" s="424"/>
      <c r="Q21" s="424"/>
      <c r="R21" s="424"/>
      <c r="S21" s="377"/>
      <c r="T21" s="425"/>
      <c r="U21" s="425"/>
      <c r="V21" s="425"/>
      <c r="W21" s="377"/>
      <c r="X21" s="424"/>
      <c r="Y21" s="424"/>
      <c r="Z21" s="424"/>
    </row>
    <row r="22" spans="1:26" ht="12.75" x14ac:dyDescent="0.2">
      <c r="A22" s="377"/>
      <c r="B22" s="384" t="s">
        <v>161</v>
      </c>
      <c r="C22" s="480">
        <f>sumry!EJ29</f>
        <v>66</v>
      </c>
      <c r="D22" s="403">
        <f>sumry!EE29</f>
        <v>74.039999999999992</v>
      </c>
      <c r="E22" s="404">
        <v>65.878889044608542</v>
      </c>
      <c r="F22" s="405">
        <f>F20-F24</f>
        <v>33.299999999999997</v>
      </c>
      <c r="G22" s="377"/>
      <c r="H22" s="406">
        <f>IF(ISERROR(C22-D22)=TRUE,"NA",C22-D22)</f>
        <v>-8.039999999999992</v>
      </c>
      <c r="I22" s="407">
        <f>IF(ISERROR(C22-E22)=TRUE,"NA",C22-E22)</f>
        <v>0.12111095539145822</v>
      </c>
      <c r="J22" s="408">
        <f>IF(ISERROR(C22-F22)=TRUE,"NA",C22-F22)</f>
        <v>32.700000000000003</v>
      </c>
      <c r="K22" s="377"/>
      <c r="L22" s="415">
        <f>(C$16-C$18-C22)/E$27-(E$26+L$16+L$18)</f>
        <v>1.987951807228916E-2</v>
      </c>
      <c r="M22" s="377"/>
      <c r="N22" s="377"/>
      <c r="O22" s="390"/>
      <c r="P22" s="409"/>
      <c r="Q22" s="409"/>
      <c r="R22" s="409"/>
      <c r="S22" s="377"/>
      <c r="T22" s="410"/>
      <c r="U22" s="410"/>
      <c r="V22" s="410"/>
      <c r="W22" s="377"/>
      <c r="X22" s="409"/>
      <c r="Y22" s="409"/>
      <c r="Z22" s="409"/>
    </row>
    <row r="23" spans="1:26" ht="12.75" x14ac:dyDescent="0.2">
      <c r="A23" s="377"/>
      <c r="B23" s="384"/>
      <c r="C23" s="480"/>
      <c r="D23" s="403"/>
      <c r="E23" s="404"/>
      <c r="F23" s="405"/>
      <c r="G23" s="377"/>
      <c r="H23" s="406"/>
      <c r="I23" s="407"/>
      <c r="J23" s="408"/>
      <c r="K23" s="377"/>
      <c r="L23" s="400"/>
      <c r="M23" s="377"/>
      <c r="N23" s="377"/>
      <c r="O23" s="390"/>
      <c r="P23" s="409"/>
      <c r="Q23" s="409"/>
      <c r="R23" s="426"/>
      <c r="S23" s="377"/>
      <c r="T23" s="410"/>
      <c r="U23" s="410"/>
      <c r="V23" s="410"/>
      <c r="W23" s="377"/>
      <c r="X23" s="409"/>
      <c r="Y23" s="409"/>
      <c r="Z23" s="409"/>
    </row>
    <row r="24" spans="1:26" ht="13.5" thickBot="1" x14ac:dyDescent="0.25">
      <c r="A24" s="377"/>
      <c r="B24" s="384" t="s">
        <v>513</v>
      </c>
      <c r="C24" s="480">
        <f>C20-C22</f>
        <v>114</v>
      </c>
      <c r="D24" s="403">
        <f>D20-D22</f>
        <v>147.96</v>
      </c>
      <c r="E24" s="404">
        <v>105.23510847385521</v>
      </c>
      <c r="F24" s="1083">
        <f>_xll.ThomsonONEAddinShim.SpreadsheetFormulas.TF($B$1,"TF.ES.NetInc.Mean(period=#1,scale=6)",,F$1)</f>
        <v>46.7</v>
      </c>
      <c r="G24" s="377"/>
      <c r="H24" s="406">
        <f>IF(ISERROR(C24-D24)=TRUE,"NA",C24-D24)</f>
        <v>-33.960000000000008</v>
      </c>
      <c r="I24" s="407">
        <f>IF(ISERROR(C24-E24)=TRUE,"NA",C24-E24)</f>
        <v>8.7648915261447939</v>
      </c>
      <c r="J24" s="408">
        <f>IF(ISERROR(C24-F24)=TRUE,"NA",C24-F24)</f>
        <v>67.3</v>
      </c>
      <c r="K24" s="377"/>
      <c r="L24" s="400"/>
      <c r="M24" s="377"/>
      <c r="N24" s="377"/>
      <c r="O24" s="390"/>
      <c r="P24" s="409"/>
      <c r="Q24" s="409"/>
      <c r="R24" s="409"/>
      <c r="S24" s="377"/>
      <c r="T24" s="410"/>
      <c r="U24" s="410"/>
      <c r="V24" s="410"/>
      <c r="W24" s="377"/>
      <c r="X24" s="409"/>
      <c r="Y24" s="409"/>
      <c r="Z24" s="409"/>
    </row>
    <row r="25" spans="1:26" ht="12.75" x14ac:dyDescent="0.2">
      <c r="A25" s="377"/>
      <c r="B25" s="384"/>
      <c r="C25" s="485"/>
      <c r="D25" s="427"/>
      <c r="E25" s="428"/>
      <c r="F25" s="429"/>
      <c r="G25" s="377"/>
      <c r="H25" s="386"/>
      <c r="I25" s="387"/>
      <c r="J25" s="388"/>
      <c r="K25" s="377"/>
      <c r="L25" s="400"/>
      <c r="M25" s="377"/>
      <c r="N25" s="377"/>
      <c r="O25" s="430" t="s">
        <v>514</v>
      </c>
      <c r="P25" s="409"/>
      <c r="Q25" s="409"/>
      <c r="R25" s="409"/>
      <c r="S25" s="377"/>
      <c r="T25" s="410"/>
      <c r="U25" s="410"/>
      <c r="V25" s="410"/>
      <c r="W25" s="377"/>
      <c r="X25" s="409"/>
      <c r="Y25" s="409"/>
      <c r="Z25" s="409"/>
    </row>
    <row r="26" spans="1:26" ht="13.5" thickBot="1" x14ac:dyDescent="0.25">
      <c r="A26" s="377"/>
      <c r="B26" s="384" t="s">
        <v>515</v>
      </c>
      <c r="C26" s="486">
        <f>C24/C27</f>
        <v>0.67479578548597141</v>
      </c>
      <c r="D26" s="431">
        <f>D24/D27</f>
        <v>0.85328719723183388</v>
      </c>
      <c r="E26" s="431">
        <v>0.63394643658948924</v>
      </c>
      <c r="F26" s="1084" t="str">
        <f>_xll.ThomsonONEAddinShim.SpreadsheetFormulas.TF($B$1,"TF.ES.EPS.Mean(period=#1)",,F$1)</f>
        <v xml:space="preserve">$0.27 </v>
      </c>
      <c r="G26" s="377"/>
      <c r="H26" s="432">
        <f>IF(ISERROR(C26-D26)=TRUE,"NA",C26-D26)</f>
        <v>-0.17849141174586247</v>
      </c>
      <c r="I26" s="433">
        <f>IF(ISERROR(C26-E26)=TRUE,"NA",C26-E26)</f>
        <v>4.0849348896482174E-2</v>
      </c>
      <c r="J26" s="434">
        <f>IF(ISERROR(C26-F26)=TRUE,"NA",C26-F26)</f>
        <v>0.40479578548597139</v>
      </c>
      <c r="K26" s="377"/>
      <c r="L26" s="415"/>
      <c r="M26" s="377"/>
      <c r="N26" s="377"/>
      <c r="O26" s="435">
        <f>C26-E26-L28</f>
        <v>0</v>
      </c>
      <c r="P26" s="436"/>
      <c r="Q26" s="436"/>
      <c r="R26" s="436"/>
      <c r="S26" s="377"/>
      <c r="T26" s="437"/>
      <c r="U26" s="437"/>
      <c r="V26" s="437"/>
      <c r="W26" s="377"/>
      <c r="X26" s="436"/>
      <c r="Y26" s="436"/>
      <c r="Z26" s="436"/>
    </row>
    <row r="27" spans="1:26" ht="12.75" x14ac:dyDescent="0.2">
      <c r="A27" s="377"/>
      <c r="B27" s="384" t="s">
        <v>467</v>
      </c>
      <c r="C27" s="480">
        <f>sumry!EJ40</f>
        <v>168.94</v>
      </c>
      <c r="D27" s="403">
        <f>sumry!EE40</f>
        <v>173.4</v>
      </c>
      <c r="E27" s="404">
        <v>166</v>
      </c>
      <c r="F27" s="405">
        <f>F24/F26</f>
        <v>172.96296296296296</v>
      </c>
      <c r="G27" s="377"/>
      <c r="H27" s="438">
        <f>IF(ISERROR(C27-D27)=TRUE,"NA",C27-D27)</f>
        <v>-4.460000000000008</v>
      </c>
      <c r="I27" s="439">
        <f>IF(ISERROR(C27-E27)=TRUE,"NA",C27-E27)</f>
        <v>2.9399999999999977</v>
      </c>
      <c r="J27" s="440">
        <f>IF(ISERROR(C27-F27)=TRUE,"NA",C27-F27)</f>
        <v>-4.0229629629629642</v>
      </c>
      <c r="K27" s="377"/>
      <c r="L27" s="420">
        <f>-C24/E27+C24/C27</f>
        <v>-1.1951202465835808E-2</v>
      </c>
      <c r="M27" s="377"/>
      <c r="N27" s="377"/>
      <c r="O27" s="390"/>
      <c r="P27" s="409"/>
      <c r="Q27" s="409"/>
      <c r="R27" s="409"/>
      <c r="S27" s="377"/>
      <c r="T27" s="410"/>
      <c r="U27" s="410"/>
      <c r="V27" s="410"/>
      <c r="W27" s="377"/>
      <c r="X27" s="409"/>
      <c r="Y27" s="409"/>
      <c r="Z27" s="409"/>
    </row>
    <row r="28" spans="1:26" ht="12.75" x14ac:dyDescent="0.2">
      <c r="A28" s="377"/>
      <c r="B28" s="384"/>
      <c r="C28" s="483"/>
      <c r="D28" s="427"/>
      <c r="E28" s="428"/>
      <c r="F28" s="429"/>
      <c r="G28" s="377"/>
      <c r="H28" s="406"/>
      <c r="I28" s="407"/>
      <c r="J28" s="408"/>
      <c r="K28" s="377"/>
      <c r="L28" s="415">
        <f>L16+L18+L22+L27</f>
        <v>4.0849348896482174E-2</v>
      </c>
      <c r="M28" s="377"/>
      <c r="N28" s="377"/>
      <c r="P28" s="409"/>
      <c r="Q28" s="409"/>
      <c r="R28" s="409"/>
      <c r="S28" s="377"/>
      <c r="T28" s="410"/>
      <c r="U28" s="410"/>
      <c r="V28" s="410"/>
      <c r="W28" s="377"/>
      <c r="X28" s="409"/>
      <c r="Y28" s="409"/>
      <c r="Z28" s="409"/>
    </row>
    <row r="29" spans="1:26" ht="12.75" x14ac:dyDescent="0.2">
      <c r="A29" s="377"/>
      <c r="B29" s="441" t="s">
        <v>170</v>
      </c>
      <c r="C29" s="480"/>
      <c r="D29" s="403"/>
      <c r="E29" s="442"/>
      <c r="F29" s="1086"/>
      <c r="G29" s="377"/>
      <c r="H29" s="443"/>
      <c r="I29" s="403"/>
      <c r="J29" s="405"/>
      <c r="K29" s="377"/>
      <c r="L29" s="444"/>
      <c r="M29" s="377"/>
      <c r="N29" s="377"/>
      <c r="O29" s="445"/>
      <c r="P29" s="446"/>
      <c r="Q29" s="446"/>
      <c r="R29" s="446"/>
      <c r="S29" s="377"/>
      <c r="T29" s="447"/>
      <c r="U29" s="447"/>
      <c r="V29" s="447"/>
      <c r="W29" s="377"/>
      <c r="X29" s="446"/>
      <c r="Y29" s="446"/>
      <c r="Z29" s="446"/>
    </row>
    <row r="30" spans="1:26" ht="12.75" x14ac:dyDescent="0.2">
      <c r="A30" s="377"/>
      <c r="B30" s="394" t="s">
        <v>523</v>
      </c>
      <c r="C30" s="487">
        <f>C8/C5</f>
        <v>0.37718590260963142</v>
      </c>
      <c r="D30" s="448">
        <f>D8/D5</f>
        <v>0.37054565701559022</v>
      </c>
      <c r="E30" s="442">
        <v>0.37531314790242765</v>
      </c>
      <c r="F30" s="449"/>
      <c r="G30" s="377"/>
      <c r="H30" s="443"/>
      <c r="I30" s="403"/>
      <c r="J30" s="405"/>
      <c r="K30" s="377"/>
      <c r="L30" s="444"/>
      <c r="M30" s="377"/>
      <c r="N30" s="377"/>
      <c r="O30" s="445"/>
      <c r="P30" s="446"/>
      <c r="Q30" s="446"/>
      <c r="R30" s="446"/>
      <c r="S30" s="377"/>
      <c r="T30" s="447"/>
      <c r="U30" s="447"/>
      <c r="V30" s="447"/>
      <c r="W30" s="377"/>
      <c r="X30" s="446"/>
      <c r="Y30" s="446"/>
      <c r="Z30" s="446"/>
    </row>
    <row r="31" spans="1:26" ht="12.75" x14ac:dyDescent="0.2">
      <c r="A31" s="377"/>
      <c r="B31" s="394" t="s">
        <v>525</v>
      </c>
      <c r="C31" s="487">
        <f>C9/C4</f>
        <v>0.34622987856537701</v>
      </c>
      <c r="D31" s="448">
        <f>D9/D4</f>
        <v>0.36166007905138342</v>
      </c>
      <c r="E31" s="450">
        <v>0.34500000000000003</v>
      </c>
      <c r="F31" s="1085">
        <f>F9/F4</f>
        <v>0.34907720379288687</v>
      </c>
      <c r="G31" s="377"/>
      <c r="H31" s="397">
        <f t="shared" ref="H31:H38" si="0">IF(ISERROR((C31-D31)*10000)=TRUE,"NA",(C31-D31)*10000)</f>
        <v>-154.30200486006407</v>
      </c>
      <c r="I31" s="398">
        <f t="shared" ref="I31:I38" si="1">IF(ISERROR((C31-E31)*10000)=TRUE,"NA",(C31-E31)*10000)</f>
        <v>12.298785653769851</v>
      </c>
      <c r="J31" s="399">
        <f>IF(ISERROR((C31-F31)*10000)=TRUE,"NA",(C31-F31)*10000)</f>
        <v>-28.473252275098559</v>
      </c>
      <c r="K31" s="377"/>
      <c r="L31" s="444"/>
      <c r="M31" s="377"/>
      <c r="N31" s="377"/>
      <c r="O31" s="451"/>
      <c r="P31" s="451"/>
      <c r="Q31" s="452"/>
      <c r="R31" s="401"/>
      <c r="S31" s="377"/>
      <c r="T31" s="402"/>
      <c r="U31" s="402"/>
      <c r="V31" s="402"/>
      <c r="W31" s="377"/>
      <c r="X31" s="453"/>
      <c r="Y31" s="453"/>
      <c r="Z31" s="453"/>
    </row>
    <row r="32" spans="1:26" ht="12.75" x14ac:dyDescent="0.2">
      <c r="A32" s="377"/>
      <c r="B32" s="384" t="s">
        <v>140</v>
      </c>
      <c r="C32" s="487">
        <f>C10/C$4</f>
        <v>0.31234114656876588</v>
      </c>
      <c r="D32" s="448">
        <f>D10/D$4</f>
        <v>0.29051383399209485</v>
      </c>
      <c r="E32" s="450">
        <v>0.3090014766304186</v>
      </c>
      <c r="F32" s="396">
        <f>F10/F$4</f>
        <v>0.31647273488678174</v>
      </c>
      <c r="G32" s="377"/>
      <c r="H32" s="397">
        <f t="shared" si="0"/>
        <v>218.27312576671031</v>
      </c>
      <c r="I32" s="398">
        <f>IF(ISERROR((C32-E32)*10000)=TRUE,"NA",(C32-E32)*10000)</f>
        <v>33.396699383472786</v>
      </c>
      <c r="J32" s="399">
        <f>IF(ISERROR((C32-F32)*10000)=TRUE,"NA",(C32-F32)*10000)</f>
        <v>-41.315883180158551</v>
      </c>
      <c r="K32" s="377"/>
      <c r="L32" s="444"/>
      <c r="M32" s="377"/>
      <c r="N32" s="377"/>
      <c r="O32" s="451"/>
      <c r="P32" s="451"/>
      <c r="Q32" s="452"/>
      <c r="R32" s="401"/>
      <c r="S32" s="377"/>
      <c r="T32" s="402"/>
      <c r="U32" s="402"/>
      <c r="V32" s="402"/>
      <c r="W32" s="377"/>
      <c r="X32" s="453"/>
      <c r="Y32" s="453"/>
      <c r="Z32" s="453"/>
    </row>
    <row r="33" spans="1:26" ht="12.75" hidden="1" x14ac:dyDescent="0.2">
      <c r="A33" s="377"/>
      <c r="B33" s="384" t="s">
        <v>516</v>
      </c>
      <c r="C33" s="487">
        <f>C11/C$4</f>
        <v>0</v>
      </c>
      <c r="D33" s="448">
        <f>D11/D$4</f>
        <v>0</v>
      </c>
      <c r="E33" s="450">
        <v>0</v>
      </c>
      <c r="F33" s="396"/>
      <c r="G33" s="377"/>
      <c r="H33" s="397">
        <f t="shared" si="0"/>
        <v>0</v>
      </c>
      <c r="I33" s="398">
        <f t="shared" si="1"/>
        <v>0</v>
      </c>
      <c r="J33" s="399"/>
      <c r="K33" s="377"/>
      <c r="L33" s="444"/>
      <c r="M33" s="377"/>
      <c r="N33" s="377"/>
      <c r="O33" s="390"/>
      <c r="P33" s="401"/>
      <c r="Q33" s="401"/>
      <c r="R33" s="401"/>
      <c r="S33" s="377"/>
      <c r="T33" s="402"/>
      <c r="U33" s="402"/>
      <c r="V33" s="402"/>
      <c r="W33" s="377"/>
      <c r="X33" s="453"/>
      <c r="Y33" s="453"/>
      <c r="Z33" s="453"/>
    </row>
    <row r="34" spans="1:26" ht="12.75" hidden="1" x14ac:dyDescent="0.2">
      <c r="A34" s="377"/>
      <c r="B34" s="384" t="s">
        <v>172</v>
      </c>
      <c r="C34" s="488">
        <f>C12/C4</f>
        <v>0.31234114656876588</v>
      </c>
      <c r="D34" s="454">
        <f>D12/D4</f>
        <v>0.29051383399209485</v>
      </c>
      <c r="E34" s="454">
        <v>0.3090014766304186</v>
      </c>
      <c r="F34" s="396">
        <f>F12/F4</f>
        <v>0.31647273488678174</v>
      </c>
      <c r="G34" s="377"/>
      <c r="H34" s="397">
        <f t="shared" si="0"/>
        <v>218.27312576671031</v>
      </c>
      <c r="I34" s="398">
        <f t="shared" si="1"/>
        <v>33.396699383472786</v>
      </c>
      <c r="J34" s="399">
        <f>IF(ISERROR((C34-F34)*10000)=TRUE,"NA",(C34-F34)*10000)</f>
        <v>-41.315883180158551</v>
      </c>
      <c r="K34" s="377"/>
      <c r="L34" s="444"/>
      <c r="M34" s="377"/>
      <c r="N34" s="377"/>
      <c r="O34" s="390"/>
      <c r="P34" s="401"/>
      <c r="Q34" s="401"/>
      <c r="R34" s="401"/>
      <c r="S34" s="377"/>
      <c r="T34" s="402"/>
      <c r="U34" s="402"/>
      <c r="V34" s="402"/>
      <c r="W34" s="377"/>
      <c r="X34" s="453"/>
      <c r="Y34" s="453"/>
      <c r="Z34" s="453"/>
    </row>
    <row r="35" spans="1:26" ht="12.75" x14ac:dyDescent="0.2">
      <c r="A35" s="377"/>
      <c r="B35" s="384" t="s">
        <v>173</v>
      </c>
      <c r="C35" s="487">
        <f>C16/C4</f>
        <v>5.8740468794125957E-2</v>
      </c>
      <c r="D35" s="448">
        <f>D16/D4</f>
        <v>7.1146245059288543E-2</v>
      </c>
      <c r="E35" s="450">
        <v>5.6732075480754887E-2</v>
      </c>
      <c r="F35" s="396">
        <f>F16/F4</f>
        <v>3.2604468906105112E-2</v>
      </c>
      <c r="G35" s="377"/>
      <c r="H35" s="397">
        <f t="shared" si="0"/>
        <v>-124.05776265162586</v>
      </c>
      <c r="I35" s="398">
        <f t="shared" si="1"/>
        <v>20.083933133710694</v>
      </c>
      <c r="J35" s="399">
        <f>IF(ISERROR((C35-F35)*10000)=TRUE,"NA",(C35-F35)*10000)</f>
        <v>261.35999888020842</v>
      </c>
      <c r="K35" s="377"/>
      <c r="L35" s="444"/>
      <c r="M35" s="377"/>
      <c r="N35" s="377"/>
      <c r="O35" s="390"/>
      <c r="P35" s="401"/>
      <c r="Q35" s="401"/>
      <c r="R35" s="401"/>
      <c r="S35" s="377"/>
      <c r="T35" s="402"/>
      <c r="U35" s="402"/>
      <c r="V35" s="402"/>
      <c r="W35" s="377"/>
      <c r="X35" s="453"/>
      <c r="Y35" s="453"/>
      <c r="Z35" s="453"/>
    </row>
    <row r="36" spans="1:26" ht="12.75" x14ac:dyDescent="0.2">
      <c r="A36" s="377"/>
      <c r="B36" s="384" t="s">
        <v>174</v>
      </c>
      <c r="C36" s="487">
        <f>C20/C4</f>
        <v>5.0833097994916691E-2</v>
      </c>
      <c r="D36" s="448">
        <f>D20/D4</f>
        <v>6.2676453980801808E-2</v>
      </c>
      <c r="E36" s="450">
        <v>4.8269401149663667E-2</v>
      </c>
      <c r="F36" s="396">
        <f>F20/F4</f>
        <v>2.3929885435673478E-2</v>
      </c>
      <c r="G36" s="377"/>
      <c r="H36" s="397">
        <f t="shared" si="0"/>
        <v>-118.43355985885117</v>
      </c>
      <c r="I36" s="398">
        <f>IF(ISERROR((C36-E36)*10000)=TRUE,"NA",(C36-E36)*10000)</f>
        <v>25.636968452530244</v>
      </c>
      <c r="J36" s="399">
        <f>IF(ISERROR((C36-F36)*10000)=TRUE,"NA",(C36-F36)*10000)</f>
        <v>269.03212559243212</v>
      </c>
      <c r="K36" s="377"/>
      <c r="L36" s="444"/>
      <c r="M36" s="377"/>
      <c r="N36" s="377"/>
      <c r="O36" s="390"/>
      <c r="P36" s="401"/>
      <c r="Q36" s="401"/>
      <c r="R36" s="401"/>
      <c r="S36" s="377"/>
      <c r="T36" s="402"/>
      <c r="U36" s="402"/>
      <c r="V36" s="402"/>
      <c r="W36" s="377"/>
      <c r="X36" s="453"/>
      <c r="Y36" s="453"/>
      <c r="Z36" s="453"/>
    </row>
    <row r="37" spans="1:26" ht="12.75" x14ac:dyDescent="0.2">
      <c r="A37" s="377"/>
      <c r="B37" s="384" t="s">
        <v>175</v>
      </c>
      <c r="C37" s="487">
        <f>C22/C20</f>
        <v>0.36666666666666664</v>
      </c>
      <c r="D37" s="448">
        <f>D22/D20</f>
        <v>0.33351351351351349</v>
      </c>
      <c r="E37" s="450">
        <v>0.38500000000000001</v>
      </c>
      <c r="F37" s="396">
        <f>F22/F20</f>
        <v>0.41624999999999995</v>
      </c>
      <c r="G37" s="401"/>
      <c r="H37" s="397">
        <f t="shared" si="0"/>
        <v>331.53153153153147</v>
      </c>
      <c r="I37" s="398">
        <f>IF(ISERROR((C37-E37)*10000)=TRUE,"NA",(C37-E37)*10000)</f>
        <v>-183.33333333333368</v>
      </c>
      <c r="J37" s="399">
        <f>IF(ISERROR((C37-F37)*10000)=TRUE,"NA",(C37-F37)*10000)</f>
        <v>-495.83333333333314</v>
      </c>
      <c r="K37" s="401"/>
      <c r="L37" s="455"/>
      <c r="M37" s="401"/>
      <c r="N37" s="377"/>
      <c r="O37" s="390"/>
      <c r="P37" s="401"/>
      <c r="Q37" s="401"/>
      <c r="R37" s="401"/>
      <c r="S37" s="377"/>
      <c r="T37" s="402"/>
      <c r="U37" s="402"/>
      <c r="V37" s="402"/>
      <c r="W37" s="377"/>
      <c r="X37" s="453"/>
      <c r="Y37" s="453"/>
      <c r="Z37" s="453"/>
    </row>
    <row r="38" spans="1:26" ht="12.75" x14ac:dyDescent="0.2">
      <c r="A38" s="377"/>
      <c r="B38" s="384" t="s">
        <v>176</v>
      </c>
      <c r="C38" s="487">
        <f>C24/C4</f>
        <v>3.2194295396780571E-2</v>
      </c>
      <c r="D38" s="448">
        <f>D24/D4</f>
        <v>4.1773009599096557E-2</v>
      </c>
      <c r="E38" s="450">
        <v>2.9685681707043155E-2</v>
      </c>
      <c r="F38" s="396">
        <f>F24/F4</f>
        <v>1.3969070623074393E-2</v>
      </c>
      <c r="G38" s="401"/>
      <c r="H38" s="397">
        <f t="shared" si="0"/>
        <v>-95.787142023159859</v>
      </c>
      <c r="I38" s="398">
        <f t="shared" si="1"/>
        <v>25.086136897374164</v>
      </c>
      <c r="J38" s="399">
        <f>IF(ISERROR((C38-F38)*10000)=TRUE,"NA",(C38-F38)*10000)</f>
        <v>182.25224773706179</v>
      </c>
      <c r="K38" s="401"/>
      <c r="L38" s="455"/>
      <c r="M38" s="401"/>
      <c r="N38" s="377"/>
      <c r="O38" s="390"/>
      <c r="P38" s="401"/>
      <c r="Q38" s="401"/>
      <c r="R38" s="401"/>
      <c r="S38" s="377"/>
      <c r="T38" s="402"/>
      <c r="U38" s="402"/>
      <c r="V38" s="402"/>
      <c r="W38" s="377"/>
      <c r="X38" s="453"/>
      <c r="Y38" s="453"/>
      <c r="Z38" s="453"/>
    </row>
    <row r="39" spans="1:26" ht="12.75" x14ac:dyDescent="0.2">
      <c r="A39" s="377"/>
      <c r="B39" s="384"/>
      <c r="C39" s="487"/>
      <c r="D39" s="448"/>
      <c r="E39" s="450"/>
      <c r="F39" s="396"/>
      <c r="G39" s="401"/>
      <c r="H39" s="397"/>
      <c r="I39" s="398"/>
      <c r="J39" s="399"/>
      <c r="K39" s="401"/>
      <c r="L39" s="455"/>
      <c r="M39" s="401"/>
      <c r="N39" s="377"/>
      <c r="O39" s="390"/>
      <c r="P39" s="401"/>
      <c r="Q39" s="401"/>
      <c r="R39" s="401"/>
      <c r="S39" s="377"/>
      <c r="T39" s="402"/>
      <c r="U39" s="402"/>
      <c r="V39" s="402"/>
      <c r="W39" s="377"/>
      <c r="X39" s="401"/>
      <c r="Y39" s="401"/>
      <c r="Z39" s="401"/>
    </row>
    <row r="40" spans="1:26" ht="12.75" x14ac:dyDescent="0.2">
      <c r="A40" s="377"/>
      <c r="B40" s="441" t="s">
        <v>178</v>
      </c>
      <c r="C40" s="487"/>
      <c r="D40" s="448"/>
      <c r="E40" s="450"/>
      <c r="F40" s="396"/>
      <c r="G40" s="401"/>
      <c r="H40" s="397"/>
      <c r="I40" s="398"/>
      <c r="J40" s="399"/>
      <c r="K40" s="401"/>
      <c r="L40" s="455"/>
      <c r="M40" s="401"/>
      <c r="N40" s="377"/>
      <c r="O40" s="445"/>
      <c r="P40" s="401"/>
      <c r="Q40" s="401"/>
      <c r="R40" s="401"/>
      <c r="S40" s="377"/>
      <c r="T40" s="402"/>
      <c r="U40" s="402"/>
      <c r="V40" s="402"/>
      <c r="W40" s="377"/>
      <c r="X40" s="401"/>
      <c r="Y40" s="401"/>
      <c r="Z40" s="401"/>
    </row>
    <row r="41" spans="1:26" ht="12.75" x14ac:dyDescent="0.2">
      <c r="A41" s="377"/>
      <c r="B41" s="384" t="s">
        <v>86</v>
      </c>
      <c r="C41" s="487">
        <f>sumry!EH61</f>
        <v>2.7255639097744311E-2</v>
      </c>
      <c r="D41" s="448">
        <f>sumry!EC61</f>
        <v>2.4719101123595433E-2</v>
      </c>
      <c r="E41" s="450">
        <v>2.7255639097744311E-2</v>
      </c>
      <c r="F41" s="396">
        <f>F4/D4-1</f>
        <v>-5.6154714850367049E-2</v>
      </c>
      <c r="G41" s="401"/>
      <c r="H41" s="397"/>
      <c r="I41" s="398"/>
      <c r="J41" s="399"/>
      <c r="K41" s="401"/>
      <c r="L41" s="455"/>
      <c r="M41" s="401"/>
      <c r="N41" s="377"/>
      <c r="O41" s="390"/>
      <c r="P41" s="401"/>
      <c r="Q41" s="401"/>
      <c r="R41" s="401"/>
      <c r="S41" s="377"/>
      <c r="T41" s="402"/>
      <c r="U41" s="402"/>
      <c r="V41" s="402"/>
      <c r="W41" s="377"/>
      <c r="X41" s="453"/>
      <c r="Y41" s="453"/>
      <c r="Z41" s="453"/>
    </row>
    <row r="42" spans="1:26" ht="12.75" x14ac:dyDescent="0.2">
      <c r="A42" s="377"/>
      <c r="B42" s="384" t="s">
        <v>517</v>
      </c>
      <c r="C42" s="487">
        <f>sumry!EH62</f>
        <v>-8.0000000000000002E-3</v>
      </c>
      <c r="D42" s="448">
        <f>sumry!EC62</f>
        <v>-1.7000000000000001E-2</v>
      </c>
      <c r="E42" s="450">
        <v>-8.0000000000000002E-3</v>
      </c>
      <c r="F42" s="1085">
        <v>-1E-3</v>
      </c>
      <c r="G42" s="401"/>
      <c r="H42" s="397"/>
      <c r="I42" s="398"/>
      <c r="J42" s="399"/>
      <c r="K42" s="401"/>
      <c r="L42" s="455"/>
      <c r="M42" s="401"/>
      <c r="N42" s="377"/>
      <c r="O42" s="390"/>
      <c r="P42" s="401"/>
      <c r="Q42" s="401"/>
      <c r="R42" s="401"/>
      <c r="S42" s="377"/>
      <c r="T42" s="402"/>
      <c r="U42" s="402"/>
      <c r="V42" s="402"/>
      <c r="W42" s="377"/>
      <c r="X42" s="453"/>
      <c r="Y42" s="453"/>
      <c r="Z42" s="453"/>
    </row>
    <row r="43" spans="1:26" ht="12.75" x14ac:dyDescent="0.2">
      <c r="A43" s="377"/>
      <c r="B43" s="384" t="s">
        <v>518</v>
      </c>
      <c r="C43" s="487">
        <f>sumry!EH63</f>
        <v>4.7938638542666112E-3</v>
      </c>
      <c r="D43" s="448">
        <f>sumry!EC63</f>
        <v>7.4150360453141051E-2</v>
      </c>
      <c r="E43" s="450">
        <v>4.7938638542666112E-3</v>
      </c>
      <c r="F43" s="396">
        <f>F10/$D10-1</f>
        <v>2.818270165208947E-2</v>
      </c>
      <c r="G43" s="401"/>
      <c r="H43" s="397"/>
      <c r="I43" s="398"/>
      <c r="J43" s="399"/>
      <c r="K43" s="401"/>
      <c r="L43" s="455"/>
      <c r="M43" s="401"/>
      <c r="N43" s="377"/>
      <c r="O43" s="390"/>
      <c r="P43" s="401"/>
      <c r="Q43" s="401"/>
      <c r="R43" s="401"/>
      <c r="S43" s="377"/>
      <c r="T43" s="402"/>
      <c r="U43" s="402"/>
      <c r="V43" s="402"/>
      <c r="W43" s="377"/>
      <c r="X43" s="453"/>
      <c r="Y43" s="453"/>
      <c r="Z43" s="453"/>
    </row>
    <row r="44" spans="1:26" ht="12.75" x14ac:dyDescent="0.2">
      <c r="A44" s="377"/>
      <c r="B44" s="384" t="s">
        <v>159</v>
      </c>
      <c r="C44" s="487">
        <f>sumry!EH64</f>
        <v>0.42452830188679247</v>
      </c>
      <c r="D44" s="448">
        <f>sumry!EC64</f>
        <v>-0.56734693877551012</v>
      </c>
      <c r="E44" s="450">
        <v>0.42452830188679247</v>
      </c>
      <c r="F44" s="396">
        <f>F16/D16-1</f>
        <v>-0.56746031746031744</v>
      </c>
      <c r="G44" s="401"/>
      <c r="H44" s="397"/>
      <c r="I44" s="398"/>
      <c r="J44" s="399"/>
      <c r="K44" s="401"/>
      <c r="L44" s="455"/>
      <c r="M44" s="401"/>
      <c r="N44" s="377"/>
      <c r="O44" s="390"/>
      <c r="P44" s="401"/>
      <c r="Q44" s="401"/>
      <c r="R44" s="401"/>
      <c r="S44" s="377"/>
      <c r="T44" s="402"/>
      <c r="U44" s="402"/>
      <c r="V44" s="402"/>
      <c r="W44" s="377"/>
      <c r="X44" s="453"/>
      <c r="Y44" s="453"/>
      <c r="Z44" s="453"/>
    </row>
    <row r="45" spans="1:26" ht="12.75" x14ac:dyDescent="0.2">
      <c r="A45" s="377"/>
      <c r="B45" s="384" t="s">
        <v>468</v>
      </c>
      <c r="C45" s="487">
        <f>sumry!EH65</f>
        <v>0.42301956650296968</v>
      </c>
      <c r="D45" s="448">
        <f>sumry!EC65</f>
        <v>-0.60135351451337504</v>
      </c>
      <c r="E45" s="450">
        <v>0.42301956650296968</v>
      </c>
      <c r="F45" s="396">
        <f>F26/$D26-1</f>
        <v>-0.68357664233576632</v>
      </c>
      <c r="G45" s="401"/>
      <c r="H45" s="397"/>
      <c r="I45" s="398"/>
      <c r="J45" s="399"/>
      <c r="K45" s="401"/>
      <c r="L45" s="455"/>
      <c r="M45" s="401"/>
      <c r="N45" s="377"/>
      <c r="O45" s="390"/>
      <c r="P45" s="401"/>
      <c r="Q45" s="401"/>
      <c r="R45" s="401"/>
      <c r="S45" s="377"/>
      <c r="T45" s="402"/>
      <c r="U45" s="402"/>
      <c r="V45" s="402"/>
      <c r="W45" s="377"/>
      <c r="X45" s="453"/>
      <c r="Y45" s="453"/>
      <c r="Z45" s="453"/>
    </row>
    <row r="46" spans="1:26" ht="13.5" thickBot="1" x14ac:dyDescent="0.25">
      <c r="A46" s="377"/>
      <c r="B46" s="456"/>
      <c r="C46" s="457"/>
      <c r="D46" s="457"/>
      <c r="E46" s="457"/>
      <c r="F46" s="458"/>
      <c r="G46" s="377"/>
      <c r="H46" s="456"/>
      <c r="I46" s="459"/>
      <c r="J46" s="460"/>
      <c r="K46" s="377"/>
      <c r="L46" s="461"/>
      <c r="M46" s="377"/>
      <c r="N46" s="462"/>
      <c r="O46" s="377"/>
      <c r="P46" s="379"/>
      <c r="Q46" s="379"/>
      <c r="R46" s="379"/>
      <c r="S46" s="377"/>
      <c r="T46" s="377"/>
      <c r="U46" s="377"/>
      <c r="V46" s="377"/>
      <c r="W46" s="377"/>
      <c r="X46" s="377"/>
      <c r="Y46" s="377"/>
      <c r="Z46" s="377"/>
    </row>
    <row r="47" spans="1:26" ht="12.75" x14ac:dyDescent="0.2">
      <c r="A47" s="377"/>
      <c r="B47" s="463"/>
      <c r="C47" s="377"/>
      <c r="D47" s="377"/>
      <c r="E47" s="377"/>
      <c r="F47" s="377"/>
      <c r="G47" s="377"/>
      <c r="H47" s="377"/>
      <c r="I47" s="377"/>
      <c r="J47" s="377"/>
      <c r="K47" s="377"/>
      <c r="L47" s="377"/>
      <c r="M47" s="377"/>
      <c r="N47" s="462"/>
      <c r="O47" s="463"/>
      <c r="P47" s="377"/>
      <c r="Q47" s="377"/>
      <c r="R47" s="377"/>
      <c r="S47" s="377"/>
      <c r="T47" s="377"/>
      <c r="U47" s="377"/>
      <c r="V47" s="377"/>
      <c r="W47" s="377"/>
      <c r="X47" s="377"/>
      <c r="Y47" s="377"/>
      <c r="Z47" s="377"/>
    </row>
    <row r="48" spans="1:26" ht="12.75" x14ac:dyDescent="0.2">
      <c r="A48" s="464"/>
      <c r="B48" s="465" t="s">
        <v>540</v>
      </c>
      <c r="C48" s="466">
        <f>turn!N139</f>
        <v>12.233121754183497</v>
      </c>
      <c r="D48" s="466"/>
      <c r="E48" s="467">
        <v>12.233121754183497</v>
      </c>
      <c r="F48" s="464"/>
      <c r="G48" s="464"/>
      <c r="H48" s="464"/>
      <c r="I48" s="464"/>
      <c r="J48" s="464"/>
      <c r="K48" s="464"/>
      <c r="L48" s="464"/>
      <c r="M48" s="464"/>
      <c r="N48" s="464"/>
      <c r="O48" s="464"/>
      <c r="P48" s="464"/>
      <c r="Q48" s="464"/>
      <c r="R48" s="464"/>
      <c r="S48" s="464"/>
      <c r="T48" s="464"/>
      <c r="U48" s="464"/>
      <c r="V48" s="464"/>
      <c r="W48" s="464"/>
      <c r="X48" s="464"/>
      <c r="Y48" s="464"/>
      <c r="Z48" s="464"/>
    </row>
    <row r="49" spans="1:26" ht="12.75" x14ac:dyDescent="0.2">
      <c r="A49" s="464"/>
      <c r="B49" s="468" t="s">
        <v>541</v>
      </c>
      <c r="C49" s="469">
        <f>'qtrP&amp;L'!DA13</f>
        <v>5.2056881665820232</v>
      </c>
      <c r="D49" s="469"/>
      <c r="E49" s="470">
        <v>5.2056881665820232</v>
      </c>
      <c r="F49" s="464"/>
      <c r="G49" s="464"/>
      <c r="H49" s="464"/>
      <c r="I49" s="464"/>
      <c r="J49" s="464"/>
      <c r="K49" s="464"/>
      <c r="L49" s="464"/>
      <c r="M49" s="464"/>
      <c r="N49" s="464"/>
      <c r="O49" s="464"/>
      <c r="P49" s="464"/>
      <c r="Q49" s="464"/>
      <c r="R49" s="464"/>
      <c r="S49" s="464"/>
      <c r="T49" s="464"/>
      <c r="U49" s="464"/>
      <c r="V49" s="464"/>
      <c r="W49" s="464"/>
      <c r="X49" s="464"/>
      <c r="Y49" s="464"/>
      <c r="Z49" s="464"/>
    </row>
    <row r="50" spans="1:26" ht="12.75" x14ac:dyDescent="0.2">
      <c r="A50" s="464"/>
      <c r="B50" s="471" t="s">
        <v>41</v>
      </c>
      <c r="C50" s="466">
        <f>C49-C48</f>
        <v>-7.0274335876014735</v>
      </c>
      <c r="D50" s="466"/>
      <c r="E50" s="466">
        <v>-7.0274335876014735</v>
      </c>
      <c r="F50" s="464"/>
      <c r="G50" s="464"/>
      <c r="H50" s="464"/>
      <c r="I50" s="464"/>
      <c r="J50" s="464"/>
      <c r="K50" s="464"/>
      <c r="L50" s="464"/>
      <c r="M50" s="464"/>
      <c r="N50" s="464"/>
      <c r="O50" s="464"/>
      <c r="P50" s="464"/>
      <c r="Q50" s="464"/>
      <c r="R50" s="464"/>
      <c r="S50" s="464"/>
      <c r="T50" s="464"/>
      <c r="U50" s="464"/>
      <c r="V50" s="464"/>
      <c r="W50" s="464"/>
      <c r="X50" s="464"/>
      <c r="Y50" s="464"/>
      <c r="Z50" s="464"/>
    </row>
    <row r="53" spans="1:26" ht="12.75" x14ac:dyDescent="0.2">
      <c r="C53" s="466"/>
    </row>
    <row r="54" spans="1:26" ht="12.75" x14ac:dyDescent="0.2">
      <c r="C54" s="466"/>
    </row>
    <row r="55" spans="1:26" ht="12.75" x14ac:dyDescent="0.2">
      <c r="C55" s="466"/>
    </row>
  </sheetData>
  <phoneticPr fontId="1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E235"/>
  <sheetViews>
    <sheetView zoomScaleNormal="100" workbookViewId="0"/>
  </sheetViews>
  <sheetFormatPr defaultRowHeight="12.75" outlineLevelRow="2" outlineLevelCol="1" x14ac:dyDescent="0.2"/>
  <cols>
    <col min="1" max="1" width="27.7109375" bestFit="1" customWidth="1"/>
    <col min="2" max="2" width="1" customWidth="1"/>
    <col min="3" max="7" width="8.7109375" hidden="1" customWidth="1" outlineLevel="1"/>
    <col min="8" max="8" width="9.7109375" hidden="1" customWidth="1" outlineLevel="1"/>
    <col min="9" max="9" width="8.7109375" hidden="1" customWidth="1" outlineLevel="1"/>
    <col min="10" max="10" width="9" bestFit="1" customWidth="1" collapsed="1"/>
    <col min="11" max="21" width="8.7109375" customWidth="1"/>
  </cols>
  <sheetData>
    <row r="1" spans="1:21" x14ac:dyDescent="0.2">
      <c r="A1" s="8"/>
      <c r="B1" s="8"/>
      <c r="C1" s="8"/>
      <c r="D1" s="8"/>
      <c r="E1" s="8"/>
      <c r="F1" s="8"/>
      <c r="G1" s="8"/>
      <c r="H1" s="8"/>
      <c r="I1" s="8"/>
      <c r="J1" s="8"/>
      <c r="K1" s="8"/>
      <c r="L1" s="183"/>
      <c r="M1" s="183"/>
      <c r="N1" s="183"/>
      <c r="O1" s="183"/>
      <c r="P1" s="183"/>
      <c r="Q1" s="183"/>
      <c r="R1" s="183"/>
      <c r="S1" s="183"/>
      <c r="T1" s="183"/>
      <c r="U1" s="183"/>
    </row>
    <row r="2" spans="1:21" x14ac:dyDescent="0.2">
      <c r="A2" s="8"/>
      <c r="B2" s="8"/>
      <c r="C2" s="8"/>
      <c r="D2" s="8"/>
      <c r="E2" s="8"/>
      <c r="F2" s="8"/>
      <c r="G2" s="8"/>
      <c r="H2" s="8"/>
      <c r="I2" s="8"/>
      <c r="J2" s="8"/>
      <c r="K2" s="8"/>
      <c r="L2" s="183"/>
      <c r="M2" s="183"/>
      <c r="N2" s="183"/>
      <c r="O2" s="183"/>
      <c r="P2" s="183"/>
      <c r="Q2" s="183"/>
      <c r="R2" s="183"/>
      <c r="S2" s="183"/>
      <c r="T2" s="183"/>
      <c r="U2" s="183"/>
    </row>
    <row r="3" spans="1:21" x14ac:dyDescent="0.2">
      <c r="A3" s="187" t="s">
        <v>480</v>
      </c>
      <c r="B3" s="2"/>
      <c r="C3" s="188" t="s">
        <v>481</v>
      </c>
      <c r="D3" s="188" t="s">
        <v>482</v>
      </c>
      <c r="E3" s="188" t="s">
        <v>483</v>
      </c>
      <c r="F3" s="188" t="s">
        <v>484</v>
      </c>
      <c r="G3" s="188" t="s">
        <v>485</v>
      </c>
      <c r="H3" s="188" t="s">
        <v>486</v>
      </c>
      <c r="I3" s="188" t="s">
        <v>285</v>
      </c>
      <c r="J3" s="188" t="s">
        <v>286</v>
      </c>
      <c r="K3" s="188" t="s">
        <v>487</v>
      </c>
      <c r="L3" s="188" t="s">
        <v>553</v>
      </c>
      <c r="M3" s="188" t="s">
        <v>554</v>
      </c>
      <c r="N3" s="188" t="s">
        <v>555</v>
      </c>
      <c r="O3" s="188" t="s">
        <v>488</v>
      </c>
      <c r="P3" s="188" t="s">
        <v>489</v>
      </c>
      <c r="Q3" s="188" t="s">
        <v>521</v>
      </c>
      <c r="R3" s="188" t="s">
        <v>526</v>
      </c>
      <c r="S3" s="188" t="s">
        <v>605</v>
      </c>
      <c r="T3" s="188" t="s">
        <v>606</v>
      </c>
      <c r="U3" s="188" t="s">
        <v>617</v>
      </c>
    </row>
    <row r="4" spans="1:21" x14ac:dyDescent="0.2">
      <c r="A4" s="5" t="s">
        <v>155</v>
      </c>
      <c r="B4" s="2"/>
      <c r="C4" s="9" t="s">
        <v>81</v>
      </c>
      <c r="D4" s="9" t="s">
        <v>81</v>
      </c>
      <c r="E4" s="9" t="s">
        <v>81</v>
      </c>
      <c r="F4" s="9" t="s">
        <v>81</v>
      </c>
      <c r="G4" s="9" t="s">
        <v>81</v>
      </c>
      <c r="H4" s="9" t="s">
        <v>81</v>
      </c>
      <c r="I4" s="9" t="s">
        <v>81</v>
      </c>
      <c r="J4" s="9" t="s">
        <v>81</v>
      </c>
      <c r="K4" s="9" t="s">
        <v>81</v>
      </c>
      <c r="L4" s="9" t="s">
        <v>81</v>
      </c>
      <c r="M4" s="9" t="s">
        <v>81</v>
      </c>
      <c r="N4" s="9" t="s">
        <v>81</v>
      </c>
      <c r="O4" s="9" t="s">
        <v>81</v>
      </c>
      <c r="P4" s="9" t="s">
        <v>81</v>
      </c>
      <c r="Q4" s="9" t="s">
        <v>81</v>
      </c>
      <c r="R4" s="9" t="s">
        <v>81</v>
      </c>
      <c r="S4" s="9" t="s">
        <v>81</v>
      </c>
      <c r="T4" s="9" t="s">
        <v>81</v>
      </c>
      <c r="U4" s="9" t="s">
        <v>81</v>
      </c>
    </row>
    <row r="5" spans="1:21" x14ac:dyDescent="0.2">
      <c r="A5" s="8"/>
      <c r="B5" s="8"/>
      <c r="C5" s="2"/>
      <c r="D5" s="2"/>
      <c r="E5" s="2"/>
      <c r="F5" s="2"/>
      <c r="G5" s="2"/>
      <c r="H5" s="224"/>
      <c r="I5" s="224"/>
      <c r="J5" s="224"/>
      <c r="K5" s="224"/>
      <c r="L5" s="224"/>
      <c r="M5" s="224"/>
      <c r="N5" s="8"/>
      <c r="O5" s="8"/>
      <c r="P5" s="8"/>
      <c r="Q5" s="8"/>
      <c r="R5" s="8"/>
      <c r="S5" s="8"/>
      <c r="T5" s="8"/>
      <c r="U5" s="8"/>
    </row>
    <row r="6" spans="1:21" x14ac:dyDescent="0.2">
      <c r="A6" s="192" t="s">
        <v>273</v>
      </c>
      <c r="B6" s="8"/>
      <c r="C6" s="212">
        <f>sumry!FG10</f>
        <v>7131.4129999999996</v>
      </c>
      <c r="D6" s="212">
        <f>sumry!FH10</f>
        <v>7722.6120000000001</v>
      </c>
      <c r="E6" s="212">
        <f>sumry!FI10</f>
        <v>8560.6980000000003</v>
      </c>
      <c r="F6" s="212">
        <f>sumry!FJ10</f>
        <v>8827.8140000000003</v>
      </c>
      <c r="G6" s="212">
        <f>sumry!FK10</f>
        <v>8291</v>
      </c>
      <c r="H6" s="212">
        <f>sumry!FL10</f>
        <v>8258</v>
      </c>
      <c r="I6" s="212">
        <f>sumry!FM10</f>
        <v>9310</v>
      </c>
      <c r="J6" s="212">
        <f>sumry!FN10</f>
        <v>10497</v>
      </c>
      <c r="K6" s="212">
        <f>sumry!FO10</f>
        <v>11762</v>
      </c>
      <c r="L6" s="212">
        <f>sumry!FP10</f>
        <v>12166</v>
      </c>
      <c r="M6" s="212">
        <f>sumry!FQ10</f>
        <v>13111</v>
      </c>
      <c r="N6" s="212">
        <f>sumry!FR10</f>
        <v>14095</v>
      </c>
      <c r="O6" s="212">
        <f>sumry!FS10</f>
        <v>14499</v>
      </c>
      <c r="P6" s="212">
        <f>sumry!FT10</f>
        <v>15137</v>
      </c>
      <c r="Q6" s="212">
        <f>sumry!FU10</f>
        <v>15324.038457838597</v>
      </c>
      <c r="R6" s="212">
        <f>sumry!FV10</f>
        <v>15793.189685123163</v>
      </c>
      <c r="S6" s="212">
        <f>sumry!FW10</f>
        <v>16198.198393998615</v>
      </c>
      <c r="T6" s="212">
        <f>sumry!FX10</f>
        <v>16596.766507816799</v>
      </c>
      <c r="U6" s="212">
        <f>sumry!FY10</f>
        <v>16891.756163270493</v>
      </c>
    </row>
    <row r="7" spans="1:21" x14ac:dyDescent="0.2">
      <c r="A7" s="192" t="s">
        <v>316</v>
      </c>
      <c r="B7" s="8"/>
      <c r="C7" s="211">
        <f>sumry!FG11</f>
        <v>172.94200000000001</v>
      </c>
      <c r="D7" s="211">
        <f>sumry!FH11</f>
        <v>196.35399999999998</v>
      </c>
      <c r="E7" s="211">
        <f>sumry!FI11</f>
        <v>238.52500000000001</v>
      </c>
      <c r="F7" s="211">
        <f>sumry!FJ11</f>
        <v>270.94600000000003</v>
      </c>
      <c r="G7" s="211">
        <f>sumry!FK11</f>
        <v>306</v>
      </c>
      <c r="H7" s="211">
        <f>sumry!FL11</f>
        <v>369</v>
      </c>
      <c r="I7" s="211">
        <f>sumry!FM11</f>
        <v>390</v>
      </c>
      <c r="J7" s="211">
        <f>sumry!FN11</f>
        <v>380</v>
      </c>
      <c r="K7" s="211">
        <f>sumry!FO11</f>
        <v>372</v>
      </c>
      <c r="L7" s="211">
        <f>sumry!FP11</f>
        <v>374</v>
      </c>
      <c r="M7" s="211">
        <f>sumry!FQ11</f>
        <v>395</v>
      </c>
      <c r="N7" s="211">
        <f>sumry!FR11</f>
        <v>342</v>
      </c>
      <c r="O7" s="211">
        <f>sumry!FS11</f>
        <v>259</v>
      </c>
      <c r="P7" s="211">
        <f>sumry!FT11</f>
        <v>341</v>
      </c>
      <c r="Q7" s="211">
        <f>sumry!FU11</f>
        <v>375.1</v>
      </c>
      <c r="R7" s="211">
        <f>sumry!FV11</f>
        <v>403.23250000000002</v>
      </c>
      <c r="S7" s="211">
        <f>sumry!FW11</f>
        <v>433.47493750000001</v>
      </c>
      <c r="T7" s="211">
        <f>sumry!FX11</f>
        <v>463.81818312500002</v>
      </c>
      <c r="U7" s="211">
        <f>sumry!FY11</f>
        <v>498.60454685937498</v>
      </c>
    </row>
    <row r="8" spans="1:21" x14ac:dyDescent="0.2">
      <c r="A8" s="189" t="s">
        <v>317</v>
      </c>
      <c r="B8" s="8"/>
      <c r="C8" s="212">
        <f t="shared" ref="C8:P8" si="0">SUM(C6:C7)</f>
        <v>7304.3549999999996</v>
      </c>
      <c r="D8" s="212">
        <f t="shared" si="0"/>
        <v>7918.9660000000003</v>
      </c>
      <c r="E8" s="212">
        <f t="shared" si="0"/>
        <v>8799.223</v>
      </c>
      <c r="F8" s="212">
        <f t="shared" si="0"/>
        <v>9098.76</v>
      </c>
      <c r="G8" s="212">
        <f t="shared" si="0"/>
        <v>8597</v>
      </c>
      <c r="H8" s="212">
        <f t="shared" si="0"/>
        <v>8627</v>
      </c>
      <c r="I8" s="212">
        <f t="shared" si="0"/>
        <v>9700</v>
      </c>
      <c r="J8" s="212">
        <f t="shared" si="0"/>
        <v>10877</v>
      </c>
      <c r="K8" s="212">
        <f t="shared" si="0"/>
        <v>12134</v>
      </c>
      <c r="L8" s="212">
        <f t="shared" si="0"/>
        <v>12540</v>
      </c>
      <c r="M8" s="212">
        <f t="shared" si="0"/>
        <v>13506</v>
      </c>
      <c r="N8" s="212">
        <f t="shared" si="0"/>
        <v>14437</v>
      </c>
      <c r="O8" s="212">
        <f t="shared" si="0"/>
        <v>14758</v>
      </c>
      <c r="P8" s="212">
        <f t="shared" si="0"/>
        <v>15478</v>
      </c>
      <c r="Q8" s="212">
        <f>SUM(Q6:Q7)</f>
        <v>15699.138457838597</v>
      </c>
      <c r="R8" s="212">
        <f>SUM(R6:R7)</f>
        <v>16196.422185123163</v>
      </c>
      <c r="S8" s="212">
        <f>SUM(S6:S7)</f>
        <v>16631.673331498616</v>
      </c>
      <c r="T8" s="212">
        <f>SUM(T6:T7)</f>
        <v>17060.5846909418</v>
      </c>
      <c r="U8" s="212">
        <f>SUM(U6:U7)</f>
        <v>17390.360710129869</v>
      </c>
    </row>
    <row r="9" spans="1:21" hidden="1" outlineLevel="1" x14ac:dyDescent="0.2">
      <c r="A9" s="189"/>
      <c r="B9" s="8"/>
      <c r="C9" s="191"/>
      <c r="D9" s="191"/>
      <c r="E9" s="191"/>
      <c r="F9" s="191"/>
      <c r="G9" s="191"/>
      <c r="H9" s="191"/>
      <c r="I9" s="191"/>
      <c r="J9" s="191"/>
      <c r="K9" s="191"/>
      <c r="L9" s="191"/>
      <c r="M9" s="191"/>
      <c r="N9" s="8"/>
      <c r="O9" s="8"/>
      <c r="P9" s="8"/>
      <c r="Q9" s="8"/>
      <c r="R9" s="8"/>
      <c r="S9" s="8"/>
      <c r="T9" s="8"/>
      <c r="U9" s="8"/>
    </row>
    <row r="10" spans="1:21" hidden="1" outlineLevel="1" x14ac:dyDescent="0.2">
      <c r="A10" s="189" t="s">
        <v>156</v>
      </c>
      <c r="B10" s="8"/>
      <c r="C10" s="212">
        <f>'yrP&amp;L'!X17</f>
        <v>4559.3879999999999</v>
      </c>
      <c r="D10" s="212">
        <f>'yrP&amp;L'!Y17</f>
        <v>4888.023000000001</v>
      </c>
      <c r="E10" s="212">
        <f>'yrP&amp;L'!Z17</f>
        <v>5353.9490000000005</v>
      </c>
      <c r="F10" s="212">
        <f>'yrP&amp;L'!AA17</f>
        <v>5526.1779999999999</v>
      </c>
      <c r="G10" s="212">
        <f>'yrP&amp;L'!AB17</f>
        <v>5429.4830000000002</v>
      </c>
      <c r="H10" s="212">
        <f>'yrP&amp;L'!AC17</f>
        <v>5328</v>
      </c>
      <c r="I10" s="212">
        <f>'yrP&amp;L'!AD17</f>
        <v>5897</v>
      </c>
      <c r="J10" s="212">
        <f>'yrP&amp;L'!AE17</f>
        <v>6592</v>
      </c>
      <c r="K10" s="212">
        <f>'yrP&amp;L'!AF17</f>
        <v>7432</v>
      </c>
      <c r="L10" s="212">
        <f>'yrP&amp;L'!AG17</f>
        <v>7737</v>
      </c>
      <c r="M10" s="212">
        <f>'yrP&amp;L'!AH17</f>
        <v>8407</v>
      </c>
      <c r="N10" s="212">
        <f>'yrP&amp;L'!AI17</f>
        <v>9168</v>
      </c>
      <c r="O10" s="212">
        <f>'yrP&amp;L'!AJ17</f>
        <v>9439</v>
      </c>
      <c r="P10" s="212">
        <f>'yrP&amp;L'!AK17</f>
        <v>9890</v>
      </c>
      <c r="Q10" s="212">
        <f>'yrP&amp;L'!AL17</f>
        <v>10002.907894418451</v>
      </c>
      <c r="R10" s="212">
        <f>'yrP&amp;L'!AM17</f>
        <v>10350.85651962972</v>
      </c>
      <c r="S10" s="212">
        <f>'yrP&amp;L'!AN17</f>
        <v>10664.893822608688</v>
      </c>
      <c r="T10" s="212">
        <f>'yrP&amp;L'!AO17</f>
        <v>10978.761044920813</v>
      </c>
      <c r="U10" s="212">
        <f>'yrP&amp;L'!AP17</f>
        <v>11207.680214329972</v>
      </c>
    </row>
    <row r="11" spans="1:21" hidden="1" outlineLevel="1" x14ac:dyDescent="0.2">
      <c r="A11" s="189"/>
      <c r="B11" s="8"/>
      <c r="C11" s="212"/>
      <c r="D11" s="212"/>
      <c r="E11" s="212"/>
      <c r="F11" s="212"/>
      <c r="G11" s="212"/>
      <c r="H11" s="212"/>
      <c r="I11" s="212"/>
      <c r="J11" s="212"/>
      <c r="K11" s="212"/>
      <c r="L11" s="212"/>
      <c r="M11" s="212"/>
      <c r="N11" s="213"/>
      <c r="O11" s="213"/>
      <c r="P11" s="213"/>
      <c r="Q11" s="213"/>
      <c r="R11" s="213"/>
      <c r="S11" s="213"/>
      <c r="T11" s="213"/>
      <c r="U11" s="213"/>
    </row>
    <row r="12" spans="1:21" collapsed="1" x14ac:dyDescent="0.2">
      <c r="A12" s="189" t="s">
        <v>157</v>
      </c>
      <c r="B12" s="8"/>
      <c r="C12" s="212">
        <f t="shared" ref="C12:P12" si="1">C6-C10</f>
        <v>2572.0249999999996</v>
      </c>
      <c r="D12" s="212">
        <f t="shared" si="1"/>
        <v>2834.588999999999</v>
      </c>
      <c r="E12" s="212">
        <f t="shared" si="1"/>
        <v>3206.7489999999998</v>
      </c>
      <c r="F12" s="212">
        <f t="shared" si="1"/>
        <v>3301.6360000000004</v>
      </c>
      <c r="G12" s="212">
        <f t="shared" si="1"/>
        <v>2861.5169999999998</v>
      </c>
      <c r="H12" s="212">
        <f t="shared" si="1"/>
        <v>2930</v>
      </c>
      <c r="I12" s="212">
        <f t="shared" si="1"/>
        <v>3413</v>
      </c>
      <c r="J12" s="212">
        <f t="shared" si="1"/>
        <v>3905</v>
      </c>
      <c r="K12" s="212">
        <f t="shared" si="1"/>
        <v>4330</v>
      </c>
      <c r="L12" s="212">
        <f t="shared" si="1"/>
        <v>4429</v>
      </c>
      <c r="M12" s="212">
        <f t="shared" si="1"/>
        <v>4704</v>
      </c>
      <c r="N12" s="212">
        <f t="shared" si="1"/>
        <v>4927</v>
      </c>
      <c r="O12" s="212">
        <f t="shared" si="1"/>
        <v>5060</v>
      </c>
      <c r="P12" s="212">
        <f t="shared" si="1"/>
        <v>5247</v>
      </c>
      <c r="Q12" s="212">
        <f>Q6-Q10</f>
        <v>5321.1305634201453</v>
      </c>
      <c r="R12" s="212">
        <f>R6-R10</f>
        <v>5442.3331654934427</v>
      </c>
      <c r="S12" s="212">
        <f>S6-S10</f>
        <v>5533.3045713899264</v>
      </c>
      <c r="T12" s="212">
        <f>T6-T10</f>
        <v>5618.0054628959861</v>
      </c>
      <c r="U12" s="212">
        <f>U6-U10</f>
        <v>5684.0759489405209</v>
      </c>
    </row>
    <row r="13" spans="1:21" x14ac:dyDescent="0.2">
      <c r="A13" s="192" t="s">
        <v>351</v>
      </c>
      <c r="B13" s="8"/>
      <c r="C13" s="195" t="s">
        <v>83</v>
      </c>
      <c r="D13" s="195" t="s">
        <v>83</v>
      </c>
      <c r="E13" s="195" t="s">
        <v>83</v>
      </c>
      <c r="F13" s="211">
        <f>'yrP&amp;L'!AA25</f>
        <v>2183</v>
      </c>
      <c r="G13" s="211">
        <f>'yrP&amp;L'!AB25</f>
        <v>2113.9659999999999</v>
      </c>
      <c r="H13" s="211">
        <f>'yrP&amp;L'!AC25</f>
        <v>2109</v>
      </c>
      <c r="I13" s="211">
        <f>'yrP&amp;L'!AD25</f>
        <v>2412</v>
      </c>
      <c r="J13" s="211">
        <f>'yrP&amp;L'!AE25</f>
        <v>2807</v>
      </c>
      <c r="K13" s="211">
        <f>'yrP&amp;L'!AF25</f>
        <v>3172</v>
      </c>
      <c r="L13" s="211">
        <f>'yrP&amp;L'!AG25</f>
        <v>3272</v>
      </c>
      <c r="M13" s="211">
        <f>'yrP&amp;L'!AH25</f>
        <v>3589</v>
      </c>
      <c r="N13" s="211">
        <f>'yrP&amp;L'!AI25</f>
        <v>3955</v>
      </c>
      <c r="O13" s="211">
        <f>'yrP&amp;L'!AJ25</f>
        <v>4153</v>
      </c>
      <c r="P13" s="211">
        <f>'yrP&amp;L'!AK25</f>
        <v>4508</v>
      </c>
      <c r="Q13" s="211">
        <f>'yrP&amp;L'!AL25</f>
        <v>4684.4949247441764</v>
      </c>
      <c r="R13" s="211">
        <f>'yrP&amp;L'!AM25</f>
        <v>4856.4058281753723</v>
      </c>
      <c r="S13" s="211">
        <f>'yrP&amp;L'!AN25</f>
        <v>4995.5243847091733</v>
      </c>
      <c r="T13" s="211">
        <f>'yrP&amp;L'!AO25</f>
        <v>5128.4008509153909</v>
      </c>
      <c r="U13" s="211">
        <f>'yrP&amp;L'!AP25</f>
        <v>5233.066059381199</v>
      </c>
    </row>
    <row r="14" spans="1:21" x14ac:dyDescent="0.2">
      <c r="A14" s="192" t="s">
        <v>352</v>
      </c>
      <c r="B14" s="8"/>
      <c r="C14" s="195" t="s">
        <v>83</v>
      </c>
      <c r="D14" s="195" t="s">
        <v>83</v>
      </c>
      <c r="E14" s="195" t="s">
        <v>83</v>
      </c>
      <c r="F14" s="211">
        <f>'yrP&amp;L'!AA29</f>
        <v>177</v>
      </c>
      <c r="G14" s="211">
        <f>'yrP&amp;L'!AB29</f>
        <v>274</v>
      </c>
      <c r="H14" s="211">
        <f>'yrP&amp;L'!AC29</f>
        <v>356</v>
      </c>
      <c r="I14" s="211">
        <f>'yrP&amp;L'!AD29</f>
        <v>273</v>
      </c>
      <c r="J14" s="211">
        <f>'yrP&amp;L'!AE29</f>
        <v>229</v>
      </c>
      <c r="K14" s="211">
        <f>'yrP&amp;L'!AF29</f>
        <v>190</v>
      </c>
      <c r="L14" s="211">
        <f>'yrP&amp;L'!AG29</f>
        <v>182</v>
      </c>
      <c r="M14" s="211">
        <f>'yrP&amp;L'!AH29</f>
        <v>193</v>
      </c>
      <c r="N14" s="211">
        <f>'yrP&amp;L'!AI29</f>
        <v>188</v>
      </c>
      <c r="O14" s="211">
        <f>'yrP&amp;L'!AJ29</f>
        <v>163</v>
      </c>
      <c r="P14" s="211">
        <f>'yrP&amp;L'!AK29</f>
        <v>160</v>
      </c>
      <c r="Q14" s="211">
        <f>'yrP&amp;L'!AL29</f>
        <v>164</v>
      </c>
      <c r="R14" s="211">
        <f>'yrP&amp;L'!AM29</f>
        <v>176.29999999999998</v>
      </c>
      <c r="S14" s="211">
        <f>'yrP&amp;L'!AN29</f>
        <v>189.52249999999998</v>
      </c>
      <c r="T14" s="211">
        <f>'yrP&amp;L'!AO29</f>
        <v>202.789075</v>
      </c>
      <c r="U14" s="211">
        <f>'yrP&amp;L'!AP29</f>
        <v>217.99825562499996</v>
      </c>
    </row>
    <row r="15" spans="1:21" x14ac:dyDescent="0.2">
      <c r="A15" s="189" t="s">
        <v>474</v>
      </c>
      <c r="B15" s="8"/>
      <c r="C15" s="191">
        <f>'yrP&amp;L'!X21</f>
        <v>2020.2329999999997</v>
      </c>
      <c r="D15" s="191">
        <f>'yrP&amp;L'!Y21</f>
        <v>2100.6660000000002</v>
      </c>
      <c r="E15" s="191">
        <f>'yrP&amp;L'!Z21</f>
        <v>2296.8629999999998</v>
      </c>
      <c r="F15" s="191">
        <f>SUM(F13:F14)</f>
        <v>2360</v>
      </c>
      <c r="G15" s="191">
        <f t="shared" ref="G15:P15" si="2">SUM(G13:G14)</f>
        <v>2387.9659999999999</v>
      </c>
      <c r="H15" s="191">
        <f t="shared" si="2"/>
        <v>2465</v>
      </c>
      <c r="I15" s="191">
        <f t="shared" si="2"/>
        <v>2685</v>
      </c>
      <c r="J15" s="191">
        <f t="shared" si="2"/>
        <v>3036</v>
      </c>
      <c r="K15" s="191">
        <f t="shared" si="2"/>
        <v>3362</v>
      </c>
      <c r="L15" s="191">
        <f t="shared" si="2"/>
        <v>3454</v>
      </c>
      <c r="M15" s="191">
        <f t="shared" si="2"/>
        <v>3782</v>
      </c>
      <c r="N15" s="191">
        <f t="shared" si="2"/>
        <v>4143</v>
      </c>
      <c r="O15" s="191">
        <f t="shared" si="2"/>
        <v>4316</v>
      </c>
      <c r="P15" s="191">
        <f t="shared" si="2"/>
        <v>4668</v>
      </c>
      <c r="Q15" s="191">
        <f>SUM(Q13:Q14)</f>
        <v>4848.4949247441764</v>
      </c>
      <c r="R15" s="191">
        <f>SUM(R13:R14)</f>
        <v>5032.7058281753725</v>
      </c>
      <c r="S15" s="191">
        <f>SUM(S13:S14)</f>
        <v>5185.0468847091734</v>
      </c>
      <c r="T15" s="191">
        <f>SUM(T13:T14)</f>
        <v>5331.1899259153906</v>
      </c>
      <c r="U15" s="191">
        <f>SUM(U13:U14)</f>
        <v>5451.0643150061987</v>
      </c>
    </row>
    <row r="16" spans="1:21" x14ac:dyDescent="0.2">
      <c r="A16" s="192" t="s">
        <v>159</v>
      </c>
      <c r="B16" s="8"/>
      <c r="C16" s="212">
        <f>C12-C15+C7</f>
        <v>724.73399999999992</v>
      </c>
      <c r="D16" s="212">
        <f t="shared" ref="D16:P16" si="3">D12-D15+D7</f>
        <v>930.27699999999891</v>
      </c>
      <c r="E16" s="212">
        <f t="shared" si="3"/>
        <v>1148.4110000000001</v>
      </c>
      <c r="F16" s="212">
        <f t="shared" si="3"/>
        <v>1212.5820000000003</v>
      </c>
      <c r="G16" s="212">
        <f t="shared" si="3"/>
        <v>779.55099999999993</v>
      </c>
      <c r="H16" s="212">
        <f t="shared" si="3"/>
        <v>834</v>
      </c>
      <c r="I16" s="212">
        <f t="shared" si="3"/>
        <v>1118</v>
      </c>
      <c r="J16" s="212">
        <f t="shared" si="3"/>
        <v>1249</v>
      </c>
      <c r="K16" s="212">
        <f t="shared" si="3"/>
        <v>1340</v>
      </c>
      <c r="L16" s="212">
        <f t="shared" si="3"/>
        <v>1349</v>
      </c>
      <c r="M16" s="212">
        <f t="shared" si="3"/>
        <v>1317</v>
      </c>
      <c r="N16" s="212">
        <f t="shared" si="3"/>
        <v>1126</v>
      </c>
      <c r="O16" s="212">
        <f t="shared" si="3"/>
        <v>1003</v>
      </c>
      <c r="P16" s="212">
        <f t="shared" si="3"/>
        <v>920</v>
      </c>
      <c r="Q16" s="212">
        <f>Q12-Q15+Q7</f>
        <v>847.73563867596897</v>
      </c>
      <c r="R16" s="212">
        <f>R12-R15+R7</f>
        <v>812.85983731807028</v>
      </c>
      <c r="S16" s="212">
        <f>S12-S15+S7</f>
        <v>781.73262418075308</v>
      </c>
      <c r="T16" s="212">
        <f>T12-T15+T7</f>
        <v>750.63372010559544</v>
      </c>
      <c r="U16" s="212">
        <f>U12-U15+U7</f>
        <v>731.61618079369714</v>
      </c>
    </row>
    <row r="17" spans="1:26" hidden="1" outlineLevel="1" x14ac:dyDescent="0.2">
      <c r="A17" s="189"/>
      <c r="B17" s="8"/>
      <c r="C17" s="191"/>
      <c r="D17" s="191"/>
      <c r="E17" s="191"/>
      <c r="F17" s="191"/>
      <c r="G17" s="191"/>
      <c r="H17" s="191"/>
      <c r="I17" s="191"/>
      <c r="J17" s="191"/>
      <c r="K17" s="191"/>
      <c r="L17" s="191"/>
      <c r="M17" s="191"/>
      <c r="N17" s="8"/>
      <c r="O17" s="8"/>
      <c r="P17" s="8"/>
      <c r="Q17" s="8"/>
      <c r="R17" s="8"/>
      <c r="S17" s="8"/>
      <c r="T17" s="8"/>
      <c r="U17" s="8"/>
    </row>
    <row r="18" spans="1:26" hidden="1" outlineLevel="1" x14ac:dyDescent="0.2">
      <c r="A18" s="189" t="s">
        <v>491</v>
      </c>
      <c r="B18" s="8"/>
      <c r="C18" s="191">
        <f>'yrP&amp;L'!X37</f>
        <v>77.427999999999997</v>
      </c>
      <c r="D18" s="191">
        <f>'yrP&amp;L'!Y37</f>
        <v>45.3</v>
      </c>
      <c r="E18" s="191">
        <f>'yrP&amp;L'!Z37</f>
        <v>42.758000000000003</v>
      </c>
      <c r="F18" s="191">
        <f>'yrP&amp;L'!AA37</f>
        <v>74.430999999999997</v>
      </c>
      <c r="G18" s="191">
        <f>'yrP&amp;L'!AB37</f>
        <v>131</v>
      </c>
      <c r="H18" s="191">
        <f>'yrP&amp;L'!AC37</f>
        <v>138</v>
      </c>
      <c r="I18" s="191">
        <f>'yrP&amp;L'!AD37</f>
        <v>127</v>
      </c>
      <c r="J18" s="191">
        <f>'yrP&amp;L'!AE37</f>
        <v>130</v>
      </c>
      <c r="K18" s="191">
        <f>'yrP&amp;L'!AF37</f>
        <v>160</v>
      </c>
      <c r="L18" s="191">
        <f>'yrP&amp;L'!AG37</f>
        <v>161</v>
      </c>
      <c r="M18" s="191">
        <f>'yrP&amp;L'!AH37</f>
        <v>138</v>
      </c>
      <c r="N18" s="191">
        <f>'yrP&amp;L'!AI37</f>
        <v>125</v>
      </c>
      <c r="O18" s="191">
        <f>'yrP&amp;L'!AJ37</f>
        <v>122</v>
      </c>
      <c r="P18" s="191">
        <f>'yrP&amp;L'!AK37</f>
        <v>136</v>
      </c>
      <c r="Q18" s="191">
        <f>'yrP&amp;L'!AL37</f>
        <v>105</v>
      </c>
      <c r="R18" s="191">
        <f>'yrP&amp;L'!AM37</f>
        <v>105</v>
      </c>
      <c r="S18" s="191">
        <f>'yrP&amp;L'!AN37</f>
        <v>105</v>
      </c>
      <c r="T18" s="191">
        <f>'yrP&amp;L'!AO37</f>
        <v>105</v>
      </c>
      <c r="U18" s="191">
        <f>'yrP&amp;L'!AP37</f>
        <v>105</v>
      </c>
    </row>
    <row r="19" spans="1:26" hidden="1" outlineLevel="1" x14ac:dyDescent="0.2">
      <c r="A19" s="192" t="s">
        <v>160</v>
      </c>
      <c r="B19" s="8"/>
      <c r="C19" s="190">
        <f t="shared" ref="C19:M19" si="4">C16-C18</f>
        <v>647.30599999999993</v>
      </c>
      <c r="D19" s="190">
        <f t="shared" si="4"/>
        <v>884.97699999999895</v>
      </c>
      <c r="E19" s="190">
        <f t="shared" si="4"/>
        <v>1105.653</v>
      </c>
      <c r="F19" s="190">
        <f t="shared" si="4"/>
        <v>1138.1510000000003</v>
      </c>
      <c r="G19" s="190">
        <f t="shared" si="4"/>
        <v>648.55099999999993</v>
      </c>
      <c r="H19" s="190">
        <f t="shared" si="4"/>
        <v>696</v>
      </c>
      <c r="I19" s="190">
        <f t="shared" si="4"/>
        <v>991</v>
      </c>
      <c r="J19" s="190">
        <f t="shared" si="4"/>
        <v>1119</v>
      </c>
      <c r="K19" s="190">
        <f t="shared" si="4"/>
        <v>1180</v>
      </c>
      <c r="L19" s="190">
        <f t="shared" si="4"/>
        <v>1188</v>
      </c>
      <c r="M19" s="190">
        <f t="shared" si="4"/>
        <v>1179</v>
      </c>
      <c r="N19" s="190">
        <f t="shared" ref="N19:T19" si="5">N16-N18</f>
        <v>1001</v>
      </c>
      <c r="O19" s="190">
        <f t="shared" si="5"/>
        <v>881</v>
      </c>
      <c r="P19" s="190">
        <f t="shared" si="5"/>
        <v>784</v>
      </c>
      <c r="Q19" s="190">
        <f t="shared" si="5"/>
        <v>742.73563867596897</v>
      </c>
      <c r="R19" s="190">
        <f t="shared" si="5"/>
        <v>707.85983731807028</v>
      </c>
      <c r="S19" s="190">
        <f t="shared" si="5"/>
        <v>676.73262418075308</v>
      </c>
      <c r="T19" s="190">
        <f t="shared" si="5"/>
        <v>645.63372010559544</v>
      </c>
      <c r="U19" s="190">
        <f>U16-U18</f>
        <v>626.61618079369714</v>
      </c>
    </row>
    <row r="20" spans="1:26" hidden="1" outlineLevel="1" x14ac:dyDescent="0.2">
      <c r="A20" s="189"/>
      <c r="B20" s="8"/>
      <c r="C20" s="191"/>
      <c r="D20" s="191"/>
      <c r="E20" s="191"/>
      <c r="F20" s="191"/>
      <c r="G20" s="191"/>
      <c r="H20" s="191"/>
      <c r="I20" s="191"/>
      <c r="J20" s="191"/>
      <c r="K20" s="191"/>
      <c r="L20" s="191"/>
      <c r="M20" s="191"/>
      <c r="N20" s="8"/>
      <c r="O20" s="8"/>
      <c r="P20" s="8"/>
      <c r="Q20" s="8"/>
      <c r="R20" s="8"/>
      <c r="S20" s="8"/>
      <c r="T20" s="8"/>
      <c r="U20" s="8"/>
    </row>
    <row r="21" spans="1:26" collapsed="1" x14ac:dyDescent="0.2">
      <c r="A21" s="189" t="s">
        <v>161</v>
      </c>
      <c r="B21" s="8"/>
      <c r="C21" s="191">
        <f>'yrP&amp;L'!X45</f>
        <v>253.83100000000002</v>
      </c>
      <c r="D21" s="191">
        <f>'yrP&amp;L'!Y45</f>
        <v>333.79678224168083</v>
      </c>
      <c r="E21" s="191">
        <f>'yrP&amp;L'!Z45</f>
        <v>427.65399999999994</v>
      </c>
      <c r="F21" s="191">
        <f>'yrP&amp;L'!AA45</f>
        <v>444.34500000000003</v>
      </c>
      <c r="G21" s="191">
        <f>'yrP&amp;L'!AB45</f>
        <v>254</v>
      </c>
      <c r="H21" s="191">
        <f>'yrP&amp;L'!AC45</f>
        <v>268</v>
      </c>
      <c r="I21" s="191">
        <f>'yrP&amp;L'!AD45</f>
        <v>378</v>
      </c>
      <c r="J21" s="191">
        <f>'yrP&amp;L'!AE45</f>
        <v>436</v>
      </c>
      <c r="K21" s="191">
        <f>'yrP&amp;L'!AF45</f>
        <v>450</v>
      </c>
      <c r="L21" s="191">
        <f>'yrP&amp;L'!AG45</f>
        <v>455</v>
      </c>
      <c r="M21" s="191">
        <f>'yrP&amp;L'!AH45</f>
        <v>464.5</v>
      </c>
      <c r="N21" s="191">
        <f>'yrP&amp;L'!AI45</f>
        <v>374.26</v>
      </c>
      <c r="O21" s="191">
        <f>'yrP&amp;L'!AJ45</f>
        <v>330.03999999999996</v>
      </c>
      <c r="P21" s="191">
        <f>'yrP&amp;L'!AK45</f>
        <v>309.64999999999998</v>
      </c>
      <c r="Q21" s="191">
        <f>'yrP&amp;L'!AL45</f>
        <v>204.19806559426587</v>
      </c>
      <c r="R21" s="191">
        <f>'yrP&amp;L'!AM45</f>
        <v>194.60976687464597</v>
      </c>
      <c r="S21" s="191">
        <f>'yrP&amp;L'!AN45</f>
        <v>186.05205619132525</v>
      </c>
      <c r="T21" s="191">
        <f>'yrP&amp;L'!AO45</f>
        <v>177.50212843295174</v>
      </c>
      <c r="U21" s="191">
        <f>'yrP&amp;L'!AP45</f>
        <v>172.2736937953263</v>
      </c>
    </row>
    <row r="22" spans="1:26" hidden="1" outlineLevel="1" x14ac:dyDescent="0.2">
      <c r="A22" s="189"/>
      <c r="B22" s="8"/>
      <c r="C22" s="191"/>
      <c r="D22" s="191"/>
      <c r="E22" s="191"/>
      <c r="F22" s="191"/>
      <c r="G22" s="191"/>
      <c r="H22" s="191"/>
      <c r="I22" s="191"/>
      <c r="J22" s="191"/>
      <c r="K22" s="191"/>
      <c r="L22" s="191"/>
      <c r="M22" s="191"/>
      <c r="N22" s="8"/>
      <c r="O22" s="8"/>
      <c r="P22" s="8"/>
      <c r="Q22" s="8"/>
      <c r="R22" s="8"/>
      <c r="S22" s="8"/>
      <c r="T22" s="8"/>
      <c r="U22" s="8"/>
    </row>
    <row r="23" spans="1:26" hidden="1" outlineLevel="1" x14ac:dyDescent="0.2">
      <c r="A23" s="189"/>
      <c r="B23" s="8"/>
      <c r="C23" s="191"/>
      <c r="D23" s="191"/>
      <c r="E23" s="191"/>
      <c r="F23" s="191"/>
      <c r="G23" s="191"/>
      <c r="H23" s="191"/>
      <c r="I23" s="191"/>
      <c r="J23" s="191"/>
      <c r="K23" s="191"/>
      <c r="L23" s="191"/>
      <c r="M23" s="191"/>
      <c r="N23" s="8"/>
      <c r="O23" s="8"/>
      <c r="P23" s="8"/>
      <c r="Q23" s="8"/>
      <c r="R23" s="8"/>
      <c r="S23" s="8"/>
      <c r="T23" s="8"/>
      <c r="U23" s="8"/>
    </row>
    <row r="24" spans="1:26" hidden="1" outlineLevel="1" x14ac:dyDescent="0.2">
      <c r="A24" s="189" t="s">
        <v>162</v>
      </c>
      <c r="B24" s="8"/>
      <c r="C24" s="190">
        <f>C19-C21</f>
        <v>393.47499999999991</v>
      </c>
      <c r="D24" s="190">
        <f t="shared" ref="D24:P24" si="6">D19-D21</f>
        <v>551.18021775831812</v>
      </c>
      <c r="E24" s="190">
        <f t="shared" si="6"/>
        <v>677.99900000000002</v>
      </c>
      <c r="F24" s="190">
        <f t="shared" si="6"/>
        <v>693.80600000000027</v>
      </c>
      <c r="G24" s="190">
        <f t="shared" si="6"/>
        <v>394.55099999999993</v>
      </c>
      <c r="H24" s="190">
        <f t="shared" si="6"/>
        <v>428</v>
      </c>
      <c r="I24" s="190">
        <f t="shared" si="6"/>
        <v>613</v>
      </c>
      <c r="J24" s="190">
        <f>J19-J21</f>
        <v>683</v>
      </c>
      <c r="K24" s="190">
        <f>K19-K21</f>
        <v>730</v>
      </c>
      <c r="L24" s="190">
        <f t="shared" si="6"/>
        <v>733</v>
      </c>
      <c r="M24" s="190">
        <f t="shared" si="6"/>
        <v>714.5</v>
      </c>
      <c r="N24" s="190">
        <f t="shared" si="6"/>
        <v>626.74</v>
      </c>
      <c r="O24" s="190">
        <f t="shared" si="6"/>
        <v>550.96</v>
      </c>
      <c r="P24" s="190">
        <f t="shared" si="6"/>
        <v>474.35</v>
      </c>
      <c r="Q24" s="190">
        <f>Q19-Q21</f>
        <v>538.53757308170316</v>
      </c>
      <c r="R24" s="190">
        <f>R19-R21</f>
        <v>513.25007044342431</v>
      </c>
      <c r="S24" s="190">
        <f>S19-S21</f>
        <v>490.6805679894278</v>
      </c>
      <c r="T24" s="190">
        <f>T19-T21</f>
        <v>468.13159167264371</v>
      </c>
      <c r="U24" s="190">
        <f>U19-U21</f>
        <v>454.34248699837087</v>
      </c>
    </row>
    <row r="25" spans="1:26" hidden="1" outlineLevel="1" x14ac:dyDescent="0.2">
      <c r="A25" s="189"/>
      <c r="B25" s="8"/>
      <c r="C25" s="191"/>
      <c r="D25" s="191"/>
      <c r="E25" s="191"/>
      <c r="F25" s="191"/>
      <c r="G25" s="191"/>
      <c r="H25" s="191"/>
      <c r="I25" s="191"/>
      <c r="J25" s="191"/>
      <c r="K25" s="191"/>
      <c r="L25" s="191"/>
      <c r="M25" s="191"/>
      <c r="N25" s="8"/>
      <c r="O25" s="8"/>
      <c r="P25" s="8"/>
      <c r="Q25" s="8"/>
      <c r="R25" s="8"/>
      <c r="S25" s="8"/>
      <c r="T25" s="8"/>
      <c r="U25" s="8"/>
    </row>
    <row r="26" spans="1:26" collapsed="1" x14ac:dyDescent="0.2">
      <c r="A26" s="14" t="s">
        <v>166</v>
      </c>
      <c r="B26" s="14"/>
      <c r="C26" s="214">
        <f t="shared" ref="C26:P26" si="7">C24/C27</f>
        <v>1.3831814139226841</v>
      </c>
      <c r="D26" s="214">
        <f t="shared" si="7"/>
        <v>1.9842614832034378</v>
      </c>
      <c r="E26" s="214">
        <f t="shared" si="7"/>
        <v>2.5514990549466887</v>
      </c>
      <c r="F26" s="214">
        <f t="shared" si="7"/>
        <v>2.7879678008175377</v>
      </c>
      <c r="G26" s="214">
        <f t="shared" si="7"/>
        <v>1.8013971007875809</v>
      </c>
      <c r="H26" s="214">
        <f t="shared" si="7"/>
        <v>1.9485545185522422</v>
      </c>
      <c r="I26" s="214">
        <f t="shared" si="7"/>
        <v>2.7532000898270828</v>
      </c>
      <c r="J26" s="214">
        <f t="shared" si="7"/>
        <v>3.137705294590559</v>
      </c>
      <c r="K26" s="214">
        <f>K24/K27</f>
        <v>3.5316884373488149</v>
      </c>
      <c r="L26" s="214">
        <f t="shared" si="7"/>
        <v>3.7076378351036925</v>
      </c>
      <c r="M26" s="214">
        <f>M24/M27</f>
        <v>3.6905991735537191</v>
      </c>
      <c r="N26" s="214">
        <f>N24/N27</f>
        <v>3.3021074815595362</v>
      </c>
      <c r="O26" s="214">
        <f t="shared" si="7"/>
        <v>3.1501429388221847</v>
      </c>
      <c r="P26" s="214">
        <f t="shared" si="7"/>
        <v>2.8070538805219396</v>
      </c>
      <c r="Q26" s="214">
        <f>Q24/Q27</f>
        <v>3.2974127560357465</v>
      </c>
      <c r="R26" s="214">
        <f>R24/R27</f>
        <v>3.2520973597878888</v>
      </c>
      <c r="S26" s="214">
        <f>S24/S27</f>
        <v>3.200342861732655</v>
      </c>
      <c r="T26" s="214">
        <f>T24/T27</f>
        <v>3.1455964230420301</v>
      </c>
      <c r="U26" s="214">
        <f>U24/U27</f>
        <v>3.1481329810985623</v>
      </c>
    </row>
    <row r="27" spans="1:26" x14ac:dyDescent="0.2">
      <c r="A27" s="189" t="s">
        <v>164</v>
      </c>
      <c r="B27" s="8"/>
      <c r="C27" s="191">
        <f>'yrP&amp;L'!X64</f>
        <v>284.471</v>
      </c>
      <c r="D27" s="191">
        <f>'yrP&amp;L'!Y64</f>
        <v>277.77600000000001</v>
      </c>
      <c r="E27" s="191">
        <f>'yrP&amp;L'!Z64</f>
        <v>265.72575000000001</v>
      </c>
      <c r="F27" s="191">
        <f>'yrP&amp;L'!AA64</f>
        <v>248.85725000000002</v>
      </c>
      <c r="G27" s="191">
        <f>'yrP&amp;L'!AB64</f>
        <v>219.02500000000001</v>
      </c>
      <c r="H27" s="191">
        <f>'yrP&amp;L'!AC64</f>
        <v>219.65</v>
      </c>
      <c r="I27" s="191">
        <f>'yrP&amp;L'!AD64</f>
        <v>222.65</v>
      </c>
      <c r="J27" s="191">
        <f>'yrP&amp;L'!AE64</f>
        <v>217.67500000000001</v>
      </c>
      <c r="K27" s="191">
        <f>'yrP&amp;L'!AF64</f>
        <v>206.7</v>
      </c>
      <c r="L27" s="191">
        <f>'yrP&amp;L'!AG64</f>
        <v>197.7</v>
      </c>
      <c r="M27" s="191">
        <f>'yrP&amp;L'!AH64</f>
        <v>193.6</v>
      </c>
      <c r="N27" s="191">
        <f>'yrP&amp;L'!AI64</f>
        <v>189.8</v>
      </c>
      <c r="O27" s="191">
        <f>'yrP&amp;L'!AJ64</f>
        <v>174.89999999999998</v>
      </c>
      <c r="P27" s="191">
        <f>'yrP&amp;L'!AK64</f>
        <v>168.98500000000001</v>
      </c>
      <c r="Q27" s="191">
        <f>'yrP&amp;L'!AL64</f>
        <v>163.32124999999999</v>
      </c>
      <c r="R27" s="191">
        <f>'yrP&amp;L'!AM64</f>
        <v>157.82124999999999</v>
      </c>
      <c r="S27" s="191">
        <f>'yrP&amp;L'!AN64</f>
        <v>153.32124999999999</v>
      </c>
      <c r="T27" s="191">
        <f>'yrP&amp;L'!AO64</f>
        <v>148.82124999999999</v>
      </c>
      <c r="U27" s="191">
        <f>'yrP&amp;L'!AP64</f>
        <v>144.32124999999999</v>
      </c>
    </row>
    <row r="28" spans="1:26" hidden="1" outlineLevel="1" x14ac:dyDescent="0.2">
      <c r="A28" s="189"/>
      <c r="B28" s="8"/>
      <c r="C28" s="191"/>
      <c r="D28" s="191"/>
      <c r="E28" s="191"/>
      <c r="F28" s="191"/>
      <c r="G28" s="191"/>
      <c r="H28" s="191"/>
      <c r="I28" s="191"/>
      <c r="J28" s="191"/>
      <c r="K28" s="191"/>
      <c r="L28" s="191"/>
      <c r="M28" s="191"/>
      <c r="N28" s="8"/>
      <c r="O28" s="8"/>
      <c r="P28" s="8"/>
      <c r="Q28" s="8"/>
      <c r="R28" s="8"/>
      <c r="S28" s="8"/>
      <c r="T28" s="8"/>
      <c r="U28" s="8"/>
    </row>
    <row r="29" spans="1:26" hidden="1" outlineLevel="1" x14ac:dyDescent="0.2">
      <c r="A29" s="189" t="s">
        <v>490</v>
      </c>
      <c r="B29" s="8"/>
      <c r="C29" s="191">
        <f>sumry!FG46</f>
        <v>264.76900000000001</v>
      </c>
      <c r="D29" s="191">
        <f>sumry!FH46</f>
        <v>276.32799999999997</v>
      </c>
      <c r="E29" s="191">
        <f>sumry!FI46</f>
        <v>284.52</v>
      </c>
      <c r="F29" s="191">
        <f>sumry!FJ46</f>
        <v>269</v>
      </c>
      <c r="G29" s="191">
        <f>sumry!FK46</f>
        <v>302</v>
      </c>
      <c r="H29" s="191">
        <f>sumry!FL46</f>
        <v>313</v>
      </c>
      <c r="I29" s="191">
        <f>sumry!FM46</f>
        <v>327</v>
      </c>
      <c r="J29" s="191">
        <f>sumry!FN46</f>
        <v>371</v>
      </c>
      <c r="K29" s="191">
        <f>sumry!FO46</f>
        <v>429</v>
      </c>
      <c r="L29" s="191">
        <f>sumry!FP46</f>
        <v>454</v>
      </c>
      <c r="M29" s="191">
        <f>sumry!FQ46</f>
        <v>508</v>
      </c>
      <c r="N29" s="191">
        <f>sumry!FR46</f>
        <v>576</v>
      </c>
      <c r="O29" s="191">
        <f>sumry!FS46</f>
        <v>645</v>
      </c>
      <c r="P29" s="191">
        <f>sumry!FT46</f>
        <v>666</v>
      </c>
      <c r="Q29" s="191">
        <f>sumry!FU46</f>
        <v>642</v>
      </c>
      <c r="R29" s="191">
        <f>sumry!FV46</f>
        <v>632</v>
      </c>
      <c r="S29" s="191">
        <f>sumry!FW46</f>
        <v>622</v>
      </c>
      <c r="T29" s="191">
        <f>sumry!FX46</f>
        <v>612</v>
      </c>
      <c r="U29" s="191">
        <f>sumry!FY46</f>
        <v>602</v>
      </c>
    </row>
    <row r="30" spans="1:26" hidden="1" outlineLevel="1" x14ac:dyDescent="0.2">
      <c r="A30" s="189" t="s">
        <v>169</v>
      </c>
      <c r="B30" s="8"/>
      <c r="C30" s="212">
        <f>C16+C29</f>
        <v>989.50299999999993</v>
      </c>
      <c r="D30" s="212">
        <f t="shared" ref="D30:P30" si="8">D16+D29</f>
        <v>1206.6049999999989</v>
      </c>
      <c r="E30" s="212">
        <f t="shared" si="8"/>
        <v>1432.931</v>
      </c>
      <c r="F30" s="212">
        <f t="shared" si="8"/>
        <v>1481.5820000000003</v>
      </c>
      <c r="G30" s="212">
        <f t="shared" si="8"/>
        <v>1081.5509999999999</v>
      </c>
      <c r="H30" s="212">
        <f t="shared" si="8"/>
        <v>1147</v>
      </c>
      <c r="I30" s="212">
        <f t="shared" si="8"/>
        <v>1445</v>
      </c>
      <c r="J30" s="212">
        <f t="shared" si="8"/>
        <v>1620</v>
      </c>
      <c r="K30" s="212">
        <f t="shared" si="8"/>
        <v>1769</v>
      </c>
      <c r="L30" s="212">
        <f t="shared" si="8"/>
        <v>1803</v>
      </c>
      <c r="M30" s="212">
        <f t="shared" si="8"/>
        <v>1825</v>
      </c>
      <c r="N30" s="212">
        <f t="shared" si="8"/>
        <v>1702</v>
      </c>
      <c r="O30" s="212">
        <f t="shared" si="8"/>
        <v>1648</v>
      </c>
      <c r="P30" s="212">
        <f t="shared" si="8"/>
        <v>1586</v>
      </c>
      <c r="Q30" s="212">
        <f>Q16+Q29</f>
        <v>1489.7356386759689</v>
      </c>
      <c r="R30" s="212">
        <f>R16+R29</f>
        <v>1444.8598373180703</v>
      </c>
      <c r="S30" s="212">
        <f>S16+S29</f>
        <v>1403.7326241807532</v>
      </c>
      <c r="T30" s="212">
        <f>T16+T29</f>
        <v>1362.6337201055953</v>
      </c>
      <c r="U30" s="212">
        <f>U16+U29</f>
        <v>1333.6161807936971</v>
      </c>
    </row>
    <row r="31" spans="1:26" collapsed="1" x14ac:dyDescent="0.2">
      <c r="A31" s="189"/>
      <c r="B31" s="191"/>
      <c r="C31" s="191"/>
      <c r="D31" s="191"/>
      <c r="E31" s="191"/>
      <c r="F31" s="191"/>
      <c r="G31" s="191"/>
      <c r="H31" s="191"/>
      <c r="I31" s="191"/>
      <c r="J31" s="191"/>
      <c r="K31" s="191"/>
      <c r="L31" s="191"/>
      <c r="M31" s="191"/>
      <c r="N31" s="191"/>
      <c r="O31" s="191"/>
      <c r="P31" s="191"/>
      <c r="Q31" s="191"/>
      <c r="R31" s="191"/>
      <c r="S31" s="191"/>
      <c r="T31" s="191"/>
      <c r="U31" s="191"/>
    </row>
    <row r="32" spans="1:26" x14ac:dyDescent="0.2">
      <c r="A32" s="193" t="s">
        <v>170</v>
      </c>
      <c r="B32" s="8"/>
      <c r="D32" s="191"/>
      <c r="E32" s="191"/>
      <c r="F32" s="191"/>
      <c r="G32" s="191"/>
      <c r="H32" s="191"/>
      <c r="I32" s="191"/>
      <c r="J32" s="191"/>
      <c r="K32" s="191"/>
      <c r="L32" s="191"/>
      <c r="M32" s="191"/>
      <c r="N32" s="191"/>
      <c r="O32" s="191"/>
      <c r="P32" s="191"/>
      <c r="Q32" s="191"/>
      <c r="R32" s="191"/>
      <c r="S32" s="191"/>
      <c r="T32" s="191"/>
      <c r="U32" s="191"/>
      <c r="Z32">
        <f>2.9*AA39</f>
        <v>37.699999999999996</v>
      </c>
    </row>
    <row r="33" spans="1:28" x14ac:dyDescent="0.2">
      <c r="A33" s="189" t="s">
        <v>171</v>
      </c>
      <c r="B33" s="8"/>
      <c r="C33" s="194">
        <f t="shared" ref="C33:P33" si="9">C12/C6</f>
        <v>0.36066134439275915</v>
      </c>
      <c r="D33" s="194">
        <f t="shared" si="9"/>
        <v>0.36705055232607814</v>
      </c>
      <c r="E33" s="194">
        <f t="shared" si="9"/>
        <v>0.37458966546886713</v>
      </c>
      <c r="F33" s="194">
        <f t="shared" si="9"/>
        <v>0.37400380207376371</v>
      </c>
      <c r="G33" s="194">
        <f t="shared" si="9"/>
        <v>0.34513532746351461</v>
      </c>
      <c r="H33" s="194">
        <f t="shared" si="9"/>
        <v>0.3548074594332768</v>
      </c>
      <c r="I33" s="194">
        <f t="shared" si="9"/>
        <v>0.36659505907626211</v>
      </c>
      <c r="J33" s="194">
        <f t="shared" si="9"/>
        <v>0.37201105077641233</v>
      </c>
      <c r="K33" s="194">
        <f t="shared" si="9"/>
        <v>0.36813467097432412</v>
      </c>
      <c r="L33" s="194">
        <f t="shared" si="9"/>
        <v>0.3640473450600033</v>
      </c>
      <c r="M33" s="194">
        <f t="shared" si="9"/>
        <v>0.35878270154831821</v>
      </c>
      <c r="N33" s="194">
        <f t="shared" si="9"/>
        <v>0.34955658034764103</v>
      </c>
      <c r="O33" s="194">
        <f t="shared" si="9"/>
        <v>0.34898958548865439</v>
      </c>
      <c r="P33" s="194">
        <f t="shared" si="9"/>
        <v>0.3466340754442756</v>
      </c>
      <c r="Q33" s="194">
        <f>Q12/Q6</f>
        <v>0.34724074714771191</v>
      </c>
      <c r="R33" s="194">
        <f>R12/R6</f>
        <v>0.34460000000000002</v>
      </c>
      <c r="S33" s="194">
        <f>S12/S6</f>
        <v>0.34159999999999996</v>
      </c>
      <c r="T33" s="194">
        <f>T12/T6</f>
        <v>0.33849999999999997</v>
      </c>
      <c r="U33" s="194">
        <f>U12/U6</f>
        <v>0.33650000000000002</v>
      </c>
    </row>
    <row r="34" spans="1:28" x14ac:dyDescent="0.2">
      <c r="A34" s="189" t="s">
        <v>475</v>
      </c>
      <c r="B34" s="8"/>
      <c r="C34" s="195" t="s">
        <v>83</v>
      </c>
      <c r="D34" s="195" t="s">
        <v>83</v>
      </c>
      <c r="E34" s="195" t="s">
        <v>83</v>
      </c>
      <c r="F34" s="194">
        <f t="shared" ref="F34:P34" si="10">F13/F6</f>
        <v>0.2472865875968841</v>
      </c>
      <c r="G34" s="194">
        <f t="shared" si="10"/>
        <v>0.25497117356169341</v>
      </c>
      <c r="H34" s="194">
        <f t="shared" si="10"/>
        <v>0.25538871397432794</v>
      </c>
      <c r="I34" s="194">
        <f t="shared" si="10"/>
        <v>0.25907626208378087</v>
      </c>
      <c r="J34" s="194">
        <f t="shared" si="10"/>
        <v>0.26740973611508051</v>
      </c>
      <c r="K34" s="194">
        <f t="shared" si="10"/>
        <v>0.2696820268661792</v>
      </c>
      <c r="L34" s="194">
        <f t="shared" si="10"/>
        <v>0.26894624362978792</v>
      </c>
      <c r="M34" s="194">
        <f t="shared" si="10"/>
        <v>0.27373960796277935</v>
      </c>
      <c r="N34" s="194">
        <f t="shared" si="10"/>
        <v>0.28059595601277049</v>
      </c>
      <c r="O34" s="194">
        <f t="shared" si="10"/>
        <v>0.28643354714118213</v>
      </c>
      <c r="P34" s="194">
        <f t="shared" si="10"/>
        <v>0.2978133051463302</v>
      </c>
      <c r="Q34" s="194">
        <f>Q13/Q6</f>
        <v>0.30569584758174173</v>
      </c>
      <c r="R34" s="194">
        <f>R13/R6</f>
        <v>0.3075</v>
      </c>
      <c r="S34" s="194">
        <f>S13/S6</f>
        <v>0.30840000000000001</v>
      </c>
      <c r="T34" s="194">
        <f>T13/T6</f>
        <v>0.309</v>
      </c>
      <c r="U34" s="194">
        <f>U13/U6</f>
        <v>0.30980000000000002</v>
      </c>
    </row>
    <row r="35" spans="1:28" x14ac:dyDescent="0.2">
      <c r="A35" s="189" t="s">
        <v>499</v>
      </c>
      <c r="B35" s="8"/>
      <c r="C35" s="194">
        <f>C15/C8</f>
        <v>0.27657924621681174</v>
      </c>
      <c r="D35" s="194">
        <f t="shared" ref="D35:P35" si="11">D15/D8</f>
        <v>0.26527023856397414</v>
      </c>
      <c r="E35" s="194">
        <f t="shared" si="11"/>
        <v>0.26103020687167489</v>
      </c>
      <c r="F35" s="194">
        <f t="shared" si="11"/>
        <v>0.25937600288390944</v>
      </c>
      <c r="G35" s="194">
        <f t="shared" si="11"/>
        <v>0.27776736070722347</v>
      </c>
      <c r="H35" s="194">
        <f t="shared" si="11"/>
        <v>0.2857308450214443</v>
      </c>
      <c r="I35" s="194">
        <f t="shared" si="11"/>
        <v>0.27680412371134022</v>
      </c>
      <c r="J35" s="194">
        <f t="shared" si="11"/>
        <v>0.27912108118047257</v>
      </c>
      <c r="K35" s="194">
        <f t="shared" si="11"/>
        <v>0.27707268831382892</v>
      </c>
      <c r="L35" s="194">
        <f t="shared" si="11"/>
        <v>0.27543859649122809</v>
      </c>
      <c r="M35" s="194">
        <f t="shared" si="11"/>
        <v>0.28002369317340442</v>
      </c>
      <c r="N35" s="194">
        <f t="shared" si="11"/>
        <v>0.28697097734986493</v>
      </c>
      <c r="O35" s="194">
        <f t="shared" si="11"/>
        <v>0.29245155170077247</v>
      </c>
      <c r="P35" s="194">
        <f t="shared" si="11"/>
        <v>0.30158935262953868</v>
      </c>
      <c r="Q35" s="194">
        <f>Q15/Q8</f>
        <v>0.30883828037858457</v>
      </c>
      <c r="R35" s="194">
        <f>R15/R8</f>
        <v>0.31072947905729725</v>
      </c>
      <c r="S35" s="194">
        <f>S15/S8</f>
        <v>0.31175737890962824</v>
      </c>
      <c r="T35" s="194">
        <f>T15/T8</f>
        <v>0.31248576895174929</v>
      </c>
      <c r="U35" s="194">
        <f>U15/U8</f>
        <v>0.31345320582286479</v>
      </c>
    </row>
    <row r="36" spans="1:28" x14ac:dyDescent="0.2">
      <c r="A36" s="189" t="s">
        <v>173</v>
      </c>
      <c r="B36" s="8"/>
      <c r="C36" s="194">
        <f>C16/C8</f>
        <v>9.9219438266623133E-2</v>
      </c>
      <c r="D36" s="194">
        <f t="shared" ref="D36:P36" si="12">D16/D8</f>
        <v>0.11747455412739477</v>
      </c>
      <c r="E36" s="194">
        <f t="shared" si="12"/>
        <v>0.13051277368467648</v>
      </c>
      <c r="F36" s="194">
        <f t="shared" si="12"/>
        <v>0.13326892895295625</v>
      </c>
      <c r="G36" s="194">
        <f t="shared" si="12"/>
        <v>9.0677096661626141E-2</v>
      </c>
      <c r="H36" s="194">
        <f t="shared" si="12"/>
        <v>9.6673235191839568E-2</v>
      </c>
      <c r="I36" s="194">
        <f t="shared" si="12"/>
        <v>0.11525773195876289</v>
      </c>
      <c r="J36" s="194">
        <f t="shared" si="12"/>
        <v>0.11482945665165027</v>
      </c>
      <c r="K36" s="194">
        <f t="shared" si="12"/>
        <v>0.11043349266523818</v>
      </c>
      <c r="L36" s="194">
        <f t="shared" si="12"/>
        <v>0.10757575757575757</v>
      </c>
      <c r="M36" s="194">
        <f t="shared" si="12"/>
        <v>9.7512216792536646E-2</v>
      </c>
      <c r="N36" s="194">
        <f t="shared" si="12"/>
        <v>7.7994043083743164E-2</v>
      </c>
      <c r="O36" s="194">
        <f t="shared" si="12"/>
        <v>6.7963138636671638E-2</v>
      </c>
      <c r="P36" s="194">
        <f t="shared" si="12"/>
        <v>5.9439204031528622E-2</v>
      </c>
      <c r="Q36" s="194">
        <f>Q16/Q8</f>
        <v>5.3998863756290628E-2</v>
      </c>
      <c r="R36" s="194">
        <f>R16/R8</f>
        <v>5.0187617242078514E-2</v>
      </c>
      <c r="S36" s="194">
        <f>S16/S8</f>
        <v>4.7002644207798074E-2</v>
      </c>
      <c r="T36" s="194">
        <f>T16/T8</f>
        <v>4.3998123962547382E-2</v>
      </c>
      <c r="U36" s="194">
        <f>U16/U8</f>
        <v>4.2070213090377784E-2</v>
      </c>
    </row>
    <row r="37" spans="1:28" x14ac:dyDescent="0.2">
      <c r="A37" s="189" t="s">
        <v>175</v>
      </c>
      <c r="B37" s="8"/>
      <c r="C37" s="194">
        <f>C21/C19</f>
        <v>0.39213447735692247</v>
      </c>
      <c r="D37" s="194">
        <f t="shared" ref="D37:M37" si="13">D21/D19</f>
        <v>0.37718130780989928</v>
      </c>
      <c r="E37" s="194">
        <f t="shared" si="13"/>
        <v>0.38678862174660578</v>
      </c>
      <c r="F37" s="194">
        <f t="shared" si="13"/>
        <v>0.39040953265427863</v>
      </c>
      <c r="G37" s="194">
        <f t="shared" si="13"/>
        <v>0.39164229181668059</v>
      </c>
      <c r="H37" s="194">
        <f t="shared" si="13"/>
        <v>0.38505747126436779</v>
      </c>
      <c r="I37" s="194">
        <f t="shared" si="13"/>
        <v>0.38143289606458125</v>
      </c>
      <c r="J37" s="194">
        <f t="shared" si="13"/>
        <v>0.3896336014298481</v>
      </c>
      <c r="K37" s="194">
        <f>K21/K19</f>
        <v>0.38135593220338981</v>
      </c>
      <c r="L37" s="194">
        <f t="shared" si="13"/>
        <v>0.382996632996633</v>
      </c>
      <c r="M37" s="194">
        <f t="shared" si="13"/>
        <v>0.39397794741306191</v>
      </c>
      <c r="N37" s="194">
        <f t="shared" ref="N37:T37" si="14">N21/N19</f>
        <v>0.37388611388611387</v>
      </c>
      <c r="O37" s="194">
        <f t="shared" si="14"/>
        <v>0.37461975028376843</v>
      </c>
      <c r="P37" s="194">
        <f t="shared" si="14"/>
        <v>0.39496173469387752</v>
      </c>
      <c r="Q37" s="194">
        <f t="shared" si="14"/>
        <v>0.27492697934661886</v>
      </c>
      <c r="R37" s="194">
        <f t="shared" si="14"/>
        <v>0.27492697934661869</v>
      </c>
      <c r="S37" s="194">
        <f t="shared" si="14"/>
        <v>0.27492697934661908</v>
      </c>
      <c r="T37" s="194">
        <f t="shared" si="14"/>
        <v>0.27492697934661886</v>
      </c>
      <c r="U37" s="194">
        <f>U21/U19</f>
        <v>0.27492697934661942</v>
      </c>
      <c r="Z37" s="832"/>
      <c r="AA37" s="833" t="s">
        <v>594</v>
      </c>
      <c r="AB37" s="834" t="s">
        <v>335</v>
      </c>
    </row>
    <row r="38" spans="1:28" x14ac:dyDescent="0.2">
      <c r="A38" s="189"/>
      <c r="B38" s="8"/>
      <c r="C38" s="191"/>
      <c r="D38" s="191"/>
      <c r="E38" s="191"/>
      <c r="F38" s="191"/>
      <c r="G38" s="191"/>
      <c r="H38" s="191"/>
      <c r="I38" s="191"/>
      <c r="J38" s="191"/>
      <c r="K38" s="191"/>
      <c r="L38" s="191"/>
      <c r="M38" s="191"/>
      <c r="N38" s="8"/>
      <c r="O38" s="8"/>
      <c r="P38" s="8"/>
      <c r="Q38" s="8"/>
      <c r="R38" s="8"/>
      <c r="S38" s="8"/>
      <c r="T38" s="8"/>
      <c r="U38" s="8"/>
      <c r="Z38" s="835" t="s">
        <v>284</v>
      </c>
      <c r="AA38" s="836">
        <v>10.5</v>
      </c>
      <c r="AB38" s="837">
        <f>AA38*R123</f>
        <v>27.583737880786963</v>
      </c>
    </row>
    <row r="39" spans="1:28" x14ac:dyDescent="0.2">
      <c r="A39" s="193" t="s">
        <v>178</v>
      </c>
      <c r="B39" s="8"/>
      <c r="C39" s="191"/>
      <c r="D39" s="191"/>
      <c r="E39" s="191"/>
      <c r="F39" s="191"/>
      <c r="G39" s="191"/>
      <c r="H39" s="191"/>
      <c r="I39" s="191"/>
      <c r="J39" s="191"/>
      <c r="K39" s="191"/>
      <c r="L39" s="191"/>
      <c r="M39" s="191"/>
      <c r="N39" s="8"/>
      <c r="O39" s="8"/>
      <c r="P39" s="8"/>
      <c r="Q39" s="8"/>
      <c r="R39" s="8"/>
      <c r="S39" s="8"/>
      <c r="T39" s="8"/>
      <c r="U39" s="8"/>
      <c r="Z39" s="835" t="s">
        <v>497</v>
      </c>
      <c r="AA39" s="836">
        <v>13</v>
      </c>
      <c r="AB39" s="837">
        <f>AA39*R26</f>
        <v>42.277265677242553</v>
      </c>
    </row>
    <row r="40" spans="1:28" x14ac:dyDescent="0.2">
      <c r="A40" s="189" t="s">
        <v>273</v>
      </c>
      <c r="B40" s="8"/>
      <c r="C40" s="195" t="s">
        <v>83</v>
      </c>
      <c r="D40" s="194">
        <f>((D6/C6)-1)</f>
        <v>8.2900681814389365E-2</v>
      </c>
      <c r="E40" s="194">
        <f t="shared" ref="E40:M40" si="15">((E6/D6)-1)</f>
        <v>0.10852364459071628</v>
      </c>
      <c r="F40" s="194">
        <f t="shared" si="15"/>
        <v>3.1202595863094373E-2</v>
      </c>
      <c r="G40" s="194">
        <f t="shared" si="15"/>
        <v>-6.0809391770148324E-2</v>
      </c>
      <c r="H40" s="194">
        <f t="shared" si="15"/>
        <v>-3.9802195151369402E-3</v>
      </c>
      <c r="I40" s="194">
        <f t="shared" si="15"/>
        <v>0.1273916202470331</v>
      </c>
      <c r="J40" s="194">
        <f t="shared" si="15"/>
        <v>0.12749731471535974</v>
      </c>
      <c r="K40" s="194">
        <f t="shared" si="15"/>
        <v>0.12051062208249985</v>
      </c>
      <c r="L40" s="194">
        <f t="shared" si="15"/>
        <v>3.4347900017003941E-2</v>
      </c>
      <c r="M40" s="194">
        <f t="shared" si="15"/>
        <v>7.7675489067894121E-2</v>
      </c>
      <c r="N40" s="194">
        <f t="shared" ref="N40:U40" si="16">((N6/M6)-1)</f>
        <v>7.5051483487148296E-2</v>
      </c>
      <c r="O40" s="194">
        <f t="shared" si="16"/>
        <v>2.8662646328485364E-2</v>
      </c>
      <c r="P40" s="194">
        <f t="shared" si="16"/>
        <v>4.4003034692047693E-2</v>
      </c>
      <c r="Q40" s="194">
        <f t="shared" si="16"/>
        <v>1.2356375625196314E-2</v>
      </c>
      <c r="R40" s="194">
        <f t="shared" si="16"/>
        <v>3.0615377831069379E-2</v>
      </c>
      <c r="S40" s="194">
        <f t="shared" si="16"/>
        <v>2.5644516209221591E-2</v>
      </c>
      <c r="T40" s="194">
        <f t="shared" si="16"/>
        <v>2.4605706395462557E-2</v>
      </c>
      <c r="U40" s="194">
        <f t="shared" si="16"/>
        <v>1.7773923331075192E-2</v>
      </c>
      <c r="Z40" s="838" t="s">
        <v>288</v>
      </c>
      <c r="AA40" s="839">
        <v>16</v>
      </c>
      <c r="AB40" s="844">
        <f>AA40*R74</f>
        <v>67.82956740664757</v>
      </c>
    </row>
    <row r="41" spans="1:28" x14ac:dyDescent="0.2">
      <c r="A41" s="189" t="s">
        <v>316</v>
      </c>
      <c r="B41" s="8"/>
      <c r="C41" s="195" t="s">
        <v>83</v>
      </c>
      <c r="D41" s="194">
        <f t="shared" ref="D41:U41" si="17">((D7/C7)-1)</f>
        <v>0.13537486556186451</v>
      </c>
      <c r="E41" s="194">
        <f t="shared" si="17"/>
        <v>0.21477026187396242</v>
      </c>
      <c r="F41" s="194">
        <f t="shared" si="17"/>
        <v>0.13592285923907355</v>
      </c>
      <c r="G41" s="194">
        <f t="shared" si="17"/>
        <v>0.12937633329150455</v>
      </c>
      <c r="H41" s="194">
        <f t="shared" si="17"/>
        <v>0.20588235294117641</v>
      </c>
      <c r="I41" s="194">
        <f t="shared" si="17"/>
        <v>5.6910569105691033E-2</v>
      </c>
      <c r="J41" s="194">
        <f t="shared" si="17"/>
        <v>-2.5641025641025661E-2</v>
      </c>
      <c r="K41" s="194">
        <f t="shared" si="17"/>
        <v>-2.1052631578947323E-2</v>
      </c>
      <c r="L41" s="194">
        <f t="shared" si="17"/>
        <v>5.3763440860215006E-3</v>
      </c>
      <c r="M41" s="194">
        <f t="shared" si="17"/>
        <v>5.6149732620320858E-2</v>
      </c>
      <c r="N41" s="194">
        <f t="shared" si="17"/>
        <v>-0.13417721518987347</v>
      </c>
      <c r="O41" s="194">
        <f t="shared" si="17"/>
        <v>-0.24269005847953218</v>
      </c>
      <c r="P41" s="194">
        <f t="shared" si="17"/>
        <v>0.31660231660231664</v>
      </c>
      <c r="Q41" s="194">
        <f t="shared" si="17"/>
        <v>0.10000000000000009</v>
      </c>
      <c r="R41" s="194">
        <f t="shared" si="17"/>
        <v>7.4999999999999956E-2</v>
      </c>
      <c r="S41" s="194">
        <f t="shared" si="17"/>
        <v>7.4999999999999956E-2</v>
      </c>
      <c r="T41" s="194">
        <f t="shared" si="17"/>
        <v>7.0000000000000062E-2</v>
      </c>
      <c r="U41" s="194">
        <f t="shared" si="17"/>
        <v>7.4999999999999956E-2</v>
      </c>
    </row>
    <row r="42" spans="1:28" s="13" customFormat="1" x14ac:dyDescent="0.2">
      <c r="A42" s="219" t="s">
        <v>287</v>
      </c>
      <c r="B42" s="215"/>
      <c r="C42" s="220" t="s">
        <v>83</v>
      </c>
      <c r="D42" s="221">
        <f t="shared" ref="D42:U42" si="18">((D8/C8)-1)</f>
        <v>8.4143089978512942E-2</v>
      </c>
      <c r="E42" s="221">
        <f t="shared" si="18"/>
        <v>0.11115807291002389</v>
      </c>
      <c r="F42" s="221">
        <f t="shared" si="18"/>
        <v>3.4041301146703562E-2</v>
      </c>
      <c r="G42" s="221">
        <f t="shared" si="18"/>
        <v>-5.5145975935182445E-2</v>
      </c>
      <c r="H42" s="221">
        <f t="shared" si="18"/>
        <v>3.489589391648229E-3</v>
      </c>
      <c r="I42" s="221">
        <f t="shared" si="18"/>
        <v>0.12437695606815802</v>
      </c>
      <c r="J42" s="221">
        <f t="shared" si="18"/>
        <v>0.12134020618556707</v>
      </c>
      <c r="K42" s="221">
        <f t="shared" si="18"/>
        <v>0.11556495357175689</v>
      </c>
      <c r="L42" s="221">
        <f t="shared" si="18"/>
        <v>3.3459700016482685E-2</v>
      </c>
      <c r="M42" s="221">
        <f t="shared" si="18"/>
        <v>7.7033492822966565E-2</v>
      </c>
      <c r="N42" s="221">
        <f t="shared" si="18"/>
        <v>6.8932326373463582E-2</v>
      </c>
      <c r="O42" s="221">
        <f t="shared" si="18"/>
        <v>2.2234536260996141E-2</v>
      </c>
      <c r="P42" s="221">
        <f>((P8/O8)-1)</f>
        <v>4.8787098522835137E-2</v>
      </c>
      <c r="Q42" s="221">
        <f t="shared" si="18"/>
        <v>1.4287275994223858E-2</v>
      </c>
      <c r="R42" s="221">
        <f t="shared" si="18"/>
        <v>3.1675860979254677E-2</v>
      </c>
      <c r="S42" s="221">
        <f t="shared" si="18"/>
        <v>2.6873289755020124E-2</v>
      </c>
      <c r="T42" s="221">
        <f t="shared" si="18"/>
        <v>2.5788827792262659E-2</v>
      </c>
      <c r="U42" s="221">
        <f t="shared" si="18"/>
        <v>1.932970206836826E-2</v>
      </c>
    </row>
    <row r="43" spans="1:28" x14ac:dyDescent="0.2">
      <c r="A43" s="189" t="s">
        <v>179</v>
      </c>
      <c r="B43" s="8"/>
      <c r="C43" s="194">
        <f>yrSales!X26</f>
        <v>8.5000000000000006E-2</v>
      </c>
      <c r="D43" s="194">
        <f>yrSales!Y26</f>
        <v>0.06</v>
      </c>
      <c r="E43" s="194">
        <f>yrSales!Z26</f>
        <v>7.4999999999999997E-2</v>
      </c>
      <c r="F43" s="194">
        <f>yrSales!AA26</f>
        <v>3.9E-2</v>
      </c>
      <c r="G43" s="194">
        <f>yrSales!AB26</f>
        <v>-0.09</v>
      </c>
      <c r="H43" s="194">
        <f>yrSales!AC26</f>
        <v>-4.2000000000000003E-2</v>
      </c>
      <c r="I43" s="194">
        <f>yrSales!AD26</f>
        <v>8.1000000000000003E-2</v>
      </c>
      <c r="J43" s="194">
        <f>yrSales!AE26</f>
        <v>7.2000000000000008E-2</v>
      </c>
      <c r="K43" s="194">
        <f>yrSales!AF26</f>
        <v>7.2999999999999995E-2</v>
      </c>
      <c r="L43" s="194">
        <f>yrSales!AG26</f>
        <v>2.5000000000000001E-2</v>
      </c>
      <c r="M43" s="194">
        <f>yrSales!AH26</f>
        <v>0.04</v>
      </c>
      <c r="N43" s="194">
        <f>yrSales!AI26</f>
        <v>2.7000000000000003E-2</v>
      </c>
      <c r="O43" s="194">
        <f>yrSales!AJ26</f>
        <v>-4.0000000000000001E-3</v>
      </c>
      <c r="P43" s="194">
        <f>yrSales!AK26</f>
        <v>8.0000000000000002E-3</v>
      </c>
      <c r="Q43" s="194">
        <f>yrSales!AL26</f>
        <v>5.4937506829665474E-3</v>
      </c>
      <c r="R43" s="194">
        <f>yrSales!AM26</f>
        <v>0</v>
      </c>
      <c r="S43" s="194">
        <f>yrSales!AN26</f>
        <v>0</v>
      </c>
      <c r="T43" s="194">
        <f>yrSales!AO26</f>
        <v>0</v>
      </c>
      <c r="U43" s="194">
        <f>yrSales!AP26</f>
        <v>0</v>
      </c>
      <c r="V43" s="223"/>
      <c r="W43" s="223"/>
    </row>
    <row r="44" spans="1:28" x14ac:dyDescent="0.2">
      <c r="A44" s="189" t="s">
        <v>351</v>
      </c>
      <c r="B44" s="8"/>
      <c r="C44" s="196" t="s">
        <v>83</v>
      </c>
      <c r="D44" s="196" t="s">
        <v>83</v>
      </c>
      <c r="E44" s="196" t="s">
        <v>83</v>
      </c>
      <c r="F44" s="196" t="s">
        <v>83</v>
      </c>
      <c r="G44" s="194">
        <f t="shared" ref="G44:U44" si="19">((G14/F14)-1)</f>
        <v>0.54802259887005644</v>
      </c>
      <c r="H44" s="194">
        <f t="shared" si="19"/>
        <v>0.2992700729927007</v>
      </c>
      <c r="I44" s="194">
        <f t="shared" si="19"/>
        <v>-0.2331460674157303</v>
      </c>
      <c r="J44" s="194">
        <f t="shared" si="19"/>
        <v>-0.16117216117216115</v>
      </c>
      <c r="K44" s="194">
        <f t="shared" si="19"/>
        <v>-0.17030567685589515</v>
      </c>
      <c r="L44" s="194">
        <f t="shared" si="19"/>
        <v>-4.2105263157894757E-2</v>
      </c>
      <c r="M44" s="194">
        <f t="shared" si="19"/>
        <v>6.0439560439560447E-2</v>
      </c>
      <c r="N44" s="194">
        <f t="shared" si="19"/>
        <v>-2.5906735751295318E-2</v>
      </c>
      <c r="O44" s="194">
        <f t="shared" si="19"/>
        <v>-0.13297872340425532</v>
      </c>
      <c r="P44" s="194">
        <f t="shared" si="19"/>
        <v>-1.8404907975460127E-2</v>
      </c>
      <c r="Q44" s="194">
        <f t="shared" si="19"/>
        <v>2.4999999999999911E-2</v>
      </c>
      <c r="R44" s="194">
        <f t="shared" si="19"/>
        <v>7.4999999999999956E-2</v>
      </c>
      <c r="S44" s="194">
        <f t="shared" si="19"/>
        <v>7.4999999999999956E-2</v>
      </c>
      <c r="T44" s="194">
        <f t="shared" si="19"/>
        <v>7.0000000000000062E-2</v>
      </c>
      <c r="U44" s="194">
        <f t="shared" si="19"/>
        <v>7.4999999999999734E-2</v>
      </c>
    </row>
    <row r="45" spans="1:28" x14ac:dyDescent="0.2">
      <c r="A45" s="189" t="s">
        <v>158</v>
      </c>
      <c r="B45" s="8"/>
      <c r="C45" s="196" t="s">
        <v>83</v>
      </c>
      <c r="D45" s="194">
        <f>((D15/C15)-1)</f>
        <v>3.9813724456535748E-2</v>
      </c>
      <c r="E45" s="194">
        <f t="shared" ref="E45:M45" si="20">((E15/D15)-1)</f>
        <v>9.3397522500006991E-2</v>
      </c>
      <c r="F45" s="194">
        <f t="shared" si="20"/>
        <v>2.7488361299738084E-2</v>
      </c>
      <c r="G45" s="194">
        <f t="shared" si="20"/>
        <v>1.1849999999999916E-2</v>
      </c>
      <c r="H45" s="194">
        <f t="shared" si="20"/>
        <v>3.2259253272450383E-2</v>
      </c>
      <c r="I45" s="194">
        <f t="shared" si="20"/>
        <v>8.9249492900608463E-2</v>
      </c>
      <c r="J45" s="194">
        <f t="shared" si="20"/>
        <v>0.13072625698324014</v>
      </c>
      <c r="K45" s="194">
        <f t="shared" si="20"/>
        <v>0.10737812911725952</v>
      </c>
      <c r="L45" s="194">
        <f t="shared" si="20"/>
        <v>2.7364663890541374E-2</v>
      </c>
      <c r="M45" s="194">
        <f t="shared" si="20"/>
        <v>9.4962362478286044E-2</v>
      </c>
      <c r="N45" s="194">
        <f t="shared" ref="N45:U46" si="21">((N15/M15)-1)</f>
        <v>9.5452141723955553E-2</v>
      </c>
      <c r="O45" s="194">
        <f t="shared" si="21"/>
        <v>4.1757180786869519E-2</v>
      </c>
      <c r="P45" s="194">
        <f t="shared" si="21"/>
        <v>8.1556997219647931E-2</v>
      </c>
      <c r="Q45" s="194">
        <f t="shared" si="21"/>
        <v>3.8666436320517583E-2</v>
      </c>
      <c r="R45" s="194">
        <f t="shared" si="21"/>
        <v>3.7993419873676659E-2</v>
      </c>
      <c r="S45" s="194">
        <f t="shared" si="21"/>
        <v>3.0270208856819414E-2</v>
      </c>
      <c r="T45" s="194">
        <f t="shared" si="21"/>
        <v>2.8185481145251767E-2</v>
      </c>
      <c r="U45" s="194">
        <f t="shared" si="21"/>
        <v>2.2485484621001417E-2</v>
      </c>
    </row>
    <row r="46" spans="1:28" x14ac:dyDescent="0.2">
      <c r="A46" s="189" t="s">
        <v>159</v>
      </c>
      <c r="B46" s="8"/>
      <c r="C46" s="196" t="s">
        <v>83</v>
      </c>
      <c r="D46" s="194">
        <f>((D16/C16)-1)</f>
        <v>0.28361164234049863</v>
      </c>
      <c r="E46" s="194">
        <f t="shared" ref="E46:M46" si="22">((E16/D16)-1)</f>
        <v>0.23448284758195825</v>
      </c>
      <c r="F46" s="194">
        <f t="shared" si="22"/>
        <v>5.5878078492804573E-2</v>
      </c>
      <c r="G46" s="194">
        <f t="shared" si="22"/>
        <v>-0.35711481780201282</v>
      </c>
      <c r="H46" s="194">
        <f t="shared" si="22"/>
        <v>6.9846616834562614E-2</v>
      </c>
      <c r="I46" s="194">
        <f t="shared" si="22"/>
        <v>0.34052757793764998</v>
      </c>
      <c r="J46" s="194">
        <f t="shared" si="22"/>
        <v>0.11717352415026827</v>
      </c>
      <c r="K46" s="194">
        <f t="shared" si="22"/>
        <v>7.2858286629303493E-2</v>
      </c>
      <c r="L46" s="194">
        <f t="shared" si="22"/>
        <v>6.7164179104477473E-3</v>
      </c>
      <c r="M46" s="194">
        <f t="shared" si="22"/>
        <v>-2.3721275018532273E-2</v>
      </c>
      <c r="N46" s="194">
        <f t="shared" si="21"/>
        <v>-0.14502657555049359</v>
      </c>
      <c r="O46" s="194">
        <f t="shared" si="21"/>
        <v>-0.10923623445825936</v>
      </c>
      <c r="P46" s="194">
        <f t="shared" si="21"/>
        <v>-8.2751744765702906E-2</v>
      </c>
      <c r="Q46" s="194">
        <f t="shared" si="21"/>
        <v>-7.8548218830468475E-2</v>
      </c>
      <c r="R46" s="194">
        <f t="shared" si="21"/>
        <v>-4.1139949492237093E-2</v>
      </c>
      <c r="S46" s="194">
        <f t="shared" si="21"/>
        <v>-3.8293456889219146E-2</v>
      </c>
      <c r="T46" s="194">
        <f t="shared" si="21"/>
        <v>-3.978202151630672E-2</v>
      </c>
      <c r="U46" s="194">
        <f t="shared" si="21"/>
        <v>-2.5335311753944434E-2</v>
      </c>
    </row>
    <row r="47" spans="1:28" x14ac:dyDescent="0.2">
      <c r="A47" s="189" t="s">
        <v>468</v>
      </c>
      <c r="B47" s="8"/>
      <c r="C47" s="196" t="s">
        <v>83</v>
      </c>
      <c r="D47" s="194">
        <f>((D26/C26)-1)</f>
        <v>0.43456343703758904</v>
      </c>
      <c r="E47" s="194">
        <f t="shared" ref="E47:M47" si="23">((E26/D26)-1)</f>
        <v>0.28586835784741904</v>
      </c>
      <c r="F47" s="194">
        <f t="shared" si="23"/>
        <v>9.2678359183554493E-2</v>
      </c>
      <c r="G47" s="194">
        <f t="shared" si="23"/>
        <v>-0.35386732219097261</v>
      </c>
      <c r="H47" s="194">
        <f t="shared" si="23"/>
        <v>8.1690715334405306E-2</v>
      </c>
      <c r="I47" s="194">
        <f t="shared" si="23"/>
        <v>0.41294485918345503</v>
      </c>
      <c r="J47" s="194">
        <f t="shared" si="23"/>
        <v>0.13965755928317791</v>
      </c>
      <c r="K47" s="194">
        <f t="shared" si="23"/>
        <v>0.12556410043909705</v>
      </c>
      <c r="L47" s="194">
        <f t="shared" si="23"/>
        <v>4.9820192487579629E-2</v>
      </c>
      <c r="M47" s="194">
        <f t="shared" si="23"/>
        <v>-4.5955571465616796E-3</v>
      </c>
      <c r="N47" s="194">
        <f t="shared" ref="N47:U47" si="24">((N26/M26)-1)</f>
        <v>-0.1052652086355127</v>
      </c>
      <c r="O47" s="194">
        <f t="shared" si="24"/>
        <v>-4.602047134625098E-2</v>
      </c>
      <c r="P47" s="194">
        <f t="shared" si="24"/>
        <v>-0.10891221921139982</v>
      </c>
      <c r="Q47" s="194">
        <f t="shared" si="24"/>
        <v>0.17468808807568381</v>
      </c>
      <c r="R47" s="194">
        <f t="shared" si="24"/>
        <v>-1.3742712726791617E-2</v>
      </c>
      <c r="S47" s="194">
        <f t="shared" si="24"/>
        <v>-1.5914190852702292E-2</v>
      </c>
      <c r="T47" s="194">
        <f t="shared" si="24"/>
        <v>-1.7106429234580611E-2</v>
      </c>
      <c r="U47" s="194">
        <f t="shared" si="24"/>
        <v>8.0638381896402933E-4</v>
      </c>
    </row>
    <row r="48" spans="1:28" x14ac:dyDescent="0.2">
      <c r="A48" s="189" t="s">
        <v>169</v>
      </c>
      <c r="B48" s="8"/>
      <c r="C48" s="196" t="s">
        <v>83</v>
      </c>
      <c r="D48" s="194">
        <f>((D30/C30)-1)</f>
        <v>0.2194050952852078</v>
      </c>
      <c r="E48" s="194">
        <f t="shared" ref="E48:M48" si="25">((E30/D30)-1)</f>
        <v>0.18757256931638877</v>
      </c>
      <c r="F48" s="194">
        <f t="shared" si="25"/>
        <v>3.3952088411793868E-2</v>
      </c>
      <c r="G48" s="194">
        <f t="shared" si="25"/>
        <v>-0.27000260532322906</v>
      </c>
      <c r="H48" s="194">
        <f t="shared" si="25"/>
        <v>6.0514021067892276E-2</v>
      </c>
      <c r="I48" s="194">
        <f t="shared" si="25"/>
        <v>0.25980819529206634</v>
      </c>
      <c r="J48" s="194">
        <f t="shared" si="25"/>
        <v>0.12110726643598624</v>
      </c>
      <c r="K48" s="194">
        <f t="shared" si="25"/>
        <v>9.1975308641975229E-2</v>
      </c>
      <c r="L48" s="194">
        <f t="shared" si="25"/>
        <v>1.9219898247597511E-2</v>
      </c>
      <c r="M48" s="194">
        <f t="shared" si="25"/>
        <v>1.2201885745978913E-2</v>
      </c>
      <c r="N48" s="194">
        <f t="shared" ref="N48:U48" si="26">((N30/M30)-1)</f>
        <v>-6.7397260273972637E-2</v>
      </c>
      <c r="O48" s="194">
        <f t="shared" si="26"/>
        <v>-3.1727379553466495E-2</v>
      </c>
      <c r="P48" s="194">
        <f t="shared" si="26"/>
        <v>-3.762135922330101E-2</v>
      </c>
      <c r="Q48" s="194">
        <f t="shared" si="26"/>
        <v>-6.0696318615404254E-2</v>
      </c>
      <c r="R48" s="194">
        <f t="shared" si="26"/>
        <v>-3.0123332081779863E-2</v>
      </c>
      <c r="S48" s="194">
        <f t="shared" si="26"/>
        <v>-2.8464500206232368E-2</v>
      </c>
      <c r="T48" s="194">
        <f t="shared" si="26"/>
        <v>-2.9278299419124743E-2</v>
      </c>
      <c r="U48" s="194">
        <f t="shared" si="26"/>
        <v>-2.1295186581504422E-2</v>
      </c>
    </row>
    <row r="49" spans="1:21" outlineLevel="1" x14ac:dyDescent="0.2">
      <c r="A49" s="189"/>
      <c r="B49" s="8"/>
      <c r="C49" s="196"/>
      <c r="D49" s="194"/>
      <c r="E49" s="194"/>
      <c r="F49" s="194"/>
      <c r="G49" s="194"/>
      <c r="H49" s="194"/>
      <c r="I49" s="194"/>
      <c r="J49" s="194"/>
      <c r="K49" s="194"/>
      <c r="L49" s="194"/>
      <c r="M49" s="194"/>
      <c r="N49" s="194"/>
      <c r="O49" s="194"/>
      <c r="P49" s="194"/>
      <c r="Q49" s="194">
        <f>Q42-Q43</f>
        <v>8.7935253112573115E-3</v>
      </c>
      <c r="R49" s="194"/>
      <c r="S49" s="194"/>
      <c r="T49" s="194"/>
      <c r="U49" s="194"/>
    </row>
    <row r="50" spans="1:21" outlineLevel="1" x14ac:dyDescent="0.2">
      <c r="A50" s="197"/>
      <c r="B50" s="197"/>
      <c r="C50" s="197"/>
      <c r="D50" s="197"/>
      <c r="E50" s="197"/>
      <c r="F50" s="197"/>
      <c r="G50" s="197"/>
      <c r="H50" s="197"/>
      <c r="I50" s="197"/>
      <c r="J50" s="197"/>
      <c r="K50" s="197"/>
      <c r="L50" s="197"/>
      <c r="M50" s="197"/>
      <c r="N50" s="197"/>
      <c r="O50" s="197"/>
      <c r="P50" s="197"/>
      <c r="Q50" s="197"/>
      <c r="R50" s="197"/>
      <c r="S50" s="197"/>
      <c r="T50" s="197"/>
      <c r="U50" s="197"/>
    </row>
    <row r="51" spans="1:21" outlineLevel="1" x14ac:dyDescent="0.2">
      <c r="A51" s="187" t="s">
        <v>492</v>
      </c>
      <c r="B51" s="8"/>
      <c r="C51" s="198" t="s">
        <v>481</v>
      </c>
      <c r="D51" s="198" t="s">
        <v>482</v>
      </c>
      <c r="E51" s="198" t="s">
        <v>483</v>
      </c>
      <c r="F51" s="198" t="s">
        <v>484</v>
      </c>
      <c r="G51" s="198" t="s">
        <v>485</v>
      </c>
      <c r="H51" s="198" t="s">
        <v>486</v>
      </c>
      <c r="I51" s="198" t="s">
        <v>285</v>
      </c>
      <c r="J51" s="198" t="s">
        <v>286</v>
      </c>
      <c r="K51" s="198" t="s">
        <v>487</v>
      </c>
      <c r="L51" s="198" t="s">
        <v>553</v>
      </c>
      <c r="M51" s="198" t="s">
        <v>554</v>
      </c>
      <c r="N51" s="198" t="s">
        <v>555</v>
      </c>
      <c r="O51" s="198" t="s">
        <v>488</v>
      </c>
      <c r="P51" s="198" t="s">
        <v>489</v>
      </c>
      <c r="Q51" s="198" t="s">
        <v>521</v>
      </c>
      <c r="R51" s="198" t="str">
        <f>R3</f>
        <v>2019E</v>
      </c>
      <c r="S51" s="198" t="str">
        <f>S3</f>
        <v>2020E</v>
      </c>
      <c r="T51" s="198" t="str">
        <f>T3</f>
        <v>2021E</v>
      </c>
      <c r="U51" s="198" t="str">
        <f>U3</f>
        <v>2022E</v>
      </c>
    </row>
    <row r="52" spans="1:21" outlineLevel="1" x14ac:dyDescent="0.2">
      <c r="A52" s="5" t="s">
        <v>155</v>
      </c>
      <c r="B52" s="8"/>
      <c r="C52" s="9" t="s">
        <v>81</v>
      </c>
      <c r="D52" s="9" t="s">
        <v>81</v>
      </c>
      <c r="E52" s="9" t="s">
        <v>81</v>
      </c>
      <c r="F52" s="9" t="s">
        <v>81</v>
      </c>
      <c r="G52" s="9" t="s">
        <v>81</v>
      </c>
      <c r="H52" s="9" t="s">
        <v>81</v>
      </c>
      <c r="I52" s="9" t="s">
        <v>81</v>
      </c>
      <c r="J52" s="9" t="s">
        <v>81</v>
      </c>
      <c r="K52" s="9" t="s">
        <v>81</v>
      </c>
      <c r="L52" s="9" t="s">
        <v>81</v>
      </c>
      <c r="M52" s="9" t="s">
        <v>81</v>
      </c>
      <c r="N52" s="9" t="s">
        <v>81</v>
      </c>
      <c r="O52" s="9" t="s">
        <v>81</v>
      </c>
      <c r="P52" s="9" t="s">
        <v>81</v>
      </c>
      <c r="Q52" s="9" t="s">
        <v>81</v>
      </c>
      <c r="R52" s="9" t="s">
        <v>81</v>
      </c>
      <c r="S52" s="9" t="s">
        <v>81</v>
      </c>
      <c r="T52" s="9" t="s">
        <v>81</v>
      </c>
      <c r="U52" s="9" t="s">
        <v>81</v>
      </c>
    </row>
    <row r="53" spans="1:21" outlineLevel="1" x14ac:dyDescent="0.2">
      <c r="A53" s="2"/>
      <c r="B53" s="8"/>
      <c r="C53" s="8"/>
      <c r="D53" s="8"/>
      <c r="E53" s="8"/>
      <c r="F53" s="8"/>
      <c r="G53" s="8"/>
      <c r="H53" s="8"/>
      <c r="I53" s="8"/>
      <c r="J53" s="8"/>
      <c r="K53" s="8"/>
      <c r="L53" s="213"/>
      <c r="M53" s="213"/>
      <c r="N53" s="213"/>
      <c r="O53" s="213"/>
      <c r="P53" s="213"/>
      <c r="Q53" s="213"/>
      <c r="R53" s="213"/>
      <c r="S53" s="213"/>
      <c r="T53" s="213"/>
      <c r="U53" s="213"/>
    </row>
    <row r="54" spans="1:21" outlineLevel="1" x14ac:dyDescent="0.2">
      <c r="A54" s="3" t="s">
        <v>273</v>
      </c>
      <c r="B54" s="8"/>
      <c r="C54" s="217">
        <f t="shared" ref="C54:K54" si="27">C6</f>
        <v>7131.4129999999996</v>
      </c>
      <c r="D54" s="217">
        <f t="shared" si="27"/>
        <v>7722.6120000000001</v>
      </c>
      <c r="E54" s="217">
        <f t="shared" si="27"/>
        <v>8560.6980000000003</v>
      </c>
      <c r="F54" s="217">
        <f t="shared" si="27"/>
        <v>8827.8140000000003</v>
      </c>
      <c r="G54" s="217">
        <f t="shared" si="27"/>
        <v>8291</v>
      </c>
      <c r="H54" s="217">
        <f t="shared" si="27"/>
        <v>8258</v>
      </c>
      <c r="I54" s="217">
        <f t="shared" si="27"/>
        <v>9310</v>
      </c>
      <c r="J54" s="217">
        <f t="shared" si="27"/>
        <v>10497</v>
      </c>
      <c r="K54" s="217">
        <f t="shared" si="27"/>
        <v>11762</v>
      </c>
      <c r="L54" s="217">
        <f t="shared" ref="L54:O55" si="28">L6</f>
        <v>12166</v>
      </c>
      <c r="M54" s="217">
        <f t="shared" si="28"/>
        <v>13111</v>
      </c>
      <c r="N54" s="217">
        <f t="shared" si="28"/>
        <v>14095</v>
      </c>
      <c r="O54" s="217">
        <f t="shared" si="28"/>
        <v>14499</v>
      </c>
      <c r="P54" s="217">
        <f>P6</f>
        <v>15137</v>
      </c>
      <c r="Q54" s="217">
        <f>P54*(1+Q88)</f>
        <v>15497.162592636503</v>
      </c>
      <c r="R54" s="217">
        <f>Q54*(1+R88)</f>
        <v>16220.505999383309</v>
      </c>
      <c r="S54" s="217">
        <f>R54*(1+S88)</f>
        <v>16899.711947068528</v>
      </c>
      <c r="T54" s="217">
        <f>S54*(1+T88)</f>
        <v>17589.031387416348</v>
      </c>
      <c r="U54" s="217">
        <f>T54*(1+U88)</f>
        <v>18192.857594617526</v>
      </c>
    </row>
    <row r="55" spans="1:21" outlineLevel="1" x14ac:dyDescent="0.2">
      <c r="A55" s="3" t="s">
        <v>316</v>
      </c>
      <c r="B55" s="8"/>
      <c r="C55" s="200">
        <f>C7</f>
        <v>172.94200000000001</v>
      </c>
      <c r="D55" s="200">
        <f t="shared" ref="D55:K55" si="29">D7</f>
        <v>196.35399999999998</v>
      </c>
      <c r="E55" s="200">
        <f t="shared" si="29"/>
        <v>238.52500000000001</v>
      </c>
      <c r="F55" s="200">
        <f t="shared" si="29"/>
        <v>270.94600000000003</v>
      </c>
      <c r="G55" s="200">
        <f t="shared" si="29"/>
        <v>306</v>
      </c>
      <c r="H55" s="200">
        <f t="shared" si="29"/>
        <v>369</v>
      </c>
      <c r="I55" s="200">
        <f t="shared" si="29"/>
        <v>390</v>
      </c>
      <c r="J55" s="200">
        <f t="shared" si="29"/>
        <v>380</v>
      </c>
      <c r="K55" s="200">
        <f t="shared" si="29"/>
        <v>372</v>
      </c>
      <c r="L55" s="200">
        <f t="shared" si="28"/>
        <v>374</v>
      </c>
      <c r="M55" s="200">
        <f t="shared" si="28"/>
        <v>395</v>
      </c>
      <c r="N55" s="200">
        <f t="shared" si="28"/>
        <v>342</v>
      </c>
      <c r="O55" s="200">
        <f t="shared" si="28"/>
        <v>259</v>
      </c>
      <c r="P55" s="200">
        <f>P7</f>
        <v>341</v>
      </c>
      <c r="Q55" s="200">
        <f>Q7</f>
        <v>375.1</v>
      </c>
      <c r="R55" s="200">
        <f>R7</f>
        <v>403.23250000000002</v>
      </c>
      <c r="S55" s="200">
        <f>S7</f>
        <v>433.47493750000001</v>
      </c>
      <c r="T55" s="200">
        <f>T7</f>
        <v>463.81818312500002</v>
      </c>
      <c r="U55" s="200">
        <f>U7</f>
        <v>498.60454685937498</v>
      </c>
    </row>
    <row r="56" spans="1:21" outlineLevel="1" x14ac:dyDescent="0.2">
      <c r="A56" s="2" t="s">
        <v>317</v>
      </c>
      <c r="B56" s="8"/>
      <c r="C56" s="217">
        <f t="shared" ref="C56:K56" si="30">SUM(C54:C55)</f>
        <v>7304.3549999999996</v>
      </c>
      <c r="D56" s="217">
        <f t="shared" si="30"/>
        <v>7918.9660000000003</v>
      </c>
      <c r="E56" s="217">
        <f t="shared" si="30"/>
        <v>8799.223</v>
      </c>
      <c r="F56" s="217">
        <f t="shared" si="30"/>
        <v>9098.76</v>
      </c>
      <c r="G56" s="217">
        <f t="shared" si="30"/>
        <v>8597</v>
      </c>
      <c r="H56" s="217">
        <f t="shared" si="30"/>
        <v>8627</v>
      </c>
      <c r="I56" s="217">
        <f t="shared" si="30"/>
        <v>9700</v>
      </c>
      <c r="J56" s="217">
        <f t="shared" si="30"/>
        <v>10877</v>
      </c>
      <c r="K56" s="217">
        <f t="shared" si="30"/>
        <v>12134</v>
      </c>
      <c r="L56" s="217">
        <f t="shared" ref="L56:U56" si="31">SUM(L54:L55)</f>
        <v>12540</v>
      </c>
      <c r="M56" s="217">
        <f t="shared" si="31"/>
        <v>13506</v>
      </c>
      <c r="N56" s="217">
        <f t="shared" si="31"/>
        <v>14437</v>
      </c>
      <c r="O56" s="217">
        <f t="shared" si="31"/>
        <v>14758</v>
      </c>
      <c r="P56" s="217">
        <f t="shared" si="31"/>
        <v>15478</v>
      </c>
      <c r="Q56" s="217">
        <f t="shared" si="31"/>
        <v>15872.262592636504</v>
      </c>
      <c r="R56" s="217">
        <f t="shared" si="31"/>
        <v>16623.738499383307</v>
      </c>
      <c r="S56" s="217">
        <f t="shared" si="31"/>
        <v>17333.186884568528</v>
      </c>
      <c r="T56" s="217">
        <f t="shared" si="31"/>
        <v>18052.849570541348</v>
      </c>
      <c r="U56" s="217">
        <f t="shared" si="31"/>
        <v>18691.462141476903</v>
      </c>
    </row>
    <row r="57" spans="1:21" s="13" customFormat="1" hidden="1" outlineLevel="2" x14ac:dyDescent="0.2">
      <c r="A57" s="4"/>
      <c r="B57" s="215"/>
      <c r="C57" s="216"/>
      <c r="D57" s="216"/>
      <c r="E57" s="216"/>
      <c r="F57" s="216"/>
      <c r="G57" s="216"/>
      <c r="H57" s="216"/>
      <c r="I57" s="216"/>
      <c r="J57" s="216"/>
      <c r="K57" s="216"/>
      <c r="L57" s="216"/>
      <c r="M57" s="216"/>
      <c r="N57" s="216"/>
      <c r="O57" s="216"/>
      <c r="P57" s="216"/>
      <c r="Q57" s="215"/>
      <c r="R57" s="215"/>
      <c r="S57" s="215"/>
      <c r="T57" s="215"/>
      <c r="U57" s="215"/>
    </row>
    <row r="58" spans="1:21" hidden="1" outlineLevel="2" x14ac:dyDescent="0.2">
      <c r="A58" s="2" t="s">
        <v>156</v>
      </c>
      <c r="B58" s="8"/>
      <c r="C58" s="217">
        <f>C10</f>
        <v>4559.3879999999999</v>
      </c>
      <c r="D58" s="217">
        <f t="shared" ref="D58:J58" si="32">D10</f>
        <v>4888.023000000001</v>
      </c>
      <c r="E58" s="217">
        <f t="shared" si="32"/>
        <v>5353.9490000000005</v>
      </c>
      <c r="F58" s="217">
        <f t="shared" si="32"/>
        <v>5526.1779999999999</v>
      </c>
      <c r="G58" s="217">
        <f t="shared" si="32"/>
        <v>5429.4830000000002</v>
      </c>
      <c r="H58" s="217">
        <f t="shared" si="32"/>
        <v>5328</v>
      </c>
      <c r="I58" s="217">
        <f t="shared" si="32"/>
        <v>5897</v>
      </c>
      <c r="J58" s="217">
        <f t="shared" si="32"/>
        <v>6592</v>
      </c>
      <c r="K58" s="217">
        <f t="shared" ref="K58:P58" si="33">K10</f>
        <v>7432</v>
      </c>
      <c r="L58" s="217">
        <f t="shared" si="33"/>
        <v>7737</v>
      </c>
      <c r="M58" s="217">
        <f t="shared" si="33"/>
        <v>8407</v>
      </c>
      <c r="N58" s="217">
        <f t="shared" si="33"/>
        <v>9168</v>
      </c>
      <c r="O58" s="217">
        <f t="shared" si="33"/>
        <v>9439</v>
      </c>
      <c r="P58" s="217">
        <f t="shared" si="33"/>
        <v>9890</v>
      </c>
      <c r="Q58" s="217">
        <f>Q54-Q60</f>
        <v>10007.436137151377</v>
      </c>
      <c r="R58" s="217">
        <f>R54-R60</f>
        <v>10491.423280401124</v>
      </c>
      <c r="S58" s="217">
        <f>S54-S60</f>
        <v>10940.873514532166</v>
      </c>
      <c r="T58" s="217">
        <f>T54-T60</f>
        <v>11424.075886126917</v>
      </c>
      <c r="U58" s="217">
        <f>U54-U60</f>
        <v>11852.646722893318</v>
      </c>
    </row>
    <row r="59" spans="1:21" hidden="1" outlineLevel="2" x14ac:dyDescent="0.2">
      <c r="A59" s="2"/>
      <c r="B59" s="8"/>
      <c r="C59" s="200"/>
      <c r="D59" s="200"/>
      <c r="E59" s="200"/>
      <c r="F59" s="200"/>
      <c r="G59" s="200"/>
      <c r="H59" s="200"/>
      <c r="I59" s="200"/>
      <c r="J59" s="200"/>
      <c r="K59" s="200"/>
      <c r="L59" s="200"/>
      <c r="M59" s="200"/>
      <c r="N59" s="200"/>
      <c r="O59" s="200"/>
      <c r="P59" s="200"/>
      <c r="Q59" s="8"/>
      <c r="R59" s="8"/>
      <c r="S59" s="8"/>
      <c r="T59" s="8"/>
      <c r="U59" s="8"/>
    </row>
    <row r="60" spans="1:21" outlineLevel="1" collapsed="1" x14ac:dyDescent="0.2">
      <c r="A60" s="2" t="s">
        <v>157</v>
      </c>
      <c r="B60" s="8"/>
      <c r="C60" s="217">
        <f t="shared" ref="C60:K60" si="34">C54-C58</f>
        <v>2572.0249999999996</v>
      </c>
      <c r="D60" s="217">
        <f t="shared" si="34"/>
        <v>2834.588999999999</v>
      </c>
      <c r="E60" s="217">
        <f t="shared" si="34"/>
        <v>3206.7489999999998</v>
      </c>
      <c r="F60" s="217">
        <f t="shared" si="34"/>
        <v>3301.6360000000004</v>
      </c>
      <c r="G60" s="217">
        <f t="shared" si="34"/>
        <v>2861.5169999999998</v>
      </c>
      <c r="H60" s="217">
        <f t="shared" si="34"/>
        <v>2930</v>
      </c>
      <c r="I60" s="217">
        <f t="shared" si="34"/>
        <v>3413</v>
      </c>
      <c r="J60" s="217">
        <f t="shared" si="34"/>
        <v>3905</v>
      </c>
      <c r="K60" s="217">
        <f t="shared" si="34"/>
        <v>4330</v>
      </c>
      <c r="L60" s="217">
        <f>L54-L58</f>
        <v>4429</v>
      </c>
      <c r="M60" s="217">
        <f>M54-M58</f>
        <v>4704</v>
      </c>
      <c r="N60" s="217">
        <f>N54-N58</f>
        <v>4927</v>
      </c>
      <c r="O60" s="217">
        <f>O54-O58</f>
        <v>5060</v>
      </c>
      <c r="P60" s="217">
        <f>P54-P58</f>
        <v>5247</v>
      </c>
      <c r="Q60" s="217">
        <f>Q54*Q81</f>
        <v>5489.7264554851272</v>
      </c>
      <c r="R60" s="217">
        <f>R54*R81</f>
        <v>5729.0827189821848</v>
      </c>
      <c r="S60" s="217">
        <f>S54*S81</f>
        <v>5958.8384325363622</v>
      </c>
      <c r="T60" s="217">
        <f>T54*T81</f>
        <v>6164.9555012894298</v>
      </c>
      <c r="U60" s="217">
        <f>U54*U81</f>
        <v>6340.2108717242081</v>
      </c>
    </row>
    <row r="61" spans="1:21" outlineLevel="1" x14ac:dyDescent="0.2">
      <c r="A61" s="3" t="s">
        <v>351</v>
      </c>
      <c r="B61" s="8"/>
      <c r="C61" s="222" t="str">
        <f t="shared" ref="C61:E63" si="35">C13</f>
        <v>NA</v>
      </c>
      <c r="D61" s="222" t="str">
        <f t="shared" si="35"/>
        <v>NA</v>
      </c>
      <c r="E61" s="222" t="str">
        <f t="shared" si="35"/>
        <v>NA</v>
      </c>
      <c r="F61" s="200">
        <f t="shared" ref="F61:K61" si="36">F13</f>
        <v>2183</v>
      </c>
      <c r="G61" s="200">
        <f t="shared" si="36"/>
        <v>2113.9659999999999</v>
      </c>
      <c r="H61" s="200">
        <f t="shared" si="36"/>
        <v>2109</v>
      </c>
      <c r="I61" s="200">
        <f t="shared" si="36"/>
        <v>2412</v>
      </c>
      <c r="J61" s="200">
        <f t="shared" si="36"/>
        <v>2807</v>
      </c>
      <c r="K61" s="200">
        <f t="shared" si="36"/>
        <v>3172</v>
      </c>
      <c r="L61" s="200">
        <f t="shared" ref="L61:O62" si="37">L13</f>
        <v>3272</v>
      </c>
      <c r="M61" s="200">
        <f t="shared" si="37"/>
        <v>3589</v>
      </c>
      <c r="N61" s="200">
        <f t="shared" si="37"/>
        <v>3955</v>
      </c>
      <c r="O61" s="200">
        <f t="shared" si="37"/>
        <v>4153</v>
      </c>
      <c r="P61" s="200">
        <f>P13</f>
        <v>4508</v>
      </c>
      <c r="Q61" s="200">
        <f>Q82*Q54</f>
        <v>4679.186623967993</v>
      </c>
      <c r="R61" s="200">
        <f>R82*R54</f>
        <v>4928.2678878383949</v>
      </c>
      <c r="S61" s="200">
        <f>S82*S54</f>
        <v>5150.311917316335</v>
      </c>
      <c r="T61" s="200">
        <f>T82*T54</f>
        <v>5373.1987785013362</v>
      </c>
      <c r="U61" s="200">
        <f>U82*U54</f>
        <v>5575.2595329493934</v>
      </c>
    </row>
    <row r="62" spans="1:21" outlineLevel="1" x14ac:dyDescent="0.2">
      <c r="A62" s="3" t="s">
        <v>352</v>
      </c>
      <c r="B62" s="8"/>
      <c r="C62" s="222" t="str">
        <f t="shared" si="35"/>
        <v>NA</v>
      </c>
      <c r="D62" s="222" t="str">
        <f t="shared" si="35"/>
        <v>NA</v>
      </c>
      <c r="E62" s="222" t="str">
        <f t="shared" si="35"/>
        <v>NA</v>
      </c>
      <c r="F62" s="200">
        <f t="shared" ref="F62:K62" si="38">F14</f>
        <v>177</v>
      </c>
      <c r="G62" s="200">
        <f t="shared" si="38"/>
        <v>274</v>
      </c>
      <c r="H62" s="200">
        <f t="shared" si="38"/>
        <v>356</v>
      </c>
      <c r="I62" s="200">
        <f t="shared" si="38"/>
        <v>273</v>
      </c>
      <c r="J62" s="200">
        <f t="shared" si="38"/>
        <v>229</v>
      </c>
      <c r="K62" s="200">
        <f t="shared" si="38"/>
        <v>190</v>
      </c>
      <c r="L62" s="200">
        <f t="shared" si="37"/>
        <v>182</v>
      </c>
      <c r="M62" s="200">
        <f t="shared" si="37"/>
        <v>193</v>
      </c>
      <c r="N62" s="200">
        <f t="shared" si="37"/>
        <v>188</v>
      </c>
      <c r="O62" s="200">
        <f t="shared" si="37"/>
        <v>163</v>
      </c>
      <c r="P62" s="200">
        <f>P14</f>
        <v>160</v>
      </c>
      <c r="Q62" s="210">
        <f>Q14</f>
        <v>164</v>
      </c>
      <c r="R62" s="210">
        <f>R14</f>
        <v>176.29999999999998</v>
      </c>
      <c r="S62" s="210">
        <f>S14</f>
        <v>189.52249999999998</v>
      </c>
      <c r="T62" s="210">
        <f>T14</f>
        <v>202.789075</v>
      </c>
      <c r="U62" s="210">
        <f>U14</f>
        <v>217.99825562499996</v>
      </c>
    </row>
    <row r="63" spans="1:21" outlineLevel="1" x14ac:dyDescent="0.2">
      <c r="A63" s="2" t="s">
        <v>158</v>
      </c>
      <c r="B63" s="8"/>
      <c r="C63" s="200">
        <f t="shared" si="35"/>
        <v>2020.2329999999997</v>
      </c>
      <c r="D63" s="200">
        <f t="shared" si="35"/>
        <v>2100.6660000000002</v>
      </c>
      <c r="E63" s="200">
        <f t="shared" si="35"/>
        <v>2296.8629999999998</v>
      </c>
      <c r="F63" s="200">
        <f t="shared" ref="F63:K63" si="39">SUM(F61:F62)</f>
        <v>2360</v>
      </c>
      <c r="G63" s="200">
        <f t="shared" si="39"/>
        <v>2387.9659999999999</v>
      </c>
      <c r="H63" s="200">
        <f t="shared" si="39"/>
        <v>2465</v>
      </c>
      <c r="I63" s="200">
        <f t="shared" si="39"/>
        <v>2685</v>
      </c>
      <c r="J63" s="200">
        <f t="shared" si="39"/>
        <v>3036</v>
      </c>
      <c r="K63" s="200">
        <f t="shared" si="39"/>
        <v>3362</v>
      </c>
      <c r="L63" s="200">
        <f t="shared" ref="L63:U63" si="40">SUM(L61:L62)</f>
        <v>3454</v>
      </c>
      <c r="M63" s="200">
        <f t="shared" si="40"/>
        <v>3782</v>
      </c>
      <c r="N63" s="200">
        <f t="shared" si="40"/>
        <v>4143</v>
      </c>
      <c r="O63" s="200">
        <f t="shared" si="40"/>
        <v>4316</v>
      </c>
      <c r="P63" s="200">
        <f t="shared" si="40"/>
        <v>4668</v>
      </c>
      <c r="Q63" s="200">
        <f t="shared" si="40"/>
        <v>4843.186623967993</v>
      </c>
      <c r="R63" s="200">
        <f t="shared" si="40"/>
        <v>5104.5678878383951</v>
      </c>
      <c r="S63" s="200">
        <f t="shared" si="40"/>
        <v>5339.834417316335</v>
      </c>
      <c r="T63" s="200">
        <f t="shared" si="40"/>
        <v>5575.9878535013358</v>
      </c>
      <c r="U63" s="200">
        <f t="shared" si="40"/>
        <v>5793.2577885743931</v>
      </c>
    </row>
    <row r="64" spans="1:21" outlineLevel="1" x14ac:dyDescent="0.2">
      <c r="A64" s="3" t="s">
        <v>159</v>
      </c>
      <c r="B64" s="8"/>
      <c r="C64" s="217">
        <f>C60-C63+C55</f>
        <v>724.73399999999992</v>
      </c>
      <c r="D64" s="217">
        <f t="shared" ref="D64:K64" si="41">D60-D63+D55</f>
        <v>930.27699999999891</v>
      </c>
      <c r="E64" s="217">
        <f t="shared" si="41"/>
        <v>1148.4110000000001</v>
      </c>
      <c r="F64" s="217">
        <f t="shared" si="41"/>
        <v>1212.5820000000003</v>
      </c>
      <c r="G64" s="217">
        <f t="shared" si="41"/>
        <v>779.55099999999993</v>
      </c>
      <c r="H64" s="217">
        <f t="shared" si="41"/>
        <v>834</v>
      </c>
      <c r="I64" s="217">
        <f t="shared" si="41"/>
        <v>1118</v>
      </c>
      <c r="J64" s="217">
        <f t="shared" si="41"/>
        <v>1249</v>
      </c>
      <c r="K64" s="217">
        <f t="shared" si="41"/>
        <v>1340</v>
      </c>
      <c r="L64" s="217">
        <f t="shared" ref="L64:U64" si="42">L60-L63+L55</f>
        <v>1349</v>
      </c>
      <c r="M64" s="217">
        <f t="shared" si="42"/>
        <v>1317</v>
      </c>
      <c r="N64" s="217">
        <f t="shared" si="42"/>
        <v>1126</v>
      </c>
      <c r="O64" s="217">
        <f t="shared" si="42"/>
        <v>1003</v>
      </c>
      <c r="P64" s="217">
        <f t="shared" si="42"/>
        <v>920</v>
      </c>
      <c r="Q64" s="217">
        <f t="shared" si="42"/>
        <v>1021.6398315171342</v>
      </c>
      <c r="R64" s="217">
        <f t="shared" si="42"/>
        <v>1027.7473311437898</v>
      </c>
      <c r="S64" s="217">
        <f t="shared" si="42"/>
        <v>1052.4789527200273</v>
      </c>
      <c r="T64" s="217">
        <f t="shared" si="42"/>
        <v>1052.7858309130938</v>
      </c>
      <c r="U64" s="217">
        <f t="shared" si="42"/>
        <v>1045.55763000919</v>
      </c>
    </row>
    <row r="65" spans="1:25" hidden="1" outlineLevel="2" x14ac:dyDescent="0.2">
      <c r="A65" s="2"/>
      <c r="B65" s="8"/>
      <c r="C65" s="200"/>
      <c r="D65" s="200"/>
      <c r="E65" s="200"/>
      <c r="F65" s="200"/>
      <c r="G65" s="200"/>
      <c r="H65" s="200"/>
      <c r="I65" s="200"/>
      <c r="J65" s="200"/>
      <c r="K65" s="200"/>
      <c r="L65" s="200"/>
      <c r="M65" s="200"/>
      <c r="N65" s="200"/>
      <c r="O65" s="200"/>
      <c r="P65" s="200"/>
      <c r="Q65" s="8"/>
      <c r="R65" s="8"/>
      <c r="S65" s="8"/>
      <c r="T65" s="8"/>
      <c r="U65" s="8"/>
    </row>
    <row r="66" spans="1:25" hidden="1" outlineLevel="2" x14ac:dyDescent="0.2">
      <c r="A66" s="2" t="s">
        <v>491</v>
      </c>
      <c r="B66" s="8"/>
      <c r="C66" s="200">
        <f>C18</f>
        <v>77.427999999999997</v>
      </c>
      <c r="D66" s="200">
        <f t="shared" ref="D66:J66" si="43">D18</f>
        <v>45.3</v>
      </c>
      <c r="E66" s="200">
        <f t="shared" si="43"/>
        <v>42.758000000000003</v>
      </c>
      <c r="F66" s="200">
        <f t="shared" si="43"/>
        <v>74.430999999999997</v>
      </c>
      <c r="G66" s="200">
        <f t="shared" si="43"/>
        <v>131</v>
      </c>
      <c r="H66" s="200">
        <f t="shared" si="43"/>
        <v>138</v>
      </c>
      <c r="I66" s="200">
        <f t="shared" si="43"/>
        <v>127</v>
      </c>
      <c r="J66" s="200">
        <f t="shared" si="43"/>
        <v>130</v>
      </c>
      <c r="K66" s="200">
        <f t="shared" ref="K66:U66" si="44">K18</f>
        <v>160</v>
      </c>
      <c r="L66" s="200">
        <f t="shared" si="44"/>
        <v>161</v>
      </c>
      <c r="M66" s="200">
        <f t="shared" si="44"/>
        <v>138</v>
      </c>
      <c r="N66" s="200">
        <f t="shared" si="44"/>
        <v>125</v>
      </c>
      <c r="O66" s="200">
        <f t="shared" si="44"/>
        <v>122</v>
      </c>
      <c r="P66" s="200">
        <f t="shared" si="44"/>
        <v>136</v>
      </c>
      <c r="Q66" s="200">
        <f t="shared" si="44"/>
        <v>105</v>
      </c>
      <c r="R66" s="200">
        <f t="shared" si="44"/>
        <v>105</v>
      </c>
      <c r="S66" s="200">
        <f t="shared" si="44"/>
        <v>105</v>
      </c>
      <c r="T66" s="200">
        <f t="shared" si="44"/>
        <v>105</v>
      </c>
      <c r="U66" s="200">
        <f t="shared" si="44"/>
        <v>105</v>
      </c>
      <c r="Y66">
        <f>15*3.4</f>
        <v>51</v>
      </c>
    </row>
    <row r="67" spans="1:25" hidden="1" outlineLevel="2" x14ac:dyDescent="0.2">
      <c r="A67" s="3" t="s">
        <v>160</v>
      </c>
      <c r="B67" s="8"/>
      <c r="C67" s="217">
        <f>C64-C66</f>
        <v>647.30599999999993</v>
      </c>
      <c r="D67" s="217">
        <f t="shared" ref="D67:K67" si="45">D64-D66</f>
        <v>884.97699999999895</v>
      </c>
      <c r="E67" s="217">
        <f t="shared" si="45"/>
        <v>1105.653</v>
      </c>
      <c r="F67" s="217">
        <f t="shared" si="45"/>
        <v>1138.1510000000003</v>
      </c>
      <c r="G67" s="217">
        <f t="shared" si="45"/>
        <v>648.55099999999993</v>
      </c>
      <c r="H67" s="217">
        <f t="shared" si="45"/>
        <v>696</v>
      </c>
      <c r="I67" s="217">
        <f t="shared" si="45"/>
        <v>991</v>
      </c>
      <c r="J67" s="217">
        <f t="shared" si="45"/>
        <v>1119</v>
      </c>
      <c r="K67" s="217">
        <f t="shared" si="45"/>
        <v>1180</v>
      </c>
      <c r="L67" s="217">
        <f t="shared" ref="L67:U67" si="46">L64-L66</f>
        <v>1188</v>
      </c>
      <c r="M67" s="217">
        <f t="shared" si="46"/>
        <v>1179</v>
      </c>
      <c r="N67" s="217">
        <f t="shared" si="46"/>
        <v>1001</v>
      </c>
      <c r="O67" s="217">
        <f t="shared" si="46"/>
        <v>881</v>
      </c>
      <c r="P67" s="217">
        <f>P64-P66</f>
        <v>784</v>
      </c>
      <c r="Q67" s="217">
        <f t="shared" si="46"/>
        <v>916.63983151713421</v>
      </c>
      <c r="R67" s="217">
        <f t="shared" si="46"/>
        <v>922.74733114378978</v>
      </c>
      <c r="S67" s="217">
        <f t="shared" si="46"/>
        <v>947.47895272002734</v>
      </c>
      <c r="T67" s="217">
        <f t="shared" si="46"/>
        <v>947.78583091309383</v>
      </c>
      <c r="U67" s="217">
        <f t="shared" si="46"/>
        <v>940.55763000919001</v>
      </c>
    </row>
    <row r="68" spans="1:25" hidden="1" outlineLevel="2" x14ac:dyDescent="0.2">
      <c r="A68" s="2"/>
      <c r="B68" s="8"/>
      <c r="C68" s="200"/>
      <c r="D68" s="200"/>
      <c r="E68" s="200"/>
      <c r="F68" s="200"/>
      <c r="G68" s="200"/>
      <c r="H68" s="200"/>
      <c r="I68" s="200"/>
      <c r="J68" s="200"/>
      <c r="K68" s="200"/>
      <c r="L68" s="200"/>
      <c r="M68" s="200"/>
      <c r="N68" s="200"/>
      <c r="O68" s="200"/>
      <c r="P68" s="200"/>
      <c r="Q68" s="8"/>
      <c r="R68" s="8"/>
      <c r="S68" s="8"/>
      <c r="T68" s="8"/>
      <c r="U68" s="8"/>
    </row>
    <row r="69" spans="1:25" outlineLevel="1" collapsed="1" x14ac:dyDescent="0.2">
      <c r="A69" s="2" t="s">
        <v>161</v>
      </c>
      <c r="B69" s="8"/>
      <c r="C69" s="200">
        <f>C21</f>
        <v>253.83100000000002</v>
      </c>
      <c r="D69" s="200">
        <f t="shared" ref="D69:J69" si="47">D21</f>
        <v>333.79678224168083</v>
      </c>
      <c r="E69" s="200">
        <f t="shared" si="47"/>
        <v>427.65399999999994</v>
      </c>
      <c r="F69" s="200">
        <f t="shared" si="47"/>
        <v>444.34500000000003</v>
      </c>
      <c r="G69" s="200">
        <f t="shared" si="47"/>
        <v>254</v>
      </c>
      <c r="H69" s="200">
        <f t="shared" si="47"/>
        <v>268</v>
      </c>
      <c r="I69" s="200">
        <f t="shared" si="47"/>
        <v>378</v>
      </c>
      <c r="J69" s="200">
        <f t="shared" si="47"/>
        <v>436</v>
      </c>
      <c r="K69" s="200">
        <f t="shared" ref="K69:P69" si="48">K21</f>
        <v>450</v>
      </c>
      <c r="L69" s="200">
        <f t="shared" si="48"/>
        <v>455</v>
      </c>
      <c r="M69" s="200">
        <f t="shared" si="48"/>
        <v>464.5</v>
      </c>
      <c r="N69" s="200">
        <f t="shared" si="48"/>
        <v>374.26</v>
      </c>
      <c r="O69" s="200">
        <f t="shared" si="48"/>
        <v>330.03999999999996</v>
      </c>
      <c r="P69" s="200">
        <f t="shared" si="48"/>
        <v>309.64999999999998</v>
      </c>
      <c r="Q69" s="200">
        <f>Q67*Q85</f>
        <v>252.00902002779935</v>
      </c>
      <c r="R69" s="200">
        <f>R67*R85</f>
        <v>253.68813645151621</v>
      </c>
      <c r="S69" s="200">
        <f>S67*S85</f>
        <v>260.48752646581522</v>
      </c>
      <c r="T69" s="200">
        <f>T67*T85</f>
        <v>260.57189556046217</v>
      </c>
      <c r="U69" s="200">
        <f>U67*U85</f>
        <v>258.58466811984187</v>
      </c>
    </row>
    <row r="70" spans="1:25" hidden="1" outlineLevel="2" x14ac:dyDescent="0.2">
      <c r="A70" s="2"/>
      <c r="B70" s="8"/>
      <c r="C70" s="200"/>
      <c r="D70" s="200"/>
      <c r="E70" s="200"/>
      <c r="F70" s="200"/>
      <c r="G70" s="200"/>
      <c r="H70" s="200"/>
      <c r="I70" s="200"/>
      <c r="J70" s="200"/>
      <c r="K70" s="200"/>
      <c r="L70" s="200"/>
      <c r="M70" s="200"/>
      <c r="N70" s="200"/>
      <c r="O70" s="200"/>
      <c r="P70" s="200"/>
      <c r="Q70" s="8"/>
      <c r="R70" s="8"/>
      <c r="S70" s="8"/>
      <c r="T70" s="8"/>
      <c r="U70" s="8"/>
    </row>
    <row r="71" spans="1:25" hidden="1" outlineLevel="2" x14ac:dyDescent="0.2">
      <c r="A71" s="2"/>
      <c r="B71" s="8"/>
      <c r="C71" s="200"/>
      <c r="D71" s="200"/>
      <c r="E71" s="200"/>
      <c r="F71" s="200"/>
      <c r="G71" s="200"/>
      <c r="H71" s="200"/>
      <c r="I71" s="200"/>
      <c r="J71" s="200"/>
      <c r="K71" s="200"/>
      <c r="L71" s="200"/>
      <c r="M71" s="200"/>
      <c r="N71" s="200"/>
      <c r="O71" s="200"/>
      <c r="P71" s="200"/>
    </row>
    <row r="72" spans="1:25" hidden="1" outlineLevel="2" x14ac:dyDescent="0.2">
      <c r="A72" s="2" t="s">
        <v>162</v>
      </c>
      <c r="B72" s="8"/>
      <c r="C72" s="217">
        <f>C67-C69</f>
        <v>393.47499999999991</v>
      </c>
      <c r="D72" s="217">
        <f t="shared" ref="D72:J72" si="49">D67-D69</f>
        <v>551.18021775831812</v>
      </c>
      <c r="E72" s="217">
        <f t="shared" si="49"/>
        <v>677.99900000000002</v>
      </c>
      <c r="F72" s="217">
        <f t="shared" si="49"/>
        <v>693.80600000000027</v>
      </c>
      <c r="G72" s="217">
        <f t="shared" si="49"/>
        <v>394.55099999999993</v>
      </c>
      <c r="H72" s="217">
        <f t="shared" si="49"/>
        <v>428</v>
      </c>
      <c r="I72" s="217">
        <f t="shared" si="49"/>
        <v>613</v>
      </c>
      <c r="J72" s="217">
        <f t="shared" si="49"/>
        <v>683</v>
      </c>
      <c r="K72" s="217">
        <f t="shared" ref="K72:U72" si="50">K67-K69</f>
        <v>730</v>
      </c>
      <c r="L72" s="217">
        <f t="shared" si="50"/>
        <v>733</v>
      </c>
      <c r="M72" s="217">
        <f t="shared" si="50"/>
        <v>714.5</v>
      </c>
      <c r="N72" s="217">
        <f t="shared" si="50"/>
        <v>626.74</v>
      </c>
      <c r="O72" s="217">
        <f t="shared" si="50"/>
        <v>550.96</v>
      </c>
      <c r="P72" s="217">
        <f t="shared" si="50"/>
        <v>474.35</v>
      </c>
      <c r="Q72" s="217">
        <f t="shared" si="50"/>
        <v>664.63081148933486</v>
      </c>
      <c r="R72" s="217">
        <f t="shared" si="50"/>
        <v>669.05919469227354</v>
      </c>
      <c r="S72" s="217">
        <f t="shared" si="50"/>
        <v>686.99142625421212</v>
      </c>
      <c r="T72" s="217">
        <f t="shared" si="50"/>
        <v>687.21393535263167</v>
      </c>
      <c r="U72" s="217">
        <f t="shared" si="50"/>
        <v>681.9729618893482</v>
      </c>
    </row>
    <row r="73" spans="1:25" hidden="1" outlineLevel="2" x14ac:dyDescent="0.2">
      <c r="A73" s="2"/>
      <c r="B73" s="8"/>
      <c r="C73" s="8"/>
      <c r="D73" s="8"/>
      <c r="E73" s="8"/>
      <c r="F73" s="8"/>
      <c r="G73" s="8"/>
      <c r="H73" s="8"/>
      <c r="I73" s="8"/>
      <c r="J73" s="8"/>
      <c r="K73" s="8"/>
      <c r="L73" s="8"/>
      <c r="M73" s="8"/>
      <c r="N73" s="8"/>
      <c r="O73" s="8"/>
      <c r="P73" s="8"/>
      <c r="Q73" s="8"/>
      <c r="R73" s="8"/>
      <c r="S73" s="8"/>
      <c r="T73" s="8"/>
      <c r="U73" s="8"/>
    </row>
    <row r="74" spans="1:25" outlineLevel="1" collapsed="1" x14ac:dyDescent="0.2">
      <c r="A74" s="14" t="s">
        <v>166</v>
      </c>
      <c r="B74" s="14"/>
      <c r="C74" s="214">
        <f>C72/C75</f>
        <v>1.3831814139226841</v>
      </c>
      <c r="D74" s="214">
        <f t="shared" ref="D74:J74" si="51">D72/D75</f>
        <v>1.9842614832034378</v>
      </c>
      <c r="E74" s="214">
        <f t="shared" si="51"/>
        <v>2.5514990549466887</v>
      </c>
      <c r="F74" s="214">
        <f t="shared" si="51"/>
        <v>2.7879678008175377</v>
      </c>
      <c r="G74" s="214">
        <f t="shared" si="51"/>
        <v>1.8013971007875809</v>
      </c>
      <c r="H74" s="214">
        <f t="shared" si="51"/>
        <v>1.9485545185522422</v>
      </c>
      <c r="I74" s="214">
        <f t="shared" si="51"/>
        <v>2.7532000898270828</v>
      </c>
      <c r="J74" s="214">
        <f t="shared" si="51"/>
        <v>3.137705294590559</v>
      </c>
      <c r="K74" s="214">
        <f t="shared" ref="K74:U74" si="52">K72/K75</f>
        <v>3.5316884373488149</v>
      </c>
      <c r="L74" s="214">
        <f t="shared" si="52"/>
        <v>3.7076378351036925</v>
      </c>
      <c r="M74" s="214">
        <f t="shared" si="52"/>
        <v>3.6905991735537191</v>
      </c>
      <c r="N74" s="214">
        <f t="shared" si="52"/>
        <v>3.3021074815595362</v>
      </c>
      <c r="O74" s="214">
        <f t="shared" si="52"/>
        <v>3.1501429388221847</v>
      </c>
      <c r="P74" s="214">
        <f>P72/P75</f>
        <v>2.8070538805219396</v>
      </c>
      <c r="Q74" s="214">
        <f t="shared" si="52"/>
        <v>4.0694692912853343</v>
      </c>
      <c r="R74" s="214">
        <f t="shared" si="52"/>
        <v>4.2393479629154731</v>
      </c>
      <c r="S74" s="214">
        <f t="shared" si="52"/>
        <v>4.4807319680358209</v>
      </c>
      <c r="T74" s="214">
        <f t="shared" si="52"/>
        <v>4.6177137697246309</v>
      </c>
      <c r="U74" s="214">
        <f t="shared" si="52"/>
        <v>4.7253814797844962</v>
      </c>
    </row>
    <row r="75" spans="1:25" outlineLevel="1" x14ac:dyDescent="0.2">
      <c r="A75" s="2" t="s">
        <v>164</v>
      </c>
      <c r="B75" s="8"/>
      <c r="C75" s="200">
        <f>C27</f>
        <v>284.471</v>
      </c>
      <c r="D75" s="200">
        <f t="shared" ref="D75:J75" si="53">D27</f>
        <v>277.77600000000001</v>
      </c>
      <c r="E75" s="200">
        <f t="shared" si="53"/>
        <v>265.72575000000001</v>
      </c>
      <c r="F75" s="200">
        <f t="shared" si="53"/>
        <v>248.85725000000002</v>
      </c>
      <c r="G75" s="200">
        <f t="shared" si="53"/>
        <v>219.02500000000001</v>
      </c>
      <c r="H75" s="200">
        <f t="shared" si="53"/>
        <v>219.65</v>
      </c>
      <c r="I75" s="200">
        <f t="shared" si="53"/>
        <v>222.65</v>
      </c>
      <c r="J75" s="200">
        <f t="shared" si="53"/>
        <v>217.67500000000001</v>
      </c>
      <c r="K75" s="200">
        <f t="shared" ref="K75:U75" si="54">K27</f>
        <v>206.7</v>
      </c>
      <c r="L75" s="200">
        <f t="shared" si="54"/>
        <v>197.7</v>
      </c>
      <c r="M75" s="200">
        <f t="shared" si="54"/>
        <v>193.6</v>
      </c>
      <c r="N75" s="200">
        <f t="shared" si="54"/>
        <v>189.8</v>
      </c>
      <c r="O75" s="200">
        <f t="shared" si="54"/>
        <v>174.89999999999998</v>
      </c>
      <c r="P75" s="200">
        <f t="shared" si="54"/>
        <v>168.98500000000001</v>
      </c>
      <c r="Q75" s="200">
        <f t="shared" si="54"/>
        <v>163.32124999999999</v>
      </c>
      <c r="R75" s="200">
        <f t="shared" si="54"/>
        <v>157.82124999999999</v>
      </c>
      <c r="S75" s="200">
        <f t="shared" si="54"/>
        <v>153.32124999999999</v>
      </c>
      <c r="T75" s="200">
        <f t="shared" si="54"/>
        <v>148.82124999999999</v>
      </c>
      <c r="U75" s="200">
        <f t="shared" si="54"/>
        <v>144.32124999999999</v>
      </c>
      <c r="V75" s="245">
        <f>15*P74</f>
        <v>42.105808207829092</v>
      </c>
    </row>
    <row r="76" spans="1:25" hidden="1" outlineLevel="2" x14ac:dyDescent="0.2">
      <c r="A76" s="2"/>
      <c r="B76" s="8"/>
      <c r="C76" s="8"/>
      <c r="D76" s="8"/>
      <c r="E76" s="8"/>
      <c r="F76" s="8"/>
      <c r="G76" s="8"/>
      <c r="H76" s="8"/>
      <c r="I76" s="8"/>
      <c r="J76" s="8"/>
      <c r="K76" s="8"/>
      <c r="L76" s="8"/>
      <c r="M76" s="8"/>
      <c r="N76" s="8"/>
      <c r="O76" s="8"/>
      <c r="P76" s="8"/>
      <c r="Q76" s="184"/>
      <c r="R76" s="184"/>
      <c r="S76" s="184"/>
      <c r="T76" s="184"/>
      <c r="U76" s="184"/>
    </row>
    <row r="77" spans="1:25" hidden="1" outlineLevel="2" x14ac:dyDescent="0.2">
      <c r="A77" s="2" t="s">
        <v>490</v>
      </c>
      <c r="B77" s="8"/>
      <c r="C77" s="200">
        <f>C29</f>
        <v>264.76900000000001</v>
      </c>
      <c r="D77" s="200">
        <f t="shared" ref="D77:J77" si="55">D29</f>
        <v>276.32799999999997</v>
      </c>
      <c r="E77" s="200">
        <f t="shared" si="55"/>
        <v>284.52</v>
      </c>
      <c r="F77" s="200">
        <f t="shared" si="55"/>
        <v>269</v>
      </c>
      <c r="G77" s="200">
        <f t="shared" si="55"/>
        <v>302</v>
      </c>
      <c r="H77" s="200">
        <f t="shared" si="55"/>
        <v>313</v>
      </c>
      <c r="I77" s="200">
        <f t="shared" si="55"/>
        <v>327</v>
      </c>
      <c r="J77" s="200">
        <f t="shared" si="55"/>
        <v>371</v>
      </c>
      <c r="K77" s="200">
        <f t="shared" ref="K77:U77" si="56">K29</f>
        <v>429</v>
      </c>
      <c r="L77" s="200">
        <f t="shared" si="56"/>
        <v>454</v>
      </c>
      <c r="M77" s="200">
        <f t="shared" si="56"/>
        <v>508</v>
      </c>
      <c r="N77" s="200">
        <f t="shared" si="56"/>
        <v>576</v>
      </c>
      <c r="O77" s="200">
        <f t="shared" si="56"/>
        <v>645</v>
      </c>
      <c r="P77" s="200">
        <f t="shared" si="56"/>
        <v>666</v>
      </c>
      <c r="Q77" s="200">
        <f t="shared" si="56"/>
        <v>642</v>
      </c>
      <c r="R77" s="200">
        <f t="shared" si="56"/>
        <v>632</v>
      </c>
      <c r="S77" s="200">
        <f t="shared" si="56"/>
        <v>622</v>
      </c>
      <c r="T77" s="200">
        <f t="shared" si="56"/>
        <v>612</v>
      </c>
      <c r="U77" s="200">
        <f t="shared" si="56"/>
        <v>602</v>
      </c>
    </row>
    <row r="78" spans="1:25" hidden="1" outlineLevel="2" x14ac:dyDescent="0.2">
      <c r="A78" s="2" t="s">
        <v>169</v>
      </c>
      <c r="B78" s="8"/>
      <c r="C78" s="217">
        <f>C64+C77</f>
        <v>989.50299999999993</v>
      </c>
      <c r="D78" s="217">
        <f t="shared" ref="D78:K78" si="57">D64+D77</f>
        <v>1206.6049999999989</v>
      </c>
      <c r="E78" s="217">
        <f t="shared" si="57"/>
        <v>1432.931</v>
      </c>
      <c r="F78" s="217">
        <f t="shared" si="57"/>
        <v>1481.5820000000003</v>
      </c>
      <c r="G78" s="217">
        <f t="shared" si="57"/>
        <v>1081.5509999999999</v>
      </c>
      <c r="H78" s="217">
        <f t="shared" si="57"/>
        <v>1147</v>
      </c>
      <c r="I78" s="217">
        <f t="shared" si="57"/>
        <v>1445</v>
      </c>
      <c r="J78" s="217">
        <f t="shared" si="57"/>
        <v>1620</v>
      </c>
      <c r="K78" s="217">
        <f t="shared" si="57"/>
        <v>1769</v>
      </c>
      <c r="L78" s="217">
        <f t="shared" ref="L78:U78" si="58">L64+L77</f>
        <v>1803</v>
      </c>
      <c r="M78" s="217">
        <f t="shared" si="58"/>
        <v>1825</v>
      </c>
      <c r="N78" s="217">
        <f t="shared" si="58"/>
        <v>1702</v>
      </c>
      <c r="O78" s="217">
        <f t="shared" si="58"/>
        <v>1648</v>
      </c>
      <c r="P78" s="217">
        <f t="shared" si="58"/>
        <v>1586</v>
      </c>
      <c r="Q78" s="217">
        <f t="shared" si="58"/>
        <v>1663.6398315171341</v>
      </c>
      <c r="R78" s="217">
        <f t="shared" si="58"/>
        <v>1659.7473311437898</v>
      </c>
      <c r="S78" s="217">
        <f t="shared" si="58"/>
        <v>1674.4789527200273</v>
      </c>
      <c r="T78" s="217">
        <f t="shared" si="58"/>
        <v>1664.7858309130938</v>
      </c>
      <c r="U78" s="217">
        <f t="shared" si="58"/>
        <v>1647.55763000919</v>
      </c>
    </row>
    <row r="79" spans="1:25" outlineLevel="1" collapsed="1" x14ac:dyDescent="0.2">
      <c r="A79" s="2"/>
      <c r="B79" s="8"/>
      <c r="C79" s="8"/>
      <c r="D79" s="8"/>
      <c r="E79" s="8"/>
      <c r="F79" s="8"/>
      <c r="G79" s="8"/>
      <c r="H79" s="8"/>
      <c r="I79" s="8"/>
      <c r="J79" s="8"/>
      <c r="K79" s="8"/>
      <c r="L79" s="8"/>
      <c r="M79" s="8"/>
      <c r="N79" s="8"/>
      <c r="O79" s="8"/>
      <c r="P79" s="8"/>
      <c r="Q79" s="8"/>
      <c r="R79" s="8"/>
      <c r="S79" s="8"/>
      <c r="T79" s="8"/>
      <c r="U79" s="8"/>
      <c r="V79">
        <v>65</v>
      </c>
    </row>
    <row r="80" spans="1:25" outlineLevel="1" x14ac:dyDescent="0.2">
      <c r="A80" s="5" t="s">
        <v>170</v>
      </c>
      <c r="B80" s="8"/>
      <c r="C80" s="8"/>
      <c r="D80" s="8"/>
      <c r="E80" s="8"/>
      <c r="F80" s="8"/>
      <c r="G80" s="8"/>
      <c r="H80" s="8"/>
      <c r="I80" s="8"/>
      <c r="J80" s="8"/>
      <c r="K80" s="8"/>
      <c r="L80" s="8"/>
      <c r="M80" s="8"/>
      <c r="N80" s="8"/>
      <c r="O80" s="8"/>
      <c r="P80" s="8"/>
      <c r="Q80" s="8"/>
      <c r="R80" s="8"/>
      <c r="S80" s="8"/>
      <c r="T80" s="8"/>
      <c r="U80" s="8"/>
    </row>
    <row r="81" spans="1:21" outlineLevel="1" x14ac:dyDescent="0.2">
      <c r="A81" s="2" t="s">
        <v>171</v>
      </c>
      <c r="B81" s="8"/>
      <c r="C81" s="7">
        <f t="shared" ref="C81:K81" si="59">C60/C54</f>
        <v>0.36066134439275915</v>
      </c>
      <c r="D81" s="7">
        <f t="shared" si="59"/>
        <v>0.36705055232607814</v>
      </c>
      <c r="E81" s="7">
        <f t="shared" si="59"/>
        <v>0.37458966546886713</v>
      </c>
      <c r="F81" s="7">
        <f t="shared" si="59"/>
        <v>0.37400380207376371</v>
      </c>
      <c r="G81" s="7">
        <f t="shared" si="59"/>
        <v>0.34513532746351461</v>
      </c>
      <c r="H81" s="7">
        <f t="shared" si="59"/>
        <v>0.3548074594332768</v>
      </c>
      <c r="I81" s="7">
        <f t="shared" si="59"/>
        <v>0.36659505907626211</v>
      </c>
      <c r="J81" s="7">
        <f t="shared" si="59"/>
        <v>0.37201105077641233</v>
      </c>
      <c r="K81" s="7">
        <f t="shared" si="59"/>
        <v>0.36813467097432412</v>
      </c>
      <c r="L81" s="7">
        <f>L60/L54</f>
        <v>0.3640473450600033</v>
      </c>
      <c r="M81" s="7">
        <f>M60/M54</f>
        <v>0.35878270154831821</v>
      </c>
      <c r="N81" s="7">
        <f>N60/N54</f>
        <v>0.34955658034764103</v>
      </c>
      <c r="O81" s="7">
        <f>O60/O54</f>
        <v>0.34898958548865439</v>
      </c>
      <c r="P81" s="7">
        <f>P60/P54</f>
        <v>0.3466340754442756</v>
      </c>
      <c r="Q81" s="229">
        <f>Q33+0.007</f>
        <v>0.35424074714771192</v>
      </c>
      <c r="R81" s="229">
        <f>R33+0.0086</f>
        <v>0.35320000000000001</v>
      </c>
      <c r="S81" s="229">
        <f>S33+0.011</f>
        <v>0.35259999999999997</v>
      </c>
      <c r="T81" s="229">
        <f>T33+0.012</f>
        <v>0.35049999999999998</v>
      </c>
      <c r="U81" s="229">
        <f>U33+0.012</f>
        <v>0.34850000000000003</v>
      </c>
    </row>
    <row r="82" spans="1:21" s="8" customFormat="1" outlineLevel="1" x14ac:dyDescent="0.2">
      <c r="A82" s="2" t="s">
        <v>475</v>
      </c>
      <c r="C82" s="81" t="s">
        <v>83</v>
      </c>
      <c r="D82" s="81" t="s">
        <v>83</v>
      </c>
      <c r="E82" s="81" t="s">
        <v>83</v>
      </c>
      <c r="F82" s="7">
        <f t="shared" ref="F82:K82" si="60">F61/F54</f>
        <v>0.2472865875968841</v>
      </c>
      <c r="G82" s="7">
        <f t="shared" si="60"/>
        <v>0.25497117356169341</v>
      </c>
      <c r="H82" s="7">
        <f t="shared" si="60"/>
        <v>0.25538871397432794</v>
      </c>
      <c r="I82" s="7">
        <f t="shared" si="60"/>
        <v>0.25907626208378087</v>
      </c>
      <c r="J82" s="7">
        <f t="shared" si="60"/>
        <v>0.26740973611508051</v>
      </c>
      <c r="K82" s="7">
        <f t="shared" si="60"/>
        <v>0.2696820268661792</v>
      </c>
      <c r="L82" s="7">
        <f>L61/L54</f>
        <v>0.26894624362978792</v>
      </c>
      <c r="M82" s="7">
        <f>M61/M54</f>
        <v>0.27373960796277935</v>
      </c>
      <c r="N82" s="7">
        <f>N61/N54</f>
        <v>0.28059595601277049</v>
      </c>
      <c r="O82" s="7">
        <f>O61/O54</f>
        <v>0.28643354714118213</v>
      </c>
      <c r="P82" s="7">
        <f>P61/P54</f>
        <v>0.2978133051463302</v>
      </c>
      <c r="Q82" s="229">
        <f>Q35-0.0069</f>
        <v>0.30193828037858456</v>
      </c>
      <c r="R82" s="229">
        <f>R35-0.0069</f>
        <v>0.30382947905729724</v>
      </c>
      <c r="S82" s="229">
        <f>S35-0.007</f>
        <v>0.30475737890962823</v>
      </c>
      <c r="T82" s="229">
        <f>T35-0.007</f>
        <v>0.30548576895174928</v>
      </c>
      <c r="U82" s="229">
        <f>U35-0.007</f>
        <v>0.30645320582286478</v>
      </c>
    </row>
    <row r="83" spans="1:21" outlineLevel="1" x14ac:dyDescent="0.2">
      <c r="A83" s="2" t="s">
        <v>499</v>
      </c>
      <c r="B83" s="8"/>
      <c r="C83" s="7">
        <f>C63/C56</f>
        <v>0.27657924621681174</v>
      </c>
      <c r="D83" s="7">
        <f t="shared" ref="D83:K83" si="61">D63/D56</f>
        <v>0.26527023856397414</v>
      </c>
      <c r="E83" s="7">
        <f t="shared" si="61"/>
        <v>0.26103020687167489</v>
      </c>
      <c r="F83" s="7">
        <f t="shared" si="61"/>
        <v>0.25937600288390944</v>
      </c>
      <c r="G83" s="7">
        <f t="shared" si="61"/>
        <v>0.27776736070722347</v>
      </c>
      <c r="H83" s="7">
        <f t="shared" si="61"/>
        <v>0.2857308450214443</v>
      </c>
      <c r="I83" s="7">
        <f t="shared" si="61"/>
        <v>0.27680412371134022</v>
      </c>
      <c r="J83" s="7">
        <f t="shared" si="61"/>
        <v>0.27912108118047257</v>
      </c>
      <c r="K83" s="7">
        <f t="shared" si="61"/>
        <v>0.27707268831382892</v>
      </c>
      <c r="L83" s="7">
        <f t="shared" ref="L83:U83" si="62">L63/L56</f>
        <v>0.27543859649122809</v>
      </c>
      <c r="M83" s="7">
        <f t="shared" si="62"/>
        <v>0.28002369317340442</v>
      </c>
      <c r="N83" s="7">
        <f t="shared" si="62"/>
        <v>0.28697097734986493</v>
      </c>
      <c r="O83" s="7">
        <f t="shared" si="62"/>
        <v>0.29245155170077247</v>
      </c>
      <c r="P83" s="7">
        <f t="shared" si="62"/>
        <v>0.30158935262953868</v>
      </c>
      <c r="Q83" s="7">
        <f t="shared" si="62"/>
        <v>0.30513523801041798</v>
      </c>
      <c r="R83" s="7">
        <f t="shared" si="62"/>
        <v>0.30706497747349432</v>
      </c>
      <c r="S83" s="7">
        <f t="shared" si="62"/>
        <v>0.3080699731028867</v>
      </c>
      <c r="T83" s="7">
        <f t="shared" si="62"/>
        <v>0.30887023301851674</v>
      </c>
      <c r="U83" s="7">
        <f t="shared" si="62"/>
        <v>0.30994139167523893</v>
      </c>
    </row>
    <row r="84" spans="1:21" outlineLevel="1" x14ac:dyDescent="0.2">
      <c r="A84" s="2" t="s">
        <v>173</v>
      </c>
      <c r="B84" s="8"/>
      <c r="C84" s="7">
        <f>C64/C56</f>
        <v>9.9219438266623133E-2</v>
      </c>
      <c r="D84" s="7">
        <f t="shared" ref="D84:K84" si="63">D64/D56</f>
        <v>0.11747455412739477</v>
      </c>
      <c r="E84" s="7">
        <f t="shared" si="63"/>
        <v>0.13051277368467648</v>
      </c>
      <c r="F84" s="7">
        <f t="shared" si="63"/>
        <v>0.13326892895295625</v>
      </c>
      <c r="G84" s="7">
        <f t="shared" si="63"/>
        <v>9.0677096661626141E-2</v>
      </c>
      <c r="H84" s="7">
        <f t="shared" si="63"/>
        <v>9.6673235191839568E-2</v>
      </c>
      <c r="I84" s="7">
        <f t="shared" si="63"/>
        <v>0.11525773195876289</v>
      </c>
      <c r="J84" s="7">
        <f t="shared" si="63"/>
        <v>0.11482945665165027</v>
      </c>
      <c r="K84" s="7">
        <f t="shared" si="63"/>
        <v>0.11043349266523818</v>
      </c>
      <c r="L84" s="7">
        <f t="shared" ref="L84:U84" si="64">L64/L56</f>
        <v>0.10757575757575757</v>
      </c>
      <c r="M84" s="7">
        <f t="shared" si="64"/>
        <v>9.7512216792536646E-2</v>
      </c>
      <c r="N84" s="7">
        <f t="shared" si="64"/>
        <v>7.7994043083743164E-2</v>
      </c>
      <c r="O84" s="7">
        <f t="shared" si="64"/>
        <v>6.7963138636671638E-2</v>
      </c>
      <c r="P84" s="7">
        <f t="shared" si="64"/>
        <v>5.9439204031528622E-2</v>
      </c>
      <c r="Q84" s="7">
        <f t="shared" si="64"/>
        <v>6.4366363998482209E-2</v>
      </c>
      <c r="R84" s="7">
        <f t="shared" si="64"/>
        <v>6.1824079534330757E-2</v>
      </c>
      <c r="S84" s="7">
        <f t="shared" si="64"/>
        <v>6.0720452605114029E-2</v>
      </c>
      <c r="T84" s="7">
        <f t="shared" si="64"/>
        <v>5.8316878274498586E-2</v>
      </c>
      <c r="U84" s="7">
        <f t="shared" si="64"/>
        <v>5.5937712207600229E-2</v>
      </c>
    </row>
    <row r="85" spans="1:21" outlineLevel="1" x14ac:dyDescent="0.2">
      <c r="A85" s="2" t="s">
        <v>175</v>
      </c>
      <c r="B85" s="8"/>
      <c r="C85" s="7">
        <f>C69/C67</f>
        <v>0.39213447735692247</v>
      </c>
      <c r="D85" s="7">
        <f t="shared" ref="D85:J85" si="65">D69/D67</f>
        <v>0.37718130780989928</v>
      </c>
      <c r="E85" s="7">
        <f t="shared" si="65"/>
        <v>0.38678862174660578</v>
      </c>
      <c r="F85" s="7">
        <f t="shared" si="65"/>
        <v>0.39040953265427863</v>
      </c>
      <c r="G85" s="7">
        <f t="shared" si="65"/>
        <v>0.39164229181668059</v>
      </c>
      <c r="H85" s="7">
        <f t="shared" si="65"/>
        <v>0.38505747126436779</v>
      </c>
      <c r="I85" s="7">
        <f t="shared" si="65"/>
        <v>0.38143289606458125</v>
      </c>
      <c r="J85" s="7">
        <f t="shared" si="65"/>
        <v>0.3896336014298481</v>
      </c>
      <c r="K85" s="7">
        <f t="shared" ref="K85:P85" si="66">K69/K67</f>
        <v>0.38135593220338981</v>
      </c>
      <c r="L85" s="7">
        <f t="shared" si="66"/>
        <v>0.382996632996633</v>
      </c>
      <c r="M85" s="7">
        <f t="shared" si="66"/>
        <v>0.39397794741306191</v>
      </c>
      <c r="N85" s="7">
        <f t="shared" si="66"/>
        <v>0.37388611388611387</v>
      </c>
      <c r="O85" s="7">
        <f t="shared" si="66"/>
        <v>0.37461975028376843</v>
      </c>
      <c r="P85" s="7">
        <f t="shared" si="66"/>
        <v>0.39496173469387752</v>
      </c>
      <c r="Q85" s="7">
        <f>Q37</f>
        <v>0.27492697934661886</v>
      </c>
      <c r="R85" s="7">
        <f>R37</f>
        <v>0.27492697934661869</v>
      </c>
      <c r="S85" s="7">
        <f>S37</f>
        <v>0.27492697934661908</v>
      </c>
      <c r="T85" s="7">
        <f>T37</f>
        <v>0.27492697934661886</v>
      </c>
      <c r="U85" s="7">
        <f>U37</f>
        <v>0.27492697934661942</v>
      </c>
    </row>
    <row r="86" spans="1:21" outlineLevel="1" x14ac:dyDescent="0.2">
      <c r="A86" s="2"/>
      <c r="B86" s="8"/>
      <c r="C86" s="8"/>
      <c r="D86" s="8"/>
      <c r="E86" s="8"/>
      <c r="F86" s="8"/>
      <c r="G86" s="8"/>
      <c r="H86" s="8"/>
      <c r="I86" s="8"/>
      <c r="J86" s="8"/>
      <c r="K86" s="8"/>
      <c r="L86" s="8"/>
      <c r="M86" s="8"/>
      <c r="N86" s="8"/>
      <c r="O86" s="8"/>
      <c r="P86" s="8"/>
      <c r="Q86" s="8"/>
      <c r="R86" s="8"/>
      <c r="S86" s="8"/>
      <c r="T86" s="8"/>
      <c r="U86" s="8"/>
    </row>
    <row r="87" spans="1:21" outlineLevel="1" x14ac:dyDescent="0.2">
      <c r="A87" s="5" t="s">
        <v>178</v>
      </c>
      <c r="B87" s="8"/>
      <c r="C87" s="8"/>
      <c r="D87" s="8"/>
      <c r="E87" s="8"/>
      <c r="F87" s="8"/>
      <c r="G87" s="8"/>
      <c r="H87" s="8"/>
      <c r="I87" s="8"/>
      <c r="J87" s="183"/>
      <c r="K87" s="183"/>
      <c r="L87" s="183"/>
      <c r="M87" s="183"/>
      <c r="N87" s="183"/>
      <c r="O87" s="183"/>
      <c r="P87" s="183"/>
      <c r="Q87" s="183"/>
      <c r="R87" s="183"/>
      <c r="S87" s="183"/>
      <c r="T87" s="183"/>
      <c r="U87" s="183"/>
    </row>
    <row r="88" spans="1:21" outlineLevel="1" x14ac:dyDescent="0.2">
      <c r="A88" s="2" t="s">
        <v>273</v>
      </c>
      <c r="B88" s="8"/>
      <c r="C88" s="81" t="s">
        <v>83</v>
      </c>
      <c r="D88" s="7">
        <f t="shared" ref="D88:K88" si="67">((D54/C54)-1)</f>
        <v>8.2900681814389365E-2</v>
      </c>
      <c r="E88" s="7">
        <f t="shared" si="67"/>
        <v>0.10852364459071628</v>
      </c>
      <c r="F88" s="7">
        <f t="shared" si="67"/>
        <v>3.1202595863094373E-2</v>
      </c>
      <c r="G88" s="7">
        <f t="shared" si="67"/>
        <v>-6.0809391770148324E-2</v>
      </c>
      <c r="H88" s="7">
        <f t="shared" si="67"/>
        <v>-3.9802195151369402E-3</v>
      </c>
      <c r="I88" s="7">
        <f t="shared" si="67"/>
        <v>0.1273916202470331</v>
      </c>
      <c r="J88" s="7">
        <f t="shared" si="67"/>
        <v>0.12749731471535974</v>
      </c>
      <c r="K88" s="7">
        <f t="shared" si="67"/>
        <v>0.12051062208249985</v>
      </c>
      <c r="L88" s="7">
        <f t="shared" ref="L88:O90" si="68">((L54/K54)-1)</f>
        <v>3.4347900017003941E-2</v>
      </c>
      <c r="M88" s="7">
        <f t="shared" si="68"/>
        <v>7.7675489067894121E-2</v>
      </c>
      <c r="N88" s="7">
        <f t="shared" si="68"/>
        <v>7.5051483487148296E-2</v>
      </c>
      <c r="O88" s="7">
        <f t="shared" si="68"/>
        <v>2.8662646328485364E-2</v>
      </c>
      <c r="P88" s="19">
        <f t="shared" ref="P88:U88" si="69">P91+P98</f>
        <v>4.4003034692047693E-2</v>
      </c>
      <c r="Q88" s="19">
        <f t="shared" si="69"/>
        <v>2.3793525311257314E-2</v>
      </c>
      <c r="R88" s="19">
        <f t="shared" si="69"/>
        <v>4.6675860979254677E-2</v>
      </c>
      <c r="S88" s="19">
        <f t="shared" si="69"/>
        <v>4.1873289755020124E-2</v>
      </c>
      <c r="T88" s="19">
        <f t="shared" si="69"/>
        <v>4.0788827792262658E-2</v>
      </c>
      <c r="U88" s="19">
        <f t="shared" si="69"/>
        <v>3.4329702068368259E-2</v>
      </c>
    </row>
    <row r="89" spans="1:21" outlineLevel="1" x14ac:dyDescent="0.2">
      <c r="A89" s="2" t="s">
        <v>316</v>
      </c>
      <c r="B89" s="8"/>
      <c r="C89" s="81" t="s">
        <v>83</v>
      </c>
      <c r="D89" s="7">
        <f t="shared" ref="D89:U89" si="70">((D55/C55)-1)</f>
        <v>0.13537486556186451</v>
      </c>
      <c r="E89" s="7">
        <f t="shared" si="70"/>
        <v>0.21477026187396242</v>
      </c>
      <c r="F89" s="7">
        <f t="shared" si="70"/>
        <v>0.13592285923907355</v>
      </c>
      <c r="G89" s="7">
        <f t="shared" si="70"/>
        <v>0.12937633329150455</v>
      </c>
      <c r="H89" s="7">
        <f t="shared" si="70"/>
        <v>0.20588235294117641</v>
      </c>
      <c r="I89" s="7">
        <f t="shared" si="70"/>
        <v>5.6910569105691033E-2</v>
      </c>
      <c r="J89" s="7">
        <f t="shared" si="70"/>
        <v>-2.5641025641025661E-2</v>
      </c>
      <c r="K89" s="7">
        <f t="shared" si="70"/>
        <v>-2.1052631578947323E-2</v>
      </c>
      <c r="L89" s="7">
        <f t="shared" si="68"/>
        <v>5.3763440860215006E-3</v>
      </c>
      <c r="M89" s="7">
        <f t="shared" si="68"/>
        <v>5.6149732620320858E-2</v>
      </c>
      <c r="N89" s="7">
        <f t="shared" si="68"/>
        <v>-0.13417721518987347</v>
      </c>
      <c r="O89" s="7">
        <f t="shared" si="68"/>
        <v>-0.24269005847953218</v>
      </c>
      <c r="P89" s="7">
        <f t="shared" si="70"/>
        <v>0.31660231660231664</v>
      </c>
      <c r="Q89" s="7">
        <f t="shared" si="70"/>
        <v>0.10000000000000009</v>
      </c>
      <c r="R89" s="7">
        <f t="shared" si="70"/>
        <v>7.4999999999999956E-2</v>
      </c>
      <c r="S89" s="7">
        <f t="shared" si="70"/>
        <v>7.4999999999999956E-2</v>
      </c>
      <c r="T89" s="7">
        <f t="shared" si="70"/>
        <v>7.0000000000000062E-2</v>
      </c>
      <c r="U89" s="7">
        <f t="shared" si="70"/>
        <v>7.4999999999999956E-2</v>
      </c>
    </row>
    <row r="90" spans="1:21" outlineLevel="1" x14ac:dyDescent="0.2">
      <c r="A90" s="2" t="s">
        <v>287</v>
      </c>
      <c r="B90" s="8"/>
      <c r="C90" s="81" t="s">
        <v>83</v>
      </c>
      <c r="D90" s="7">
        <f t="shared" ref="D90:Q90" si="71">((D56/C56)-1)</f>
        <v>8.4143089978512942E-2</v>
      </c>
      <c r="E90" s="7">
        <f t="shared" si="71"/>
        <v>0.11115807291002389</v>
      </c>
      <c r="F90" s="7">
        <f t="shared" si="71"/>
        <v>3.4041301146703562E-2</v>
      </c>
      <c r="G90" s="7">
        <f t="shared" si="71"/>
        <v>-5.5145975935182445E-2</v>
      </c>
      <c r="H90" s="7">
        <f t="shared" si="71"/>
        <v>3.489589391648229E-3</v>
      </c>
      <c r="I90" s="7">
        <f t="shared" si="71"/>
        <v>0.12437695606815802</v>
      </c>
      <c r="J90" s="7">
        <f t="shared" si="71"/>
        <v>0.12134020618556707</v>
      </c>
      <c r="K90" s="7">
        <f t="shared" si="71"/>
        <v>0.11556495357175689</v>
      </c>
      <c r="L90" s="7">
        <f t="shared" si="68"/>
        <v>3.3459700016482685E-2</v>
      </c>
      <c r="M90" s="7">
        <f t="shared" si="68"/>
        <v>7.7033492822966565E-2</v>
      </c>
      <c r="N90" s="7">
        <f t="shared" si="68"/>
        <v>6.8932326373463582E-2</v>
      </c>
      <c r="O90" s="7">
        <f t="shared" si="68"/>
        <v>2.2234536260996141E-2</v>
      </c>
      <c r="P90" s="7">
        <f t="shared" si="71"/>
        <v>4.8787098522835137E-2</v>
      </c>
      <c r="Q90" s="7">
        <f t="shared" si="71"/>
        <v>2.547245074534854E-2</v>
      </c>
      <c r="R90" s="7">
        <v>0.01</v>
      </c>
      <c r="S90" s="7">
        <v>0.01</v>
      </c>
      <c r="T90" s="7">
        <v>0.01</v>
      </c>
      <c r="U90" s="7">
        <v>0.01</v>
      </c>
    </row>
    <row r="91" spans="1:21" s="13" customFormat="1" outlineLevel="1" x14ac:dyDescent="0.2">
      <c r="A91" s="2" t="s">
        <v>179</v>
      </c>
      <c r="B91" s="215"/>
      <c r="C91" s="201">
        <f t="shared" ref="C91:K91" si="72">C43</f>
        <v>8.5000000000000006E-2</v>
      </c>
      <c r="D91" s="201">
        <f t="shared" si="72"/>
        <v>0.06</v>
      </c>
      <c r="E91" s="201">
        <f t="shared" si="72"/>
        <v>7.4999999999999997E-2</v>
      </c>
      <c r="F91" s="201">
        <f t="shared" si="72"/>
        <v>3.9E-2</v>
      </c>
      <c r="G91" s="201">
        <f t="shared" si="72"/>
        <v>-0.09</v>
      </c>
      <c r="H91" s="201">
        <f t="shared" si="72"/>
        <v>-4.2000000000000003E-2</v>
      </c>
      <c r="I91" s="201">
        <f>I43</f>
        <v>8.1000000000000003E-2</v>
      </c>
      <c r="J91" s="201">
        <f t="shared" si="72"/>
        <v>7.2000000000000008E-2</v>
      </c>
      <c r="K91" s="201">
        <f t="shared" si="72"/>
        <v>7.2999999999999995E-2</v>
      </c>
      <c r="L91" s="201">
        <f>L43</f>
        <v>2.5000000000000001E-2</v>
      </c>
      <c r="M91" s="201">
        <f>M43</f>
        <v>0.04</v>
      </c>
      <c r="N91" s="201">
        <f>N43</f>
        <v>2.7000000000000003E-2</v>
      </c>
      <c r="O91" s="201">
        <f>O43</f>
        <v>-4.0000000000000001E-3</v>
      </c>
      <c r="P91" s="201">
        <f>P43</f>
        <v>8.0000000000000002E-3</v>
      </c>
      <c r="Q91" s="218">
        <v>0.01</v>
      </c>
      <c r="R91" s="218">
        <v>0.01</v>
      </c>
      <c r="S91" s="218">
        <v>0.01</v>
      </c>
      <c r="T91" s="218">
        <v>0.01</v>
      </c>
      <c r="U91" s="218">
        <v>0.01</v>
      </c>
    </row>
    <row r="92" spans="1:21" outlineLevel="1" x14ac:dyDescent="0.2">
      <c r="A92" s="2" t="s">
        <v>351</v>
      </c>
      <c r="B92" s="8"/>
      <c r="C92" s="222" t="s">
        <v>83</v>
      </c>
      <c r="D92" s="222" t="s">
        <v>83</v>
      </c>
      <c r="E92" s="222" t="s">
        <v>83</v>
      </c>
      <c r="F92" s="222" t="s">
        <v>83</v>
      </c>
      <c r="G92" s="7">
        <f>((G61/F61)-1)</f>
        <v>-3.1623453962437043E-2</v>
      </c>
      <c r="H92" s="7">
        <f t="shared" ref="H92:U92" si="73">((H61/G61)-1)</f>
        <v>-2.3491390116964217E-3</v>
      </c>
      <c r="I92" s="7">
        <f t="shared" si="73"/>
        <v>0.14366998577524903</v>
      </c>
      <c r="J92" s="7">
        <f t="shared" si="73"/>
        <v>0.1637645107794361</v>
      </c>
      <c r="K92" s="7">
        <f t="shared" si="73"/>
        <v>0.13003206270039191</v>
      </c>
      <c r="L92" s="7">
        <f>((L61/K61)-1)</f>
        <v>3.1525851197982346E-2</v>
      </c>
      <c r="M92" s="7">
        <f>((M61/L61)-1)</f>
        <v>9.6882640586797075E-2</v>
      </c>
      <c r="N92" s="7">
        <f>((N61/M61)-1)</f>
        <v>0.10197826692672063</v>
      </c>
      <c r="O92" s="7">
        <f>((O61/N61)-1)</f>
        <v>5.0063211125157991E-2</v>
      </c>
      <c r="P92" s="7">
        <f>((P61/O61)-1)</f>
        <v>8.5480375632073224E-2</v>
      </c>
      <c r="Q92" s="7">
        <f t="shared" si="73"/>
        <v>3.7973962725819321E-2</v>
      </c>
      <c r="R92" s="7">
        <f t="shared" si="73"/>
        <v>5.3231743866454018E-2</v>
      </c>
      <c r="S92" s="7">
        <f t="shared" si="73"/>
        <v>4.5055186635832634E-2</v>
      </c>
      <c r="T92" s="7">
        <f t="shared" si="73"/>
        <v>4.3276381074243808E-2</v>
      </c>
      <c r="U92" s="7">
        <f t="shared" si="73"/>
        <v>3.7605300450919588E-2</v>
      </c>
    </row>
    <row r="93" spans="1:21" s="13" customFormat="1" outlineLevel="1" x14ac:dyDescent="0.2">
      <c r="A93" s="2" t="s">
        <v>158</v>
      </c>
      <c r="B93" s="215"/>
      <c r="C93" s="102" t="s">
        <v>83</v>
      </c>
      <c r="D93" s="201">
        <f t="shared" ref="D93:U93" si="74">((D63/C63)-1)</f>
        <v>3.9813724456535748E-2</v>
      </c>
      <c r="E93" s="201">
        <f t="shared" si="74"/>
        <v>9.3397522500006991E-2</v>
      </c>
      <c r="F93" s="201">
        <f t="shared" si="74"/>
        <v>2.7488361299738084E-2</v>
      </c>
      <c r="G93" s="201">
        <f t="shared" si="74"/>
        <v>1.1849999999999916E-2</v>
      </c>
      <c r="H93" s="201">
        <f t="shared" si="74"/>
        <v>3.2259253272450383E-2</v>
      </c>
      <c r="I93" s="201">
        <f t="shared" si="74"/>
        <v>8.9249492900608463E-2</v>
      </c>
      <c r="J93" s="201">
        <f t="shared" si="74"/>
        <v>0.13072625698324014</v>
      </c>
      <c r="K93" s="201">
        <f t="shared" si="74"/>
        <v>0.10737812911725952</v>
      </c>
      <c r="L93" s="201">
        <f t="shared" ref="L93:O94" si="75">((L63/K63)-1)</f>
        <v>2.7364663890541374E-2</v>
      </c>
      <c r="M93" s="201">
        <f t="shared" si="75"/>
        <v>9.4962362478286044E-2</v>
      </c>
      <c r="N93" s="201">
        <f t="shared" si="75"/>
        <v>9.5452141723955553E-2</v>
      </c>
      <c r="O93" s="201">
        <f t="shared" si="75"/>
        <v>4.1757180786869519E-2</v>
      </c>
      <c r="P93" s="185">
        <f t="shared" si="74"/>
        <v>8.1556997219647931E-2</v>
      </c>
      <c r="Q93" s="185">
        <f t="shared" si="74"/>
        <v>3.7529268202226351E-2</v>
      </c>
      <c r="R93" s="185">
        <f t="shared" si="74"/>
        <v>5.3968860620996262E-2</v>
      </c>
      <c r="S93" s="185">
        <f t="shared" si="74"/>
        <v>4.6089411414913517E-2</v>
      </c>
      <c r="T93" s="185">
        <f t="shared" si="74"/>
        <v>4.4224861246481506E-2</v>
      </c>
      <c r="U93" s="185">
        <f t="shared" si="74"/>
        <v>3.8965281270587182E-2</v>
      </c>
    </row>
    <row r="94" spans="1:21" outlineLevel="1" x14ac:dyDescent="0.2">
      <c r="A94" s="2" t="s">
        <v>159</v>
      </c>
      <c r="B94" s="8"/>
      <c r="C94" s="81" t="s">
        <v>83</v>
      </c>
      <c r="D94" s="7">
        <f>((D64/C64)-1)</f>
        <v>0.28361164234049863</v>
      </c>
      <c r="E94" s="7">
        <f t="shared" ref="E94:K94" si="76">((E64/D64)-1)</f>
        <v>0.23448284758195825</v>
      </c>
      <c r="F94" s="7">
        <f t="shared" si="76"/>
        <v>5.5878078492804573E-2</v>
      </c>
      <c r="G94" s="7">
        <f t="shared" si="76"/>
        <v>-0.35711481780201282</v>
      </c>
      <c r="H94" s="7">
        <f t="shared" si="76"/>
        <v>6.9846616834562614E-2</v>
      </c>
      <c r="I94" s="7">
        <f t="shared" si="76"/>
        <v>0.34052757793764998</v>
      </c>
      <c r="J94" s="7">
        <f t="shared" si="76"/>
        <v>0.11717352415026827</v>
      </c>
      <c r="K94" s="7">
        <f t="shared" si="76"/>
        <v>7.2858286629303493E-2</v>
      </c>
      <c r="L94" s="7">
        <f t="shared" si="75"/>
        <v>6.7164179104477473E-3</v>
      </c>
      <c r="M94" s="7">
        <f t="shared" si="75"/>
        <v>-2.3721275018532273E-2</v>
      </c>
      <c r="N94" s="7">
        <f t="shared" si="75"/>
        <v>-0.14502657555049359</v>
      </c>
      <c r="O94" s="7">
        <f t="shared" si="75"/>
        <v>-0.10923623445825936</v>
      </c>
      <c r="P94" s="19">
        <f t="shared" ref="P94:U94" si="77">((P64/O64)-1)</f>
        <v>-8.2751744765702906E-2</v>
      </c>
      <c r="Q94" s="19">
        <f t="shared" si="77"/>
        <v>0.11047807773601548</v>
      </c>
      <c r="R94" s="19">
        <f t="shared" si="77"/>
        <v>5.9781338180462384E-3</v>
      </c>
      <c r="S94" s="19">
        <f t="shared" si="77"/>
        <v>2.4063912234842277E-2</v>
      </c>
      <c r="T94" s="19">
        <f t="shared" si="77"/>
        <v>2.915765605320253E-4</v>
      </c>
      <c r="U94" s="19">
        <f t="shared" si="77"/>
        <v>-6.8657847509542291E-3</v>
      </c>
    </row>
    <row r="95" spans="1:21" outlineLevel="1" x14ac:dyDescent="0.2">
      <c r="A95" s="2" t="s">
        <v>468</v>
      </c>
      <c r="B95" s="8"/>
      <c r="C95" s="6" t="s">
        <v>83</v>
      </c>
      <c r="D95" s="201">
        <f t="shared" ref="D95:K95" si="78">((D74/C74)-1)</f>
        <v>0.43456343703758904</v>
      </c>
      <c r="E95" s="201">
        <f t="shared" si="78"/>
        <v>0.28586835784741904</v>
      </c>
      <c r="F95" s="201">
        <f t="shared" si="78"/>
        <v>9.2678359183554493E-2</v>
      </c>
      <c r="G95" s="201">
        <f t="shared" si="78"/>
        <v>-0.35386732219097261</v>
      </c>
      <c r="H95" s="201">
        <f t="shared" si="78"/>
        <v>8.1690715334405306E-2</v>
      </c>
      <c r="I95" s="201">
        <f t="shared" si="78"/>
        <v>0.41294485918345503</v>
      </c>
      <c r="J95" s="201">
        <f t="shared" si="78"/>
        <v>0.13965755928317791</v>
      </c>
      <c r="K95" s="201">
        <f t="shared" si="78"/>
        <v>0.12556410043909705</v>
      </c>
      <c r="L95" s="201">
        <f>((L74/K74)-1)</f>
        <v>4.9820192487579629E-2</v>
      </c>
      <c r="M95" s="201">
        <f>((M74/L74)-1)</f>
        <v>-4.5955571465616796E-3</v>
      </c>
      <c r="N95" s="201">
        <f>((N74/M74)-1)</f>
        <v>-0.1052652086355127</v>
      </c>
      <c r="O95" s="201">
        <f>((O74/N74)-1)</f>
        <v>-4.602047134625098E-2</v>
      </c>
      <c r="P95" s="185">
        <f t="shared" ref="P95:U95" si="79">((P74/O74)-1)</f>
        <v>-0.10891221921139982</v>
      </c>
      <c r="Q95" s="185">
        <f t="shared" si="79"/>
        <v>0.44972966836271167</v>
      </c>
      <c r="R95" s="185">
        <f t="shared" si="79"/>
        <v>4.1744674666529535E-2</v>
      </c>
      <c r="S95" s="185">
        <f t="shared" si="79"/>
        <v>5.6938946090743681E-2</v>
      </c>
      <c r="T95" s="185">
        <f t="shared" si="79"/>
        <v>3.0571300105874721E-2</v>
      </c>
      <c r="U95" s="185">
        <f t="shared" si="79"/>
        <v>2.3316237304653376E-2</v>
      </c>
    </row>
    <row r="96" spans="1:21" s="228" customFormat="1" outlineLevel="2" x14ac:dyDescent="0.2">
      <c r="A96" s="225" t="s">
        <v>169</v>
      </c>
      <c r="B96" s="226"/>
      <c r="C96" s="227" t="s">
        <v>83</v>
      </c>
      <c r="D96" s="201">
        <f t="shared" ref="D96:K96" si="80">((D78/C78)-1)</f>
        <v>0.2194050952852078</v>
      </c>
      <c r="E96" s="201">
        <f t="shared" si="80"/>
        <v>0.18757256931638877</v>
      </c>
      <c r="F96" s="201">
        <f t="shared" si="80"/>
        <v>3.3952088411793868E-2</v>
      </c>
      <c r="G96" s="201">
        <f t="shared" si="80"/>
        <v>-0.27000260532322906</v>
      </c>
      <c r="H96" s="201">
        <f t="shared" si="80"/>
        <v>6.0514021067892276E-2</v>
      </c>
      <c r="I96" s="201">
        <f t="shared" si="80"/>
        <v>0.25980819529206634</v>
      </c>
      <c r="J96" s="201">
        <f t="shared" si="80"/>
        <v>0.12110726643598624</v>
      </c>
      <c r="K96" s="201">
        <f t="shared" si="80"/>
        <v>9.1975308641975229E-2</v>
      </c>
      <c r="L96" s="201">
        <f>((L78/K78)-1)</f>
        <v>1.9219898247597511E-2</v>
      </c>
      <c r="M96" s="201">
        <f>((M78/L78)-1)</f>
        <v>1.2201885745978913E-2</v>
      </c>
      <c r="N96" s="201">
        <f>((N78/M78)-1)</f>
        <v>-6.7397260273972637E-2</v>
      </c>
      <c r="O96" s="201">
        <f>((O78/N78)-1)</f>
        <v>-3.1727379553466495E-2</v>
      </c>
      <c r="P96" s="201">
        <f t="shared" ref="P96:U96" si="81">((P78/O78)-1)</f>
        <v>-3.762135922330101E-2</v>
      </c>
      <c r="Q96" s="201">
        <f t="shared" si="81"/>
        <v>4.895323550891173E-2</v>
      </c>
      <c r="R96" s="201">
        <f t="shared" si="81"/>
        <v>-2.3397494455242862E-3</v>
      </c>
      <c r="S96" s="201">
        <f t="shared" si="81"/>
        <v>8.8758218192677152E-3</v>
      </c>
      <c r="T96" s="201">
        <f t="shared" si="81"/>
        <v>-5.7887391126583143E-3</v>
      </c>
      <c r="U96" s="201">
        <f t="shared" si="81"/>
        <v>-1.0348598951286481E-2</v>
      </c>
    </row>
    <row r="97" spans="1:21" outlineLevel="1" x14ac:dyDescent="0.2">
      <c r="A97" s="2" t="s">
        <v>493</v>
      </c>
      <c r="B97" s="8"/>
      <c r="C97" s="6" t="s">
        <v>83</v>
      </c>
      <c r="D97" s="201">
        <f t="shared" ref="D97:I97" si="82">D40-D43</f>
        <v>2.2900681814389368E-2</v>
      </c>
      <c r="E97" s="201">
        <f t="shared" si="82"/>
        <v>3.3523644590716287E-2</v>
      </c>
      <c r="F97" s="201">
        <f t="shared" si="82"/>
        <v>-7.7974041369056266E-3</v>
      </c>
      <c r="G97" s="201">
        <f t="shared" si="82"/>
        <v>2.9190608229851672E-2</v>
      </c>
      <c r="H97" s="201">
        <f t="shared" si="82"/>
        <v>3.8019780484863062E-2</v>
      </c>
      <c r="I97" s="201">
        <f t="shared" si="82"/>
        <v>4.6391620247033097E-2</v>
      </c>
      <c r="J97" s="201">
        <f t="shared" ref="J97:P97" si="83">J40-J43</f>
        <v>5.5497314715359736E-2</v>
      </c>
      <c r="K97" s="201">
        <f t="shared" si="83"/>
        <v>4.7510622082499857E-2</v>
      </c>
      <c r="L97" s="201">
        <f>L40-L43</f>
        <v>9.3479000170039392E-3</v>
      </c>
      <c r="M97" s="201">
        <f>M40-M43</f>
        <v>3.767548906789412E-2</v>
      </c>
      <c r="N97" s="201">
        <f>N40-N43</f>
        <v>4.8051483487148293E-2</v>
      </c>
      <c r="O97" s="201">
        <f>O40-O43</f>
        <v>3.2662646328485367E-2</v>
      </c>
      <c r="P97" s="201">
        <f t="shared" si="83"/>
        <v>3.6003034692047693E-2</v>
      </c>
      <c r="Q97" s="201">
        <f>Q40-Q43</f>
        <v>6.8626249422297668E-3</v>
      </c>
      <c r="R97" s="201">
        <f>R40-R43</f>
        <v>3.0615377831069379E-2</v>
      </c>
      <c r="S97" s="201">
        <f>S40-S43</f>
        <v>2.5644516209221591E-2</v>
      </c>
      <c r="T97" s="201">
        <f>T40-T43</f>
        <v>2.4605706395462557E-2</v>
      </c>
      <c r="U97" s="201">
        <f>U40-U43</f>
        <v>1.7773923331075192E-2</v>
      </c>
    </row>
    <row r="98" spans="1:21" outlineLevel="1" x14ac:dyDescent="0.2">
      <c r="A98" s="2" t="s">
        <v>500</v>
      </c>
      <c r="B98" s="8"/>
      <c r="C98" s="81" t="s">
        <v>83</v>
      </c>
      <c r="D98" s="201">
        <f t="shared" ref="D98:I98" si="84">D97</f>
        <v>2.2900681814389368E-2</v>
      </c>
      <c r="E98" s="201">
        <f t="shared" si="84"/>
        <v>3.3523644590716287E-2</v>
      </c>
      <c r="F98" s="201">
        <f t="shared" si="84"/>
        <v>-7.7974041369056266E-3</v>
      </c>
      <c r="G98" s="201">
        <f t="shared" si="84"/>
        <v>2.9190608229851672E-2</v>
      </c>
      <c r="H98" s="201">
        <f t="shared" si="84"/>
        <v>3.8019780484863062E-2</v>
      </c>
      <c r="I98" s="7">
        <f t="shared" si="84"/>
        <v>4.6391620247033097E-2</v>
      </c>
      <c r="J98" s="7">
        <f t="shared" ref="J98:P98" si="85">J97+0%</f>
        <v>5.5497314715359736E-2</v>
      </c>
      <c r="K98" s="7">
        <f t="shared" si="85"/>
        <v>4.7510622082499857E-2</v>
      </c>
      <c r="L98" s="7">
        <f t="shared" si="85"/>
        <v>9.3479000170039392E-3</v>
      </c>
      <c r="M98" s="7">
        <f t="shared" si="85"/>
        <v>3.767548906789412E-2</v>
      </c>
      <c r="N98" s="7">
        <f t="shared" si="85"/>
        <v>4.8051483487148293E-2</v>
      </c>
      <c r="O98" s="7">
        <f t="shared" si="85"/>
        <v>3.2662646328485367E-2</v>
      </c>
      <c r="P98" s="7">
        <f t="shared" si="85"/>
        <v>3.6003034692047693E-2</v>
      </c>
      <c r="Q98" s="229">
        <f>Q42-Q43+0.005</f>
        <v>1.3793525311257313E-2</v>
      </c>
      <c r="R98" s="229">
        <f>R42-R43+0.005</f>
        <v>3.6675860979254675E-2</v>
      </c>
      <c r="S98" s="229">
        <f>S42-S43+0.005</f>
        <v>3.1873289755020122E-2</v>
      </c>
      <c r="T98" s="229">
        <f>T42-T43+0.005</f>
        <v>3.078882779226266E-2</v>
      </c>
      <c r="U98" s="229">
        <f>U42-U43+0.005</f>
        <v>2.4329702068368261E-2</v>
      </c>
    </row>
    <row r="99" spans="1:21" x14ac:dyDescent="0.2">
      <c r="A99" s="197"/>
      <c r="B99" s="197"/>
      <c r="C99" s="197"/>
      <c r="D99" s="197"/>
      <c r="E99" s="197"/>
      <c r="F99" s="197"/>
      <c r="G99" s="197"/>
      <c r="H99" s="197"/>
      <c r="I99" s="197"/>
      <c r="J99" s="197"/>
      <c r="K99" s="197"/>
      <c r="L99" s="197"/>
      <c r="M99" s="197"/>
      <c r="N99" s="197"/>
      <c r="O99" s="197"/>
      <c r="P99" s="197"/>
      <c r="Q99" s="197"/>
      <c r="R99" s="197"/>
      <c r="S99" s="197"/>
      <c r="T99" s="197"/>
      <c r="U99" s="197"/>
    </row>
    <row r="100" spans="1:21" x14ac:dyDescent="0.2">
      <c r="A100" s="187" t="s">
        <v>494</v>
      </c>
      <c r="B100" s="8"/>
      <c r="C100" s="198" t="s">
        <v>481</v>
      </c>
      <c r="D100" s="198" t="s">
        <v>482</v>
      </c>
      <c r="E100" s="198" t="s">
        <v>483</v>
      </c>
      <c r="F100" s="198" t="s">
        <v>484</v>
      </c>
      <c r="G100" s="198" t="s">
        <v>485</v>
      </c>
      <c r="H100" s="198" t="s">
        <v>486</v>
      </c>
      <c r="I100" s="198" t="s">
        <v>285</v>
      </c>
      <c r="J100" s="198" t="s">
        <v>286</v>
      </c>
      <c r="K100" s="198" t="s">
        <v>487</v>
      </c>
      <c r="L100" s="198" t="s">
        <v>553</v>
      </c>
      <c r="M100" s="198" t="s">
        <v>554</v>
      </c>
      <c r="N100" s="198" t="s">
        <v>555</v>
      </c>
      <c r="O100" s="198" t="s">
        <v>609</v>
      </c>
      <c r="P100" s="198" t="s">
        <v>609</v>
      </c>
      <c r="Q100" s="198" t="s">
        <v>521</v>
      </c>
      <c r="R100" s="198" t="str">
        <f>R3</f>
        <v>2019E</v>
      </c>
      <c r="S100" s="198" t="str">
        <f>S3</f>
        <v>2020E</v>
      </c>
      <c r="T100" s="198" t="str">
        <f>T3</f>
        <v>2021E</v>
      </c>
      <c r="U100" s="198" t="str">
        <f>U3</f>
        <v>2022E</v>
      </c>
    </row>
    <row r="101" spans="1:21" x14ac:dyDescent="0.2">
      <c r="A101" s="5" t="s">
        <v>155</v>
      </c>
      <c r="B101" s="8"/>
      <c r="C101" s="9" t="s">
        <v>81</v>
      </c>
      <c r="D101" s="9" t="s">
        <v>81</v>
      </c>
      <c r="E101" s="9" t="s">
        <v>81</v>
      </c>
      <c r="F101" s="9" t="s">
        <v>81</v>
      </c>
      <c r="G101" s="9" t="s">
        <v>81</v>
      </c>
      <c r="H101" s="9" t="s">
        <v>81</v>
      </c>
      <c r="I101" s="9" t="s">
        <v>81</v>
      </c>
      <c r="J101" s="9" t="s">
        <v>81</v>
      </c>
      <c r="K101" s="9" t="s">
        <v>81</v>
      </c>
      <c r="L101" s="9" t="s">
        <v>81</v>
      </c>
      <c r="M101" s="9" t="s">
        <v>81</v>
      </c>
      <c r="N101" s="9" t="s">
        <v>81</v>
      </c>
      <c r="O101" s="9" t="s">
        <v>81</v>
      </c>
      <c r="P101" s="9" t="s">
        <v>81</v>
      </c>
      <c r="Q101" s="9" t="s">
        <v>81</v>
      </c>
      <c r="R101" s="9" t="s">
        <v>81</v>
      </c>
      <c r="S101" s="9" t="s">
        <v>81</v>
      </c>
      <c r="T101" s="9" t="s">
        <v>81</v>
      </c>
      <c r="U101" s="9" t="s">
        <v>81</v>
      </c>
    </row>
    <row r="102" spans="1:21" x14ac:dyDescent="0.2">
      <c r="A102" s="2"/>
      <c r="B102" s="8"/>
      <c r="C102" s="8"/>
      <c r="D102" s="8"/>
      <c r="E102" s="8"/>
      <c r="F102" s="8"/>
      <c r="G102" s="8"/>
      <c r="H102" s="8"/>
      <c r="I102" s="8"/>
      <c r="J102" s="8"/>
      <c r="K102" s="8"/>
      <c r="L102" s="8"/>
      <c r="M102" s="8"/>
      <c r="N102" s="8"/>
      <c r="O102" s="8"/>
      <c r="P102" s="8"/>
      <c r="Q102" s="8"/>
      <c r="R102" s="8"/>
      <c r="S102" s="8"/>
      <c r="T102" s="8"/>
      <c r="U102" s="8"/>
    </row>
    <row r="103" spans="1:21" x14ac:dyDescent="0.2">
      <c r="A103" s="3" t="str">
        <f>A54</f>
        <v>Retail Sales</v>
      </c>
      <c r="B103" s="8"/>
      <c r="C103" s="217">
        <f t="shared" ref="C103:K103" si="86">C6</f>
        <v>7131.4129999999996</v>
      </c>
      <c r="D103" s="217">
        <f t="shared" si="86"/>
        <v>7722.6120000000001</v>
      </c>
      <c r="E103" s="217">
        <f t="shared" si="86"/>
        <v>8560.6980000000003</v>
      </c>
      <c r="F103" s="217">
        <f t="shared" si="86"/>
        <v>8827.8140000000003</v>
      </c>
      <c r="G103" s="217">
        <f t="shared" si="86"/>
        <v>8291</v>
      </c>
      <c r="H103" s="217">
        <f t="shared" si="86"/>
        <v>8258</v>
      </c>
      <c r="I103" s="217">
        <f t="shared" si="86"/>
        <v>9310</v>
      </c>
      <c r="J103" s="217">
        <f t="shared" si="86"/>
        <v>10497</v>
      </c>
      <c r="K103" s="217">
        <f t="shared" si="86"/>
        <v>11762</v>
      </c>
      <c r="L103" s="217">
        <f t="shared" ref="L103:N104" si="87">L6</f>
        <v>12166</v>
      </c>
      <c r="M103" s="217">
        <f t="shared" si="87"/>
        <v>13111</v>
      </c>
      <c r="N103" s="217">
        <f t="shared" si="87"/>
        <v>14095</v>
      </c>
      <c r="O103" s="217">
        <f>O6</f>
        <v>14499</v>
      </c>
      <c r="P103" s="217">
        <f>P6</f>
        <v>15137</v>
      </c>
      <c r="Q103" s="217">
        <f>P103*(1+Q137)</f>
        <v>14862.454553750531</v>
      </c>
      <c r="R103" s="217">
        <f>Q103*(1+R137)</f>
        <v>14945.91285156694</v>
      </c>
      <c r="S103" s="217">
        <f>R103*(1+S137)</f>
        <v>14955.545734661389</v>
      </c>
      <c r="T103" s="217">
        <f>S103*(1+T137)</f>
        <v>14949.648858625846</v>
      </c>
      <c r="U103" s="217">
        <f>T103*(1+U137)</f>
        <v>14841.621549799911</v>
      </c>
    </row>
    <row r="104" spans="1:21" x14ac:dyDescent="0.2">
      <c r="A104" s="3" t="s">
        <v>316</v>
      </c>
      <c r="B104" s="8"/>
      <c r="C104" s="200">
        <f t="shared" ref="C104:K104" si="88">C7</f>
        <v>172.94200000000001</v>
      </c>
      <c r="D104" s="200">
        <f t="shared" si="88"/>
        <v>196.35399999999998</v>
      </c>
      <c r="E104" s="200">
        <f t="shared" si="88"/>
        <v>238.52500000000001</v>
      </c>
      <c r="F104" s="200">
        <f t="shared" si="88"/>
        <v>270.94600000000003</v>
      </c>
      <c r="G104" s="200">
        <f t="shared" si="88"/>
        <v>306</v>
      </c>
      <c r="H104" s="200">
        <f t="shared" si="88"/>
        <v>369</v>
      </c>
      <c r="I104" s="200">
        <f t="shared" si="88"/>
        <v>390</v>
      </c>
      <c r="J104" s="200">
        <f t="shared" si="88"/>
        <v>380</v>
      </c>
      <c r="K104" s="200">
        <f t="shared" si="88"/>
        <v>372</v>
      </c>
      <c r="L104" s="200">
        <f t="shared" si="87"/>
        <v>374</v>
      </c>
      <c r="M104" s="200">
        <f t="shared" si="87"/>
        <v>395</v>
      </c>
      <c r="N104" s="200">
        <f t="shared" si="87"/>
        <v>342</v>
      </c>
      <c r="O104" s="200">
        <f>O7</f>
        <v>259</v>
      </c>
      <c r="P104" s="200">
        <f>P7</f>
        <v>341</v>
      </c>
      <c r="Q104" s="200">
        <f>Q7</f>
        <v>375.1</v>
      </c>
      <c r="R104" s="200">
        <f>R7</f>
        <v>403.23250000000002</v>
      </c>
      <c r="S104" s="200">
        <f>S7</f>
        <v>433.47493750000001</v>
      </c>
      <c r="T104" s="200">
        <f>T7</f>
        <v>463.81818312500002</v>
      </c>
      <c r="U104" s="200">
        <f>U7</f>
        <v>498.60454685937498</v>
      </c>
    </row>
    <row r="105" spans="1:21" x14ac:dyDescent="0.2">
      <c r="A105" s="2" t="s">
        <v>287</v>
      </c>
      <c r="B105" s="8"/>
      <c r="C105" s="217">
        <f>SUM(C103:C104)</f>
        <v>7304.3549999999996</v>
      </c>
      <c r="D105" s="217">
        <f>SUM(D103:D104)</f>
        <v>7918.9660000000003</v>
      </c>
      <c r="E105" s="217">
        <f>SUM(E103:E104)</f>
        <v>8799.223</v>
      </c>
      <c r="F105" s="217">
        <f>SUM(F103:F104)</f>
        <v>9098.76</v>
      </c>
      <c r="G105" s="217">
        <f>SUM(G103:G104)</f>
        <v>8597</v>
      </c>
      <c r="H105" s="217">
        <f t="shared" ref="H105:N105" si="89">SUM(H103:H104)</f>
        <v>8627</v>
      </c>
      <c r="I105" s="217">
        <f t="shared" si="89"/>
        <v>9700</v>
      </c>
      <c r="J105" s="217">
        <f t="shared" si="89"/>
        <v>10877</v>
      </c>
      <c r="K105" s="217">
        <f t="shared" si="89"/>
        <v>12134</v>
      </c>
      <c r="L105" s="217">
        <f t="shared" si="89"/>
        <v>12540</v>
      </c>
      <c r="M105" s="217">
        <f t="shared" si="89"/>
        <v>13506</v>
      </c>
      <c r="N105" s="217">
        <f t="shared" si="89"/>
        <v>14437</v>
      </c>
      <c r="O105" s="217">
        <f t="shared" ref="O105:U105" si="90">SUM(O103:O104)</f>
        <v>14758</v>
      </c>
      <c r="P105" s="217">
        <f>SUM(P103:P104)</f>
        <v>15478</v>
      </c>
      <c r="Q105" s="217">
        <f t="shared" si="90"/>
        <v>15237.554553750531</v>
      </c>
      <c r="R105" s="217">
        <f t="shared" si="90"/>
        <v>15349.14535156694</v>
      </c>
      <c r="S105" s="217">
        <f t="shared" si="90"/>
        <v>15389.020672161389</v>
      </c>
      <c r="T105" s="217">
        <f t="shared" si="90"/>
        <v>15413.467041750846</v>
      </c>
      <c r="U105" s="217">
        <f t="shared" si="90"/>
        <v>15340.226096659286</v>
      </c>
    </row>
    <row r="106" spans="1:21" hidden="1" outlineLevel="1" x14ac:dyDescent="0.2">
      <c r="A106" s="2"/>
      <c r="B106" s="8"/>
      <c r="C106" s="200"/>
      <c r="D106" s="200"/>
      <c r="E106" s="200"/>
      <c r="F106" s="200"/>
      <c r="G106" s="200"/>
      <c r="H106" s="200"/>
      <c r="I106" s="200"/>
      <c r="J106" s="200"/>
      <c r="K106" s="200"/>
      <c r="L106" s="200"/>
      <c r="M106" s="200"/>
      <c r="N106" s="200"/>
      <c r="O106" s="200"/>
      <c r="P106" s="200"/>
      <c r="Q106" s="8"/>
      <c r="R106" s="8"/>
      <c r="S106" s="8"/>
      <c r="T106" s="8"/>
      <c r="U106" s="8"/>
    </row>
    <row r="107" spans="1:21" hidden="1" outlineLevel="1" x14ac:dyDescent="0.2">
      <c r="A107" s="2" t="s">
        <v>156</v>
      </c>
      <c r="B107" s="8"/>
      <c r="C107" s="217">
        <f>C10</f>
        <v>4559.3879999999999</v>
      </c>
      <c r="D107" s="217">
        <f t="shared" ref="D107:J107" si="91">D10</f>
        <v>4888.023000000001</v>
      </c>
      <c r="E107" s="217">
        <f t="shared" si="91"/>
        <v>5353.9490000000005</v>
      </c>
      <c r="F107" s="217">
        <f t="shared" si="91"/>
        <v>5526.1779999999999</v>
      </c>
      <c r="G107" s="217">
        <f t="shared" si="91"/>
        <v>5429.4830000000002</v>
      </c>
      <c r="H107" s="217">
        <f t="shared" si="91"/>
        <v>5328</v>
      </c>
      <c r="I107" s="217">
        <f t="shared" si="91"/>
        <v>5897</v>
      </c>
      <c r="J107" s="217">
        <f t="shared" si="91"/>
        <v>6592</v>
      </c>
      <c r="K107" s="217">
        <f t="shared" ref="K107:P107" si="92">K10</f>
        <v>7432</v>
      </c>
      <c r="L107" s="217">
        <f t="shared" si="92"/>
        <v>7737</v>
      </c>
      <c r="M107" s="217">
        <f t="shared" si="92"/>
        <v>8407</v>
      </c>
      <c r="N107" s="217">
        <f t="shared" si="92"/>
        <v>9168</v>
      </c>
      <c r="O107" s="217">
        <f t="shared" si="92"/>
        <v>9439</v>
      </c>
      <c r="P107" s="217">
        <f t="shared" si="92"/>
        <v>9890</v>
      </c>
      <c r="Q107" s="217">
        <f>Q103-Q109</f>
        <v>9746.192093718535</v>
      </c>
      <c r="R107" s="217">
        <f>R103-R109</f>
        <v>9855.3349343232403</v>
      </c>
      <c r="S107" s="217">
        <f>S103-S109</f>
        <v>9906.5534946397056</v>
      </c>
      <c r="T107" s="217">
        <f>T103-T109</f>
        <v>9948.9913154155001</v>
      </c>
      <c r="U107" s="217">
        <f>U103-U109</f>
        <v>9906.7823844914401</v>
      </c>
    </row>
    <row r="108" spans="1:21" hidden="1" outlineLevel="1" x14ac:dyDescent="0.2">
      <c r="A108" s="2"/>
      <c r="B108" s="8"/>
      <c r="C108" s="200"/>
      <c r="D108" s="200"/>
      <c r="E108" s="200"/>
      <c r="F108" s="200"/>
      <c r="G108" s="200"/>
      <c r="H108" s="200"/>
      <c r="I108" s="200"/>
      <c r="J108" s="200"/>
      <c r="K108" s="200"/>
      <c r="L108" s="200"/>
      <c r="M108" s="200"/>
      <c r="N108" s="200"/>
      <c r="O108" s="200"/>
      <c r="P108" s="200"/>
      <c r="Q108" s="8"/>
      <c r="R108" s="8"/>
      <c r="S108" s="8"/>
      <c r="T108" s="8"/>
      <c r="U108" s="8"/>
    </row>
    <row r="109" spans="1:21" collapsed="1" x14ac:dyDescent="0.2">
      <c r="A109" s="2" t="s">
        <v>157</v>
      </c>
      <c r="B109" s="8"/>
      <c r="C109" s="217">
        <f>C103-C107</f>
        <v>2572.0249999999996</v>
      </c>
      <c r="D109" s="217">
        <f t="shared" ref="D109:K109" si="93">D103-D107</f>
        <v>2834.588999999999</v>
      </c>
      <c r="E109" s="217">
        <f t="shared" si="93"/>
        <v>3206.7489999999998</v>
      </c>
      <c r="F109" s="217">
        <f t="shared" si="93"/>
        <v>3301.6360000000004</v>
      </c>
      <c r="G109" s="217">
        <f t="shared" si="93"/>
        <v>2861.5169999999998</v>
      </c>
      <c r="H109" s="217">
        <f t="shared" si="93"/>
        <v>2930</v>
      </c>
      <c r="I109" s="217">
        <f t="shared" si="93"/>
        <v>3413</v>
      </c>
      <c r="J109" s="217">
        <f t="shared" si="93"/>
        <v>3905</v>
      </c>
      <c r="K109" s="217">
        <f t="shared" si="93"/>
        <v>4330</v>
      </c>
      <c r="L109" s="217">
        <f>L103-L107</f>
        <v>4429</v>
      </c>
      <c r="M109" s="217">
        <f>M103-M107</f>
        <v>4704</v>
      </c>
      <c r="N109" s="217">
        <f>N103-N107</f>
        <v>4927</v>
      </c>
      <c r="O109" s="217">
        <f>O103-O107</f>
        <v>5060</v>
      </c>
      <c r="P109" s="217">
        <f>P103-P107</f>
        <v>5247</v>
      </c>
      <c r="Q109" s="217">
        <f>Q130*Q103</f>
        <v>5116.2624600319959</v>
      </c>
      <c r="R109" s="217">
        <f>R130*R103</f>
        <v>5090.5779172436996</v>
      </c>
      <c r="S109" s="217">
        <f>S130*S103</f>
        <v>5048.9922400216847</v>
      </c>
      <c r="T109" s="217">
        <f>T130*T103</f>
        <v>5000.6575432103446</v>
      </c>
      <c r="U109" s="217">
        <f>U130*U103</f>
        <v>4934.8391653084709</v>
      </c>
    </row>
    <row r="110" spans="1:21" x14ac:dyDescent="0.2">
      <c r="A110" s="2" t="str">
        <f t="shared" ref="A110:K111" si="94">A61</f>
        <v>Retail SG&amp;A</v>
      </c>
      <c r="B110" s="8"/>
      <c r="C110" s="222" t="str">
        <f t="shared" si="94"/>
        <v>NA</v>
      </c>
      <c r="D110" s="222" t="str">
        <f t="shared" si="94"/>
        <v>NA</v>
      </c>
      <c r="E110" s="222" t="str">
        <f t="shared" si="94"/>
        <v>NA</v>
      </c>
      <c r="F110" s="200">
        <f t="shared" si="94"/>
        <v>2183</v>
      </c>
      <c r="G110" s="200">
        <f t="shared" si="94"/>
        <v>2113.9659999999999</v>
      </c>
      <c r="H110" s="200">
        <f t="shared" si="94"/>
        <v>2109</v>
      </c>
      <c r="I110" s="200">
        <f t="shared" si="94"/>
        <v>2412</v>
      </c>
      <c r="J110" s="200">
        <f t="shared" si="94"/>
        <v>2807</v>
      </c>
      <c r="K110" s="200">
        <f t="shared" si="94"/>
        <v>3172</v>
      </c>
      <c r="L110" s="200">
        <f t="shared" ref="L110:N111" si="95">L61</f>
        <v>3272</v>
      </c>
      <c r="M110" s="200">
        <f t="shared" si="95"/>
        <v>3589</v>
      </c>
      <c r="N110" s="200">
        <f t="shared" si="95"/>
        <v>3955</v>
      </c>
      <c r="O110" s="200">
        <f>O61</f>
        <v>4153</v>
      </c>
      <c r="P110" s="200">
        <f>P61</f>
        <v>4508</v>
      </c>
      <c r="Q110" s="200">
        <f>Q131*Q103</f>
        <v>4587.9780056151376</v>
      </c>
      <c r="R110" s="200">
        <f>R131*R103</f>
        <v>4640.7059404115353</v>
      </c>
      <c r="S110" s="200">
        <f>S131*S103</f>
        <v>4657.1569417735564</v>
      </c>
      <c r="T110" s="200">
        <f>T131*T103</f>
        <v>4664.2904438912637</v>
      </c>
      <c r="U110" s="200">
        <f>U131*U103</f>
        <v>4642.4592207774122</v>
      </c>
    </row>
    <row r="111" spans="1:21" x14ac:dyDescent="0.2">
      <c r="A111" s="2" t="str">
        <f t="shared" si="94"/>
        <v>Credit SG&amp;A</v>
      </c>
      <c r="B111" s="8"/>
      <c r="C111" s="222" t="str">
        <f t="shared" si="94"/>
        <v>NA</v>
      </c>
      <c r="D111" s="222" t="str">
        <f t="shared" si="94"/>
        <v>NA</v>
      </c>
      <c r="E111" s="222" t="str">
        <f t="shared" si="94"/>
        <v>NA</v>
      </c>
      <c r="F111" s="200">
        <f t="shared" si="94"/>
        <v>177</v>
      </c>
      <c r="G111" s="200">
        <f t="shared" si="94"/>
        <v>274</v>
      </c>
      <c r="H111" s="200">
        <f t="shared" si="94"/>
        <v>356</v>
      </c>
      <c r="I111" s="200">
        <f t="shared" si="94"/>
        <v>273</v>
      </c>
      <c r="J111" s="200">
        <f t="shared" si="94"/>
        <v>229</v>
      </c>
      <c r="K111" s="200">
        <f t="shared" si="94"/>
        <v>190</v>
      </c>
      <c r="L111" s="200">
        <f t="shared" si="95"/>
        <v>182</v>
      </c>
      <c r="M111" s="200">
        <f t="shared" si="95"/>
        <v>193</v>
      </c>
      <c r="N111" s="200">
        <f t="shared" si="95"/>
        <v>188</v>
      </c>
      <c r="O111" s="200">
        <f>O62</f>
        <v>163</v>
      </c>
      <c r="P111" s="200">
        <f>P62</f>
        <v>160</v>
      </c>
      <c r="Q111" s="200">
        <f>Q62</f>
        <v>164</v>
      </c>
      <c r="R111" s="200">
        <f>R62</f>
        <v>176.29999999999998</v>
      </c>
      <c r="S111" s="200">
        <f>S62</f>
        <v>189.52249999999998</v>
      </c>
      <c r="T111" s="200">
        <f>T62</f>
        <v>202.789075</v>
      </c>
      <c r="U111" s="200">
        <f>U62</f>
        <v>217.99825562499996</v>
      </c>
    </row>
    <row r="112" spans="1:21" x14ac:dyDescent="0.2">
      <c r="A112" s="2" t="s">
        <v>158</v>
      </c>
      <c r="B112" s="8"/>
      <c r="C112" s="200">
        <f>C15</f>
        <v>2020.2329999999997</v>
      </c>
      <c r="D112" s="200">
        <f>D15</f>
        <v>2100.6660000000002</v>
      </c>
      <c r="E112" s="200">
        <f>E15</f>
        <v>2296.8629999999998</v>
      </c>
      <c r="F112" s="200">
        <f t="shared" ref="F112:K112" si="96">SUM(F110:F111)</f>
        <v>2360</v>
      </c>
      <c r="G112" s="200">
        <f t="shared" si="96"/>
        <v>2387.9659999999999</v>
      </c>
      <c r="H112" s="200">
        <f t="shared" si="96"/>
        <v>2465</v>
      </c>
      <c r="I112" s="200">
        <f t="shared" si="96"/>
        <v>2685</v>
      </c>
      <c r="J112" s="200">
        <f t="shared" si="96"/>
        <v>3036</v>
      </c>
      <c r="K112" s="200">
        <f t="shared" si="96"/>
        <v>3362</v>
      </c>
      <c r="L112" s="200">
        <f t="shared" ref="L112:U112" si="97">SUM(L110:L111)</f>
        <v>3454</v>
      </c>
      <c r="M112" s="200">
        <f t="shared" si="97"/>
        <v>3782</v>
      </c>
      <c r="N112" s="200">
        <f t="shared" si="97"/>
        <v>4143</v>
      </c>
      <c r="O112" s="200">
        <f t="shared" si="97"/>
        <v>4316</v>
      </c>
      <c r="P112" s="200">
        <f t="shared" si="97"/>
        <v>4668</v>
      </c>
      <c r="Q112" s="200">
        <f t="shared" si="97"/>
        <v>4751.9780056151376</v>
      </c>
      <c r="R112" s="200">
        <f t="shared" si="97"/>
        <v>4817.0059404115354</v>
      </c>
      <c r="S112" s="200">
        <f t="shared" si="97"/>
        <v>4846.6794417735564</v>
      </c>
      <c r="T112" s="200">
        <f t="shared" si="97"/>
        <v>4867.0795188912634</v>
      </c>
      <c r="U112" s="200">
        <f t="shared" si="97"/>
        <v>4860.4574764024119</v>
      </c>
    </row>
    <row r="113" spans="1:28" x14ac:dyDescent="0.2">
      <c r="A113" s="3" t="s">
        <v>159</v>
      </c>
      <c r="B113" s="8"/>
      <c r="C113" s="217">
        <f>C109-C112+C104</f>
        <v>724.73399999999992</v>
      </c>
      <c r="D113" s="217">
        <f t="shared" ref="D113:K113" si="98">D109-D112+D104</f>
        <v>930.27699999999891</v>
      </c>
      <c r="E113" s="217">
        <f t="shared" si="98"/>
        <v>1148.4110000000001</v>
      </c>
      <c r="F113" s="217">
        <f t="shared" si="98"/>
        <v>1212.5820000000003</v>
      </c>
      <c r="G113" s="217">
        <f t="shared" si="98"/>
        <v>779.55099999999993</v>
      </c>
      <c r="H113" s="217">
        <f t="shared" si="98"/>
        <v>834</v>
      </c>
      <c r="I113" s="217">
        <f t="shared" si="98"/>
        <v>1118</v>
      </c>
      <c r="J113" s="217">
        <f t="shared" si="98"/>
        <v>1249</v>
      </c>
      <c r="K113" s="217">
        <f t="shared" si="98"/>
        <v>1340</v>
      </c>
      <c r="L113" s="217">
        <f t="shared" ref="L113:U113" si="99">L109-L112+L104</f>
        <v>1349</v>
      </c>
      <c r="M113" s="217">
        <f t="shared" si="99"/>
        <v>1317</v>
      </c>
      <c r="N113" s="217">
        <f t="shared" si="99"/>
        <v>1126</v>
      </c>
      <c r="O113" s="217">
        <f t="shared" si="99"/>
        <v>1003</v>
      </c>
      <c r="P113" s="217">
        <f t="shared" si="99"/>
        <v>920</v>
      </c>
      <c r="Q113" s="217">
        <f t="shared" si="99"/>
        <v>739.38445441685838</v>
      </c>
      <c r="R113" s="217">
        <f t="shared" si="99"/>
        <v>676.80447683216426</v>
      </c>
      <c r="S113" s="217">
        <f t="shared" si="99"/>
        <v>635.78773574812828</v>
      </c>
      <c r="T113" s="217">
        <f t="shared" si="99"/>
        <v>597.39620744408114</v>
      </c>
      <c r="U113" s="217">
        <f t="shared" si="99"/>
        <v>572.986235765434</v>
      </c>
      <c r="X113" s="181"/>
    </row>
    <row r="114" spans="1:28" hidden="1" outlineLevel="1" x14ac:dyDescent="0.2">
      <c r="A114" s="2"/>
      <c r="B114" s="8"/>
      <c r="C114" s="200"/>
      <c r="D114" s="200"/>
      <c r="E114" s="200"/>
      <c r="F114" s="200"/>
      <c r="G114" s="200"/>
      <c r="H114" s="200"/>
      <c r="I114" s="200"/>
      <c r="J114" s="200"/>
      <c r="K114" s="200"/>
      <c r="L114" s="200"/>
      <c r="M114" s="200"/>
      <c r="N114" s="200"/>
      <c r="O114" s="200"/>
      <c r="P114" s="200"/>
      <c r="Q114" s="8"/>
      <c r="R114" s="8"/>
      <c r="S114" s="8"/>
      <c r="T114" s="8"/>
      <c r="U114" s="8"/>
      <c r="X114" s="181"/>
    </row>
    <row r="115" spans="1:28" hidden="1" outlineLevel="1" x14ac:dyDescent="0.2">
      <c r="A115" s="2" t="s">
        <v>491</v>
      </c>
      <c r="B115" s="8"/>
      <c r="C115" s="200">
        <f>C18</f>
        <v>77.427999999999997</v>
      </c>
      <c r="D115" s="200">
        <f t="shared" ref="D115:J115" si="100">D18</f>
        <v>45.3</v>
      </c>
      <c r="E115" s="200">
        <f t="shared" si="100"/>
        <v>42.758000000000003</v>
      </c>
      <c r="F115" s="200">
        <f t="shared" si="100"/>
        <v>74.430999999999997</v>
      </c>
      <c r="G115" s="200">
        <f t="shared" si="100"/>
        <v>131</v>
      </c>
      <c r="H115" s="200">
        <f t="shared" si="100"/>
        <v>138</v>
      </c>
      <c r="I115" s="200">
        <f t="shared" si="100"/>
        <v>127</v>
      </c>
      <c r="J115" s="200">
        <f t="shared" si="100"/>
        <v>130</v>
      </c>
      <c r="K115" s="200">
        <f t="shared" ref="K115:T115" si="101">K18</f>
        <v>160</v>
      </c>
      <c r="L115" s="200">
        <f t="shared" si="101"/>
        <v>161</v>
      </c>
      <c r="M115" s="200">
        <f t="shared" si="101"/>
        <v>138</v>
      </c>
      <c r="N115" s="200">
        <f t="shared" si="101"/>
        <v>125</v>
      </c>
      <c r="O115" s="200">
        <f>O18</f>
        <v>122</v>
      </c>
      <c r="P115" s="200">
        <f>P18</f>
        <v>136</v>
      </c>
      <c r="Q115" s="200">
        <f t="shared" si="101"/>
        <v>105</v>
      </c>
      <c r="R115" s="200">
        <f t="shared" si="101"/>
        <v>105</v>
      </c>
      <c r="S115" s="200">
        <f t="shared" si="101"/>
        <v>105</v>
      </c>
      <c r="T115" s="200">
        <f t="shared" si="101"/>
        <v>105</v>
      </c>
      <c r="U115" s="200">
        <f>U18</f>
        <v>105</v>
      </c>
      <c r="X115" s="181"/>
    </row>
    <row r="116" spans="1:28" hidden="1" outlineLevel="1" x14ac:dyDescent="0.2">
      <c r="A116" s="3" t="s">
        <v>160</v>
      </c>
      <c r="B116" s="8"/>
      <c r="C116" s="217">
        <f>C113-C115</f>
        <v>647.30599999999993</v>
      </c>
      <c r="D116" s="217">
        <f t="shared" ref="D116:K116" si="102">D113-D115</f>
        <v>884.97699999999895</v>
      </c>
      <c r="E116" s="217">
        <f t="shared" si="102"/>
        <v>1105.653</v>
      </c>
      <c r="F116" s="217">
        <f t="shared" si="102"/>
        <v>1138.1510000000003</v>
      </c>
      <c r="G116" s="217">
        <f t="shared" si="102"/>
        <v>648.55099999999993</v>
      </c>
      <c r="H116" s="217">
        <f t="shared" si="102"/>
        <v>696</v>
      </c>
      <c r="I116" s="217">
        <f t="shared" si="102"/>
        <v>991</v>
      </c>
      <c r="J116" s="217">
        <f t="shared" si="102"/>
        <v>1119</v>
      </c>
      <c r="K116" s="217">
        <f t="shared" si="102"/>
        <v>1180</v>
      </c>
      <c r="L116" s="217">
        <f t="shared" ref="L116:R116" si="103">L113-L115</f>
        <v>1188</v>
      </c>
      <c r="M116" s="217">
        <f t="shared" si="103"/>
        <v>1179</v>
      </c>
      <c r="N116" s="217">
        <f t="shared" si="103"/>
        <v>1001</v>
      </c>
      <c r="O116" s="217">
        <f>O113-O115</f>
        <v>881</v>
      </c>
      <c r="P116" s="217">
        <f>P113-P115</f>
        <v>784</v>
      </c>
      <c r="Q116" s="217">
        <f t="shared" si="103"/>
        <v>634.38445441685838</v>
      </c>
      <c r="R116" s="217">
        <f t="shared" si="103"/>
        <v>571.80447683216426</v>
      </c>
      <c r="S116" s="217">
        <f>S113-S115</f>
        <v>530.78773574812828</v>
      </c>
      <c r="T116" s="217">
        <f>T113-T115</f>
        <v>492.39620744408114</v>
      </c>
      <c r="U116" s="217">
        <f>U113-U115</f>
        <v>467.986235765434</v>
      </c>
    </row>
    <row r="117" spans="1:28" hidden="1" outlineLevel="1" x14ac:dyDescent="0.2">
      <c r="A117" s="2"/>
      <c r="B117" s="8"/>
      <c r="C117" s="200"/>
      <c r="D117" s="200"/>
      <c r="E117" s="200"/>
      <c r="F117" s="200"/>
      <c r="G117" s="200"/>
      <c r="H117" s="200"/>
      <c r="I117" s="200"/>
      <c r="J117" s="200"/>
      <c r="K117" s="200"/>
      <c r="L117" s="200"/>
      <c r="M117" s="200"/>
      <c r="N117" s="200"/>
      <c r="O117" s="200"/>
      <c r="P117" s="200"/>
      <c r="Q117" s="8"/>
      <c r="R117" s="8"/>
      <c r="S117" s="8"/>
      <c r="T117" s="8"/>
      <c r="U117" s="8"/>
    </row>
    <row r="118" spans="1:28" collapsed="1" x14ac:dyDescent="0.2">
      <c r="A118" s="2" t="s">
        <v>161</v>
      </c>
      <c r="B118" s="8"/>
      <c r="C118" s="200">
        <f>C21</f>
        <v>253.83100000000002</v>
      </c>
      <c r="D118" s="200">
        <f t="shared" ref="D118:J118" si="104">D21</f>
        <v>333.79678224168083</v>
      </c>
      <c r="E118" s="200">
        <f t="shared" si="104"/>
        <v>427.65399999999994</v>
      </c>
      <c r="F118" s="200">
        <f t="shared" si="104"/>
        <v>444.34500000000003</v>
      </c>
      <c r="G118" s="200">
        <f t="shared" si="104"/>
        <v>254</v>
      </c>
      <c r="H118" s="200">
        <f t="shared" si="104"/>
        <v>268</v>
      </c>
      <c r="I118" s="200">
        <f t="shared" si="104"/>
        <v>378</v>
      </c>
      <c r="J118" s="200">
        <f t="shared" si="104"/>
        <v>436</v>
      </c>
      <c r="K118" s="200">
        <f t="shared" ref="K118:P118" si="105">K21</f>
        <v>450</v>
      </c>
      <c r="L118" s="200">
        <f t="shared" si="105"/>
        <v>455</v>
      </c>
      <c r="M118" s="200">
        <f t="shared" si="105"/>
        <v>464.5</v>
      </c>
      <c r="N118" s="200">
        <f t="shared" si="105"/>
        <v>374.26</v>
      </c>
      <c r="O118" s="200">
        <f t="shared" si="105"/>
        <v>330.03999999999996</v>
      </c>
      <c r="P118" s="200">
        <f t="shared" si="105"/>
        <v>309.64999999999998</v>
      </c>
      <c r="Q118" s="200">
        <f>Q116*Q134</f>
        <v>174.40940179727968</v>
      </c>
      <c r="R118" s="200">
        <f>R116*R134</f>
        <v>157.20447759234054</v>
      </c>
      <c r="S118" s="200">
        <f>S116*S134</f>
        <v>145.92786886346437</v>
      </c>
      <c r="T118" s="200">
        <f>T116*T134</f>
        <v>135.37300195433235</v>
      </c>
      <c r="U118" s="200">
        <f>U116*U134</f>
        <v>128.66204217478563</v>
      </c>
    </row>
    <row r="119" spans="1:28" hidden="1" outlineLevel="1" x14ac:dyDescent="0.2">
      <c r="A119" s="2"/>
      <c r="B119" s="8"/>
      <c r="C119" s="200"/>
      <c r="D119" s="200"/>
      <c r="E119" s="200"/>
      <c r="F119" s="200"/>
      <c r="G119" s="200"/>
      <c r="H119" s="200"/>
      <c r="I119" s="200"/>
      <c r="J119" s="200"/>
      <c r="K119" s="200"/>
      <c r="L119" s="200"/>
      <c r="M119" s="200"/>
      <c r="N119" s="200"/>
      <c r="O119" s="200"/>
      <c r="P119" s="200"/>
      <c r="Q119" s="8"/>
      <c r="R119" s="8"/>
      <c r="S119" s="8"/>
      <c r="T119" s="8"/>
      <c r="U119" s="8"/>
    </row>
    <row r="120" spans="1:28" hidden="1" outlineLevel="1" x14ac:dyDescent="0.2">
      <c r="A120" s="2"/>
      <c r="B120" s="8"/>
      <c r="C120" s="200"/>
      <c r="D120" s="200"/>
      <c r="E120" s="200"/>
      <c r="F120" s="200"/>
      <c r="G120" s="200"/>
      <c r="H120" s="200"/>
      <c r="I120" s="200"/>
      <c r="J120" s="200"/>
      <c r="K120" s="200"/>
      <c r="L120" s="200"/>
      <c r="M120" s="200"/>
      <c r="N120" s="200"/>
      <c r="O120" s="200"/>
      <c r="P120" s="200"/>
      <c r="Q120" s="8"/>
      <c r="R120" s="8"/>
      <c r="S120" s="8"/>
      <c r="T120" s="8"/>
      <c r="U120" s="8"/>
    </row>
    <row r="121" spans="1:28" hidden="1" outlineLevel="1" x14ac:dyDescent="0.2">
      <c r="A121" s="2" t="s">
        <v>162</v>
      </c>
      <c r="B121" s="8"/>
      <c r="C121" s="199">
        <f>C116-C118</f>
        <v>393.47499999999991</v>
      </c>
      <c r="D121" s="199">
        <f t="shared" ref="D121:J121" si="106">D116-D118</f>
        <v>551.18021775831812</v>
      </c>
      <c r="E121" s="199">
        <f t="shared" si="106"/>
        <v>677.99900000000002</v>
      </c>
      <c r="F121" s="199">
        <f t="shared" si="106"/>
        <v>693.80600000000027</v>
      </c>
      <c r="G121" s="199">
        <f t="shared" si="106"/>
        <v>394.55099999999993</v>
      </c>
      <c r="H121" s="199">
        <f t="shared" si="106"/>
        <v>428</v>
      </c>
      <c r="I121" s="199">
        <f t="shared" si="106"/>
        <v>613</v>
      </c>
      <c r="J121" s="199">
        <f t="shared" si="106"/>
        <v>683</v>
      </c>
      <c r="K121" s="199">
        <f t="shared" ref="K121:T121" si="107">K116-K118</f>
        <v>730</v>
      </c>
      <c r="L121" s="199">
        <f t="shared" si="107"/>
        <v>733</v>
      </c>
      <c r="M121" s="199">
        <f t="shared" si="107"/>
        <v>714.5</v>
      </c>
      <c r="N121" s="199">
        <f t="shared" si="107"/>
        <v>626.74</v>
      </c>
      <c r="O121" s="199">
        <f>O116-O118</f>
        <v>550.96</v>
      </c>
      <c r="P121" s="199">
        <f>P116-P118</f>
        <v>474.35</v>
      </c>
      <c r="Q121" s="199">
        <f t="shared" si="107"/>
        <v>459.97505261957872</v>
      </c>
      <c r="R121" s="199">
        <f t="shared" si="107"/>
        <v>414.59999923982372</v>
      </c>
      <c r="S121" s="199">
        <f t="shared" si="107"/>
        <v>384.85986688466392</v>
      </c>
      <c r="T121" s="199">
        <f t="shared" si="107"/>
        <v>357.02320548974876</v>
      </c>
      <c r="U121" s="199">
        <f>U116-U118</f>
        <v>339.32419359064841</v>
      </c>
      <c r="V121" s="828">
        <f>12.5*2.85</f>
        <v>35.625</v>
      </c>
      <c r="AB121">
        <f>12.5*2.75</f>
        <v>34.375</v>
      </c>
    </row>
    <row r="122" spans="1:28" hidden="1" outlineLevel="1" x14ac:dyDescent="0.2">
      <c r="A122" s="2"/>
      <c r="B122" s="8"/>
      <c r="C122" s="8"/>
      <c r="D122" s="8"/>
      <c r="E122" s="8"/>
      <c r="F122" s="8"/>
      <c r="G122" s="8"/>
      <c r="H122" s="8"/>
      <c r="I122" s="8"/>
      <c r="J122" s="8"/>
      <c r="K122" s="8"/>
      <c r="L122" s="8"/>
      <c r="M122" s="8"/>
      <c r="N122" s="8"/>
      <c r="O122" s="8"/>
      <c r="P122" s="8"/>
      <c r="Q122" s="8"/>
      <c r="R122" s="8"/>
      <c r="S122" s="8"/>
      <c r="T122" s="8"/>
      <c r="U122" s="8"/>
    </row>
    <row r="123" spans="1:28" collapsed="1" x14ac:dyDescent="0.2">
      <c r="A123" s="14" t="s">
        <v>166</v>
      </c>
      <c r="B123" s="14"/>
      <c r="C123" s="214">
        <f t="shared" ref="C123:J123" si="108">C121/C124</f>
        <v>1.3831814139226841</v>
      </c>
      <c r="D123" s="214">
        <f t="shared" si="108"/>
        <v>1.9842614832034378</v>
      </c>
      <c r="E123" s="214">
        <f t="shared" si="108"/>
        <v>2.5514990549466887</v>
      </c>
      <c r="F123" s="214">
        <f t="shared" si="108"/>
        <v>2.7879678008175377</v>
      </c>
      <c r="G123" s="214">
        <f t="shared" si="108"/>
        <v>1.8013971007875809</v>
      </c>
      <c r="H123" s="214">
        <f t="shared" si="108"/>
        <v>1.9485545185522422</v>
      </c>
      <c r="I123" s="214">
        <f t="shared" si="108"/>
        <v>2.7532000898270828</v>
      </c>
      <c r="J123" s="214">
        <f t="shared" si="108"/>
        <v>3.137705294590559</v>
      </c>
      <c r="K123" s="214">
        <f t="shared" ref="K123:T123" si="109">K121/K124</f>
        <v>3.5316884373488149</v>
      </c>
      <c r="L123" s="214">
        <f t="shared" si="109"/>
        <v>3.7076378351036925</v>
      </c>
      <c r="M123" s="214">
        <f t="shared" si="109"/>
        <v>3.6905991735537191</v>
      </c>
      <c r="N123" s="214">
        <f t="shared" si="109"/>
        <v>3.3021074815595362</v>
      </c>
      <c r="O123" s="214">
        <f>O121/O124</f>
        <v>3.1501429388221847</v>
      </c>
      <c r="P123" s="214">
        <f>P121/P124</f>
        <v>2.8070538805219396</v>
      </c>
      <c r="Q123" s="214">
        <f t="shared" si="109"/>
        <v>2.8163821463500844</v>
      </c>
      <c r="R123" s="214">
        <f t="shared" si="109"/>
        <v>2.627022655313044</v>
      </c>
      <c r="S123" s="214">
        <f t="shared" si="109"/>
        <v>2.5101534646023556</v>
      </c>
      <c r="T123" s="214">
        <f t="shared" si="109"/>
        <v>2.3990068991474591</v>
      </c>
      <c r="U123" s="214">
        <f>U121/U124</f>
        <v>2.351172773175457</v>
      </c>
      <c r="V123" s="595">
        <f>10.5*P123</f>
        <v>29.474065745480367</v>
      </c>
      <c r="X123" s="979"/>
      <c r="Y123" s="979"/>
      <c r="Z123" s="979"/>
      <c r="AA123" s="979"/>
      <c r="AB123" s="979"/>
    </row>
    <row r="124" spans="1:28" x14ac:dyDescent="0.2">
      <c r="A124" s="2" t="s">
        <v>164</v>
      </c>
      <c r="B124" s="8"/>
      <c r="C124" s="200">
        <f>C75</f>
        <v>284.471</v>
      </c>
      <c r="D124" s="200">
        <f t="shared" ref="D124:J124" si="110">D75</f>
        <v>277.77600000000001</v>
      </c>
      <c r="E124" s="200">
        <f t="shared" si="110"/>
        <v>265.72575000000001</v>
      </c>
      <c r="F124" s="200">
        <f t="shared" si="110"/>
        <v>248.85725000000002</v>
      </c>
      <c r="G124" s="200">
        <f t="shared" si="110"/>
        <v>219.02500000000001</v>
      </c>
      <c r="H124" s="200">
        <f t="shared" si="110"/>
        <v>219.65</v>
      </c>
      <c r="I124" s="200">
        <f t="shared" si="110"/>
        <v>222.65</v>
      </c>
      <c r="J124" s="200">
        <f t="shared" si="110"/>
        <v>217.67500000000001</v>
      </c>
      <c r="K124" s="200">
        <f t="shared" ref="K124:U124" si="111">K75</f>
        <v>206.7</v>
      </c>
      <c r="L124" s="200">
        <f t="shared" si="111"/>
        <v>197.7</v>
      </c>
      <c r="M124" s="200">
        <f t="shared" si="111"/>
        <v>193.6</v>
      </c>
      <c r="N124" s="200">
        <f t="shared" si="111"/>
        <v>189.8</v>
      </c>
      <c r="O124" s="200">
        <f t="shared" si="111"/>
        <v>174.89999999999998</v>
      </c>
      <c r="P124" s="200">
        <f>P75</f>
        <v>168.98500000000001</v>
      </c>
      <c r="Q124" s="200">
        <f t="shared" si="111"/>
        <v>163.32124999999999</v>
      </c>
      <c r="R124" s="200">
        <f t="shared" si="111"/>
        <v>157.82124999999999</v>
      </c>
      <c r="S124" s="200">
        <f t="shared" si="111"/>
        <v>153.32124999999999</v>
      </c>
      <c r="T124" s="200">
        <f t="shared" si="111"/>
        <v>148.82124999999999</v>
      </c>
      <c r="U124" s="200">
        <f t="shared" si="111"/>
        <v>144.32124999999999</v>
      </c>
    </row>
    <row r="125" spans="1:28" hidden="1" outlineLevel="1" x14ac:dyDescent="0.2">
      <c r="A125" s="2"/>
      <c r="B125" s="8"/>
      <c r="C125" s="8"/>
      <c r="D125" s="8"/>
      <c r="E125" s="8"/>
      <c r="F125" s="8"/>
      <c r="G125" s="8"/>
      <c r="H125" s="8"/>
      <c r="I125" s="8"/>
      <c r="J125" s="8"/>
      <c r="K125" s="8"/>
      <c r="L125" s="8"/>
      <c r="M125" s="8"/>
      <c r="N125" s="8"/>
      <c r="O125" s="8"/>
      <c r="P125" s="8"/>
      <c r="Q125" s="8"/>
      <c r="R125" s="8"/>
      <c r="S125" s="8"/>
      <c r="T125" s="8"/>
      <c r="U125" s="8"/>
    </row>
    <row r="126" spans="1:28" hidden="1" outlineLevel="1" x14ac:dyDescent="0.2">
      <c r="A126" s="2" t="s">
        <v>490</v>
      </c>
      <c r="B126" s="8"/>
      <c r="C126" s="200">
        <f>C77</f>
        <v>264.76900000000001</v>
      </c>
      <c r="D126" s="200">
        <f t="shared" ref="D126:J126" si="112">D77</f>
        <v>276.32799999999997</v>
      </c>
      <c r="E126" s="200">
        <f t="shared" si="112"/>
        <v>284.52</v>
      </c>
      <c r="F126" s="200">
        <f t="shared" si="112"/>
        <v>269</v>
      </c>
      <c r="G126" s="200">
        <f t="shared" si="112"/>
        <v>302</v>
      </c>
      <c r="H126" s="200">
        <f t="shared" si="112"/>
        <v>313</v>
      </c>
      <c r="I126" s="200">
        <f t="shared" si="112"/>
        <v>327</v>
      </c>
      <c r="J126" s="200">
        <f t="shared" si="112"/>
        <v>371</v>
      </c>
      <c r="K126" s="200">
        <f t="shared" ref="K126:T126" si="113">K77</f>
        <v>429</v>
      </c>
      <c r="L126" s="200">
        <f t="shared" si="113"/>
        <v>454</v>
      </c>
      <c r="M126" s="200">
        <f t="shared" si="113"/>
        <v>508</v>
      </c>
      <c r="N126" s="200">
        <f t="shared" si="113"/>
        <v>576</v>
      </c>
      <c r="O126" s="200">
        <f>O77</f>
        <v>645</v>
      </c>
      <c r="P126" s="200">
        <f>P77</f>
        <v>666</v>
      </c>
      <c r="Q126" s="200">
        <f t="shared" si="113"/>
        <v>642</v>
      </c>
      <c r="R126" s="200">
        <f t="shared" si="113"/>
        <v>632</v>
      </c>
      <c r="S126" s="200">
        <f t="shared" si="113"/>
        <v>622</v>
      </c>
      <c r="T126" s="200">
        <f t="shared" si="113"/>
        <v>612</v>
      </c>
      <c r="U126" s="200">
        <f>U77</f>
        <v>602</v>
      </c>
    </row>
    <row r="127" spans="1:28" hidden="1" outlineLevel="1" x14ac:dyDescent="0.2">
      <c r="A127" s="2" t="s">
        <v>169</v>
      </c>
      <c r="B127" s="8"/>
      <c r="C127" s="199">
        <f>C126+C113</f>
        <v>989.50299999999993</v>
      </c>
      <c r="D127" s="199">
        <f t="shared" ref="D127:K127" si="114">D126+D113</f>
        <v>1206.6049999999989</v>
      </c>
      <c r="E127" s="199">
        <f t="shared" si="114"/>
        <v>1432.931</v>
      </c>
      <c r="F127" s="199">
        <f t="shared" si="114"/>
        <v>1481.5820000000003</v>
      </c>
      <c r="G127" s="199">
        <f t="shared" si="114"/>
        <v>1081.5509999999999</v>
      </c>
      <c r="H127" s="199">
        <f t="shared" si="114"/>
        <v>1147</v>
      </c>
      <c r="I127" s="199">
        <f t="shared" si="114"/>
        <v>1445</v>
      </c>
      <c r="J127" s="199">
        <f t="shared" si="114"/>
        <v>1620</v>
      </c>
      <c r="K127" s="199">
        <f t="shared" si="114"/>
        <v>1769</v>
      </c>
      <c r="L127" s="199">
        <f t="shared" ref="L127:T127" si="115">L126+L113</f>
        <v>1803</v>
      </c>
      <c r="M127" s="199">
        <f t="shared" si="115"/>
        <v>1825</v>
      </c>
      <c r="N127" s="199">
        <f t="shared" si="115"/>
        <v>1702</v>
      </c>
      <c r="O127" s="199">
        <f>O126+O113</f>
        <v>1648</v>
      </c>
      <c r="P127" s="199">
        <f>P126+P113</f>
        <v>1586</v>
      </c>
      <c r="Q127" s="199">
        <f t="shared" si="115"/>
        <v>1381.3844544168583</v>
      </c>
      <c r="R127" s="199">
        <f t="shared" si="115"/>
        <v>1308.8044768321643</v>
      </c>
      <c r="S127" s="199">
        <f t="shared" si="115"/>
        <v>1257.7877357481284</v>
      </c>
      <c r="T127" s="199">
        <f t="shared" si="115"/>
        <v>1209.396207444081</v>
      </c>
      <c r="U127" s="199">
        <f>U126+U113</f>
        <v>1174.986235765434</v>
      </c>
    </row>
    <row r="128" spans="1:28" collapsed="1" x14ac:dyDescent="0.2">
      <c r="A128" s="2"/>
      <c r="B128" s="8"/>
      <c r="C128" s="8"/>
      <c r="D128" s="8"/>
      <c r="E128" s="8"/>
      <c r="F128" s="8"/>
      <c r="G128" s="8"/>
      <c r="H128" s="8"/>
      <c r="I128" s="8"/>
      <c r="J128" s="232"/>
      <c r="K128" s="232"/>
      <c r="L128" s="232"/>
      <c r="M128" s="232"/>
      <c r="N128" s="232"/>
      <c r="O128" s="232"/>
      <c r="P128" s="232"/>
      <c r="Q128" s="246"/>
      <c r="R128" s="246"/>
      <c r="S128" s="246"/>
      <c r="T128" s="246"/>
      <c r="U128" s="246"/>
    </row>
    <row r="129" spans="1:31" x14ac:dyDescent="0.2">
      <c r="A129" s="5" t="s">
        <v>170</v>
      </c>
      <c r="B129" s="8"/>
      <c r="C129" s="8"/>
      <c r="D129" s="8"/>
      <c r="E129" s="8"/>
      <c r="F129" s="8"/>
      <c r="G129" s="8"/>
      <c r="H129" s="8"/>
      <c r="I129" s="8"/>
      <c r="J129" s="183"/>
      <c r="K129" s="183"/>
      <c r="L129" s="183"/>
      <c r="M129" s="183"/>
      <c r="N129" s="183"/>
      <c r="O129" s="183"/>
      <c r="P129" s="183"/>
      <c r="Q129" s="183"/>
      <c r="R129" s="183"/>
      <c r="S129" s="183"/>
      <c r="T129" s="183"/>
      <c r="U129" s="183"/>
    </row>
    <row r="130" spans="1:31" x14ac:dyDescent="0.2">
      <c r="A130" s="2" t="s">
        <v>171</v>
      </c>
      <c r="B130" s="8"/>
      <c r="C130" s="7">
        <f>C109/C103</f>
        <v>0.36066134439275915</v>
      </c>
      <c r="D130" s="7">
        <f t="shared" ref="D130:K130" si="116">D109/D103</f>
        <v>0.36705055232607814</v>
      </c>
      <c r="E130" s="7">
        <f t="shared" si="116"/>
        <v>0.37458966546886713</v>
      </c>
      <c r="F130" s="7">
        <f t="shared" si="116"/>
        <v>0.37400380207376371</v>
      </c>
      <c r="G130" s="7">
        <f t="shared" si="116"/>
        <v>0.34513532746351461</v>
      </c>
      <c r="H130" s="7">
        <f t="shared" si="116"/>
        <v>0.3548074594332768</v>
      </c>
      <c r="I130" s="7">
        <f t="shared" si="116"/>
        <v>0.36659505907626211</v>
      </c>
      <c r="J130" s="7">
        <f t="shared" si="116"/>
        <v>0.37201105077641233</v>
      </c>
      <c r="K130" s="7">
        <f t="shared" si="116"/>
        <v>0.36813467097432412</v>
      </c>
      <c r="L130" s="7">
        <f>L109/L103</f>
        <v>0.3640473450600033</v>
      </c>
      <c r="M130" s="7">
        <f>M109/M103</f>
        <v>0.35878270154831821</v>
      </c>
      <c r="N130" s="7">
        <f>N109/N103</f>
        <v>0.34955658034764103</v>
      </c>
      <c r="O130" s="7">
        <f>O109/O103</f>
        <v>0.34898958548865439</v>
      </c>
      <c r="P130" s="7">
        <f>P109/P103</f>
        <v>0.3466340754442756</v>
      </c>
      <c r="Q130" s="229">
        <f>Q33-0.003</f>
        <v>0.34424074714771191</v>
      </c>
      <c r="R130" s="229">
        <f>R33-0.004</f>
        <v>0.34060000000000001</v>
      </c>
      <c r="S130" s="229">
        <f>S33-0.004</f>
        <v>0.33759999999999996</v>
      </c>
      <c r="T130" s="229">
        <f>T33-0.004</f>
        <v>0.33449999999999996</v>
      </c>
      <c r="U130" s="229">
        <f>U33-0.004</f>
        <v>0.33250000000000002</v>
      </c>
      <c r="W130">
        <f>11*3.05</f>
        <v>33.549999999999997</v>
      </c>
    </row>
    <row r="131" spans="1:31" x14ac:dyDescent="0.2">
      <c r="A131" s="2" t="s">
        <v>475</v>
      </c>
      <c r="B131" s="8"/>
      <c r="C131" s="230" t="s">
        <v>83</v>
      </c>
      <c r="D131" s="230" t="s">
        <v>83</v>
      </c>
      <c r="E131" s="230" t="s">
        <v>83</v>
      </c>
      <c r="F131" s="7">
        <f t="shared" ref="F131:K131" si="117">F110/F103</f>
        <v>0.2472865875968841</v>
      </c>
      <c r="G131" s="7">
        <f t="shared" si="117"/>
        <v>0.25497117356169341</v>
      </c>
      <c r="H131" s="7">
        <f t="shared" si="117"/>
        <v>0.25538871397432794</v>
      </c>
      <c r="I131" s="7">
        <f t="shared" si="117"/>
        <v>0.25907626208378087</v>
      </c>
      <c r="J131" s="7">
        <f t="shared" si="117"/>
        <v>0.26740973611508051</v>
      </c>
      <c r="K131" s="7">
        <f t="shared" si="117"/>
        <v>0.2696820268661792</v>
      </c>
      <c r="L131" s="7">
        <f>L110/L103</f>
        <v>0.26894624362978792</v>
      </c>
      <c r="M131" s="7">
        <f>M110/M103</f>
        <v>0.27373960796277935</v>
      </c>
      <c r="N131" s="7">
        <f>N110/N103</f>
        <v>0.28059595601277049</v>
      </c>
      <c r="O131" s="7">
        <f>O110/O103</f>
        <v>0.28643354714118213</v>
      </c>
      <c r="P131" s="7">
        <f>P110/P103</f>
        <v>0.2978133051463302</v>
      </c>
      <c r="Q131" s="229">
        <f>Q34+0.003</f>
        <v>0.30869584758174173</v>
      </c>
      <c r="R131" s="229">
        <f>R34+0.003</f>
        <v>0.3105</v>
      </c>
      <c r="S131" s="229">
        <f>S34+0.003</f>
        <v>0.31140000000000001</v>
      </c>
      <c r="T131" s="229">
        <f>T34+0.003</f>
        <v>0.312</v>
      </c>
      <c r="U131" s="229">
        <f>U34+0.003</f>
        <v>0.31280000000000002</v>
      </c>
      <c r="V131">
        <f>10.5*2.2</f>
        <v>23.1</v>
      </c>
    </row>
    <row r="132" spans="1:31" x14ac:dyDescent="0.2">
      <c r="A132" s="2" t="s">
        <v>499</v>
      </c>
      <c r="B132" s="8"/>
      <c r="C132" s="7">
        <f>C112/C105</f>
        <v>0.27657924621681174</v>
      </c>
      <c r="D132" s="7">
        <f t="shared" ref="D132:J132" si="118">D112/D105</f>
        <v>0.26527023856397414</v>
      </c>
      <c r="E132" s="7">
        <f t="shared" si="118"/>
        <v>0.26103020687167489</v>
      </c>
      <c r="F132" s="7">
        <f t="shared" si="118"/>
        <v>0.25937600288390944</v>
      </c>
      <c r="G132" s="7">
        <f t="shared" si="118"/>
        <v>0.27776736070722347</v>
      </c>
      <c r="H132" s="7">
        <f t="shared" si="118"/>
        <v>0.2857308450214443</v>
      </c>
      <c r="I132" s="7">
        <f t="shared" si="118"/>
        <v>0.27680412371134022</v>
      </c>
      <c r="J132" s="7">
        <f t="shared" si="118"/>
        <v>0.27912108118047257</v>
      </c>
      <c r="K132" s="7">
        <f t="shared" ref="K132:U132" si="119">K112/K105</f>
        <v>0.27707268831382892</v>
      </c>
      <c r="L132" s="7">
        <f t="shared" si="119"/>
        <v>0.27543859649122809</v>
      </c>
      <c r="M132" s="7">
        <f t="shared" si="119"/>
        <v>0.28002369317340442</v>
      </c>
      <c r="N132" s="7">
        <f t="shared" si="119"/>
        <v>0.28697097734986493</v>
      </c>
      <c r="O132" s="7">
        <f t="shared" si="119"/>
        <v>0.29245155170077247</v>
      </c>
      <c r="P132" s="7">
        <f>P112/P105</f>
        <v>0.30158935262953868</v>
      </c>
      <c r="Q132" s="7">
        <f t="shared" si="119"/>
        <v>0.3118596221495068</v>
      </c>
      <c r="R132" s="7">
        <f t="shared" si="119"/>
        <v>0.31382893510222604</v>
      </c>
      <c r="S132" s="7">
        <f t="shared" si="119"/>
        <v>0.31494398149332264</v>
      </c>
      <c r="T132" s="7">
        <f t="shared" si="119"/>
        <v>0.31576799079063023</v>
      </c>
      <c r="U132" s="7">
        <f t="shared" si="119"/>
        <v>0.31684392692627239</v>
      </c>
    </row>
    <row r="133" spans="1:31" x14ac:dyDescent="0.2">
      <c r="A133" s="2" t="s">
        <v>173</v>
      </c>
      <c r="B133" s="8"/>
      <c r="C133" s="7">
        <f t="shared" ref="C133:K133" si="120">C113/C105</f>
        <v>9.9219438266623133E-2</v>
      </c>
      <c r="D133" s="7">
        <f t="shared" si="120"/>
        <v>0.11747455412739477</v>
      </c>
      <c r="E133" s="7">
        <f t="shared" si="120"/>
        <v>0.13051277368467648</v>
      </c>
      <c r="F133" s="7">
        <f t="shared" si="120"/>
        <v>0.13326892895295625</v>
      </c>
      <c r="G133" s="7">
        <f t="shared" si="120"/>
        <v>9.0677096661626141E-2</v>
      </c>
      <c r="H133" s="7">
        <f t="shared" si="120"/>
        <v>9.6673235191839568E-2</v>
      </c>
      <c r="I133" s="7">
        <f t="shared" si="120"/>
        <v>0.11525773195876289</v>
      </c>
      <c r="J133" s="7">
        <f t="shared" si="120"/>
        <v>0.11482945665165027</v>
      </c>
      <c r="K133" s="7">
        <f t="shared" si="120"/>
        <v>0.11043349266523818</v>
      </c>
      <c r="L133" s="7">
        <f t="shared" ref="L133:U133" si="121">L113/L105</f>
        <v>0.10757575757575757</v>
      </c>
      <c r="M133" s="7">
        <f t="shared" si="121"/>
        <v>9.7512216792536646E-2</v>
      </c>
      <c r="N133" s="7">
        <f t="shared" si="121"/>
        <v>7.7994043083743164E-2</v>
      </c>
      <c r="O133" s="7">
        <f t="shared" si="121"/>
        <v>6.7963138636671638E-2</v>
      </c>
      <c r="P133" s="7">
        <f t="shared" si="121"/>
        <v>5.9439204031528622E-2</v>
      </c>
      <c r="Q133" s="7">
        <f t="shared" si="121"/>
        <v>4.8523826563421114E-2</v>
      </c>
      <c r="R133" s="7">
        <f t="shared" si="121"/>
        <v>4.4093951899613203E-2</v>
      </c>
      <c r="S133" s="7">
        <f t="shared" si="121"/>
        <v>4.1314372713675218E-2</v>
      </c>
      <c r="T133" s="7">
        <f t="shared" si="121"/>
        <v>3.8758068241616178E-2</v>
      </c>
      <c r="U133" s="7">
        <f t="shared" si="121"/>
        <v>3.7351876833824238E-2</v>
      </c>
    </row>
    <row r="134" spans="1:31" x14ac:dyDescent="0.2">
      <c r="A134" s="2" t="s">
        <v>175</v>
      </c>
      <c r="B134" s="8"/>
      <c r="C134" s="7">
        <f>C118/C116</f>
        <v>0.39213447735692247</v>
      </c>
      <c r="D134" s="7">
        <f t="shared" ref="D134:J134" si="122">D118/D116</f>
        <v>0.37718130780989928</v>
      </c>
      <c r="E134" s="7">
        <f t="shared" si="122"/>
        <v>0.38678862174660578</v>
      </c>
      <c r="F134" s="7">
        <f t="shared" si="122"/>
        <v>0.39040953265427863</v>
      </c>
      <c r="G134" s="7">
        <f t="shared" si="122"/>
        <v>0.39164229181668059</v>
      </c>
      <c r="H134" s="7">
        <f t="shared" si="122"/>
        <v>0.38505747126436779</v>
      </c>
      <c r="I134" s="7">
        <f t="shared" si="122"/>
        <v>0.38143289606458125</v>
      </c>
      <c r="J134" s="7">
        <f t="shared" si="122"/>
        <v>0.3896336014298481</v>
      </c>
      <c r="K134" s="7">
        <f t="shared" ref="K134:P134" si="123">K118/K116</f>
        <v>0.38135593220338981</v>
      </c>
      <c r="L134" s="7">
        <f t="shared" si="123"/>
        <v>0.382996632996633</v>
      </c>
      <c r="M134" s="7">
        <f t="shared" si="123"/>
        <v>0.39397794741306191</v>
      </c>
      <c r="N134" s="7">
        <f t="shared" si="123"/>
        <v>0.37388611388611387</v>
      </c>
      <c r="O134" s="7">
        <f t="shared" si="123"/>
        <v>0.37461975028376843</v>
      </c>
      <c r="P134" s="7">
        <f t="shared" si="123"/>
        <v>0.39496173469387752</v>
      </c>
      <c r="Q134" s="7">
        <f>Q85</f>
        <v>0.27492697934661886</v>
      </c>
      <c r="R134" s="7">
        <f>R85</f>
        <v>0.27492697934661869</v>
      </c>
      <c r="S134" s="7">
        <f>S85</f>
        <v>0.27492697934661908</v>
      </c>
      <c r="T134" s="7">
        <f>T85</f>
        <v>0.27492697934661886</v>
      </c>
      <c r="U134" s="7">
        <f>U85</f>
        <v>0.27492697934661942</v>
      </c>
      <c r="W134" s="21">
        <f>P123*11</f>
        <v>30.877592685741334</v>
      </c>
      <c r="Y134">
        <f>12.5*3.65</f>
        <v>45.625</v>
      </c>
      <c r="Z134" s="233">
        <f>45/49-1</f>
        <v>-8.1632653061224469E-2</v>
      </c>
    </row>
    <row r="135" spans="1:31" x14ac:dyDescent="0.2">
      <c r="A135" s="2"/>
      <c r="B135" s="8"/>
      <c r="C135" s="8"/>
      <c r="D135" s="8"/>
      <c r="E135" s="8"/>
      <c r="F135" s="8"/>
      <c r="G135" s="8"/>
      <c r="H135" s="8"/>
      <c r="I135" s="8"/>
      <c r="J135" s="8"/>
      <c r="K135" s="8"/>
      <c r="L135" s="8"/>
      <c r="M135" s="8"/>
      <c r="N135" s="8"/>
      <c r="O135" s="8"/>
      <c r="P135" s="8"/>
      <c r="Q135" s="8"/>
      <c r="R135" s="8"/>
      <c r="S135" s="8"/>
      <c r="T135" s="8"/>
      <c r="U135" s="8"/>
      <c r="AE135">
        <f>60/3.2</f>
        <v>18.75</v>
      </c>
    </row>
    <row r="136" spans="1:31" x14ac:dyDescent="0.2">
      <c r="A136" s="5" t="s">
        <v>178</v>
      </c>
      <c r="B136" s="8"/>
      <c r="C136" s="8"/>
      <c r="D136" s="8"/>
      <c r="E136" s="8"/>
      <c r="F136" s="8"/>
      <c r="G136" s="8"/>
      <c r="H136" s="8"/>
      <c r="I136" s="8"/>
      <c r="J136" s="8"/>
      <c r="K136" s="8"/>
      <c r="L136" s="8"/>
      <c r="M136" s="8"/>
      <c r="N136" s="8"/>
      <c r="O136" s="8"/>
      <c r="P136" s="8"/>
      <c r="Q136" s="8"/>
      <c r="R136" s="8"/>
      <c r="S136" s="8"/>
      <c r="T136" s="8"/>
      <c r="U136" s="8"/>
    </row>
    <row r="137" spans="1:31" x14ac:dyDescent="0.2">
      <c r="A137" s="2" t="str">
        <f t="shared" ref="A137:A146" si="124">A88</f>
        <v>Retail Sales</v>
      </c>
      <c r="B137" s="8"/>
      <c r="C137" s="81" t="str">
        <f>C88</f>
        <v>NA</v>
      </c>
      <c r="D137" s="81">
        <f>D103/C103-1</f>
        <v>8.2900681814389365E-2</v>
      </c>
      <c r="E137" s="81">
        <f t="shared" ref="D137:U138" si="125">E103/D103-1</f>
        <v>0.10852364459071628</v>
      </c>
      <c r="F137" s="81">
        <f t="shared" si="125"/>
        <v>3.1202595863094373E-2</v>
      </c>
      <c r="G137" s="81">
        <f t="shared" si="125"/>
        <v>-6.0809391770148324E-2</v>
      </c>
      <c r="H137" s="81">
        <f t="shared" si="125"/>
        <v>-3.9802195151369402E-3</v>
      </c>
      <c r="I137" s="81">
        <f t="shared" si="125"/>
        <v>0.1273916202470331</v>
      </c>
      <c r="J137" s="81">
        <f t="shared" si="125"/>
        <v>0.12749731471535974</v>
      </c>
      <c r="K137" s="81">
        <f t="shared" si="125"/>
        <v>0.12051062208249985</v>
      </c>
      <c r="L137" s="81">
        <f t="shared" ref="L137:O138" si="126">L103/K103-1</f>
        <v>3.4347900017003941E-2</v>
      </c>
      <c r="M137" s="81">
        <f t="shared" si="126"/>
        <v>7.7675489067894121E-2</v>
      </c>
      <c r="N137" s="81">
        <f t="shared" si="126"/>
        <v>7.5051483487148296E-2</v>
      </c>
      <c r="O137" s="81">
        <f t="shared" si="126"/>
        <v>2.8662646328485364E-2</v>
      </c>
      <c r="P137" s="81">
        <f t="shared" ref="P137:U137" si="127">P140+P147</f>
        <v>4.4003034692047693E-2</v>
      </c>
      <c r="Q137" s="81">
        <f t="shared" si="127"/>
        <v>-1.8137375057770234E-2</v>
      </c>
      <c r="R137" s="81">
        <f t="shared" si="127"/>
        <v>5.6153778310693778E-3</v>
      </c>
      <c r="S137" s="81">
        <f t="shared" si="127"/>
        <v>6.445162092215892E-4</v>
      </c>
      <c r="T137" s="81">
        <f t="shared" si="127"/>
        <v>-3.9429360453744483E-4</v>
      </c>
      <c r="U137" s="81">
        <f t="shared" si="127"/>
        <v>-7.2260766689248093E-3</v>
      </c>
      <c r="W137" s="21">
        <f>W134/45-1</f>
        <v>-0.31383127365019259</v>
      </c>
    </row>
    <row r="138" spans="1:31" x14ac:dyDescent="0.2">
      <c r="A138" s="2" t="str">
        <f t="shared" si="124"/>
        <v>Credit Revenues</v>
      </c>
      <c r="B138" s="8"/>
      <c r="C138" s="81" t="str">
        <f>C89</f>
        <v>NA</v>
      </c>
      <c r="D138" s="81">
        <f t="shared" si="125"/>
        <v>0.13537486556186451</v>
      </c>
      <c r="E138" s="81">
        <f t="shared" si="125"/>
        <v>0.21477026187396242</v>
      </c>
      <c r="F138" s="81">
        <f t="shared" si="125"/>
        <v>0.13592285923907355</v>
      </c>
      <c r="G138" s="81">
        <f t="shared" si="125"/>
        <v>0.12937633329150455</v>
      </c>
      <c r="H138" s="81">
        <f t="shared" si="125"/>
        <v>0.20588235294117641</v>
      </c>
      <c r="I138" s="81">
        <f t="shared" si="125"/>
        <v>5.6910569105691033E-2</v>
      </c>
      <c r="J138" s="81">
        <f t="shared" si="125"/>
        <v>-2.5641025641025661E-2</v>
      </c>
      <c r="K138" s="81">
        <f t="shared" si="125"/>
        <v>-2.1052631578947323E-2</v>
      </c>
      <c r="L138" s="81">
        <f t="shared" si="126"/>
        <v>5.3763440860215006E-3</v>
      </c>
      <c r="M138" s="81">
        <f t="shared" si="126"/>
        <v>5.6149732620320858E-2</v>
      </c>
      <c r="N138" s="81">
        <f t="shared" si="126"/>
        <v>-0.13417721518987347</v>
      </c>
      <c r="O138" s="81">
        <f t="shared" si="126"/>
        <v>-0.24269005847953218</v>
      </c>
      <c r="P138" s="81">
        <f t="shared" si="125"/>
        <v>0.31660231660231664</v>
      </c>
      <c r="Q138" s="81">
        <f t="shared" si="125"/>
        <v>0.10000000000000009</v>
      </c>
      <c r="R138" s="81">
        <f t="shared" si="125"/>
        <v>7.4999999999999956E-2</v>
      </c>
      <c r="S138" s="81">
        <f t="shared" si="125"/>
        <v>7.4999999999999956E-2</v>
      </c>
      <c r="T138" s="81">
        <f t="shared" si="125"/>
        <v>7.0000000000000062E-2</v>
      </c>
      <c r="U138" s="81">
        <f t="shared" si="125"/>
        <v>7.4999999999999956E-2</v>
      </c>
    </row>
    <row r="139" spans="1:31" x14ac:dyDescent="0.2">
      <c r="A139" s="2" t="str">
        <f t="shared" si="124"/>
        <v>Total Sales</v>
      </c>
      <c r="B139" s="8"/>
      <c r="C139" s="81" t="s">
        <v>83</v>
      </c>
      <c r="D139" s="7">
        <f>((D105/C105)-1)</f>
        <v>8.4143089978512942E-2</v>
      </c>
      <c r="E139" s="7">
        <f t="shared" ref="E139:K139" si="128">((E105/D105)-1)</f>
        <v>0.11115807291002389</v>
      </c>
      <c r="F139" s="7">
        <f t="shared" si="128"/>
        <v>3.4041301146703562E-2</v>
      </c>
      <c r="G139" s="7">
        <f t="shared" si="128"/>
        <v>-5.5145975935182445E-2</v>
      </c>
      <c r="H139" s="7">
        <f t="shared" si="128"/>
        <v>3.489589391648229E-3</v>
      </c>
      <c r="I139" s="7">
        <f t="shared" si="128"/>
        <v>0.12437695606815802</v>
      </c>
      <c r="J139" s="7">
        <f t="shared" si="128"/>
        <v>0.12134020618556707</v>
      </c>
      <c r="K139" s="7">
        <f t="shared" si="128"/>
        <v>0.11556495357175689</v>
      </c>
      <c r="L139" s="7">
        <f>((L105/K105)-1)</f>
        <v>3.3459700016482685E-2</v>
      </c>
      <c r="M139" s="7">
        <f>((M105/L105)-1)</f>
        <v>7.7033492822966565E-2</v>
      </c>
      <c r="N139" s="7">
        <f>((N105/M105)-1)</f>
        <v>6.8932326373463582E-2</v>
      </c>
      <c r="O139" s="7">
        <f>((O105/N105)-1)</f>
        <v>2.2234536260996141E-2</v>
      </c>
      <c r="P139" s="7">
        <f t="shared" ref="P139:U139" si="129">((P105/O105)-1)</f>
        <v>4.8787098522835137E-2</v>
      </c>
      <c r="Q139" s="7">
        <f t="shared" si="129"/>
        <v>-1.5534658628341469E-2</v>
      </c>
      <c r="R139" s="7">
        <f t="shared" si="129"/>
        <v>7.323405958795437E-3</v>
      </c>
      <c r="S139" s="7">
        <f t="shared" si="129"/>
        <v>2.5978853989012674E-3</v>
      </c>
      <c r="T139" s="7">
        <f t="shared" si="129"/>
        <v>1.5885591494253504E-3</v>
      </c>
      <c r="U139" s="7">
        <f t="shared" si="129"/>
        <v>-4.7517501995606448E-3</v>
      </c>
      <c r="W139">
        <f>10.5*3</f>
        <v>31.5</v>
      </c>
    </row>
    <row r="140" spans="1:31" x14ac:dyDescent="0.2">
      <c r="A140" s="2" t="str">
        <f t="shared" si="124"/>
        <v>Comparable Store Sales</v>
      </c>
      <c r="B140" s="8"/>
      <c r="C140" s="7">
        <f t="shared" ref="C140:K140" si="130">C43</f>
        <v>8.5000000000000006E-2</v>
      </c>
      <c r="D140" s="7">
        <f t="shared" si="130"/>
        <v>0.06</v>
      </c>
      <c r="E140" s="7">
        <f t="shared" si="130"/>
        <v>7.4999999999999997E-2</v>
      </c>
      <c r="F140" s="7">
        <f t="shared" si="130"/>
        <v>3.9E-2</v>
      </c>
      <c r="G140" s="7">
        <f t="shared" si="130"/>
        <v>-0.09</v>
      </c>
      <c r="H140" s="7">
        <f t="shared" si="130"/>
        <v>-4.2000000000000003E-2</v>
      </c>
      <c r="I140" s="7">
        <f t="shared" si="130"/>
        <v>8.1000000000000003E-2</v>
      </c>
      <c r="J140" s="7">
        <f t="shared" si="130"/>
        <v>7.2000000000000008E-2</v>
      </c>
      <c r="K140" s="7">
        <f t="shared" si="130"/>
        <v>7.2999999999999995E-2</v>
      </c>
      <c r="L140" s="7">
        <f>L43</f>
        <v>2.5000000000000001E-2</v>
      </c>
      <c r="M140" s="7">
        <f>M43</f>
        <v>0.04</v>
      </c>
      <c r="N140" s="7">
        <f>N43</f>
        <v>2.7000000000000003E-2</v>
      </c>
      <c r="O140" s="7">
        <f>O43</f>
        <v>-4.0000000000000001E-3</v>
      </c>
      <c r="P140" s="7">
        <f>P43</f>
        <v>8.0000000000000002E-3</v>
      </c>
      <c r="Q140" s="218">
        <v>-0.02</v>
      </c>
      <c r="R140" s="218">
        <v>-0.02</v>
      </c>
      <c r="S140" s="218">
        <v>-0.02</v>
      </c>
      <c r="T140" s="218">
        <v>-0.02</v>
      </c>
      <c r="U140" s="218">
        <v>-0.02</v>
      </c>
    </row>
    <row r="141" spans="1:31" x14ac:dyDescent="0.2">
      <c r="A141" s="2" t="str">
        <f t="shared" si="124"/>
        <v>Retail SG&amp;A</v>
      </c>
      <c r="B141" s="8"/>
      <c r="C141" s="231" t="s">
        <v>83</v>
      </c>
      <c r="D141" s="231" t="s">
        <v>83</v>
      </c>
      <c r="E141" s="231" t="s">
        <v>83</v>
      </c>
      <c r="F141" s="231" t="s">
        <v>83</v>
      </c>
      <c r="G141" s="185">
        <f t="shared" ref="G141:U141" si="131">((G110/F110)-1)</f>
        <v>-3.1623453962437043E-2</v>
      </c>
      <c r="H141" s="185">
        <f t="shared" si="131"/>
        <v>-2.3491390116964217E-3</v>
      </c>
      <c r="I141" s="185">
        <f t="shared" si="131"/>
        <v>0.14366998577524903</v>
      </c>
      <c r="J141" s="185">
        <f t="shared" si="131"/>
        <v>0.1637645107794361</v>
      </c>
      <c r="K141" s="185">
        <f t="shared" si="131"/>
        <v>0.13003206270039191</v>
      </c>
      <c r="L141" s="185">
        <f>((L110/K110)-1)</f>
        <v>3.1525851197982346E-2</v>
      </c>
      <c r="M141" s="185">
        <f>((M110/L110)-1)</f>
        <v>9.6882640586797075E-2</v>
      </c>
      <c r="N141" s="185">
        <f>((N110/M110)-1)</f>
        <v>0.10197826692672063</v>
      </c>
      <c r="O141" s="185">
        <f>((O110/N110)-1)</f>
        <v>5.0063211125157991E-2</v>
      </c>
      <c r="P141" s="185">
        <f t="shared" si="131"/>
        <v>8.5480375632073224E-2</v>
      </c>
      <c r="Q141" s="185">
        <f t="shared" si="131"/>
        <v>1.7741349958992458E-2</v>
      </c>
      <c r="R141" s="185">
        <f t="shared" si="131"/>
        <v>1.1492630246235924E-2</v>
      </c>
      <c r="S141" s="185">
        <f t="shared" si="131"/>
        <v>3.5449350967844406E-3</v>
      </c>
      <c r="T141" s="185">
        <f t="shared" si="131"/>
        <v>1.5317289511378451E-3</v>
      </c>
      <c r="U141" s="185">
        <f t="shared" si="131"/>
        <v>-4.6805025065373984E-3</v>
      </c>
    </row>
    <row r="142" spans="1:31" x14ac:dyDescent="0.2">
      <c r="A142" s="2" t="str">
        <f t="shared" si="124"/>
        <v>SG&amp;A Expense</v>
      </c>
      <c r="B142" s="8"/>
      <c r="C142" s="231" t="s">
        <v>83</v>
      </c>
      <c r="D142" s="185">
        <f t="shared" ref="D142:U142" si="132">((D112/C112)-1)</f>
        <v>3.9813724456535748E-2</v>
      </c>
      <c r="E142" s="185">
        <f t="shared" si="132"/>
        <v>9.3397522500006991E-2</v>
      </c>
      <c r="F142" s="185">
        <f t="shared" si="132"/>
        <v>2.7488361299738084E-2</v>
      </c>
      <c r="G142" s="185">
        <f t="shared" si="132"/>
        <v>1.1849999999999916E-2</v>
      </c>
      <c r="H142" s="185">
        <f t="shared" si="132"/>
        <v>3.2259253272450383E-2</v>
      </c>
      <c r="I142" s="185">
        <f t="shared" si="132"/>
        <v>8.9249492900608463E-2</v>
      </c>
      <c r="J142" s="185">
        <f t="shared" si="132"/>
        <v>0.13072625698324014</v>
      </c>
      <c r="K142" s="185">
        <f t="shared" si="132"/>
        <v>0.10737812911725952</v>
      </c>
      <c r="L142" s="185">
        <f t="shared" ref="L142:O143" si="133">((L112/K112)-1)</f>
        <v>2.7364663890541374E-2</v>
      </c>
      <c r="M142" s="185">
        <f t="shared" si="133"/>
        <v>9.4962362478286044E-2</v>
      </c>
      <c r="N142" s="185">
        <f t="shared" si="133"/>
        <v>9.5452141723955553E-2</v>
      </c>
      <c r="O142" s="185">
        <f t="shared" si="133"/>
        <v>4.1757180786869519E-2</v>
      </c>
      <c r="P142" s="185">
        <f t="shared" si="132"/>
        <v>8.1556997219647931E-2</v>
      </c>
      <c r="Q142" s="185">
        <f t="shared" si="132"/>
        <v>1.7990146875564994E-2</v>
      </c>
      <c r="R142" s="185">
        <f t="shared" si="132"/>
        <v>1.3684393050548138E-2</v>
      </c>
      <c r="S142" s="185">
        <f t="shared" si="132"/>
        <v>6.1601546124492312E-3</v>
      </c>
      <c r="T142" s="185">
        <f t="shared" si="132"/>
        <v>4.2090832213657059E-3</v>
      </c>
      <c r="U142" s="185">
        <f t="shared" si="132"/>
        <v>-1.3605782406366229E-3</v>
      </c>
    </row>
    <row r="143" spans="1:31" x14ac:dyDescent="0.2">
      <c r="A143" s="2" t="str">
        <f t="shared" si="124"/>
        <v>Operating Income</v>
      </c>
      <c r="B143" s="8"/>
      <c r="C143" s="6" t="s">
        <v>83</v>
      </c>
      <c r="D143" s="201">
        <f t="shared" ref="D143:U143" si="134">((D113/C113)-1)</f>
        <v>0.28361164234049863</v>
      </c>
      <c r="E143" s="201">
        <f t="shared" si="134"/>
        <v>0.23448284758195825</v>
      </c>
      <c r="F143" s="201">
        <f t="shared" si="134"/>
        <v>5.5878078492804573E-2</v>
      </c>
      <c r="G143" s="201">
        <f t="shared" si="134"/>
        <v>-0.35711481780201282</v>
      </c>
      <c r="H143" s="201">
        <f t="shared" si="134"/>
        <v>6.9846616834562614E-2</v>
      </c>
      <c r="I143" s="201">
        <f t="shared" si="134"/>
        <v>0.34052757793764998</v>
      </c>
      <c r="J143" s="201">
        <f t="shared" si="134"/>
        <v>0.11717352415026827</v>
      </c>
      <c r="K143" s="201">
        <f t="shared" si="134"/>
        <v>7.2858286629303493E-2</v>
      </c>
      <c r="L143" s="201">
        <f t="shared" si="133"/>
        <v>6.7164179104477473E-3</v>
      </c>
      <c r="M143" s="201">
        <f t="shared" si="133"/>
        <v>-2.3721275018532273E-2</v>
      </c>
      <c r="N143" s="201">
        <f t="shared" si="133"/>
        <v>-0.14502657555049359</v>
      </c>
      <c r="O143" s="201">
        <f t="shared" si="133"/>
        <v>-0.10923623445825936</v>
      </c>
      <c r="P143" s="201">
        <f t="shared" si="134"/>
        <v>-8.2751744765702906E-2</v>
      </c>
      <c r="Q143" s="201">
        <f t="shared" si="134"/>
        <v>-0.19632124519906702</v>
      </c>
      <c r="R143" s="201">
        <f t="shared" si="134"/>
        <v>-8.463794066924224E-2</v>
      </c>
      <c r="S143" s="201">
        <f t="shared" si="134"/>
        <v>-6.0603530987291987E-2</v>
      </c>
      <c r="T143" s="201">
        <f t="shared" si="134"/>
        <v>-6.0384191366749218E-2</v>
      </c>
      <c r="U143" s="201">
        <f t="shared" si="134"/>
        <v>-4.0860607038473717E-2</v>
      </c>
      <c r="Z143">
        <f>1.18/1.27-1</f>
        <v>-7.0866141732283561E-2</v>
      </c>
    </row>
    <row r="144" spans="1:31" x14ac:dyDescent="0.2">
      <c r="A144" s="2" t="str">
        <f t="shared" si="124"/>
        <v>Earnings Per Share</v>
      </c>
      <c r="B144" s="8"/>
      <c r="C144" s="6" t="s">
        <v>83</v>
      </c>
      <c r="D144" s="201">
        <f t="shared" ref="D144:U144" si="135">((D123/C123)-1)</f>
        <v>0.43456343703758904</v>
      </c>
      <c r="E144" s="201">
        <f t="shared" si="135"/>
        <v>0.28586835784741904</v>
      </c>
      <c r="F144" s="201">
        <f t="shared" si="135"/>
        <v>9.2678359183554493E-2</v>
      </c>
      <c r="G144" s="201">
        <f t="shared" si="135"/>
        <v>-0.35386732219097261</v>
      </c>
      <c r="H144" s="201">
        <f t="shared" si="135"/>
        <v>8.1690715334405306E-2</v>
      </c>
      <c r="I144" s="201">
        <f t="shared" si="135"/>
        <v>0.41294485918345503</v>
      </c>
      <c r="J144" s="201">
        <f t="shared" si="135"/>
        <v>0.13965755928317791</v>
      </c>
      <c r="K144" s="201">
        <f t="shared" si="135"/>
        <v>0.12556410043909705</v>
      </c>
      <c r="L144" s="201">
        <f>((L123/K123)-1)</f>
        <v>4.9820192487579629E-2</v>
      </c>
      <c r="M144" s="201">
        <f>((M123/L123)-1)</f>
        <v>-4.5955571465616796E-3</v>
      </c>
      <c r="N144" s="201">
        <f>((N123/M123)-1)</f>
        <v>-0.1052652086355127</v>
      </c>
      <c r="O144" s="201">
        <f>((O123/N123)-1)</f>
        <v>-4.602047134625098E-2</v>
      </c>
      <c r="P144" s="201">
        <f t="shared" si="135"/>
        <v>-0.10891221921139982</v>
      </c>
      <c r="Q144" s="201">
        <f t="shared" si="135"/>
        <v>3.3231516832910035E-3</v>
      </c>
      <c r="R144" s="201">
        <f t="shared" si="135"/>
        <v>-6.7235013289102974E-2</v>
      </c>
      <c r="S144" s="201">
        <f t="shared" si="135"/>
        <v>-4.4487317410196403E-2</v>
      </c>
      <c r="T144" s="201">
        <f t="shared" si="135"/>
        <v>-4.4278792919341892E-2</v>
      </c>
      <c r="U144" s="201">
        <f t="shared" si="135"/>
        <v>-1.9939136477265196E-2</v>
      </c>
      <c r="Z144">
        <f>3.45/3.64-1</f>
        <v>-5.2197802197802234E-2</v>
      </c>
    </row>
    <row r="145" spans="1:28" x14ac:dyDescent="0.2">
      <c r="A145" s="2" t="str">
        <f t="shared" si="124"/>
        <v>EBITDA</v>
      </c>
      <c r="B145" s="8"/>
      <c r="C145" s="6" t="s">
        <v>83</v>
      </c>
      <c r="D145" s="201">
        <f>((D127/C127)-1)</f>
        <v>0.2194050952852078</v>
      </c>
      <c r="E145" s="201">
        <f t="shared" ref="E145:K145" si="136">((E127/D127)-1)</f>
        <v>0.18757256931638877</v>
      </c>
      <c r="F145" s="201">
        <f t="shared" si="136"/>
        <v>3.3952088411793868E-2</v>
      </c>
      <c r="G145" s="201">
        <f t="shared" si="136"/>
        <v>-0.27000260532322906</v>
      </c>
      <c r="H145" s="201">
        <f t="shared" si="136"/>
        <v>6.0514021067892276E-2</v>
      </c>
      <c r="I145" s="201">
        <f t="shared" si="136"/>
        <v>0.25980819529206634</v>
      </c>
      <c r="J145" s="201">
        <f t="shared" si="136"/>
        <v>0.12110726643598624</v>
      </c>
      <c r="K145" s="201">
        <f t="shared" si="136"/>
        <v>9.1975308641975229E-2</v>
      </c>
      <c r="L145" s="201">
        <f>((L127/K127)-1)</f>
        <v>1.9219898247597511E-2</v>
      </c>
      <c r="M145" s="201">
        <f>((M127/L127)-1)</f>
        <v>1.2201885745978913E-2</v>
      </c>
      <c r="N145" s="201">
        <f>((N127/M127)-1)</f>
        <v>-6.7397260273972637E-2</v>
      </c>
      <c r="O145" s="201">
        <f>((O127/N127)-1)</f>
        <v>-3.1727379553466495E-2</v>
      </c>
      <c r="P145" s="201">
        <f t="shared" ref="P145:U145" si="137">((P127/O127)-1)</f>
        <v>-3.762135922330101E-2</v>
      </c>
      <c r="Q145" s="201">
        <f t="shared" si="137"/>
        <v>-0.12901358485696202</v>
      </c>
      <c r="R145" s="201">
        <f t="shared" si="137"/>
        <v>-5.2541475584603425E-2</v>
      </c>
      <c r="S145" s="201">
        <f t="shared" si="137"/>
        <v>-3.8979650503272234E-2</v>
      </c>
      <c r="T145" s="201">
        <f t="shared" si="137"/>
        <v>-3.8473525324417501E-2</v>
      </c>
      <c r="U145" s="201">
        <f t="shared" si="137"/>
        <v>-2.8452190826171453E-2</v>
      </c>
    </row>
    <row r="146" spans="1:28" outlineLevel="1" x14ac:dyDescent="0.2">
      <c r="A146" s="2" t="str">
        <f t="shared" si="124"/>
        <v>Base Case Sales Comp Spread</v>
      </c>
      <c r="B146" s="8"/>
      <c r="C146" s="6" t="s">
        <v>83</v>
      </c>
      <c r="D146" s="201">
        <f t="shared" ref="D146:P146" si="138">D97</f>
        <v>2.2900681814389368E-2</v>
      </c>
      <c r="E146" s="201">
        <f t="shared" si="138"/>
        <v>3.3523644590716287E-2</v>
      </c>
      <c r="F146" s="201">
        <f t="shared" si="138"/>
        <v>-7.7974041369056266E-3</v>
      </c>
      <c r="G146" s="201">
        <f t="shared" si="138"/>
        <v>2.9190608229851672E-2</v>
      </c>
      <c r="H146" s="201">
        <f t="shared" si="138"/>
        <v>3.8019780484863062E-2</v>
      </c>
      <c r="I146" s="201">
        <f t="shared" si="138"/>
        <v>4.6391620247033097E-2</v>
      </c>
      <c r="J146" s="201">
        <f t="shared" si="138"/>
        <v>5.5497314715359736E-2</v>
      </c>
      <c r="K146" s="201">
        <f t="shared" si="138"/>
        <v>4.7510622082499857E-2</v>
      </c>
      <c r="L146" s="201">
        <f>L97</f>
        <v>9.3479000170039392E-3</v>
      </c>
      <c r="M146" s="201">
        <f>M97</f>
        <v>3.767548906789412E-2</v>
      </c>
      <c r="N146" s="201">
        <f>N97</f>
        <v>4.8051483487148293E-2</v>
      </c>
      <c r="O146" s="201">
        <f>O97</f>
        <v>3.2662646328485367E-2</v>
      </c>
      <c r="P146" s="201">
        <f t="shared" si="138"/>
        <v>3.6003034692047693E-2</v>
      </c>
      <c r="Q146" s="201">
        <f>Q97</f>
        <v>6.8626249422297668E-3</v>
      </c>
      <c r="R146" s="201">
        <f>R97</f>
        <v>3.0615377831069379E-2</v>
      </c>
      <c r="S146" s="201">
        <f>S97</f>
        <v>2.5644516209221591E-2</v>
      </c>
      <c r="T146" s="201">
        <f>T97</f>
        <v>2.4605706395462557E-2</v>
      </c>
      <c r="U146" s="201">
        <f>U97</f>
        <v>1.7773923331075192E-2</v>
      </c>
    </row>
    <row r="147" spans="1:28" outlineLevel="1" x14ac:dyDescent="0.2">
      <c r="A147" s="2" t="s">
        <v>495</v>
      </c>
      <c r="B147" s="8"/>
      <c r="C147" s="81" t="s">
        <v>83</v>
      </c>
      <c r="D147" s="201">
        <f t="shared" ref="D147:K147" si="139">D146</f>
        <v>2.2900681814389368E-2</v>
      </c>
      <c r="E147" s="201">
        <f t="shared" si="139"/>
        <v>3.3523644590716287E-2</v>
      </c>
      <c r="F147" s="201">
        <f t="shared" si="139"/>
        <v>-7.7974041369056266E-3</v>
      </c>
      <c r="G147" s="201">
        <f t="shared" si="139"/>
        <v>2.9190608229851672E-2</v>
      </c>
      <c r="H147" s="201">
        <f t="shared" si="139"/>
        <v>3.8019780484863062E-2</v>
      </c>
      <c r="I147" s="201">
        <f t="shared" si="139"/>
        <v>4.6391620247033097E-2</v>
      </c>
      <c r="J147" s="201">
        <f t="shared" si="139"/>
        <v>5.5497314715359736E-2</v>
      </c>
      <c r="K147" s="201">
        <f t="shared" si="139"/>
        <v>4.7510622082499857E-2</v>
      </c>
      <c r="L147" s="201">
        <f>L146</f>
        <v>9.3479000170039392E-3</v>
      </c>
      <c r="M147" s="201">
        <f>M146</f>
        <v>3.767548906789412E-2</v>
      </c>
      <c r="N147" s="201">
        <f>N146</f>
        <v>4.8051483487148293E-2</v>
      </c>
      <c r="O147" s="201">
        <f>O146</f>
        <v>3.2662646328485367E-2</v>
      </c>
      <c r="P147" s="201">
        <f>P146</f>
        <v>3.6003034692047693E-2</v>
      </c>
      <c r="Q147" s="218">
        <f>Q40-Q43-0.005</f>
        <v>1.8626249422297667E-3</v>
      </c>
      <c r="R147" s="218">
        <f>R40-R43-0.005</f>
        <v>2.5615377831069378E-2</v>
      </c>
      <c r="S147" s="218">
        <f>S40-S43-0.005</f>
        <v>2.064451620922159E-2</v>
      </c>
      <c r="T147" s="218">
        <f>T40-T43-0.005</f>
        <v>1.9605706395462556E-2</v>
      </c>
      <c r="U147" s="218">
        <f>U40-U43-0.005</f>
        <v>1.2773923331075191E-2</v>
      </c>
    </row>
    <row r="148" spans="1:28" x14ac:dyDescent="0.2">
      <c r="A148" s="202"/>
      <c r="B148" s="202"/>
      <c r="C148" s="202"/>
      <c r="D148" s="202"/>
      <c r="E148" s="202"/>
      <c r="F148" s="202"/>
      <c r="G148" s="202"/>
      <c r="H148" s="202"/>
      <c r="I148" s="202"/>
      <c r="J148" s="202"/>
      <c r="K148" s="202"/>
      <c r="L148" s="202"/>
      <c r="M148" s="202"/>
      <c r="N148" s="202"/>
      <c r="O148" s="202"/>
      <c r="P148" s="202"/>
      <c r="Q148" s="202"/>
      <c r="R148" s="202"/>
      <c r="S148" s="202"/>
      <c r="T148" s="202"/>
      <c r="U148" s="202"/>
      <c r="V148" s="8"/>
      <c r="W148" s="8"/>
      <c r="X148" s="8"/>
      <c r="Y148" s="247">
        <f>10.5*3</f>
        <v>31.5</v>
      </c>
      <c r="Z148" s="8"/>
      <c r="AA148" s="8"/>
      <c r="AB148" s="8"/>
    </row>
    <row r="149" spans="1:28" x14ac:dyDescent="0.2">
      <c r="A149" s="203" t="s">
        <v>496</v>
      </c>
      <c r="B149" s="8"/>
      <c r="C149" s="198" t="str">
        <f t="shared" ref="C149:P150" si="140">C100</f>
        <v>2004A</v>
      </c>
      <c r="D149" s="198" t="str">
        <f t="shared" si="140"/>
        <v>2005A</v>
      </c>
      <c r="E149" s="198" t="str">
        <f t="shared" si="140"/>
        <v>2006A</v>
      </c>
      <c r="F149" s="198" t="str">
        <f t="shared" si="140"/>
        <v>2007A</v>
      </c>
      <c r="G149" s="198" t="str">
        <f t="shared" si="140"/>
        <v>2008A</v>
      </c>
      <c r="H149" s="198" t="str">
        <f t="shared" si="140"/>
        <v>2009A</v>
      </c>
      <c r="I149" s="198" t="str">
        <f t="shared" si="140"/>
        <v>2010A</v>
      </c>
      <c r="J149" s="198" t="str">
        <f t="shared" si="140"/>
        <v>2011A</v>
      </c>
      <c r="K149" s="198" t="str">
        <f>K100</f>
        <v>2012A</v>
      </c>
      <c r="L149" s="198" t="str">
        <f t="shared" si="140"/>
        <v>2013A</v>
      </c>
      <c r="M149" s="198" t="str">
        <f t="shared" si="140"/>
        <v>2014A</v>
      </c>
      <c r="N149" s="198" t="str">
        <f t="shared" si="140"/>
        <v>2015A</v>
      </c>
      <c r="O149" s="198" t="str">
        <f t="shared" si="140"/>
        <v>2016A</v>
      </c>
      <c r="P149" s="198" t="str">
        <f t="shared" si="140"/>
        <v>2016A</v>
      </c>
      <c r="Q149" s="198" t="str">
        <f t="shared" ref="Q149:T150" si="141">Q100</f>
        <v>2018E</v>
      </c>
      <c r="R149" s="198" t="str">
        <f t="shared" si="141"/>
        <v>2019E</v>
      </c>
      <c r="S149" s="198" t="str">
        <f t="shared" si="141"/>
        <v>2020E</v>
      </c>
      <c r="T149" s="198" t="str">
        <f t="shared" si="141"/>
        <v>2021E</v>
      </c>
      <c r="U149" s="198" t="str">
        <f>U100</f>
        <v>2022E</v>
      </c>
      <c r="V149" s="8"/>
      <c r="W149" s="8"/>
      <c r="X149" s="8"/>
      <c r="Y149" s="8"/>
      <c r="Z149" s="8"/>
      <c r="AA149" s="8"/>
      <c r="AB149" s="8"/>
    </row>
    <row r="150" spans="1:28" x14ac:dyDescent="0.2">
      <c r="A150" s="5" t="s">
        <v>155</v>
      </c>
      <c r="B150" s="8"/>
      <c r="C150" s="9" t="str">
        <f t="shared" si="140"/>
        <v>Jan</v>
      </c>
      <c r="D150" s="9" t="str">
        <f t="shared" si="140"/>
        <v>Jan</v>
      </c>
      <c r="E150" s="9" t="str">
        <f t="shared" si="140"/>
        <v>Jan</v>
      </c>
      <c r="F150" s="9" t="str">
        <f t="shared" si="140"/>
        <v>Jan</v>
      </c>
      <c r="G150" s="9" t="str">
        <f t="shared" si="140"/>
        <v>Jan</v>
      </c>
      <c r="H150" s="9" t="str">
        <f t="shared" si="140"/>
        <v>Jan</v>
      </c>
      <c r="I150" s="9" t="str">
        <f t="shared" si="140"/>
        <v>Jan</v>
      </c>
      <c r="J150" s="9" t="str">
        <f t="shared" si="140"/>
        <v>Jan</v>
      </c>
      <c r="K150" s="9" t="str">
        <f>K101</f>
        <v>Jan</v>
      </c>
      <c r="L150" s="9" t="str">
        <f t="shared" si="140"/>
        <v>Jan</v>
      </c>
      <c r="M150" s="9" t="str">
        <f t="shared" si="140"/>
        <v>Jan</v>
      </c>
      <c r="N150" s="9" t="str">
        <f t="shared" si="140"/>
        <v>Jan</v>
      </c>
      <c r="O150" s="9" t="str">
        <f t="shared" si="140"/>
        <v>Jan</v>
      </c>
      <c r="P150" s="9" t="str">
        <f t="shared" si="140"/>
        <v>Jan</v>
      </c>
      <c r="Q150" s="9" t="str">
        <f t="shared" si="141"/>
        <v>Jan</v>
      </c>
      <c r="R150" s="9" t="str">
        <f t="shared" si="141"/>
        <v>Jan</v>
      </c>
      <c r="S150" s="9" t="str">
        <f t="shared" si="141"/>
        <v>Jan</v>
      </c>
      <c r="T150" s="9" t="str">
        <f t="shared" si="141"/>
        <v>Jan</v>
      </c>
      <c r="U150" s="9" t="str">
        <f>U101</f>
        <v>Jan</v>
      </c>
      <c r="V150" s="8"/>
      <c r="W150" s="8"/>
      <c r="X150" s="8"/>
      <c r="Y150" s="8"/>
      <c r="Z150" s="8"/>
      <c r="AA150" s="8"/>
      <c r="AB150" s="8"/>
    </row>
    <row r="151" spans="1:28" x14ac:dyDescent="0.2">
      <c r="A151" s="2"/>
      <c r="B151" s="8"/>
      <c r="C151" s="8"/>
      <c r="D151" s="8"/>
      <c r="E151" s="8"/>
      <c r="F151" s="8"/>
      <c r="G151" s="8"/>
      <c r="H151" s="8"/>
      <c r="I151" s="8"/>
      <c r="J151" s="8"/>
      <c r="K151" s="8"/>
      <c r="L151" s="8"/>
      <c r="M151" s="8"/>
      <c r="N151" s="8"/>
      <c r="O151" s="8"/>
      <c r="P151" s="8"/>
      <c r="Q151" s="8"/>
      <c r="R151" s="8"/>
      <c r="S151" s="8"/>
      <c r="T151" s="8"/>
      <c r="U151" s="8"/>
      <c r="V151" s="8"/>
      <c r="W151" s="8"/>
      <c r="X151" s="8"/>
      <c r="Y151" s="8"/>
      <c r="Z151" s="8"/>
      <c r="AA151" s="8"/>
      <c r="AB151" s="8"/>
    </row>
    <row r="152" spans="1:28" x14ac:dyDescent="0.2">
      <c r="A152" s="3" t="str">
        <f>A103</f>
        <v>Retail Sales</v>
      </c>
      <c r="B152" s="8"/>
      <c r="C152" s="217">
        <f t="shared" ref="C152:K152" si="142">C6</f>
        <v>7131.4129999999996</v>
      </c>
      <c r="D152" s="217">
        <f t="shared" si="142"/>
        <v>7722.6120000000001</v>
      </c>
      <c r="E152" s="217">
        <f t="shared" si="142"/>
        <v>8560.6980000000003</v>
      </c>
      <c r="F152" s="217">
        <f t="shared" si="142"/>
        <v>8827.8140000000003</v>
      </c>
      <c r="G152" s="217">
        <f t="shared" si="142"/>
        <v>8291</v>
      </c>
      <c r="H152" s="217">
        <f t="shared" si="142"/>
        <v>8258</v>
      </c>
      <c r="I152" s="217">
        <f t="shared" si="142"/>
        <v>9310</v>
      </c>
      <c r="J152" s="217">
        <f t="shared" si="142"/>
        <v>10497</v>
      </c>
      <c r="K152" s="217">
        <f t="shared" si="142"/>
        <v>11762</v>
      </c>
      <c r="L152" s="217">
        <f t="shared" ref="L152:U152" si="143">K152*(1+L196)</f>
        <v>12166</v>
      </c>
      <c r="M152" s="217">
        <f t="shared" si="143"/>
        <v>13111</v>
      </c>
      <c r="N152" s="217">
        <f t="shared" si="143"/>
        <v>14095.000000000002</v>
      </c>
      <c r="O152" s="217">
        <f t="shared" si="143"/>
        <v>14499.000000000004</v>
      </c>
      <c r="P152" s="217">
        <f t="shared" si="143"/>
        <v>15137.000000000004</v>
      </c>
      <c r="Q152" s="217">
        <f t="shared" si="143"/>
        <v>15497.162592636507</v>
      </c>
      <c r="R152" s="217">
        <f t="shared" si="143"/>
        <v>16220.505999383313</v>
      </c>
      <c r="S152" s="217">
        <f t="shared" si="143"/>
        <v>16899.711947068532</v>
      </c>
      <c r="T152" s="217">
        <f t="shared" si="143"/>
        <v>17589.031387416351</v>
      </c>
      <c r="U152" s="217">
        <f t="shared" si="143"/>
        <v>18192.85759461753</v>
      </c>
      <c r="V152" s="8"/>
      <c r="W152" s="8"/>
      <c r="X152" s="8"/>
      <c r="Y152" s="8"/>
      <c r="Z152" s="8"/>
      <c r="AA152" s="8">
        <f>3.1/3.32-1</f>
        <v>-6.6265060240963791E-2</v>
      </c>
      <c r="AB152" s="8"/>
    </row>
    <row r="153" spans="1:28" x14ac:dyDescent="0.2">
      <c r="A153" s="3" t="str">
        <f>A104</f>
        <v>Credit Revenues</v>
      </c>
      <c r="B153" s="8"/>
      <c r="C153" s="200">
        <f t="shared" ref="C153:P153" si="144">C7</f>
        <v>172.94200000000001</v>
      </c>
      <c r="D153" s="200">
        <f t="shared" si="144"/>
        <v>196.35399999999998</v>
      </c>
      <c r="E153" s="200">
        <f t="shared" si="144"/>
        <v>238.52500000000001</v>
      </c>
      <c r="F153" s="200">
        <f t="shared" si="144"/>
        <v>270.94600000000003</v>
      </c>
      <c r="G153" s="200">
        <f t="shared" si="144"/>
        <v>306</v>
      </c>
      <c r="H153" s="200">
        <f t="shared" si="144"/>
        <v>369</v>
      </c>
      <c r="I153" s="200">
        <f t="shared" si="144"/>
        <v>390</v>
      </c>
      <c r="J153" s="200">
        <f t="shared" si="144"/>
        <v>380</v>
      </c>
      <c r="K153" s="200">
        <f t="shared" si="144"/>
        <v>372</v>
      </c>
      <c r="L153" s="200">
        <f t="shared" si="144"/>
        <v>374</v>
      </c>
      <c r="M153" s="200">
        <f t="shared" si="144"/>
        <v>395</v>
      </c>
      <c r="N153" s="200">
        <f t="shared" si="144"/>
        <v>342</v>
      </c>
      <c r="O153" s="200">
        <f t="shared" si="144"/>
        <v>259</v>
      </c>
      <c r="P153" s="200">
        <f t="shared" si="144"/>
        <v>341</v>
      </c>
      <c r="Q153" s="200">
        <f>Q7</f>
        <v>375.1</v>
      </c>
      <c r="R153" s="200">
        <f>R7</f>
        <v>403.23250000000002</v>
      </c>
      <c r="S153" s="200">
        <f>S7</f>
        <v>433.47493750000001</v>
      </c>
      <c r="T153" s="200">
        <f>T7</f>
        <v>463.81818312500002</v>
      </c>
      <c r="U153" s="200">
        <f>U7</f>
        <v>498.60454685937498</v>
      </c>
      <c r="V153" s="8"/>
      <c r="W153" s="8"/>
      <c r="X153" s="8"/>
      <c r="Y153" s="8"/>
      <c r="Z153" s="8"/>
      <c r="AA153" s="8"/>
      <c r="AB153" s="8"/>
    </row>
    <row r="154" spans="1:28" x14ac:dyDescent="0.2">
      <c r="A154" s="2" t="s">
        <v>287</v>
      </c>
      <c r="B154" s="8"/>
      <c r="C154" s="217">
        <f t="shared" ref="C154:J154" si="145">SUM(C152:C153)</f>
        <v>7304.3549999999996</v>
      </c>
      <c r="D154" s="217">
        <f t="shared" si="145"/>
        <v>7918.9660000000003</v>
      </c>
      <c r="E154" s="217">
        <f t="shared" si="145"/>
        <v>8799.223</v>
      </c>
      <c r="F154" s="217">
        <f t="shared" si="145"/>
        <v>9098.76</v>
      </c>
      <c r="G154" s="217">
        <f t="shared" si="145"/>
        <v>8597</v>
      </c>
      <c r="H154" s="217">
        <f t="shared" si="145"/>
        <v>8627</v>
      </c>
      <c r="I154" s="217">
        <f t="shared" si="145"/>
        <v>9700</v>
      </c>
      <c r="J154" s="217">
        <f t="shared" si="145"/>
        <v>10877</v>
      </c>
      <c r="K154" s="217">
        <f t="shared" ref="K154:P154" si="146">SUM(K152:K153)</f>
        <v>12134</v>
      </c>
      <c r="L154" s="217">
        <f t="shared" si="146"/>
        <v>12540</v>
      </c>
      <c r="M154" s="217">
        <f t="shared" si="146"/>
        <v>13506</v>
      </c>
      <c r="N154" s="217">
        <f t="shared" si="146"/>
        <v>14437.000000000002</v>
      </c>
      <c r="O154" s="217">
        <f t="shared" si="146"/>
        <v>14758.000000000004</v>
      </c>
      <c r="P154" s="217">
        <f t="shared" si="146"/>
        <v>15478.000000000004</v>
      </c>
      <c r="Q154" s="217">
        <f>SUM(Q152:Q153)</f>
        <v>15872.262592636507</v>
      </c>
      <c r="R154" s="217">
        <f>SUM(R152:R153)</f>
        <v>16623.738499383311</v>
      </c>
      <c r="S154" s="217">
        <f>SUM(S152:S153)</f>
        <v>17333.186884568531</v>
      </c>
      <c r="T154" s="217">
        <f>SUM(T152:T153)</f>
        <v>18052.849570541352</v>
      </c>
      <c r="U154" s="217">
        <f>SUM(U152:U153)</f>
        <v>18691.462141476906</v>
      </c>
      <c r="V154" s="8"/>
      <c r="W154" s="8"/>
      <c r="X154" s="8"/>
      <c r="Y154" s="8"/>
      <c r="Z154" s="8"/>
      <c r="AA154" s="8"/>
      <c r="AB154" s="8"/>
    </row>
    <row r="155" spans="1:28" x14ac:dyDescent="0.2">
      <c r="A155" s="2"/>
      <c r="B155" s="8"/>
      <c r="C155" s="200"/>
      <c r="D155" s="200"/>
      <c r="E155" s="200"/>
      <c r="F155" s="200"/>
      <c r="G155" s="200"/>
      <c r="H155" s="200"/>
      <c r="I155" s="200"/>
      <c r="J155" s="200"/>
      <c r="K155" s="200"/>
      <c r="L155" s="200"/>
      <c r="M155" s="200"/>
      <c r="V155" s="8"/>
      <c r="W155" s="8"/>
      <c r="X155" s="8"/>
      <c r="Y155" s="8"/>
      <c r="Z155" s="8"/>
      <c r="AA155" s="8"/>
      <c r="AB155" s="8"/>
    </row>
    <row r="156" spans="1:28" x14ac:dyDescent="0.2">
      <c r="A156" s="2" t="s">
        <v>156</v>
      </c>
      <c r="B156" s="8"/>
      <c r="C156" s="217">
        <f t="shared" ref="C156:J156" si="147">C10</f>
        <v>4559.3879999999999</v>
      </c>
      <c r="D156" s="217">
        <f t="shared" si="147"/>
        <v>4888.023000000001</v>
      </c>
      <c r="E156" s="217">
        <f t="shared" si="147"/>
        <v>5353.9490000000005</v>
      </c>
      <c r="F156" s="217">
        <f t="shared" si="147"/>
        <v>5526.1779999999999</v>
      </c>
      <c r="G156" s="217">
        <f t="shared" si="147"/>
        <v>5429.4830000000002</v>
      </c>
      <c r="H156" s="217">
        <f t="shared" si="147"/>
        <v>5328</v>
      </c>
      <c r="I156" s="217">
        <f t="shared" si="147"/>
        <v>5897</v>
      </c>
      <c r="J156" s="217">
        <f t="shared" si="147"/>
        <v>6592</v>
      </c>
      <c r="K156" s="217">
        <f>K10</f>
        <v>7432</v>
      </c>
      <c r="L156" s="217">
        <f t="shared" ref="L156:Q156" si="148">L152-L158</f>
        <v>7737</v>
      </c>
      <c r="M156" s="217">
        <f t="shared" si="148"/>
        <v>8407</v>
      </c>
      <c r="N156" s="217">
        <f t="shared" si="148"/>
        <v>9168</v>
      </c>
      <c r="O156" s="217">
        <f t="shared" si="148"/>
        <v>9439.0000000000036</v>
      </c>
      <c r="P156" s="217">
        <f t="shared" si="148"/>
        <v>9890.0000000000036</v>
      </c>
      <c r="Q156" s="217">
        <f t="shared" si="148"/>
        <v>10007.436137151379</v>
      </c>
      <c r="R156" s="217">
        <f>R152-R158</f>
        <v>10491.423280401126</v>
      </c>
      <c r="S156" s="217">
        <f>S152-S158</f>
        <v>10940.873514532168</v>
      </c>
      <c r="T156" s="217">
        <f>T152-T158</f>
        <v>11424.075886126921</v>
      </c>
      <c r="U156" s="217">
        <f>U152-U158</f>
        <v>11852.64672289332</v>
      </c>
      <c r="V156" s="8"/>
      <c r="W156" s="8"/>
      <c r="X156" s="8"/>
      <c r="Y156" s="8"/>
      <c r="Z156" s="8"/>
      <c r="AA156" s="8"/>
      <c r="AB156" s="8"/>
    </row>
    <row r="157" spans="1:28" x14ac:dyDescent="0.2">
      <c r="A157" s="2"/>
      <c r="B157" s="8"/>
      <c r="C157" s="200"/>
      <c r="D157" s="200"/>
      <c r="E157" s="200"/>
      <c r="F157" s="200"/>
      <c r="G157" s="200"/>
      <c r="H157" s="200"/>
      <c r="I157" s="200"/>
      <c r="J157" s="200"/>
      <c r="K157" s="200"/>
      <c r="L157" s="200"/>
      <c r="M157" s="200"/>
      <c r="N157" s="200"/>
      <c r="O157" s="200"/>
      <c r="P157" s="200"/>
      <c r="Q157" s="200"/>
      <c r="R157" s="200"/>
      <c r="S157" s="200"/>
      <c r="T157" s="200"/>
      <c r="U157" s="200"/>
      <c r="V157" s="8"/>
      <c r="W157" s="8"/>
      <c r="X157" s="8"/>
      <c r="Y157" s="8"/>
      <c r="Z157" s="8"/>
      <c r="AA157" s="8"/>
      <c r="AB157" s="8"/>
    </row>
    <row r="158" spans="1:28" x14ac:dyDescent="0.2">
      <c r="A158" s="2" t="s">
        <v>157</v>
      </c>
      <c r="B158" s="8"/>
      <c r="C158" s="217">
        <f t="shared" ref="C158:J158" si="149">C152-C156</f>
        <v>2572.0249999999996</v>
      </c>
      <c r="D158" s="217">
        <f t="shared" si="149"/>
        <v>2834.588999999999</v>
      </c>
      <c r="E158" s="217">
        <f t="shared" si="149"/>
        <v>3206.7489999999998</v>
      </c>
      <c r="F158" s="217">
        <f t="shared" si="149"/>
        <v>3301.6360000000004</v>
      </c>
      <c r="G158" s="217">
        <f t="shared" si="149"/>
        <v>2861.5169999999998</v>
      </c>
      <c r="H158" s="217">
        <f t="shared" si="149"/>
        <v>2930</v>
      </c>
      <c r="I158" s="217">
        <f t="shared" si="149"/>
        <v>3413</v>
      </c>
      <c r="J158" s="217">
        <f t="shared" si="149"/>
        <v>3905</v>
      </c>
      <c r="K158" s="217">
        <f>K152-K156</f>
        <v>4330</v>
      </c>
      <c r="L158" s="217">
        <f t="shared" ref="L158:Q158" si="150">L152*L182</f>
        <v>4429</v>
      </c>
      <c r="M158" s="217">
        <f t="shared" si="150"/>
        <v>4704</v>
      </c>
      <c r="N158" s="217">
        <f t="shared" si="150"/>
        <v>4927.0000000000009</v>
      </c>
      <c r="O158" s="217">
        <f t="shared" si="150"/>
        <v>5060.0000000000009</v>
      </c>
      <c r="P158" s="217">
        <f t="shared" si="150"/>
        <v>5247.0000000000009</v>
      </c>
      <c r="Q158" s="217">
        <f t="shared" si="150"/>
        <v>5489.7264554851281</v>
      </c>
      <c r="R158" s="217">
        <f>R152*R182</f>
        <v>5729.0827189821866</v>
      </c>
      <c r="S158" s="217">
        <f>S152*S182</f>
        <v>5958.8384325363641</v>
      </c>
      <c r="T158" s="217">
        <f>T152*T182</f>
        <v>6164.9555012894307</v>
      </c>
      <c r="U158" s="217">
        <f>U152*U182</f>
        <v>6340.2108717242099</v>
      </c>
      <c r="V158" s="8"/>
      <c r="W158" s="8"/>
      <c r="X158" s="8"/>
      <c r="Y158" s="8"/>
      <c r="Z158" s="8"/>
      <c r="AA158" s="8"/>
      <c r="AB158" s="8"/>
    </row>
    <row r="159" spans="1:28" x14ac:dyDescent="0.2">
      <c r="A159" s="3" t="str">
        <f t="shared" ref="A159:C160" si="151">A13</f>
        <v>Retail SG&amp;A</v>
      </c>
      <c r="B159" s="8"/>
      <c r="C159" s="81" t="str">
        <f t="shared" si="151"/>
        <v>NA</v>
      </c>
      <c r="D159" s="81" t="str">
        <f t="shared" ref="D159:K159" si="152">D13</f>
        <v>NA</v>
      </c>
      <c r="E159" s="81" t="str">
        <f t="shared" si="152"/>
        <v>NA</v>
      </c>
      <c r="F159" s="200">
        <f t="shared" si="152"/>
        <v>2183</v>
      </c>
      <c r="G159" s="200">
        <f t="shared" si="152"/>
        <v>2113.9659999999999</v>
      </c>
      <c r="H159" s="200">
        <f t="shared" si="152"/>
        <v>2109</v>
      </c>
      <c r="I159" s="200">
        <f t="shared" si="152"/>
        <v>2412</v>
      </c>
      <c r="J159" s="200">
        <f t="shared" si="152"/>
        <v>2807</v>
      </c>
      <c r="K159" s="200">
        <f t="shared" si="152"/>
        <v>3172</v>
      </c>
      <c r="L159" s="200">
        <f t="shared" ref="L159:Q159" si="153">L187*L152</f>
        <v>3272</v>
      </c>
      <c r="M159" s="200">
        <f t="shared" si="153"/>
        <v>3589</v>
      </c>
      <c r="N159" s="200">
        <f t="shared" si="153"/>
        <v>3955.0000000000005</v>
      </c>
      <c r="O159" s="200">
        <f t="shared" si="153"/>
        <v>4153.0000000000009</v>
      </c>
      <c r="P159" s="200">
        <f t="shared" si="153"/>
        <v>4508.0000000000009</v>
      </c>
      <c r="Q159" s="200">
        <f t="shared" si="153"/>
        <v>4679.1866239679939</v>
      </c>
      <c r="R159" s="200">
        <f>R187*R152</f>
        <v>4928.2678878383967</v>
      </c>
      <c r="S159" s="200">
        <f>S187*S152</f>
        <v>5150.3119173163359</v>
      </c>
      <c r="T159" s="200">
        <f>T187*T152</f>
        <v>5373.198778501338</v>
      </c>
      <c r="U159" s="200">
        <f>U187*U152</f>
        <v>5575.2595329493943</v>
      </c>
      <c r="V159" s="8"/>
      <c r="W159" s="8"/>
      <c r="X159" s="8"/>
      <c r="Y159" s="8"/>
      <c r="Z159" s="8"/>
      <c r="AA159" s="8"/>
      <c r="AB159" s="8"/>
    </row>
    <row r="160" spans="1:28" x14ac:dyDescent="0.2">
      <c r="A160" s="3" t="str">
        <f t="shared" si="151"/>
        <v>Credit SG&amp;A</v>
      </c>
      <c r="B160" s="8"/>
      <c r="C160" s="81" t="str">
        <f t="shared" si="151"/>
        <v>NA</v>
      </c>
      <c r="D160" s="81" t="str">
        <f t="shared" ref="D160:P160" si="154">D14</f>
        <v>NA</v>
      </c>
      <c r="E160" s="81" t="str">
        <f t="shared" si="154"/>
        <v>NA</v>
      </c>
      <c r="F160" s="200">
        <f t="shared" si="154"/>
        <v>177</v>
      </c>
      <c r="G160" s="200">
        <f t="shared" si="154"/>
        <v>274</v>
      </c>
      <c r="H160" s="200">
        <f t="shared" si="154"/>
        <v>356</v>
      </c>
      <c r="I160" s="200">
        <f t="shared" si="154"/>
        <v>273</v>
      </c>
      <c r="J160" s="200">
        <f t="shared" si="154"/>
        <v>229</v>
      </c>
      <c r="K160" s="200">
        <f t="shared" si="154"/>
        <v>190</v>
      </c>
      <c r="L160" s="200">
        <f t="shared" si="154"/>
        <v>182</v>
      </c>
      <c r="M160" s="200">
        <f t="shared" si="154"/>
        <v>193</v>
      </c>
      <c r="N160" s="200">
        <f t="shared" si="154"/>
        <v>188</v>
      </c>
      <c r="O160" s="200">
        <f t="shared" si="154"/>
        <v>163</v>
      </c>
      <c r="P160" s="200">
        <f t="shared" si="154"/>
        <v>160</v>
      </c>
      <c r="Q160" s="200">
        <f>Q14</f>
        <v>164</v>
      </c>
      <c r="R160" s="200">
        <f>R14</f>
        <v>176.29999999999998</v>
      </c>
      <c r="S160" s="200">
        <f>S14</f>
        <v>189.52249999999998</v>
      </c>
      <c r="T160" s="200">
        <f>T14</f>
        <v>202.789075</v>
      </c>
      <c r="U160" s="200">
        <f>U14</f>
        <v>217.99825562499996</v>
      </c>
      <c r="V160" s="8"/>
      <c r="W160" s="8"/>
      <c r="X160" s="8"/>
      <c r="Y160" s="8"/>
      <c r="Z160" s="8"/>
      <c r="AA160" s="8"/>
      <c r="AB160" s="8"/>
    </row>
    <row r="161" spans="1:28" x14ac:dyDescent="0.2">
      <c r="A161" s="2" t="s">
        <v>158</v>
      </c>
      <c r="B161" s="8"/>
      <c r="C161" s="200">
        <f>C15</f>
        <v>2020.2329999999997</v>
      </c>
      <c r="D161" s="200">
        <f>D15</f>
        <v>2100.6660000000002</v>
      </c>
      <c r="E161" s="200">
        <f>E15</f>
        <v>2296.8629999999998</v>
      </c>
      <c r="F161" s="200">
        <f t="shared" ref="F161:P161" si="155">SUM(F159:F160)</f>
        <v>2360</v>
      </c>
      <c r="G161" s="200">
        <f t="shared" si="155"/>
        <v>2387.9659999999999</v>
      </c>
      <c r="H161" s="200">
        <f t="shared" si="155"/>
        <v>2465</v>
      </c>
      <c r="I161" s="200">
        <f t="shared" si="155"/>
        <v>2685</v>
      </c>
      <c r="J161" s="200">
        <f t="shared" si="155"/>
        <v>3036</v>
      </c>
      <c r="K161" s="200">
        <f t="shared" si="155"/>
        <v>3362</v>
      </c>
      <c r="L161" s="200">
        <f t="shared" si="155"/>
        <v>3454</v>
      </c>
      <c r="M161" s="200">
        <f t="shared" si="155"/>
        <v>3782</v>
      </c>
      <c r="N161" s="200">
        <f t="shared" si="155"/>
        <v>4143</v>
      </c>
      <c r="O161" s="200">
        <f t="shared" si="155"/>
        <v>4316.0000000000009</v>
      </c>
      <c r="P161" s="200">
        <f t="shared" si="155"/>
        <v>4668.0000000000009</v>
      </c>
      <c r="Q161" s="200">
        <f>SUM(Q159:Q160)</f>
        <v>4843.1866239679939</v>
      </c>
      <c r="R161" s="200">
        <f>SUM(R159:R160)</f>
        <v>5104.5678878383969</v>
      </c>
      <c r="S161" s="200">
        <f>SUM(S159:S160)</f>
        <v>5339.8344173163359</v>
      </c>
      <c r="T161" s="200">
        <f>SUM(T159:T160)</f>
        <v>5575.9878535013377</v>
      </c>
      <c r="U161" s="200">
        <f>SUM(U159:U160)</f>
        <v>5793.257788574394</v>
      </c>
      <c r="V161" s="8"/>
      <c r="W161" s="8"/>
      <c r="X161" s="8"/>
      <c r="Y161" s="8"/>
      <c r="Z161" s="8"/>
      <c r="AA161" s="8"/>
      <c r="AB161" s="8"/>
    </row>
    <row r="162" spans="1:28" x14ac:dyDescent="0.2">
      <c r="A162" s="3" t="s">
        <v>159</v>
      </c>
      <c r="B162" s="8"/>
      <c r="C162" s="217">
        <f>C158-C161+C153</f>
        <v>724.73399999999992</v>
      </c>
      <c r="D162" s="217">
        <f t="shared" ref="D162:P162" si="156">D158-D161+D153</f>
        <v>930.27699999999891</v>
      </c>
      <c r="E162" s="217">
        <f t="shared" si="156"/>
        <v>1148.4110000000001</v>
      </c>
      <c r="F162" s="217">
        <f t="shared" si="156"/>
        <v>1212.5820000000003</v>
      </c>
      <c r="G162" s="217">
        <f t="shared" si="156"/>
        <v>779.55099999999993</v>
      </c>
      <c r="H162" s="217">
        <f t="shared" si="156"/>
        <v>834</v>
      </c>
      <c r="I162" s="217">
        <f t="shared" si="156"/>
        <v>1118</v>
      </c>
      <c r="J162" s="217">
        <f t="shared" si="156"/>
        <v>1249</v>
      </c>
      <c r="K162" s="217">
        <f t="shared" si="156"/>
        <v>1340</v>
      </c>
      <c r="L162" s="217">
        <f t="shared" si="156"/>
        <v>1349</v>
      </c>
      <c r="M162" s="217">
        <f t="shared" si="156"/>
        <v>1317</v>
      </c>
      <c r="N162" s="217">
        <f t="shared" si="156"/>
        <v>1126.0000000000009</v>
      </c>
      <c r="O162" s="217">
        <f t="shared" si="156"/>
        <v>1003</v>
      </c>
      <c r="P162" s="217">
        <f t="shared" si="156"/>
        <v>920</v>
      </c>
      <c r="Q162" s="217">
        <f>Q158-Q161+Q153</f>
        <v>1021.6398315171342</v>
      </c>
      <c r="R162" s="217">
        <f>R158-R161+R153</f>
        <v>1027.7473311437898</v>
      </c>
      <c r="S162" s="217">
        <f>S158-S161+S153</f>
        <v>1052.4789527200282</v>
      </c>
      <c r="T162" s="217">
        <f>T158-T161+T153</f>
        <v>1052.7858309130929</v>
      </c>
      <c r="U162" s="217">
        <f>U158-U161+U153</f>
        <v>1045.5576300091909</v>
      </c>
      <c r="V162" s="8"/>
      <c r="W162" s="8"/>
      <c r="X162" s="8"/>
      <c r="Y162" s="8"/>
      <c r="Z162" s="8"/>
      <c r="AA162" s="8"/>
      <c r="AB162" s="8"/>
    </row>
    <row r="163" spans="1:28" x14ac:dyDescent="0.2">
      <c r="A163" s="2"/>
      <c r="B163" s="8"/>
      <c r="C163" s="200"/>
      <c r="D163" s="200"/>
      <c r="E163" s="200"/>
      <c r="F163" s="200"/>
      <c r="G163" s="200"/>
      <c r="H163" s="200"/>
      <c r="I163" s="200"/>
      <c r="J163" s="200"/>
      <c r="K163" s="200"/>
      <c r="L163" s="200"/>
      <c r="M163" s="200"/>
      <c r="V163" s="8"/>
      <c r="W163" s="8">
        <f>53/15</f>
        <v>3.5333333333333332</v>
      </c>
      <c r="X163" s="8">
        <f>53/17</f>
        <v>3.1176470588235294</v>
      </c>
      <c r="Y163" s="8"/>
      <c r="Z163" s="8"/>
      <c r="AA163" s="8"/>
      <c r="AB163" s="8"/>
    </row>
    <row r="164" spans="1:28" x14ac:dyDescent="0.2">
      <c r="A164" s="2" t="s">
        <v>491</v>
      </c>
      <c r="B164" s="8"/>
      <c r="C164" s="200">
        <f>C18</f>
        <v>77.427999999999997</v>
      </c>
      <c r="D164" s="200">
        <f t="shared" ref="D164:P164" si="157">D18</f>
        <v>45.3</v>
      </c>
      <c r="E164" s="200">
        <f t="shared" si="157"/>
        <v>42.758000000000003</v>
      </c>
      <c r="F164" s="200">
        <f t="shared" si="157"/>
        <v>74.430999999999997</v>
      </c>
      <c r="G164" s="200">
        <f t="shared" si="157"/>
        <v>131</v>
      </c>
      <c r="H164" s="200">
        <f t="shared" si="157"/>
        <v>138</v>
      </c>
      <c r="I164" s="200">
        <f t="shared" si="157"/>
        <v>127</v>
      </c>
      <c r="J164" s="200">
        <f t="shared" si="157"/>
        <v>130</v>
      </c>
      <c r="K164" s="200">
        <f>K18</f>
        <v>160</v>
      </c>
      <c r="L164" s="200">
        <f t="shared" si="157"/>
        <v>161</v>
      </c>
      <c r="M164" s="200">
        <f t="shared" si="157"/>
        <v>138</v>
      </c>
      <c r="N164" s="200">
        <f t="shared" si="157"/>
        <v>125</v>
      </c>
      <c r="O164" s="200">
        <f t="shared" si="157"/>
        <v>122</v>
      </c>
      <c r="P164" s="200">
        <f t="shared" si="157"/>
        <v>136</v>
      </c>
      <c r="Q164" s="200">
        <f>Q18</f>
        <v>105</v>
      </c>
      <c r="R164" s="200">
        <f>R18</f>
        <v>105</v>
      </c>
      <c r="S164" s="200">
        <f>S18</f>
        <v>105</v>
      </c>
      <c r="T164" s="200">
        <f>T18</f>
        <v>105</v>
      </c>
      <c r="U164" s="200">
        <f>U18</f>
        <v>105</v>
      </c>
      <c r="V164" s="8"/>
      <c r="W164" s="8"/>
      <c r="X164" s="8"/>
      <c r="Y164" s="8"/>
      <c r="Z164" s="8"/>
      <c r="AA164" s="8"/>
      <c r="AB164" s="8"/>
    </row>
    <row r="165" spans="1:28" x14ac:dyDescent="0.2">
      <c r="A165" s="3" t="s">
        <v>160</v>
      </c>
      <c r="B165" s="8"/>
      <c r="C165" s="217">
        <f>C162-C164</f>
        <v>647.30599999999993</v>
      </c>
      <c r="D165" s="217">
        <f>D162-D164</f>
        <v>884.97699999999895</v>
      </c>
      <c r="E165" s="217">
        <f>E162-E164</f>
        <v>1105.653</v>
      </c>
      <c r="F165" s="217">
        <f>F162-F164</f>
        <v>1138.1510000000003</v>
      </c>
      <c r="G165" s="217">
        <f>G162-G164</f>
        <v>648.55099999999993</v>
      </c>
      <c r="H165" s="217">
        <f t="shared" ref="H165:P165" si="158">H162-H164</f>
        <v>696</v>
      </c>
      <c r="I165" s="217">
        <f t="shared" si="158"/>
        <v>991</v>
      </c>
      <c r="J165" s="217">
        <f t="shared" si="158"/>
        <v>1119</v>
      </c>
      <c r="K165" s="217">
        <f t="shared" si="158"/>
        <v>1180</v>
      </c>
      <c r="L165" s="217">
        <f t="shared" si="158"/>
        <v>1188</v>
      </c>
      <c r="M165" s="217">
        <f t="shared" si="158"/>
        <v>1179</v>
      </c>
      <c r="N165" s="217">
        <f t="shared" si="158"/>
        <v>1001.0000000000009</v>
      </c>
      <c r="O165" s="217">
        <f t="shared" si="158"/>
        <v>881</v>
      </c>
      <c r="P165" s="217">
        <f t="shared" si="158"/>
        <v>784</v>
      </c>
      <c r="Q165" s="217">
        <f>Q162-Q164</f>
        <v>916.63983151713421</v>
      </c>
      <c r="R165" s="217">
        <f>R162-R164</f>
        <v>922.74733114378978</v>
      </c>
      <c r="S165" s="217">
        <f>S162-S164</f>
        <v>947.47895272002825</v>
      </c>
      <c r="T165" s="217">
        <f>T162-T164</f>
        <v>947.78583091309292</v>
      </c>
      <c r="U165" s="217">
        <f>U162-U164</f>
        <v>940.55763000919092</v>
      </c>
      <c r="V165" s="8"/>
      <c r="W165" s="8"/>
      <c r="X165" s="8"/>
      <c r="Y165" s="8"/>
      <c r="Z165" s="8"/>
      <c r="AA165" s="8"/>
      <c r="AB165" s="8"/>
    </row>
    <row r="166" spans="1:28" x14ac:dyDescent="0.2">
      <c r="A166" s="2"/>
      <c r="B166" s="8"/>
      <c r="C166" s="200"/>
      <c r="D166" s="200"/>
      <c r="E166" s="200"/>
      <c r="F166" s="200"/>
      <c r="G166" s="200"/>
      <c r="H166" s="200"/>
      <c r="I166" s="200"/>
      <c r="J166" s="200"/>
      <c r="K166" s="200"/>
      <c r="L166" s="200"/>
      <c r="M166" s="200"/>
      <c r="V166" s="8"/>
      <c r="W166" s="8"/>
      <c r="X166" s="8"/>
      <c r="Y166" s="8"/>
      <c r="Z166" s="8"/>
      <c r="AA166" s="8"/>
      <c r="AB166" s="8"/>
    </row>
    <row r="167" spans="1:28" x14ac:dyDescent="0.2">
      <c r="A167" s="2" t="s">
        <v>161</v>
      </c>
      <c r="B167" s="8"/>
      <c r="C167" s="200">
        <f>C21</f>
        <v>253.83100000000002</v>
      </c>
      <c r="D167" s="200">
        <f t="shared" ref="D167:J167" si="159">D21</f>
        <v>333.79678224168083</v>
      </c>
      <c r="E167" s="200">
        <f t="shared" si="159"/>
        <v>427.65399999999994</v>
      </c>
      <c r="F167" s="200">
        <f t="shared" si="159"/>
        <v>444.34500000000003</v>
      </c>
      <c r="G167" s="200">
        <f t="shared" si="159"/>
        <v>254</v>
      </c>
      <c r="H167" s="200">
        <f t="shared" si="159"/>
        <v>268</v>
      </c>
      <c r="I167" s="200">
        <f t="shared" si="159"/>
        <v>378</v>
      </c>
      <c r="J167" s="200">
        <f t="shared" si="159"/>
        <v>436</v>
      </c>
      <c r="K167" s="200">
        <f>K21</f>
        <v>450</v>
      </c>
      <c r="L167" s="200">
        <f t="shared" ref="L167:Q167" si="160">L165*L193</f>
        <v>455</v>
      </c>
      <c r="M167" s="200">
        <f t="shared" si="160"/>
        <v>464.5</v>
      </c>
      <c r="N167" s="200">
        <f t="shared" si="160"/>
        <v>374.26000000000033</v>
      </c>
      <c r="O167" s="200">
        <f t="shared" si="160"/>
        <v>330.03999999999996</v>
      </c>
      <c r="P167" s="200">
        <f t="shared" si="160"/>
        <v>309.64999999999998</v>
      </c>
      <c r="Q167" s="200">
        <f t="shared" si="160"/>
        <v>252.00902002779935</v>
      </c>
      <c r="R167" s="200">
        <f>R165*R193</f>
        <v>253.68813645151621</v>
      </c>
      <c r="S167" s="200">
        <f>S165*S193</f>
        <v>260.48752646581551</v>
      </c>
      <c r="T167" s="200">
        <f>T165*T193</f>
        <v>260.57189556046188</v>
      </c>
      <c r="U167" s="200">
        <f>U165*U193</f>
        <v>258.58466811984215</v>
      </c>
      <c r="V167" s="8"/>
      <c r="W167" s="8"/>
      <c r="X167" s="8"/>
      <c r="Y167" s="8"/>
      <c r="Z167" s="8"/>
      <c r="AA167" s="8"/>
      <c r="AB167" s="8"/>
    </row>
    <row r="168" spans="1:28" x14ac:dyDescent="0.2">
      <c r="A168" s="2"/>
      <c r="B168" s="8"/>
      <c r="C168" s="200"/>
      <c r="D168" s="200"/>
      <c r="E168" s="200"/>
      <c r="F168" s="200"/>
      <c r="G168" s="200"/>
      <c r="H168" s="200"/>
      <c r="I168" s="200"/>
      <c r="J168" s="200"/>
      <c r="K168" s="200"/>
      <c r="L168" s="200"/>
      <c r="M168" s="200"/>
      <c r="V168" s="8"/>
      <c r="W168" s="8"/>
      <c r="X168" s="8"/>
      <c r="Y168" s="8"/>
      <c r="Z168" s="8"/>
      <c r="AA168" s="8"/>
      <c r="AB168" s="8"/>
    </row>
    <row r="169" spans="1:28" x14ac:dyDescent="0.2">
      <c r="A169" s="2"/>
      <c r="B169" s="8"/>
      <c r="C169" s="200"/>
      <c r="D169" s="200"/>
      <c r="E169" s="200"/>
      <c r="F169" s="200"/>
      <c r="G169" s="200"/>
      <c r="H169" s="200"/>
      <c r="I169" s="200"/>
      <c r="J169" s="200"/>
      <c r="K169" s="200"/>
      <c r="L169" s="200"/>
      <c r="M169" s="200"/>
      <c r="V169" s="8"/>
      <c r="W169" s="8"/>
      <c r="X169" s="8"/>
      <c r="Y169" s="8"/>
      <c r="Z169" s="8"/>
      <c r="AA169" s="8"/>
      <c r="AB169" s="8"/>
    </row>
    <row r="170" spans="1:28" x14ac:dyDescent="0.2">
      <c r="A170" s="2" t="s">
        <v>162</v>
      </c>
      <c r="B170" s="8"/>
      <c r="C170" s="217">
        <f t="shared" ref="C170:P170" si="161">C165-C167</f>
        <v>393.47499999999991</v>
      </c>
      <c r="D170" s="217">
        <f t="shared" si="161"/>
        <v>551.18021775831812</v>
      </c>
      <c r="E170" s="217">
        <f t="shared" si="161"/>
        <v>677.99900000000002</v>
      </c>
      <c r="F170" s="217">
        <f t="shared" si="161"/>
        <v>693.80600000000027</v>
      </c>
      <c r="G170" s="217">
        <f t="shared" si="161"/>
        <v>394.55099999999993</v>
      </c>
      <c r="H170" s="217">
        <f t="shared" si="161"/>
        <v>428</v>
      </c>
      <c r="I170" s="217">
        <f t="shared" si="161"/>
        <v>613</v>
      </c>
      <c r="J170" s="217">
        <f t="shared" si="161"/>
        <v>683</v>
      </c>
      <c r="K170" s="217">
        <f>K165-K167</f>
        <v>730</v>
      </c>
      <c r="L170" s="217">
        <f t="shared" si="161"/>
        <v>733</v>
      </c>
      <c r="M170" s="217">
        <f t="shared" si="161"/>
        <v>714.5</v>
      </c>
      <c r="N170" s="217">
        <f t="shared" si="161"/>
        <v>626.74000000000058</v>
      </c>
      <c r="O170" s="217">
        <f t="shared" si="161"/>
        <v>550.96</v>
      </c>
      <c r="P170" s="217">
        <f t="shared" si="161"/>
        <v>474.35</v>
      </c>
      <c r="Q170" s="217">
        <f>Q165-Q167</f>
        <v>664.63081148933486</v>
      </c>
      <c r="R170" s="217">
        <f>R165-R167</f>
        <v>669.05919469227354</v>
      </c>
      <c r="S170" s="217">
        <f>S165-S167</f>
        <v>686.99142625421268</v>
      </c>
      <c r="T170" s="217">
        <f>T165-T167</f>
        <v>687.2139353526311</v>
      </c>
      <c r="U170" s="217">
        <f>U165-U167</f>
        <v>681.97296188934877</v>
      </c>
      <c r="V170" s="8"/>
      <c r="W170" s="8"/>
      <c r="X170" s="8"/>
      <c r="Y170" s="8"/>
      <c r="Z170" s="8"/>
      <c r="AA170" s="8"/>
      <c r="AB170" s="8"/>
    </row>
    <row r="171" spans="1:28" x14ac:dyDescent="0.2">
      <c r="A171" s="2"/>
      <c r="B171" s="8"/>
      <c r="V171" s="8"/>
      <c r="W171" s="8"/>
      <c r="X171" s="8"/>
      <c r="Y171" s="8"/>
      <c r="Z171" s="8"/>
      <c r="AA171" s="8"/>
      <c r="AB171" s="8"/>
    </row>
    <row r="172" spans="1:28" x14ac:dyDescent="0.2">
      <c r="A172" s="14" t="s">
        <v>166</v>
      </c>
      <c r="B172" s="8"/>
      <c r="C172" s="214">
        <f t="shared" ref="C172:P172" si="162">C170/C173</f>
        <v>1.3831814139226841</v>
      </c>
      <c r="D172" s="214">
        <f t="shared" si="162"/>
        <v>1.9842614832034378</v>
      </c>
      <c r="E172" s="214">
        <f t="shared" si="162"/>
        <v>2.5514990549466887</v>
      </c>
      <c r="F172" s="214">
        <f t="shared" si="162"/>
        <v>2.7879678008175377</v>
      </c>
      <c r="G172" s="214">
        <f t="shared" si="162"/>
        <v>1.8013971007875809</v>
      </c>
      <c r="H172" s="214">
        <f t="shared" si="162"/>
        <v>1.9485545185522422</v>
      </c>
      <c r="I172" s="214">
        <f t="shared" si="162"/>
        <v>2.7532000898270828</v>
      </c>
      <c r="J172" s="214">
        <f t="shared" si="162"/>
        <v>3.137705294590559</v>
      </c>
      <c r="K172" s="214">
        <f t="shared" si="162"/>
        <v>3.5316884373488149</v>
      </c>
      <c r="L172" s="214">
        <f t="shared" si="162"/>
        <v>3.7076378351036925</v>
      </c>
      <c r="M172" s="214">
        <f t="shared" si="162"/>
        <v>3.6905991735537191</v>
      </c>
      <c r="N172" s="214">
        <f t="shared" si="162"/>
        <v>3.3021074815595393</v>
      </c>
      <c r="O172" s="214">
        <f t="shared" si="162"/>
        <v>3.1501429388221847</v>
      </c>
      <c r="P172" s="214">
        <f t="shared" si="162"/>
        <v>2.8070538805219396</v>
      </c>
      <c r="Q172" s="214">
        <f>Q170/Q173</f>
        <v>4.0694692912853343</v>
      </c>
      <c r="R172" s="214">
        <f>R170/R173</f>
        <v>4.2393479629154731</v>
      </c>
      <c r="S172" s="214">
        <f>S170/S173</f>
        <v>4.4807319680358253</v>
      </c>
      <c r="T172" s="214">
        <f>T170/T173</f>
        <v>4.6177137697246273</v>
      </c>
      <c r="U172" s="214">
        <f>U170/U173</f>
        <v>4.7253814797845006</v>
      </c>
      <c r="V172" s="8"/>
      <c r="W172" s="8"/>
      <c r="X172" s="8"/>
      <c r="Y172" s="8"/>
      <c r="Z172" s="8"/>
      <c r="AA172" s="8"/>
      <c r="AB172" s="8"/>
    </row>
    <row r="173" spans="1:28" x14ac:dyDescent="0.2">
      <c r="A173" s="2" t="s">
        <v>164</v>
      </c>
      <c r="B173" s="8"/>
      <c r="C173" s="200">
        <f>C27</f>
        <v>284.471</v>
      </c>
      <c r="D173" s="200">
        <f t="shared" ref="D173:J173" si="163">D27</f>
        <v>277.77600000000001</v>
      </c>
      <c r="E173" s="200">
        <f t="shared" si="163"/>
        <v>265.72575000000001</v>
      </c>
      <c r="F173" s="200">
        <f t="shared" si="163"/>
        <v>248.85725000000002</v>
      </c>
      <c r="G173" s="200">
        <f t="shared" si="163"/>
        <v>219.02500000000001</v>
      </c>
      <c r="H173" s="200">
        <f t="shared" si="163"/>
        <v>219.65</v>
      </c>
      <c r="I173" s="200">
        <f t="shared" si="163"/>
        <v>222.65</v>
      </c>
      <c r="J173" s="200">
        <f t="shared" si="163"/>
        <v>217.67500000000001</v>
      </c>
      <c r="K173" s="200">
        <f>K27</f>
        <v>206.7</v>
      </c>
      <c r="L173" s="210">
        <f t="shared" ref="L173:Q173" si="164">INDEX(L174:L176,MATCH($Z$179,$AB$179:$AB$181,0))</f>
        <v>197.7</v>
      </c>
      <c r="M173" s="210">
        <f t="shared" si="164"/>
        <v>193.6</v>
      </c>
      <c r="N173" s="210">
        <f t="shared" si="164"/>
        <v>189.8</v>
      </c>
      <c r="O173" s="210">
        <f t="shared" si="164"/>
        <v>174.89999999999998</v>
      </c>
      <c r="P173" s="210">
        <f t="shared" si="164"/>
        <v>168.98500000000001</v>
      </c>
      <c r="Q173" s="210">
        <f t="shared" si="164"/>
        <v>163.32124999999999</v>
      </c>
      <c r="R173" s="210">
        <f>INDEX(R174:R176,MATCH($Z$179,$AB$179:$AB$181,0))</f>
        <v>157.82124999999999</v>
      </c>
      <c r="S173" s="210">
        <f>INDEX(S174:S176,MATCH($Z$179,$AB$179:$AB$181,0))</f>
        <v>153.32124999999999</v>
      </c>
      <c r="T173" s="210">
        <f>INDEX(T174:T176,MATCH($Z$179,$AB$179:$AB$181,0))</f>
        <v>148.82124999999999</v>
      </c>
      <c r="U173" s="210">
        <f>INDEX(U174:U176,MATCH($Z$179,$AB$179:$AB$181,0))</f>
        <v>144.32124999999999</v>
      </c>
      <c r="V173" s="8"/>
      <c r="W173" s="8"/>
      <c r="X173" s="8"/>
      <c r="Y173" s="8"/>
      <c r="Z173" s="8"/>
      <c r="AA173" s="8"/>
      <c r="AB173" s="8"/>
    </row>
    <row r="174" spans="1:28" outlineLevel="1" x14ac:dyDescent="0.2">
      <c r="A174" s="3" t="s">
        <v>288</v>
      </c>
      <c r="B174" s="8"/>
      <c r="C174" s="200"/>
      <c r="D174" s="200"/>
      <c r="E174" s="200"/>
      <c r="F174" s="200"/>
      <c r="G174" s="200"/>
      <c r="H174" s="200"/>
      <c r="I174" s="200"/>
      <c r="J174" s="200"/>
      <c r="K174" s="200"/>
      <c r="L174" s="210">
        <f t="shared" ref="L174:Q174" si="165">L75</f>
        <v>197.7</v>
      </c>
      <c r="M174" s="210">
        <f t="shared" si="165"/>
        <v>193.6</v>
      </c>
      <c r="N174" s="210">
        <f t="shared" si="165"/>
        <v>189.8</v>
      </c>
      <c r="O174" s="210">
        <f t="shared" si="165"/>
        <v>174.89999999999998</v>
      </c>
      <c r="P174" s="210">
        <f t="shared" si="165"/>
        <v>168.98500000000001</v>
      </c>
      <c r="Q174" s="210">
        <f t="shared" si="165"/>
        <v>163.32124999999999</v>
      </c>
      <c r="R174" s="210">
        <f>R75</f>
        <v>157.82124999999999</v>
      </c>
      <c r="S174" s="210">
        <f>S75</f>
        <v>153.32124999999999</v>
      </c>
      <c r="T174" s="210">
        <f>T75</f>
        <v>148.82124999999999</v>
      </c>
      <c r="U174" s="210">
        <f>U75</f>
        <v>144.32124999999999</v>
      </c>
      <c r="V174" s="8"/>
      <c r="W174" s="8"/>
      <c r="X174" s="8"/>
      <c r="Y174" s="8"/>
      <c r="Z174" s="8"/>
      <c r="AA174" s="8"/>
      <c r="AB174" s="8"/>
    </row>
    <row r="175" spans="1:28" outlineLevel="1" x14ac:dyDescent="0.2">
      <c r="A175" s="3" t="s">
        <v>497</v>
      </c>
      <c r="B175" s="8"/>
      <c r="C175" s="200"/>
      <c r="D175" s="200"/>
      <c r="E175" s="200"/>
      <c r="F175" s="200"/>
      <c r="G175" s="200"/>
      <c r="H175" s="200"/>
      <c r="I175" s="200"/>
      <c r="J175" s="200"/>
      <c r="K175" s="200"/>
      <c r="L175" s="210">
        <f t="shared" ref="L175:Q175" si="166">L27</f>
        <v>197.7</v>
      </c>
      <c r="M175" s="210">
        <f t="shared" si="166"/>
        <v>193.6</v>
      </c>
      <c r="N175" s="210">
        <f t="shared" si="166"/>
        <v>189.8</v>
      </c>
      <c r="O175" s="210">
        <f t="shared" si="166"/>
        <v>174.89999999999998</v>
      </c>
      <c r="P175" s="210">
        <f t="shared" si="166"/>
        <v>168.98500000000001</v>
      </c>
      <c r="Q175" s="210">
        <f t="shared" si="166"/>
        <v>163.32124999999999</v>
      </c>
      <c r="R175" s="210">
        <f>R27</f>
        <v>157.82124999999999</v>
      </c>
      <c r="S175" s="210">
        <f>S27</f>
        <v>153.32124999999999</v>
      </c>
      <c r="T175" s="210">
        <f>T27</f>
        <v>148.82124999999999</v>
      </c>
      <c r="U175" s="210">
        <f>U27</f>
        <v>144.32124999999999</v>
      </c>
      <c r="V175" s="8"/>
      <c r="W175" s="8"/>
      <c r="X175" s="8"/>
      <c r="Y175" s="8"/>
      <c r="Z175" s="8"/>
      <c r="AA175" s="8"/>
      <c r="AB175" s="8"/>
    </row>
    <row r="176" spans="1:28" outlineLevel="1" x14ac:dyDescent="0.2">
      <c r="A176" s="3" t="s">
        <v>284</v>
      </c>
      <c r="B176" s="8"/>
      <c r="C176" s="200"/>
      <c r="D176" s="200"/>
      <c r="E176" s="200"/>
      <c r="F176" s="200"/>
      <c r="G176" s="200"/>
      <c r="H176" s="200"/>
      <c r="I176" s="200"/>
      <c r="J176" s="200"/>
      <c r="K176" s="200"/>
      <c r="L176" s="210">
        <f t="shared" ref="L176:Q176" si="167">L124</f>
        <v>197.7</v>
      </c>
      <c r="M176" s="210">
        <f t="shared" si="167"/>
        <v>193.6</v>
      </c>
      <c r="N176" s="210">
        <f t="shared" si="167"/>
        <v>189.8</v>
      </c>
      <c r="O176" s="210">
        <f t="shared" si="167"/>
        <v>174.89999999999998</v>
      </c>
      <c r="P176" s="210">
        <f t="shared" si="167"/>
        <v>168.98500000000001</v>
      </c>
      <c r="Q176" s="210">
        <f t="shared" si="167"/>
        <v>163.32124999999999</v>
      </c>
      <c r="R176" s="210">
        <f>R124</f>
        <v>157.82124999999999</v>
      </c>
      <c r="S176" s="210">
        <f>S124</f>
        <v>153.32124999999999</v>
      </c>
      <c r="T176" s="210">
        <f>T124</f>
        <v>148.82124999999999</v>
      </c>
      <c r="U176" s="210">
        <f>U124</f>
        <v>144.32124999999999</v>
      </c>
      <c r="V176" s="8"/>
      <c r="W176" s="8"/>
      <c r="X176" s="8"/>
      <c r="Y176" s="8"/>
      <c r="Z176" s="8"/>
      <c r="AA176" s="8"/>
      <c r="AB176" s="8"/>
    </row>
    <row r="177" spans="1:28" x14ac:dyDescent="0.2">
      <c r="A177" s="2"/>
      <c r="B177" s="8"/>
      <c r="L177" s="1"/>
      <c r="M177" s="1"/>
      <c r="N177" s="1"/>
      <c r="O177" s="1"/>
      <c r="P177" s="1"/>
      <c r="Q177" s="1"/>
      <c r="R177" s="1"/>
      <c r="S177" s="1"/>
      <c r="T177" s="1"/>
      <c r="U177" s="1"/>
      <c r="V177" s="8"/>
      <c r="W177" s="8"/>
      <c r="X177" s="8"/>
      <c r="Y177" s="8"/>
      <c r="Z177" s="8"/>
      <c r="AA177" s="8"/>
      <c r="AB177" s="8"/>
    </row>
    <row r="178" spans="1:28" ht="13.5" thickBot="1" x14ac:dyDescent="0.25">
      <c r="A178" s="2" t="s">
        <v>490</v>
      </c>
      <c r="B178" s="2"/>
      <c r="C178" s="200">
        <f t="shared" ref="C178:P178" si="168">C126</f>
        <v>264.76900000000001</v>
      </c>
      <c r="D178" s="200">
        <f t="shared" si="168"/>
        <v>276.32799999999997</v>
      </c>
      <c r="E178" s="200">
        <f t="shared" si="168"/>
        <v>284.52</v>
      </c>
      <c r="F178" s="200">
        <f t="shared" si="168"/>
        <v>269</v>
      </c>
      <c r="G178" s="200">
        <f t="shared" si="168"/>
        <v>302</v>
      </c>
      <c r="H178" s="200">
        <f t="shared" si="168"/>
        <v>313</v>
      </c>
      <c r="I178" s="200">
        <f t="shared" si="168"/>
        <v>327</v>
      </c>
      <c r="J178" s="200">
        <f t="shared" si="168"/>
        <v>371</v>
      </c>
      <c r="K178" s="200">
        <f>K126</f>
        <v>429</v>
      </c>
      <c r="L178" s="210">
        <f t="shared" si="168"/>
        <v>454</v>
      </c>
      <c r="M178" s="210">
        <f t="shared" si="168"/>
        <v>508</v>
      </c>
      <c r="N178" s="210">
        <f t="shared" si="168"/>
        <v>576</v>
      </c>
      <c r="O178" s="210">
        <f t="shared" si="168"/>
        <v>645</v>
      </c>
      <c r="P178" s="210">
        <f t="shared" si="168"/>
        <v>666</v>
      </c>
      <c r="Q178" s="210">
        <f>Q126</f>
        <v>642</v>
      </c>
      <c r="R178" s="210">
        <f>R126</f>
        <v>632</v>
      </c>
      <c r="S178" s="210">
        <f>S126</f>
        <v>622</v>
      </c>
      <c r="T178" s="210">
        <f>T126</f>
        <v>612</v>
      </c>
      <c r="U178" s="210">
        <f>U126</f>
        <v>602</v>
      </c>
      <c r="V178" s="8"/>
      <c r="W178" s="8"/>
      <c r="X178" s="8"/>
      <c r="Y178" s="8"/>
      <c r="Z178" s="8"/>
      <c r="AA178" s="8"/>
      <c r="AB178" s="8"/>
    </row>
    <row r="179" spans="1:28" ht="13.5" thickBot="1" x14ac:dyDescent="0.25">
      <c r="A179" s="2" t="s">
        <v>169</v>
      </c>
      <c r="B179" s="8"/>
      <c r="C179" s="217">
        <f>C178+C162</f>
        <v>989.50299999999993</v>
      </c>
      <c r="D179" s="217">
        <f t="shared" ref="D179:P179" si="169">D178+D162</f>
        <v>1206.6049999999989</v>
      </c>
      <c r="E179" s="217">
        <f t="shared" si="169"/>
        <v>1432.931</v>
      </c>
      <c r="F179" s="217">
        <f t="shared" si="169"/>
        <v>1481.5820000000003</v>
      </c>
      <c r="G179" s="217">
        <f t="shared" si="169"/>
        <v>1081.5509999999999</v>
      </c>
      <c r="H179" s="217">
        <f t="shared" si="169"/>
        <v>1147</v>
      </c>
      <c r="I179" s="217">
        <f t="shared" si="169"/>
        <v>1445</v>
      </c>
      <c r="J179" s="217">
        <f t="shared" si="169"/>
        <v>1620</v>
      </c>
      <c r="K179" s="217">
        <f t="shared" si="169"/>
        <v>1769</v>
      </c>
      <c r="L179" s="217">
        <f t="shared" si="169"/>
        <v>1803</v>
      </c>
      <c r="M179" s="217">
        <f t="shared" si="169"/>
        <v>1825</v>
      </c>
      <c r="N179" s="217">
        <f t="shared" si="169"/>
        <v>1702.0000000000009</v>
      </c>
      <c r="O179" s="217">
        <f t="shared" si="169"/>
        <v>1648</v>
      </c>
      <c r="P179" s="217">
        <f t="shared" si="169"/>
        <v>1586</v>
      </c>
      <c r="Q179" s="217">
        <f>Q178+Q162</f>
        <v>1663.6398315171341</v>
      </c>
      <c r="R179" s="217">
        <f>R178+R162</f>
        <v>1659.7473311437898</v>
      </c>
      <c r="S179" s="217">
        <f>S178+S162</f>
        <v>1674.4789527200282</v>
      </c>
      <c r="T179" s="217">
        <f>T178+T162</f>
        <v>1664.7858309130929</v>
      </c>
      <c r="U179" s="217">
        <f>U178+U162</f>
        <v>1647.5576300091909</v>
      </c>
      <c r="V179" s="8"/>
      <c r="W179" s="8"/>
      <c r="X179" s="8"/>
      <c r="Y179" s="204" t="s">
        <v>498</v>
      </c>
      <c r="Z179" s="205" t="s">
        <v>288</v>
      </c>
      <c r="AA179" s="8"/>
      <c r="AB179" s="206" t="s">
        <v>288</v>
      </c>
    </row>
    <row r="180" spans="1:28" x14ac:dyDescent="0.2">
      <c r="A180" s="2"/>
      <c r="B180" s="8"/>
      <c r="L180" s="1"/>
      <c r="M180" s="1"/>
      <c r="N180" s="1"/>
      <c r="O180" s="1"/>
      <c r="P180" s="1"/>
      <c r="Q180" s="1"/>
      <c r="R180" s="1"/>
      <c r="S180" s="1"/>
      <c r="T180" s="1"/>
      <c r="U180" s="1"/>
      <c r="V180" s="8"/>
      <c r="W180" s="8"/>
      <c r="X180" s="8"/>
      <c r="Y180" s="8"/>
      <c r="Z180" s="8"/>
      <c r="AA180" s="8"/>
      <c r="AB180" s="206" t="s">
        <v>497</v>
      </c>
    </row>
    <row r="181" spans="1:28" x14ac:dyDescent="0.2">
      <c r="A181" s="5" t="s">
        <v>170</v>
      </c>
      <c r="B181" s="8"/>
      <c r="L181" s="1"/>
      <c r="M181" s="1"/>
      <c r="N181" s="1"/>
      <c r="O181" s="1"/>
      <c r="P181" s="1"/>
      <c r="Q181" s="1"/>
      <c r="R181" s="1"/>
      <c r="S181" s="1"/>
      <c r="T181" s="1"/>
      <c r="U181" s="1"/>
      <c r="V181" s="8"/>
      <c r="W181" s="8"/>
      <c r="X181" s="8"/>
      <c r="Y181" s="8"/>
      <c r="Z181" s="8"/>
      <c r="AA181" s="8"/>
      <c r="AB181" s="207" t="s">
        <v>284</v>
      </c>
    </row>
    <row r="182" spans="1:28" x14ac:dyDescent="0.2">
      <c r="A182" s="2" t="s">
        <v>171</v>
      </c>
      <c r="B182" s="8"/>
      <c r="C182" s="7">
        <f>C158/C152</f>
        <v>0.36066134439275915</v>
      </c>
      <c r="D182" s="7">
        <f t="shared" ref="D182:K182" si="170">D158/D152</f>
        <v>0.36705055232607814</v>
      </c>
      <c r="E182" s="7">
        <f t="shared" si="170"/>
        <v>0.37458966546886713</v>
      </c>
      <c r="F182" s="7">
        <f t="shared" si="170"/>
        <v>0.37400380207376371</v>
      </c>
      <c r="G182" s="7">
        <f t="shared" si="170"/>
        <v>0.34513532746351461</v>
      </c>
      <c r="H182" s="7">
        <f t="shared" si="170"/>
        <v>0.3548074594332768</v>
      </c>
      <c r="I182" s="7">
        <f t="shared" si="170"/>
        <v>0.36659505907626211</v>
      </c>
      <c r="J182" s="7">
        <f t="shared" si="170"/>
        <v>0.37201105077641233</v>
      </c>
      <c r="K182" s="7">
        <f t="shared" si="170"/>
        <v>0.36813467097432412</v>
      </c>
      <c r="L182" s="19">
        <f t="shared" ref="L182:Q182" si="171">INDEX(L183:L185,MATCH($Z$179,$AB$179:$AB$181,0))</f>
        <v>0.3640473450600033</v>
      </c>
      <c r="M182" s="19">
        <f t="shared" si="171"/>
        <v>0.35878270154831821</v>
      </c>
      <c r="N182" s="19">
        <f t="shared" si="171"/>
        <v>0.34955658034764103</v>
      </c>
      <c r="O182" s="19">
        <f t="shared" si="171"/>
        <v>0.34898958548865439</v>
      </c>
      <c r="P182" s="19">
        <f t="shared" si="171"/>
        <v>0.3466340754442756</v>
      </c>
      <c r="Q182" s="19">
        <f t="shared" si="171"/>
        <v>0.35424074714771192</v>
      </c>
      <c r="R182" s="19">
        <f>INDEX(R183:R185,MATCH($Z$179,$AB$179:$AB$181,0))</f>
        <v>0.35320000000000001</v>
      </c>
      <c r="S182" s="19">
        <f>INDEX(S183:S185,MATCH($Z$179,$AB$179:$AB$181,0))</f>
        <v>0.35259999999999997</v>
      </c>
      <c r="T182" s="19">
        <f>INDEX(T183:T185,MATCH($Z$179,$AB$179:$AB$181,0))</f>
        <v>0.35049999999999998</v>
      </c>
      <c r="U182" s="19">
        <f>INDEX(U183:U185,MATCH($Z$179,$AB$179:$AB$181,0))</f>
        <v>0.34850000000000003</v>
      </c>
      <c r="V182" s="8"/>
      <c r="W182" s="8"/>
      <c r="X182" s="8"/>
      <c r="Y182" s="8"/>
      <c r="Z182" s="8"/>
      <c r="AA182" s="8"/>
      <c r="AB182" s="8"/>
    </row>
    <row r="183" spans="1:28" hidden="1" outlineLevel="1" x14ac:dyDescent="0.2">
      <c r="A183" s="2" t="s">
        <v>288</v>
      </c>
      <c r="B183" s="8"/>
      <c r="C183" s="7"/>
      <c r="D183" s="7"/>
      <c r="E183" s="7"/>
      <c r="F183" s="7"/>
      <c r="G183" s="7"/>
      <c r="H183" s="7"/>
      <c r="I183" s="7"/>
      <c r="J183" s="7"/>
      <c r="K183" s="7"/>
      <c r="L183" s="19">
        <f t="shared" ref="L183:Q183" si="172">L81</f>
        <v>0.3640473450600033</v>
      </c>
      <c r="M183" s="19">
        <f t="shared" si="172"/>
        <v>0.35878270154831821</v>
      </c>
      <c r="N183" s="19">
        <f t="shared" si="172"/>
        <v>0.34955658034764103</v>
      </c>
      <c r="O183" s="19">
        <f t="shared" si="172"/>
        <v>0.34898958548865439</v>
      </c>
      <c r="P183" s="19">
        <f t="shared" si="172"/>
        <v>0.3466340754442756</v>
      </c>
      <c r="Q183" s="19">
        <f t="shared" si="172"/>
        <v>0.35424074714771192</v>
      </c>
      <c r="R183" s="19">
        <f>R81</f>
        <v>0.35320000000000001</v>
      </c>
      <c r="S183" s="19">
        <f>S81</f>
        <v>0.35259999999999997</v>
      </c>
      <c r="T183" s="19">
        <f>T81</f>
        <v>0.35049999999999998</v>
      </c>
      <c r="U183" s="19">
        <f>U81</f>
        <v>0.34850000000000003</v>
      </c>
      <c r="V183" s="8"/>
      <c r="W183" s="8"/>
      <c r="X183" s="8"/>
      <c r="Y183" s="8"/>
      <c r="Z183" s="8"/>
      <c r="AA183" s="8"/>
      <c r="AB183" s="8"/>
    </row>
    <row r="184" spans="1:28" hidden="1" outlineLevel="1" x14ac:dyDescent="0.2">
      <c r="A184" s="2" t="s">
        <v>497</v>
      </c>
      <c r="B184" s="8"/>
      <c r="C184" s="7"/>
      <c r="D184" s="7"/>
      <c r="E184" s="7"/>
      <c r="F184" s="7"/>
      <c r="G184" s="7"/>
      <c r="H184" s="7"/>
      <c r="I184" s="7"/>
      <c r="J184" s="7"/>
      <c r="K184" s="7"/>
      <c r="L184" s="19">
        <f t="shared" ref="L184:Q184" si="173">L33</f>
        <v>0.3640473450600033</v>
      </c>
      <c r="M184" s="19">
        <f t="shared" si="173"/>
        <v>0.35878270154831821</v>
      </c>
      <c r="N184" s="19">
        <f t="shared" si="173"/>
        <v>0.34955658034764103</v>
      </c>
      <c r="O184" s="19">
        <f t="shared" si="173"/>
        <v>0.34898958548865439</v>
      </c>
      <c r="P184" s="19">
        <f t="shared" si="173"/>
        <v>0.3466340754442756</v>
      </c>
      <c r="Q184" s="19">
        <f t="shared" si="173"/>
        <v>0.34724074714771191</v>
      </c>
      <c r="R184" s="19">
        <f>R33</f>
        <v>0.34460000000000002</v>
      </c>
      <c r="S184" s="19">
        <f>S33</f>
        <v>0.34159999999999996</v>
      </c>
      <c r="T184" s="19">
        <f>T33</f>
        <v>0.33849999999999997</v>
      </c>
      <c r="U184" s="19">
        <f>U33</f>
        <v>0.33650000000000002</v>
      </c>
      <c r="V184" s="8"/>
      <c r="W184" s="8"/>
      <c r="X184" s="8"/>
      <c r="Y184" s="8"/>
      <c r="Z184" s="8"/>
      <c r="AA184" s="8"/>
      <c r="AB184" s="8"/>
    </row>
    <row r="185" spans="1:28" hidden="1" outlineLevel="1" x14ac:dyDescent="0.2">
      <c r="A185" s="2" t="s">
        <v>284</v>
      </c>
      <c r="B185" s="8"/>
      <c r="C185" s="7"/>
      <c r="D185" s="7"/>
      <c r="E185" s="7"/>
      <c r="F185" s="7"/>
      <c r="G185" s="7"/>
      <c r="H185" s="7"/>
      <c r="I185" s="7"/>
      <c r="J185" s="7"/>
      <c r="K185" s="7"/>
      <c r="L185" s="19">
        <f t="shared" ref="L185:Q185" si="174">L130</f>
        <v>0.3640473450600033</v>
      </c>
      <c r="M185" s="19">
        <f t="shared" si="174"/>
        <v>0.35878270154831821</v>
      </c>
      <c r="N185" s="19">
        <f t="shared" si="174"/>
        <v>0.34955658034764103</v>
      </c>
      <c r="O185" s="19">
        <f t="shared" si="174"/>
        <v>0.34898958548865439</v>
      </c>
      <c r="P185" s="19">
        <f t="shared" si="174"/>
        <v>0.3466340754442756</v>
      </c>
      <c r="Q185" s="19">
        <f t="shared" si="174"/>
        <v>0.34424074714771191</v>
      </c>
      <c r="R185" s="19">
        <f>R130</f>
        <v>0.34060000000000001</v>
      </c>
      <c r="S185" s="19">
        <f>S130</f>
        <v>0.33759999999999996</v>
      </c>
      <c r="T185" s="19">
        <f>T130</f>
        <v>0.33449999999999996</v>
      </c>
      <c r="U185" s="19">
        <f>U130</f>
        <v>0.33250000000000002</v>
      </c>
      <c r="V185" s="8"/>
      <c r="W185" s="8"/>
      <c r="X185" s="8"/>
      <c r="Y185" s="8"/>
      <c r="Z185" s="8"/>
      <c r="AA185" s="8"/>
      <c r="AB185" s="8"/>
    </row>
    <row r="186" spans="1:28" hidden="1" outlineLevel="1" x14ac:dyDescent="0.2">
      <c r="B186" s="8"/>
      <c r="C186" s="7"/>
      <c r="D186" s="7"/>
      <c r="E186" s="7"/>
      <c r="F186" s="7"/>
      <c r="G186" s="7"/>
      <c r="H186" s="7"/>
      <c r="I186" s="7"/>
      <c r="J186" s="7"/>
      <c r="K186" s="7"/>
      <c r="L186" s="19"/>
      <c r="M186" s="19"/>
      <c r="N186" s="19"/>
      <c r="O186" s="19"/>
      <c r="P186" s="19"/>
      <c r="Q186" s="19"/>
      <c r="R186" s="19"/>
      <c r="S186" s="19"/>
      <c r="T186" s="19"/>
      <c r="U186" s="19"/>
      <c r="V186" s="8"/>
      <c r="W186" s="8"/>
      <c r="X186" s="8"/>
      <c r="Y186" s="8"/>
      <c r="Z186" s="8"/>
      <c r="AA186" s="8"/>
      <c r="AB186" s="8"/>
    </row>
    <row r="187" spans="1:28" collapsed="1" x14ac:dyDescent="0.2">
      <c r="A187" s="2" t="str">
        <f>A131</f>
        <v>Retail Expense Ratio</v>
      </c>
      <c r="B187" s="8"/>
      <c r="C187" s="230" t="s">
        <v>83</v>
      </c>
      <c r="D187" s="230" t="s">
        <v>83</v>
      </c>
      <c r="E187" s="230" t="s">
        <v>83</v>
      </c>
      <c r="F187" s="7">
        <f t="shared" ref="F187:K187" si="175">F159/F152</f>
        <v>0.2472865875968841</v>
      </c>
      <c r="G187" s="7">
        <f t="shared" si="175"/>
        <v>0.25497117356169341</v>
      </c>
      <c r="H187" s="7">
        <f t="shared" si="175"/>
        <v>0.25538871397432794</v>
      </c>
      <c r="I187" s="7">
        <f t="shared" si="175"/>
        <v>0.25907626208378087</v>
      </c>
      <c r="J187" s="7">
        <f t="shared" si="175"/>
        <v>0.26740973611508051</v>
      </c>
      <c r="K187" s="7">
        <f t="shared" si="175"/>
        <v>0.2696820268661792</v>
      </c>
      <c r="L187" s="19">
        <f t="shared" ref="L187:Q187" si="176">INDEX(L188:L190,MATCH($Z$179,$AB$179:$AB$181,0))</f>
        <v>0.26894624362978792</v>
      </c>
      <c r="M187" s="19">
        <f t="shared" si="176"/>
        <v>0.27373960796277935</v>
      </c>
      <c r="N187" s="19">
        <f t="shared" si="176"/>
        <v>0.28059595601277049</v>
      </c>
      <c r="O187" s="19">
        <f t="shared" si="176"/>
        <v>0.28643354714118213</v>
      </c>
      <c r="P187" s="19">
        <f t="shared" si="176"/>
        <v>0.2978133051463302</v>
      </c>
      <c r="Q187" s="19">
        <f t="shared" si="176"/>
        <v>0.30193828037858456</v>
      </c>
      <c r="R187" s="19">
        <f>INDEX(R188:R190,MATCH($Z$179,$AB$179:$AB$181,0))</f>
        <v>0.30382947905729724</v>
      </c>
      <c r="S187" s="19">
        <f>INDEX(S188:S190,MATCH($Z$179,$AB$179:$AB$181,0))</f>
        <v>0.30475737890962823</v>
      </c>
      <c r="T187" s="19">
        <f>INDEX(T188:T190,MATCH($Z$179,$AB$179:$AB$181,0))</f>
        <v>0.30548576895174928</v>
      </c>
      <c r="U187" s="19">
        <f>INDEX(U188:U190,MATCH($Z$179,$AB$179:$AB$181,0))</f>
        <v>0.30645320582286478</v>
      </c>
      <c r="V187" s="8"/>
      <c r="W187" s="8"/>
      <c r="X187" s="8"/>
      <c r="Y187" s="8"/>
      <c r="Z187" s="8"/>
      <c r="AA187" s="8"/>
      <c r="AB187" s="8"/>
    </row>
    <row r="188" spans="1:28" hidden="1" outlineLevel="1" x14ac:dyDescent="0.2">
      <c r="A188" s="3" t="s">
        <v>288</v>
      </c>
      <c r="B188" s="8"/>
      <c r="C188" s="7"/>
      <c r="D188" s="7"/>
      <c r="E188" s="7"/>
      <c r="F188" s="7"/>
      <c r="G188" s="7"/>
      <c r="H188" s="7"/>
      <c r="I188" s="7"/>
      <c r="J188" s="7"/>
      <c r="K188" s="7"/>
      <c r="L188" s="19">
        <f t="shared" ref="L188:Q188" si="177">L82</f>
        <v>0.26894624362978792</v>
      </c>
      <c r="M188" s="19">
        <f t="shared" si="177"/>
        <v>0.27373960796277935</v>
      </c>
      <c r="N188" s="19">
        <f t="shared" si="177"/>
        <v>0.28059595601277049</v>
      </c>
      <c r="O188" s="19">
        <f t="shared" si="177"/>
        <v>0.28643354714118213</v>
      </c>
      <c r="P188" s="19">
        <f t="shared" si="177"/>
        <v>0.2978133051463302</v>
      </c>
      <c r="Q188" s="19">
        <f t="shared" si="177"/>
        <v>0.30193828037858456</v>
      </c>
      <c r="R188" s="19">
        <f>R82</f>
        <v>0.30382947905729724</v>
      </c>
      <c r="S188" s="19">
        <f>S82</f>
        <v>0.30475737890962823</v>
      </c>
      <c r="T188" s="19">
        <f>T82</f>
        <v>0.30548576895174928</v>
      </c>
      <c r="U188" s="19">
        <f>U82</f>
        <v>0.30645320582286478</v>
      </c>
      <c r="V188" s="8"/>
      <c r="W188" s="8"/>
      <c r="X188" s="8"/>
      <c r="Y188" s="8"/>
      <c r="Z188" s="8"/>
      <c r="AA188" s="8"/>
      <c r="AB188" s="8"/>
    </row>
    <row r="189" spans="1:28" hidden="1" outlineLevel="1" x14ac:dyDescent="0.2">
      <c r="A189" s="3" t="s">
        <v>497</v>
      </c>
      <c r="B189" s="8"/>
      <c r="C189" s="7"/>
      <c r="D189" s="7"/>
      <c r="E189" s="7"/>
      <c r="F189" s="7"/>
      <c r="G189" s="7"/>
      <c r="H189" s="7"/>
      <c r="I189" s="7"/>
      <c r="J189" s="7"/>
      <c r="K189" s="7"/>
      <c r="L189" s="19">
        <f t="shared" ref="L189:Q189" si="178">L34</f>
        <v>0.26894624362978792</v>
      </c>
      <c r="M189" s="19">
        <f t="shared" si="178"/>
        <v>0.27373960796277935</v>
      </c>
      <c r="N189" s="19">
        <f t="shared" si="178"/>
        <v>0.28059595601277049</v>
      </c>
      <c r="O189" s="19">
        <f t="shared" si="178"/>
        <v>0.28643354714118213</v>
      </c>
      <c r="P189" s="19">
        <f t="shared" si="178"/>
        <v>0.2978133051463302</v>
      </c>
      <c r="Q189" s="19">
        <f t="shared" si="178"/>
        <v>0.30569584758174173</v>
      </c>
      <c r="R189" s="19">
        <f>R34</f>
        <v>0.3075</v>
      </c>
      <c r="S189" s="19">
        <f>S34</f>
        <v>0.30840000000000001</v>
      </c>
      <c r="T189" s="19">
        <f>T34</f>
        <v>0.309</v>
      </c>
      <c r="U189" s="19">
        <f>U34</f>
        <v>0.30980000000000002</v>
      </c>
      <c r="V189" s="8"/>
      <c r="W189" s="8"/>
      <c r="X189" s="8"/>
      <c r="Y189" s="8"/>
      <c r="Z189" s="8"/>
      <c r="AA189" s="8"/>
      <c r="AB189" s="8"/>
    </row>
    <row r="190" spans="1:28" hidden="1" outlineLevel="1" x14ac:dyDescent="0.2">
      <c r="A190" s="3" t="s">
        <v>284</v>
      </c>
      <c r="B190" s="8"/>
      <c r="C190" s="7"/>
      <c r="D190" s="7"/>
      <c r="E190" s="7"/>
      <c r="F190" s="7"/>
      <c r="G190" s="7"/>
      <c r="H190" s="7"/>
      <c r="I190" s="7"/>
      <c r="J190" s="7"/>
      <c r="K190" s="7"/>
      <c r="L190" s="19">
        <f t="shared" ref="L190:Q190" si="179">L131</f>
        <v>0.26894624362978792</v>
      </c>
      <c r="M190" s="19">
        <f t="shared" si="179"/>
        <v>0.27373960796277935</v>
      </c>
      <c r="N190" s="19">
        <f t="shared" si="179"/>
        <v>0.28059595601277049</v>
      </c>
      <c r="O190" s="19">
        <f t="shared" si="179"/>
        <v>0.28643354714118213</v>
      </c>
      <c r="P190" s="19">
        <f t="shared" si="179"/>
        <v>0.2978133051463302</v>
      </c>
      <c r="Q190" s="19">
        <f t="shared" si="179"/>
        <v>0.30869584758174173</v>
      </c>
      <c r="R190" s="19">
        <f>R131</f>
        <v>0.3105</v>
      </c>
      <c r="S190" s="19">
        <f>S131</f>
        <v>0.31140000000000001</v>
      </c>
      <c r="T190" s="19">
        <f>T131</f>
        <v>0.312</v>
      </c>
      <c r="U190" s="19">
        <f>U131</f>
        <v>0.31280000000000002</v>
      </c>
      <c r="V190" s="8"/>
      <c r="W190" s="8"/>
      <c r="X190" s="8"/>
      <c r="Y190" s="8"/>
      <c r="Z190" s="8"/>
      <c r="AA190" s="8"/>
      <c r="AB190" s="8"/>
    </row>
    <row r="191" spans="1:28" collapsed="1" x14ac:dyDescent="0.2">
      <c r="A191" s="2" t="str">
        <f>A132</f>
        <v>Total Expense Ratio</v>
      </c>
      <c r="B191" s="8"/>
      <c r="C191" s="7">
        <f>C161/C154</f>
        <v>0.27657924621681174</v>
      </c>
      <c r="D191" s="7">
        <f t="shared" ref="D191:P191" si="180">D161/D154</f>
        <v>0.26527023856397414</v>
      </c>
      <c r="E191" s="7">
        <f t="shared" si="180"/>
        <v>0.26103020687167489</v>
      </c>
      <c r="F191" s="7">
        <f t="shared" si="180"/>
        <v>0.25937600288390944</v>
      </c>
      <c r="G191" s="7">
        <f t="shared" si="180"/>
        <v>0.27776736070722347</v>
      </c>
      <c r="H191" s="7">
        <f t="shared" si="180"/>
        <v>0.2857308450214443</v>
      </c>
      <c r="I191" s="7">
        <f t="shared" si="180"/>
        <v>0.27680412371134022</v>
      </c>
      <c r="J191" s="7">
        <f t="shared" si="180"/>
        <v>0.27912108118047257</v>
      </c>
      <c r="K191" s="7">
        <f t="shared" si="180"/>
        <v>0.27707268831382892</v>
      </c>
      <c r="L191" s="7">
        <f t="shared" si="180"/>
        <v>0.27543859649122809</v>
      </c>
      <c r="M191" s="7">
        <f t="shared" si="180"/>
        <v>0.28002369317340442</v>
      </c>
      <c r="N191" s="7">
        <f t="shared" si="180"/>
        <v>0.28697097734986488</v>
      </c>
      <c r="O191" s="7">
        <f t="shared" si="180"/>
        <v>0.29245155170077247</v>
      </c>
      <c r="P191" s="7">
        <f t="shared" si="180"/>
        <v>0.30158935262953868</v>
      </c>
      <c r="Q191" s="7">
        <f>Q161/Q154</f>
        <v>0.30513523801041792</v>
      </c>
      <c r="R191" s="7">
        <f>R161/R154</f>
        <v>0.30706497747349432</v>
      </c>
      <c r="S191" s="7">
        <f>S161/S154</f>
        <v>0.3080699731028867</v>
      </c>
      <c r="T191" s="7">
        <f>T161/T154</f>
        <v>0.30887023301851679</v>
      </c>
      <c r="U191" s="7">
        <f>U161/U154</f>
        <v>0.30994139167523893</v>
      </c>
      <c r="V191" s="8"/>
      <c r="W191" s="8"/>
      <c r="X191" s="8"/>
      <c r="Y191" s="8"/>
      <c r="Z191" s="8"/>
      <c r="AA191" s="8"/>
      <c r="AB191" s="8"/>
    </row>
    <row r="192" spans="1:28" x14ac:dyDescent="0.2">
      <c r="A192" s="2" t="s">
        <v>173</v>
      </c>
      <c r="B192" s="8"/>
      <c r="C192" s="7">
        <f t="shared" ref="C192:P192" si="181">C162/C154</f>
        <v>9.9219438266623133E-2</v>
      </c>
      <c r="D192" s="7">
        <f t="shared" si="181"/>
        <v>0.11747455412739477</v>
      </c>
      <c r="E192" s="7">
        <f t="shared" si="181"/>
        <v>0.13051277368467648</v>
      </c>
      <c r="F192" s="7">
        <f t="shared" si="181"/>
        <v>0.13326892895295625</v>
      </c>
      <c r="G192" s="7">
        <f t="shared" si="181"/>
        <v>9.0677096661626141E-2</v>
      </c>
      <c r="H192" s="7">
        <f t="shared" si="181"/>
        <v>9.6673235191839568E-2</v>
      </c>
      <c r="I192" s="7">
        <f t="shared" si="181"/>
        <v>0.11525773195876289</v>
      </c>
      <c r="J192" s="7">
        <f t="shared" si="181"/>
        <v>0.11482945665165027</v>
      </c>
      <c r="K192" s="7">
        <f t="shared" si="181"/>
        <v>0.11043349266523818</v>
      </c>
      <c r="L192" s="19">
        <f t="shared" si="181"/>
        <v>0.10757575757575757</v>
      </c>
      <c r="M192" s="19">
        <f t="shared" si="181"/>
        <v>9.7512216792536646E-2</v>
      </c>
      <c r="N192" s="19">
        <f t="shared" si="181"/>
        <v>7.799404308374322E-2</v>
      </c>
      <c r="O192" s="19">
        <f t="shared" si="181"/>
        <v>6.7963138636671624E-2</v>
      </c>
      <c r="P192" s="19">
        <f t="shared" si="181"/>
        <v>5.9439204031528609E-2</v>
      </c>
      <c r="Q192" s="19">
        <f>Q162/Q154</f>
        <v>6.4366363998482196E-2</v>
      </c>
      <c r="R192" s="19">
        <f>R162/R154</f>
        <v>6.1824079534330743E-2</v>
      </c>
      <c r="S192" s="19">
        <f>S162/S154</f>
        <v>6.0720452605114064E-2</v>
      </c>
      <c r="T192" s="19">
        <f>T162/T154</f>
        <v>5.8316878274498524E-2</v>
      </c>
      <c r="U192" s="19">
        <f>U162/U154</f>
        <v>5.5937712207600264E-2</v>
      </c>
      <c r="V192" s="8"/>
      <c r="W192" s="8"/>
      <c r="X192" s="8"/>
      <c r="Y192" s="8"/>
      <c r="Z192" s="8"/>
      <c r="AA192" s="8"/>
      <c r="AB192" s="8"/>
    </row>
    <row r="193" spans="1:28" x14ac:dyDescent="0.2">
      <c r="A193" s="2" t="s">
        <v>175</v>
      </c>
      <c r="B193" s="8"/>
      <c r="C193" s="7">
        <f t="shared" ref="C193:J193" si="182">C167/C165</f>
        <v>0.39213447735692247</v>
      </c>
      <c r="D193" s="7">
        <f t="shared" si="182"/>
        <v>0.37718130780989928</v>
      </c>
      <c r="E193" s="7">
        <f t="shared" si="182"/>
        <v>0.38678862174660578</v>
      </c>
      <c r="F193" s="7">
        <f t="shared" si="182"/>
        <v>0.39040953265427863</v>
      </c>
      <c r="G193" s="7">
        <f t="shared" si="182"/>
        <v>0.39164229181668059</v>
      </c>
      <c r="H193" s="7">
        <f t="shared" si="182"/>
        <v>0.38505747126436779</v>
      </c>
      <c r="I193" s="7">
        <f t="shared" si="182"/>
        <v>0.38143289606458125</v>
      </c>
      <c r="J193" s="7">
        <f t="shared" si="182"/>
        <v>0.3896336014298481</v>
      </c>
      <c r="K193" s="7">
        <f>K167/K165</f>
        <v>0.38135593220338981</v>
      </c>
      <c r="L193" s="19">
        <f t="shared" ref="L193:Q193" si="183">L37</f>
        <v>0.382996632996633</v>
      </c>
      <c r="M193" s="19">
        <f t="shared" si="183"/>
        <v>0.39397794741306191</v>
      </c>
      <c r="N193" s="19">
        <f t="shared" si="183"/>
        <v>0.37388611388611387</v>
      </c>
      <c r="O193" s="19">
        <f t="shared" si="183"/>
        <v>0.37461975028376843</v>
      </c>
      <c r="P193" s="19">
        <f t="shared" si="183"/>
        <v>0.39496173469387752</v>
      </c>
      <c r="Q193" s="19">
        <f t="shared" si="183"/>
        <v>0.27492697934661886</v>
      </c>
      <c r="R193" s="19">
        <f>R37</f>
        <v>0.27492697934661869</v>
      </c>
      <c r="S193" s="19">
        <f>S37</f>
        <v>0.27492697934661908</v>
      </c>
      <c r="T193" s="19">
        <f>T37</f>
        <v>0.27492697934661886</v>
      </c>
      <c r="U193" s="19">
        <f>U37</f>
        <v>0.27492697934661942</v>
      </c>
      <c r="V193" s="8"/>
      <c r="W193" s="8"/>
      <c r="X193" s="8"/>
      <c r="Y193" s="8"/>
      <c r="Z193" s="8"/>
      <c r="AA193" s="8"/>
      <c r="AB193" s="8"/>
    </row>
    <row r="194" spans="1:28" x14ac:dyDescent="0.2">
      <c r="A194" s="2"/>
      <c r="B194" s="8"/>
      <c r="L194" s="1"/>
      <c r="M194" s="1"/>
      <c r="N194" s="1"/>
      <c r="O194" s="1"/>
      <c r="P194" s="1"/>
      <c r="Q194" s="1"/>
      <c r="R194" s="1"/>
      <c r="S194" s="1"/>
      <c r="T194" s="1"/>
      <c r="U194" s="1"/>
      <c r="V194" s="8"/>
      <c r="W194" s="8"/>
      <c r="X194" s="8"/>
      <c r="Y194" s="8"/>
      <c r="Z194" s="8"/>
      <c r="AA194" s="8"/>
      <c r="AB194" s="8"/>
    </row>
    <row r="195" spans="1:28" x14ac:dyDescent="0.2">
      <c r="A195" s="5" t="s">
        <v>178</v>
      </c>
      <c r="B195" s="8"/>
      <c r="L195" s="1"/>
      <c r="M195" s="1"/>
      <c r="N195" s="1"/>
      <c r="O195" s="1"/>
      <c r="P195" s="1"/>
      <c r="Q195" s="1"/>
      <c r="R195" s="1"/>
      <c r="S195" s="1"/>
      <c r="T195" s="1"/>
      <c r="U195" s="1"/>
      <c r="V195" s="8"/>
      <c r="W195" s="8"/>
      <c r="X195" s="8"/>
      <c r="Y195" s="8"/>
      <c r="Z195" s="8"/>
      <c r="AA195" s="8"/>
      <c r="AB195" s="8"/>
    </row>
    <row r="196" spans="1:28" x14ac:dyDescent="0.2">
      <c r="A196" s="2" t="str">
        <f>A137</f>
        <v>Retail Sales</v>
      </c>
      <c r="B196" s="8"/>
      <c r="C196" s="208" t="s">
        <v>83</v>
      </c>
      <c r="D196" s="10">
        <f t="shared" ref="D196:K197" si="184">((D152/C152)-1)</f>
        <v>8.2900681814389365E-2</v>
      </c>
      <c r="E196" s="10">
        <f t="shared" si="184"/>
        <v>0.10852364459071628</v>
      </c>
      <c r="F196" s="10">
        <f t="shared" si="184"/>
        <v>3.1202595863094373E-2</v>
      </c>
      <c r="G196" s="10">
        <f t="shared" si="184"/>
        <v>-6.0809391770148324E-2</v>
      </c>
      <c r="H196" s="10">
        <f t="shared" si="184"/>
        <v>-3.9802195151369402E-3</v>
      </c>
      <c r="I196" s="10">
        <f t="shared" si="184"/>
        <v>0.1273916202470331</v>
      </c>
      <c r="J196" s="10">
        <f t="shared" si="184"/>
        <v>0.12749731471535974</v>
      </c>
      <c r="K196" s="10">
        <f t="shared" si="184"/>
        <v>0.12051062208249985</v>
      </c>
      <c r="L196" s="10">
        <f t="shared" ref="L196:Q196" si="185">L199+L208</f>
        <v>3.4347900017003941E-2</v>
      </c>
      <c r="M196" s="10">
        <f t="shared" si="185"/>
        <v>7.7675489067894121E-2</v>
      </c>
      <c r="N196" s="10">
        <f t="shared" si="185"/>
        <v>7.5051483487148296E-2</v>
      </c>
      <c r="O196" s="10">
        <f t="shared" si="185"/>
        <v>2.8662646328485367E-2</v>
      </c>
      <c r="P196" s="10">
        <f t="shared" si="185"/>
        <v>4.4003034692047693E-2</v>
      </c>
      <c r="Q196" s="10">
        <f t="shared" si="185"/>
        <v>2.3793525311257314E-2</v>
      </c>
      <c r="R196" s="10">
        <f>R199+R208</f>
        <v>4.6675860979254677E-2</v>
      </c>
      <c r="S196" s="10">
        <f>S199+S208</f>
        <v>4.1873289755020124E-2</v>
      </c>
      <c r="T196" s="10">
        <f>T199+T208</f>
        <v>4.0788827792262658E-2</v>
      </c>
      <c r="U196" s="10">
        <f>U199+U208</f>
        <v>3.4329702068368259E-2</v>
      </c>
      <c r="V196" s="8"/>
      <c r="W196" s="8"/>
      <c r="X196" s="8"/>
      <c r="Y196" s="8"/>
      <c r="Z196" s="8"/>
      <c r="AA196" s="8"/>
      <c r="AB196" s="8"/>
    </row>
    <row r="197" spans="1:28" x14ac:dyDescent="0.2">
      <c r="A197" s="2" t="str">
        <f>A138</f>
        <v>Credit Revenues</v>
      </c>
      <c r="B197" s="8"/>
      <c r="C197" s="208" t="s">
        <v>83</v>
      </c>
      <c r="D197" s="10">
        <f t="shared" si="184"/>
        <v>0.13537486556186451</v>
      </c>
      <c r="E197" s="10">
        <f t="shared" si="184"/>
        <v>0.21477026187396242</v>
      </c>
      <c r="F197" s="10">
        <f t="shared" si="184"/>
        <v>0.13592285923907355</v>
      </c>
      <c r="G197" s="10">
        <f t="shared" si="184"/>
        <v>0.12937633329150455</v>
      </c>
      <c r="H197" s="10">
        <f t="shared" si="184"/>
        <v>0.20588235294117641</v>
      </c>
      <c r="I197" s="10">
        <f t="shared" si="184"/>
        <v>5.6910569105691033E-2</v>
      </c>
      <c r="J197" s="10">
        <f t="shared" si="184"/>
        <v>-2.5641025641025661E-2</v>
      </c>
      <c r="K197" s="10">
        <f t="shared" si="184"/>
        <v>-2.1052631578947323E-2</v>
      </c>
      <c r="L197" s="10">
        <f t="shared" ref="L197:U198" si="186">((L153/K153)-1)</f>
        <v>5.3763440860215006E-3</v>
      </c>
      <c r="M197" s="10">
        <f t="shared" si="186"/>
        <v>5.6149732620320858E-2</v>
      </c>
      <c r="N197" s="10">
        <f t="shared" si="186"/>
        <v>-0.13417721518987347</v>
      </c>
      <c r="O197" s="10">
        <f t="shared" si="186"/>
        <v>-0.24269005847953218</v>
      </c>
      <c r="P197" s="10">
        <f t="shared" si="186"/>
        <v>0.31660231660231664</v>
      </c>
      <c r="Q197" s="10">
        <f t="shared" si="186"/>
        <v>0.10000000000000009</v>
      </c>
      <c r="R197" s="10">
        <f t="shared" si="186"/>
        <v>7.4999999999999956E-2</v>
      </c>
      <c r="S197" s="10">
        <f t="shared" si="186"/>
        <v>7.4999999999999956E-2</v>
      </c>
      <c r="T197" s="10">
        <f t="shared" si="186"/>
        <v>7.0000000000000062E-2</v>
      </c>
      <c r="U197" s="10">
        <f t="shared" si="186"/>
        <v>7.4999999999999956E-2</v>
      </c>
      <c r="V197" s="8"/>
      <c r="W197" s="8"/>
      <c r="X197" s="8"/>
      <c r="Y197" s="8"/>
      <c r="Z197" s="8"/>
      <c r="AA197" s="8"/>
      <c r="AB197" s="8"/>
    </row>
    <row r="198" spans="1:28" x14ac:dyDescent="0.2">
      <c r="A198" s="2" t="str">
        <f>A139</f>
        <v>Total Sales</v>
      </c>
      <c r="B198" s="8"/>
      <c r="C198" s="208" t="s">
        <v>83</v>
      </c>
      <c r="D198" s="10">
        <f>((D154/C154)-1)</f>
        <v>8.4143089978512942E-2</v>
      </c>
      <c r="E198" s="10">
        <f t="shared" ref="E198:K198" si="187">((E154/D154)-1)</f>
        <v>0.11115807291002389</v>
      </c>
      <c r="F198" s="10">
        <f t="shared" si="187"/>
        <v>3.4041301146703562E-2</v>
      </c>
      <c r="G198" s="10">
        <f t="shared" si="187"/>
        <v>-5.5145975935182445E-2</v>
      </c>
      <c r="H198" s="10">
        <f t="shared" si="187"/>
        <v>3.489589391648229E-3</v>
      </c>
      <c r="I198" s="10">
        <f t="shared" si="187"/>
        <v>0.12437695606815802</v>
      </c>
      <c r="J198" s="10">
        <f t="shared" si="187"/>
        <v>0.12134020618556707</v>
      </c>
      <c r="K198" s="10">
        <f t="shared" si="187"/>
        <v>0.11556495357175689</v>
      </c>
      <c r="L198" s="10">
        <f t="shared" si="186"/>
        <v>3.3459700016482685E-2</v>
      </c>
      <c r="M198" s="10">
        <f t="shared" si="186"/>
        <v>7.7033492822966565E-2</v>
      </c>
      <c r="N198" s="10">
        <f t="shared" si="186"/>
        <v>6.8932326373463804E-2</v>
      </c>
      <c r="O198" s="10">
        <f t="shared" si="186"/>
        <v>2.2234536260996141E-2</v>
      </c>
      <c r="P198" s="10">
        <f t="shared" si="186"/>
        <v>4.8787098522835137E-2</v>
      </c>
      <c r="Q198" s="10">
        <f t="shared" si="186"/>
        <v>2.547245074534854E-2</v>
      </c>
      <c r="R198" s="10">
        <f t="shared" si="186"/>
        <v>4.7345228971667153E-2</v>
      </c>
      <c r="S198" s="10">
        <f t="shared" si="186"/>
        <v>4.2676825385068451E-2</v>
      </c>
      <c r="T198" s="10">
        <f t="shared" si="186"/>
        <v>4.151935190945899E-2</v>
      </c>
      <c r="U198" s="10">
        <f t="shared" si="186"/>
        <v>3.5374613212179051E-2</v>
      </c>
      <c r="V198" s="8"/>
      <c r="W198" s="8"/>
      <c r="X198" s="8"/>
      <c r="Y198" s="8"/>
      <c r="Z198" s="8"/>
      <c r="AA198" s="8"/>
      <c r="AB198" s="8"/>
    </row>
    <row r="199" spans="1:28" x14ac:dyDescent="0.2">
      <c r="A199" s="2" t="s">
        <v>179</v>
      </c>
      <c r="B199" s="8"/>
      <c r="C199" s="7">
        <f t="shared" ref="C199:K199" si="188">C43</f>
        <v>8.5000000000000006E-2</v>
      </c>
      <c r="D199" s="7">
        <f t="shared" si="188"/>
        <v>0.06</v>
      </c>
      <c r="E199" s="7">
        <f t="shared" si="188"/>
        <v>7.4999999999999997E-2</v>
      </c>
      <c r="F199" s="7">
        <f t="shared" si="188"/>
        <v>3.9E-2</v>
      </c>
      <c r="G199" s="7">
        <f t="shared" si="188"/>
        <v>-0.09</v>
      </c>
      <c r="H199" s="7">
        <f t="shared" si="188"/>
        <v>-4.2000000000000003E-2</v>
      </c>
      <c r="I199" s="7">
        <f t="shared" si="188"/>
        <v>8.1000000000000003E-2</v>
      </c>
      <c r="J199" s="7">
        <f t="shared" si="188"/>
        <v>7.2000000000000008E-2</v>
      </c>
      <c r="K199" s="7">
        <f t="shared" si="188"/>
        <v>7.2999999999999995E-2</v>
      </c>
      <c r="L199" s="19">
        <f t="shared" ref="L199:Q199" si="189">INDEX(L200:L202,MATCH($Z$179,$AB$179:$AB$181,0))</f>
        <v>2.5000000000000001E-2</v>
      </c>
      <c r="M199" s="19">
        <f t="shared" si="189"/>
        <v>0.04</v>
      </c>
      <c r="N199" s="19">
        <f t="shared" si="189"/>
        <v>2.7000000000000003E-2</v>
      </c>
      <c r="O199" s="19">
        <f t="shared" si="189"/>
        <v>-4.0000000000000001E-3</v>
      </c>
      <c r="P199" s="19">
        <f t="shared" si="189"/>
        <v>8.0000000000000002E-3</v>
      </c>
      <c r="Q199" s="19">
        <f t="shared" si="189"/>
        <v>0.01</v>
      </c>
      <c r="R199" s="19">
        <f>INDEX(R200:R202,MATCH($Z$179,$AB$179:$AB$181,0))</f>
        <v>0.01</v>
      </c>
      <c r="S199" s="19">
        <f>INDEX(S200:S202,MATCH($Z$179,$AB$179:$AB$181,0))</f>
        <v>0.01</v>
      </c>
      <c r="T199" s="19">
        <f>INDEX(T200:T202,MATCH($Z$179,$AB$179:$AB$181,0))</f>
        <v>0.01</v>
      </c>
      <c r="U199" s="19">
        <f>INDEX(U200:U202,MATCH($Z$179,$AB$179:$AB$181,0))</f>
        <v>0.01</v>
      </c>
      <c r="V199" s="8"/>
      <c r="W199" s="8"/>
      <c r="X199" s="8"/>
      <c r="Y199" s="8"/>
      <c r="Z199" s="8"/>
      <c r="AA199" s="8"/>
      <c r="AB199" s="8"/>
    </row>
    <row r="200" spans="1:28" hidden="1" outlineLevel="1" x14ac:dyDescent="0.2">
      <c r="A200" s="3" t="s">
        <v>288</v>
      </c>
      <c r="B200" s="8"/>
      <c r="C200" s="81"/>
      <c r="D200" s="81"/>
      <c r="E200" s="81"/>
      <c r="F200" s="81"/>
      <c r="G200" s="81"/>
      <c r="H200" s="7"/>
      <c r="I200" s="7"/>
      <c r="J200" s="7"/>
      <c r="K200" s="7"/>
      <c r="L200" s="19">
        <f t="shared" ref="L200:Q200" si="190">L91</f>
        <v>2.5000000000000001E-2</v>
      </c>
      <c r="M200" s="19">
        <f t="shared" si="190"/>
        <v>0.04</v>
      </c>
      <c r="N200" s="19">
        <f t="shared" si="190"/>
        <v>2.7000000000000003E-2</v>
      </c>
      <c r="O200" s="19">
        <f t="shared" si="190"/>
        <v>-4.0000000000000001E-3</v>
      </c>
      <c r="P200" s="19">
        <f t="shared" si="190"/>
        <v>8.0000000000000002E-3</v>
      </c>
      <c r="Q200" s="19">
        <f t="shared" si="190"/>
        <v>0.01</v>
      </c>
      <c r="R200" s="19">
        <f>R91</f>
        <v>0.01</v>
      </c>
      <c r="S200" s="19">
        <f>S91</f>
        <v>0.01</v>
      </c>
      <c r="T200" s="19">
        <f>T91</f>
        <v>0.01</v>
      </c>
      <c r="U200" s="19">
        <f>U91</f>
        <v>0.01</v>
      </c>
      <c r="V200" s="8"/>
      <c r="W200" s="8"/>
      <c r="X200" s="8"/>
      <c r="Y200" s="8"/>
      <c r="Z200" s="8"/>
      <c r="AA200" s="8"/>
      <c r="AB200" s="8"/>
    </row>
    <row r="201" spans="1:28" hidden="1" outlineLevel="1" x14ac:dyDescent="0.2">
      <c r="A201" s="3" t="s">
        <v>497</v>
      </c>
      <c r="B201" s="8"/>
      <c r="C201" s="81"/>
      <c r="D201" s="81"/>
      <c r="E201" s="81"/>
      <c r="F201" s="81"/>
      <c r="G201" s="81"/>
      <c r="H201" s="7"/>
      <c r="I201" s="7"/>
      <c r="J201" s="7"/>
      <c r="K201" s="7"/>
      <c r="L201" s="19">
        <f t="shared" ref="L201:Q201" si="191">L43</f>
        <v>2.5000000000000001E-2</v>
      </c>
      <c r="M201" s="19">
        <f t="shared" si="191"/>
        <v>0.04</v>
      </c>
      <c r="N201" s="19">
        <f t="shared" si="191"/>
        <v>2.7000000000000003E-2</v>
      </c>
      <c r="O201" s="19">
        <f t="shared" si="191"/>
        <v>-4.0000000000000001E-3</v>
      </c>
      <c r="P201" s="19">
        <f t="shared" si="191"/>
        <v>8.0000000000000002E-3</v>
      </c>
      <c r="Q201" s="19">
        <f t="shared" si="191"/>
        <v>5.4937506829665474E-3</v>
      </c>
      <c r="R201" s="19">
        <f>R43</f>
        <v>0</v>
      </c>
      <c r="S201" s="19">
        <f>S43</f>
        <v>0</v>
      </c>
      <c r="T201" s="19">
        <f>T43</f>
        <v>0</v>
      </c>
      <c r="U201" s="19">
        <f>U43</f>
        <v>0</v>
      </c>
      <c r="V201" s="8"/>
      <c r="W201" s="8"/>
      <c r="X201" s="8"/>
      <c r="Y201" s="8"/>
      <c r="Z201" s="8"/>
      <c r="AA201" s="8"/>
      <c r="AB201" s="8"/>
    </row>
    <row r="202" spans="1:28" hidden="1" outlineLevel="1" x14ac:dyDescent="0.2">
      <c r="A202" s="3" t="s">
        <v>284</v>
      </c>
      <c r="B202" s="8"/>
      <c r="C202" s="81"/>
      <c r="D202" s="81"/>
      <c r="E202" s="81"/>
      <c r="F202" s="81"/>
      <c r="G202" s="81"/>
      <c r="H202" s="7"/>
      <c r="I202" s="7"/>
      <c r="J202" s="7"/>
      <c r="K202" s="7"/>
      <c r="L202" s="19">
        <f t="shared" ref="L202:Q202" si="192">L140</f>
        <v>2.5000000000000001E-2</v>
      </c>
      <c r="M202" s="19">
        <f t="shared" si="192"/>
        <v>0.04</v>
      </c>
      <c r="N202" s="19">
        <f t="shared" si="192"/>
        <v>2.7000000000000003E-2</v>
      </c>
      <c r="O202" s="19">
        <f t="shared" si="192"/>
        <v>-4.0000000000000001E-3</v>
      </c>
      <c r="P202" s="19">
        <f t="shared" si="192"/>
        <v>8.0000000000000002E-3</v>
      </c>
      <c r="Q202" s="19">
        <f t="shared" si="192"/>
        <v>-0.02</v>
      </c>
      <c r="R202" s="19">
        <f>R140</f>
        <v>-0.02</v>
      </c>
      <c r="S202" s="19">
        <f>S140</f>
        <v>-0.02</v>
      </c>
      <c r="T202" s="19">
        <f>T140</f>
        <v>-0.02</v>
      </c>
      <c r="U202" s="19">
        <f>U140</f>
        <v>-0.02</v>
      </c>
      <c r="V202" s="8"/>
      <c r="W202" s="8"/>
      <c r="X202" s="8"/>
      <c r="Y202" s="8"/>
      <c r="Z202" s="8"/>
      <c r="AA202" s="8"/>
      <c r="AB202" s="8"/>
    </row>
    <row r="203" spans="1:28" collapsed="1" x14ac:dyDescent="0.2">
      <c r="A203" s="2" t="str">
        <f>A141</f>
        <v>Retail SG&amp;A</v>
      </c>
      <c r="B203" s="8"/>
      <c r="C203" s="208" t="s">
        <v>83</v>
      </c>
      <c r="D203" s="208" t="s">
        <v>83</v>
      </c>
      <c r="E203" s="208" t="s">
        <v>83</v>
      </c>
      <c r="F203" s="208" t="s">
        <v>83</v>
      </c>
      <c r="G203" s="7">
        <f t="shared" ref="G203:U203" si="193">G159/F159-1</f>
        <v>-3.1623453962437043E-2</v>
      </c>
      <c r="H203" s="7">
        <f t="shared" si="193"/>
        <v>-2.3491390116964217E-3</v>
      </c>
      <c r="I203" s="7">
        <f t="shared" si="193"/>
        <v>0.14366998577524903</v>
      </c>
      <c r="J203" s="7">
        <f t="shared" si="193"/>
        <v>0.1637645107794361</v>
      </c>
      <c r="K203" s="7">
        <f t="shared" si="193"/>
        <v>0.13003206270039191</v>
      </c>
      <c r="L203" s="19">
        <f t="shared" si="193"/>
        <v>3.1525851197982346E-2</v>
      </c>
      <c r="M203" s="19">
        <f t="shared" si="193"/>
        <v>9.6882640586797075E-2</v>
      </c>
      <c r="N203" s="19">
        <f t="shared" si="193"/>
        <v>0.10197826692672063</v>
      </c>
      <c r="O203" s="19">
        <f t="shared" si="193"/>
        <v>5.0063211125158213E-2</v>
      </c>
      <c r="P203" s="19">
        <f t="shared" si="193"/>
        <v>8.5480375632073224E-2</v>
      </c>
      <c r="Q203" s="19">
        <f t="shared" si="193"/>
        <v>3.7973962725819099E-2</v>
      </c>
      <c r="R203" s="19">
        <f t="shared" si="193"/>
        <v>5.323174386645424E-2</v>
      </c>
      <c r="S203" s="19">
        <f t="shared" si="193"/>
        <v>4.5055186635832634E-2</v>
      </c>
      <c r="T203" s="19">
        <f t="shared" si="193"/>
        <v>4.327638107424403E-2</v>
      </c>
      <c r="U203" s="19">
        <f t="shared" si="193"/>
        <v>3.7605300450919366E-2</v>
      </c>
      <c r="V203" s="8"/>
      <c r="W203" s="8"/>
      <c r="X203" s="8"/>
      <c r="Y203" s="8"/>
      <c r="Z203" s="8"/>
      <c r="AA203" s="8"/>
      <c r="AB203" s="8"/>
    </row>
    <row r="204" spans="1:28" x14ac:dyDescent="0.2">
      <c r="A204" s="2" t="str">
        <f>A142</f>
        <v>SG&amp;A Expense</v>
      </c>
      <c r="B204" s="8"/>
      <c r="C204" s="208" t="s">
        <v>83</v>
      </c>
      <c r="D204" s="10">
        <f t="shared" ref="D204:G205" si="194">((D161/C161)-1)</f>
        <v>3.9813724456535748E-2</v>
      </c>
      <c r="E204" s="10">
        <f t="shared" si="194"/>
        <v>9.3397522500006991E-2</v>
      </c>
      <c r="F204" s="10">
        <f t="shared" si="194"/>
        <v>2.7488361299738084E-2</v>
      </c>
      <c r="G204" s="10">
        <f t="shared" si="194"/>
        <v>1.1849999999999916E-2</v>
      </c>
      <c r="H204" s="10">
        <f t="shared" ref="H204:U204" si="195">((H161/G161)-1)</f>
        <v>3.2259253272450383E-2</v>
      </c>
      <c r="I204" s="10">
        <f t="shared" si="195"/>
        <v>8.9249492900608463E-2</v>
      </c>
      <c r="J204" s="10">
        <f t="shared" si="195"/>
        <v>0.13072625698324014</v>
      </c>
      <c r="K204" s="10">
        <f t="shared" si="195"/>
        <v>0.10737812911725952</v>
      </c>
      <c r="L204" s="10">
        <f t="shared" si="195"/>
        <v>2.7364663890541374E-2</v>
      </c>
      <c r="M204" s="10">
        <f t="shared" si="195"/>
        <v>9.4962362478286044E-2</v>
      </c>
      <c r="N204" s="10">
        <f t="shared" si="195"/>
        <v>9.5452141723955553E-2</v>
      </c>
      <c r="O204" s="10">
        <f t="shared" si="195"/>
        <v>4.1757180786869741E-2</v>
      </c>
      <c r="P204" s="10">
        <f t="shared" si="195"/>
        <v>8.1556997219647709E-2</v>
      </c>
      <c r="Q204" s="10">
        <f t="shared" si="195"/>
        <v>3.7529268202226351E-2</v>
      </c>
      <c r="R204" s="10">
        <f t="shared" si="195"/>
        <v>5.3968860620996484E-2</v>
      </c>
      <c r="S204" s="10">
        <f t="shared" si="195"/>
        <v>4.6089411414913295E-2</v>
      </c>
      <c r="T204" s="10">
        <f t="shared" si="195"/>
        <v>4.4224861246481506E-2</v>
      </c>
      <c r="U204" s="10">
        <f t="shared" si="195"/>
        <v>3.896528127058696E-2</v>
      </c>
      <c r="V204" s="8"/>
      <c r="W204" s="8"/>
      <c r="X204" s="8"/>
      <c r="Y204" s="8"/>
      <c r="Z204" s="8"/>
      <c r="AA204" s="8"/>
      <c r="AB204" s="8"/>
    </row>
    <row r="205" spans="1:28" x14ac:dyDescent="0.2">
      <c r="A205" s="2" t="str">
        <f>A143</f>
        <v>Operating Income</v>
      </c>
      <c r="B205" s="8"/>
      <c r="C205" s="208" t="s">
        <v>83</v>
      </c>
      <c r="D205" s="10">
        <f t="shared" si="194"/>
        <v>0.28361164234049863</v>
      </c>
      <c r="E205" s="10">
        <f t="shared" si="194"/>
        <v>0.23448284758195825</v>
      </c>
      <c r="F205" s="10">
        <f t="shared" si="194"/>
        <v>5.5878078492804573E-2</v>
      </c>
      <c r="G205" s="10">
        <f t="shared" si="194"/>
        <v>-0.35711481780201282</v>
      </c>
      <c r="H205" s="10">
        <f t="shared" ref="H205:U205" si="196">((H162/G162)-1)</f>
        <v>6.9846616834562614E-2</v>
      </c>
      <c r="I205" s="10">
        <f t="shared" si="196"/>
        <v>0.34052757793764998</v>
      </c>
      <c r="J205" s="10">
        <f t="shared" si="196"/>
        <v>0.11717352415026827</v>
      </c>
      <c r="K205" s="10">
        <f t="shared" si="196"/>
        <v>7.2858286629303493E-2</v>
      </c>
      <c r="L205" s="186">
        <f t="shared" si="196"/>
        <v>6.7164179104477473E-3</v>
      </c>
      <c r="M205" s="186">
        <f t="shared" si="196"/>
        <v>-2.3721275018532273E-2</v>
      </c>
      <c r="N205" s="186">
        <f t="shared" si="196"/>
        <v>-0.14502657555049281</v>
      </c>
      <c r="O205" s="186">
        <f t="shared" si="196"/>
        <v>-0.10923623445826003</v>
      </c>
      <c r="P205" s="186">
        <f t="shared" si="196"/>
        <v>-8.2751744765702906E-2</v>
      </c>
      <c r="Q205" s="186">
        <f t="shared" si="196"/>
        <v>0.11047807773601548</v>
      </c>
      <c r="R205" s="186">
        <f t="shared" si="196"/>
        <v>5.9781338180462384E-3</v>
      </c>
      <c r="S205" s="186">
        <f t="shared" si="196"/>
        <v>2.4063912234843166E-2</v>
      </c>
      <c r="T205" s="186">
        <f t="shared" si="196"/>
        <v>2.9157656053024894E-4</v>
      </c>
      <c r="U205" s="186">
        <f t="shared" si="196"/>
        <v>-6.8657847509525638E-3</v>
      </c>
      <c r="V205" s="8"/>
      <c r="W205" s="8"/>
      <c r="X205" s="8"/>
      <c r="Y205" s="8"/>
      <c r="Z205" s="8"/>
      <c r="AA205" s="8"/>
      <c r="AB205" s="8"/>
    </row>
    <row r="206" spans="1:28" x14ac:dyDescent="0.2">
      <c r="A206" s="2" t="str">
        <f>A144</f>
        <v>Earnings Per Share</v>
      </c>
      <c r="B206" s="8"/>
      <c r="C206" s="208" t="s">
        <v>83</v>
      </c>
      <c r="D206" s="10">
        <f>((D172/C172)-1)</f>
        <v>0.43456343703758904</v>
      </c>
      <c r="E206" s="10">
        <f>((E172/D172)-1)</f>
        <v>0.28586835784741904</v>
      </c>
      <c r="F206" s="10">
        <f>((F172/E172)-1)</f>
        <v>9.2678359183554493E-2</v>
      </c>
      <c r="G206" s="10">
        <f>((G172/F172)-1)</f>
        <v>-0.35386732219097261</v>
      </c>
      <c r="H206" s="10">
        <f t="shared" ref="H206:U206" si="197">((H172/G172)-1)</f>
        <v>8.1690715334405306E-2</v>
      </c>
      <c r="I206" s="10">
        <f t="shared" si="197"/>
        <v>0.41294485918345503</v>
      </c>
      <c r="J206" s="10">
        <f t="shared" si="197"/>
        <v>0.13965755928317791</v>
      </c>
      <c r="K206" s="10">
        <f t="shared" si="197"/>
        <v>0.12556410043909705</v>
      </c>
      <c r="L206" s="186">
        <f t="shared" si="197"/>
        <v>4.9820192487579629E-2</v>
      </c>
      <c r="M206" s="186">
        <f t="shared" si="197"/>
        <v>-4.5955571465616796E-3</v>
      </c>
      <c r="N206" s="186">
        <f t="shared" si="197"/>
        <v>-0.10526520863551181</v>
      </c>
      <c r="O206" s="186">
        <f t="shared" si="197"/>
        <v>-4.6020471346251868E-2</v>
      </c>
      <c r="P206" s="186">
        <f t="shared" si="197"/>
        <v>-0.10891221921139982</v>
      </c>
      <c r="Q206" s="186">
        <f t="shared" si="197"/>
        <v>0.44972966836271167</v>
      </c>
      <c r="R206" s="186">
        <f t="shared" si="197"/>
        <v>4.1744674666529535E-2</v>
      </c>
      <c r="S206" s="186">
        <f t="shared" si="197"/>
        <v>5.6938946090744569E-2</v>
      </c>
      <c r="T206" s="186">
        <f t="shared" si="197"/>
        <v>3.0571300105872945E-2</v>
      </c>
      <c r="U206" s="186">
        <f t="shared" si="197"/>
        <v>2.3316237304655152E-2</v>
      </c>
      <c r="V206" s="8"/>
      <c r="W206" s="8"/>
      <c r="X206" s="8"/>
      <c r="Y206" s="8"/>
      <c r="Z206" s="8"/>
      <c r="AA206" s="8"/>
      <c r="AB206" s="8"/>
    </row>
    <row r="207" spans="1:28" x14ac:dyDescent="0.2">
      <c r="A207" s="2" t="str">
        <f>A145</f>
        <v>EBITDA</v>
      </c>
      <c r="B207" s="8"/>
      <c r="C207" s="208" t="s">
        <v>83</v>
      </c>
      <c r="D207" s="10">
        <f>((D179/C179)-1)</f>
        <v>0.2194050952852078</v>
      </c>
      <c r="E207" s="10">
        <f>((E179/D179)-1)</f>
        <v>0.18757256931638877</v>
      </c>
      <c r="F207" s="10">
        <f>((F179/E179)-1)</f>
        <v>3.3952088411793868E-2</v>
      </c>
      <c r="G207" s="10">
        <f>((G179/F179)-1)</f>
        <v>-0.27000260532322906</v>
      </c>
      <c r="H207" s="10">
        <f t="shared" ref="H207:U207" si="198">((H179/G179)-1)</f>
        <v>6.0514021067892276E-2</v>
      </c>
      <c r="I207" s="10">
        <f t="shared" si="198"/>
        <v>0.25980819529206634</v>
      </c>
      <c r="J207" s="10">
        <f t="shared" si="198"/>
        <v>0.12110726643598624</v>
      </c>
      <c r="K207" s="10">
        <f t="shared" si="198"/>
        <v>9.1975308641975229E-2</v>
      </c>
      <c r="L207" s="186">
        <f t="shared" si="198"/>
        <v>1.9219898247597511E-2</v>
      </c>
      <c r="M207" s="186">
        <f t="shared" si="198"/>
        <v>1.2201885745978913E-2</v>
      </c>
      <c r="N207" s="186">
        <f t="shared" si="198"/>
        <v>-6.7397260273972082E-2</v>
      </c>
      <c r="O207" s="186">
        <f t="shared" si="198"/>
        <v>-3.172737955346705E-2</v>
      </c>
      <c r="P207" s="186">
        <f t="shared" si="198"/>
        <v>-3.762135922330101E-2</v>
      </c>
      <c r="Q207" s="186">
        <f t="shared" si="198"/>
        <v>4.895323550891173E-2</v>
      </c>
      <c r="R207" s="186">
        <f t="shared" si="198"/>
        <v>-2.3397494455242862E-3</v>
      </c>
      <c r="S207" s="186">
        <f t="shared" si="198"/>
        <v>8.8758218192683813E-3</v>
      </c>
      <c r="T207" s="186">
        <f t="shared" si="198"/>
        <v>-5.7887391126593135E-3</v>
      </c>
      <c r="U207" s="186">
        <f t="shared" si="198"/>
        <v>-1.034859895128537E-2</v>
      </c>
      <c r="V207" s="8"/>
      <c r="W207" s="8"/>
      <c r="X207" s="8"/>
      <c r="Y207" s="8"/>
      <c r="Z207" s="8"/>
      <c r="AA207" s="8"/>
      <c r="AB207" s="8"/>
    </row>
    <row r="208" spans="1:28" x14ac:dyDescent="0.2">
      <c r="A208" s="2" t="s">
        <v>501</v>
      </c>
      <c r="B208" s="8"/>
      <c r="C208" s="208" t="str">
        <f>C97</f>
        <v>NA</v>
      </c>
      <c r="D208" s="208">
        <f t="shared" ref="D208:J208" si="199">D97</f>
        <v>2.2900681814389368E-2</v>
      </c>
      <c r="E208" s="208">
        <f t="shared" si="199"/>
        <v>3.3523644590716287E-2</v>
      </c>
      <c r="F208" s="208">
        <f t="shared" si="199"/>
        <v>-7.7974041369056266E-3</v>
      </c>
      <c r="G208" s="208">
        <f t="shared" si="199"/>
        <v>2.9190608229851672E-2</v>
      </c>
      <c r="H208" s="208">
        <f t="shared" si="199"/>
        <v>3.8019780484863062E-2</v>
      </c>
      <c r="I208" s="19">
        <f t="shared" si="199"/>
        <v>4.6391620247033097E-2</v>
      </c>
      <c r="J208" s="19">
        <f t="shared" si="199"/>
        <v>5.5497314715359736E-2</v>
      </c>
      <c r="K208" s="19">
        <f>K97</f>
        <v>4.7510622082499857E-2</v>
      </c>
      <c r="L208" s="19">
        <f t="shared" ref="L208:Q208" si="200">INDEX(L209:L211,MATCH($Z$179,$AB$179:$AB$181,0))</f>
        <v>9.3479000170039392E-3</v>
      </c>
      <c r="M208" s="19">
        <f t="shared" si="200"/>
        <v>3.767548906789412E-2</v>
      </c>
      <c r="N208" s="19">
        <f t="shared" si="200"/>
        <v>4.8051483487148293E-2</v>
      </c>
      <c r="O208" s="19">
        <f t="shared" si="200"/>
        <v>3.2662646328485367E-2</v>
      </c>
      <c r="P208" s="19">
        <f t="shared" si="200"/>
        <v>3.6003034692047693E-2</v>
      </c>
      <c r="Q208" s="19">
        <f t="shared" si="200"/>
        <v>1.3793525311257313E-2</v>
      </c>
      <c r="R208" s="19">
        <f>INDEX(R209:R211,MATCH($Z$179,$AB$179:$AB$181,0))</f>
        <v>3.6675860979254675E-2</v>
      </c>
      <c r="S208" s="19">
        <f>INDEX(S209:S211,MATCH($Z$179,$AB$179:$AB$181,0))</f>
        <v>3.1873289755020122E-2</v>
      </c>
      <c r="T208" s="19">
        <f>INDEX(T209:T211,MATCH($Z$179,$AB$179:$AB$181,0))</f>
        <v>3.078882779226266E-2</v>
      </c>
      <c r="U208" s="19">
        <f>INDEX(U209:U211,MATCH($Z$179,$AB$179:$AB$181,0))</f>
        <v>2.4329702068368261E-2</v>
      </c>
      <c r="V208" s="8"/>
      <c r="W208" s="8"/>
      <c r="X208" s="8"/>
      <c r="Y208" s="8"/>
      <c r="Z208" s="8"/>
      <c r="AA208" s="8"/>
      <c r="AB208" s="8"/>
    </row>
    <row r="209" spans="1:28" hidden="1" outlineLevel="1" x14ac:dyDescent="0.2">
      <c r="A209" s="3" t="s">
        <v>288</v>
      </c>
      <c r="B209" s="8"/>
      <c r="C209" s="208"/>
      <c r="D209" s="208"/>
      <c r="E209" s="208"/>
      <c r="F209" s="208"/>
      <c r="G209" s="208"/>
      <c r="H209" s="208"/>
      <c r="I209" s="19"/>
      <c r="J209" s="19"/>
      <c r="K209" s="19"/>
      <c r="L209" s="19">
        <f t="shared" ref="L209:Q209" si="201">L98</f>
        <v>9.3479000170039392E-3</v>
      </c>
      <c r="M209" s="19">
        <f t="shared" si="201"/>
        <v>3.767548906789412E-2</v>
      </c>
      <c r="N209" s="19">
        <f t="shared" si="201"/>
        <v>4.8051483487148293E-2</v>
      </c>
      <c r="O209" s="19">
        <f t="shared" si="201"/>
        <v>3.2662646328485367E-2</v>
      </c>
      <c r="P209" s="19">
        <f t="shared" si="201"/>
        <v>3.6003034692047693E-2</v>
      </c>
      <c r="Q209" s="19">
        <f t="shared" si="201"/>
        <v>1.3793525311257313E-2</v>
      </c>
      <c r="R209" s="19">
        <f>R98</f>
        <v>3.6675860979254675E-2</v>
      </c>
      <c r="S209" s="19">
        <f>S98</f>
        <v>3.1873289755020122E-2</v>
      </c>
      <c r="T209" s="19">
        <f>T98</f>
        <v>3.078882779226266E-2</v>
      </c>
      <c r="U209" s="19">
        <f>U98</f>
        <v>2.4329702068368261E-2</v>
      </c>
      <c r="V209" s="8"/>
      <c r="W209" s="8"/>
      <c r="X209" s="8"/>
      <c r="Y209" s="8"/>
      <c r="Z209" s="8"/>
      <c r="AA209" s="8"/>
      <c r="AB209" s="8"/>
    </row>
    <row r="210" spans="1:28" hidden="1" outlineLevel="1" x14ac:dyDescent="0.2">
      <c r="A210" s="3" t="s">
        <v>497</v>
      </c>
      <c r="B210" s="8"/>
      <c r="C210" s="208"/>
      <c r="D210" s="208"/>
      <c r="E210" s="208"/>
      <c r="F210" s="208"/>
      <c r="G210" s="208"/>
      <c r="H210" s="208"/>
      <c r="I210" s="19"/>
      <c r="J210" s="19"/>
      <c r="K210" s="19"/>
      <c r="L210" s="19">
        <f t="shared" ref="L210:Q210" si="202">L97</f>
        <v>9.3479000170039392E-3</v>
      </c>
      <c r="M210" s="19">
        <f t="shared" si="202"/>
        <v>3.767548906789412E-2</v>
      </c>
      <c r="N210" s="19">
        <f t="shared" si="202"/>
        <v>4.8051483487148293E-2</v>
      </c>
      <c r="O210" s="19">
        <f t="shared" si="202"/>
        <v>3.2662646328485367E-2</v>
      </c>
      <c r="P210" s="19">
        <f t="shared" si="202"/>
        <v>3.6003034692047693E-2</v>
      </c>
      <c r="Q210" s="19">
        <f t="shared" si="202"/>
        <v>6.8626249422297668E-3</v>
      </c>
      <c r="R210" s="19">
        <f>R97</f>
        <v>3.0615377831069379E-2</v>
      </c>
      <c r="S210" s="19">
        <f>S97</f>
        <v>2.5644516209221591E-2</v>
      </c>
      <c r="T210" s="19">
        <f>T97</f>
        <v>2.4605706395462557E-2</v>
      </c>
      <c r="U210" s="19">
        <f>U97</f>
        <v>1.7773923331075192E-2</v>
      </c>
      <c r="V210" s="8"/>
      <c r="W210" s="8"/>
      <c r="X210" s="8"/>
      <c r="Y210" s="8"/>
      <c r="Z210" s="8"/>
      <c r="AA210" s="8"/>
      <c r="AB210" s="8"/>
    </row>
    <row r="211" spans="1:28" hidden="1" outlineLevel="1" x14ac:dyDescent="0.2">
      <c r="A211" s="3" t="s">
        <v>284</v>
      </c>
      <c r="B211" s="8"/>
      <c r="C211" s="208"/>
      <c r="D211" s="208"/>
      <c r="E211" s="208"/>
      <c r="F211" s="208"/>
      <c r="G211" s="208"/>
      <c r="H211" s="7"/>
      <c r="I211" s="7"/>
      <c r="J211" s="7"/>
      <c r="K211" s="7"/>
      <c r="L211" s="19">
        <f t="shared" ref="L211:Q211" si="203">L147</f>
        <v>9.3479000170039392E-3</v>
      </c>
      <c r="M211" s="19">
        <f t="shared" si="203"/>
        <v>3.767548906789412E-2</v>
      </c>
      <c r="N211" s="19">
        <f t="shared" si="203"/>
        <v>4.8051483487148293E-2</v>
      </c>
      <c r="O211" s="19">
        <f t="shared" si="203"/>
        <v>3.2662646328485367E-2</v>
      </c>
      <c r="P211" s="19">
        <f t="shared" si="203"/>
        <v>3.6003034692047693E-2</v>
      </c>
      <c r="Q211" s="19">
        <f t="shared" si="203"/>
        <v>1.8626249422297667E-3</v>
      </c>
      <c r="R211" s="19">
        <f>R147</f>
        <v>2.5615377831069378E-2</v>
      </c>
      <c r="S211" s="19">
        <f>S147</f>
        <v>2.064451620922159E-2</v>
      </c>
      <c r="T211" s="19">
        <f>T147</f>
        <v>1.9605706395462556E-2</v>
      </c>
      <c r="U211" s="19">
        <f>U147</f>
        <v>1.2773923331075191E-2</v>
      </c>
      <c r="V211" s="8"/>
      <c r="W211" s="8"/>
      <c r="X211" s="8"/>
      <c r="Y211" s="8"/>
      <c r="Z211" s="8"/>
      <c r="AA211" s="8"/>
      <c r="AB211" s="8"/>
    </row>
    <row r="212" spans="1:28" collapsed="1" x14ac:dyDescent="0.2">
      <c r="A212" s="8"/>
      <c r="B212" s="8"/>
      <c r="C212" s="8"/>
      <c r="D212" s="8"/>
      <c r="E212" s="8"/>
      <c r="F212" s="8"/>
      <c r="G212" s="8"/>
      <c r="H212" s="8"/>
      <c r="I212" s="8"/>
      <c r="J212" s="8"/>
      <c r="K212" s="8"/>
      <c r="L212" s="16"/>
      <c r="M212" s="16"/>
      <c r="N212" s="16"/>
      <c r="O212" s="16"/>
      <c r="P212" s="16"/>
      <c r="Q212" s="16"/>
      <c r="R212" s="16"/>
      <c r="S212" s="16"/>
      <c r="T212" s="16"/>
      <c r="U212" s="16"/>
      <c r="V212" s="8"/>
      <c r="W212" s="8"/>
      <c r="X212" s="8"/>
      <c r="Y212" s="8"/>
      <c r="Z212" s="8"/>
      <c r="AA212" s="8"/>
      <c r="AB212" s="8"/>
    </row>
    <row r="213" spans="1:28" x14ac:dyDescent="0.2">
      <c r="A213" s="8"/>
      <c r="B213" s="8"/>
      <c r="C213" s="8"/>
      <c r="D213" s="8"/>
      <c r="E213" s="8"/>
      <c r="F213" s="8"/>
      <c r="G213" s="8"/>
      <c r="H213" s="8"/>
      <c r="I213" s="8"/>
      <c r="J213" s="8"/>
      <c r="K213" s="8"/>
      <c r="L213" s="8"/>
      <c r="M213" s="8"/>
      <c r="N213" s="8"/>
      <c r="O213" s="8"/>
      <c r="P213" s="8"/>
      <c r="Q213" s="8"/>
      <c r="R213" s="8"/>
      <c r="S213" s="8"/>
      <c r="T213" s="8"/>
      <c r="U213" s="8"/>
      <c r="V213" s="8"/>
      <c r="W213" s="8"/>
      <c r="X213" s="8"/>
      <c r="Y213" s="8"/>
      <c r="Z213" s="8"/>
      <c r="AA213" s="8"/>
      <c r="AB213" s="8"/>
    </row>
    <row r="214" spans="1:28" x14ac:dyDescent="0.2">
      <c r="A214" s="8"/>
      <c r="B214" s="8"/>
      <c r="C214" s="8"/>
      <c r="D214" s="8"/>
      <c r="E214" s="8"/>
      <c r="F214" s="8"/>
      <c r="G214" s="8"/>
      <c r="H214" s="8"/>
      <c r="I214" s="8"/>
      <c r="J214" s="8"/>
      <c r="K214" s="8"/>
      <c r="L214" s="8"/>
      <c r="M214" s="8"/>
      <c r="N214" s="8"/>
      <c r="O214" s="8"/>
      <c r="P214" s="8"/>
      <c r="Q214" s="8"/>
      <c r="R214" s="8"/>
      <c r="S214" s="8"/>
      <c r="T214" s="8"/>
      <c r="U214" s="8"/>
      <c r="V214" s="8"/>
      <c r="W214" s="8"/>
      <c r="X214" s="8"/>
      <c r="Y214" s="8"/>
      <c r="Z214" s="8"/>
      <c r="AA214" s="8"/>
      <c r="AB214" s="8"/>
    </row>
    <row r="215" spans="1:28" x14ac:dyDescent="0.2">
      <c r="A215" s="8"/>
      <c r="B215" s="8"/>
      <c r="C215" s="8"/>
      <c r="D215" s="8"/>
      <c r="E215" s="8"/>
      <c r="F215" s="8"/>
      <c r="G215" s="8"/>
      <c r="H215" s="8"/>
      <c r="I215" s="8"/>
      <c r="J215" s="8"/>
      <c r="K215" s="8"/>
      <c r="L215" s="8"/>
      <c r="M215" s="8"/>
      <c r="N215" s="8"/>
      <c r="O215" s="8"/>
      <c r="P215" s="8"/>
      <c r="Q215" s="8"/>
      <c r="R215" s="8"/>
      <c r="S215" s="8"/>
      <c r="T215" s="8"/>
      <c r="U215" s="8"/>
      <c r="V215" s="8"/>
      <c r="W215" s="8"/>
      <c r="X215" s="8"/>
      <c r="Y215" s="8"/>
      <c r="Z215" s="8"/>
      <c r="AA215" s="8"/>
      <c r="AB215" s="8"/>
    </row>
    <row r="216" spans="1:28" x14ac:dyDescent="0.2">
      <c r="A216" s="8"/>
      <c r="B216" s="8"/>
      <c r="C216" s="8"/>
      <c r="D216" s="8"/>
      <c r="E216" s="8"/>
      <c r="F216" s="8"/>
      <c r="G216" s="8"/>
      <c r="H216" s="8"/>
      <c r="I216" s="8"/>
      <c r="J216" s="8"/>
      <c r="K216" s="8"/>
      <c r="L216" s="8"/>
      <c r="M216" s="8"/>
      <c r="N216" s="8"/>
      <c r="O216" s="8"/>
      <c r="P216" s="8"/>
      <c r="Q216" s="8"/>
      <c r="R216" s="8"/>
      <c r="S216" s="8"/>
      <c r="T216" s="8"/>
      <c r="U216" s="8"/>
      <c r="V216" s="8"/>
      <c r="W216" s="8"/>
      <c r="X216" s="8"/>
      <c r="Y216" s="8"/>
      <c r="Z216" s="8"/>
      <c r="AA216" s="8"/>
      <c r="AB216" s="8"/>
    </row>
    <row r="217" spans="1:28" x14ac:dyDescent="0.2">
      <c r="A217" s="8"/>
      <c r="B217" s="8"/>
      <c r="C217" s="8"/>
      <c r="D217" s="8"/>
      <c r="E217" s="8"/>
      <c r="F217" s="8"/>
      <c r="G217" s="8"/>
      <c r="H217" s="8"/>
      <c r="I217" s="8"/>
      <c r="J217" s="8"/>
      <c r="K217" s="8"/>
      <c r="L217" s="8"/>
      <c r="M217" s="8"/>
      <c r="N217" s="8"/>
      <c r="O217" s="8"/>
      <c r="P217" s="8"/>
      <c r="Q217" s="8"/>
      <c r="R217" s="8"/>
      <c r="S217" s="8"/>
      <c r="T217" s="8"/>
      <c r="U217" s="8"/>
      <c r="V217" s="8"/>
      <c r="W217" s="8"/>
      <c r="X217" s="8"/>
      <c r="Y217" s="8"/>
      <c r="Z217" s="8"/>
      <c r="AA217" s="8"/>
      <c r="AB217" s="8"/>
    </row>
    <row r="218" spans="1:28" x14ac:dyDescent="0.2">
      <c r="A218" s="8"/>
      <c r="B218" s="8"/>
      <c r="C218" s="8"/>
      <c r="D218" s="8"/>
      <c r="E218" s="8"/>
      <c r="F218" s="8"/>
      <c r="G218" s="8"/>
      <c r="H218" s="8"/>
      <c r="I218" s="8"/>
      <c r="J218" s="8"/>
      <c r="K218" s="8"/>
      <c r="L218" s="8"/>
      <c r="M218" s="8"/>
      <c r="N218" s="8"/>
      <c r="O218" s="8"/>
      <c r="P218" s="8"/>
      <c r="Q218" s="8"/>
      <c r="R218" s="8"/>
      <c r="S218" s="8"/>
      <c r="T218" s="8"/>
      <c r="U218" s="8"/>
      <c r="V218" s="8"/>
      <c r="W218" s="8"/>
      <c r="X218" s="8"/>
      <c r="Y218" s="8"/>
      <c r="Z218" s="8"/>
      <c r="AA218" s="8"/>
      <c r="AB218" s="8"/>
    </row>
    <row r="219" spans="1:28" x14ac:dyDescent="0.2">
      <c r="A219" s="8"/>
      <c r="B219" s="8"/>
      <c r="C219" s="8"/>
      <c r="D219" s="8"/>
      <c r="E219" s="8"/>
      <c r="F219" s="8"/>
      <c r="G219" s="8"/>
      <c r="H219" s="8"/>
      <c r="I219" s="8"/>
      <c r="J219" s="8"/>
      <c r="K219" s="8"/>
      <c r="L219" s="8"/>
      <c r="M219" s="8"/>
      <c r="N219" s="8"/>
      <c r="O219" s="8"/>
      <c r="P219" s="8"/>
      <c r="Q219" s="8"/>
      <c r="R219" s="8"/>
      <c r="S219" s="8"/>
      <c r="T219" s="8"/>
      <c r="U219" s="8"/>
      <c r="V219" s="8"/>
      <c r="W219" s="8"/>
      <c r="X219" s="8"/>
      <c r="Y219" s="8"/>
      <c r="Z219" s="8"/>
      <c r="AA219" s="8"/>
      <c r="AB219" s="8"/>
    </row>
    <row r="220" spans="1:28" x14ac:dyDescent="0.2">
      <c r="A220" s="8"/>
      <c r="B220" s="8"/>
      <c r="C220" s="8"/>
      <c r="D220" s="8"/>
      <c r="E220" s="8"/>
      <c r="F220" s="8"/>
      <c r="G220" s="8"/>
      <c r="H220" s="8"/>
      <c r="I220" s="8"/>
      <c r="J220" s="8"/>
      <c r="K220" s="8"/>
      <c r="L220" s="8"/>
      <c r="M220" s="8"/>
      <c r="N220" s="8"/>
      <c r="O220" s="8"/>
      <c r="P220" s="8"/>
      <c r="Q220" s="8"/>
      <c r="R220" s="8"/>
      <c r="S220" s="8"/>
      <c r="T220" s="8"/>
      <c r="U220" s="8"/>
      <c r="V220" s="8"/>
      <c r="W220" s="8"/>
      <c r="X220" s="8"/>
      <c r="Y220" s="8"/>
      <c r="Z220" s="8"/>
      <c r="AA220" s="8"/>
      <c r="AB220" s="8"/>
    </row>
    <row r="221" spans="1:28" x14ac:dyDescent="0.2">
      <c r="A221" s="8"/>
      <c r="B221" s="8"/>
      <c r="C221" s="8"/>
      <c r="D221" s="8"/>
      <c r="E221" s="8"/>
      <c r="F221" s="8"/>
      <c r="G221" s="8"/>
      <c r="H221" s="8"/>
      <c r="I221" s="8"/>
      <c r="J221" s="8"/>
      <c r="K221" s="8"/>
      <c r="L221" s="8"/>
      <c r="M221" s="8"/>
      <c r="N221" s="8"/>
      <c r="O221" s="8"/>
      <c r="P221" s="8"/>
      <c r="Q221" s="8"/>
      <c r="R221" s="8"/>
      <c r="S221" s="8"/>
      <c r="T221" s="8"/>
      <c r="U221" s="8"/>
      <c r="V221" s="8"/>
      <c r="W221" s="8"/>
      <c r="X221" s="8"/>
      <c r="Y221" s="8"/>
      <c r="Z221" s="8"/>
      <c r="AA221" s="8"/>
      <c r="AB221" s="8"/>
    </row>
    <row r="222" spans="1:28" x14ac:dyDescent="0.2">
      <c r="A222" s="8"/>
      <c r="B222" s="8"/>
      <c r="C222" s="8"/>
      <c r="D222" s="8"/>
      <c r="E222" s="8"/>
      <c r="F222" s="8"/>
      <c r="G222" s="8"/>
      <c r="H222" s="8"/>
      <c r="I222" s="8"/>
      <c r="J222" s="8"/>
      <c r="K222" s="8"/>
      <c r="L222" s="8"/>
      <c r="M222" s="8"/>
      <c r="N222" s="8"/>
      <c r="O222" s="8"/>
      <c r="P222" s="8"/>
      <c r="Q222" s="8"/>
      <c r="R222" s="8"/>
      <c r="S222" s="8"/>
      <c r="T222" s="8"/>
      <c r="U222" s="8"/>
      <c r="V222" s="8"/>
      <c r="W222" s="8"/>
      <c r="X222" s="8"/>
      <c r="Y222" s="8"/>
      <c r="Z222" s="8"/>
      <c r="AA222" s="8"/>
      <c r="AB222" s="8"/>
    </row>
    <row r="223" spans="1:28" x14ac:dyDescent="0.2">
      <c r="A223" s="8"/>
      <c r="B223" s="8"/>
      <c r="C223" s="8"/>
      <c r="D223" s="8"/>
      <c r="E223" s="8"/>
      <c r="F223" s="8"/>
      <c r="G223" s="8"/>
      <c r="H223" s="8"/>
      <c r="I223" s="8"/>
      <c r="J223" s="8"/>
      <c r="K223" s="8"/>
      <c r="L223" s="8"/>
      <c r="M223" s="8"/>
      <c r="N223" s="8"/>
      <c r="O223" s="8"/>
      <c r="P223" s="8"/>
      <c r="Q223" s="8"/>
      <c r="R223" s="8"/>
      <c r="S223" s="8"/>
      <c r="T223" s="8"/>
      <c r="U223" s="8"/>
      <c r="V223" s="8"/>
      <c r="W223" s="8"/>
      <c r="X223" s="8"/>
      <c r="Y223" s="8"/>
      <c r="Z223" s="8"/>
      <c r="AA223" s="8"/>
      <c r="AB223" s="8"/>
    </row>
    <row r="224" spans="1:28" x14ac:dyDescent="0.2">
      <c r="A224" s="8"/>
      <c r="B224" s="8"/>
      <c r="C224" s="8"/>
      <c r="D224" s="8"/>
      <c r="E224" s="8"/>
      <c r="F224" s="8"/>
      <c r="G224" s="8"/>
      <c r="H224" s="8"/>
      <c r="I224" s="8"/>
      <c r="J224" s="8"/>
      <c r="K224" s="8"/>
      <c r="L224" s="8"/>
      <c r="M224" s="8"/>
      <c r="N224" s="8"/>
      <c r="O224" s="8"/>
      <c r="P224" s="8"/>
      <c r="Q224" s="8"/>
      <c r="R224" s="8"/>
      <c r="S224" s="8"/>
      <c r="T224" s="8"/>
      <c r="U224" s="8"/>
      <c r="V224" s="8"/>
      <c r="W224" s="8"/>
      <c r="X224" s="8"/>
      <c r="Y224" s="8"/>
      <c r="Z224" s="8"/>
      <c r="AA224" s="8"/>
      <c r="AB224" s="8"/>
    </row>
    <row r="225" spans="1:28" x14ac:dyDescent="0.2">
      <c r="A225" s="8"/>
      <c r="B225" s="8"/>
      <c r="C225" s="8"/>
      <c r="D225" s="8"/>
      <c r="E225" s="8"/>
      <c r="F225" s="8"/>
      <c r="G225" s="8"/>
      <c r="H225" s="8"/>
      <c r="I225" s="8"/>
      <c r="J225" s="8"/>
      <c r="K225" s="8"/>
      <c r="L225" s="8"/>
      <c r="M225" s="8"/>
      <c r="N225" s="8"/>
      <c r="O225" s="8"/>
      <c r="P225" s="8"/>
      <c r="Q225" s="8"/>
      <c r="R225" s="8"/>
      <c r="S225" s="8"/>
      <c r="T225" s="8"/>
      <c r="U225" s="8"/>
      <c r="V225" s="8"/>
      <c r="W225" s="8"/>
      <c r="X225" s="8"/>
      <c r="Y225" s="8"/>
      <c r="Z225" s="8"/>
      <c r="AA225" s="8"/>
      <c r="AB225" s="8"/>
    </row>
    <row r="226" spans="1:28" x14ac:dyDescent="0.2">
      <c r="A226" s="8"/>
      <c r="B226" s="8"/>
      <c r="C226" s="209"/>
      <c r="D226" s="8"/>
      <c r="E226" s="8"/>
      <c r="F226" s="8"/>
      <c r="G226" s="8"/>
      <c r="H226" s="8"/>
      <c r="I226" s="8"/>
      <c r="J226" s="8"/>
      <c r="K226" s="8"/>
      <c r="L226" s="8"/>
      <c r="M226" s="8"/>
      <c r="N226" s="8"/>
      <c r="O226" s="8"/>
      <c r="P226" s="8"/>
      <c r="Q226" s="8"/>
      <c r="R226" s="8"/>
      <c r="S226" s="8"/>
      <c r="T226" s="8"/>
      <c r="U226" s="8"/>
      <c r="V226" s="8"/>
      <c r="W226" s="8"/>
      <c r="X226" s="8"/>
      <c r="Y226" s="8"/>
      <c r="Z226" s="8"/>
      <c r="AA226" s="8"/>
      <c r="AB226" s="8"/>
    </row>
    <row r="227" spans="1:28" x14ac:dyDescent="0.2">
      <c r="A227" s="8"/>
      <c r="B227" s="8"/>
      <c r="C227" s="8"/>
      <c r="D227" s="8"/>
      <c r="E227" s="8"/>
      <c r="F227" s="8"/>
      <c r="G227" s="8"/>
      <c r="H227" s="8"/>
      <c r="I227" s="8"/>
      <c r="J227" s="8"/>
      <c r="K227" s="8"/>
      <c r="L227" s="8"/>
      <c r="M227" s="8"/>
      <c r="N227" s="8"/>
      <c r="O227" s="8"/>
      <c r="P227" s="8"/>
      <c r="Q227" s="8"/>
      <c r="R227" s="8"/>
      <c r="S227" s="8"/>
      <c r="T227" s="8"/>
      <c r="U227" s="8"/>
      <c r="V227" s="8"/>
      <c r="W227" s="8"/>
      <c r="X227" s="8"/>
      <c r="Y227" s="8"/>
      <c r="Z227" s="8"/>
      <c r="AA227" s="8"/>
      <c r="AB227" s="8"/>
    </row>
    <row r="228" spans="1:28" x14ac:dyDescent="0.2">
      <c r="A228" s="8"/>
      <c r="B228" s="8"/>
      <c r="C228" s="8"/>
      <c r="D228" s="8"/>
      <c r="E228" s="8"/>
      <c r="F228" s="8"/>
      <c r="G228" s="8"/>
      <c r="H228" s="8"/>
      <c r="I228" s="8"/>
      <c r="J228" s="8"/>
      <c r="K228" s="8"/>
      <c r="L228" s="8"/>
      <c r="M228" s="8"/>
      <c r="N228" s="8"/>
      <c r="O228" s="8"/>
      <c r="P228" s="8"/>
      <c r="Q228" s="8"/>
      <c r="R228" s="8"/>
      <c r="S228" s="8"/>
      <c r="T228" s="8"/>
      <c r="U228" s="8"/>
      <c r="V228" s="8"/>
      <c r="W228" s="8"/>
      <c r="X228" s="8"/>
      <c r="Y228" s="8"/>
      <c r="Z228" s="8"/>
      <c r="AA228" s="8"/>
      <c r="AB228" s="8"/>
    </row>
    <row r="229" spans="1:28" x14ac:dyDescent="0.2">
      <c r="A229" s="8"/>
      <c r="B229" s="8"/>
      <c r="C229" s="8"/>
      <c r="D229" s="8"/>
      <c r="E229" s="8"/>
      <c r="F229" s="8"/>
      <c r="G229" s="8"/>
      <c r="H229" s="8"/>
      <c r="I229" s="8"/>
      <c r="J229" s="8"/>
      <c r="K229" s="8"/>
      <c r="L229" s="8"/>
      <c r="M229" s="8"/>
      <c r="N229" s="8"/>
      <c r="O229" s="8"/>
      <c r="P229" s="8"/>
      <c r="Q229" s="8"/>
      <c r="R229" s="8"/>
      <c r="S229" s="8"/>
      <c r="T229" s="8"/>
      <c r="U229" s="8"/>
      <c r="V229" s="8"/>
      <c r="W229" s="8"/>
      <c r="X229" s="8"/>
      <c r="Y229" s="8"/>
      <c r="Z229" s="8"/>
      <c r="AA229" s="8"/>
      <c r="AB229" s="8"/>
    </row>
    <row r="230" spans="1:28" x14ac:dyDescent="0.2">
      <c r="A230" s="8"/>
      <c r="B230" s="8"/>
      <c r="C230" s="8"/>
      <c r="D230" s="8"/>
      <c r="E230" s="8"/>
      <c r="F230" s="8"/>
      <c r="G230" s="8"/>
      <c r="H230" s="8"/>
      <c r="I230" s="8"/>
      <c r="J230" s="8"/>
      <c r="K230" s="8"/>
      <c r="L230" s="8"/>
      <c r="M230" s="8"/>
      <c r="N230" s="8"/>
      <c r="O230" s="8"/>
      <c r="P230" s="8"/>
      <c r="Q230" s="8"/>
      <c r="R230" s="8"/>
      <c r="S230" s="8"/>
      <c r="T230" s="8"/>
      <c r="U230" s="8"/>
      <c r="V230" s="8"/>
      <c r="W230" s="8"/>
      <c r="X230" s="8"/>
      <c r="Y230" s="8"/>
      <c r="Z230" s="8"/>
      <c r="AA230" s="8"/>
      <c r="AB230" s="8"/>
    </row>
    <row r="231" spans="1:28" x14ac:dyDescent="0.2">
      <c r="A231" s="8"/>
      <c r="B231" s="8"/>
      <c r="C231" s="8"/>
      <c r="D231" s="8"/>
      <c r="E231" s="8"/>
      <c r="F231" s="8"/>
      <c r="G231" s="8"/>
      <c r="H231" s="8"/>
      <c r="I231" s="8"/>
      <c r="J231" s="8"/>
      <c r="K231" s="8"/>
      <c r="L231" s="8"/>
      <c r="M231" s="8"/>
      <c r="N231" s="8"/>
      <c r="O231" s="8"/>
      <c r="P231" s="8"/>
      <c r="Q231" s="8"/>
      <c r="R231" s="8"/>
      <c r="S231" s="8"/>
      <c r="T231" s="8"/>
      <c r="U231" s="8"/>
      <c r="V231" s="8"/>
      <c r="W231" s="8"/>
      <c r="X231" s="8"/>
      <c r="Y231" s="8"/>
      <c r="Z231" s="8"/>
      <c r="AA231" s="8"/>
      <c r="AB231" s="8"/>
    </row>
    <row r="232" spans="1:28" x14ac:dyDescent="0.2">
      <c r="A232" s="8"/>
      <c r="B232" s="8"/>
      <c r="C232" s="8"/>
      <c r="D232" s="8"/>
      <c r="E232" s="8"/>
      <c r="F232" s="8"/>
      <c r="G232" s="8"/>
      <c r="H232" s="8"/>
      <c r="I232" s="8"/>
      <c r="J232" s="8"/>
      <c r="K232" s="8"/>
      <c r="L232" s="8"/>
      <c r="M232" s="8"/>
      <c r="N232" s="8"/>
      <c r="O232" s="8"/>
      <c r="P232" s="8"/>
      <c r="Q232" s="8"/>
      <c r="R232" s="8"/>
      <c r="S232" s="8"/>
      <c r="T232" s="8"/>
      <c r="U232" s="8"/>
      <c r="V232" s="8"/>
      <c r="W232" s="8"/>
      <c r="X232" s="8"/>
      <c r="Y232" s="8"/>
      <c r="Z232" s="8"/>
      <c r="AA232" s="8"/>
      <c r="AB232" s="8"/>
    </row>
    <row r="233" spans="1:28" x14ac:dyDescent="0.2">
      <c r="A233" s="8"/>
      <c r="B233" s="8"/>
      <c r="C233" s="8"/>
      <c r="D233" s="8"/>
      <c r="E233" s="8"/>
      <c r="F233" s="8"/>
      <c r="G233" s="8"/>
      <c r="H233" s="8"/>
      <c r="I233" s="8"/>
      <c r="J233" s="8"/>
      <c r="K233" s="8"/>
      <c r="L233" s="8"/>
      <c r="M233" s="8"/>
      <c r="N233" s="8"/>
      <c r="O233" s="8"/>
      <c r="P233" s="8"/>
      <c r="Q233" s="8"/>
      <c r="R233" s="8"/>
      <c r="S233" s="8"/>
      <c r="T233" s="8"/>
      <c r="U233" s="8"/>
      <c r="V233" s="8"/>
      <c r="W233" s="8"/>
      <c r="X233" s="8"/>
      <c r="Y233" s="8"/>
      <c r="Z233" s="8"/>
      <c r="AA233" s="8"/>
      <c r="AB233" s="8"/>
    </row>
    <row r="234" spans="1:28" x14ac:dyDescent="0.2">
      <c r="A234" s="8"/>
      <c r="B234" s="8"/>
      <c r="C234" s="8"/>
      <c r="D234" s="8"/>
      <c r="E234" s="8"/>
      <c r="F234" s="8"/>
      <c r="G234" s="8"/>
      <c r="H234" s="8"/>
      <c r="I234" s="8"/>
      <c r="J234" s="8"/>
      <c r="K234" s="8"/>
      <c r="L234" s="8"/>
      <c r="M234" s="8"/>
      <c r="N234" s="8"/>
      <c r="O234" s="8"/>
      <c r="P234" s="8"/>
      <c r="Q234" s="8"/>
      <c r="R234" s="8"/>
      <c r="S234" s="8"/>
      <c r="T234" s="8"/>
      <c r="U234" s="8"/>
      <c r="V234" s="8"/>
      <c r="W234" s="8"/>
      <c r="X234" s="8"/>
      <c r="Y234" s="8"/>
      <c r="Z234" s="8"/>
      <c r="AA234" s="8"/>
      <c r="AB234" s="8"/>
    </row>
    <row r="235" spans="1:28" x14ac:dyDescent="0.2">
      <c r="A235" s="8"/>
      <c r="B235" s="8"/>
      <c r="C235" s="8"/>
      <c r="D235" s="8"/>
      <c r="E235" s="8"/>
      <c r="F235" s="8"/>
      <c r="G235" s="8"/>
      <c r="H235" s="8"/>
      <c r="I235" s="8"/>
      <c r="J235" s="8"/>
      <c r="K235" s="8"/>
      <c r="L235" s="8"/>
      <c r="M235" s="8"/>
      <c r="N235" s="8"/>
      <c r="O235" s="8"/>
      <c r="P235" s="8"/>
      <c r="Q235" s="8"/>
      <c r="R235" s="8"/>
      <c r="S235" s="8"/>
      <c r="T235" s="8"/>
      <c r="U235" s="8"/>
      <c r="V235" s="8"/>
      <c r="W235" s="8"/>
      <c r="X235" s="8"/>
      <c r="Y235" s="8"/>
      <c r="Z235" s="8"/>
      <c r="AA235" s="8"/>
      <c r="AB235" s="8"/>
    </row>
  </sheetData>
  <phoneticPr fontId="10" type="noConversion"/>
  <printOptions horizontalCentered="1" verticalCentered="1"/>
  <pageMargins left="0.75" right="0.75" top="0" bottom="0" header="0.5" footer="0.5"/>
  <pageSetup scale="67"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JJ96"/>
  <sheetViews>
    <sheetView showGridLines="0" zoomScale="85" zoomScaleNormal="85" workbookViewId="0">
      <pane xSplit="1" topLeftCell="B1" activePane="topRight" state="frozen"/>
      <selection activeCell="O47" sqref="O47"/>
      <selection pane="topRight" activeCell="FV18" sqref="FV18"/>
    </sheetView>
  </sheetViews>
  <sheetFormatPr defaultRowHeight="12.75" outlineLevelRow="1" outlineLevelCol="1" x14ac:dyDescent="0.2"/>
  <cols>
    <col min="1" max="1" width="24.85546875" style="249" customWidth="1"/>
    <col min="2" max="2" width="1" style="249" hidden="1" customWidth="1" outlineLevel="1"/>
    <col min="3" max="6" width="7.28515625" style="249" hidden="1" customWidth="1" outlineLevel="1"/>
    <col min="7" max="7" width="1" style="249" hidden="1" customWidth="1" outlineLevel="1"/>
    <col min="8" max="11" width="7.28515625" style="249" hidden="1" customWidth="1" outlineLevel="1"/>
    <col min="12" max="12" width="1" style="249" hidden="1" customWidth="1" outlineLevel="1"/>
    <col min="13" max="16" width="7.28515625" style="249" hidden="1" customWidth="1" outlineLevel="1"/>
    <col min="17" max="17" width="1" style="249" hidden="1" customWidth="1" outlineLevel="1"/>
    <col min="18" max="21" width="7.28515625" style="249" hidden="1" customWidth="1" outlineLevel="1"/>
    <col min="22" max="22" width="1" style="249" hidden="1" customWidth="1" outlineLevel="1"/>
    <col min="23" max="26" width="7.28515625" style="249" hidden="1" customWidth="1" outlineLevel="1"/>
    <col min="27" max="27" width="1" style="249" hidden="1" customWidth="1" outlineLevel="1"/>
    <col min="28" max="31" width="7.28515625" style="249" hidden="1" customWidth="1" outlineLevel="1"/>
    <col min="32" max="32" width="1" style="249" hidden="1" customWidth="1" outlineLevel="1"/>
    <col min="33" max="36" width="7.28515625" style="249" hidden="1" customWidth="1" outlineLevel="1"/>
    <col min="37" max="37" width="1" style="249" hidden="1" customWidth="1" outlineLevel="1"/>
    <col min="38" max="41" width="7.28515625" style="249" hidden="1" customWidth="1" outlineLevel="1"/>
    <col min="42" max="42" width="1" style="249" hidden="1" customWidth="1" outlineLevel="1"/>
    <col min="43" max="46" width="7.28515625" style="249" hidden="1" customWidth="1" outlineLevel="1"/>
    <col min="47" max="47" width="1" style="249" hidden="1" customWidth="1" outlineLevel="1"/>
    <col min="48" max="51" width="7.28515625" style="249" hidden="1" customWidth="1" outlineLevel="1"/>
    <col min="52" max="52" width="1" style="249" hidden="1" customWidth="1" outlineLevel="1"/>
    <col min="53" max="56" width="7.28515625" style="249" hidden="1" customWidth="1" outlineLevel="1"/>
    <col min="57" max="57" width="1" style="249" hidden="1" customWidth="1" outlineLevel="1"/>
    <col min="58" max="61" width="7.28515625" style="249" hidden="1" customWidth="1" outlineLevel="1"/>
    <col min="62" max="62" width="1" style="249" hidden="1" customWidth="1" outlineLevel="1"/>
    <col min="63" max="66" width="7.28515625" style="249" hidden="1" customWidth="1" outlineLevel="1"/>
    <col min="67" max="67" width="1" style="249" hidden="1" customWidth="1" outlineLevel="1"/>
    <col min="68" max="71" width="7.28515625" style="249" hidden="1" customWidth="1" outlineLevel="1"/>
    <col min="72" max="72" width="1" style="249" hidden="1" customWidth="1" outlineLevel="1"/>
    <col min="73" max="76" width="7.28515625" style="249" hidden="1" customWidth="1" outlineLevel="1"/>
    <col min="77" max="77" width="1" style="249" hidden="1" customWidth="1" outlineLevel="1"/>
    <col min="78" max="81" width="7.28515625" style="249" hidden="1" customWidth="1" outlineLevel="1"/>
    <col min="82" max="82" width="1" style="249" hidden="1" customWidth="1" outlineLevel="1"/>
    <col min="83" max="86" width="7.28515625" style="249" hidden="1" customWidth="1" outlineLevel="1"/>
    <col min="87" max="87" width="1" style="249" hidden="1" customWidth="1" outlineLevel="1"/>
    <col min="88" max="91" width="7.28515625" style="249" hidden="1" customWidth="1" outlineLevel="1"/>
    <col min="92" max="92" width="1" style="249" hidden="1" customWidth="1" outlineLevel="1"/>
    <col min="93" max="94" width="7.28515625" style="249" hidden="1" customWidth="1" outlineLevel="1"/>
    <col min="95" max="96" width="8.140625" style="249" hidden="1" customWidth="1" outlineLevel="1"/>
    <col min="97" max="97" width="1" style="249" hidden="1" customWidth="1" outlineLevel="1"/>
    <col min="98" max="100" width="7.28515625" style="249" hidden="1" customWidth="1" outlineLevel="1"/>
    <col min="101" max="101" width="8" style="249" hidden="1" customWidth="1" outlineLevel="1"/>
    <col min="102" max="102" width="1" style="249" hidden="1" customWidth="1" outlineLevel="1"/>
    <col min="103" max="103" width="7.28515625" style="249" hidden="1" customWidth="1" outlineLevel="1" collapsed="1"/>
    <col min="104" max="106" width="7.28515625" style="239" hidden="1" customWidth="1" outlineLevel="1"/>
    <col min="107" max="107" width="1" style="239" hidden="1" customWidth="1" outlineLevel="1"/>
    <col min="108" max="111" width="7.28515625" style="239" hidden="1" customWidth="1" outlineLevel="1"/>
    <col min="112" max="112" width="1" style="239" hidden="1" customWidth="1" outlineLevel="1"/>
    <col min="113" max="113" width="7.28515625" style="239" hidden="1" customWidth="1" outlineLevel="1" collapsed="1"/>
    <col min="114" max="114" width="7.7109375" style="239" hidden="1" customWidth="1" outlineLevel="1"/>
    <col min="115" max="116" width="7.28515625" style="239" hidden="1" customWidth="1" outlineLevel="1"/>
    <col min="117" max="117" width="1" style="239" hidden="1" customWidth="1" outlineLevel="1"/>
    <col min="118" max="118" width="7.28515625" style="239" hidden="1" customWidth="1" outlineLevel="1"/>
    <col min="119" max="119" width="7.7109375" style="239" hidden="1" customWidth="1" outlineLevel="1"/>
    <col min="120" max="121" width="7.28515625" style="239" hidden="1" customWidth="1" outlineLevel="1"/>
    <col min="122" max="122" width="1" style="239" hidden="1" customWidth="1" outlineLevel="1"/>
    <col min="123" max="123" width="8.140625" style="239" hidden="1" customWidth="1" outlineLevel="1"/>
    <col min="124" max="124" width="7.7109375" style="239" hidden="1" customWidth="1" outlineLevel="1"/>
    <col min="125" max="125" width="9.42578125" style="239" hidden="1" customWidth="1" outlineLevel="1"/>
    <col min="126" max="126" width="7.28515625" style="239" hidden="1" customWidth="1" outlineLevel="1"/>
    <col min="127" max="127" width="2.42578125" style="239" hidden="1" customWidth="1" outlineLevel="1"/>
    <col min="128" max="128" width="7.140625" style="239" hidden="1" customWidth="1" outlineLevel="1"/>
    <col min="129" max="130" width="7.7109375" style="239" hidden="1" customWidth="1" outlineLevel="1"/>
    <col min="131" max="131" width="8.42578125" style="239" hidden="1" customWidth="1" outlineLevel="1"/>
    <col min="132" max="132" width="1.5703125" style="239" hidden="1" customWidth="1" outlineLevel="1"/>
    <col min="133" max="133" width="7.42578125" style="239" customWidth="1" collapsed="1"/>
    <col min="134" max="135" width="7.7109375" style="239" customWidth="1"/>
    <col min="136" max="136" width="8.42578125" style="239" customWidth="1"/>
    <col min="137" max="137" width="1.7109375" style="239" customWidth="1"/>
    <col min="138" max="138" width="8.5703125" style="239" customWidth="1"/>
    <col min="139" max="139" width="8.85546875" style="239" customWidth="1"/>
    <col min="140" max="140" width="8.140625" style="239" customWidth="1"/>
    <col min="141" max="141" width="8.42578125" style="239" customWidth="1"/>
    <col min="142" max="142" width="1.7109375" style="239" customWidth="1"/>
    <col min="143" max="146" width="8.42578125" style="239" customWidth="1"/>
    <col min="147" max="147" width="1.7109375" style="239" customWidth="1"/>
    <col min="148" max="148" width="1" style="239" customWidth="1"/>
    <col min="149" max="160" width="8.140625" style="239" hidden="1" customWidth="1" outlineLevel="1"/>
    <col min="161" max="161" width="8.140625" style="239" hidden="1" customWidth="1" outlineLevel="1" collapsed="1"/>
    <col min="162" max="164" width="8.140625" style="239" hidden="1" customWidth="1" outlineLevel="1"/>
    <col min="165" max="165" width="8.140625" style="239" hidden="1" customWidth="1" outlineLevel="1" collapsed="1"/>
    <col min="166" max="171" width="8.140625" style="239" hidden="1" customWidth="1" outlineLevel="1"/>
    <col min="172" max="172" width="8.140625" style="239" customWidth="1" collapsed="1"/>
    <col min="173" max="179" width="8.140625" style="239" customWidth="1"/>
    <col min="180" max="181" width="9.28515625" style="249" hidden="1" customWidth="1" outlineLevel="1"/>
    <col min="182" max="182" width="8.7109375" style="239" customWidth="1" collapsed="1"/>
    <col min="183" max="186" width="8.140625" style="239" customWidth="1"/>
    <col min="187" max="187" width="19" hidden="1" customWidth="1" outlineLevel="1"/>
    <col min="188" max="188" width="9.140625" hidden="1" customWidth="1" outlineLevel="1"/>
    <col min="189" max="189" width="18.5703125" hidden="1" customWidth="1" outlineLevel="1"/>
    <col min="190" max="192" width="9.140625" hidden="1" customWidth="1" outlineLevel="1"/>
    <col min="193" max="193" width="9.140625" style="239" collapsed="1"/>
    <col min="194" max="16384" width="9.140625" style="239"/>
  </cols>
  <sheetData>
    <row r="1" spans="1:186" x14ac:dyDescent="0.2">
      <c r="A1" s="248" t="s">
        <v>298</v>
      </c>
    </row>
    <row r="2" spans="1:186" x14ac:dyDescent="0.2">
      <c r="A2" s="250" t="s">
        <v>600</v>
      </c>
      <c r="B2" s="240"/>
      <c r="C2" s="240"/>
      <c r="D2" s="240"/>
      <c r="E2" s="240"/>
      <c r="F2" s="240"/>
      <c r="G2" s="240"/>
      <c r="H2" s="240"/>
      <c r="I2" s="240"/>
      <c r="J2" s="240"/>
      <c r="K2" s="240"/>
      <c r="L2" s="240"/>
      <c r="M2" s="240"/>
      <c r="N2" s="240"/>
      <c r="O2" s="240"/>
      <c r="P2" s="240"/>
      <c r="Q2" s="240"/>
      <c r="R2" s="240"/>
      <c r="S2" s="240"/>
      <c r="T2" s="240"/>
      <c r="U2" s="240"/>
      <c r="V2" s="240"/>
      <c r="W2" s="240"/>
      <c r="X2" s="240"/>
      <c r="Y2" s="240"/>
      <c r="Z2" s="240"/>
      <c r="AA2" s="240"/>
      <c r="AB2" s="240"/>
      <c r="AC2" s="240"/>
      <c r="AD2" s="240"/>
      <c r="AE2" s="240"/>
      <c r="AF2" s="240"/>
      <c r="AG2" s="240"/>
      <c r="AH2" s="240"/>
      <c r="AI2" s="240"/>
      <c r="AJ2" s="240"/>
      <c r="AK2" s="240"/>
      <c r="AL2" s="240"/>
      <c r="AM2" s="240"/>
      <c r="AN2" s="240"/>
      <c r="AO2" s="240"/>
      <c r="AP2" s="240"/>
      <c r="AQ2" s="240"/>
      <c r="AR2" s="240"/>
      <c r="AS2" s="240"/>
      <c r="AT2" s="240"/>
      <c r="AU2" s="240"/>
      <c r="AV2" s="240"/>
      <c r="AW2" s="240"/>
      <c r="AX2" s="240"/>
      <c r="AY2" s="240"/>
      <c r="AZ2" s="240"/>
      <c r="BA2" s="240"/>
      <c r="BB2" s="240"/>
      <c r="BC2" s="240"/>
      <c r="BD2" s="240"/>
      <c r="BE2" s="240"/>
      <c r="BF2" s="240"/>
      <c r="BG2" s="240"/>
      <c r="BH2" s="240"/>
      <c r="BI2" s="240"/>
      <c r="BJ2" s="240"/>
      <c r="BK2" s="240"/>
      <c r="BL2" s="240"/>
      <c r="BM2" s="240"/>
      <c r="BN2" s="240"/>
      <c r="BO2" s="240"/>
      <c r="BP2" s="240"/>
      <c r="BQ2" s="240"/>
      <c r="BR2" s="240"/>
      <c r="BS2" s="240"/>
      <c r="BT2" s="240"/>
      <c r="BU2" s="240"/>
      <c r="BV2" s="240"/>
      <c r="BW2" s="240"/>
      <c r="BX2" s="240"/>
      <c r="BY2" s="240"/>
      <c r="BZ2" s="240"/>
      <c r="CA2" s="240"/>
      <c r="CB2" s="240"/>
      <c r="CC2" s="240"/>
      <c r="CD2" s="240"/>
      <c r="CE2" s="240"/>
      <c r="CF2" s="240"/>
      <c r="CG2" s="240"/>
      <c r="CH2" s="240"/>
      <c r="CI2" s="240"/>
      <c r="CJ2" s="240"/>
      <c r="CK2" s="240"/>
      <c r="CL2" s="240"/>
      <c r="CM2" s="240"/>
      <c r="CN2" s="240"/>
      <c r="CO2" s="240"/>
      <c r="CP2" s="240"/>
      <c r="CQ2" s="240"/>
      <c r="CR2" s="240"/>
      <c r="CS2" s="240"/>
      <c r="CT2" s="240"/>
      <c r="CU2" s="240"/>
      <c r="CV2" s="240"/>
      <c r="CW2" s="240"/>
      <c r="CX2" s="240"/>
      <c r="CY2" s="240"/>
      <c r="CZ2" s="240"/>
      <c r="DA2" s="240"/>
      <c r="DB2" s="240"/>
      <c r="DC2" s="240"/>
      <c r="DD2" s="240"/>
      <c r="DE2" s="240"/>
      <c r="DF2" s="240"/>
      <c r="DG2" s="240"/>
      <c r="DH2" s="240"/>
      <c r="DI2" s="240"/>
      <c r="DJ2" s="240"/>
      <c r="DK2" s="240"/>
      <c r="DL2" s="240"/>
      <c r="DM2" s="240"/>
      <c r="DN2" s="240"/>
      <c r="DO2" s="240"/>
      <c r="DP2" s="240"/>
      <c r="DQ2" s="240"/>
      <c r="DR2" s="240"/>
      <c r="DS2" s="240"/>
      <c r="DT2" s="240"/>
      <c r="DU2" s="240"/>
      <c r="DV2" s="240"/>
      <c r="DW2" s="240"/>
      <c r="DX2" s="240"/>
      <c r="DY2" s="240"/>
      <c r="DZ2" s="240"/>
      <c r="EA2" s="240"/>
      <c r="EB2" s="240"/>
      <c r="EC2" s="240"/>
      <c r="ED2" s="240"/>
      <c r="EE2" s="240"/>
      <c r="EF2" s="240"/>
      <c r="EG2" s="240"/>
      <c r="EH2" s="240"/>
      <c r="EI2" s="240"/>
      <c r="EJ2" s="341"/>
      <c r="EK2" s="240"/>
      <c r="EL2" s="240"/>
      <c r="EM2" s="240"/>
      <c r="EN2" s="240"/>
      <c r="EO2" s="240"/>
      <c r="EP2" s="240"/>
      <c r="EQ2" s="240"/>
      <c r="ER2" s="240"/>
      <c r="ES2" s="240"/>
      <c r="ET2" s="240"/>
      <c r="EU2" s="240"/>
      <c r="EV2" s="240"/>
      <c r="EW2" s="240"/>
      <c r="EX2" s="240"/>
      <c r="EY2" s="240"/>
      <c r="EZ2" s="240"/>
      <c r="FA2" s="240"/>
      <c r="FB2" s="240"/>
      <c r="FC2" s="240"/>
      <c r="FD2" s="240"/>
      <c r="FE2" s="240"/>
      <c r="FF2" s="240"/>
      <c r="FG2" s="240"/>
      <c r="FH2" s="240"/>
      <c r="FI2" s="240"/>
      <c r="FJ2" s="240"/>
      <c r="FK2" s="240"/>
      <c r="FL2" s="240"/>
      <c r="FM2" s="240"/>
      <c r="FN2" s="240"/>
      <c r="FO2" s="240"/>
      <c r="FP2" s="240"/>
      <c r="FQ2" s="240"/>
      <c r="FR2" s="240"/>
      <c r="FS2" s="240"/>
      <c r="FT2" s="240"/>
      <c r="FU2" s="240"/>
      <c r="FV2" s="240"/>
      <c r="FW2" s="240"/>
      <c r="FZ2" s="249"/>
      <c r="GA2" s="249"/>
      <c r="GB2" s="249"/>
      <c r="GC2" s="249"/>
      <c r="GD2" s="249"/>
    </row>
    <row r="3" spans="1:186" x14ac:dyDescent="0.2">
      <c r="A3" s="251" t="s">
        <v>85</v>
      </c>
      <c r="DP3" s="252"/>
      <c r="DQ3" s="253"/>
      <c r="DU3" s="254"/>
      <c r="DV3" s="253"/>
      <c r="DX3" s="553"/>
      <c r="DY3" s="553"/>
      <c r="DZ3" s="619"/>
      <c r="EA3" s="553"/>
      <c r="EC3" s="553"/>
      <c r="ED3" s="553"/>
      <c r="EE3" s="619"/>
      <c r="EF3" s="553"/>
      <c r="EG3" s="553"/>
      <c r="EH3" s="553"/>
      <c r="EI3" s="553"/>
      <c r="EJ3" s="619"/>
      <c r="EK3" s="254"/>
      <c r="EL3" s="254"/>
      <c r="EM3" s="254"/>
      <c r="EN3" s="254"/>
      <c r="EO3" s="254"/>
      <c r="EP3" s="254"/>
      <c r="EQ3" s="254"/>
      <c r="FR3" s="254"/>
      <c r="FS3" s="255"/>
      <c r="FX3" s="268"/>
      <c r="FY3" s="268"/>
    </row>
    <row r="4" spans="1:186" x14ac:dyDescent="0.2">
      <c r="DX4" s="619"/>
      <c r="DY4" s="619"/>
      <c r="DZ4" s="619"/>
      <c r="EA4" s="553"/>
      <c r="EC4" s="619"/>
      <c r="ED4" s="619"/>
      <c r="EE4" s="619"/>
      <c r="EF4" s="553"/>
      <c r="EG4" s="553"/>
      <c r="EH4" s="619"/>
      <c r="EI4" s="619"/>
      <c r="EJ4" s="841"/>
      <c r="EK4" s="257"/>
      <c r="EL4" s="257"/>
      <c r="EM4" s="257"/>
      <c r="EN4" s="257"/>
      <c r="EO4" s="257"/>
      <c r="EP4" s="257"/>
      <c r="EQ4" s="257"/>
      <c r="FP4" s="254"/>
      <c r="FQ4" s="255"/>
      <c r="FR4" s="594"/>
      <c r="FS4" s="594"/>
      <c r="FT4" s="594"/>
      <c r="FU4" s="594"/>
      <c r="FV4" s="594"/>
      <c r="FW4" s="594"/>
      <c r="FX4" s="255"/>
      <c r="FY4" s="255"/>
    </row>
    <row r="5" spans="1:186" x14ac:dyDescent="0.2">
      <c r="CT5" s="259" t="s">
        <v>180</v>
      </c>
      <c r="CU5" s="260"/>
      <c r="CV5" s="260"/>
      <c r="CW5" s="260"/>
      <c r="CX5" s="260"/>
      <c r="CY5" s="260"/>
      <c r="CZ5" s="261"/>
      <c r="DA5" s="261"/>
      <c r="DB5" s="261"/>
      <c r="DC5" s="261"/>
      <c r="DD5" s="261"/>
      <c r="DE5" s="261"/>
      <c r="DF5" s="261"/>
      <c r="DG5" s="261"/>
      <c r="DH5" s="261"/>
      <c r="DI5" s="261"/>
      <c r="DJ5" s="261"/>
      <c r="DK5" s="261"/>
      <c r="DL5" s="261"/>
      <c r="DM5" s="261"/>
      <c r="DN5" s="262"/>
      <c r="DO5" s="261"/>
      <c r="DP5" s="261"/>
      <c r="DQ5" s="261"/>
      <c r="DR5" s="261"/>
      <c r="DS5" s="262"/>
      <c r="DT5" s="261"/>
      <c r="DU5" s="261"/>
      <c r="DV5" s="262"/>
      <c r="DW5" s="261"/>
      <c r="DX5" s="262"/>
      <c r="DY5" s="261"/>
      <c r="DZ5" s="261"/>
      <c r="EA5" s="263"/>
      <c r="EB5" s="261"/>
      <c r="EC5" s="262"/>
      <c r="ED5" s="261"/>
      <c r="EE5" s="261"/>
      <c r="EF5" s="263"/>
      <c r="EH5" s="262"/>
      <c r="EI5" s="262"/>
      <c r="EJ5" s="261"/>
      <c r="EK5" s="262"/>
      <c r="EL5" s="262"/>
      <c r="EM5" s="262"/>
      <c r="EN5" s="262"/>
      <c r="EO5" s="262"/>
      <c r="EP5" s="262"/>
      <c r="EQ5" s="262"/>
      <c r="FP5" s="254"/>
      <c r="FS5" s="254"/>
      <c r="FX5" s="264"/>
      <c r="FY5" s="264"/>
    </row>
    <row r="6" spans="1:186" hidden="1" outlineLevel="1" x14ac:dyDescent="0.2">
      <c r="C6" s="265">
        <f>C7</f>
        <v>1990</v>
      </c>
      <c r="D6" s="265">
        <f>C6</f>
        <v>1990</v>
      </c>
      <c r="E6" s="265">
        <f>D6</f>
        <v>1990</v>
      </c>
      <c r="F6" s="265">
        <f>E6</f>
        <v>1990</v>
      </c>
      <c r="H6" s="265">
        <f>H7</f>
        <v>1991</v>
      </c>
      <c r="I6" s="265">
        <f>H6</f>
        <v>1991</v>
      </c>
      <c r="J6" s="265">
        <f>I6</f>
        <v>1991</v>
      </c>
      <c r="K6" s="265">
        <f>J6</f>
        <v>1991</v>
      </c>
      <c r="M6" s="265">
        <f>M7</f>
        <v>1992</v>
      </c>
      <c r="N6" s="265">
        <f>M6</f>
        <v>1992</v>
      </c>
      <c r="O6" s="265">
        <f>N6</f>
        <v>1992</v>
      </c>
      <c r="P6" s="265">
        <f>O6</f>
        <v>1992</v>
      </c>
      <c r="R6" s="265">
        <f>R7</f>
        <v>1993</v>
      </c>
      <c r="S6" s="265">
        <f>R6</f>
        <v>1993</v>
      </c>
      <c r="T6" s="265">
        <f>S6</f>
        <v>1993</v>
      </c>
      <c r="U6" s="265">
        <f>T6</f>
        <v>1993</v>
      </c>
      <c r="W6" s="265">
        <f>W7</f>
        <v>1994</v>
      </c>
      <c r="X6" s="265">
        <f>W6</f>
        <v>1994</v>
      </c>
      <c r="Y6" s="265">
        <f>X6</f>
        <v>1994</v>
      </c>
      <c r="Z6" s="265">
        <f>Y6</f>
        <v>1994</v>
      </c>
      <c r="AB6" s="265">
        <f>AB7</f>
        <v>1995</v>
      </c>
      <c r="AC6" s="265">
        <f>AB6</f>
        <v>1995</v>
      </c>
      <c r="AD6" s="265">
        <f>AC6</f>
        <v>1995</v>
      </c>
      <c r="AE6" s="265">
        <f>AD6</f>
        <v>1995</v>
      </c>
      <c r="AG6" s="265">
        <f>AG7</f>
        <v>1996</v>
      </c>
      <c r="AH6" s="265">
        <f>AG6</f>
        <v>1996</v>
      </c>
      <c r="AI6" s="265">
        <f>AH6</f>
        <v>1996</v>
      </c>
      <c r="AJ6" s="265">
        <f>AI6</f>
        <v>1996</v>
      </c>
      <c r="AL6" s="265">
        <f>AL7</f>
        <v>1997</v>
      </c>
      <c r="AM6" s="265">
        <f>AL6</f>
        <v>1997</v>
      </c>
      <c r="AN6" s="265">
        <f>AM6</f>
        <v>1997</v>
      </c>
      <c r="AO6" s="265">
        <f>AN6</f>
        <v>1997</v>
      </c>
      <c r="AQ6" s="265">
        <f>AQ7</f>
        <v>1998</v>
      </c>
      <c r="AR6" s="265">
        <f>AQ6</f>
        <v>1998</v>
      </c>
      <c r="AS6" s="265">
        <f>AR6</f>
        <v>1998</v>
      </c>
      <c r="AT6" s="265">
        <f>AS6</f>
        <v>1998</v>
      </c>
      <c r="AV6" s="265">
        <f>AV7</f>
        <v>1999</v>
      </c>
      <c r="AW6" s="265">
        <f>AV6</f>
        <v>1999</v>
      </c>
      <c r="AX6" s="265">
        <f>AW6</f>
        <v>1999</v>
      </c>
      <c r="AY6" s="265">
        <f>AX6</f>
        <v>1999</v>
      </c>
      <c r="BA6" s="265">
        <f>BA7</f>
        <v>2000</v>
      </c>
      <c r="BB6" s="265">
        <f>BA6</f>
        <v>2000</v>
      </c>
      <c r="BC6" s="265">
        <f>BB6</f>
        <v>2000</v>
      </c>
      <c r="BD6" s="265">
        <f>BC6</f>
        <v>2000</v>
      </c>
      <c r="BF6" s="265">
        <f>BF7</f>
        <v>2001</v>
      </c>
      <c r="BG6" s="265">
        <f>BF6</f>
        <v>2001</v>
      </c>
      <c r="BH6" s="265">
        <f>BG6</f>
        <v>2001</v>
      </c>
      <c r="BI6" s="265">
        <f>BH6</f>
        <v>2001</v>
      </c>
      <c r="BK6" s="265">
        <f>BK7</f>
        <v>2002</v>
      </c>
      <c r="BL6" s="265">
        <f>BK6</f>
        <v>2002</v>
      </c>
      <c r="BM6" s="265">
        <f>BL6</f>
        <v>2002</v>
      </c>
      <c r="BN6" s="265">
        <f>BM6</f>
        <v>2002</v>
      </c>
      <c r="BP6" s="265">
        <f>BP7</f>
        <v>2003</v>
      </c>
      <c r="BQ6" s="265">
        <f>BP6</f>
        <v>2003</v>
      </c>
      <c r="BR6" s="265">
        <f>BQ6</f>
        <v>2003</v>
      </c>
      <c r="BS6" s="265">
        <f>BR6</f>
        <v>2003</v>
      </c>
      <c r="BU6" s="265">
        <f>BU7</f>
        <v>2004</v>
      </c>
      <c r="BV6" s="265">
        <f>BU6</f>
        <v>2004</v>
      </c>
      <c r="BW6" s="265">
        <f>BV6</f>
        <v>2004</v>
      </c>
      <c r="BX6" s="265">
        <f>BW6</f>
        <v>2004</v>
      </c>
      <c r="BZ6" s="265">
        <f>BZ7</f>
        <v>2005</v>
      </c>
      <c r="CA6" s="265">
        <f>BZ6</f>
        <v>2005</v>
      </c>
      <c r="CB6" s="265">
        <f>CA6</f>
        <v>2005</v>
      </c>
      <c r="CC6" s="265">
        <f>CB6</f>
        <v>2005</v>
      </c>
      <c r="CE6" s="265">
        <f>CE7</f>
        <v>2006</v>
      </c>
      <c r="CF6" s="265">
        <f>CE6</f>
        <v>2006</v>
      </c>
      <c r="CG6" s="265">
        <f>CF6</f>
        <v>2006</v>
      </c>
      <c r="CH6" s="265">
        <f>CG6</f>
        <v>2006</v>
      </c>
      <c r="CJ6" s="265">
        <f>CJ7</f>
        <v>2007</v>
      </c>
      <c r="CK6" s="265">
        <f>CJ6</f>
        <v>2007</v>
      </c>
      <c r="CL6" s="265">
        <f>CK6</f>
        <v>2007</v>
      </c>
      <c r="CM6" s="265">
        <f>CL6</f>
        <v>2007</v>
      </c>
      <c r="CO6" s="265">
        <f>CO7</f>
        <v>2008</v>
      </c>
      <c r="CP6" s="265">
        <f>CO6</f>
        <v>2008</v>
      </c>
      <c r="CQ6" s="265">
        <f>CP6</f>
        <v>2008</v>
      </c>
      <c r="CR6" s="265">
        <f>CQ6</f>
        <v>2008</v>
      </c>
      <c r="CT6" s="265">
        <f>CT7</f>
        <v>2009</v>
      </c>
      <c r="CU6" s="265">
        <f>CT6</f>
        <v>2009</v>
      </c>
      <c r="CV6" s="265">
        <f>CU6</f>
        <v>2009</v>
      </c>
      <c r="CW6" s="265">
        <f>CV6</f>
        <v>2009</v>
      </c>
      <c r="CY6" s="265">
        <f>CY7</f>
        <v>2010</v>
      </c>
      <c r="CZ6" s="266">
        <f>CY6</f>
        <v>2010</v>
      </c>
      <c r="DA6" s="266">
        <f>CZ6</f>
        <v>2010</v>
      </c>
      <c r="DB6" s="266">
        <f>DA6</f>
        <v>2010</v>
      </c>
      <c r="DD6" s="266">
        <f>DD7</f>
        <v>2011</v>
      </c>
      <c r="DE6" s="266">
        <f>DD6</f>
        <v>2011</v>
      </c>
      <c r="DF6" s="266">
        <f>DE6</f>
        <v>2011</v>
      </c>
      <c r="DG6" s="266">
        <f>DF6</f>
        <v>2011</v>
      </c>
      <c r="DI6" s="267">
        <f>DI7</f>
        <v>2012</v>
      </c>
      <c r="DJ6" s="267">
        <f>DI6</f>
        <v>2012</v>
      </c>
      <c r="DK6" s="267">
        <f>DJ6</f>
        <v>2012</v>
      </c>
      <c r="DL6" s="267">
        <f>DK6</f>
        <v>2012</v>
      </c>
      <c r="DN6" s="267">
        <f>DN7</f>
        <v>2013</v>
      </c>
      <c r="DO6" s="267">
        <f>DN6</f>
        <v>2013</v>
      </c>
      <c r="DP6" s="267">
        <f>DO6</f>
        <v>2013</v>
      </c>
      <c r="DQ6" s="267">
        <f>DP6</f>
        <v>2013</v>
      </c>
      <c r="DS6" s="267">
        <f>DS7</f>
        <v>2014</v>
      </c>
      <c r="DT6" s="267">
        <f>DS6</f>
        <v>2014</v>
      </c>
      <c r="DU6" s="267">
        <f>DT6</f>
        <v>2014</v>
      </c>
      <c r="DV6" s="267">
        <f>DU6</f>
        <v>2014</v>
      </c>
      <c r="DX6" s="267">
        <f>DX7</f>
        <v>2015</v>
      </c>
      <c r="DY6" s="267">
        <f>DX6</f>
        <v>2015</v>
      </c>
      <c r="DZ6" s="267">
        <f>DY6</f>
        <v>2015</v>
      </c>
      <c r="EA6" s="267">
        <f>DZ6</f>
        <v>2015</v>
      </c>
      <c r="EC6" s="267">
        <f>EC7</f>
        <v>2016</v>
      </c>
      <c r="ED6" s="267">
        <f>EC6</f>
        <v>2016</v>
      </c>
      <c r="EE6" s="267">
        <f>ED6</f>
        <v>2016</v>
      </c>
      <c r="EF6" s="267">
        <f>EE6</f>
        <v>2016</v>
      </c>
      <c r="EH6" s="267">
        <f>EH7</f>
        <v>2017</v>
      </c>
      <c r="EI6" s="267">
        <f>EH6</f>
        <v>2017</v>
      </c>
      <c r="EJ6" s="267">
        <f>EI6</f>
        <v>2017</v>
      </c>
      <c r="EK6" s="267">
        <f>EJ6</f>
        <v>2017</v>
      </c>
      <c r="EL6" s="267"/>
      <c r="EM6" s="267"/>
      <c r="EN6" s="267"/>
      <c r="EO6" s="267"/>
      <c r="EP6" s="267"/>
      <c r="EQ6" s="267"/>
      <c r="ES6" s="266"/>
      <c r="ET6" s="266"/>
      <c r="EU6" s="266"/>
      <c r="EV6" s="266"/>
      <c r="EY6" s="266"/>
      <c r="EZ6" s="266"/>
      <c r="FA6" s="266"/>
      <c r="FB6" s="266"/>
      <c r="FD6" s="266"/>
      <c r="FE6" s="266"/>
      <c r="FF6" s="266"/>
      <c r="FG6" s="266"/>
      <c r="FI6" s="266"/>
      <c r="FJ6" s="266"/>
      <c r="FK6" s="266"/>
      <c r="FL6" s="266"/>
      <c r="FM6" s="266"/>
      <c r="FN6" s="266"/>
      <c r="FO6" s="266"/>
      <c r="FP6" s="266"/>
      <c r="FQ6" s="266"/>
      <c r="FR6" s="266"/>
      <c r="FS6" s="266"/>
      <c r="FT6" s="266"/>
      <c r="FU6" s="266"/>
      <c r="FV6" s="266"/>
      <c r="FW6" s="266"/>
      <c r="FX6" s="265"/>
      <c r="FY6" s="265"/>
      <c r="FZ6" s="266"/>
      <c r="GA6" s="266"/>
      <c r="GB6" s="266"/>
      <c r="GC6" s="266"/>
      <c r="GD6" s="266"/>
    </row>
    <row r="7" spans="1:186" collapsed="1" x14ac:dyDescent="0.2">
      <c r="A7" s="493"/>
      <c r="B7" s="494"/>
      <c r="C7" s="495">
        <f>H7-1</f>
        <v>1990</v>
      </c>
      <c r="D7" s="496"/>
      <c r="E7" s="496"/>
      <c r="F7" s="496"/>
      <c r="G7" s="494"/>
      <c r="H7" s="495">
        <f>M7-1</f>
        <v>1991</v>
      </c>
      <c r="I7" s="496"/>
      <c r="J7" s="496"/>
      <c r="K7" s="496"/>
      <c r="L7" s="494"/>
      <c r="M7" s="495">
        <f>R7-1</f>
        <v>1992</v>
      </c>
      <c r="N7" s="496"/>
      <c r="O7" s="496"/>
      <c r="P7" s="496"/>
      <c r="Q7" s="494"/>
      <c r="R7" s="495">
        <f>W7-1</f>
        <v>1993</v>
      </c>
      <c r="S7" s="496"/>
      <c r="T7" s="496"/>
      <c r="U7" s="496"/>
      <c r="V7" s="494"/>
      <c r="W7" s="495">
        <f>AB7-1</f>
        <v>1994</v>
      </c>
      <c r="X7" s="496"/>
      <c r="Y7" s="496"/>
      <c r="Z7" s="496"/>
      <c r="AA7" s="494"/>
      <c r="AB7" s="495">
        <f>AG7-1</f>
        <v>1995</v>
      </c>
      <c r="AC7" s="496"/>
      <c r="AD7" s="496"/>
      <c r="AE7" s="496"/>
      <c r="AF7" s="494"/>
      <c r="AG7" s="495">
        <f>AL7-1</f>
        <v>1996</v>
      </c>
      <c r="AH7" s="496"/>
      <c r="AI7" s="496"/>
      <c r="AJ7" s="496"/>
      <c r="AK7" s="494"/>
      <c r="AL7" s="495">
        <f>AQ7-1</f>
        <v>1997</v>
      </c>
      <c r="AM7" s="496"/>
      <c r="AN7" s="496"/>
      <c r="AO7" s="496"/>
      <c r="AP7" s="494"/>
      <c r="AQ7" s="495">
        <f>AV7-1</f>
        <v>1998</v>
      </c>
      <c r="AR7" s="496"/>
      <c r="AS7" s="496"/>
      <c r="AT7" s="496"/>
      <c r="AU7" s="494"/>
      <c r="AV7" s="495">
        <f>BA7-1</f>
        <v>1999</v>
      </c>
      <c r="AW7" s="496"/>
      <c r="AX7" s="496"/>
      <c r="AY7" s="496"/>
      <c r="AZ7" s="494"/>
      <c r="BA7" s="495">
        <v>2000</v>
      </c>
      <c r="BB7" s="496"/>
      <c r="BC7" s="496"/>
      <c r="BD7" s="496"/>
      <c r="BE7" s="494"/>
      <c r="BF7" s="495">
        <f>BK7-1</f>
        <v>2001</v>
      </c>
      <c r="BG7" s="496"/>
      <c r="BH7" s="496"/>
      <c r="BI7" s="496"/>
      <c r="BJ7" s="494"/>
      <c r="BK7" s="495">
        <f>BP7-1</f>
        <v>2002</v>
      </c>
      <c r="BL7" s="496"/>
      <c r="BM7" s="496"/>
      <c r="BN7" s="496"/>
      <c r="BO7" s="494"/>
      <c r="BP7" s="495">
        <f>BU7-1</f>
        <v>2003</v>
      </c>
      <c r="BQ7" s="496"/>
      <c r="BR7" s="496"/>
      <c r="BS7" s="496"/>
      <c r="BT7" s="494"/>
      <c r="BU7" s="495">
        <v>2004</v>
      </c>
      <c r="BV7" s="496"/>
      <c r="BW7" s="496"/>
      <c r="BX7" s="496"/>
      <c r="BY7" s="494"/>
      <c r="BZ7" s="495">
        <v>2005</v>
      </c>
      <c r="CA7" s="496"/>
      <c r="CB7" s="496"/>
      <c r="CC7" s="496"/>
      <c r="CD7" s="494"/>
      <c r="CE7" s="495">
        <f>BZ7+1</f>
        <v>2006</v>
      </c>
      <c r="CF7" s="496"/>
      <c r="CG7" s="496"/>
      <c r="CH7" s="496"/>
      <c r="CI7" s="494"/>
      <c r="CJ7" s="495">
        <f>CE7+1</f>
        <v>2007</v>
      </c>
      <c r="CK7" s="496"/>
      <c r="CL7" s="496"/>
      <c r="CM7" s="496"/>
      <c r="CN7" s="494"/>
      <c r="CO7" s="495">
        <f>CJ7+1</f>
        <v>2008</v>
      </c>
      <c r="CP7" s="496"/>
      <c r="CQ7" s="496"/>
      <c r="CR7" s="496"/>
      <c r="CS7" s="494"/>
      <c r="CT7" s="495">
        <f>CO7+1</f>
        <v>2009</v>
      </c>
      <c r="CU7" s="496"/>
      <c r="CV7" s="496"/>
      <c r="CW7" s="496"/>
      <c r="CX7" s="494"/>
      <c r="CY7" s="495">
        <f>CT7+1</f>
        <v>2010</v>
      </c>
      <c r="CZ7" s="497"/>
      <c r="DA7" s="497"/>
      <c r="DB7" s="497"/>
      <c r="DC7" s="494"/>
      <c r="DD7" s="498">
        <f>CY7+1</f>
        <v>2011</v>
      </c>
      <c r="DE7" s="497"/>
      <c r="DF7" s="497"/>
      <c r="DG7" s="497"/>
      <c r="DH7" s="494"/>
      <c r="DI7" s="498">
        <v>2012</v>
      </c>
      <c r="DJ7" s="497"/>
      <c r="DK7" s="497"/>
      <c r="DL7" s="497"/>
      <c r="DM7" s="494"/>
      <c r="DN7" s="499">
        <v>2013</v>
      </c>
      <c r="DO7" s="497"/>
      <c r="DP7" s="497"/>
      <c r="DQ7" s="497"/>
      <c r="DR7" s="494"/>
      <c r="DS7" s="500">
        <v>2014</v>
      </c>
      <c r="DT7" s="497"/>
      <c r="DU7" s="497"/>
      <c r="DV7" s="497"/>
      <c r="DW7" s="671"/>
      <c r="DX7" s="500">
        <v>2015</v>
      </c>
      <c r="DY7" s="497"/>
      <c r="DZ7" s="497"/>
      <c r="EA7" s="497"/>
      <c r="EB7" s="671"/>
      <c r="EC7" s="499">
        <v>2016</v>
      </c>
      <c r="ED7" s="497"/>
      <c r="EE7" s="497"/>
      <c r="EF7" s="497"/>
      <c r="EG7" s="671"/>
      <c r="EH7" s="499">
        <v>2017</v>
      </c>
      <c r="EI7" s="497"/>
      <c r="EJ7" s="497"/>
      <c r="EK7" s="497"/>
      <c r="EL7" s="497"/>
      <c r="EM7" s="1078">
        <v>2018</v>
      </c>
      <c r="EN7" s="497"/>
      <c r="EO7" s="497"/>
      <c r="EP7" s="497"/>
      <c r="EQ7" s="497"/>
      <c r="ER7" s="1320"/>
      <c r="ES7" s="501">
        <v>1990</v>
      </c>
      <c r="ET7" s="502">
        <f t="shared" ref="ET7:FN7" si="0">ES7+1</f>
        <v>1991</v>
      </c>
      <c r="EU7" s="502">
        <f t="shared" si="0"/>
        <v>1992</v>
      </c>
      <c r="EV7" s="502">
        <f t="shared" si="0"/>
        <v>1993</v>
      </c>
      <c r="EW7" s="502">
        <f t="shared" si="0"/>
        <v>1994</v>
      </c>
      <c r="EX7" s="502">
        <f t="shared" si="0"/>
        <v>1995</v>
      </c>
      <c r="EY7" s="502">
        <f t="shared" si="0"/>
        <v>1996</v>
      </c>
      <c r="EZ7" s="502">
        <f t="shared" si="0"/>
        <v>1997</v>
      </c>
      <c r="FA7" s="502">
        <f t="shared" si="0"/>
        <v>1998</v>
      </c>
      <c r="FB7" s="502">
        <f t="shared" si="0"/>
        <v>1999</v>
      </c>
      <c r="FC7" s="502">
        <f t="shared" si="0"/>
        <v>2000</v>
      </c>
      <c r="FD7" s="502">
        <f t="shared" si="0"/>
        <v>2001</v>
      </c>
      <c r="FE7" s="502">
        <f t="shared" si="0"/>
        <v>2002</v>
      </c>
      <c r="FF7" s="502">
        <f t="shared" si="0"/>
        <v>2003</v>
      </c>
      <c r="FG7" s="502">
        <f t="shared" si="0"/>
        <v>2004</v>
      </c>
      <c r="FH7" s="502">
        <f t="shared" si="0"/>
        <v>2005</v>
      </c>
      <c r="FI7" s="501">
        <f t="shared" si="0"/>
        <v>2006</v>
      </c>
      <c r="FJ7" s="501">
        <f t="shared" si="0"/>
        <v>2007</v>
      </c>
      <c r="FK7" s="502">
        <f t="shared" si="0"/>
        <v>2008</v>
      </c>
      <c r="FL7" s="502">
        <f t="shared" si="0"/>
        <v>2009</v>
      </c>
      <c r="FM7" s="851">
        <f t="shared" si="0"/>
        <v>2010</v>
      </c>
      <c r="FN7" s="852">
        <f t="shared" si="0"/>
        <v>2011</v>
      </c>
      <c r="FO7" s="852">
        <v>2012</v>
      </c>
      <c r="FP7" s="852">
        <v>2013</v>
      </c>
      <c r="FQ7" s="853">
        <f t="shared" ref="FQ7:FV7" si="1">FP7+1</f>
        <v>2014</v>
      </c>
      <c r="FR7" s="853">
        <f t="shared" si="1"/>
        <v>2015</v>
      </c>
      <c r="FS7" s="853">
        <f t="shared" si="1"/>
        <v>2016</v>
      </c>
      <c r="FT7" s="853">
        <f t="shared" si="1"/>
        <v>2017</v>
      </c>
      <c r="FU7" s="854">
        <f t="shared" si="1"/>
        <v>2018</v>
      </c>
      <c r="FV7" s="854">
        <f t="shared" si="1"/>
        <v>2019</v>
      </c>
      <c r="FW7" s="855">
        <f>FV7+1</f>
        <v>2020</v>
      </c>
      <c r="FX7" s="854">
        <f>FW7+1</f>
        <v>2021</v>
      </c>
      <c r="FY7" s="855">
        <f>FX7+1</f>
        <v>2022</v>
      </c>
      <c r="FZ7" s="270"/>
      <c r="GA7" s="270"/>
      <c r="GB7" s="270"/>
      <c r="GC7" s="270"/>
      <c r="GD7" s="270"/>
    </row>
    <row r="8" spans="1:186" x14ac:dyDescent="0.2">
      <c r="A8" s="271" t="s">
        <v>155</v>
      </c>
      <c r="C8" s="272" t="s">
        <v>78</v>
      </c>
      <c r="D8" s="272" t="s">
        <v>79</v>
      </c>
      <c r="E8" s="272" t="s">
        <v>80</v>
      </c>
      <c r="F8" s="272" t="s">
        <v>81</v>
      </c>
      <c r="H8" s="272" t="s">
        <v>78</v>
      </c>
      <c r="I8" s="272" t="s">
        <v>79</v>
      </c>
      <c r="J8" s="272" t="s">
        <v>80</v>
      </c>
      <c r="K8" s="272" t="s">
        <v>81</v>
      </c>
      <c r="M8" s="272" t="s">
        <v>78</v>
      </c>
      <c r="N8" s="272" t="s">
        <v>79</v>
      </c>
      <c r="O8" s="272" t="s">
        <v>80</v>
      </c>
      <c r="P8" s="272" t="s">
        <v>81</v>
      </c>
      <c r="R8" s="272" t="s">
        <v>78</v>
      </c>
      <c r="S8" s="272" t="s">
        <v>79</v>
      </c>
      <c r="T8" s="272" t="s">
        <v>80</v>
      </c>
      <c r="U8" s="272" t="s">
        <v>81</v>
      </c>
      <c r="W8" s="272" t="s">
        <v>78</v>
      </c>
      <c r="X8" s="272" t="s">
        <v>79</v>
      </c>
      <c r="Y8" s="272" t="s">
        <v>80</v>
      </c>
      <c r="Z8" s="272" t="s">
        <v>81</v>
      </c>
      <c r="AB8" s="272" t="s">
        <v>78</v>
      </c>
      <c r="AC8" s="272" t="s">
        <v>79</v>
      </c>
      <c r="AD8" s="272" t="s">
        <v>80</v>
      </c>
      <c r="AE8" s="272" t="s">
        <v>81</v>
      </c>
      <c r="AG8" s="272" t="s">
        <v>78</v>
      </c>
      <c r="AH8" s="272" t="s">
        <v>79</v>
      </c>
      <c r="AI8" s="272" t="s">
        <v>80</v>
      </c>
      <c r="AJ8" s="272" t="s">
        <v>81</v>
      </c>
      <c r="AL8" s="272" t="s">
        <v>78</v>
      </c>
      <c r="AM8" s="272" t="s">
        <v>79</v>
      </c>
      <c r="AN8" s="272" t="s">
        <v>80</v>
      </c>
      <c r="AO8" s="272" t="s">
        <v>81</v>
      </c>
      <c r="AQ8" s="272" t="s">
        <v>78</v>
      </c>
      <c r="AR8" s="272" t="s">
        <v>79</v>
      </c>
      <c r="AS8" s="272" t="s">
        <v>80</v>
      </c>
      <c r="AT8" s="272" t="s">
        <v>81</v>
      </c>
      <c r="AV8" s="272" t="s">
        <v>78</v>
      </c>
      <c r="AW8" s="272" t="s">
        <v>79</v>
      </c>
      <c r="AX8" s="272" t="s">
        <v>80</v>
      </c>
      <c r="AY8" s="272" t="s">
        <v>81</v>
      </c>
      <c r="BA8" s="272" t="s">
        <v>78</v>
      </c>
      <c r="BB8" s="272" t="s">
        <v>79</v>
      </c>
      <c r="BC8" s="272" t="s">
        <v>80</v>
      </c>
      <c r="BD8" s="272" t="s">
        <v>81</v>
      </c>
      <c r="BF8" s="272" t="s">
        <v>78</v>
      </c>
      <c r="BG8" s="272" t="s">
        <v>79</v>
      </c>
      <c r="BH8" s="272" t="s">
        <v>80</v>
      </c>
      <c r="BI8" s="272" t="s">
        <v>81</v>
      </c>
      <c r="BK8" s="272" t="s">
        <v>78</v>
      </c>
      <c r="BL8" s="272" t="s">
        <v>79</v>
      </c>
      <c r="BM8" s="272" t="s">
        <v>80</v>
      </c>
      <c r="BN8" s="272" t="s">
        <v>81</v>
      </c>
      <c r="BP8" s="272" t="s">
        <v>78</v>
      </c>
      <c r="BQ8" s="272" t="s">
        <v>79</v>
      </c>
      <c r="BR8" s="272" t="s">
        <v>80</v>
      </c>
      <c r="BS8" s="272" t="s">
        <v>81</v>
      </c>
      <c r="BU8" s="272" t="s">
        <v>78</v>
      </c>
      <c r="BV8" s="272" t="s">
        <v>79</v>
      </c>
      <c r="BW8" s="272" t="s">
        <v>80</v>
      </c>
      <c r="BX8" s="272" t="s">
        <v>81</v>
      </c>
      <c r="BZ8" s="272" t="s">
        <v>78</v>
      </c>
      <c r="CA8" s="272" t="s">
        <v>79</v>
      </c>
      <c r="CB8" s="272" t="s">
        <v>80</v>
      </c>
      <c r="CC8" s="272" t="s">
        <v>81</v>
      </c>
      <c r="CE8" s="272" t="s">
        <v>78</v>
      </c>
      <c r="CF8" s="272" t="s">
        <v>79</v>
      </c>
      <c r="CG8" s="272" t="s">
        <v>80</v>
      </c>
      <c r="CH8" s="272" t="s">
        <v>81</v>
      </c>
      <c r="CJ8" s="272" t="s">
        <v>78</v>
      </c>
      <c r="CK8" s="272" t="s">
        <v>79</v>
      </c>
      <c r="CL8" s="272" t="s">
        <v>80</v>
      </c>
      <c r="CM8" s="272" t="s">
        <v>81</v>
      </c>
      <c r="CO8" s="272" t="s">
        <v>78</v>
      </c>
      <c r="CP8" s="272" t="s">
        <v>79</v>
      </c>
      <c r="CQ8" s="272" t="s">
        <v>80</v>
      </c>
      <c r="CR8" s="272" t="s">
        <v>81</v>
      </c>
      <c r="CT8" s="272" t="s">
        <v>78</v>
      </c>
      <c r="CU8" s="272" t="s">
        <v>79</v>
      </c>
      <c r="CV8" s="272" t="s">
        <v>80</v>
      </c>
      <c r="CW8" s="272" t="s">
        <v>81</v>
      </c>
      <c r="CY8" s="272" t="s">
        <v>78</v>
      </c>
      <c r="CZ8" s="272" t="s">
        <v>79</v>
      </c>
      <c r="DA8" s="272" t="s">
        <v>80</v>
      </c>
      <c r="DB8" s="272" t="s">
        <v>81</v>
      </c>
      <c r="DC8" s="249"/>
      <c r="DD8" s="272" t="s">
        <v>78</v>
      </c>
      <c r="DE8" s="272" t="s">
        <v>79</v>
      </c>
      <c r="DF8" s="272" t="s">
        <v>80</v>
      </c>
      <c r="DG8" s="272" t="s">
        <v>81</v>
      </c>
      <c r="DH8" s="249"/>
      <c r="DI8" s="272" t="s">
        <v>78</v>
      </c>
      <c r="DJ8" s="272" t="s">
        <v>79</v>
      </c>
      <c r="DK8" s="272" t="s">
        <v>80</v>
      </c>
      <c r="DL8" s="272" t="s">
        <v>81</v>
      </c>
      <c r="DM8" s="249"/>
      <c r="DN8" s="272" t="s">
        <v>78</v>
      </c>
      <c r="DO8" s="272" t="s">
        <v>79</v>
      </c>
      <c r="DP8" s="272" t="s">
        <v>80</v>
      </c>
      <c r="DQ8" s="272" t="s">
        <v>81</v>
      </c>
      <c r="DR8" s="249"/>
      <c r="DS8" s="272" t="s">
        <v>78</v>
      </c>
      <c r="DT8" s="272" t="s">
        <v>79</v>
      </c>
      <c r="DU8" s="272" t="s">
        <v>80</v>
      </c>
      <c r="DV8" s="272" t="s">
        <v>81</v>
      </c>
      <c r="DW8" s="249"/>
      <c r="DX8" s="272" t="s">
        <v>78</v>
      </c>
      <c r="DY8" s="272" t="s">
        <v>79</v>
      </c>
      <c r="DZ8" s="272" t="s">
        <v>80</v>
      </c>
      <c r="EA8" s="272" t="s">
        <v>81</v>
      </c>
      <c r="EB8" s="249"/>
      <c r="EC8" s="272" t="s">
        <v>78</v>
      </c>
      <c r="ED8" s="272" t="s">
        <v>79</v>
      </c>
      <c r="EE8" s="272" t="s">
        <v>80</v>
      </c>
      <c r="EF8" s="272" t="s">
        <v>81</v>
      </c>
      <c r="EG8" s="249"/>
      <c r="EH8" s="272" t="s">
        <v>78</v>
      </c>
      <c r="EI8" s="272" t="s">
        <v>79</v>
      </c>
      <c r="EJ8" s="272" t="s">
        <v>80</v>
      </c>
      <c r="EK8" s="272" t="s">
        <v>81</v>
      </c>
      <c r="EL8" s="273"/>
      <c r="EM8" s="1263" t="s">
        <v>78</v>
      </c>
      <c r="EN8" s="1263" t="s">
        <v>79</v>
      </c>
      <c r="EO8" s="1263" t="s">
        <v>80</v>
      </c>
      <c r="EP8" s="1263" t="s">
        <v>81</v>
      </c>
      <c r="EQ8" s="273"/>
      <c r="ER8" s="1321"/>
      <c r="ES8" s="272" t="s">
        <v>81</v>
      </c>
      <c r="ET8" s="272" t="s">
        <v>81</v>
      </c>
      <c r="EU8" s="272" t="s">
        <v>81</v>
      </c>
      <c r="EV8" s="272" t="s">
        <v>81</v>
      </c>
      <c r="EW8" s="272" t="s">
        <v>81</v>
      </c>
      <c r="EX8" s="272" t="s">
        <v>81</v>
      </c>
      <c r="EY8" s="272" t="s">
        <v>81</v>
      </c>
      <c r="EZ8" s="272" t="s">
        <v>81</v>
      </c>
      <c r="FA8" s="272" t="s">
        <v>81</v>
      </c>
      <c r="FB8" s="272" t="s">
        <v>81</v>
      </c>
      <c r="FC8" s="272" t="s">
        <v>81</v>
      </c>
      <c r="FD8" s="272" t="s">
        <v>81</v>
      </c>
      <c r="FE8" s="272" t="s">
        <v>81</v>
      </c>
      <c r="FF8" s="272" t="s">
        <v>81</v>
      </c>
      <c r="FG8" s="272" t="s">
        <v>81</v>
      </c>
      <c r="FH8" s="272" t="s">
        <v>81</v>
      </c>
      <c r="FI8" s="274" t="s">
        <v>81</v>
      </c>
      <c r="FJ8" s="274" t="s">
        <v>81</v>
      </c>
      <c r="FK8" s="272" t="s">
        <v>81</v>
      </c>
      <c r="FL8" s="272" t="s">
        <v>81</v>
      </c>
      <c r="FM8" s="274" t="s">
        <v>81</v>
      </c>
      <c r="FN8" s="272" t="s">
        <v>81</v>
      </c>
      <c r="FO8" s="272" t="s">
        <v>81</v>
      </c>
      <c r="FP8" s="272" t="s">
        <v>81</v>
      </c>
      <c r="FQ8" s="272" t="s">
        <v>81</v>
      </c>
      <c r="FR8" s="272" t="s">
        <v>81</v>
      </c>
      <c r="FS8" s="272" t="s">
        <v>81</v>
      </c>
      <c r="FT8" s="272" t="s">
        <v>81</v>
      </c>
      <c r="FU8" s="272" t="s">
        <v>81</v>
      </c>
      <c r="FV8" s="272" t="s">
        <v>81</v>
      </c>
      <c r="FW8" s="275" t="s">
        <v>81</v>
      </c>
      <c r="FX8" s="272" t="s">
        <v>81</v>
      </c>
      <c r="FY8" s="1269" t="s">
        <v>81</v>
      </c>
      <c r="FZ8" s="272"/>
      <c r="GA8" s="272"/>
      <c r="GB8" s="272"/>
      <c r="GC8" s="272"/>
      <c r="GD8" s="272"/>
    </row>
    <row r="9" spans="1:186" ht="9" customHeight="1" x14ac:dyDescent="0.2">
      <c r="A9" s="276"/>
      <c r="CZ9" s="249"/>
      <c r="DA9" s="249"/>
      <c r="DB9" s="249"/>
      <c r="DC9" s="249"/>
      <c r="DD9" s="249"/>
      <c r="DE9" s="249"/>
      <c r="DF9" s="249"/>
      <c r="DG9" s="249"/>
      <c r="DH9" s="249"/>
      <c r="DI9" s="249"/>
      <c r="DJ9" s="249"/>
      <c r="DK9" s="249"/>
      <c r="DL9" s="249"/>
      <c r="DM9" s="249"/>
      <c r="DN9" s="249"/>
      <c r="DO9" s="249"/>
      <c r="DP9" s="249"/>
      <c r="DQ9" s="249"/>
      <c r="DR9" s="249"/>
      <c r="DS9" s="249"/>
      <c r="DT9" s="249"/>
      <c r="DU9" s="249"/>
      <c r="DV9" s="249"/>
      <c r="DW9" s="249"/>
      <c r="EB9" s="249"/>
      <c r="EC9" s="249"/>
      <c r="ED9" s="249"/>
      <c r="EE9" s="249"/>
      <c r="EF9" s="249"/>
      <c r="EG9" s="249"/>
      <c r="EH9" s="249"/>
      <c r="EI9" s="249"/>
      <c r="EJ9" s="249"/>
      <c r="EK9" s="249"/>
      <c r="EL9" s="249"/>
      <c r="EM9" s="1264"/>
      <c r="EN9" s="1264"/>
      <c r="EO9" s="1264"/>
      <c r="EP9" s="1264"/>
      <c r="EQ9" s="249"/>
      <c r="ER9" s="277"/>
      <c r="ES9" s="249"/>
      <c r="ET9" s="249"/>
      <c r="EU9" s="249"/>
      <c r="EV9" s="249"/>
      <c r="EW9" s="249"/>
      <c r="EX9" s="249"/>
      <c r="EY9" s="249"/>
      <c r="EZ9" s="249"/>
      <c r="FA9" s="249"/>
      <c r="FB9" s="249"/>
      <c r="FC9" s="249"/>
      <c r="FD9" s="249"/>
      <c r="FE9" s="249"/>
      <c r="FF9" s="249"/>
      <c r="FG9" s="249"/>
      <c r="FH9" s="249"/>
      <c r="FI9" s="276"/>
      <c r="FJ9" s="276"/>
      <c r="FK9" s="249"/>
      <c r="FL9" s="249"/>
      <c r="FM9" s="276"/>
      <c r="FN9" s="249"/>
      <c r="FO9" s="249"/>
      <c r="FP9" s="249"/>
      <c r="FQ9" s="249"/>
      <c r="FR9" s="249"/>
      <c r="FS9" s="249"/>
      <c r="FT9" s="249"/>
      <c r="FU9" s="249"/>
      <c r="FV9" s="249"/>
      <c r="FW9" s="277"/>
      <c r="FY9" s="1270"/>
      <c r="FZ9" s="249"/>
      <c r="GA9" s="249"/>
      <c r="GB9" s="249"/>
      <c r="GC9" s="249"/>
      <c r="GD9" s="249"/>
    </row>
    <row r="10" spans="1:186" ht="11.25" customHeight="1" x14ac:dyDescent="0.2">
      <c r="A10" s="276" t="s">
        <v>273</v>
      </c>
      <c r="C10" s="278">
        <f>INDEX('qtrP&amp;L'!$10:$10,MATCH(C$7,'qtrP&amp;L'!$6:$6,0))</f>
        <v>555</v>
      </c>
      <c r="D10" s="278">
        <f>INDEX('qtrP&amp;L'!$11:$11,MATCH(C$7,'qtrP&amp;L'!$6:$6,0))</f>
        <v>801</v>
      </c>
      <c r="E10" s="278">
        <f>INDEX('qtrP&amp;L'!$12:$12,MATCH(C$7,'qtrP&amp;L'!$6:$6,0))</f>
        <v>634.9</v>
      </c>
      <c r="F10" s="278">
        <f>INDEX('qtrP&amp;L'!$13:$13,MATCH(C$7,'qtrP&amp;L'!$6:$6,0))</f>
        <v>903.00400000000002</v>
      </c>
      <c r="G10" s="279"/>
      <c r="H10" s="278">
        <f>INDEX('qtrP&amp;L'!$10:$10,MATCH(H$7,'qtrP&amp;L'!$6:$6,0))</f>
        <v>610.60299999999995</v>
      </c>
      <c r="I10" s="278">
        <f>INDEX('qtrP&amp;L'!$11:$11,MATCH(H$7,'qtrP&amp;L'!$6:$6,0))</f>
        <v>904.08399999999995</v>
      </c>
      <c r="J10" s="278">
        <f>INDEX('qtrP&amp;L'!$12:$12,MATCH(H$7,'qtrP&amp;L'!$6:$6,0))</f>
        <v>687.077</v>
      </c>
      <c r="K10" s="278">
        <f>INDEX('qtrP&amp;L'!$13:$13,MATCH(H$7,'qtrP&amp;L'!$6:$6,0))</f>
        <v>978.05600000000004</v>
      </c>
      <c r="L10" s="279"/>
      <c r="M10" s="278">
        <f>INDEX('qtrP&amp;L'!$10:$10,MATCH(M$7,'qtrP&amp;L'!$6:$6,0))</f>
        <v>663.80899999999997</v>
      </c>
      <c r="N10" s="278">
        <f>INDEX('qtrP&amp;L'!$11:$11,MATCH(M$7,'qtrP&amp;L'!$6:$6,0))</f>
        <v>951.61599999999999</v>
      </c>
      <c r="O10" s="278">
        <f>INDEX('qtrP&amp;L'!$12:$12,MATCH(M$7,'qtrP&amp;L'!$6:$6,0))</f>
        <v>737.30100000000004</v>
      </c>
      <c r="P10" s="278">
        <f>INDEX('qtrP&amp;L'!$13:$13,MATCH(M$7,'qtrP&amp;L'!$6:$6,0))</f>
        <v>1069.2529999999999</v>
      </c>
      <c r="Q10" s="279"/>
      <c r="R10" s="278">
        <f>INDEX('qtrP&amp;L'!$10:$10,MATCH(R$7,'qtrP&amp;L'!$6:$6,0))</f>
        <v>695.55899999999997</v>
      </c>
      <c r="S10" s="278">
        <f>INDEX('qtrP&amp;L'!$11:$11,MATCH(R$7,'qtrP&amp;L'!$6:$6,0))</f>
        <v>1017.582</v>
      </c>
      <c r="T10" s="278">
        <f>INDEX('qtrP&amp;L'!$12:$12,MATCH(R$7,'qtrP&amp;L'!$6:$6,0))</f>
        <v>769.37300000000005</v>
      </c>
      <c r="U10" s="278">
        <f>INDEX('qtrP&amp;L'!$13:$13,MATCH(R$7,'qtrP&amp;L'!$6:$6,0))</f>
        <v>1107.424</v>
      </c>
      <c r="V10" s="279"/>
      <c r="W10" s="278">
        <f>INDEX('qtrP&amp;L'!$10:$10,MATCH(W$7,'qtrP&amp;L'!$6:$6,0))</f>
        <v>762.06200000000001</v>
      </c>
      <c r="X10" s="278">
        <f>INDEX('qtrP&amp;L'!$11:$11,MATCH(W$7,'qtrP&amp;L'!$6:$6,0))</f>
        <v>1079.501</v>
      </c>
      <c r="Y10" s="278">
        <f>INDEX('qtrP&amp;L'!$12:$12,MATCH(W$7,'qtrP&amp;L'!$6:$6,0))</f>
        <v>861.96799999999996</v>
      </c>
      <c r="Z10" s="278">
        <f>INDEX('qtrP&amp;L'!$13:$13,MATCH(W$7,'qtrP&amp;L'!$6:$6,0))</f>
        <v>1190.9469999999999</v>
      </c>
      <c r="AA10" s="279"/>
      <c r="AB10" s="278">
        <f>INDEX('qtrP&amp;L'!$10:$10,MATCH(AB$7,'qtrP&amp;L'!$6:$6,0))</f>
        <v>815.59799999999996</v>
      </c>
      <c r="AC10" s="278">
        <f>INDEX('qtrP&amp;L'!$11:$11,MATCH(AB$7,'qtrP&amp;L'!$6:$6,0))</f>
        <v>1149.239</v>
      </c>
      <c r="AD10" s="278">
        <f>INDEX('qtrP&amp;L'!$12:$12,MATCH(AB$7,'qtrP&amp;L'!$6:$6,0))</f>
        <v>906.84799999999996</v>
      </c>
      <c r="AE10" s="278">
        <f>INDEX('qtrP&amp;L'!$13:$13,MATCH(AB$7,'qtrP&amp;L'!$6:$6,0))</f>
        <v>1241.8309999999999</v>
      </c>
      <c r="AF10" s="279"/>
      <c r="AG10" s="278">
        <f>INDEX('qtrP&amp;L'!$10:$10,MATCH(AG$7,'qtrP&amp;L'!$6:$6,0))</f>
        <v>905.96199999999999</v>
      </c>
      <c r="AH10" s="278">
        <f>INDEX('qtrP&amp;L'!$11:$11,MATCH(AG$7,'qtrP&amp;L'!$6:$6,0))</f>
        <v>1241.4639999999999</v>
      </c>
      <c r="AI10" s="278">
        <f>INDEX('qtrP&amp;L'!$12:$12,MATCH(AG$7,'qtrP&amp;L'!$6:$6,0))</f>
        <v>984.44</v>
      </c>
      <c r="AJ10" s="278">
        <f>INDEX('qtrP&amp;L'!$13:$13,MATCH(AG$7,'qtrP&amp;L'!$6:$6,0))</f>
        <v>1321.1969999999999</v>
      </c>
      <c r="AK10" s="279"/>
      <c r="AL10" s="278">
        <f>INDEX('qtrP&amp;L'!$10:$10,MATCH(AL$7,'qtrP&amp;L'!$6:$6,0))</f>
        <v>953.74699999999996</v>
      </c>
      <c r="AM10" s="278">
        <f>INDEX('qtrP&amp;L'!$11:$11,MATCH(AL$7,'qtrP&amp;L'!$6:$6,0))</f>
        <v>1353.345</v>
      </c>
      <c r="AN10" s="278">
        <f>INDEX('qtrP&amp;L'!$12:$12,MATCH(AL$7,'qtrP&amp;L'!$6:$6,0))</f>
        <v>1089.7840000000001</v>
      </c>
      <c r="AO10" s="278">
        <f>INDEX('qtrP&amp;L'!$13:$13,MATCH(AL$7,'qtrP&amp;L'!$6:$6,0))</f>
        <v>1454.748</v>
      </c>
      <c r="AP10" s="279"/>
      <c r="AQ10" s="278">
        <f>INDEX('qtrP&amp;L'!$10:$10,MATCH(AQ$7,'qtrP&amp;L'!$6:$6,0))</f>
        <v>1040.2149999999999</v>
      </c>
      <c r="AR10" s="278">
        <f>INDEX('qtrP&amp;L'!$11:$11,MATCH(AQ$7,'qtrP&amp;L'!$6:$6,0))</f>
        <v>1447.2840000000001</v>
      </c>
      <c r="AS10" s="278">
        <f>INDEX('qtrP&amp;L'!$12:$12,MATCH(AQ$7,'qtrP&amp;L'!$6:$6,0))</f>
        <v>1446.0419999999999</v>
      </c>
      <c r="AT10" s="278">
        <f>INDEX('qtrP&amp;L'!$13:$13,MATCH(AQ$7,'qtrP&amp;L'!$6:$6,0))</f>
        <v>1446.0419999999999</v>
      </c>
      <c r="AU10" s="279"/>
      <c r="AV10" s="278">
        <f>INDEX('qtrP&amp;L'!$10:$10,MATCH(AV$7,'qtrP&amp;L'!$6:$6,0))</f>
        <v>1039.105</v>
      </c>
      <c r="AW10" s="278">
        <f>INDEX('qtrP&amp;L'!$11:$11,MATCH(AV$7,'qtrP&amp;L'!$6:$6,0))</f>
        <v>1443.395</v>
      </c>
      <c r="AX10" s="278">
        <f>INDEX('qtrP&amp;L'!$12:$12,MATCH(AV$7,'qtrP&amp;L'!$6:$6,0))</f>
        <v>1110.114</v>
      </c>
      <c r="AY10" s="278">
        <f>INDEX('qtrP&amp;L'!$13:$13,MATCH(AV$7,'qtrP&amp;L'!$6:$6,0))</f>
        <v>1556.3860000000004</v>
      </c>
      <c r="AZ10" s="279"/>
      <c r="BA10" s="278">
        <f>INDEX('qtrP&amp;L'!$10:$10,MATCH(BA$7,'qtrP&amp;L'!$6:$6,0))</f>
        <v>1153.377</v>
      </c>
      <c r="BB10" s="278">
        <f>INDEX('qtrP&amp;L'!$11:$11,MATCH(BA$7,'qtrP&amp;L'!$6:$6,0))</f>
        <v>1457.0350000000001</v>
      </c>
      <c r="BC10" s="278">
        <f>INDEX('qtrP&amp;L'!$12:$12,MATCH(BA$7,'qtrP&amp;L'!$6:$6,0))</f>
        <v>1262.3899999999999</v>
      </c>
      <c r="BD10" s="278">
        <f>INDEX('qtrP&amp;L'!$13:$13,MATCH(BA$7,'qtrP&amp;L'!$6:$6,0))</f>
        <v>1655.7349999999999</v>
      </c>
      <c r="BE10" s="279"/>
      <c r="BF10" s="278">
        <f>INDEX('qtrP&amp;L'!$10:$10,MATCH(BF$7,'qtrP&amp;L'!$6:$6,0))</f>
        <v>1218.04</v>
      </c>
      <c r="BG10" s="278">
        <f>INDEX('qtrP&amp;L'!$11:$11,MATCH(BF$7,'qtrP&amp;L'!$6:$6,0))</f>
        <v>1545.759</v>
      </c>
      <c r="BH10" s="278">
        <f>INDEX('qtrP&amp;L'!$12:$12,MATCH(BF$7,'qtrP&amp;L'!$6:$6,0))</f>
        <v>1239.241</v>
      </c>
      <c r="BI10" s="278">
        <f>INDEX('qtrP&amp;L'!$13:$13,MATCH(BF$7,'qtrP&amp;L'!$6:$6,0))</f>
        <v>1631.09</v>
      </c>
      <c r="BJ10" s="279"/>
      <c r="BK10" s="278">
        <f>INDEX('qtrP&amp;L'!$10:$10,MATCH(BK$7,'qtrP&amp;L'!$6:$6,0))</f>
        <v>1245.761</v>
      </c>
      <c r="BL10" s="278">
        <f>INDEX('qtrP&amp;L'!$11:$11,MATCH(BK$7,'qtrP&amp;L'!$6:$6,0))</f>
        <v>1655.528</v>
      </c>
      <c r="BM10" s="278">
        <f>INDEX('qtrP&amp;L'!$12:$12,MATCH(BK$7,'qtrP&amp;L'!$6:$6,0))</f>
        <v>1323.201</v>
      </c>
      <c r="BN10" s="278">
        <f>INDEX('qtrP&amp;L'!$13:$13,MATCH(BK$7,'qtrP&amp;L'!$6:$6,0))</f>
        <v>1750.586</v>
      </c>
      <c r="BO10" s="279"/>
      <c r="BP10" s="278">
        <f>INDEX('qtrP&amp;L'!$10:$10,MATCH(BP$7,'qtrP&amp;L'!$6:$6,0))</f>
        <v>1335.472</v>
      </c>
      <c r="BQ10" s="278">
        <f>INDEX('qtrP&amp;L'!$11:$11,MATCH(BP$7,'qtrP&amp;L'!$6:$6,0))</f>
        <v>1784.8</v>
      </c>
      <c r="BR10" s="278">
        <f>INDEX('qtrP&amp;L'!$12:$12,MATCH(BP$7,'qtrP&amp;L'!$6:$6,0))</f>
        <v>1409.1</v>
      </c>
      <c r="BS10" s="278">
        <f>INDEX('qtrP&amp;L'!$13:$13,MATCH(BP$7,'qtrP&amp;L'!$6:$6,0))</f>
        <v>1919.2</v>
      </c>
      <c r="BT10" s="279"/>
      <c r="BU10" s="278">
        <f>INDEX('qtrP&amp;L'!$10:$10,MATCH(BU$7,'qtrP&amp;L'!$6:$6,0))</f>
        <v>1535.49</v>
      </c>
      <c r="BV10" s="278">
        <f>INDEX('qtrP&amp;L'!$11:$11,MATCH(BU$7,'qtrP&amp;L'!$6:$6,0))</f>
        <v>1953.48</v>
      </c>
      <c r="BW10" s="278">
        <f>INDEX('qtrP&amp;L'!$12:$12,MATCH(BU$7,'qtrP&amp;L'!$6:$6,0))</f>
        <v>1542.1</v>
      </c>
      <c r="BX10" s="278">
        <f>INDEX('qtrP&amp;L'!$13:$13,MATCH(BU$7,'qtrP&amp;L'!$6:$6,0))</f>
        <v>2100.3429999999998</v>
      </c>
      <c r="BY10" s="279"/>
      <c r="BZ10" s="278">
        <f>INDEX('qtrP&amp;L'!$10:$10,MATCH(BZ$7,'qtrP&amp;L'!$6:$6,0))</f>
        <v>1654.4739999999999</v>
      </c>
      <c r="CA10" s="278">
        <f>INDEX('qtrP&amp;L'!$11:$11,MATCH(BZ$7,'qtrP&amp;L'!$6:$6,0))</f>
        <v>2106.4380000000001</v>
      </c>
      <c r="CB10" s="278">
        <f>INDEX('qtrP&amp;L'!$12:$12,MATCH(BZ$7,'qtrP&amp;L'!$6:$6,0))</f>
        <v>1666</v>
      </c>
      <c r="CC10" s="278">
        <f>INDEX('qtrP&amp;L'!$13:$13,MATCH(BZ$7,'qtrP&amp;L'!$6:$6,0))</f>
        <v>2295.6999999999998</v>
      </c>
      <c r="CD10" s="279"/>
      <c r="CE10" s="278">
        <f>INDEX('qtrP&amp;L'!$10:$10,MATCH(CE$7,'qtrP&amp;L'!$6:$6,0))</f>
        <v>1787.223</v>
      </c>
      <c r="CF10" s="278">
        <f>INDEX('qtrP&amp;L'!$11:$11,MATCH(CE$7,'qtrP&amp;L'!$6:$6,0))</f>
        <v>2270.4679999999998</v>
      </c>
      <c r="CG10" s="278">
        <f>INDEX('qtrP&amp;L'!$12:$12,MATCH(CE$7,'qtrP&amp;L'!$6:$6,0))</f>
        <v>1872.1030000000001</v>
      </c>
      <c r="CH10" s="278">
        <f>INDEX('qtrP&amp;L'!$13:$13,MATCH(CE$7,'qtrP&amp;L'!$6:$6,0))</f>
        <v>2630.904</v>
      </c>
      <c r="CI10" s="279"/>
      <c r="CJ10" s="278">
        <f>INDEX('qtrP&amp;L'!$10:$10,MATCH(CJ$7,'qtrP&amp;L'!$6:$6,0))</f>
        <v>1953.8720000000001</v>
      </c>
      <c r="CK10" s="278">
        <f>INDEX('qtrP&amp;L'!$11:$11,MATCH(CJ$7,'qtrP&amp;L'!$6:$6,0))</f>
        <v>2389.498</v>
      </c>
      <c r="CL10" s="278">
        <f>INDEX('qtrP&amp;L'!$12:$12,MATCH(CJ$7,'qtrP&amp;L'!$6:$6,0))</f>
        <v>1970.444</v>
      </c>
      <c r="CM10" s="278">
        <f>INDEX('qtrP&amp;L'!$13:$13,MATCH(CJ$7,'qtrP&amp;L'!$6:$6,0))</f>
        <v>2514</v>
      </c>
      <c r="CN10" s="279"/>
      <c r="CO10" s="278">
        <f>INDEX('qtrP&amp;L'!$10:$10,MATCH(CO$7,'qtrP&amp;L'!$6:$6,0))</f>
        <v>1879</v>
      </c>
      <c r="CP10" s="278">
        <f>INDEX('qtrP&amp;L'!$11:$11,MATCH(CO$7,'qtrP&amp;L'!$6:$6,0))</f>
        <v>2287</v>
      </c>
      <c r="CQ10" s="278">
        <f>INDEX('qtrP&amp;L'!$12:$12,MATCH(CO$7,'qtrP&amp;L'!$6:$6,0))</f>
        <v>1824</v>
      </c>
      <c r="CR10" s="278">
        <f>INDEX('qtrP&amp;L'!$13:$13,MATCH(CO$7,'qtrP&amp;L'!$6:$6,0))</f>
        <v>2301</v>
      </c>
      <c r="CS10" s="279"/>
      <c r="CT10" s="278">
        <f>INDEX('qtrP&amp;L'!$10:$10,MATCH(CT$7,'qtrP&amp;L'!$6:$6,0))</f>
        <v>1706</v>
      </c>
      <c r="CU10" s="278">
        <f>INDEX('qtrP&amp;L'!$11:$11,MATCH(CT$7,'qtrP&amp;L'!$6:$6,0))</f>
        <v>2145</v>
      </c>
      <c r="CV10" s="278">
        <f>INDEX('qtrP&amp;L'!$12:$12,MATCH(CT$7,'qtrP&amp;L'!$6:$6,0))</f>
        <v>1868</v>
      </c>
      <c r="CW10" s="278">
        <f>INDEX('qtrP&amp;L'!$13:$13,MATCH(CT$7,'qtrP&amp;L'!$6:$6,0))</f>
        <v>2539</v>
      </c>
      <c r="CX10" s="279"/>
      <c r="CY10" s="278">
        <f>INDEX('qtrP&amp;L'!$10:$10,MATCH(CY$7,'qtrP&amp;L'!$6:$6,0))</f>
        <v>1990</v>
      </c>
      <c r="CZ10" s="278">
        <f>INDEX('qtrP&amp;L'!$11:$11,MATCH(CY$7,'qtrP&amp;L'!$6:$6,0))</f>
        <v>2417</v>
      </c>
      <c r="DA10" s="278">
        <f>INDEX('qtrP&amp;L'!$12:$12,MATCH(CY$7,'qtrP&amp;L'!$6:$6,0))</f>
        <v>2087</v>
      </c>
      <c r="DB10" s="278">
        <f>INDEX('qtrP&amp;L'!$13:$13,MATCH(CY$7,'qtrP&amp;L'!$6:$6,0))</f>
        <v>2816</v>
      </c>
      <c r="DC10" s="279"/>
      <c r="DD10" s="278">
        <f>INDEX('qtrP&amp;L'!$10:$10,MATCH(DD$7,'qtrP&amp;L'!$6:$6,0))</f>
        <v>2229</v>
      </c>
      <c r="DE10" s="278">
        <f>INDEX('qtrP&amp;L'!$11:$11,MATCH(DD$7,'qtrP&amp;L'!$6:$6,0))</f>
        <v>2716</v>
      </c>
      <c r="DF10" s="278">
        <f>INDEX('qtrP&amp;L'!$12:$12,MATCH(DD$7,'qtrP&amp;L'!$6:$6,0))</f>
        <v>2383</v>
      </c>
      <c r="DG10" s="278">
        <f>INDEX('qtrP&amp;L'!$13:$13,MATCH(DD$7,'qtrP&amp;L'!$6:$6,0))</f>
        <v>3169</v>
      </c>
      <c r="DH10" s="279"/>
      <c r="DI10" s="278">
        <f>INDEX('qtrP&amp;L'!$10:$10,MATCH(DI$7,'qtrP&amp;L'!$6:$6,0))</f>
        <v>2535</v>
      </c>
      <c r="DJ10" s="278">
        <f>INDEX('qtrP&amp;L'!$11:$11,MATCH(DI$7,'qtrP&amp;L'!$6:$6,0))</f>
        <v>2918</v>
      </c>
      <c r="DK10" s="278">
        <f>INDEX('qtrP&amp;L'!$12:$12,MATCH(DI$7,'qtrP&amp;L'!$6:$6,0))</f>
        <v>2713</v>
      </c>
      <c r="DL10" s="278">
        <f>INDEX('qtrP&amp;L'!$13:$13,MATCH(DI$7,'qtrP&amp;L'!$6:$6,0))</f>
        <v>3596</v>
      </c>
      <c r="DM10" s="279"/>
      <c r="DN10" s="278">
        <f>INDEX('qtrP&amp;L'!$10:$10,MATCH(DN$7,'qtrP&amp;L'!$6:$6,0))</f>
        <v>2657</v>
      </c>
      <c r="DO10" s="278">
        <f>INDEX('qtrP&amp;L'!$11:$11,MATCH(DN$7,'qtrP&amp;L'!$6:$6,0))</f>
        <v>3104</v>
      </c>
      <c r="DP10" s="278">
        <f>INDEX('qtrP&amp;L'!$12:$12,MATCH(DN$7,'qtrP&amp;L'!$6:$6,0))</f>
        <v>2791</v>
      </c>
      <c r="DQ10" s="278">
        <f>INDEX('qtrP&amp;L'!$13:$13,MATCH(DN$7,'qtrP&amp;L'!$6:$6,0))</f>
        <v>3614</v>
      </c>
      <c r="DR10" s="279"/>
      <c r="DS10" s="278">
        <f>INDEX('qtrP&amp;L'!$10:$10,MATCH(DS$7,'qtrP&amp;L'!$6:$6,0))</f>
        <v>2837</v>
      </c>
      <c r="DT10" s="278">
        <f>INDEX('qtrP&amp;L'!$11:$11,MATCH(DS$7,'qtrP&amp;L'!$6:$6,0))</f>
        <v>3296</v>
      </c>
      <c r="DU10" s="278">
        <f>INDEX('qtrP&amp;L'!$12:$12,MATCH(DS$7,'qtrP&amp;L'!$6:$6,0))</f>
        <v>3040</v>
      </c>
      <c r="DV10" s="278">
        <f>INDEX('qtrP&amp;L'!$13:$13,MATCH(DS$7,'qtrP&amp;L'!$6:$6,0))</f>
        <v>3938</v>
      </c>
      <c r="DW10" s="279"/>
      <c r="DX10" s="278">
        <f>INDEX('qtrP&amp;L'!$10:$10,MATCH(DX$7,'qtrP&amp;L'!$6:$6,0))</f>
        <v>3115</v>
      </c>
      <c r="DY10" s="278">
        <f>INDEX('qtrP&amp;L'!$11:$11,MATCH(DX$7,'qtrP&amp;L'!$6:$6,0))</f>
        <v>3598</v>
      </c>
      <c r="DZ10" s="278">
        <f>INDEX('qtrP&amp;L'!$12:$12,MATCH(DX$7,'qtrP&amp;L'!$6:$6,0))</f>
        <v>3239</v>
      </c>
      <c r="EA10" s="278">
        <f>INDEX('qtrP&amp;L'!$13:$13,MATCH(DX$7,'qtrP&amp;L'!$6:$6,0))</f>
        <v>4143</v>
      </c>
      <c r="EB10" s="279"/>
      <c r="EC10" s="278">
        <f>INDEX('qtrP&amp;L'!$10:$10,MATCH(EC$7,'qtrP&amp;L'!$6:$6,0))</f>
        <v>3192</v>
      </c>
      <c r="ED10" s="278">
        <f>INDEX('qtrP&amp;L'!$11:$11,MATCH(EC$7,'qtrP&amp;L'!$6:$6,0))</f>
        <v>3592</v>
      </c>
      <c r="EE10" s="278">
        <f>INDEX('qtrP&amp;L'!$12:$12,MATCH(EC$7,'qtrP&amp;L'!$6:$6,0))</f>
        <v>3472</v>
      </c>
      <c r="EF10" s="278">
        <f>INDEX('qtrP&amp;L'!$13:$13,MATCH(EC$7,'qtrP&amp;L'!$6:$6,0))</f>
        <v>4243</v>
      </c>
      <c r="EG10" s="249"/>
      <c r="EH10" s="278">
        <f>INDEX('qtrP&amp;L'!$10:$10,MATCH(EH$7,'qtrP&amp;L'!$6:$6,0))</f>
        <v>3279</v>
      </c>
      <c r="EI10" s="278">
        <f>INDEX('qtrP&amp;L'!$11:$11,MATCH(EH$7,'qtrP&amp;L'!$6:$6,0))</f>
        <v>3717</v>
      </c>
      <c r="EJ10" s="278">
        <f>INDEX('qtrP&amp;L'!$12:$12,MATCH(EH$7,'qtrP&amp;L'!$6:$6,0))</f>
        <v>3541</v>
      </c>
      <c r="EK10" s="278">
        <f>INDEX('qtrP&amp;L'!$13:$13,MATCH(EH$7,'qtrP&amp;L'!$6:$6,0))</f>
        <v>4600</v>
      </c>
      <c r="EL10" s="278"/>
      <c r="EM10" s="1265">
        <f>INDEX('qtrP&amp;L'!$10:$10,MATCH(EM$7,'qtrP&amp;L'!$6:$6,0))</f>
        <v>3412.2619230769233</v>
      </c>
      <c r="EN10" s="1265">
        <f>INDEX('qtrP&amp;L'!$11:$11,MATCH(EM$7,'qtrP&amp;L'!$6:$6,0))</f>
        <v>4003.0092178217819</v>
      </c>
      <c r="EO10" s="1265">
        <f>INDEX('qtrP&amp;L'!$12:$12,MATCH(EM$7,'qtrP&amp;L'!$6:$6,0))</f>
        <v>3563.4263333333333</v>
      </c>
      <c r="EP10" s="1265">
        <f>INDEX('qtrP&amp;L'!$13:$13,MATCH(EM$7,'qtrP&amp;L'!$6:$6,0))</f>
        <v>4345.3409836065575</v>
      </c>
      <c r="EQ10" s="278"/>
      <c r="ER10" s="277"/>
      <c r="ES10" s="278">
        <f>'yrP&amp;L'!J7</f>
        <v>2893.904</v>
      </c>
      <c r="ET10" s="278">
        <f>'yrP&amp;L'!K7</f>
        <v>3179.82</v>
      </c>
      <c r="EU10" s="278">
        <f>'yrP&amp;L'!L7</f>
        <v>3421.9790000000003</v>
      </c>
      <c r="EV10" s="278">
        <f>'yrP&amp;L'!M7</f>
        <v>3589.9380000000001</v>
      </c>
      <c r="EW10" s="278">
        <f>'yrP&amp;L'!N7</f>
        <v>3894.4780000000001</v>
      </c>
      <c r="EX10" s="278">
        <f>'yrP&amp;L'!O7</f>
        <v>4113.5159999999996</v>
      </c>
      <c r="EY10" s="278">
        <f>'yrP&amp;L'!P7</f>
        <v>4453.0630000000001</v>
      </c>
      <c r="EZ10" s="278">
        <f>'yrP&amp;L'!Q7</f>
        <v>4851.6239999999998</v>
      </c>
      <c r="FA10" s="278">
        <f>'yrP&amp;L'!R7</f>
        <v>5027.8900000000003</v>
      </c>
      <c r="FB10" s="278">
        <f>'yrP&amp;L'!S7</f>
        <v>5149</v>
      </c>
      <c r="FC10" s="278">
        <f>'yrP&amp;L'!T7</f>
        <v>5528.5370000000003</v>
      </c>
      <c r="FD10" s="278">
        <f>'yrP&amp;L'!U7</f>
        <v>5634.13</v>
      </c>
      <c r="FE10" s="278">
        <f>'yrP&amp;L'!V7</f>
        <v>5944.6559999999999</v>
      </c>
      <c r="FF10" s="278">
        <f>'yrP&amp;L'!W7</f>
        <v>6448.5719999999992</v>
      </c>
      <c r="FG10" s="278">
        <f>'yrP&amp;L'!X7</f>
        <v>7131.4129999999996</v>
      </c>
      <c r="FH10" s="278">
        <f>'yrP&amp;L'!Y7</f>
        <v>7722.6120000000001</v>
      </c>
      <c r="FI10" s="280">
        <f>'yrP&amp;L'!Z7</f>
        <v>8560.6980000000003</v>
      </c>
      <c r="FJ10" s="280">
        <f>'yrP&amp;L'!AA7</f>
        <v>8827.8140000000003</v>
      </c>
      <c r="FK10" s="278">
        <f>'yrP&amp;L'!AB7</f>
        <v>8291</v>
      </c>
      <c r="FL10" s="278">
        <f>'yrP&amp;L'!AC7</f>
        <v>8258</v>
      </c>
      <c r="FM10" s="280">
        <f>'yrP&amp;L'!AD7</f>
        <v>9310</v>
      </c>
      <c r="FN10" s="278">
        <f>'yrP&amp;L'!AE7</f>
        <v>10497</v>
      </c>
      <c r="FO10" s="278">
        <f>'yrP&amp;L'!AF7</f>
        <v>11762</v>
      </c>
      <c r="FP10" s="278">
        <f>'yrP&amp;L'!AG7</f>
        <v>12166</v>
      </c>
      <c r="FQ10" s="278">
        <f>'yrP&amp;L'!AH7</f>
        <v>13111</v>
      </c>
      <c r="FR10" s="278">
        <f>'yrP&amp;L'!AI7</f>
        <v>14095</v>
      </c>
      <c r="FS10" s="278">
        <f>'yrP&amp;L'!AJ7</f>
        <v>14499</v>
      </c>
      <c r="FT10" s="278">
        <f>'yrP&amp;L'!AK7</f>
        <v>15137</v>
      </c>
      <c r="FU10" s="278">
        <f>'yrP&amp;L'!AL7</f>
        <v>15324.038457838597</v>
      </c>
      <c r="FV10" s="278">
        <f>'yrP&amp;L'!AM7</f>
        <v>15793.189685123163</v>
      </c>
      <c r="FW10" s="281">
        <f>'yrP&amp;L'!AN7</f>
        <v>16198.198393998615</v>
      </c>
      <c r="FX10" s="278">
        <f>'yrP&amp;L'!AO7</f>
        <v>16596.766507816799</v>
      </c>
      <c r="FY10" s="1271">
        <f>'yrP&amp;L'!AP7</f>
        <v>16891.756163270493</v>
      </c>
      <c r="FZ10" s="278"/>
      <c r="GA10" s="278"/>
      <c r="GB10" s="278"/>
      <c r="GC10" s="278"/>
      <c r="GD10" s="278"/>
    </row>
    <row r="11" spans="1:186" x14ac:dyDescent="0.2">
      <c r="A11" s="276" t="s">
        <v>316</v>
      </c>
      <c r="C11" s="282">
        <f>INDEX('qtrP&amp;L'!$20:$20,MATCH(C$7,'qtrP&amp;L'!$6:$6,0))</f>
        <v>20.7</v>
      </c>
      <c r="D11" s="282">
        <f>INDEX('qtrP&amp;L'!$21:$21,MATCH(C$7,'qtrP&amp;L'!$6:$6,0))</f>
        <v>20.100000000000001</v>
      </c>
      <c r="E11" s="282">
        <f>INDEX('qtrP&amp;L'!$22:$22,MATCH(C$7,'qtrP&amp;L'!$6:$6,0))</f>
        <v>21.4</v>
      </c>
      <c r="F11" s="282">
        <f>INDEX('qtrP&amp;L'!$23:$23,MATCH(C$7,'qtrP&amp;L'!$6:$6,0))</f>
        <v>22.46</v>
      </c>
      <c r="G11" s="282"/>
      <c r="H11" s="282">
        <f>INDEX('qtrP&amp;L'!$20:$20,MATCH(H$7,'qtrP&amp;L'!$6:$6,0))</f>
        <v>21.768999999999998</v>
      </c>
      <c r="I11" s="282">
        <f>INDEX('qtrP&amp;L'!$21:$21,MATCH(H$7,'qtrP&amp;L'!$6:$6,0))</f>
        <v>19.442</v>
      </c>
      <c r="J11" s="282">
        <f>INDEX('qtrP&amp;L'!$22:$22,MATCH(H$7,'qtrP&amp;L'!$6:$6,0))</f>
        <v>23.443000000000001</v>
      </c>
      <c r="K11" s="282">
        <f>INDEX('qtrP&amp;L'!$23:$23,MATCH(H$7,'qtrP&amp;L'!$6:$6,0))</f>
        <v>22.789000000000001</v>
      </c>
      <c r="L11" s="282"/>
      <c r="M11" s="282">
        <f>INDEX('qtrP&amp;L'!$20:$20,MATCH(M$7,'qtrP&amp;L'!$6:$6,0))</f>
        <v>23.87</v>
      </c>
      <c r="N11" s="282">
        <f>INDEX('qtrP&amp;L'!$21:$21,MATCH(M$7,'qtrP&amp;L'!$6:$6,0))</f>
        <v>21.893000000000001</v>
      </c>
      <c r="O11" s="282">
        <f>INDEX('qtrP&amp;L'!$22:$22,MATCH(M$7,'qtrP&amp;L'!$6:$6,0))</f>
        <v>22.966999999999999</v>
      </c>
      <c r="P11" s="282">
        <f>INDEX('qtrP&amp;L'!$23:$23,MATCH(M$7,'qtrP&amp;L'!$6:$6,0))</f>
        <v>24.01</v>
      </c>
      <c r="Q11" s="282"/>
      <c r="R11" s="282">
        <f>INDEX('qtrP&amp;L'!$20:$20,MATCH(R$7,'qtrP&amp;L'!$6:$6,0))</f>
        <v>23.492999999999999</v>
      </c>
      <c r="S11" s="282">
        <f>INDEX('qtrP&amp;L'!$21:$21,MATCH(R$7,'qtrP&amp;L'!$6:$6,0))</f>
        <v>21.733000000000001</v>
      </c>
      <c r="T11" s="282">
        <f>INDEX('qtrP&amp;L'!$22:$22,MATCH(R$7,'qtrP&amp;L'!$6:$6,0))</f>
        <v>22.658000000000001</v>
      </c>
      <c r="U11" s="282">
        <f>INDEX('qtrP&amp;L'!$23:$23,MATCH(R$7,'qtrP&amp;L'!$6:$6,0))</f>
        <v>20.625</v>
      </c>
      <c r="V11" s="282"/>
      <c r="W11" s="282">
        <f>INDEX('qtrP&amp;L'!$20:$20,MATCH(W$7,'qtrP&amp;L'!$6:$6,0))</f>
        <v>23.652000000000001</v>
      </c>
      <c r="X11" s="282">
        <f>INDEX('qtrP&amp;L'!$21:$21,MATCH(W$7,'qtrP&amp;L'!$6:$6,0))</f>
        <v>23.184000000000001</v>
      </c>
      <c r="Y11" s="282">
        <f>INDEX('qtrP&amp;L'!$22:$22,MATCH(W$7,'qtrP&amp;L'!$6:$6,0))</f>
        <v>24.434999999999999</v>
      </c>
      <c r="Z11" s="282">
        <f>INDEX('qtrP&amp;L'!$23:$23,MATCH(W$7,'qtrP&amp;L'!$6:$6,0))</f>
        <v>23.373000000000001</v>
      </c>
      <c r="AA11" s="282"/>
      <c r="AB11" s="282">
        <f>INDEX('qtrP&amp;L'!$20:$20,MATCH(AB$7,'qtrP&amp;L'!$6:$6,0))</f>
        <v>31.276</v>
      </c>
      <c r="AC11" s="282">
        <f>INDEX('qtrP&amp;L'!$21:$21,MATCH(AB$7,'qtrP&amp;L'!$6:$6,0))</f>
        <v>29.085999999999999</v>
      </c>
      <c r="AD11" s="282">
        <f>INDEX('qtrP&amp;L'!$22:$22,MATCH(AB$7,'qtrP&amp;L'!$6:$6,0))</f>
        <v>32.378999999999998</v>
      </c>
      <c r="AE11" s="282">
        <f>INDEX('qtrP&amp;L'!$23:$23,MATCH(AB$7,'qtrP&amp;L'!$6:$6,0))</f>
        <v>32.389000000000003</v>
      </c>
      <c r="AF11" s="282"/>
      <c r="AG11" s="282">
        <f>INDEX('qtrP&amp;L'!$20:$20,MATCH(AG$7,'qtrP&amp;L'!$6:$6,0))</f>
        <v>34.58</v>
      </c>
      <c r="AH11" s="282">
        <f>INDEX('qtrP&amp;L'!$21:$21,MATCH(AG$7,'qtrP&amp;L'!$6:$6,0))</f>
        <v>33.673999999999999</v>
      </c>
      <c r="AI11" s="282">
        <f>INDEX('qtrP&amp;L'!$22:$22,MATCH(AG$7,'qtrP&amp;L'!$6:$6,0))</f>
        <v>34.469000000000001</v>
      </c>
      <c r="AJ11" s="282">
        <f>INDEX('qtrP&amp;L'!$23:$23,MATCH(AG$7,'qtrP&amp;L'!$6:$6,0))</f>
        <v>26.745999999999999</v>
      </c>
      <c r="AK11" s="282"/>
      <c r="AL11" s="282">
        <f>INDEX('qtrP&amp;L'!$20:$20,MATCH(AL$7,'qtrP&amp;L'!$6:$6,0))</f>
        <v>27.911000000000001</v>
      </c>
      <c r="AM11" s="282">
        <f>INDEX('qtrP&amp;L'!$21:$21,MATCH(AL$7,'qtrP&amp;L'!$6:$6,0))</f>
        <v>26.460999999999999</v>
      </c>
      <c r="AN11" s="282">
        <f>INDEX('qtrP&amp;L'!$22:$22,MATCH(AL$7,'qtrP&amp;L'!$6:$6,0))</f>
        <v>27.794</v>
      </c>
      <c r="AO11" s="282">
        <f>INDEX('qtrP&amp;L'!$23:$23,MATCH(AL$7,'qtrP&amp;L'!$6:$6,0))</f>
        <v>26.414999999999999</v>
      </c>
      <c r="AP11" s="282"/>
      <c r="AQ11" s="282">
        <f>INDEX('qtrP&amp;L'!$20:$20,MATCH(AQ$7,'qtrP&amp;L'!$6:$6,0))</f>
        <v>30.417000000000002</v>
      </c>
      <c r="AR11" s="282">
        <f>INDEX('qtrP&amp;L'!$21:$21,MATCH(AQ$7,'qtrP&amp;L'!$6:$6,0))</f>
        <v>27.585000000000001</v>
      </c>
      <c r="AS11" s="282">
        <f>INDEX('qtrP&amp;L'!$22:$22,MATCH(AQ$7,'qtrP&amp;L'!$6:$6,0))</f>
        <v>26.876000000000001</v>
      </c>
      <c r="AT11" s="282">
        <f>INDEX('qtrP&amp;L'!$23:$23,MATCH(AQ$7,'qtrP&amp;L'!$6:$6,0))</f>
        <v>22.260999999999999</v>
      </c>
      <c r="AU11" s="282"/>
      <c r="AV11" s="282">
        <f>INDEX('qtrP&amp;L'!$20:$20,MATCH(AV$7,'qtrP&amp;L'!$6:$6,0))</f>
        <v>27.172000000000001</v>
      </c>
      <c r="AW11" s="282">
        <f>INDEX('qtrP&amp;L'!$21:$21,MATCH(AV$7,'qtrP&amp;L'!$6:$6,0))</f>
        <v>22.024999999999999</v>
      </c>
      <c r="AX11" s="282">
        <f>INDEX('qtrP&amp;L'!$22:$22,MATCH(AV$7,'qtrP&amp;L'!$6:$6,0))</f>
        <v>27.038</v>
      </c>
      <c r="AY11" s="282">
        <f>INDEX('qtrP&amp;L'!$23:$23,MATCH(AV$7,'qtrP&amp;L'!$6:$6,0))</f>
        <v>32.795000000000002</v>
      </c>
      <c r="AZ11" s="282"/>
      <c r="BA11" s="282">
        <f>INDEX('qtrP&amp;L'!$20:$20,MATCH(BA$7,'qtrP&amp;L'!$6:$6,0))</f>
        <v>31.161999999999999</v>
      </c>
      <c r="BB11" s="282">
        <f>INDEX('qtrP&amp;L'!$21:$21,MATCH(BA$7,'qtrP&amp;L'!$6:$6,0))</f>
        <v>33.033000000000001</v>
      </c>
      <c r="BC11" s="282">
        <f>INDEX('qtrP&amp;L'!$22:$22,MATCH(BA$7,'qtrP&amp;L'!$6:$6,0))</f>
        <v>36.997999999999998</v>
      </c>
      <c r="BD11" s="282">
        <f>INDEX('qtrP&amp;L'!$23:$23,MATCH(BA$7,'qtrP&amp;L'!$6:$6,0))</f>
        <v>29.407</v>
      </c>
      <c r="BE11" s="282"/>
      <c r="BF11" s="282">
        <f>INDEX('qtrP&amp;L'!$20:$20,MATCH(BF$7,'qtrP&amp;L'!$6:$6,0))</f>
        <v>37.155000000000001</v>
      </c>
      <c r="BG11" s="282">
        <f>INDEX('qtrP&amp;L'!$21:$21,MATCH(BF$7,'qtrP&amp;L'!$6:$6,0))</f>
        <v>35.368000000000002</v>
      </c>
      <c r="BH11" s="282">
        <f>INDEX('qtrP&amp;L'!$22:$22,MATCH(BF$7,'qtrP&amp;L'!$6:$6,0))</f>
        <v>32.317</v>
      </c>
      <c r="BI11" s="282">
        <f>INDEX('qtrP&amp;L'!$23:$23,MATCH(BF$7,'qtrP&amp;L'!$6:$6,0))</f>
        <v>29.05</v>
      </c>
      <c r="BJ11" s="282"/>
      <c r="BK11" s="282">
        <f>INDEX('qtrP&amp;L'!$20:$20,MATCH(BK$7,'qtrP&amp;L'!$6:$6,0))</f>
        <v>33.304000000000002</v>
      </c>
      <c r="BL11" s="282">
        <f>INDEX('qtrP&amp;L'!$21:$21,MATCH(BK$7,'qtrP&amp;L'!$6:$6,0))</f>
        <v>35.341000000000001</v>
      </c>
      <c r="BM11" s="282">
        <f>INDEX('qtrP&amp;L'!$22:$22,MATCH(BK$7,'qtrP&amp;L'!$6:$6,0))</f>
        <v>35.006</v>
      </c>
      <c r="BN11" s="282">
        <f>INDEX('qtrP&amp;L'!$23:$23,MATCH(BK$7,'qtrP&amp;L'!$6:$6,0))</f>
        <v>37.326000000000001</v>
      </c>
      <c r="BO11" s="282"/>
      <c r="BP11" s="282">
        <f>INDEX('qtrP&amp;L'!$20:$20,MATCH(BP$7,'qtrP&amp;L'!$6:$6,0))</f>
        <v>35.631999999999998</v>
      </c>
      <c r="BQ11" s="282">
        <f>INDEX('qtrP&amp;L'!$21:$21,MATCH(BP$7,'qtrP&amp;L'!$6:$6,0))</f>
        <v>36.081000000000003</v>
      </c>
      <c r="BR11" s="282">
        <f>INDEX('qtrP&amp;L'!$22:$22,MATCH(BP$7,'qtrP&amp;L'!$6:$6,0))</f>
        <v>42.576000000000001</v>
      </c>
      <c r="BS11" s="282">
        <f>INDEX('qtrP&amp;L'!$23:$23,MATCH(BP$7,'qtrP&amp;L'!$6:$6,0))</f>
        <v>40.801000000000002</v>
      </c>
      <c r="BT11" s="282"/>
      <c r="BU11" s="282">
        <f>INDEX('qtrP&amp;L'!$20:$20,MATCH(BU$7,'qtrP&amp;L'!$6:$6,0))</f>
        <v>39.487000000000002</v>
      </c>
      <c r="BV11" s="282">
        <f>INDEX('qtrP&amp;L'!$21:$21,MATCH(BU$7,'qtrP&amp;L'!$6:$6,0))</f>
        <v>43.002000000000002</v>
      </c>
      <c r="BW11" s="282">
        <f>INDEX('qtrP&amp;L'!$22:$22,MATCH(BU$7,'qtrP&amp;L'!$6:$6,0))</f>
        <v>45</v>
      </c>
      <c r="BX11" s="282">
        <f>INDEX('qtrP&amp;L'!$23:$23,MATCH(BU$7,'qtrP&amp;L'!$6:$6,0))</f>
        <v>45.453000000000003</v>
      </c>
      <c r="BY11" s="282"/>
      <c r="BZ11" s="282">
        <f>INDEX('qtrP&amp;L'!$20:$20,MATCH(BZ$7,'qtrP&amp;L'!$6:$6,0))</f>
        <v>42.731999999999999</v>
      </c>
      <c r="CA11" s="282">
        <f>INDEX('qtrP&amp;L'!$21:$21,MATCH(BZ$7,'qtrP&amp;L'!$6:$6,0))</f>
        <v>44.97</v>
      </c>
      <c r="CB11" s="282">
        <f>INDEX('qtrP&amp;L'!$22:$22,MATCH(BZ$7,'qtrP&amp;L'!$6:$6,0))</f>
        <v>47.35</v>
      </c>
      <c r="CC11" s="282">
        <f>INDEX('qtrP&amp;L'!$23:$23,MATCH(BZ$7,'qtrP&amp;L'!$6:$6,0))</f>
        <v>61.302</v>
      </c>
      <c r="CD11" s="282"/>
      <c r="CE11" s="282">
        <f>INDEX('qtrP&amp;L'!$20:$20,MATCH(CE$7,'qtrP&amp;L'!$6:$6,0))</f>
        <v>53.838000000000001</v>
      </c>
      <c r="CF11" s="282">
        <f>INDEX('qtrP&amp;L'!$21:$21,MATCH(CE$7,'qtrP&amp;L'!$6:$6,0))</f>
        <v>60.850999999999999</v>
      </c>
      <c r="CG11" s="282">
        <f>INDEX('qtrP&amp;L'!$22:$22,MATCH(CE$7,'qtrP&amp;L'!$6:$6,0))</f>
        <v>58.819000000000003</v>
      </c>
      <c r="CH11" s="282">
        <f>INDEX('qtrP&amp;L'!$23:$23,MATCH(CE$7,'qtrP&amp;L'!$6:$6,0))</f>
        <v>65.016999999999996</v>
      </c>
      <c r="CI11" s="282"/>
      <c r="CJ11" s="282">
        <f>INDEX('qtrP&amp;L'!$20:$20,MATCH(CJ$7,'qtrP&amp;L'!$6:$6,0))</f>
        <v>55.850999999999999</v>
      </c>
      <c r="CK11" s="282">
        <f>INDEX('qtrP&amp;L'!$21:$21,MATCH(CJ$7,'qtrP&amp;L'!$6:$6,0))</f>
        <v>70.316000000000003</v>
      </c>
      <c r="CL11" s="282">
        <f>INDEX('qtrP&amp;L'!$22:$22,MATCH(CJ$7,'qtrP&amp;L'!$6:$6,0))</f>
        <v>68.778999999999996</v>
      </c>
      <c r="CM11" s="282">
        <f>INDEX('qtrP&amp;L'!$23:$23,MATCH(CJ$7,'qtrP&amp;L'!$6:$6,0))</f>
        <v>76</v>
      </c>
      <c r="CN11" s="282"/>
      <c r="CO11" s="282">
        <f>INDEX('qtrP&amp;L'!$20:$20,MATCH(CO$7,'qtrP&amp;L'!$6:$6,0))</f>
        <v>70</v>
      </c>
      <c r="CP11" s="282">
        <f>INDEX('qtrP&amp;L'!$21:$21,MATCH(CO$7,'qtrP&amp;L'!$6:$6,0))</f>
        <v>72</v>
      </c>
      <c r="CQ11" s="282">
        <f>INDEX('qtrP&amp;L'!$22:$22,MATCH(CO$7,'qtrP&amp;L'!$6:$6,0))</f>
        <v>74</v>
      </c>
      <c r="CR11" s="282">
        <f>INDEX('qtrP&amp;L'!$23:$23,MATCH(CO$7,'qtrP&amp;L'!$6:$6,0))</f>
        <v>90</v>
      </c>
      <c r="CS11" s="282"/>
      <c r="CT11" s="282">
        <f>INDEX('qtrP&amp;L'!$20:$20,MATCH(CT$7,'qtrP&amp;L'!$6:$6,0))</f>
        <v>86</v>
      </c>
      <c r="CU11" s="282">
        <f>INDEX('qtrP&amp;L'!$21:$21,MATCH(CT$7,'qtrP&amp;L'!$6:$6,0))</f>
        <v>87</v>
      </c>
      <c r="CV11" s="282">
        <f>INDEX('qtrP&amp;L'!$22:$22,MATCH(CT$7,'qtrP&amp;L'!$6:$6,0))</f>
        <v>95</v>
      </c>
      <c r="CW11" s="282">
        <f>INDEX('qtrP&amp;L'!$23:$23,MATCH(CT$7,'qtrP&amp;L'!$6:$6,0))</f>
        <v>101</v>
      </c>
      <c r="CX11" s="282"/>
      <c r="CY11" s="282">
        <f>INDEX('qtrP&amp;L'!$20:$20,MATCH(CY$7,'qtrP&amp;L'!$6:$6,0))</f>
        <v>97</v>
      </c>
      <c r="CZ11" s="282">
        <f>INDEX('qtrP&amp;L'!$21:$21,MATCH(CY$7,'qtrP&amp;L'!$6:$6,0))</f>
        <v>98</v>
      </c>
      <c r="DA11" s="282">
        <f>INDEX('qtrP&amp;L'!$22:$22,MATCH(CY$7,'qtrP&amp;L'!$6:$6,0))</f>
        <v>95</v>
      </c>
      <c r="DB11" s="282">
        <f>INDEX('qtrP&amp;L'!$23:$23,MATCH(CY$7,'qtrP&amp;L'!$6:$6,0))</f>
        <v>100</v>
      </c>
      <c r="DC11" s="282"/>
      <c r="DD11" s="282">
        <f>INDEX('qtrP&amp;L'!$20:$20,MATCH(DD$7,'qtrP&amp;L'!$6:$6,0))</f>
        <v>94</v>
      </c>
      <c r="DE11" s="282">
        <f>INDEX('qtrP&amp;L'!$21:$21,MATCH(DD$7,'qtrP&amp;L'!$6:$6,0))</f>
        <v>94</v>
      </c>
      <c r="DF11" s="282">
        <f>INDEX('qtrP&amp;L'!$22:$22,MATCH(DD$7,'qtrP&amp;L'!$6:$6,0))</f>
        <v>95</v>
      </c>
      <c r="DG11" s="282">
        <f>INDEX('qtrP&amp;L'!$23:$23,MATCH(DD$7,'qtrP&amp;L'!$6:$6,0))</f>
        <v>97</v>
      </c>
      <c r="DH11" s="282"/>
      <c r="DI11" s="282">
        <f>INDEX('qtrP&amp;L'!$20:$20,MATCH(DI$7,'qtrP&amp;L'!$6:$6,0))</f>
        <v>90</v>
      </c>
      <c r="DJ11" s="282">
        <f>INDEX('qtrP&amp;L'!$21:$21,MATCH(DI$7,'qtrP&amp;L'!$6:$6,0))</f>
        <v>88</v>
      </c>
      <c r="DK11" s="282">
        <f>INDEX('qtrP&amp;L'!$22:$22,MATCH(DI$7,'qtrP&amp;L'!$6:$6,0))</f>
        <v>92</v>
      </c>
      <c r="DL11" s="282">
        <f>INDEX('qtrP&amp;L'!$23:$23,MATCH(DI$7,'qtrP&amp;L'!$6:$6,0))</f>
        <v>102</v>
      </c>
      <c r="DM11" s="282"/>
      <c r="DN11" s="282">
        <f>INDEX('qtrP&amp;L'!$20:$20,MATCH(DN$7,'qtrP&amp;L'!$6:$6,0))</f>
        <v>92</v>
      </c>
      <c r="DO11" s="282">
        <f>INDEX('qtrP&amp;L'!$21:$21,MATCH(DN$7,'qtrP&amp;L'!$6:$6,0))</f>
        <v>92</v>
      </c>
      <c r="DP11" s="282">
        <f>INDEX('qtrP&amp;L'!$22:$22,MATCH(DN$7,'qtrP&amp;L'!$6:$6,0))</f>
        <v>93</v>
      </c>
      <c r="DQ11" s="282">
        <f>INDEX('qtrP&amp;L'!$23:$23,MATCH(DN$7,'qtrP&amp;L'!$6:$6,0))</f>
        <v>97</v>
      </c>
      <c r="DR11" s="282"/>
      <c r="DS11" s="282">
        <f>INDEX('qtrP&amp;L'!$20:$20,MATCH(DS$7,'qtrP&amp;L'!$6:$6,0))</f>
        <v>94</v>
      </c>
      <c r="DT11" s="282">
        <f>INDEX('qtrP&amp;L'!$21:$21,MATCH(DS$7,'qtrP&amp;L'!$6:$6,0))</f>
        <v>96</v>
      </c>
      <c r="DU11" s="282">
        <f>INDEX('qtrP&amp;L'!$22:$22,MATCH(DS$7,'qtrP&amp;L'!$6:$6,0))</f>
        <v>100</v>
      </c>
      <c r="DV11" s="282">
        <f>INDEX('qtrP&amp;L'!$23:$23,MATCH(DS$7,'qtrP&amp;L'!$6:$6,0))</f>
        <v>105</v>
      </c>
      <c r="DW11" s="282"/>
      <c r="DX11" s="282">
        <f>INDEX('qtrP&amp;L'!$20:$20,MATCH(DX$7,'qtrP&amp;L'!$6:$6,0))</f>
        <v>100</v>
      </c>
      <c r="DY11" s="282">
        <f>INDEX('qtrP&amp;L'!$21:$21,MATCH(DX$7,'qtrP&amp;L'!$6:$6,0))</f>
        <v>103</v>
      </c>
      <c r="DZ11" s="282">
        <f>INDEX('qtrP&amp;L'!$22:$22,MATCH(DX$7,'qtrP&amp;L'!$6:$6,0))</f>
        <v>88</v>
      </c>
      <c r="EA11" s="282">
        <f>INDEX('qtrP&amp;L'!$23:$23,MATCH(DX$7,'qtrP&amp;L'!$6:$6,0))</f>
        <v>51</v>
      </c>
      <c r="EB11" s="282"/>
      <c r="EC11" s="282">
        <f>INDEX('qtrP&amp;L'!$20:$20,MATCH(EC$7,'qtrP&amp;L'!$6:$6,0))</f>
        <v>57</v>
      </c>
      <c r="ED11" s="282">
        <f>INDEX('qtrP&amp;L'!$21:$21,MATCH(EC$7,'qtrP&amp;L'!$6:$6,0))</f>
        <v>59</v>
      </c>
      <c r="EE11" s="282">
        <f>INDEX('qtrP&amp;L'!$22:$22,MATCH(EC$7,'qtrP&amp;L'!$6:$6,0))</f>
        <v>70</v>
      </c>
      <c r="EF11" s="282">
        <f>INDEX('qtrP&amp;L'!$23:$23,MATCH(EC$7,'qtrP&amp;L'!$6:$6,0))</f>
        <v>73</v>
      </c>
      <c r="EG11" s="249"/>
      <c r="EH11" s="282">
        <f>INDEX('qtrP&amp;L'!$20:$20,MATCH(EH$7,'qtrP&amp;L'!$6:$6,0))</f>
        <v>75</v>
      </c>
      <c r="EI11" s="282">
        <f>INDEX('qtrP&amp;L'!$21:$21,MATCH(EH$7,'qtrP&amp;L'!$6:$6,0))</f>
        <v>76</v>
      </c>
      <c r="EJ11" s="282">
        <f>INDEX('qtrP&amp;L'!$22:$22,MATCH(EH$7,'qtrP&amp;L'!$6:$6,0))</f>
        <v>88</v>
      </c>
      <c r="EK11" s="282">
        <f>INDEX('qtrP&amp;L'!$23:$23,MATCH(EH$7,'qtrP&amp;L'!$6:$6,0))</f>
        <v>102</v>
      </c>
      <c r="EL11" s="282"/>
      <c r="EM11" s="1266">
        <f>INDEX('qtrP&amp;L'!$20:$20,MATCH(EM$7,'qtrP&amp;L'!$6:$6,0))</f>
        <v>82.5</v>
      </c>
      <c r="EN11" s="1266">
        <f>INDEX('qtrP&amp;L'!$21:$21,MATCH(EM$7,'qtrP&amp;L'!$6:$6,0))</f>
        <v>83.600000000000009</v>
      </c>
      <c r="EO11" s="1266">
        <f>INDEX('qtrP&amp;L'!$22:$22,MATCH(EM$7,'qtrP&amp;L'!$6:$6,0))</f>
        <v>96.800000000000011</v>
      </c>
      <c r="EP11" s="1266">
        <f>INDEX('qtrP&amp;L'!$23:$23,MATCH(EM$7,'qtrP&amp;L'!$6:$6,0))</f>
        <v>112.2</v>
      </c>
      <c r="EQ11" s="282"/>
      <c r="ER11" s="277"/>
      <c r="ES11" s="282">
        <f>'yrP&amp;L'!J11</f>
        <v>84.66</v>
      </c>
      <c r="ET11" s="282">
        <f>'yrP&amp;L'!K11</f>
        <v>87.442999999999998</v>
      </c>
      <c r="EU11" s="282">
        <f>'yrP&amp;L'!L11</f>
        <v>92.74</v>
      </c>
      <c r="EV11" s="282">
        <f>'yrP&amp;L'!M11</f>
        <v>88.509</v>
      </c>
      <c r="EW11" s="282">
        <f>'yrP&amp;L'!N11</f>
        <v>94.644000000000005</v>
      </c>
      <c r="EX11" s="282">
        <f>'yrP&amp;L'!O11</f>
        <v>125.13</v>
      </c>
      <c r="EY11" s="282">
        <f>'yrP&amp;L'!P11</f>
        <v>129.46899999999999</v>
      </c>
      <c r="EZ11" s="282">
        <f>'yrP&amp;L'!Q11</f>
        <v>108.58099999999999</v>
      </c>
      <c r="FA11" s="282">
        <f>'yrP&amp;L'!R11</f>
        <v>107.139</v>
      </c>
      <c r="FB11" s="282">
        <f>'yrP&amp;L'!S11</f>
        <v>116.783</v>
      </c>
      <c r="FC11" s="282">
        <f>'yrP&amp;L'!T11</f>
        <v>130.6</v>
      </c>
      <c r="FD11" s="282">
        <f>'yrP&amp;L'!U11</f>
        <v>133.88999999999999</v>
      </c>
      <c r="FE11" s="282">
        <f>'yrP&amp;L'!V11</f>
        <v>139.28899999999999</v>
      </c>
      <c r="FF11" s="282">
        <f>'yrP&amp;L'!W11</f>
        <v>155.09</v>
      </c>
      <c r="FG11" s="282">
        <f>'yrP&amp;L'!X11</f>
        <v>172.94200000000001</v>
      </c>
      <c r="FH11" s="282">
        <f>'yrP&amp;L'!Y11</f>
        <v>196.35399999999998</v>
      </c>
      <c r="FI11" s="283">
        <f>'yrP&amp;L'!Z11</f>
        <v>238.52500000000001</v>
      </c>
      <c r="FJ11" s="283">
        <f>'yrP&amp;L'!AA11</f>
        <v>270.94600000000003</v>
      </c>
      <c r="FK11" s="282">
        <f>'yrP&amp;L'!AB11</f>
        <v>306</v>
      </c>
      <c r="FL11" s="282">
        <f>'yrP&amp;L'!AC11</f>
        <v>369</v>
      </c>
      <c r="FM11" s="283">
        <f>'yrP&amp;L'!AD11</f>
        <v>390</v>
      </c>
      <c r="FN11" s="282">
        <f>'yrP&amp;L'!AE11</f>
        <v>380</v>
      </c>
      <c r="FO11" s="282">
        <f>'yrP&amp;L'!AF11</f>
        <v>372</v>
      </c>
      <c r="FP11" s="282">
        <f>'yrP&amp;L'!AG11</f>
        <v>374</v>
      </c>
      <c r="FQ11" s="282">
        <f>'yrP&amp;L'!AH11</f>
        <v>395</v>
      </c>
      <c r="FR11" s="282">
        <f>'yrP&amp;L'!AI11</f>
        <v>342</v>
      </c>
      <c r="FS11" s="282">
        <f>'yrP&amp;L'!AJ11</f>
        <v>259</v>
      </c>
      <c r="FT11" s="282">
        <f>'yrP&amp;L'!AK11</f>
        <v>341</v>
      </c>
      <c r="FU11" s="282">
        <f>'yrP&amp;L'!AL11</f>
        <v>375.1</v>
      </c>
      <c r="FV11" s="282">
        <f>'yrP&amp;L'!AM11</f>
        <v>403.23250000000002</v>
      </c>
      <c r="FW11" s="284">
        <f>'yrP&amp;L'!AN11</f>
        <v>433.47493750000001</v>
      </c>
      <c r="FX11" s="282">
        <f>'yrP&amp;L'!AO11</f>
        <v>463.81818312500002</v>
      </c>
      <c r="FY11" s="1272">
        <f>'yrP&amp;L'!AP11</f>
        <v>498.60454685937498</v>
      </c>
      <c r="FZ11" s="282"/>
      <c r="GA11" s="282"/>
      <c r="GB11" s="282"/>
      <c r="GC11" s="282"/>
      <c r="GD11" s="282"/>
    </row>
    <row r="12" spans="1:186" ht="11.25" customHeight="1" x14ac:dyDescent="0.2">
      <c r="A12" s="276" t="s">
        <v>317</v>
      </c>
      <c r="C12" s="278">
        <f>C11+C10</f>
        <v>575.70000000000005</v>
      </c>
      <c r="D12" s="278">
        <f>D11+D10</f>
        <v>821.1</v>
      </c>
      <c r="E12" s="278">
        <f>E11+E10</f>
        <v>656.3</v>
      </c>
      <c r="F12" s="278">
        <f>F11+F10</f>
        <v>925.46400000000006</v>
      </c>
      <c r="G12" s="279"/>
      <c r="H12" s="278">
        <f>H11+H10</f>
        <v>632.37199999999996</v>
      </c>
      <c r="I12" s="278">
        <f>I11+I10</f>
        <v>923.52599999999995</v>
      </c>
      <c r="J12" s="278">
        <f>J11+J10</f>
        <v>710.52</v>
      </c>
      <c r="K12" s="278">
        <f>K11+K10</f>
        <v>1000.845</v>
      </c>
      <c r="L12" s="279"/>
      <c r="M12" s="278">
        <f>M11+M10</f>
        <v>687.67899999999997</v>
      </c>
      <c r="N12" s="278">
        <f>N11+N10</f>
        <v>973.50900000000001</v>
      </c>
      <c r="O12" s="278">
        <f>O11+O10</f>
        <v>760.26800000000003</v>
      </c>
      <c r="P12" s="278">
        <f>P11+P10</f>
        <v>1093.2629999999999</v>
      </c>
      <c r="Q12" s="279"/>
      <c r="R12" s="278">
        <f>R11+R10</f>
        <v>719.05200000000002</v>
      </c>
      <c r="S12" s="278">
        <f>S11+S10</f>
        <v>1039.3150000000001</v>
      </c>
      <c r="T12" s="278">
        <f>T11+T10</f>
        <v>792.03100000000006</v>
      </c>
      <c r="U12" s="278">
        <f>U11+U10</f>
        <v>1128.049</v>
      </c>
      <c r="V12" s="279"/>
      <c r="W12" s="278">
        <f>W11+W10</f>
        <v>785.71400000000006</v>
      </c>
      <c r="X12" s="278">
        <f>X11+X10</f>
        <v>1102.6849999999999</v>
      </c>
      <c r="Y12" s="278">
        <f>Y11+Y10</f>
        <v>886.40299999999991</v>
      </c>
      <c r="Z12" s="278">
        <f>Z11+Z10</f>
        <v>1214.32</v>
      </c>
      <c r="AA12" s="279"/>
      <c r="AB12" s="278">
        <f>AB11+AB10</f>
        <v>846.87399999999991</v>
      </c>
      <c r="AC12" s="278">
        <f>AC11+AC10</f>
        <v>1178.325</v>
      </c>
      <c r="AD12" s="278">
        <f>AD11+AD10</f>
        <v>939.22699999999998</v>
      </c>
      <c r="AE12" s="278">
        <f>AE11+AE10</f>
        <v>1274.2199999999998</v>
      </c>
      <c r="AF12" s="279"/>
      <c r="AG12" s="278">
        <f>AG11+AG10</f>
        <v>940.54200000000003</v>
      </c>
      <c r="AH12" s="278">
        <f>AH11+AH10</f>
        <v>1275.1379999999999</v>
      </c>
      <c r="AI12" s="278">
        <f>AI11+AI10</f>
        <v>1018.9090000000001</v>
      </c>
      <c r="AJ12" s="278">
        <f>AJ11+AJ10</f>
        <v>1347.943</v>
      </c>
      <c r="AK12" s="279"/>
      <c r="AL12" s="278">
        <f>AL11+AL10</f>
        <v>981.6579999999999</v>
      </c>
      <c r="AM12" s="278">
        <f>AM11+AM10</f>
        <v>1379.806</v>
      </c>
      <c r="AN12" s="278">
        <f>AN11+AN10</f>
        <v>1117.5780000000002</v>
      </c>
      <c r="AO12" s="278">
        <f>AO11+AO10</f>
        <v>1481.163</v>
      </c>
      <c r="AP12" s="279"/>
      <c r="AQ12" s="278">
        <f>AQ11+AQ10</f>
        <v>1070.6319999999998</v>
      </c>
      <c r="AR12" s="278">
        <f>AR11+AR10</f>
        <v>1474.8690000000001</v>
      </c>
      <c r="AS12" s="278">
        <f>AS11+AS10</f>
        <v>1472.9179999999999</v>
      </c>
      <c r="AT12" s="278">
        <f>AT11+AT10</f>
        <v>1468.3029999999999</v>
      </c>
      <c r="AU12" s="279"/>
      <c r="AV12" s="278">
        <f>AV11+AV10</f>
        <v>1066.277</v>
      </c>
      <c r="AW12" s="278">
        <f>AW11+AW10</f>
        <v>1465.42</v>
      </c>
      <c r="AX12" s="278">
        <f>AX11+AX10</f>
        <v>1137.152</v>
      </c>
      <c r="AY12" s="278">
        <f>AY11+AY10</f>
        <v>1589.1810000000005</v>
      </c>
      <c r="AZ12" s="279"/>
      <c r="BA12" s="278">
        <f>BA11+BA10</f>
        <v>1184.539</v>
      </c>
      <c r="BB12" s="278">
        <f>BB11+BB10</f>
        <v>1490.068</v>
      </c>
      <c r="BC12" s="278">
        <f>BC11+BC10</f>
        <v>1299.3879999999999</v>
      </c>
      <c r="BD12" s="278">
        <f>BD11+BD10</f>
        <v>1685.1419999999998</v>
      </c>
      <c r="BE12" s="279"/>
      <c r="BF12" s="278">
        <f>BF11+BF10</f>
        <v>1255.1949999999999</v>
      </c>
      <c r="BG12" s="278">
        <f>BG11+BG10</f>
        <v>1581.127</v>
      </c>
      <c r="BH12" s="278">
        <f>BH11+BH10</f>
        <v>1271.558</v>
      </c>
      <c r="BI12" s="278">
        <f>BI11+BI10</f>
        <v>1660.1399999999999</v>
      </c>
      <c r="BJ12" s="279"/>
      <c r="BK12" s="278">
        <f>BK11+BK10</f>
        <v>1279.0650000000001</v>
      </c>
      <c r="BL12" s="278">
        <f>BL11+BL10</f>
        <v>1690.8689999999999</v>
      </c>
      <c r="BM12" s="278">
        <f>BM11+BM10</f>
        <v>1358.2070000000001</v>
      </c>
      <c r="BN12" s="278">
        <f>BN11+BN10</f>
        <v>1787.912</v>
      </c>
      <c r="BO12" s="279"/>
      <c r="BP12" s="278">
        <f>BP11+BP10</f>
        <v>1371.104</v>
      </c>
      <c r="BQ12" s="278">
        <f>BQ11+BQ10</f>
        <v>1820.8809999999999</v>
      </c>
      <c r="BR12" s="278">
        <f>BR11+BR10</f>
        <v>1451.6759999999999</v>
      </c>
      <c r="BS12" s="278">
        <f>BS11+BS10</f>
        <v>1960.001</v>
      </c>
      <c r="BT12" s="279"/>
      <c r="BU12" s="278">
        <f>BU11+BU10</f>
        <v>1574.9770000000001</v>
      </c>
      <c r="BV12" s="278">
        <f>BV11+BV10</f>
        <v>1996.482</v>
      </c>
      <c r="BW12" s="278">
        <f>BW11+BW10</f>
        <v>1587.1</v>
      </c>
      <c r="BX12" s="278">
        <f>BX11+BX10</f>
        <v>2145.7959999999998</v>
      </c>
      <c r="BY12" s="279"/>
      <c r="BZ12" s="278">
        <f>BZ11+BZ10</f>
        <v>1697.2059999999999</v>
      </c>
      <c r="CA12" s="278">
        <f>CA11+CA10</f>
        <v>2151.4079999999999</v>
      </c>
      <c r="CB12" s="278">
        <f>CB11+CB10</f>
        <v>1713.35</v>
      </c>
      <c r="CC12" s="278">
        <f>CC11+CC10</f>
        <v>2357.002</v>
      </c>
      <c r="CD12" s="279"/>
      <c r="CE12" s="278">
        <f>CE11+CE10</f>
        <v>1841.0609999999999</v>
      </c>
      <c r="CF12" s="278">
        <f>CF11+CF10</f>
        <v>2331.319</v>
      </c>
      <c r="CG12" s="278">
        <f>CG11+CG10</f>
        <v>1930.922</v>
      </c>
      <c r="CH12" s="278">
        <f>CH11+CH10</f>
        <v>2695.9209999999998</v>
      </c>
      <c r="CI12" s="279"/>
      <c r="CJ12" s="278">
        <f>CJ11+CJ10</f>
        <v>2009.723</v>
      </c>
      <c r="CK12" s="278">
        <f>CK11+CK10</f>
        <v>2459.8139999999999</v>
      </c>
      <c r="CL12" s="278">
        <f>CL11+CL10</f>
        <v>2039.223</v>
      </c>
      <c r="CM12" s="278">
        <f>CM11+CM10</f>
        <v>2590</v>
      </c>
      <c r="CN12" s="279"/>
      <c r="CO12" s="278">
        <f>CO11+CO10</f>
        <v>1949</v>
      </c>
      <c r="CP12" s="278">
        <f>CP11+CP10</f>
        <v>2359</v>
      </c>
      <c r="CQ12" s="278">
        <f>CQ11+CQ10</f>
        <v>1898</v>
      </c>
      <c r="CR12" s="278">
        <f>CR11+CR10</f>
        <v>2391</v>
      </c>
      <c r="CS12" s="279"/>
      <c r="CT12" s="278">
        <f>CT11+CT10</f>
        <v>1792</v>
      </c>
      <c r="CU12" s="278">
        <f>CU11+CU10</f>
        <v>2232</v>
      </c>
      <c r="CV12" s="278">
        <f>CV11+CV10</f>
        <v>1963</v>
      </c>
      <c r="CW12" s="278">
        <f>CW11+CW10</f>
        <v>2640</v>
      </c>
      <c r="CX12" s="279"/>
      <c r="CY12" s="278">
        <f>CY11+CY10</f>
        <v>2087</v>
      </c>
      <c r="CZ12" s="278">
        <f>CZ11+CZ10</f>
        <v>2515</v>
      </c>
      <c r="DA12" s="278">
        <f>DA11+DA10</f>
        <v>2182</v>
      </c>
      <c r="DB12" s="278">
        <f>DB11+DB10</f>
        <v>2916</v>
      </c>
      <c r="DC12" s="279"/>
      <c r="DD12" s="278">
        <f>DD11+DD10</f>
        <v>2323</v>
      </c>
      <c r="DE12" s="278">
        <f>DE11+DE10</f>
        <v>2810</v>
      </c>
      <c r="DF12" s="278">
        <f>DF11+DF10</f>
        <v>2478</v>
      </c>
      <c r="DG12" s="278">
        <f>DG11+DG10</f>
        <v>3266</v>
      </c>
      <c r="DH12" s="279"/>
      <c r="DI12" s="278">
        <f>DI11+DI10</f>
        <v>2625</v>
      </c>
      <c r="DJ12" s="278">
        <f>DJ11+DJ10</f>
        <v>3006</v>
      </c>
      <c r="DK12" s="278">
        <f>DK11+DK10</f>
        <v>2805</v>
      </c>
      <c r="DL12" s="278">
        <f>DL11+DL10</f>
        <v>3698</v>
      </c>
      <c r="DM12" s="279"/>
      <c r="DN12" s="278">
        <f>DN11+DN10</f>
        <v>2749</v>
      </c>
      <c r="DO12" s="278">
        <f>DO11+DO10</f>
        <v>3196</v>
      </c>
      <c r="DP12" s="278">
        <f>DP11+DP10</f>
        <v>2884</v>
      </c>
      <c r="DQ12" s="278">
        <f>DQ11+DQ10</f>
        <v>3711</v>
      </c>
      <c r="DR12" s="279"/>
      <c r="DS12" s="278">
        <f>DS11+DS10</f>
        <v>2931</v>
      </c>
      <c r="DT12" s="278">
        <f>DT11+DT10</f>
        <v>3392</v>
      </c>
      <c r="DU12" s="278">
        <f>DU11+DU10</f>
        <v>3140</v>
      </c>
      <c r="DV12" s="278">
        <f>DV11+DV10</f>
        <v>4043</v>
      </c>
      <c r="DW12" s="279"/>
      <c r="DX12" s="278">
        <f>DX11+DX10</f>
        <v>3215</v>
      </c>
      <c r="DY12" s="278">
        <f>DY11+DY10</f>
        <v>3701</v>
      </c>
      <c r="DZ12" s="278">
        <f>DZ11+DZ10</f>
        <v>3327</v>
      </c>
      <c r="EA12" s="278">
        <f>EA11+EA10</f>
        <v>4194</v>
      </c>
      <c r="EB12" s="279"/>
      <c r="EC12" s="278">
        <f>EC11+EC10</f>
        <v>3249</v>
      </c>
      <c r="ED12" s="278">
        <f>ED11+ED10</f>
        <v>3651</v>
      </c>
      <c r="EE12" s="278">
        <f>EE11+EE10</f>
        <v>3542</v>
      </c>
      <c r="EF12" s="278">
        <f>EF11+EF10</f>
        <v>4316</v>
      </c>
      <c r="EG12" s="249"/>
      <c r="EH12" s="278">
        <f>EH11+EH10</f>
        <v>3354</v>
      </c>
      <c r="EI12" s="278">
        <f>EI11+EI10</f>
        <v>3793</v>
      </c>
      <c r="EJ12" s="278">
        <f>EJ11+EJ10</f>
        <v>3629</v>
      </c>
      <c r="EK12" s="278">
        <f>EK11+EK10</f>
        <v>4702</v>
      </c>
      <c r="EL12" s="278"/>
      <c r="EM12" s="1265">
        <f>EM11+EM10</f>
        <v>3494.7619230769233</v>
      </c>
      <c r="EN12" s="1265">
        <f>EN11+EN10</f>
        <v>4086.6092178217818</v>
      </c>
      <c r="EO12" s="1265">
        <f>EO11+EO10</f>
        <v>3660.2263333333335</v>
      </c>
      <c r="EP12" s="1265">
        <f>EP11+EP10</f>
        <v>4457.5409836065573</v>
      </c>
      <c r="EQ12" s="278"/>
      <c r="ER12" s="277"/>
      <c r="ES12" s="278">
        <f>SUM(ES10:ES11)</f>
        <v>2978.5639999999999</v>
      </c>
      <c r="ET12" s="278">
        <f>SUM(ET10:ET11)</f>
        <v>3267.2630000000004</v>
      </c>
      <c r="EU12" s="278">
        <f t="shared" ref="EU12:FK12" si="2">SUM(EU10:EU11)</f>
        <v>3514.7190000000001</v>
      </c>
      <c r="EV12" s="278">
        <f t="shared" si="2"/>
        <v>3678.4470000000001</v>
      </c>
      <c r="EW12" s="278">
        <f t="shared" si="2"/>
        <v>3989.1220000000003</v>
      </c>
      <c r="EX12" s="278">
        <f t="shared" si="2"/>
        <v>4238.6459999999997</v>
      </c>
      <c r="EY12" s="278">
        <f t="shared" si="2"/>
        <v>4582.5320000000002</v>
      </c>
      <c r="EZ12" s="278">
        <f t="shared" si="2"/>
        <v>4960.2049999999999</v>
      </c>
      <c r="FA12" s="278">
        <f t="shared" si="2"/>
        <v>5135.0290000000005</v>
      </c>
      <c r="FB12" s="278">
        <f t="shared" si="2"/>
        <v>5265.7830000000004</v>
      </c>
      <c r="FC12" s="278">
        <f t="shared" si="2"/>
        <v>5659.1370000000006</v>
      </c>
      <c r="FD12" s="278">
        <f t="shared" si="2"/>
        <v>5768.02</v>
      </c>
      <c r="FE12" s="278">
        <f t="shared" si="2"/>
        <v>6083.9449999999997</v>
      </c>
      <c r="FF12" s="278">
        <f t="shared" si="2"/>
        <v>6603.6619999999994</v>
      </c>
      <c r="FG12" s="278">
        <f t="shared" si="2"/>
        <v>7304.3549999999996</v>
      </c>
      <c r="FH12" s="278">
        <f t="shared" si="2"/>
        <v>7918.9660000000003</v>
      </c>
      <c r="FI12" s="280">
        <f t="shared" si="2"/>
        <v>8799.223</v>
      </c>
      <c r="FJ12" s="280">
        <f t="shared" si="2"/>
        <v>9098.76</v>
      </c>
      <c r="FK12" s="278">
        <f t="shared" si="2"/>
        <v>8597</v>
      </c>
      <c r="FL12" s="278">
        <f t="shared" ref="FL12:FT12" si="3">SUM(FL10:FL11)</f>
        <v>8627</v>
      </c>
      <c r="FM12" s="280">
        <f t="shared" si="3"/>
        <v>9700</v>
      </c>
      <c r="FN12" s="278">
        <f t="shared" si="3"/>
        <v>10877</v>
      </c>
      <c r="FO12" s="278">
        <f t="shared" si="3"/>
        <v>12134</v>
      </c>
      <c r="FP12" s="278">
        <f t="shared" si="3"/>
        <v>12540</v>
      </c>
      <c r="FQ12" s="278">
        <f t="shared" si="3"/>
        <v>13506</v>
      </c>
      <c r="FR12" s="278">
        <f t="shared" si="3"/>
        <v>14437</v>
      </c>
      <c r="FS12" s="278">
        <f t="shared" si="3"/>
        <v>14758</v>
      </c>
      <c r="FT12" s="278">
        <f t="shared" si="3"/>
        <v>15478</v>
      </c>
      <c r="FU12" s="278">
        <f>SUM(FU10:FU11)</f>
        <v>15699.138457838597</v>
      </c>
      <c r="FV12" s="278">
        <f>SUM(FV10:FV11)</f>
        <v>16196.422185123163</v>
      </c>
      <c r="FW12" s="281">
        <f>SUM(FW10:FW11)</f>
        <v>16631.673331498616</v>
      </c>
      <c r="FX12" s="278">
        <f>SUM(FX10:FX11)</f>
        <v>17060.5846909418</v>
      </c>
      <c r="FY12" s="1271">
        <f>SUM(FY10:FY11)</f>
        <v>17390.360710129869</v>
      </c>
      <c r="FZ12" s="278"/>
      <c r="GA12" s="278"/>
      <c r="GB12" s="278"/>
      <c r="GC12" s="278"/>
      <c r="GD12" s="278"/>
    </row>
    <row r="13" spans="1:186" ht="9" customHeight="1" x14ac:dyDescent="0.2">
      <c r="A13" s="276"/>
      <c r="CZ13" s="249"/>
      <c r="DA13" s="249"/>
      <c r="DB13" s="249"/>
      <c r="DC13" s="249"/>
      <c r="DD13" s="249"/>
      <c r="DE13" s="249"/>
      <c r="DF13" s="249"/>
      <c r="DG13" s="249"/>
      <c r="DH13" s="249"/>
      <c r="DI13" s="249"/>
      <c r="DJ13" s="249"/>
      <c r="DK13" s="249"/>
      <c r="DL13" s="249"/>
      <c r="DM13" s="249"/>
      <c r="DN13" s="249"/>
      <c r="DO13" s="249"/>
      <c r="DP13" s="249"/>
      <c r="DQ13" s="249"/>
      <c r="DR13" s="249"/>
      <c r="DS13" s="249"/>
      <c r="DT13" s="249"/>
      <c r="DU13" s="249"/>
      <c r="DV13" s="249"/>
      <c r="DW13" s="249"/>
      <c r="DX13" s="249"/>
      <c r="DY13" s="249"/>
      <c r="DZ13" s="249"/>
      <c r="EA13" s="249"/>
      <c r="EB13" s="249"/>
      <c r="EC13" s="249"/>
      <c r="ED13" s="249"/>
      <c r="EE13" s="249"/>
      <c r="EF13" s="249"/>
      <c r="EG13" s="249"/>
      <c r="EH13" s="249"/>
      <c r="EI13" s="249"/>
      <c r="EJ13" s="249"/>
      <c r="EK13" s="249"/>
      <c r="EL13" s="249"/>
      <c r="EM13" s="1264"/>
      <c r="EN13" s="1264"/>
      <c r="EO13" s="1264"/>
      <c r="EP13" s="1264"/>
      <c r="EQ13" s="249"/>
      <c r="ER13" s="277"/>
      <c r="ES13" s="286"/>
      <c r="ET13" s="286"/>
      <c r="EU13" s="286"/>
      <c r="EV13" s="286"/>
      <c r="EW13" s="286"/>
      <c r="EX13" s="286"/>
      <c r="EY13" s="286"/>
      <c r="EZ13" s="286"/>
      <c r="FA13" s="286"/>
      <c r="FB13" s="286"/>
      <c r="FC13" s="286"/>
      <c r="FD13" s="286"/>
      <c r="FE13" s="286"/>
      <c r="FF13" s="286"/>
      <c r="FG13" s="286"/>
      <c r="FH13" s="286"/>
      <c r="FI13" s="285"/>
      <c r="FJ13" s="285"/>
      <c r="FK13" s="286"/>
      <c r="FL13" s="286"/>
      <c r="FM13" s="285"/>
      <c r="FN13" s="286"/>
      <c r="FO13" s="286"/>
      <c r="FP13" s="286"/>
      <c r="FQ13" s="286"/>
      <c r="FR13" s="286"/>
      <c r="FS13" s="286"/>
      <c r="FT13" s="286"/>
      <c r="FU13" s="286"/>
      <c r="FV13" s="286"/>
      <c r="FW13" s="287"/>
      <c r="FX13" s="286"/>
      <c r="FY13" s="1273"/>
      <c r="FZ13" s="286"/>
      <c r="GA13" s="286"/>
      <c r="GB13" s="286"/>
      <c r="GC13" s="286"/>
      <c r="GD13" s="286"/>
    </row>
    <row r="14" spans="1:186" x14ac:dyDescent="0.2">
      <c r="A14" s="276" t="s">
        <v>156</v>
      </c>
      <c r="C14" s="282">
        <f>INDEX('qtrP&amp;L'!$40:$40,MATCH(C$7,'qtrP&amp;L'!$6:$6,0))</f>
        <v>380</v>
      </c>
      <c r="D14" s="282">
        <f>INDEX('qtrP&amp;L'!$41:$41,MATCH(C$7,'qtrP&amp;L'!$6:$6,0))</f>
        <v>552.6</v>
      </c>
      <c r="E14" s="282">
        <f>INDEX('qtrP&amp;L'!$42:$42,MATCH(C$7,'qtrP&amp;L'!$6:$6,0))</f>
        <v>433.1</v>
      </c>
      <c r="F14" s="282">
        <f>INDEX('qtrP&amp;L'!$43:$43,MATCH(C$7,'qtrP&amp;L'!$6:$6,0))</f>
        <v>634.54999999999995</v>
      </c>
      <c r="G14" s="282"/>
      <c r="H14" s="282">
        <f>INDEX('qtrP&amp;L'!$40:$40,MATCH(H$7,'qtrP&amp;L'!$6:$6,0))</f>
        <v>410.32299999999998</v>
      </c>
      <c r="I14" s="282">
        <f>INDEX('qtrP&amp;L'!$41:$41,MATCH(H$7,'qtrP&amp;L'!$6:$6,0))</f>
        <v>610.13099999999997</v>
      </c>
      <c r="J14" s="282">
        <f>INDEX('qtrP&amp;L'!$42:$42,MATCH(H$7,'qtrP&amp;L'!$6:$6,0))</f>
        <v>463.726</v>
      </c>
      <c r="K14" s="282">
        <f>INDEX('qtrP&amp;L'!$43:$43,MATCH(H$7,'qtrP&amp;L'!$6:$6,0))</f>
        <v>685.25699999999995</v>
      </c>
      <c r="L14" s="282"/>
      <c r="M14" s="282">
        <f>INDEX('qtrP&amp;L'!$40:$40,MATCH(M$7,'qtrP&amp;L'!$6:$6,0))</f>
        <v>451.88900000000001</v>
      </c>
      <c r="N14" s="282">
        <f>INDEX('qtrP&amp;L'!$41:$41,MATCH(M$7,'qtrP&amp;L'!$6:$6,0))</f>
        <v>652.01800000000003</v>
      </c>
      <c r="O14" s="282">
        <f>INDEX('qtrP&amp;L'!$42:$42,MATCH(M$7,'qtrP&amp;L'!$6:$6,0))</f>
        <v>498.19799999999998</v>
      </c>
      <c r="P14" s="282">
        <f>INDEX('qtrP&amp;L'!$43:$43,MATCH(M$7,'qtrP&amp;L'!$6:$6,0))</f>
        <v>736.98800000000006</v>
      </c>
      <c r="Q14" s="282"/>
      <c r="R14" s="282">
        <f>INDEX('qtrP&amp;L'!$40:$40,MATCH(R$7,'qtrP&amp;L'!$6:$6,0))</f>
        <v>482.58800000000002</v>
      </c>
      <c r="S14" s="282">
        <f>INDEX('qtrP&amp;L'!$41:$41,MATCH(R$7,'qtrP&amp;L'!$6:$6,0))</f>
        <v>711.01700000000005</v>
      </c>
      <c r="T14" s="282">
        <f>INDEX('qtrP&amp;L'!$42:$42,MATCH(R$7,'qtrP&amp;L'!$6:$6,0))</f>
        <v>524.31600000000003</v>
      </c>
      <c r="U14" s="282">
        <f>INDEX('qtrP&amp;L'!$43:$43,MATCH(R$7,'qtrP&amp;L'!$6:$6,0))</f>
        <v>751.38300000000004</v>
      </c>
      <c r="V14" s="282"/>
      <c r="W14" s="282">
        <f>INDEX('qtrP&amp;L'!$40:$40,MATCH(W$7,'qtrP&amp;L'!$6:$6,0))</f>
        <v>510.13499999999999</v>
      </c>
      <c r="X14" s="282">
        <f>INDEX('qtrP&amp;L'!$41:$41,MATCH(W$7,'qtrP&amp;L'!$6:$6,0))</f>
        <v>723.66</v>
      </c>
      <c r="Y14" s="282">
        <f>INDEX('qtrP&amp;L'!$42:$42,MATCH(W$7,'qtrP&amp;L'!$6:$6,0))</f>
        <v>569.31200000000001</v>
      </c>
      <c r="Z14" s="282">
        <f>INDEX('qtrP&amp;L'!$43:$43,MATCH(W$7,'qtrP&amp;L'!$6:$6,0))</f>
        <v>796.44600000000003</v>
      </c>
      <c r="AA14" s="282"/>
      <c r="AB14" s="282">
        <f>INDEX('qtrP&amp;L'!$40:$40,MATCH(AB$7,'qtrP&amp;L'!$6:$6,0))</f>
        <v>553.75300000000004</v>
      </c>
      <c r="AC14" s="282">
        <f>INDEX('qtrP&amp;L'!$41:$41,MATCH(AB$7,'qtrP&amp;L'!$6:$6,0))</f>
        <v>779.78399999999999</v>
      </c>
      <c r="AD14" s="282">
        <f>INDEX('qtrP&amp;L'!$42:$42,MATCH(AB$7,'qtrP&amp;L'!$6:$6,0))</f>
        <v>612.28399999999999</v>
      </c>
      <c r="AE14" s="282">
        <f>INDEX('qtrP&amp;L'!$43:$43,MATCH(AB$7,'qtrP&amp;L'!$6:$6,0))</f>
        <v>860.447</v>
      </c>
      <c r="AF14" s="282"/>
      <c r="AG14" s="282">
        <f>INDEX('qtrP&amp;L'!$40:$40,MATCH(AG$7,'qtrP&amp;L'!$6:$6,0))</f>
        <v>617.11199999999997</v>
      </c>
      <c r="AH14" s="282">
        <f>INDEX('qtrP&amp;L'!$41:$41,MATCH(AG$7,'qtrP&amp;L'!$6:$6,0))</f>
        <v>861.88800000000003</v>
      </c>
      <c r="AI14" s="282">
        <f>INDEX('qtrP&amp;L'!$42:$42,MATCH(AG$7,'qtrP&amp;L'!$6:$6,0))</f>
        <v>665.37800000000004</v>
      </c>
      <c r="AJ14" s="282">
        <f>INDEX('qtrP&amp;L'!$43:$43,MATCH(AG$7,'qtrP&amp;L'!$6:$6,0))</f>
        <v>937.65899999999999</v>
      </c>
      <c r="AK14" s="282"/>
      <c r="AL14" s="282">
        <f>INDEX('qtrP&amp;L'!$40:$40,MATCH(AL$7,'qtrP&amp;L'!$6:$6,0))</f>
        <v>646.51199999999994</v>
      </c>
      <c r="AM14" s="282">
        <f>INDEX('qtrP&amp;L'!$41:$41,MATCH(AL$7,'qtrP&amp;L'!$6:$6,0))</f>
        <v>924.35400000000004</v>
      </c>
      <c r="AN14" s="282">
        <f>INDEX('qtrP&amp;L'!$42:$42,MATCH(AL$7,'qtrP&amp;L'!$6:$6,0))</f>
        <v>724.08100000000002</v>
      </c>
      <c r="AO14" s="282">
        <f>INDEX('qtrP&amp;L'!$43:$43,MATCH(AL$7,'qtrP&amp;L'!$6:$6,0))</f>
        <v>1000.866</v>
      </c>
      <c r="AP14" s="282"/>
      <c r="AQ14" s="282">
        <f>INDEX('qtrP&amp;L'!$40:$40,MATCH(AQ$7,'qtrP&amp;L'!$6:$6,0))</f>
        <v>698.3</v>
      </c>
      <c r="AR14" s="282">
        <f>INDEX('qtrP&amp;L'!$41:$41,MATCH(AQ$7,'qtrP&amp;L'!$6:$6,0))</f>
        <v>971.24300000000005</v>
      </c>
      <c r="AS14" s="282">
        <f>INDEX('qtrP&amp;L'!$42:$42,MATCH(AQ$7,'qtrP&amp;L'!$6:$6,0))</f>
        <v>717.1</v>
      </c>
      <c r="AT14" s="282">
        <f>INDEX('qtrP&amp;L'!$43:$43,MATCH(AQ$7,'qtrP&amp;L'!$6:$6,0))</f>
        <v>958.30200000000002</v>
      </c>
      <c r="AU14" s="282"/>
      <c r="AV14" s="282">
        <f>INDEX('qtrP&amp;L'!$40:$40,MATCH(AV$7,'qtrP&amp;L'!$6:$6,0))</f>
        <v>688.19600000000003</v>
      </c>
      <c r="AW14" s="282">
        <f>INDEX('qtrP&amp;L'!$41:$41,MATCH(AV$7,'qtrP&amp;L'!$6:$6,0))</f>
        <v>943.34799999999996</v>
      </c>
      <c r="AX14" s="282">
        <f>INDEX('qtrP&amp;L'!$42:$42,MATCH(AV$7,'qtrP&amp;L'!$6:$6,0))</f>
        <v>717.84400000000005</v>
      </c>
      <c r="AY14" s="282">
        <f>INDEX('qtrP&amp;L'!$43:$43,MATCH(AV$7,'qtrP&amp;L'!$6:$6,0))</f>
        <v>1010.3720000000003</v>
      </c>
      <c r="AZ14" s="282"/>
      <c r="BA14" s="282">
        <f>INDEX('qtrP&amp;L'!$40:$40,MATCH(BA$7,'qtrP&amp;L'!$6:$6,0))</f>
        <v>745.65499999999997</v>
      </c>
      <c r="BB14" s="282">
        <f>INDEX('qtrP&amp;L'!$41:$41,MATCH(BA$7,'qtrP&amp;L'!$6:$6,0))</f>
        <v>954.31299999999999</v>
      </c>
      <c r="BC14" s="282">
        <f>INDEX('qtrP&amp;L'!$42:$42,MATCH(BA$7,'qtrP&amp;L'!$6:$6,0))</f>
        <v>823.86800000000005</v>
      </c>
      <c r="BD14" s="282">
        <f>INDEX('qtrP&amp;L'!$43:$43,MATCH(BA$7,'qtrP&amp;L'!$6:$6,0))</f>
        <v>1125.68</v>
      </c>
      <c r="BE14" s="282"/>
      <c r="BF14" s="282">
        <f>INDEX('qtrP&amp;L'!$40:$40,MATCH(BF$7,'qtrP&amp;L'!$6:$6,0))</f>
        <v>798.43</v>
      </c>
      <c r="BG14" s="282">
        <f>INDEX('qtrP&amp;L'!$41:$41,MATCH(BF$7,'qtrP&amp;L'!$6:$6,0))</f>
        <v>1040.9079999999999</v>
      </c>
      <c r="BH14" s="282">
        <f>INDEX('qtrP&amp;L'!$42:$42,MATCH(BF$7,'qtrP&amp;L'!$6:$6,0))</f>
        <v>836.96100000000001</v>
      </c>
      <c r="BI14" s="282">
        <f>INDEX('qtrP&amp;L'!$43:$43,MATCH(BF$7,'qtrP&amp;L'!$6:$6,0))</f>
        <v>1089.56</v>
      </c>
      <c r="BJ14" s="282"/>
      <c r="BK14" s="282">
        <f>INDEX('qtrP&amp;L'!$40:$40,MATCH(BK$7,'qtrP&amp;L'!$6:$6,0))</f>
        <v>823.08799999999997</v>
      </c>
      <c r="BL14" s="282">
        <f>INDEX('qtrP&amp;L'!$41:$41,MATCH(BK$7,'qtrP&amp;L'!$6:$6,0))</f>
        <v>1104.0350000000001</v>
      </c>
      <c r="BM14" s="282">
        <f>INDEX('qtrP&amp;L'!$42:$42,MATCH(BK$7,'qtrP&amp;L'!$6:$6,0))</f>
        <v>872.154</v>
      </c>
      <c r="BN14" s="282">
        <f>INDEX('qtrP&amp;L'!$43:$43,MATCH(BK$7,'qtrP&amp;L'!$6:$6,0))</f>
        <v>1168.963</v>
      </c>
      <c r="BO14" s="282"/>
      <c r="BP14" s="282">
        <f>INDEX('qtrP&amp;L'!$40:$40,MATCH(BP$7,'qtrP&amp;L'!$6:$6,0))</f>
        <v>886.09500000000003</v>
      </c>
      <c r="BQ14" s="282">
        <f>INDEX('qtrP&amp;L'!$41:$41,MATCH(BP$7,'qtrP&amp;L'!$6:$6,0))</f>
        <v>1194.4000000000001</v>
      </c>
      <c r="BR14" s="282">
        <f>INDEX('qtrP&amp;L'!$42:$42,MATCH(BP$7,'qtrP&amp;L'!$6:$6,0))</f>
        <v>911.4</v>
      </c>
      <c r="BS14" s="282">
        <f>INDEX('qtrP&amp;L'!$43:$43,MATCH(BP$7,'qtrP&amp;L'!$6:$6,0))</f>
        <v>1223.5</v>
      </c>
      <c r="BT14" s="282"/>
      <c r="BU14" s="282">
        <f>INDEX('qtrP&amp;L'!$40:$40,MATCH(BU$7,'qtrP&amp;L'!$6:$6,0))</f>
        <v>972.93200000000002</v>
      </c>
      <c r="BV14" s="282">
        <f>INDEX('qtrP&amp;L'!$41:$41,MATCH(BU$7,'qtrP&amp;L'!$6:$6,0))</f>
        <v>1270.8920000000001</v>
      </c>
      <c r="BW14" s="282">
        <f>INDEX('qtrP&amp;L'!$42:$42,MATCH(BU$7,'qtrP&amp;L'!$6:$6,0))</f>
        <v>984.90800000000002</v>
      </c>
      <c r="BX14" s="282">
        <f>INDEX('qtrP&amp;L'!$43:$43,MATCH(BU$7,'qtrP&amp;L'!$6:$6,0))</f>
        <v>1330.6559999999999</v>
      </c>
      <c r="BY14" s="282"/>
      <c r="BZ14" s="282">
        <f>INDEX('qtrP&amp;L'!$40:$40,MATCH(BZ$7,'qtrP&amp;L'!$6:$6,0))</f>
        <v>1046.165</v>
      </c>
      <c r="CA14" s="282">
        <f>INDEX('qtrP&amp;L'!$41:$41,MATCH(BZ$7,'qtrP&amp;L'!$6:$6,0))</f>
        <v>1347.5150000000001</v>
      </c>
      <c r="CB14" s="282">
        <f>INDEX('qtrP&amp;L'!$42:$42,MATCH(BZ$7,'qtrP&amp;L'!$6:$6,0))</f>
        <v>1058.452</v>
      </c>
      <c r="CC14" s="282">
        <f>INDEX('qtrP&amp;L'!$43:$43,MATCH(BZ$7,'qtrP&amp;L'!$6:$6,0))</f>
        <v>1435.8910000000001</v>
      </c>
      <c r="CD14" s="282"/>
      <c r="CE14" s="282">
        <f>INDEX('qtrP&amp;L'!$40:$40,MATCH(CE$7,'qtrP&amp;L'!$6:$6,0))</f>
        <v>1123.0029999999999</v>
      </c>
      <c r="CF14" s="282">
        <f>INDEX('qtrP&amp;L'!$41:$41,MATCH(CE$7,'qtrP&amp;L'!$6:$6,0))</f>
        <v>1446.633</v>
      </c>
      <c r="CG14" s="282">
        <f>INDEX('qtrP&amp;L'!$42:$42,MATCH(CE$7,'qtrP&amp;L'!$6:$6,0))</f>
        <v>1160.123</v>
      </c>
      <c r="CH14" s="282">
        <f>INDEX('qtrP&amp;L'!$43:$43,MATCH(CE$7,'qtrP&amp;L'!$6:$6,0))</f>
        <v>1624.19</v>
      </c>
      <c r="CI14" s="282"/>
      <c r="CJ14" s="282">
        <f>INDEX('qtrP&amp;L'!$40:$40,MATCH(CJ$7,'qtrP&amp;L'!$6:$6,0))</f>
        <v>1214.752</v>
      </c>
      <c r="CK14" s="282">
        <f>INDEX('qtrP&amp;L'!$41:$41,MATCH(CJ$7,'qtrP&amp;L'!$6:$6,0))</f>
        <v>1513.92</v>
      </c>
      <c r="CL14" s="282">
        <f>INDEX('qtrP&amp;L'!$42:$42,MATCH(CJ$7,'qtrP&amp;L'!$6:$6,0))</f>
        <v>1228.5060000000001</v>
      </c>
      <c r="CM14" s="282">
        <f>INDEX('qtrP&amp;L'!$43:$43,MATCH(CJ$7,'qtrP&amp;L'!$6:$6,0))</f>
        <v>1569</v>
      </c>
      <c r="CN14" s="282"/>
      <c r="CO14" s="282">
        <f>INDEX('qtrP&amp;L'!$40:$40,MATCH(CO$7,'qtrP&amp;L'!$6:$6,0))</f>
        <v>1179</v>
      </c>
      <c r="CP14" s="282">
        <f>INDEX('qtrP&amp;L'!$41:$41,MATCH(CO$7,'qtrP&amp;L'!$6:$6,0))</f>
        <v>1488</v>
      </c>
      <c r="CQ14" s="282">
        <f>INDEX('qtrP&amp;L'!$42:$42,MATCH(CO$7,'qtrP&amp;L'!$6:$6,0))</f>
        <v>1197.4829999999999</v>
      </c>
      <c r="CR14" s="282">
        <f>INDEX('qtrP&amp;L'!$43:$43,MATCH(CO$7,'qtrP&amp;L'!$6:$6,0))</f>
        <v>1565</v>
      </c>
      <c r="CS14" s="282"/>
      <c r="CT14" s="282">
        <f>INDEX('qtrP&amp;L'!$40:$40,MATCH(CT$7,'qtrP&amp;L'!$6:$6,0))</f>
        <v>1107</v>
      </c>
      <c r="CU14" s="282">
        <f>INDEX('qtrP&amp;L'!$41:$41,MATCH(CT$7,'qtrP&amp;L'!$6:$6,0))</f>
        <v>1418</v>
      </c>
      <c r="CV14" s="282">
        <f>INDEX('qtrP&amp;L'!$42:$42,MATCH(CT$7,'qtrP&amp;L'!$6:$6,0))</f>
        <v>1210</v>
      </c>
      <c r="CW14" s="282">
        <f>INDEX('qtrP&amp;L'!$43:$43,MATCH(CT$7,'qtrP&amp;L'!$6:$6,0))</f>
        <v>1593</v>
      </c>
      <c r="CX14" s="282"/>
      <c r="CY14" s="282">
        <f>INDEX('qtrP&amp;L'!$40:$40,MATCH(CY$7,'qtrP&amp;L'!$6:$6,0))</f>
        <v>1243</v>
      </c>
      <c r="CZ14" s="282">
        <f>INDEX('qtrP&amp;L'!$41:$41,MATCH(CY$7,'qtrP&amp;L'!$6:$6,0))</f>
        <v>1565</v>
      </c>
      <c r="DA14" s="282">
        <f>INDEX('qtrP&amp;L'!$42:$42,MATCH(CY$7,'qtrP&amp;L'!$6:$6,0))</f>
        <v>1331</v>
      </c>
      <c r="DB14" s="282">
        <f>INDEX('qtrP&amp;L'!$43:$43,MATCH(CY$7,'qtrP&amp;L'!$6:$6,0))</f>
        <v>1758</v>
      </c>
      <c r="DC14" s="282"/>
      <c r="DD14" s="282">
        <f>INDEX('qtrP&amp;L'!$40:$40,MATCH(DD$7,'qtrP&amp;L'!$6:$6,0))</f>
        <v>1385</v>
      </c>
      <c r="DE14" s="282">
        <f>INDEX('qtrP&amp;L'!$41:$41,MATCH(DD$7,'qtrP&amp;L'!$6:$6,0))</f>
        <v>1723</v>
      </c>
      <c r="DF14" s="282">
        <f>INDEX('qtrP&amp;L'!$42:$42,MATCH(DD$7,'qtrP&amp;L'!$6:$6,0))</f>
        <v>1511</v>
      </c>
      <c r="DG14" s="282">
        <f>INDEX('qtrP&amp;L'!$43:$43,MATCH(DD$7,'qtrP&amp;L'!$6:$6,0))</f>
        <v>1973</v>
      </c>
      <c r="DH14" s="282"/>
      <c r="DI14" s="282">
        <f>INDEX('qtrP&amp;L'!$40:$40,MATCH(DI$7,'qtrP&amp;L'!$6:$6,0))</f>
        <v>1584</v>
      </c>
      <c r="DJ14" s="282">
        <f>INDEX('qtrP&amp;L'!$41:$41,MATCH(DI$7,'qtrP&amp;L'!$6:$6,0))</f>
        <v>1879</v>
      </c>
      <c r="DK14" s="282">
        <f>INDEX('qtrP&amp;L'!$42:$42,MATCH(DI$7,'qtrP&amp;L'!$6:$6,0))</f>
        <v>1730</v>
      </c>
      <c r="DL14" s="282">
        <f>INDEX('qtrP&amp;L'!$43:$43,MATCH(DI$7,'qtrP&amp;L'!$6:$6,0))</f>
        <v>2239</v>
      </c>
      <c r="DM14" s="282"/>
      <c r="DN14" s="282">
        <f>INDEX('qtrP&amp;L'!$40:$40,MATCH(DN$7,'qtrP&amp;L'!$6:$6,0))</f>
        <v>1673</v>
      </c>
      <c r="DO14" s="282">
        <f>INDEX('qtrP&amp;L'!$41:$41,MATCH(DN$7,'qtrP&amp;L'!$6:$6,0))</f>
        <v>2004</v>
      </c>
      <c r="DP14" s="282">
        <f>INDEX('qtrP&amp;L'!$42:$42,MATCH(DN$7,'qtrP&amp;L'!$6:$6,0))</f>
        <v>1791</v>
      </c>
      <c r="DQ14" s="282">
        <f>INDEX('qtrP&amp;L'!$43:$43,MATCH(DN$7,'qtrP&amp;L'!$6:$6,0))</f>
        <v>2269</v>
      </c>
      <c r="DR14" s="282"/>
      <c r="DS14" s="282">
        <f>INDEX('qtrP&amp;L'!$40:$40,MATCH(DS$7,'qtrP&amp;L'!$6:$6,0))</f>
        <v>1822</v>
      </c>
      <c r="DT14" s="282">
        <f>INDEX('qtrP&amp;L'!$41:$41,MATCH(DS$7,'qtrP&amp;L'!$6:$6,0))</f>
        <v>2130</v>
      </c>
      <c r="DU14" s="282">
        <f>INDEX('qtrP&amp;L'!$42:$42,MATCH(DS$7,'qtrP&amp;L'!$6:$6,0))</f>
        <v>1961</v>
      </c>
      <c r="DV14" s="282">
        <f>INDEX('qtrP&amp;L'!$43:$43,MATCH(DS$7,'qtrP&amp;L'!$6:$6,0))</f>
        <v>2494</v>
      </c>
      <c r="DW14" s="282"/>
      <c r="DX14" s="282">
        <f>INDEX('qtrP&amp;L'!$40:$40,MATCH(DX$7,'qtrP&amp;L'!$6:$6,0))</f>
        <v>1999</v>
      </c>
      <c r="DY14" s="282">
        <f>INDEX('qtrP&amp;L'!$41:$41,MATCH(DX$7,'qtrP&amp;L'!$6:$6,0))</f>
        <v>2327</v>
      </c>
      <c r="DZ14" s="282">
        <f>INDEX('qtrP&amp;L'!$42:$42,MATCH(DX$7,'qtrP&amp;L'!$6:$6,0))</f>
        <v>2142</v>
      </c>
      <c r="EA14" s="282">
        <f>INDEX('qtrP&amp;L'!$43:$43,MATCH(DX$7,'qtrP&amp;L'!$6:$6,0))</f>
        <v>2700</v>
      </c>
      <c r="EB14" s="282"/>
      <c r="EC14" s="282">
        <f>INDEX('qtrP&amp;L'!$40:$40,MATCH(EC$7,'qtrP&amp;L'!$6:$6,0))</f>
        <v>2100</v>
      </c>
      <c r="ED14" s="282">
        <f>INDEX('qtrP&amp;L'!$41:$41,MATCH(EC$7,'qtrP&amp;L'!$6:$6,0))</f>
        <v>2358</v>
      </c>
      <c r="EE14" s="282">
        <f>INDEX('qtrP&amp;L'!$42:$42,MATCH(EC$7,'qtrP&amp;L'!$6:$6,0))</f>
        <v>2261</v>
      </c>
      <c r="EF14" s="282">
        <f>INDEX('qtrP&amp;L'!$43:$43,MATCH(EC$7,'qtrP&amp;L'!$6:$6,0))</f>
        <v>2720</v>
      </c>
      <c r="EG14" s="249"/>
      <c r="EH14" s="282">
        <f>INDEX('qtrP&amp;L'!$40:$40,MATCH(EH$7,'qtrP&amp;L'!$6:$6,0))</f>
        <v>2155</v>
      </c>
      <c r="EI14" s="282">
        <f>INDEX('qtrP&amp;L'!$41:$41,MATCH(EH$7,'qtrP&amp;L'!$6:$6,0))</f>
        <v>2451</v>
      </c>
      <c r="EJ14" s="282">
        <f>INDEX('qtrP&amp;L'!$42:$42,MATCH(EH$7,'qtrP&amp;L'!$6:$6,0))</f>
        <v>2315</v>
      </c>
      <c r="EK14" s="282">
        <f>INDEX('qtrP&amp;L'!$43:$43,MATCH(EH$7,'qtrP&amp;L'!$6:$6,0))</f>
        <v>2969</v>
      </c>
      <c r="EL14" s="282"/>
      <c r="EM14" s="1266">
        <f>INDEX('qtrP&amp;L'!$40:$40,MATCH(EM$7,'qtrP&amp;L'!$6:$6,0))</f>
        <v>2243.562214423077</v>
      </c>
      <c r="EN14" s="1266">
        <f>INDEX('qtrP&amp;L'!$41:$41,MATCH(EM$7,'qtrP&amp;L'!$6:$6,0))</f>
        <v>2637.9830745445543</v>
      </c>
      <c r="EO14" s="1266">
        <f>INDEX('qtrP&amp;L'!$42:$42,MATCH(EM$7,'qtrP&amp;L'!$6:$6,0))</f>
        <v>2325.1356825000003</v>
      </c>
      <c r="EP14" s="1266">
        <f>INDEX('qtrP&amp;L'!$43:$43,MATCH(EM$7,'qtrP&amp;L'!$6:$6,0))</f>
        <v>2796.2269229508197</v>
      </c>
      <c r="EQ14" s="282"/>
      <c r="ER14" s="277"/>
      <c r="ES14" s="282">
        <f>'yrP&amp;L'!J17</f>
        <v>2000.25</v>
      </c>
      <c r="ET14" s="282">
        <f>'yrP&amp;L'!K17</f>
        <v>2169.4369999999999</v>
      </c>
      <c r="EU14" s="282">
        <f>'yrP&amp;L'!L17</f>
        <v>2339.0929999999998</v>
      </c>
      <c r="EV14" s="282">
        <f>'yrP&amp;L'!M17</f>
        <v>2469.3040000000001</v>
      </c>
      <c r="EW14" s="282">
        <f>'yrP&amp;L'!N17</f>
        <v>2599.5529999999999</v>
      </c>
      <c r="EX14" s="282">
        <f>'yrP&amp;L'!O17</f>
        <v>2806.268</v>
      </c>
      <c r="EY14" s="282">
        <f>'yrP&amp;L'!P17</f>
        <v>3082.0370000000003</v>
      </c>
      <c r="EZ14" s="282">
        <f>'yrP&amp;L'!Q17</f>
        <v>3295.8130000000001</v>
      </c>
      <c r="FA14" s="282">
        <f>'yrP&amp;L'!R17</f>
        <v>3344.9450000000002</v>
      </c>
      <c r="FB14" s="282">
        <f>'yrP&amp;L'!S17</f>
        <v>3359.76</v>
      </c>
      <c r="FC14" s="282">
        <f>'yrP&amp;L'!T17</f>
        <v>3649.5159999999996</v>
      </c>
      <c r="FD14" s="282">
        <f>'yrP&amp;L'!U17</f>
        <v>3765.8589999999999</v>
      </c>
      <c r="FE14" s="282">
        <f>'yrP&amp;L'!V17</f>
        <v>3970.0219999999999</v>
      </c>
      <c r="FF14" s="282">
        <f>'yrP&amp;L'!W17</f>
        <v>4215.3950000000004</v>
      </c>
      <c r="FG14" s="282">
        <f>'yrP&amp;L'!X17</f>
        <v>4559.3879999999999</v>
      </c>
      <c r="FH14" s="282">
        <f>'yrP&amp;L'!Y17</f>
        <v>4888.023000000001</v>
      </c>
      <c r="FI14" s="283">
        <f>'yrP&amp;L'!Z17</f>
        <v>5353.9490000000005</v>
      </c>
      <c r="FJ14" s="283">
        <f>'yrP&amp;L'!AA17</f>
        <v>5526.1779999999999</v>
      </c>
      <c r="FK14" s="282">
        <f>'yrP&amp;L'!AB17</f>
        <v>5429.4830000000002</v>
      </c>
      <c r="FL14" s="282">
        <f>'yrP&amp;L'!AC17</f>
        <v>5328</v>
      </c>
      <c r="FM14" s="283">
        <f>'yrP&amp;L'!AD17</f>
        <v>5897</v>
      </c>
      <c r="FN14" s="282">
        <f>'yrP&amp;L'!AE17</f>
        <v>6592</v>
      </c>
      <c r="FO14" s="282">
        <f>'yrP&amp;L'!AF17</f>
        <v>7432</v>
      </c>
      <c r="FP14" s="282">
        <f>'yrP&amp;L'!AG17</f>
        <v>7737</v>
      </c>
      <c r="FQ14" s="282">
        <f>'yrP&amp;L'!AH17</f>
        <v>8407</v>
      </c>
      <c r="FR14" s="282">
        <f>'yrP&amp;L'!AI17</f>
        <v>9168</v>
      </c>
      <c r="FS14" s="282">
        <f>'yrP&amp;L'!AJ17</f>
        <v>9439</v>
      </c>
      <c r="FT14" s="282">
        <f>'yrP&amp;L'!AK17</f>
        <v>9890</v>
      </c>
      <c r="FU14" s="282">
        <f>'yrP&amp;L'!AL17</f>
        <v>10002.907894418451</v>
      </c>
      <c r="FV14" s="282">
        <f>'yrP&amp;L'!AM17</f>
        <v>10350.85651962972</v>
      </c>
      <c r="FW14" s="284">
        <f>'yrP&amp;L'!AN17</f>
        <v>10664.893822608688</v>
      </c>
      <c r="FX14" s="282">
        <f>'yrP&amp;L'!AO17</f>
        <v>10978.761044920813</v>
      </c>
      <c r="FY14" s="1272">
        <f>'yrP&amp;L'!AP17</f>
        <v>11207.680214329972</v>
      </c>
      <c r="FZ14" s="282"/>
      <c r="GA14" s="282"/>
      <c r="GB14" s="282"/>
      <c r="GC14" s="282"/>
      <c r="GD14" s="282"/>
    </row>
    <row r="15" spans="1:186" ht="9" customHeight="1" x14ac:dyDescent="0.2">
      <c r="A15" s="276"/>
      <c r="CZ15" s="249"/>
      <c r="DA15" s="249"/>
      <c r="DB15" s="249"/>
      <c r="DC15" s="249"/>
      <c r="DD15" s="249"/>
      <c r="DE15" s="249"/>
      <c r="DF15" s="249"/>
      <c r="DG15" s="249"/>
      <c r="DH15" s="249"/>
      <c r="DI15" s="249"/>
      <c r="DJ15" s="249"/>
      <c r="DK15" s="249"/>
      <c r="DL15" s="249"/>
      <c r="DM15" s="249"/>
      <c r="DN15" s="249"/>
      <c r="DO15" s="249"/>
      <c r="DP15" s="249"/>
      <c r="DQ15" s="249"/>
      <c r="DR15" s="249"/>
      <c r="DS15" s="249"/>
      <c r="DT15" s="249"/>
      <c r="DU15" s="249"/>
      <c r="DV15" s="249"/>
      <c r="DW15" s="249"/>
      <c r="DX15" s="249"/>
      <c r="DY15" s="249"/>
      <c r="DZ15" s="249"/>
      <c r="EA15" s="249"/>
      <c r="EB15" s="249"/>
      <c r="EC15" s="249"/>
      <c r="ED15" s="249"/>
      <c r="EE15" s="249"/>
      <c r="EF15" s="249"/>
      <c r="EG15" s="249"/>
      <c r="EH15" s="249"/>
      <c r="EI15" s="249"/>
      <c r="EJ15" s="249"/>
      <c r="EK15" s="249"/>
      <c r="EL15" s="249"/>
      <c r="EM15" s="1264"/>
      <c r="EN15" s="1264"/>
      <c r="EO15" s="1264"/>
      <c r="EP15" s="1264"/>
      <c r="EQ15" s="249"/>
      <c r="ER15" s="277"/>
      <c r="ES15" s="286"/>
      <c r="ET15" s="286"/>
      <c r="EU15" s="286"/>
      <c r="EV15" s="286"/>
      <c r="EW15" s="286"/>
      <c r="EX15" s="286"/>
      <c r="EY15" s="286"/>
      <c r="EZ15" s="286"/>
      <c r="FA15" s="286"/>
      <c r="FB15" s="286"/>
      <c r="FC15" s="286"/>
      <c r="FD15" s="286"/>
      <c r="FE15" s="286"/>
      <c r="FF15" s="286"/>
      <c r="FG15" s="286"/>
      <c r="FH15" s="286"/>
      <c r="FI15" s="285"/>
      <c r="FJ15" s="285"/>
      <c r="FK15" s="286"/>
      <c r="FL15" s="286"/>
      <c r="FM15" s="285"/>
      <c r="FN15" s="286"/>
      <c r="FO15" s="286"/>
      <c r="FP15" s="286"/>
      <c r="FQ15" s="286"/>
      <c r="FR15" s="286"/>
      <c r="FS15" s="286"/>
      <c r="FT15" s="286"/>
      <c r="FU15" s="286"/>
      <c r="FV15" s="286"/>
      <c r="FW15" s="287"/>
      <c r="FX15" s="286"/>
      <c r="FY15" s="1273"/>
      <c r="FZ15" s="286"/>
      <c r="GA15" s="286"/>
      <c r="GB15" s="286"/>
      <c r="GC15" s="286"/>
      <c r="GD15" s="286"/>
    </row>
    <row r="16" spans="1:186" x14ac:dyDescent="0.2">
      <c r="A16" s="288" t="s">
        <v>157</v>
      </c>
      <c r="B16" s="289"/>
      <c r="C16" s="290">
        <f>C10-C14</f>
        <v>175</v>
      </c>
      <c r="D16" s="290">
        <f>D10-D14</f>
        <v>248.39999999999998</v>
      </c>
      <c r="E16" s="290">
        <f>E10-E14</f>
        <v>201.79999999999995</v>
      </c>
      <c r="F16" s="290">
        <f>F10-F14</f>
        <v>268.45400000000006</v>
      </c>
      <c r="G16" s="290"/>
      <c r="H16" s="290">
        <f>H10-H14</f>
        <v>200.27999999999997</v>
      </c>
      <c r="I16" s="290">
        <f>I10-I14</f>
        <v>293.95299999999997</v>
      </c>
      <c r="J16" s="290">
        <f>J10-J14</f>
        <v>223.351</v>
      </c>
      <c r="K16" s="290">
        <f>K10-K14</f>
        <v>292.79900000000009</v>
      </c>
      <c r="L16" s="290"/>
      <c r="M16" s="290">
        <f>M10-M14</f>
        <v>211.91999999999996</v>
      </c>
      <c r="N16" s="290">
        <f>N10-N14</f>
        <v>299.59799999999996</v>
      </c>
      <c r="O16" s="290">
        <f>O10-O14</f>
        <v>239.10300000000007</v>
      </c>
      <c r="P16" s="290">
        <f>P10-P14</f>
        <v>332.26499999999987</v>
      </c>
      <c r="Q16" s="290"/>
      <c r="R16" s="290">
        <f>R10-R14</f>
        <v>212.97099999999995</v>
      </c>
      <c r="S16" s="290">
        <f>S10-S14</f>
        <v>306.56499999999994</v>
      </c>
      <c r="T16" s="290">
        <f>T10-T14</f>
        <v>245.05700000000002</v>
      </c>
      <c r="U16" s="290">
        <f>U10-U14</f>
        <v>356.04099999999994</v>
      </c>
      <c r="V16" s="290"/>
      <c r="W16" s="290">
        <f>W10-W14</f>
        <v>251.92700000000002</v>
      </c>
      <c r="X16" s="290">
        <f>X10-X14</f>
        <v>355.84100000000001</v>
      </c>
      <c r="Y16" s="290">
        <f>Y10-Y14</f>
        <v>292.65599999999995</v>
      </c>
      <c r="Z16" s="290">
        <f>Z10-Z14</f>
        <v>394.50099999999986</v>
      </c>
      <c r="AA16" s="290"/>
      <c r="AB16" s="290">
        <f>AB10-AB14</f>
        <v>261.84499999999991</v>
      </c>
      <c r="AC16" s="290">
        <f>AC10-AC14</f>
        <v>369.45500000000004</v>
      </c>
      <c r="AD16" s="290">
        <f>AD10-AD14</f>
        <v>294.56399999999996</v>
      </c>
      <c r="AE16" s="290">
        <f>AE10-AE14</f>
        <v>381.3839999999999</v>
      </c>
      <c r="AF16" s="290"/>
      <c r="AG16" s="290">
        <f>AG10-AG14</f>
        <v>288.85000000000002</v>
      </c>
      <c r="AH16" s="290">
        <f>AH10-AH14</f>
        <v>379.57599999999991</v>
      </c>
      <c r="AI16" s="290">
        <f>AI10-AI14</f>
        <v>319.06200000000001</v>
      </c>
      <c r="AJ16" s="290">
        <f>AJ10-AJ14</f>
        <v>383.5379999999999</v>
      </c>
      <c r="AK16" s="290"/>
      <c r="AL16" s="290">
        <f>AL10-AL14</f>
        <v>307.23500000000001</v>
      </c>
      <c r="AM16" s="290">
        <f>AM10-AM14</f>
        <v>428.99099999999999</v>
      </c>
      <c r="AN16" s="290">
        <f>AN10-AN14</f>
        <v>365.70300000000009</v>
      </c>
      <c r="AO16" s="290">
        <f>AO10-AO14</f>
        <v>453.88200000000006</v>
      </c>
      <c r="AP16" s="290"/>
      <c r="AQ16" s="290">
        <f>AQ10-AQ14</f>
        <v>341.91499999999996</v>
      </c>
      <c r="AR16" s="290">
        <f>AR10-AR14</f>
        <v>476.04100000000005</v>
      </c>
      <c r="AS16" s="290">
        <f>AS10-AS14</f>
        <v>728.94199999999989</v>
      </c>
      <c r="AT16" s="290">
        <f>AT10-AT14</f>
        <v>487.7399999999999</v>
      </c>
      <c r="AU16" s="290"/>
      <c r="AV16" s="290">
        <f>AV10-AV14</f>
        <v>350.90899999999999</v>
      </c>
      <c r="AW16" s="290">
        <f>AW10-AW14</f>
        <v>500.04700000000003</v>
      </c>
      <c r="AX16" s="290">
        <f>AX10-AX14</f>
        <v>392.27</v>
      </c>
      <c r="AY16" s="290">
        <f>AY10-AY14</f>
        <v>546.01400000000012</v>
      </c>
      <c r="AZ16" s="290"/>
      <c r="BA16" s="290">
        <f>BA10-BA14</f>
        <v>407.72199999999998</v>
      </c>
      <c r="BB16" s="290">
        <f>BB10-BB14</f>
        <v>502.72200000000009</v>
      </c>
      <c r="BC16" s="290">
        <f>BC10-BC14</f>
        <v>438.52199999999982</v>
      </c>
      <c r="BD16" s="290">
        <f>BD10-BD14</f>
        <v>530.05499999999984</v>
      </c>
      <c r="BE16" s="290"/>
      <c r="BF16" s="290">
        <f>BF10-BF14</f>
        <v>419.61</v>
      </c>
      <c r="BG16" s="290">
        <f>BG10-BG14</f>
        <v>504.85100000000011</v>
      </c>
      <c r="BH16" s="290">
        <f>BH10-BH14</f>
        <v>402.28</v>
      </c>
      <c r="BI16" s="290">
        <f>BI10-BI14</f>
        <v>541.53</v>
      </c>
      <c r="BJ16" s="290"/>
      <c r="BK16" s="290">
        <f>BK10-BK14</f>
        <v>422.673</v>
      </c>
      <c r="BL16" s="290">
        <f>BL10-BL14</f>
        <v>551.49299999999994</v>
      </c>
      <c r="BM16" s="290">
        <f>BM10-BM14</f>
        <v>451.04700000000003</v>
      </c>
      <c r="BN16" s="290">
        <f>BN10-BN14</f>
        <v>581.62300000000005</v>
      </c>
      <c r="BO16" s="290"/>
      <c r="BP16" s="290">
        <f>BP10-BP14</f>
        <v>449.37699999999995</v>
      </c>
      <c r="BQ16" s="290">
        <f>BQ10-BQ14</f>
        <v>590.39999999999986</v>
      </c>
      <c r="BR16" s="290">
        <f>BR10-BR14</f>
        <v>497.69999999999993</v>
      </c>
      <c r="BS16" s="290">
        <f>BS10-BS14</f>
        <v>695.7</v>
      </c>
      <c r="BT16" s="290"/>
      <c r="BU16" s="290">
        <f>BU10-BU14</f>
        <v>562.55799999999999</v>
      </c>
      <c r="BV16" s="290">
        <f>BV10-BV14</f>
        <v>682.58799999999997</v>
      </c>
      <c r="BW16" s="290">
        <f>BW10-BW14</f>
        <v>557.19199999999989</v>
      </c>
      <c r="BX16" s="290">
        <f>BX10-BX14</f>
        <v>769.6869999999999</v>
      </c>
      <c r="BY16" s="290"/>
      <c r="BZ16" s="290">
        <f>BZ10-BZ14</f>
        <v>608.30899999999997</v>
      </c>
      <c r="CA16" s="290">
        <f>CA10-CA14</f>
        <v>758.923</v>
      </c>
      <c r="CB16" s="290">
        <f>CB10-CB14</f>
        <v>607.548</v>
      </c>
      <c r="CC16" s="290">
        <f>CC10-CC14</f>
        <v>859.80899999999974</v>
      </c>
      <c r="CD16" s="290"/>
      <c r="CE16" s="290">
        <f>CE10-CE14</f>
        <v>664.22</v>
      </c>
      <c r="CF16" s="290">
        <f>CF10-CF14</f>
        <v>823.83499999999981</v>
      </c>
      <c r="CG16" s="290">
        <f>CG10-CG14</f>
        <v>711.98</v>
      </c>
      <c r="CH16" s="290">
        <f>CH10-CH14</f>
        <v>1006.7139999999999</v>
      </c>
      <c r="CI16" s="290"/>
      <c r="CJ16" s="290">
        <f>CJ10-CJ14</f>
        <v>739.12000000000012</v>
      </c>
      <c r="CK16" s="290">
        <f>CK10-CK14</f>
        <v>875.57799999999997</v>
      </c>
      <c r="CL16" s="290">
        <f>CL10-CL14</f>
        <v>741.93799999999987</v>
      </c>
      <c r="CM16" s="290">
        <f>CM10-CM14</f>
        <v>945</v>
      </c>
      <c r="CN16" s="290"/>
      <c r="CO16" s="290">
        <f>CO10-CO14</f>
        <v>700</v>
      </c>
      <c r="CP16" s="290">
        <f>CP10-CP14</f>
        <v>799</v>
      </c>
      <c r="CQ16" s="290">
        <f>CQ10-CQ14</f>
        <v>626.51700000000005</v>
      </c>
      <c r="CR16" s="290">
        <f>CR10-CR14</f>
        <v>736</v>
      </c>
      <c r="CS16" s="290"/>
      <c r="CT16" s="290">
        <f>CT10-CT14</f>
        <v>599</v>
      </c>
      <c r="CU16" s="290">
        <f>CU10-CU14</f>
        <v>727</v>
      </c>
      <c r="CV16" s="290">
        <f>CV10-CV14</f>
        <v>658</v>
      </c>
      <c r="CW16" s="290">
        <f>CW10-CW14</f>
        <v>946</v>
      </c>
      <c r="CX16" s="290"/>
      <c r="CY16" s="290">
        <f>CY10-CY14</f>
        <v>747</v>
      </c>
      <c r="CZ16" s="290">
        <f>CZ10-CZ14</f>
        <v>852</v>
      </c>
      <c r="DA16" s="290">
        <f>DA10-DA14</f>
        <v>756</v>
      </c>
      <c r="DB16" s="290">
        <f>DB10-DB14</f>
        <v>1058</v>
      </c>
      <c r="DC16" s="290"/>
      <c r="DD16" s="290">
        <f>DD10-DD14</f>
        <v>844</v>
      </c>
      <c r="DE16" s="290">
        <f>DE10-DE14</f>
        <v>993</v>
      </c>
      <c r="DF16" s="290">
        <f>DF10-DF14</f>
        <v>872</v>
      </c>
      <c r="DG16" s="290">
        <f>DG10-DG14</f>
        <v>1196</v>
      </c>
      <c r="DH16" s="290"/>
      <c r="DI16" s="290">
        <f>DI10-DI14</f>
        <v>951</v>
      </c>
      <c r="DJ16" s="290">
        <f>DJ10-DJ14</f>
        <v>1039</v>
      </c>
      <c r="DK16" s="290">
        <f>DK10-DK14</f>
        <v>983</v>
      </c>
      <c r="DL16" s="290">
        <f>DL10-DL14</f>
        <v>1357</v>
      </c>
      <c r="DM16" s="290"/>
      <c r="DN16" s="290">
        <f>DN10-DN14</f>
        <v>984</v>
      </c>
      <c r="DO16" s="290">
        <f>DO10-DO14</f>
        <v>1100</v>
      </c>
      <c r="DP16" s="290">
        <f>DP10-DP14</f>
        <v>1000</v>
      </c>
      <c r="DQ16" s="290">
        <f>DQ10-DQ14</f>
        <v>1345</v>
      </c>
      <c r="DR16" s="290"/>
      <c r="DS16" s="290">
        <f>DS10-DS14</f>
        <v>1015</v>
      </c>
      <c r="DT16" s="290">
        <f>DT10-DT14</f>
        <v>1166</v>
      </c>
      <c r="DU16" s="290">
        <f>DU10-DU14</f>
        <v>1079</v>
      </c>
      <c r="DV16" s="290">
        <f>DV10-DV14</f>
        <v>1444</v>
      </c>
      <c r="DW16" s="290"/>
      <c r="DX16" s="290">
        <f>DX10-DX14</f>
        <v>1116</v>
      </c>
      <c r="DY16" s="290">
        <f>DY10-DY14</f>
        <v>1271</v>
      </c>
      <c r="DZ16" s="290">
        <f>DZ10-DZ14</f>
        <v>1097</v>
      </c>
      <c r="EA16" s="290">
        <f>EA10-EA14</f>
        <v>1443</v>
      </c>
      <c r="EB16" s="290"/>
      <c r="EC16" s="290">
        <f>EC10-EC14</f>
        <v>1092</v>
      </c>
      <c r="ED16" s="290">
        <f>ED10-ED14</f>
        <v>1234</v>
      </c>
      <c r="EE16" s="290">
        <f>EE10-EE14</f>
        <v>1211</v>
      </c>
      <c r="EF16" s="290">
        <f>EF10-EF14</f>
        <v>1523</v>
      </c>
      <c r="EG16" s="249"/>
      <c r="EH16" s="290">
        <f>EH10-EH14</f>
        <v>1124</v>
      </c>
      <c r="EI16" s="290">
        <f>EI10-EI14</f>
        <v>1266</v>
      </c>
      <c r="EJ16" s="290">
        <f>EJ10-EJ14</f>
        <v>1226</v>
      </c>
      <c r="EK16" s="290">
        <f>EK10-EK14</f>
        <v>1631</v>
      </c>
      <c r="EL16" s="290"/>
      <c r="EM16" s="1267">
        <f>EM10-EM14</f>
        <v>1168.6997086538463</v>
      </c>
      <c r="EN16" s="1267">
        <f>EN10-EN14</f>
        <v>1365.0261432772277</v>
      </c>
      <c r="EO16" s="1267">
        <f>EO10-EO14</f>
        <v>1238.2906508333331</v>
      </c>
      <c r="EP16" s="1267">
        <f>EP10-EP14</f>
        <v>1549.1140606557378</v>
      </c>
      <c r="EQ16" s="290"/>
      <c r="ER16" s="277"/>
      <c r="ES16" s="292">
        <f t="shared" ref="ES16:FT16" si="4">ES10-ES14</f>
        <v>893.654</v>
      </c>
      <c r="ET16" s="292">
        <f t="shared" si="4"/>
        <v>1010.3830000000003</v>
      </c>
      <c r="EU16" s="292">
        <f t="shared" si="4"/>
        <v>1082.8860000000004</v>
      </c>
      <c r="EV16" s="292">
        <f t="shared" si="4"/>
        <v>1120.634</v>
      </c>
      <c r="EW16" s="292">
        <f t="shared" si="4"/>
        <v>1294.9250000000002</v>
      </c>
      <c r="EX16" s="292">
        <f t="shared" si="4"/>
        <v>1307.2479999999996</v>
      </c>
      <c r="EY16" s="292">
        <f t="shared" si="4"/>
        <v>1371.0259999999998</v>
      </c>
      <c r="EZ16" s="292">
        <f t="shared" si="4"/>
        <v>1555.8109999999997</v>
      </c>
      <c r="FA16" s="292">
        <f t="shared" si="4"/>
        <v>1682.9450000000002</v>
      </c>
      <c r="FB16" s="292">
        <f t="shared" si="4"/>
        <v>1789.2399999999998</v>
      </c>
      <c r="FC16" s="292">
        <f t="shared" si="4"/>
        <v>1879.0210000000006</v>
      </c>
      <c r="FD16" s="292">
        <f t="shared" si="4"/>
        <v>1868.2710000000002</v>
      </c>
      <c r="FE16" s="292">
        <f t="shared" si="4"/>
        <v>1974.634</v>
      </c>
      <c r="FF16" s="292">
        <f t="shared" si="4"/>
        <v>2233.1769999999988</v>
      </c>
      <c r="FG16" s="292">
        <f t="shared" si="4"/>
        <v>2572.0249999999996</v>
      </c>
      <c r="FH16" s="292">
        <f t="shared" si="4"/>
        <v>2834.588999999999</v>
      </c>
      <c r="FI16" s="291">
        <f t="shared" si="4"/>
        <v>3206.7489999999998</v>
      </c>
      <c r="FJ16" s="291">
        <f t="shared" si="4"/>
        <v>3301.6360000000004</v>
      </c>
      <c r="FK16" s="292">
        <f t="shared" si="4"/>
        <v>2861.5169999999998</v>
      </c>
      <c r="FL16" s="292">
        <f t="shared" si="4"/>
        <v>2930</v>
      </c>
      <c r="FM16" s="291">
        <f>FM10-FM14</f>
        <v>3413</v>
      </c>
      <c r="FN16" s="292">
        <f t="shared" si="4"/>
        <v>3905</v>
      </c>
      <c r="FO16" s="292">
        <f t="shared" si="4"/>
        <v>4330</v>
      </c>
      <c r="FP16" s="292">
        <f t="shared" si="4"/>
        <v>4429</v>
      </c>
      <c r="FQ16" s="292">
        <f t="shared" si="4"/>
        <v>4704</v>
      </c>
      <c r="FR16" s="292">
        <f t="shared" si="4"/>
        <v>4927</v>
      </c>
      <c r="FS16" s="292">
        <f t="shared" si="4"/>
        <v>5060</v>
      </c>
      <c r="FT16" s="292">
        <f t="shared" si="4"/>
        <v>5247</v>
      </c>
      <c r="FU16" s="292">
        <f>FU10-FU14</f>
        <v>5321.1305634201453</v>
      </c>
      <c r="FV16" s="292">
        <f>FV10-FV14</f>
        <v>5442.3331654934427</v>
      </c>
      <c r="FW16" s="293">
        <f>FW10-FW14</f>
        <v>5533.3045713899264</v>
      </c>
      <c r="FX16" s="292">
        <f>FX10-FX14</f>
        <v>5618.0054628959861</v>
      </c>
      <c r="FY16" s="1274">
        <f>FY10-FY14</f>
        <v>5684.0759489405209</v>
      </c>
      <c r="FZ16" s="292"/>
      <c r="GA16" s="292"/>
      <c r="GB16" s="292"/>
      <c r="GC16" s="292"/>
      <c r="GD16" s="292"/>
    </row>
    <row r="17" spans="1:186" x14ac:dyDescent="0.2">
      <c r="A17" s="288" t="s">
        <v>351</v>
      </c>
      <c r="B17" s="289"/>
      <c r="C17" s="290"/>
      <c r="D17" s="290"/>
      <c r="E17" s="290"/>
      <c r="F17" s="290"/>
      <c r="G17" s="290"/>
      <c r="H17" s="290"/>
      <c r="I17" s="290"/>
      <c r="J17" s="290"/>
      <c r="K17" s="290"/>
      <c r="L17" s="290"/>
      <c r="M17" s="290"/>
      <c r="N17" s="290"/>
      <c r="O17" s="290"/>
      <c r="P17" s="290"/>
      <c r="Q17" s="290"/>
      <c r="R17" s="290"/>
      <c r="S17" s="290"/>
      <c r="T17" s="290"/>
      <c r="U17" s="290"/>
      <c r="V17" s="290"/>
      <c r="W17" s="290"/>
      <c r="X17" s="290"/>
      <c r="Y17" s="290"/>
      <c r="Z17" s="290"/>
      <c r="AA17" s="290"/>
      <c r="AB17" s="290"/>
      <c r="AC17" s="290"/>
      <c r="AD17" s="290"/>
      <c r="AE17" s="290"/>
      <c r="AF17" s="290"/>
      <c r="AG17" s="290"/>
      <c r="AH17" s="290"/>
      <c r="AI17" s="290"/>
      <c r="AJ17" s="290"/>
      <c r="AK17" s="290"/>
      <c r="AL17" s="290"/>
      <c r="AM17" s="290"/>
      <c r="AN17" s="290"/>
      <c r="AO17" s="290"/>
      <c r="AP17" s="290"/>
      <c r="AQ17" s="290"/>
      <c r="AR17" s="290"/>
      <c r="AS17" s="290"/>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c r="BW17" s="290"/>
      <c r="BX17" s="290"/>
      <c r="BY17" s="290"/>
      <c r="BZ17" s="290"/>
      <c r="CA17" s="290"/>
      <c r="CB17" s="290"/>
      <c r="CC17" s="290"/>
      <c r="CD17" s="290"/>
      <c r="CE17" s="294">
        <f>INDEX('qtrP&amp;L'!$60:$60,MATCH(CE$7,'qtrP&amp;L'!$6:$6,0))</f>
        <v>0</v>
      </c>
      <c r="CF17" s="294">
        <f>INDEX('qtrP&amp;L'!$61:$61,MATCH(CE$7,'qtrP&amp;L'!$6:$6,0))</f>
        <v>0</v>
      </c>
      <c r="CG17" s="294">
        <f>INDEX('qtrP&amp;L'!$62:$62,MATCH(CE$7,'qtrP&amp;L'!$6:$6,0))</f>
        <v>0</v>
      </c>
      <c r="CH17" s="294">
        <f>INDEX('qtrP&amp;L'!$63:$63,MATCH(CE$7,'qtrP&amp;L'!$6:$6,0))</f>
        <v>0</v>
      </c>
      <c r="CI17" s="290"/>
      <c r="CJ17" s="294">
        <f>INDEX('qtrP&amp;L'!$60:$60,MATCH(CJ$7,'qtrP&amp;L'!$6:$6,0))</f>
        <v>502</v>
      </c>
      <c r="CK17" s="294">
        <f>INDEX('qtrP&amp;L'!$61:$61,MATCH(CJ$7,'qtrP&amp;L'!$6:$6,0))</f>
        <v>587</v>
      </c>
      <c r="CL17" s="294">
        <f>INDEX('qtrP&amp;L'!$62:$62,MATCH(CJ$7,'qtrP&amp;L'!$6:$6,0))</f>
        <v>509</v>
      </c>
      <c r="CM17" s="294">
        <f>INDEX('qtrP&amp;L'!$63:$63,MATCH(CJ$7,'qtrP&amp;L'!$6:$6,0))</f>
        <v>585</v>
      </c>
      <c r="CN17" s="290"/>
      <c r="CO17" s="294">
        <f>INDEX('qtrP&amp;L'!$60:$60,MATCH(CO$7,'qtrP&amp;L'!$6:$6,0))</f>
        <v>493</v>
      </c>
      <c r="CP17" s="294">
        <f>INDEX('qtrP&amp;L'!$61:$61,MATCH(CO$7,'qtrP&amp;L'!$6:$6,0))</f>
        <v>545</v>
      </c>
      <c r="CQ17" s="294">
        <f>INDEX('qtrP&amp;L'!$62:$62,MATCH(CO$7,'qtrP&amp;L'!$6:$6,0))</f>
        <v>495.96600000000001</v>
      </c>
      <c r="CR17" s="294">
        <f>INDEX('qtrP&amp;L'!$63:$63,MATCH(CO$7,'qtrP&amp;L'!$6:$6,0))</f>
        <v>580</v>
      </c>
      <c r="CS17" s="290"/>
      <c r="CT17" s="294">
        <f>INDEX('qtrP&amp;L'!$60:$60,MATCH(CT$7,'qtrP&amp;L'!$6:$6,0))</f>
        <v>447</v>
      </c>
      <c r="CU17" s="294">
        <f>INDEX('qtrP&amp;L'!$61:$61,MATCH(CT$7,'qtrP&amp;L'!$6:$6,0))</f>
        <v>531</v>
      </c>
      <c r="CV17" s="294">
        <f>INDEX('qtrP&amp;L'!$62:$62,MATCH(CT$7,'qtrP&amp;L'!$6:$6,0))</f>
        <v>500</v>
      </c>
      <c r="CW17" s="294">
        <f>INDEX('qtrP&amp;L'!$63:$63,MATCH(CT$7,'qtrP&amp;L'!$6:$6,0))</f>
        <v>631</v>
      </c>
      <c r="CX17" s="290"/>
      <c r="CY17" s="294">
        <f>INDEX('qtrP&amp;L'!$60:$60,MATCH(CY$7,'qtrP&amp;L'!$6:$6,0))</f>
        <v>533</v>
      </c>
      <c r="CZ17" s="294">
        <f>INDEX('qtrP&amp;L'!$61:$61,MATCH(CY$7,'qtrP&amp;L'!$6:$6,0))</f>
        <v>613</v>
      </c>
      <c r="DA17" s="294">
        <f>INDEX('qtrP&amp;L'!$62:$62,MATCH(CY$7,'qtrP&amp;L'!$6:$6,0))</f>
        <v>569</v>
      </c>
      <c r="DB17" s="294">
        <f>INDEX('qtrP&amp;L'!$63:$63,MATCH(CY$7,'qtrP&amp;L'!$6:$6,0))</f>
        <v>697</v>
      </c>
      <c r="DC17" s="290"/>
      <c r="DD17" s="294">
        <f>INDEX('qtrP&amp;L'!$60:$60,MATCH(DD$7,'qtrP&amp;L'!$6:$6,0))</f>
        <v>611</v>
      </c>
      <c r="DE17" s="294">
        <f>INDEX('qtrP&amp;L'!$61:$61,MATCH(DD$7,'qtrP&amp;L'!$6:$6,0))</f>
        <v>708</v>
      </c>
      <c r="DF17" s="294">
        <f>INDEX('qtrP&amp;L'!$62:$62,MATCH(DD$7,'qtrP&amp;L'!$6:$6,0))</f>
        <v>670</v>
      </c>
      <c r="DG17" s="294">
        <f>INDEX('qtrP&amp;L'!$63:$63,MATCH(DD$7,'qtrP&amp;L'!$6:$6,0))</f>
        <v>818</v>
      </c>
      <c r="DH17" s="290"/>
      <c r="DI17" s="294">
        <f>INDEX('qtrP&amp;L'!$60:$60,MATCH(DI$7,'qtrP&amp;L'!$6:$6,0))</f>
        <v>719</v>
      </c>
      <c r="DJ17" s="294">
        <f>INDEX('qtrP&amp;L'!$61:$61,MATCH(DI$7,'qtrP&amp;L'!$6:$6,0))</f>
        <v>778</v>
      </c>
      <c r="DK17" s="294">
        <f>INDEX('qtrP&amp;L'!$62:$62,MATCH(DI$7,'qtrP&amp;L'!$6:$6,0))</f>
        <v>758</v>
      </c>
      <c r="DL17" s="294">
        <f>INDEX('qtrP&amp;L'!$63:$63,MATCH(DI$7,'qtrP&amp;L'!$6:$6,0))</f>
        <v>917</v>
      </c>
      <c r="DM17" s="290"/>
      <c r="DN17" s="294">
        <f>INDEX('qtrP&amp;L'!$60:$60,MATCH(DN$7,'qtrP&amp;L'!$6:$6,0))</f>
        <v>754</v>
      </c>
      <c r="DO17" s="294">
        <f>INDEX('qtrP&amp;L'!$61:$61,MATCH(DN$7,'qtrP&amp;L'!$6:$6,0))</f>
        <v>807</v>
      </c>
      <c r="DP17" s="294">
        <f>INDEX('qtrP&amp;L'!$62:$62,MATCH(DN$7,'qtrP&amp;L'!$6:$6,0))</f>
        <v>793</v>
      </c>
      <c r="DQ17" s="294">
        <f>INDEX('qtrP&amp;L'!$63:$63,MATCH(DN$7,'qtrP&amp;L'!$6:$6,0))</f>
        <v>918</v>
      </c>
      <c r="DR17" s="290"/>
      <c r="DS17" s="294">
        <f>INDEX('qtrP&amp;L'!$60:$60,MATCH(DS$7,'qtrP&amp;L'!$6:$6,0))</f>
        <v>793</v>
      </c>
      <c r="DT17" s="294">
        <f>INDEX('qtrP&amp;L'!$61:$61,MATCH(DS$7,'qtrP&amp;L'!$6:$6,0))</f>
        <v>889</v>
      </c>
      <c r="DU17" s="294">
        <f>INDEX('qtrP&amp;L'!$62:$62,MATCH(DS$7,'qtrP&amp;L'!$6:$6,0))</f>
        <v>875</v>
      </c>
      <c r="DV17" s="294">
        <f>INDEX('qtrP&amp;L'!$63:$63,MATCH(DS$7,'qtrP&amp;L'!$6:$6,0))</f>
        <v>1032</v>
      </c>
      <c r="DW17" s="294"/>
      <c r="DX17" s="294">
        <f>INDEX('qtrP&amp;L'!$60:$60,MATCH(DX$7,'qtrP&amp;L'!$6:$6,0))</f>
        <v>919</v>
      </c>
      <c r="DY17" s="294">
        <f>INDEX('qtrP&amp;L'!$61:$61,MATCH(DX$7,'qtrP&amp;L'!$6:$6,0))</f>
        <v>999</v>
      </c>
      <c r="DZ17" s="294">
        <f>INDEX('qtrP&amp;L'!$62:$62,MATCH(DX$7,'qtrP&amp;L'!$6:$6,0))</f>
        <v>951</v>
      </c>
      <c r="EA17" s="294">
        <f>INDEX('qtrP&amp;L'!$63:$63,MATCH(DX$7,'qtrP&amp;L'!$6:$6,0))</f>
        <v>1086</v>
      </c>
      <c r="EB17" s="294"/>
      <c r="EC17" s="294">
        <f>INDEX('qtrP&amp;L'!$60:$60,MATCH(EC$7,'qtrP&amp;L'!$6:$6,0))</f>
        <v>1003</v>
      </c>
      <c r="ED17" s="294">
        <f>INDEX('qtrP&amp;L'!$61:$61,MATCH(EC$7,'qtrP&amp;L'!$6:$6,0))</f>
        <v>1030</v>
      </c>
      <c r="EE17" s="294">
        <f>INDEX('qtrP&amp;L'!$62:$62,MATCH(EC$7,'qtrP&amp;L'!$6:$6,0))</f>
        <v>990</v>
      </c>
      <c r="EF17" s="294">
        <f>INDEX('qtrP&amp;L'!$63:$63,MATCH(EC$7,'qtrP&amp;L'!$6:$6,0))</f>
        <v>1130</v>
      </c>
      <c r="EG17" s="249"/>
      <c r="EH17" s="294">
        <f>INDEX('qtrP&amp;L'!$60:$60,MATCH(EH$7,'qtrP&amp;L'!$6:$6,0))</f>
        <v>1010</v>
      </c>
      <c r="EI17" s="294">
        <f>INDEX('qtrP&amp;L'!$61:$61,MATCH(EH$7,'qtrP&amp;L'!$6:$6,0))</f>
        <v>1091</v>
      </c>
      <c r="EJ17" s="294">
        <f>INDEX('qtrP&amp;L'!$62:$62,MATCH(EH$7,'qtrP&amp;L'!$6:$6,0))</f>
        <v>1070</v>
      </c>
      <c r="EK17" s="294">
        <f>INDEX('qtrP&amp;L'!$63:$63,MATCH(EH$7,'qtrP&amp;L'!$6:$6,0))</f>
        <v>1337</v>
      </c>
      <c r="EL17" s="294"/>
      <c r="EM17" s="1268">
        <f>INDEX('qtrP&amp;L'!$60:$60,MATCH(EM$7,'qtrP&amp;L'!$6:$6,0))</f>
        <v>1088.5115534615384</v>
      </c>
      <c r="EN17" s="1268">
        <f>INDEX('qtrP&amp;L'!$61:$61,MATCH(EM$7,'qtrP&amp;L'!$6:$6,0))</f>
        <v>1220.9178114356434</v>
      </c>
      <c r="EO17" s="1268">
        <f>INDEX('qtrP&amp;L'!$62:$62,MATCH(EM$7,'qtrP&amp;L'!$6:$6,0))</f>
        <v>1097.5353106666669</v>
      </c>
      <c r="EP17" s="1268">
        <f>INDEX('qtrP&amp;L'!$63:$63,MATCH(EM$7,'qtrP&amp;L'!$6:$6,0))</f>
        <v>1277.5302491803279</v>
      </c>
      <c r="EQ17" s="294"/>
      <c r="ER17" s="277"/>
      <c r="ES17" s="296">
        <f>'yrP&amp;L'!J25</f>
        <v>0</v>
      </c>
      <c r="ET17" s="296">
        <f>'yrP&amp;L'!K25</f>
        <v>0</v>
      </c>
      <c r="EU17" s="296">
        <f>'yrP&amp;L'!L25</f>
        <v>0</v>
      </c>
      <c r="EV17" s="296">
        <f>'yrP&amp;L'!M25</f>
        <v>0</v>
      </c>
      <c r="EW17" s="296">
        <f>'yrP&amp;L'!N25</f>
        <v>0</v>
      </c>
      <c r="EX17" s="296">
        <f>'yrP&amp;L'!O25</f>
        <v>0</v>
      </c>
      <c r="EY17" s="296">
        <f>'yrP&amp;L'!P25</f>
        <v>0</v>
      </c>
      <c r="EZ17" s="296">
        <f>'yrP&amp;L'!Q25</f>
        <v>0</v>
      </c>
      <c r="FA17" s="296">
        <f>'yrP&amp;L'!R25</f>
        <v>0</v>
      </c>
      <c r="FB17" s="296">
        <f>'yrP&amp;L'!S25</f>
        <v>0</v>
      </c>
      <c r="FC17" s="296">
        <f>'yrP&amp;L'!T25</f>
        <v>0</v>
      </c>
      <c r="FD17" s="296">
        <f>'yrP&amp;L'!U25</f>
        <v>0</v>
      </c>
      <c r="FE17" s="296">
        <f>'yrP&amp;L'!V25</f>
        <v>0</v>
      </c>
      <c r="FF17" s="296">
        <f>'yrP&amp;L'!W25</f>
        <v>0</v>
      </c>
      <c r="FG17" s="296">
        <f>'yrP&amp;L'!X25</f>
        <v>0</v>
      </c>
      <c r="FH17" s="296">
        <f>'yrP&amp;L'!Y25</f>
        <v>0</v>
      </c>
      <c r="FI17" s="295">
        <f>'yrP&amp;L'!Z25</f>
        <v>0</v>
      </c>
      <c r="FJ17" s="295">
        <f>'yrP&amp;L'!AA25</f>
        <v>2183</v>
      </c>
      <c r="FK17" s="296">
        <f>'yrP&amp;L'!AB25</f>
        <v>2113.9659999999999</v>
      </c>
      <c r="FL17" s="296">
        <f>'yrP&amp;L'!AC25</f>
        <v>2109</v>
      </c>
      <c r="FM17" s="295">
        <f>'yrP&amp;L'!AD25</f>
        <v>2412</v>
      </c>
      <c r="FN17" s="296">
        <f>'yrP&amp;L'!AE25</f>
        <v>2807</v>
      </c>
      <c r="FO17" s="296">
        <f>'yrP&amp;L'!AF25</f>
        <v>3172</v>
      </c>
      <c r="FP17" s="296">
        <f>'yrP&amp;L'!AG25</f>
        <v>3272</v>
      </c>
      <c r="FQ17" s="296">
        <f>'yrP&amp;L'!AH25</f>
        <v>3589</v>
      </c>
      <c r="FR17" s="296">
        <f>'yrP&amp;L'!AI25</f>
        <v>3955</v>
      </c>
      <c r="FS17" s="296">
        <f>'yrP&amp;L'!AJ25</f>
        <v>4153</v>
      </c>
      <c r="FT17" s="296">
        <f>'yrP&amp;L'!AK25</f>
        <v>4508</v>
      </c>
      <c r="FU17" s="296">
        <f>'yrP&amp;L'!AL25</f>
        <v>4684.4949247441764</v>
      </c>
      <c r="FV17" s="296">
        <f>'yrP&amp;L'!AM25</f>
        <v>4856.4058281753723</v>
      </c>
      <c r="FW17" s="297">
        <f>'yrP&amp;L'!AN25</f>
        <v>4995.5243847091733</v>
      </c>
      <c r="FX17" s="296">
        <f>'yrP&amp;L'!AO25</f>
        <v>5128.4008509153909</v>
      </c>
      <c r="FY17" s="1275">
        <f>'yrP&amp;L'!AP25</f>
        <v>5233.066059381199</v>
      </c>
      <c r="FZ17" s="292"/>
      <c r="GA17" s="292"/>
      <c r="GB17" s="292"/>
      <c r="GC17" s="292"/>
      <c r="GD17" s="678"/>
    </row>
    <row r="18" spans="1:186" x14ac:dyDescent="0.2">
      <c r="A18" s="288" t="s">
        <v>352</v>
      </c>
      <c r="B18" s="289"/>
      <c r="C18" s="290"/>
      <c r="D18" s="290"/>
      <c r="E18" s="290"/>
      <c r="F18" s="290"/>
      <c r="G18" s="290"/>
      <c r="H18" s="290"/>
      <c r="I18" s="290"/>
      <c r="J18" s="290"/>
      <c r="K18" s="290"/>
      <c r="L18" s="290"/>
      <c r="M18" s="290"/>
      <c r="N18" s="290"/>
      <c r="O18" s="290"/>
      <c r="P18" s="290"/>
      <c r="Q18" s="290"/>
      <c r="R18" s="290"/>
      <c r="S18" s="290"/>
      <c r="T18" s="290"/>
      <c r="U18" s="290"/>
      <c r="V18" s="290"/>
      <c r="W18" s="290"/>
      <c r="X18" s="290"/>
      <c r="Y18" s="290"/>
      <c r="Z18" s="290"/>
      <c r="AA18" s="290"/>
      <c r="AB18" s="290"/>
      <c r="AC18" s="290"/>
      <c r="AD18" s="290"/>
      <c r="AE18" s="290"/>
      <c r="AF18" s="290"/>
      <c r="AG18" s="290"/>
      <c r="AH18" s="290"/>
      <c r="AI18" s="290"/>
      <c r="AJ18" s="290"/>
      <c r="AK18" s="290"/>
      <c r="AL18" s="290"/>
      <c r="AM18" s="290"/>
      <c r="AN18" s="290"/>
      <c r="AO18" s="290"/>
      <c r="AP18" s="290"/>
      <c r="AQ18" s="290"/>
      <c r="AR18" s="290"/>
      <c r="AS18" s="290"/>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c r="BW18" s="290"/>
      <c r="BX18" s="290"/>
      <c r="BY18" s="290"/>
      <c r="BZ18" s="290"/>
      <c r="CA18" s="290"/>
      <c r="CB18" s="290"/>
      <c r="CC18" s="290"/>
      <c r="CD18" s="290"/>
      <c r="CE18" s="290"/>
      <c r="CF18" s="290"/>
      <c r="CG18" s="290"/>
      <c r="CH18" s="290"/>
      <c r="CI18" s="290"/>
      <c r="CJ18" s="294">
        <f>INDEX('qtrP&amp;L'!$70:$70,MATCH(CJ$7,'qtrP&amp;L'!$6:$6,0))</f>
        <v>32</v>
      </c>
      <c r="CK18" s="294">
        <f>INDEX('qtrP&amp;L'!$71:$71,MATCH(CJ$7,'qtrP&amp;L'!$6:$6,0))</f>
        <v>49</v>
      </c>
      <c r="CL18" s="294">
        <f>INDEX('qtrP&amp;L'!$72:$72,MATCH(CJ$7,'qtrP&amp;L'!$6:$6,0))</f>
        <v>44</v>
      </c>
      <c r="CM18" s="294">
        <f>INDEX('qtrP&amp;L'!$73:$73,MATCH(CJ$7,'qtrP&amp;L'!$6:$6,0))</f>
        <v>52</v>
      </c>
      <c r="CN18" s="290"/>
      <c r="CO18" s="294">
        <f>INDEX('qtrP&amp;L'!$70:$70,MATCH(CO$7,'qtrP&amp;L'!$6:$6,0))</f>
        <v>40</v>
      </c>
      <c r="CP18" s="294">
        <f>INDEX('qtrP&amp;L'!$71:$71,MATCH(CO$7,'qtrP&amp;L'!$6:$6,0))</f>
        <v>57</v>
      </c>
      <c r="CQ18" s="294">
        <f>INDEX('qtrP&amp;L'!$72:$72,MATCH(CO$7,'qtrP&amp;L'!$6:$6,0))</f>
        <v>77</v>
      </c>
      <c r="CR18" s="294">
        <f>INDEX('qtrP&amp;L'!$73:$73,MATCH(CO$7,'qtrP&amp;L'!$6:$6,0))</f>
        <v>90</v>
      </c>
      <c r="CS18" s="290"/>
      <c r="CT18" s="294">
        <f>INDEX('qtrP&amp;L'!$70:$70,MATCH(CT$7,'qtrP&amp;L'!$6:$6,0))</f>
        <v>92</v>
      </c>
      <c r="CU18" s="294">
        <f>INDEX('qtrP&amp;L'!$71:$71,MATCH(CT$7,'qtrP&amp;L'!$6:$6,0))</f>
        <v>77</v>
      </c>
      <c r="CV18" s="294">
        <f>INDEX('qtrP&amp;L'!$72:$72,MATCH(CT$7,'qtrP&amp;L'!$6:$6,0))</f>
        <v>81</v>
      </c>
      <c r="CW18" s="294">
        <f>INDEX('qtrP&amp;L'!$73:$73,MATCH(CT$7,'qtrP&amp;L'!$6:$6,0))</f>
        <v>106</v>
      </c>
      <c r="CX18" s="290"/>
      <c r="CY18" s="294">
        <f>INDEX('qtrP&amp;L'!$70:$70,MATCH(CY$7,'qtrP&amp;L'!$6:$6,0))</f>
        <v>92</v>
      </c>
      <c r="CZ18" s="294">
        <f>INDEX('qtrP&amp;L'!$71:$71,MATCH(CY$7,'qtrP&amp;L'!$6:$6,0))</f>
        <v>65</v>
      </c>
      <c r="DA18" s="294">
        <f>INDEX('qtrP&amp;L'!$72:$72,MATCH(CY$7,'qtrP&amp;L'!$6:$6,0))</f>
        <v>61</v>
      </c>
      <c r="DB18" s="294">
        <f>INDEX('qtrP&amp;L'!$73:$73,MATCH(CY$7,'qtrP&amp;L'!$6:$6,0))</f>
        <v>55</v>
      </c>
      <c r="DC18" s="290"/>
      <c r="DD18" s="294">
        <f>INDEX('qtrP&amp;L'!$70:$70,MATCH(DD$7,'qtrP&amp;L'!$6:$6,0))</f>
        <v>55</v>
      </c>
      <c r="DE18" s="294">
        <f>INDEX('qtrP&amp;L'!$71:$71,MATCH(DD$7,'qtrP&amp;L'!$6:$6,0))</f>
        <v>59</v>
      </c>
      <c r="DF18" s="294">
        <f>INDEX('qtrP&amp;L'!$72:$72,MATCH(DD$7,'qtrP&amp;L'!$6:$6,0))</f>
        <v>57</v>
      </c>
      <c r="DG18" s="294">
        <f>INDEX('qtrP&amp;L'!$73:$73,MATCH(DD$7,'qtrP&amp;L'!$6:$6,0))</f>
        <v>58</v>
      </c>
      <c r="DH18" s="290"/>
      <c r="DI18" s="294">
        <f>INDEX('qtrP&amp;L'!$70:$70,MATCH(DI$7,'qtrP&amp;L'!$6:$6,0))</f>
        <v>43</v>
      </c>
      <c r="DJ18" s="294">
        <f>INDEX('qtrP&amp;L'!$71:$71,MATCH(DI$7,'qtrP&amp;L'!$6:$6,0))</f>
        <v>60</v>
      </c>
      <c r="DK18" s="294">
        <f>INDEX('qtrP&amp;L'!$72:$72,MATCH(DI$7,'qtrP&amp;L'!$6:$6,0))</f>
        <v>41</v>
      </c>
      <c r="DL18" s="294">
        <f>INDEX('qtrP&amp;L'!$73:$73,MATCH(DI$7,'qtrP&amp;L'!$6:$6,0))</f>
        <v>46</v>
      </c>
      <c r="DM18" s="290"/>
      <c r="DN18" s="294">
        <f>INDEX('qtrP&amp;L'!$70:$70,MATCH(DN$7,'qtrP&amp;L'!$6:$6,0))</f>
        <v>47</v>
      </c>
      <c r="DO18" s="294">
        <f>INDEX('qtrP&amp;L'!$71:$71,MATCH(DN$7,'qtrP&amp;L'!$6:$6,0))</f>
        <v>52</v>
      </c>
      <c r="DP18" s="294">
        <f>INDEX('qtrP&amp;L'!$72:$72,MATCH(DN$7,'qtrP&amp;L'!$6:$6,0))</f>
        <v>45</v>
      </c>
      <c r="DQ18" s="294">
        <f>INDEX('qtrP&amp;L'!$73:$73,MATCH(DN$7,'qtrP&amp;L'!$6:$6,0))</f>
        <v>38</v>
      </c>
      <c r="DR18" s="290"/>
      <c r="DS18" s="294">
        <f t="array" ref="DS18:DV18">TRANSPOSE('qtrP&amp;L'!CV70:CV73)</f>
        <v>53</v>
      </c>
      <c r="DT18" s="294">
        <v>43</v>
      </c>
      <c r="DU18" s="294">
        <v>43</v>
      </c>
      <c r="DV18" s="294">
        <v>54</v>
      </c>
      <c r="DW18" s="294"/>
      <c r="DX18" s="294">
        <f t="array" ref="DX18:EA18">TRANSPOSE('qtrP&amp;L'!CZ70:CZ73)</f>
        <v>52</v>
      </c>
      <c r="DY18" s="294">
        <v>50</v>
      </c>
      <c r="DZ18" s="294">
        <v>50</v>
      </c>
      <c r="EA18" s="294">
        <v>36</v>
      </c>
      <c r="EB18" s="294"/>
      <c r="EC18" s="294">
        <f t="array" ref="EC18:EF18">TRANSPOSE('qtrP&amp;L'!DD70:DD73)</f>
        <v>40</v>
      </c>
      <c r="ED18" s="294">
        <v>42</v>
      </c>
      <c r="EE18" s="294">
        <v>39</v>
      </c>
      <c r="EF18" s="294">
        <v>42</v>
      </c>
      <c r="EG18" s="249"/>
      <c r="EH18" s="294">
        <f t="array" ref="EH18:EK18">TRANSPOSE('qtrP&amp;L'!DH70:DH73)</f>
        <v>38</v>
      </c>
      <c r="EI18" s="294">
        <v>36</v>
      </c>
      <c r="EJ18" s="294">
        <v>40</v>
      </c>
      <c r="EK18" s="294">
        <v>46</v>
      </c>
      <c r="EL18" s="294"/>
      <c r="EM18" s="1268">
        <f t="array" ref="EM18:EP18">TRANSPOSE('qtrP&amp;L'!DM70:DM73)</f>
        <v>49.696969696969695</v>
      </c>
      <c r="EN18" s="1268">
        <v>49.043062200956932</v>
      </c>
      <c r="EO18" s="1268">
        <v>41.322314049586772</v>
      </c>
      <c r="EP18" s="1268">
        <v>37.433155080213901</v>
      </c>
      <c r="EQ18" s="294"/>
      <c r="ER18" s="277"/>
      <c r="ES18" s="296">
        <f>'yrP&amp;L'!J29</f>
        <v>0</v>
      </c>
      <c r="ET18" s="296">
        <f>'yrP&amp;L'!K29</f>
        <v>0</v>
      </c>
      <c r="EU18" s="296">
        <f>'yrP&amp;L'!L29</f>
        <v>0</v>
      </c>
      <c r="EV18" s="296">
        <f>'yrP&amp;L'!M29</f>
        <v>0</v>
      </c>
      <c r="EW18" s="296">
        <f>'yrP&amp;L'!N29</f>
        <v>0</v>
      </c>
      <c r="EX18" s="296">
        <f>'yrP&amp;L'!O29</f>
        <v>0</v>
      </c>
      <c r="EY18" s="296">
        <f>'yrP&amp;L'!P29</f>
        <v>0</v>
      </c>
      <c r="EZ18" s="296">
        <f>'yrP&amp;L'!Q29</f>
        <v>0</v>
      </c>
      <c r="FA18" s="296">
        <f>'yrP&amp;L'!R29</f>
        <v>0</v>
      </c>
      <c r="FB18" s="296">
        <f>'yrP&amp;L'!S29</f>
        <v>0</v>
      </c>
      <c r="FC18" s="296">
        <f>'yrP&amp;L'!T29</f>
        <v>0</v>
      </c>
      <c r="FD18" s="296">
        <f>'yrP&amp;L'!U29</f>
        <v>0</v>
      </c>
      <c r="FE18" s="296">
        <f>'yrP&amp;L'!V29</f>
        <v>0</v>
      </c>
      <c r="FF18" s="296">
        <f>'yrP&amp;L'!W29</f>
        <v>0</v>
      </c>
      <c r="FG18" s="296">
        <f>'yrP&amp;L'!X29</f>
        <v>0</v>
      </c>
      <c r="FH18" s="296">
        <f>'yrP&amp;L'!Y29</f>
        <v>0</v>
      </c>
      <c r="FI18" s="295">
        <f>'yrP&amp;L'!Z29</f>
        <v>0</v>
      </c>
      <c r="FJ18" s="295">
        <f>'yrP&amp;L'!AA29</f>
        <v>177</v>
      </c>
      <c r="FK18" s="296">
        <f>'yrP&amp;L'!AB29</f>
        <v>274</v>
      </c>
      <c r="FL18" s="296">
        <f>'yrP&amp;L'!AC29</f>
        <v>356</v>
      </c>
      <c r="FM18" s="295">
        <f>'yrP&amp;L'!AD29</f>
        <v>273</v>
      </c>
      <c r="FN18" s="296">
        <f>'yrP&amp;L'!AE29</f>
        <v>229</v>
      </c>
      <c r="FO18" s="296">
        <f>'yrP&amp;L'!AF29</f>
        <v>190</v>
      </c>
      <c r="FP18" s="296">
        <f>'yrP&amp;L'!AG29</f>
        <v>182</v>
      </c>
      <c r="FQ18" s="296">
        <f>'yrP&amp;L'!AH29</f>
        <v>193</v>
      </c>
      <c r="FR18" s="296">
        <f>'yrP&amp;L'!AI29</f>
        <v>188</v>
      </c>
      <c r="FS18" s="296">
        <f>'yrP&amp;L'!AJ29</f>
        <v>163</v>
      </c>
      <c r="FT18" s="296">
        <f>'yrP&amp;L'!AK29</f>
        <v>160</v>
      </c>
      <c r="FU18" s="296">
        <f>'yrP&amp;L'!AL29</f>
        <v>164</v>
      </c>
      <c r="FV18" s="296">
        <f>'yrP&amp;L'!AM29</f>
        <v>176.29999999999998</v>
      </c>
      <c r="FW18" s="297">
        <f>'yrP&amp;L'!AN29</f>
        <v>189.52249999999998</v>
      </c>
      <c r="FX18" s="296">
        <f>'yrP&amp;L'!AO29</f>
        <v>202.789075</v>
      </c>
      <c r="FY18" s="1275">
        <f>'yrP&amp;L'!AP29</f>
        <v>217.99825562499996</v>
      </c>
      <c r="FZ18" s="292"/>
      <c r="GA18" s="292"/>
      <c r="GB18" s="678"/>
      <c r="GC18" s="292"/>
      <c r="GD18" s="678"/>
    </row>
    <row r="19" spans="1:186" x14ac:dyDescent="0.2">
      <c r="A19" s="288" t="s">
        <v>474</v>
      </c>
      <c r="B19" s="298"/>
      <c r="C19" s="294">
        <f>INDEX('qtrP&amp;L'!$50:$50,MATCH(C$7,'qtrP&amp;L'!$6:$6,0))</f>
        <v>163.19999999999999</v>
      </c>
      <c r="D19" s="294">
        <f>INDEX('qtrP&amp;L'!$51:$51,MATCH(C$7,'qtrP&amp;L'!$6:$6,0))</f>
        <v>200.7</v>
      </c>
      <c r="E19" s="294">
        <f>INDEX('qtrP&amp;L'!$52:$52,MATCH(C$7,'qtrP&amp;L'!$6:$6,0))</f>
        <v>177.8</v>
      </c>
      <c r="F19" s="294">
        <f>INDEX('qtrP&amp;L'!$53:$53,MATCH(C$7,'qtrP&amp;L'!$6:$6,0))</f>
        <v>206.07</v>
      </c>
      <c r="G19" s="294"/>
      <c r="H19" s="294">
        <f>INDEX('qtrP&amp;L'!$50:$50,MATCH(H$7,'qtrP&amp;L'!$6:$6,0))</f>
        <v>168.83</v>
      </c>
      <c r="I19" s="294">
        <f>INDEX('qtrP&amp;L'!$51:$51,MATCH(H$7,'qtrP&amp;L'!$6:$6,0))</f>
        <v>221.18299999999999</v>
      </c>
      <c r="J19" s="294">
        <f>INDEX('qtrP&amp;L'!$52:$52,MATCH(H$7,'qtrP&amp;L'!$6:$6,0))</f>
        <v>203.40100000000001</v>
      </c>
      <c r="K19" s="294">
        <f>INDEX('qtrP&amp;L'!$53:$53,MATCH(H$7,'qtrP&amp;L'!$6:$6,0))</f>
        <v>238.09100000000001</v>
      </c>
      <c r="L19" s="294"/>
      <c r="M19" s="294">
        <f>INDEX('qtrP&amp;L'!$50:$50,MATCH(M$7,'qtrP&amp;L'!$6:$6,0))</f>
        <v>188.77600000000001</v>
      </c>
      <c r="N19" s="294">
        <f>INDEX('qtrP&amp;L'!$51:$51,MATCH(M$7,'qtrP&amp;L'!$6:$6,0))</f>
        <v>242.172</v>
      </c>
      <c r="O19" s="294">
        <f>INDEX('qtrP&amp;L'!$52:$52,MATCH(M$7,'qtrP&amp;L'!$6:$6,0))</f>
        <v>213.428</v>
      </c>
      <c r="P19" s="294">
        <f>INDEX('qtrP&amp;L'!$53:$53,MATCH(M$7,'qtrP&amp;L'!$6:$6,0))</f>
        <v>257.721</v>
      </c>
      <c r="Q19" s="294"/>
      <c r="R19" s="294">
        <f>INDEX('qtrP&amp;L'!$50:$50,MATCH(R$7,'qtrP&amp;L'!$6:$6,0))</f>
        <v>208.19900000000001</v>
      </c>
      <c r="S19" s="294">
        <f>INDEX('qtrP&amp;L'!$51:$51,MATCH(R$7,'qtrP&amp;L'!$6:$6,0))</f>
        <v>248.33099999999999</v>
      </c>
      <c r="T19" s="294">
        <f>INDEX('qtrP&amp;L'!$52:$52,MATCH(R$7,'qtrP&amp;L'!$6:$6,0))</f>
        <v>216.33</v>
      </c>
      <c r="U19" s="294">
        <f>INDEX('qtrP&amp;L'!$53:$53,MATCH(R$7,'qtrP&amp;L'!$6:$6,0))</f>
        <v>267.71899999999999</v>
      </c>
      <c r="V19" s="294"/>
      <c r="W19" s="294">
        <f>INDEX('qtrP&amp;L'!$50:$50,MATCH(W$7,'qtrP&amp;L'!$6:$6,0))</f>
        <v>214.864</v>
      </c>
      <c r="X19" s="294">
        <f>INDEX('qtrP&amp;L'!$51:$51,MATCH(W$7,'qtrP&amp;L'!$6:$6,0))</f>
        <v>267.596</v>
      </c>
      <c r="Y19" s="294">
        <f>INDEX('qtrP&amp;L'!$52:$52,MATCH(W$7,'qtrP&amp;L'!$6:$6,0))</f>
        <v>246.30699999999999</v>
      </c>
      <c r="Z19" s="294">
        <f>INDEX('qtrP&amp;L'!$53:$53,MATCH(W$7,'qtrP&amp;L'!$6:$6,0))</f>
        <v>294.58</v>
      </c>
      <c r="AA19" s="294"/>
      <c r="AB19" s="294">
        <f>INDEX('qtrP&amp;L'!$50:$50,MATCH(AB$7,'qtrP&amp;L'!$6:$6,0))</f>
        <v>239.77099999999999</v>
      </c>
      <c r="AC19" s="294">
        <f>INDEX('qtrP&amp;L'!$51:$51,MATCH(AB$7,'qtrP&amp;L'!$6:$6,0))</f>
        <v>299.83800000000002</v>
      </c>
      <c r="AD19" s="294">
        <f>INDEX('qtrP&amp;L'!$52:$52,MATCH(AB$7,'qtrP&amp;L'!$6:$6,0))</f>
        <v>267.55200000000002</v>
      </c>
      <c r="AE19" s="294">
        <f>INDEX('qtrP&amp;L'!$53:$53,MATCH(AB$7,'qtrP&amp;L'!$6:$6,0))</f>
        <v>313.97699999999998</v>
      </c>
      <c r="AF19" s="294"/>
      <c r="AG19" s="294">
        <f>INDEX('qtrP&amp;L'!$50:$50,MATCH(AG$7,'qtrP&amp;L'!$6:$6,0))</f>
        <v>268.78699999999998</v>
      </c>
      <c r="AH19" s="294">
        <f>INDEX('qtrP&amp;L'!$51:$51,MATCH(AG$7,'qtrP&amp;L'!$6:$6,0))</f>
        <v>328.83600000000001</v>
      </c>
      <c r="AI19" s="294">
        <f>INDEX('qtrP&amp;L'!$52:$52,MATCH(AG$7,'qtrP&amp;L'!$6:$6,0))</f>
        <v>288.64400000000001</v>
      </c>
      <c r="AJ19" s="294">
        <f>INDEX('qtrP&amp;L'!$53:$53,MATCH(AG$7,'qtrP&amp;L'!$6:$6,0))</f>
        <v>331.32299999999998</v>
      </c>
      <c r="AK19" s="294"/>
      <c r="AL19" s="294">
        <f>INDEX('qtrP&amp;L'!$50:$50,MATCH(AL$7,'qtrP&amp;L'!$6:$6,0))</f>
        <v>274.28699999999998</v>
      </c>
      <c r="AM19" s="294">
        <f>INDEX('qtrP&amp;L'!$51:$51,MATCH(AL$7,'qtrP&amp;L'!$6:$6,0))</f>
        <v>350.363</v>
      </c>
      <c r="AN19" s="294">
        <f>INDEX('qtrP&amp;L'!$52:$52,MATCH(AL$7,'qtrP&amp;L'!$6:$6,0))</f>
        <v>326.19299999999998</v>
      </c>
      <c r="AO19" s="294">
        <f>INDEX('qtrP&amp;L'!$53:$53,MATCH(AL$7,'qtrP&amp;L'!$6:$6,0))</f>
        <v>372.08600000000001</v>
      </c>
      <c r="AP19" s="294"/>
      <c r="AQ19" s="294">
        <f>INDEX('qtrP&amp;L'!$50:$50,MATCH(AQ$7,'qtrP&amp;L'!$6:$6,0))</f>
        <v>309.26299999999998</v>
      </c>
      <c r="AR19" s="294">
        <f>INDEX('qtrP&amp;L'!$51:$51,MATCH(AQ$7,'qtrP&amp;L'!$6:$6,0))</f>
        <v>379.51</v>
      </c>
      <c r="AS19" s="294">
        <f>INDEX('qtrP&amp;L'!$52:$52,MATCH(AQ$7,'qtrP&amp;L'!$6:$6,0))</f>
        <v>328.23500000000001</v>
      </c>
      <c r="AT19" s="294">
        <f>INDEX('qtrP&amp;L'!$53:$53,MATCH(AQ$7,'qtrP&amp;L'!$6:$6,0))</f>
        <v>388.262</v>
      </c>
      <c r="AU19" s="294"/>
      <c r="AV19" s="294">
        <f>INDEX('qtrP&amp;L'!$50:$50,MATCH(AV$7,'qtrP&amp;L'!$6:$6,0))</f>
        <v>314.38400000000001</v>
      </c>
      <c r="AW19" s="294">
        <f>INDEX('qtrP&amp;L'!$51:$51,MATCH(AV$7,'qtrP&amp;L'!$6:$6,0))</f>
        <v>393.4</v>
      </c>
      <c r="AX19" s="294">
        <f>INDEX('qtrP&amp;L'!$52:$52,MATCH(AV$7,'qtrP&amp;L'!$6:$6,0))</f>
        <v>341.18400000000003</v>
      </c>
      <c r="AY19" s="294">
        <f>INDEX('qtrP&amp;L'!$53:$53,MATCH(AV$7,'qtrP&amp;L'!$6:$6,0))</f>
        <v>474.86799999999999</v>
      </c>
      <c r="AZ19" s="294"/>
      <c r="BA19" s="294">
        <f>INDEX('qtrP&amp;L'!$50:$50,MATCH(BA$7,'qtrP&amp;L'!$6:$6,0))</f>
        <v>371.899</v>
      </c>
      <c r="BB19" s="294">
        <f>INDEX('qtrP&amp;L'!$51:$51,MATCH(BA$7,'qtrP&amp;L'!$6:$6,0))</f>
        <v>436.41800000000001</v>
      </c>
      <c r="BC19" s="294">
        <f>INDEX('qtrP&amp;L'!$52:$52,MATCH(BA$7,'qtrP&amp;L'!$6:$6,0))</f>
        <v>421.19</v>
      </c>
      <c r="BD19" s="294">
        <f>INDEX('qtrP&amp;L'!$53:$53,MATCH(BA$7,'qtrP&amp;L'!$6:$6,0))</f>
        <v>494.34100000000001</v>
      </c>
      <c r="BE19" s="294"/>
      <c r="BF19" s="294">
        <f>INDEX('qtrP&amp;L'!$50:$50,MATCH(BF$7,'qtrP&amp;L'!$6:$6,0))</f>
        <v>396.70600000000002</v>
      </c>
      <c r="BG19" s="294">
        <f>INDEX('qtrP&amp;L'!$51:$51,MATCH(BF$7,'qtrP&amp;L'!$6:$6,0))</f>
        <v>457.44099999999997</v>
      </c>
      <c r="BH19" s="294">
        <f>INDEX('qtrP&amp;L'!$52:$52,MATCH(BF$7,'qtrP&amp;L'!$6:$6,0))</f>
        <v>399.56799999999998</v>
      </c>
      <c r="BI19" s="294">
        <f>INDEX('qtrP&amp;L'!$53:$53,MATCH(BF$7,'qtrP&amp;L'!$6:$6,0))</f>
        <v>468.92</v>
      </c>
      <c r="BJ19" s="294"/>
      <c r="BK19" s="294">
        <f>INDEX('qtrP&amp;L'!$50:$50,MATCH(BK$7,'qtrP&amp;L'!$6:$6,0))</f>
        <v>386.084</v>
      </c>
      <c r="BL19" s="294">
        <f>INDEX('qtrP&amp;L'!$51:$51,MATCH(BK$7,'qtrP&amp;L'!$6:$6,0))</f>
        <v>481.11500000000001</v>
      </c>
      <c r="BM19" s="294">
        <f>INDEX('qtrP&amp;L'!$52:$52,MATCH(BK$7,'qtrP&amp;L'!$6:$6,0))</f>
        <v>434.92099999999999</v>
      </c>
      <c r="BN19" s="294">
        <f>INDEX('qtrP&amp;L'!$53:$53,MATCH(BK$7,'qtrP&amp;L'!$6:$6,0))</f>
        <v>499.18</v>
      </c>
      <c r="BO19" s="294"/>
      <c r="BP19" s="294">
        <f>INDEX('qtrP&amp;L'!$50:$50,MATCH(BP$7,'qtrP&amp;L'!$6:$6,0))</f>
        <v>420.32600000000002</v>
      </c>
      <c r="BQ19" s="294">
        <f>INDEX('qtrP&amp;L'!$51:$51,MATCH(BP$7,'qtrP&amp;L'!$6:$6,0))</f>
        <v>492.3</v>
      </c>
      <c r="BR19" s="294">
        <f>INDEX('qtrP&amp;L'!$52:$52,MATCH(BP$7,'qtrP&amp;L'!$6:$6,0))</f>
        <v>439</v>
      </c>
      <c r="BS19" s="294">
        <f>INDEX('qtrP&amp;L'!$53:$53,MATCH(BP$7,'qtrP&amp;L'!$6:$6,0))</f>
        <v>547.5</v>
      </c>
      <c r="BT19" s="294"/>
      <c r="BU19" s="294">
        <f>INDEX('qtrP&amp;L'!$50:$50,MATCH(BU$7,'qtrP&amp;L'!$6:$6,0))</f>
        <v>452.73399999999998</v>
      </c>
      <c r="BV19" s="294">
        <f>INDEX('qtrP&amp;L'!$51:$51,MATCH(BU$7,'qtrP&amp;L'!$6:$6,0))</f>
        <v>536.23299999999995</v>
      </c>
      <c r="BW19" s="294">
        <f>INDEX('qtrP&amp;L'!$52:$52,MATCH(BU$7,'qtrP&amp;L'!$6:$6,0))</f>
        <v>465.76900000000001</v>
      </c>
      <c r="BX19" s="294">
        <f>INDEX('qtrP&amp;L'!$53:$53,MATCH(BU$7,'qtrP&amp;L'!$6:$6,0))</f>
        <v>565.49699999999996</v>
      </c>
      <c r="BY19" s="294"/>
      <c r="BZ19" s="294">
        <f>INDEX('qtrP&amp;L'!$50:$50,MATCH(BZ$7,'qtrP&amp;L'!$6:$6,0))</f>
        <v>465.42200000000003</v>
      </c>
      <c r="CA19" s="294">
        <f>INDEX('qtrP&amp;L'!$51:$51,MATCH(BZ$7,'qtrP&amp;L'!$6:$6,0))</f>
        <v>551.19600000000003</v>
      </c>
      <c r="CB19" s="294">
        <f>INDEX('qtrP&amp;L'!$52:$52,MATCH(BZ$7,'qtrP&amp;L'!$6:$6,0))</f>
        <v>481.76799999999997</v>
      </c>
      <c r="CC19" s="294">
        <f>INDEX('qtrP&amp;L'!$53:$53,MATCH(BZ$7,'qtrP&amp;L'!$6:$6,0))</f>
        <v>602.28</v>
      </c>
      <c r="CD19" s="294"/>
      <c r="CE19" s="294">
        <f>INDEX('qtrP&amp;L'!$50:$50,MATCH(CE$7,'qtrP&amp;L'!$6:$6,0))</f>
        <v>494.22</v>
      </c>
      <c r="CF19" s="294">
        <f>INDEX('qtrP&amp;L'!$51:$51,MATCH(CE$7,'qtrP&amp;L'!$6:$6,0))</f>
        <v>579.55200000000002</v>
      </c>
      <c r="CG19" s="294">
        <f>INDEX('qtrP&amp;L'!$52:$52,MATCH(CE$7,'qtrP&amp;L'!$6:$6,0))</f>
        <v>538.21</v>
      </c>
      <c r="CH19" s="294">
        <f>INDEX('qtrP&amp;L'!$53:$53,MATCH(CE$7,'qtrP&amp;L'!$6:$6,0))</f>
        <v>684.88099999999997</v>
      </c>
      <c r="CI19" s="294"/>
      <c r="CJ19" s="294">
        <f>INDEX('qtrP&amp;L'!$50:$50,MATCH(CJ$7,'qtrP&amp;L'!$6:$6,0))</f>
        <v>534</v>
      </c>
      <c r="CK19" s="294">
        <f>INDEX('qtrP&amp;L'!$51:$51,MATCH(CJ$7,'qtrP&amp;L'!$6:$6,0))</f>
        <v>636</v>
      </c>
      <c r="CL19" s="294">
        <f>INDEX('qtrP&amp;L'!$52:$52,MATCH(CJ$7,'qtrP&amp;L'!$6:$6,0))</f>
        <v>553</v>
      </c>
      <c r="CM19" s="294">
        <f>INDEX('qtrP&amp;L'!$53:$53,MATCH(CJ$7,'qtrP&amp;L'!$6:$6,0))</f>
        <v>637</v>
      </c>
      <c r="CN19" s="294"/>
      <c r="CO19" s="294">
        <f>INDEX('qtrP&amp;L'!$50:$50,MATCH(CO$7,'qtrP&amp;L'!$6:$6,0))</f>
        <v>533</v>
      </c>
      <c r="CP19" s="294">
        <f>INDEX('qtrP&amp;L'!$51:$51,MATCH(CO$7,'qtrP&amp;L'!$6:$6,0))</f>
        <v>602</v>
      </c>
      <c r="CQ19" s="294">
        <f>INDEX('qtrP&amp;L'!$52:$52,MATCH(CO$7,'qtrP&amp;L'!$6:$6,0))</f>
        <v>572.96600000000001</v>
      </c>
      <c r="CR19" s="294">
        <f>INDEX('qtrP&amp;L'!$53:$53,MATCH(CO$7,'qtrP&amp;L'!$6:$6,0))</f>
        <v>670</v>
      </c>
      <c r="CS19" s="294"/>
      <c r="CT19" s="294">
        <f>INDEX('qtrP&amp;L'!$50:$50,MATCH(CT$7,'qtrP&amp;L'!$6:$6,0))</f>
        <v>539</v>
      </c>
      <c r="CU19" s="294">
        <f>INDEX('qtrP&amp;L'!$51:$51,MATCH(CT$7,'qtrP&amp;L'!$6:$6,0))</f>
        <v>608</v>
      </c>
      <c r="CV19" s="294">
        <f>INDEX('qtrP&amp;L'!$52:$52,MATCH(CT$7,'qtrP&amp;L'!$6:$6,0))</f>
        <v>581</v>
      </c>
      <c r="CW19" s="294">
        <f>INDEX('qtrP&amp;L'!$53:$53,MATCH(CT$7,'qtrP&amp;L'!$6:$6,0))</f>
        <v>737</v>
      </c>
      <c r="CX19" s="294"/>
      <c r="CY19" s="294">
        <f>INDEX('qtrP&amp;L'!$50:$50,MATCH(CY$7,'qtrP&amp;L'!$6:$6,0))</f>
        <v>625</v>
      </c>
      <c r="CZ19" s="294">
        <f>INDEX('qtrP&amp;L'!$51:$51,MATCH(CY$7,'qtrP&amp;L'!$6:$6,0))</f>
        <v>678</v>
      </c>
      <c r="DA19" s="294">
        <f>INDEX('qtrP&amp;L'!$52:$52,MATCH(CY$7,'qtrP&amp;L'!$6:$6,0))</f>
        <v>630</v>
      </c>
      <c r="DB19" s="294">
        <f>INDEX('qtrP&amp;L'!$53:$53,MATCH(CY$7,'qtrP&amp;L'!$6:$6,0))</f>
        <v>752</v>
      </c>
      <c r="DC19" s="294"/>
      <c r="DD19" s="294">
        <f>INDEX('qtrP&amp;L'!$50:$50,MATCH(DD$7,'qtrP&amp;L'!$6:$6,0))</f>
        <v>666</v>
      </c>
      <c r="DE19" s="294">
        <f>INDEX('qtrP&amp;L'!$51:$51,MATCH(DD$7,'qtrP&amp;L'!$6:$6,0))</f>
        <v>767</v>
      </c>
      <c r="DF19" s="294">
        <f>INDEX('qtrP&amp;L'!$52:$52,MATCH(DD$7,'qtrP&amp;L'!$6:$6,0))</f>
        <v>727</v>
      </c>
      <c r="DG19" s="294">
        <f>INDEX('qtrP&amp;L'!$53:$53,MATCH(DD$7,'qtrP&amp;L'!$6:$6,0))</f>
        <v>876</v>
      </c>
      <c r="DH19" s="294"/>
      <c r="DI19" s="294">
        <f>INDEX('qtrP&amp;L'!$50:$50,MATCH(DI$7,'qtrP&amp;L'!$6:$6,0))</f>
        <v>761</v>
      </c>
      <c r="DJ19" s="294">
        <f>INDEX('qtrP&amp;L'!$51:$51,MATCH(DI$7,'qtrP&amp;L'!$6:$6,0))</f>
        <v>837</v>
      </c>
      <c r="DK19" s="294">
        <f>INDEX('qtrP&amp;L'!$52:$52,MATCH(DI$7,'qtrP&amp;L'!$6:$6,0))</f>
        <v>798</v>
      </c>
      <c r="DL19" s="294">
        <f>INDEX('qtrP&amp;L'!$53:$53,MATCH(DI$7,'qtrP&amp;L'!$6:$6,0))</f>
        <v>961</v>
      </c>
      <c r="DM19" s="294"/>
      <c r="DN19" s="294">
        <f>INDEX('qtrP&amp;L'!$50:$50,MATCH(DN$7,'qtrP&amp;L'!$6:$6,0))</f>
        <v>801</v>
      </c>
      <c r="DO19" s="294">
        <f>INDEX('qtrP&amp;L'!$51:$51,MATCH(DN$7,'qtrP&amp;L'!$6:$6,0))</f>
        <v>857</v>
      </c>
      <c r="DP19" s="294">
        <f>INDEX('qtrP&amp;L'!$52:$52,MATCH(DN$7,'qtrP&amp;L'!$6:$6,0))</f>
        <v>840</v>
      </c>
      <c r="DQ19" s="294">
        <f>INDEX('qtrP&amp;L'!$53:$53,MATCH(DN$7,'qtrP&amp;L'!$6:$6,0))</f>
        <v>955</v>
      </c>
      <c r="DR19" s="294"/>
      <c r="DS19" s="294">
        <f>INDEX('qtrP&amp;L'!$50:$50,MATCH(DS$7,'qtrP&amp;L'!$6:$6,0))</f>
        <v>844</v>
      </c>
      <c r="DT19" s="294">
        <f>INDEX('qtrP&amp;L'!$51:$51,MATCH(DS$7,'qtrP&amp;L'!$6:$6,0))</f>
        <v>931</v>
      </c>
      <c r="DU19" s="294">
        <f>INDEX('qtrP&amp;L'!$52:$52,MATCH(DS$7,'qtrP&amp;L'!$6:$6,0))</f>
        <v>917</v>
      </c>
      <c r="DV19" s="294">
        <f>INDEX('qtrP&amp;L'!$53:$53,MATCH(DS$7,'qtrP&amp;L'!$6:$6,0))</f>
        <v>1084</v>
      </c>
      <c r="DW19" s="294"/>
      <c r="DX19" s="294">
        <f>INDEX('qtrP&amp;L'!$50:$50,MATCH(DX$7,'qtrP&amp;L'!$6:$6,0))</f>
        <v>971</v>
      </c>
      <c r="DY19" s="294">
        <f>INDEX('qtrP&amp;L'!$51:$51,MATCH(DX$7,'qtrP&amp;L'!$6:$6,0))</f>
        <v>1048</v>
      </c>
      <c r="DZ19" s="294">
        <f>INDEX('qtrP&amp;L'!$52:$52,MATCH(DX$7,'qtrP&amp;L'!$6:$6,0))</f>
        <v>999</v>
      </c>
      <c r="EA19" s="294">
        <f>INDEX('qtrP&amp;L'!$53:$53,MATCH(DX$7,'qtrP&amp;L'!$6:$6,0))</f>
        <v>1122</v>
      </c>
      <c r="EB19" s="294"/>
      <c r="EC19" s="294">
        <f>INDEX('qtrP&amp;L'!$50:$50,MATCH(EC$7,'qtrP&amp;L'!$6:$6,0))</f>
        <v>1043</v>
      </c>
      <c r="ED19" s="294">
        <f>INDEX('qtrP&amp;L'!$51:$51,MATCH(EC$7,'qtrP&amp;L'!$6:$6,0))</f>
        <v>1072</v>
      </c>
      <c r="EE19" s="294">
        <f>INDEX('qtrP&amp;L'!$52:$52,MATCH(EC$7,'qtrP&amp;L'!$6:$6,0))</f>
        <v>1029</v>
      </c>
      <c r="EF19" s="294">
        <f>INDEX('qtrP&amp;L'!$53:$53,MATCH(EC$7,'qtrP&amp;L'!$6:$6,0))</f>
        <v>1172</v>
      </c>
      <c r="EG19" s="249"/>
      <c r="EH19" s="294">
        <f>INDEX('qtrP&amp;L'!$50:$50,MATCH(EH$7,'qtrP&amp;L'!$6:$6,0))</f>
        <v>1048</v>
      </c>
      <c r="EI19" s="294">
        <f>INDEX('qtrP&amp;L'!$51:$51,MATCH(EH$7,'qtrP&amp;L'!$6:$6,0))</f>
        <v>1125</v>
      </c>
      <c r="EJ19" s="294">
        <f>INDEX('qtrP&amp;L'!$52:$52,MATCH(EH$7,'qtrP&amp;L'!$6:$6,0))</f>
        <v>1106</v>
      </c>
      <c r="EK19" s="294">
        <f>INDEX('qtrP&amp;L'!$53:$53,MATCH(EH$7,'qtrP&amp;L'!$6:$6,0))</f>
        <v>1383</v>
      </c>
      <c r="EL19" s="294"/>
      <c r="EM19" s="1268">
        <f>INDEX('qtrP&amp;L'!$50:$50,MATCH(EM$7,'qtrP&amp;L'!$6:$6,0))</f>
        <v>1129.5115534615384</v>
      </c>
      <c r="EN19" s="1268">
        <f>INDEX('qtrP&amp;L'!$51:$51,MATCH(EM$7,'qtrP&amp;L'!$6:$6,0))</f>
        <v>1261.9178114356434</v>
      </c>
      <c r="EO19" s="1268">
        <f>INDEX('qtrP&amp;L'!$52:$52,MATCH(EM$7,'qtrP&amp;L'!$6:$6,0))</f>
        <v>1137.5353106666669</v>
      </c>
      <c r="EP19" s="1268">
        <f>INDEX('qtrP&amp;L'!$53:$53,MATCH(EM$7,'qtrP&amp;L'!$6:$6,0))</f>
        <v>1319.5302491803279</v>
      </c>
      <c r="EQ19" s="294"/>
      <c r="ER19" s="277"/>
      <c r="ES19" s="296">
        <f>'yrP&amp;L'!J21</f>
        <v>747.77</v>
      </c>
      <c r="ET19" s="296">
        <f>'yrP&amp;L'!K21</f>
        <v>831.505</v>
      </c>
      <c r="EU19" s="296">
        <f>'yrP&amp;L'!L21</f>
        <v>902.09699999999998</v>
      </c>
      <c r="EV19" s="296">
        <f>'yrP&amp;L'!M21</f>
        <v>940.57899999999995</v>
      </c>
      <c r="EW19" s="296">
        <f>'yrP&amp;L'!N21</f>
        <v>1023.347</v>
      </c>
      <c r="EX19" s="296">
        <f>'yrP&amp;L'!O21</f>
        <v>1121.1379999999999</v>
      </c>
      <c r="EY19" s="296">
        <f>'yrP&amp;L'!P21</f>
        <v>1217.5899999999999</v>
      </c>
      <c r="EZ19" s="296">
        <f>'yrP&amp;L'!Q21</f>
        <v>1322.9290000000001</v>
      </c>
      <c r="FA19" s="296">
        <f>'yrP&amp;L'!R21</f>
        <v>1405.27</v>
      </c>
      <c r="FB19" s="296">
        <f>'yrP&amp;L'!S21</f>
        <v>1523.836</v>
      </c>
      <c r="FC19" s="296">
        <f>'yrP&amp;L'!T21</f>
        <v>1747.048</v>
      </c>
      <c r="FD19" s="296">
        <f>'yrP&amp;L'!U21</f>
        <v>1722.635</v>
      </c>
      <c r="FE19" s="296">
        <f>'yrP&amp;L'!V21</f>
        <v>1783.21</v>
      </c>
      <c r="FF19" s="296">
        <f>'yrP&amp;L'!W21</f>
        <v>1899.126</v>
      </c>
      <c r="FG19" s="296">
        <f>'yrP&amp;L'!X21</f>
        <v>2020.2329999999997</v>
      </c>
      <c r="FH19" s="296">
        <f>'yrP&amp;L'!Y21</f>
        <v>2100.6660000000002</v>
      </c>
      <c r="FI19" s="295">
        <f>'yrP&amp;L'!Z21</f>
        <v>2296.8629999999998</v>
      </c>
      <c r="FJ19" s="295">
        <f>'yrP&amp;L'!AA21</f>
        <v>2360</v>
      </c>
      <c r="FK19" s="296">
        <f>'yrP&amp;L'!AB21</f>
        <v>2387.9659999999999</v>
      </c>
      <c r="FL19" s="296">
        <f>'yrP&amp;L'!AC21</f>
        <v>2465</v>
      </c>
      <c r="FM19" s="295">
        <f>'yrP&amp;L'!AD21</f>
        <v>2685</v>
      </c>
      <c r="FN19" s="296">
        <f>'yrP&amp;L'!AE21</f>
        <v>3036</v>
      </c>
      <c r="FO19" s="296">
        <f>'yrP&amp;L'!AF21</f>
        <v>3357</v>
      </c>
      <c r="FP19" s="296">
        <f>'yrP&amp;L'!AG21</f>
        <v>3453</v>
      </c>
      <c r="FQ19" s="296">
        <f>'yrP&amp;L'!AH21</f>
        <v>3776</v>
      </c>
      <c r="FR19" s="296">
        <f>'yrP&amp;L'!AI21</f>
        <v>4140</v>
      </c>
      <c r="FS19" s="296">
        <f>'yrP&amp;L'!AJ21</f>
        <v>4316</v>
      </c>
      <c r="FT19" s="296">
        <f>'yrP&amp;L'!AK21</f>
        <v>4662</v>
      </c>
      <c r="FU19" s="296">
        <f>'yrP&amp;L'!AL21</f>
        <v>4848.4949247441764</v>
      </c>
      <c r="FV19" s="296">
        <f>'yrP&amp;L'!AM21</f>
        <v>5032.7058281753725</v>
      </c>
      <c r="FW19" s="297">
        <f>'yrP&amp;L'!AN21</f>
        <v>5185.0468847091734</v>
      </c>
      <c r="FX19" s="296">
        <f>'yrP&amp;L'!AO21</f>
        <v>5331.1899259153906</v>
      </c>
      <c r="FY19" s="1275">
        <f>'yrP&amp;L'!AP21</f>
        <v>5451.0643150061987</v>
      </c>
      <c r="FZ19" s="296"/>
      <c r="GA19" s="299"/>
      <c r="GB19" s="296"/>
      <c r="GC19" s="296"/>
      <c r="GD19" s="299"/>
    </row>
    <row r="20" spans="1:186" x14ac:dyDescent="0.2">
      <c r="A20" s="288"/>
      <c r="B20" s="298"/>
      <c r="C20" s="294"/>
      <c r="D20" s="294"/>
      <c r="E20" s="294"/>
      <c r="F20" s="294"/>
      <c r="G20" s="294"/>
      <c r="H20" s="294"/>
      <c r="I20" s="294"/>
      <c r="J20" s="294"/>
      <c r="K20" s="294"/>
      <c r="L20" s="294"/>
      <c r="M20" s="294"/>
      <c r="N20" s="294"/>
      <c r="O20" s="294"/>
      <c r="P20" s="294"/>
      <c r="Q20" s="294"/>
      <c r="R20" s="294"/>
      <c r="S20" s="294"/>
      <c r="T20" s="294"/>
      <c r="U20" s="294"/>
      <c r="V20" s="294"/>
      <c r="W20" s="294"/>
      <c r="X20" s="294"/>
      <c r="Y20" s="294"/>
      <c r="Z20" s="294"/>
      <c r="AA20" s="294"/>
      <c r="AB20" s="294"/>
      <c r="AC20" s="294"/>
      <c r="AD20" s="294"/>
      <c r="AE20" s="294"/>
      <c r="AF20" s="294"/>
      <c r="AG20" s="294"/>
      <c r="AH20" s="294"/>
      <c r="AI20" s="294"/>
      <c r="AJ20" s="294"/>
      <c r="AK20" s="294"/>
      <c r="AL20" s="294"/>
      <c r="AM20" s="294"/>
      <c r="AN20" s="294"/>
      <c r="AO20" s="294"/>
      <c r="AP20" s="294"/>
      <c r="AQ20" s="294"/>
      <c r="AR20" s="294"/>
      <c r="AS20" s="294"/>
      <c r="AT20" s="294"/>
      <c r="AU20" s="294"/>
      <c r="AV20" s="294"/>
      <c r="AW20" s="294"/>
      <c r="AX20" s="294"/>
      <c r="AY20" s="294"/>
      <c r="AZ20" s="294"/>
      <c r="BA20" s="294"/>
      <c r="BB20" s="294"/>
      <c r="BC20" s="294"/>
      <c r="BD20" s="294"/>
      <c r="BE20" s="294"/>
      <c r="BF20" s="294"/>
      <c r="BG20" s="294"/>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94"/>
      <c r="EC20" s="294"/>
      <c r="ED20" s="294"/>
      <c r="EE20" s="294"/>
      <c r="EF20" s="294"/>
      <c r="EG20" s="249"/>
      <c r="EH20" s="294"/>
      <c r="EI20" s="294"/>
      <c r="EJ20" s="294"/>
      <c r="EK20" s="294"/>
      <c r="EL20" s="294"/>
      <c r="EM20" s="1268"/>
      <c r="EN20" s="1268"/>
      <c r="EO20" s="1268"/>
      <c r="EP20" s="1268"/>
      <c r="EQ20" s="294"/>
      <c r="ER20" s="277"/>
      <c r="ES20" s="296"/>
      <c r="ET20" s="296"/>
      <c r="EU20" s="296"/>
      <c r="EV20" s="296"/>
      <c r="EW20" s="296"/>
      <c r="EX20" s="296"/>
      <c r="EY20" s="296"/>
      <c r="EZ20" s="296"/>
      <c r="FA20" s="296"/>
      <c r="FB20" s="296"/>
      <c r="FC20" s="296"/>
      <c r="FD20" s="296"/>
      <c r="FE20" s="296"/>
      <c r="FF20" s="296"/>
      <c r="FG20" s="296"/>
      <c r="FH20" s="296"/>
      <c r="FI20" s="295"/>
      <c r="FJ20" s="295"/>
      <c r="FK20" s="296"/>
      <c r="FL20" s="296"/>
      <c r="FM20" s="295"/>
      <c r="FN20" s="296"/>
      <c r="FO20" s="296"/>
      <c r="FP20" s="296"/>
      <c r="FQ20" s="296"/>
      <c r="FR20" s="296"/>
      <c r="FS20" s="296"/>
      <c r="FT20" s="296"/>
      <c r="FU20" s="296"/>
      <c r="FV20" s="296"/>
      <c r="FW20" s="297"/>
      <c r="FX20" s="296"/>
      <c r="FY20" s="1275"/>
      <c r="FZ20" s="296"/>
      <c r="GA20" s="299"/>
      <c r="GB20" s="296"/>
      <c r="GC20" s="296"/>
      <c r="GD20" s="301"/>
    </row>
    <row r="21" spans="1:186" x14ac:dyDescent="0.2">
      <c r="A21" s="302" t="s">
        <v>532</v>
      </c>
      <c r="B21" s="289"/>
      <c r="C21" s="290"/>
      <c r="D21" s="290"/>
      <c r="E21" s="290"/>
      <c r="F21" s="290"/>
      <c r="G21" s="290"/>
      <c r="H21" s="290"/>
      <c r="I21" s="290"/>
      <c r="J21" s="290"/>
      <c r="K21" s="290"/>
      <c r="L21" s="290"/>
      <c r="M21" s="290"/>
      <c r="N21" s="290"/>
      <c r="O21" s="290"/>
      <c r="P21" s="290"/>
      <c r="Q21" s="290"/>
      <c r="R21" s="290"/>
      <c r="S21" s="290"/>
      <c r="T21" s="290"/>
      <c r="U21" s="290"/>
      <c r="V21" s="290"/>
      <c r="W21" s="290"/>
      <c r="X21" s="290"/>
      <c r="Y21" s="290"/>
      <c r="Z21" s="290"/>
      <c r="AA21" s="290"/>
      <c r="AB21" s="290"/>
      <c r="AC21" s="290"/>
      <c r="AD21" s="290"/>
      <c r="AE21" s="290"/>
      <c r="AF21" s="290"/>
      <c r="AG21" s="290"/>
      <c r="AH21" s="290"/>
      <c r="AI21" s="290"/>
      <c r="AJ21" s="290"/>
      <c r="AK21" s="290"/>
      <c r="AL21" s="290"/>
      <c r="AM21" s="290"/>
      <c r="AN21" s="290"/>
      <c r="AO21" s="290"/>
      <c r="AP21" s="290"/>
      <c r="AQ21" s="290"/>
      <c r="AR21" s="290"/>
      <c r="AS21" s="290"/>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c r="BW21" s="290"/>
      <c r="BX21" s="290"/>
      <c r="BY21" s="290"/>
      <c r="BZ21" s="290"/>
      <c r="CA21" s="290"/>
      <c r="CB21" s="290"/>
      <c r="CC21" s="290"/>
      <c r="CD21" s="290"/>
      <c r="CE21" s="294"/>
      <c r="CF21" s="294"/>
      <c r="CG21" s="294"/>
      <c r="CH21" s="294"/>
      <c r="CI21" s="290"/>
      <c r="CJ21" s="294">
        <f>CJ10-CJ14-CJ17</f>
        <v>237.12000000000012</v>
      </c>
      <c r="CK21" s="294">
        <f>CK10-CK14-CK17</f>
        <v>288.57799999999997</v>
      </c>
      <c r="CL21" s="294">
        <f>CL10-CL14-CL17</f>
        <v>232.93799999999987</v>
      </c>
      <c r="CM21" s="294">
        <f>CM10-CM14-CM17</f>
        <v>360</v>
      </c>
      <c r="CN21" s="290"/>
      <c r="CO21" s="294">
        <f>CO10-CO14-CO17</f>
        <v>207</v>
      </c>
      <c r="CP21" s="294">
        <f>CP10-CP14-CP17</f>
        <v>254</v>
      </c>
      <c r="CQ21" s="294">
        <f>CQ10-CQ14-CQ17</f>
        <v>130.55100000000004</v>
      </c>
      <c r="CR21" s="294">
        <f>CR10-CR14-CR17</f>
        <v>156</v>
      </c>
      <c r="CS21" s="290"/>
      <c r="CT21" s="294">
        <f>CT10-CT14-CT17</f>
        <v>152</v>
      </c>
      <c r="CU21" s="294">
        <f>CU10-CU14-CU17</f>
        <v>196</v>
      </c>
      <c r="CV21" s="294">
        <f>CV10-CV14-CV17</f>
        <v>158</v>
      </c>
      <c r="CW21" s="294">
        <f>CW10-CW14-CW17</f>
        <v>315</v>
      </c>
      <c r="CX21" s="290"/>
      <c r="CY21" s="294">
        <f>CY10-CY14-CY17</f>
        <v>214</v>
      </c>
      <c r="CZ21" s="294">
        <f>CZ10-CZ14-CZ17</f>
        <v>239</v>
      </c>
      <c r="DA21" s="294">
        <f>DA10-DA14-DA17</f>
        <v>187</v>
      </c>
      <c r="DB21" s="294">
        <f>DB10-DB14-DB17</f>
        <v>361</v>
      </c>
      <c r="DC21" s="290"/>
      <c r="DD21" s="294">
        <f>DD10-DD14-DD17</f>
        <v>233</v>
      </c>
      <c r="DE21" s="294">
        <f>DE10-DE14-DE17</f>
        <v>285</v>
      </c>
      <c r="DF21" s="294">
        <f>DF10-DF14-DF17</f>
        <v>202</v>
      </c>
      <c r="DG21" s="294">
        <f>DG10-DG14-DG17</f>
        <v>378</v>
      </c>
      <c r="DH21" s="290"/>
      <c r="DI21" s="294">
        <f>DI10-DI14-DI17</f>
        <v>232</v>
      </c>
      <c r="DJ21" s="294">
        <f>DJ10-DJ14-DJ17</f>
        <v>261</v>
      </c>
      <c r="DK21" s="294">
        <f>DK10-DK14-DK17</f>
        <v>225</v>
      </c>
      <c r="DL21" s="294">
        <f>DL10-DL14-DL17</f>
        <v>440</v>
      </c>
      <c r="DM21" s="290"/>
      <c r="DN21" s="294">
        <f>DN10-DN14-DN17</f>
        <v>230</v>
      </c>
      <c r="DO21" s="294">
        <f>DO10-DO14-DO17</f>
        <v>293</v>
      </c>
      <c r="DP21" s="294">
        <f>DP10-DP14-DP17</f>
        <v>207</v>
      </c>
      <c r="DQ21" s="294">
        <f>DQ10-DQ14-DQ17</f>
        <v>427</v>
      </c>
      <c r="DR21" s="290"/>
      <c r="DS21" s="294">
        <f>DS10-DS14-DS17</f>
        <v>222</v>
      </c>
      <c r="DT21" s="294">
        <f>DT10-DT14-DT17</f>
        <v>277</v>
      </c>
      <c r="DU21" s="294">
        <f>DU10-DU14-DU17</f>
        <v>204</v>
      </c>
      <c r="DV21" s="294">
        <f>DV10-DV14-DV17</f>
        <v>412</v>
      </c>
      <c r="DW21" s="294"/>
      <c r="DX21" s="294">
        <f>DX10-DX14-DX17</f>
        <v>197</v>
      </c>
      <c r="DY21" s="294">
        <f>DY10-DY14-DY17</f>
        <v>272</v>
      </c>
      <c r="DZ21" s="294">
        <f>DZ10-DZ14-DZ17</f>
        <v>146</v>
      </c>
      <c r="EA21" s="294">
        <f>EA10-EA14-EA17</f>
        <v>357</v>
      </c>
      <c r="EB21" s="294"/>
      <c r="EC21" s="294">
        <f>EC10-EC14-EC17</f>
        <v>89</v>
      </c>
      <c r="ED21" s="294">
        <f>ED10-ED14-ED17</f>
        <v>204</v>
      </c>
      <c r="EE21" s="294">
        <f>EE10-EE14-EE17</f>
        <v>221</v>
      </c>
      <c r="EF21" s="294">
        <f>EF10-EF14-EF17</f>
        <v>393</v>
      </c>
      <c r="EG21" s="249"/>
      <c r="EH21" s="294">
        <f>EH10-EH14-EH17</f>
        <v>114</v>
      </c>
      <c r="EI21" s="294">
        <f>EI10-EI14-EI17</f>
        <v>175</v>
      </c>
      <c r="EJ21" s="294">
        <f>EJ10-EJ14-EJ17</f>
        <v>156</v>
      </c>
      <c r="EK21" s="294">
        <f>EK10-EK14-EK17</f>
        <v>294</v>
      </c>
      <c r="EL21" s="294"/>
      <c r="EM21" s="1268">
        <f>EM10-EM14-EM17</f>
        <v>80.188155192307931</v>
      </c>
      <c r="EN21" s="1268">
        <f>EN10-EN14-EN17</f>
        <v>144.10833184158423</v>
      </c>
      <c r="EO21" s="1268">
        <f>EO10-EO14-EO17</f>
        <v>140.7553401666662</v>
      </c>
      <c r="EP21" s="1268">
        <f>EP10-EP14-EP17</f>
        <v>271.5838114754099</v>
      </c>
      <c r="EQ21" s="294"/>
      <c r="ER21" s="277"/>
      <c r="ES21" s="296">
        <f t="shared" ref="ES21:FV21" si="5">ES10-ES14-ES17</f>
        <v>893.654</v>
      </c>
      <c r="ET21" s="296">
        <f t="shared" si="5"/>
        <v>1010.3830000000003</v>
      </c>
      <c r="EU21" s="296">
        <f t="shared" si="5"/>
        <v>1082.8860000000004</v>
      </c>
      <c r="EV21" s="296">
        <f t="shared" si="5"/>
        <v>1120.634</v>
      </c>
      <c r="EW21" s="296">
        <f t="shared" si="5"/>
        <v>1294.9250000000002</v>
      </c>
      <c r="EX21" s="296">
        <f t="shared" si="5"/>
        <v>1307.2479999999996</v>
      </c>
      <c r="EY21" s="296">
        <f t="shared" si="5"/>
        <v>1371.0259999999998</v>
      </c>
      <c r="EZ21" s="296">
        <f t="shared" si="5"/>
        <v>1555.8109999999997</v>
      </c>
      <c r="FA21" s="296">
        <f t="shared" si="5"/>
        <v>1682.9450000000002</v>
      </c>
      <c r="FB21" s="296">
        <f t="shared" si="5"/>
        <v>1789.2399999999998</v>
      </c>
      <c r="FC21" s="296">
        <f t="shared" si="5"/>
        <v>1879.0210000000006</v>
      </c>
      <c r="FD21" s="296">
        <f t="shared" si="5"/>
        <v>1868.2710000000002</v>
      </c>
      <c r="FE21" s="296">
        <f t="shared" si="5"/>
        <v>1974.634</v>
      </c>
      <c r="FF21" s="296">
        <f t="shared" si="5"/>
        <v>2233.1769999999988</v>
      </c>
      <c r="FG21" s="296">
        <f t="shared" si="5"/>
        <v>2572.0249999999996</v>
      </c>
      <c r="FH21" s="296">
        <f t="shared" si="5"/>
        <v>2834.588999999999</v>
      </c>
      <c r="FI21" s="295">
        <f t="shared" si="5"/>
        <v>3206.7489999999998</v>
      </c>
      <c r="FJ21" s="295">
        <f t="shared" si="5"/>
        <v>1118.6360000000004</v>
      </c>
      <c r="FK21" s="296">
        <f t="shared" si="5"/>
        <v>747.55099999999993</v>
      </c>
      <c r="FL21" s="296">
        <f t="shared" si="5"/>
        <v>821</v>
      </c>
      <c r="FM21" s="295">
        <f>FM10-FM14-FM17</f>
        <v>1001</v>
      </c>
      <c r="FN21" s="296">
        <f>FN10-FN14-FN17</f>
        <v>1098</v>
      </c>
      <c r="FO21" s="296">
        <f>FO10-FO14-FO17</f>
        <v>1158</v>
      </c>
      <c r="FP21" s="296">
        <f>FP10-FP14-FP17</f>
        <v>1157</v>
      </c>
      <c r="FQ21" s="296">
        <f>FQ10-FQ14-FQ17</f>
        <v>1115</v>
      </c>
      <c r="FR21" s="296">
        <f t="shared" si="5"/>
        <v>972</v>
      </c>
      <c r="FS21" s="296">
        <f>FS10-FS14-FS17</f>
        <v>907</v>
      </c>
      <c r="FT21" s="296">
        <f t="shared" si="5"/>
        <v>739</v>
      </c>
      <c r="FU21" s="296">
        <f t="shared" si="5"/>
        <v>636.63563867596895</v>
      </c>
      <c r="FV21" s="296">
        <f t="shared" si="5"/>
        <v>585.92733731807039</v>
      </c>
      <c r="FW21" s="297">
        <f>FW10-FW14-FW17</f>
        <v>537.7801866807531</v>
      </c>
      <c r="FX21" s="296">
        <f>FX10-FX14-FX17</f>
        <v>489.60461198059511</v>
      </c>
      <c r="FY21" s="1275">
        <f>FY10-FY14-FY17</f>
        <v>451.00988955932189</v>
      </c>
      <c r="FZ21" s="292"/>
      <c r="GA21" s="258"/>
      <c r="GB21" s="292"/>
      <c r="GC21" s="292"/>
      <c r="GD21" s="292"/>
    </row>
    <row r="22" spans="1:186" hidden="1" outlineLevel="1" x14ac:dyDescent="0.2">
      <c r="A22" s="302" t="s">
        <v>533</v>
      </c>
      <c r="B22" s="289"/>
      <c r="C22" s="290"/>
      <c r="D22" s="290"/>
      <c r="E22" s="290"/>
      <c r="F22" s="290"/>
      <c r="G22" s="290"/>
      <c r="H22" s="290"/>
      <c r="I22" s="290"/>
      <c r="J22" s="290"/>
      <c r="K22" s="290"/>
      <c r="L22" s="290"/>
      <c r="M22" s="290"/>
      <c r="N22" s="290"/>
      <c r="O22" s="290"/>
      <c r="P22" s="290"/>
      <c r="Q22" s="290"/>
      <c r="R22" s="290"/>
      <c r="S22" s="290"/>
      <c r="T22" s="290"/>
      <c r="U22" s="290"/>
      <c r="V22" s="290"/>
      <c r="W22" s="290"/>
      <c r="X22" s="290"/>
      <c r="Y22" s="290"/>
      <c r="Z22" s="290"/>
      <c r="AA22" s="290"/>
      <c r="AB22" s="290"/>
      <c r="AC22" s="290"/>
      <c r="AD22" s="290"/>
      <c r="AE22" s="290"/>
      <c r="AF22" s="290"/>
      <c r="AG22" s="290"/>
      <c r="AH22" s="290"/>
      <c r="AI22" s="290"/>
      <c r="AJ22" s="290"/>
      <c r="AK22" s="290"/>
      <c r="AL22" s="290"/>
      <c r="AM22" s="290"/>
      <c r="AN22" s="290"/>
      <c r="AO22" s="290"/>
      <c r="AP22" s="290"/>
      <c r="AQ22" s="290"/>
      <c r="AR22" s="290"/>
      <c r="AS22" s="290"/>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c r="BW22" s="290"/>
      <c r="BX22" s="290"/>
      <c r="BY22" s="290"/>
      <c r="BZ22" s="290"/>
      <c r="CA22" s="290"/>
      <c r="CB22" s="290"/>
      <c r="CC22" s="290"/>
      <c r="CD22" s="290"/>
      <c r="CE22" s="294"/>
      <c r="CF22" s="294"/>
      <c r="CG22" s="294"/>
      <c r="CH22" s="294"/>
      <c r="CI22" s="290"/>
      <c r="CJ22" s="294">
        <f>CJ11-CJ18</f>
        <v>23.850999999999999</v>
      </c>
      <c r="CK22" s="294">
        <f>CK11-CK18</f>
        <v>21.316000000000003</v>
      </c>
      <c r="CL22" s="294">
        <f>CL11-CL18</f>
        <v>24.778999999999996</v>
      </c>
      <c r="CM22" s="294">
        <f>CM11-CM18</f>
        <v>24</v>
      </c>
      <c r="CN22" s="290"/>
      <c r="CO22" s="294">
        <f>CO11-CO18</f>
        <v>30</v>
      </c>
      <c r="CP22" s="294">
        <f>CP11-CP18</f>
        <v>15</v>
      </c>
      <c r="CQ22" s="294">
        <f>CQ11-CQ18</f>
        <v>-3</v>
      </c>
      <c r="CR22" s="294">
        <f>CR11-CR18</f>
        <v>0</v>
      </c>
      <c r="CS22" s="290"/>
      <c r="CT22" s="294">
        <f>CT11-CT18</f>
        <v>-6</v>
      </c>
      <c r="CU22" s="294">
        <f>CU11-CU18</f>
        <v>10</v>
      </c>
      <c r="CV22" s="294">
        <f>CV11-CV18</f>
        <v>14</v>
      </c>
      <c r="CW22" s="294">
        <f>CW11-CW18</f>
        <v>-5</v>
      </c>
      <c r="CX22" s="290"/>
      <c r="CY22" s="294">
        <f>CY11-CY18</f>
        <v>5</v>
      </c>
      <c r="CZ22" s="294">
        <f>CZ11-CZ18</f>
        <v>33</v>
      </c>
      <c r="DA22" s="294">
        <f>DA11-DA18</f>
        <v>34</v>
      </c>
      <c r="DB22" s="294">
        <f>DB11-DB18</f>
        <v>45</v>
      </c>
      <c r="DC22" s="290"/>
      <c r="DD22" s="294">
        <f>DD11-DD18</f>
        <v>39</v>
      </c>
      <c r="DE22" s="294">
        <f>DE11-DE18</f>
        <v>35</v>
      </c>
      <c r="DF22" s="294">
        <f>DF11-DF18</f>
        <v>38</v>
      </c>
      <c r="DG22" s="294">
        <f>DG11-DG18</f>
        <v>39</v>
      </c>
      <c r="DH22" s="290"/>
      <c r="DI22" s="294">
        <f>DI11-DI18</f>
        <v>47</v>
      </c>
      <c r="DJ22" s="294">
        <f>DJ11-DJ18</f>
        <v>28</v>
      </c>
      <c r="DK22" s="294">
        <f>DK11-DK18</f>
        <v>51</v>
      </c>
      <c r="DL22" s="294">
        <f>DL11-DL18</f>
        <v>56</v>
      </c>
      <c r="DM22" s="290"/>
      <c r="DN22" s="294">
        <f>DN11-DN18</f>
        <v>45</v>
      </c>
      <c r="DO22" s="294">
        <f>DO11-DO18</f>
        <v>40</v>
      </c>
      <c r="DP22" s="294">
        <f>DP11-DP18</f>
        <v>48</v>
      </c>
      <c r="DQ22" s="294">
        <f>DQ11-DQ18</f>
        <v>59</v>
      </c>
      <c r="DR22" s="290"/>
      <c r="DS22" s="294">
        <f>DS11-DS18</f>
        <v>41</v>
      </c>
      <c r="DT22" s="294">
        <f>DT11-DT18</f>
        <v>53</v>
      </c>
      <c r="DU22" s="294">
        <f>DU11-DU18</f>
        <v>57</v>
      </c>
      <c r="DV22" s="294">
        <f>DV11-DV18</f>
        <v>51</v>
      </c>
      <c r="DW22" s="294"/>
      <c r="DX22" s="294">
        <f>DX11-DX18</f>
        <v>48</v>
      </c>
      <c r="DY22" s="294">
        <f>DY11-DY18</f>
        <v>53</v>
      </c>
      <c r="DZ22" s="294">
        <f>DZ11-DZ18</f>
        <v>38</v>
      </c>
      <c r="EA22" s="294">
        <f>EA11-EA18</f>
        <v>15</v>
      </c>
      <c r="EB22" s="294"/>
      <c r="EC22" s="294">
        <f>EC11-EC18</f>
        <v>17</v>
      </c>
      <c r="ED22" s="294">
        <f>ED11-ED18</f>
        <v>17</v>
      </c>
      <c r="EE22" s="294">
        <f>EE11-EE18</f>
        <v>31</v>
      </c>
      <c r="EF22" s="294">
        <f>EF11-EF18</f>
        <v>31</v>
      </c>
      <c r="EG22" s="249"/>
      <c r="EH22" s="294">
        <f>EH11-EH18</f>
        <v>37</v>
      </c>
      <c r="EI22" s="294">
        <f>EI11-EI18</f>
        <v>40</v>
      </c>
      <c r="EJ22" s="294">
        <f>EJ11-EJ18</f>
        <v>48</v>
      </c>
      <c r="EK22" s="294">
        <f>EK11-EK18</f>
        <v>56</v>
      </c>
      <c r="EL22" s="294"/>
      <c r="EM22" s="1268">
        <f>EM11-EM18</f>
        <v>32.803030303030305</v>
      </c>
      <c r="EN22" s="1268">
        <f>EN11-EN18</f>
        <v>34.556937799043077</v>
      </c>
      <c r="EO22" s="1268">
        <f>EO11-EO18</f>
        <v>55.477685950413239</v>
      </c>
      <c r="EP22" s="1268">
        <f>EP11-EP18</f>
        <v>74.766844919786109</v>
      </c>
      <c r="EQ22" s="294"/>
      <c r="ER22" s="277"/>
      <c r="ES22" s="296">
        <f t="shared" ref="ES22:FM22" si="6">ES11-ES18</f>
        <v>84.66</v>
      </c>
      <c r="ET22" s="296">
        <f t="shared" si="6"/>
        <v>87.442999999999998</v>
      </c>
      <c r="EU22" s="296">
        <f t="shared" si="6"/>
        <v>92.74</v>
      </c>
      <c r="EV22" s="296">
        <f t="shared" si="6"/>
        <v>88.509</v>
      </c>
      <c r="EW22" s="296">
        <f t="shared" si="6"/>
        <v>94.644000000000005</v>
      </c>
      <c r="EX22" s="296">
        <f t="shared" si="6"/>
        <v>125.13</v>
      </c>
      <c r="EY22" s="296">
        <f t="shared" si="6"/>
        <v>129.46899999999999</v>
      </c>
      <c r="EZ22" s="296">
        <f t="shared" si="6"/>
        <v>108.58099999999999</v>
      </c>
      <c r="FA22" s="296">
        <f t="shared" si="6"/>
        <v>107.139</v>
      </c>
      <c r="FB22" s="296">
        <f t="shared" si="6"/>
        <v>116.783</v>
      </c>
      <c r="FC22" s="296">
        <f t="shared" si="6"/>
        <v>130.6</v>
      </c>
      <c r="FD22" s="296">
        <f t="shared" si="6"/>
        <v>133.88999999999999</v>
      </c>
      <c r="FE22" s="296">
        <f t="shared" si="6"/>
        <v>139.28899999999999</v>
      </c>
      <c r="FF22" s="296">
        <f t="shared" si="6"/>
        <v>155.09</v>
      </c>
      <c r="FG22" s="296">
        <f t="shared" si="6"/>
        <v>172.94200000000001</v>
      </c>
      <c r="FH22" s="296">
        <f t="shared" si="6"/>
        <v>196.35399999999998</v>
      </c>
      <c r="FI22" s="295">
        <f t="shared" si="6"/>
        <v>238.52500000000001</v>
      </c>
      <c r="FJ22" s="295">
        <f t="shared" si="6"/>
        <v>93.946000000000026</v>
      </c>
      <c r="FK22" s="296">
        <f t="shared" si="6"/>
        <v>32</v>
      </c>
      <c r="FL22" s="296">
        <f t="shared" si="6"/>
        <v>13</v>
      </c>
      <c r="FM22" s="295">
        <f t="shared" si="6"/>
        <v>117</v>
      </c>
      <c r="FN22" s="296">
        <f t="shared" ref="FN22:FU22" si="7">FN11-FN18</f>
        <v>151</v>
      </c>
      <c r="FO22" s="296">
        <f t="shared" si="7"/>
        <v>182</v>
      </c>
      <c r="FP22" s="296">
        <f t="shared" si="7"/>
        <v>192</v>
      </c>
      <c r="FQ22" s="296">
        <f t="shared" si="7"/>
        <v>202</v>
      </c>
      <c r="FR22" s="296">
        <f>FR11-FR18</f>
        <v>154</v>
      </c>
      <c r="FS22" s="296">
        <f>FS11-FS18</f>
        <v>96</v>
      </c>
      <c r="FT22" s="296">
        <f>FT11-FT18</f>
        <v>181</v>
      </c>
      <c r="FU22" s="296">
        <f t="shared" si="7"/>
        <v>211.10000000000002</v>
      </c>
      <c r="FV22" s="296">
        <f>FV11-FV18</f>
        <v>226.93250000000003</v>
      </c>
      <c r="FW22" s="297">
        <f>FW11-FW18</f>
        <v>243.95243750000003</v>
      </c>
      <c r="FX22" s="296">
        <f>FX11-FX18</f>
        <v>261.02910812499999</v>
      </c>
      <c r="FY22" s="297">
        <f>FY11-FY18</f>
        <v>280.60629123437502</v>
      </c>
      <c r="FZ22" s="303"/>
      <c r="GA22" s="292"/>
      <c r="GB22" s="292"/>
      <c r="GC22" s="292"/>
      <c r="GD22" s="292"/>
    </row>
    <row r="23" spans="1:186" collapsed="1" x14ac:dyDescent="0.2">
      <c r="A23" s="302" t="s">
        <v>159</v>
      </c>
      <c r="B23" s="289"/>
      <c r="C23" s="290">
        <f>C16-C19+C11</f>
        <v>32.500000000000014</v>
      </c>
      <c r="D23" s="290">
        <f>D16-D19+D11</f>
        <v>67.799999999999983</v>
      </c>
      <c r="E23" s="290">
        <f>E16-E19+E11</f>
        <v>45.399999999999942</v>
      </c>
      <c r="F23" s="290">
        <f>F16-F19+F11</f>
        <v>84.844000000000079</v>
      </c>
      <c r="G23" s="290"/>
      <c r="H23" s="290">
        <f>H16-H19+H11</f>
        <v>53.218999999999959</v>
      </c>
      <c r="I23" s="290">
        <f>I16-I19+I11</f>
        <v>92.211999999999989</v>
      </c>
      <c r="J23" s="290">
        <f>J16-J19+J11</f>
        <v>43.392999999999986</v>
      </c>
      <c r="K23" s="290">
        <f>K16-K19+K11</f>
        <v>77.497000000000085</v>
      </c>
      <c r="L23" s="290"/>
      <c r="M23" s="290">
        <f>M16-M19+M11</f>
        <v>47.013999999999953</v>
      </c>
      <c r="N23" s="290">
        <f>N16-N19+N11</f>
        <v>79.31899999999996</v>
      </c>
      <c r="O23" s="290">
        <f>O16-O19+O11</f>
        <v>48.642000000000067</v>
      </c>
      <c r="P23" s="290">
        <f>P16-P19+P11</f>
        <v>98.553999999999874</v>
      </c>
      <c r="Q23" s="290"/>
      <c r="R23" s="290">
        <f>R16-R19+R11</f>
        <v>28.264999999999933</v>
      </c>
      <c r="S23" s="290">
        <f>S16-S19+S11</f>
        <v>79.966999999999956</v>
      </c>
      <c r="T23" s="290">
        <f>T16-T19+T11</f>
        <v>51.385000000000005</v>
      </c>
      <c r="U23" s="290">
        <f>U16-U19+U11</f>
        <v>108.94699999999995</v>
      </c>
      <c r="V23" s="290"/>
      <c r="W23" s="290">
        <f>W16-W19+W11</f>
        <v>60.715000000000018</v>
      </c>
      <c r="X23" s="290">
        <f>X16-X19+X11</f>
        <v>111.429</v>
      </c>
      <c r="Y23" s="290">
        <f>Y16-Y19+Y11</f>
        <v>70.783999999999963</v>
      </c>
      <c r="Z23" s="290">
        <f>Z16-Z19+Z11</f>
        <v>123.29399999999988</v>
      </c>
      <c r="AA23" s="290"/>
      <c r="AB23" s="290">
        <f>AB16-AB19+AB11</f>
        <v>53.349999999999923</v>
      </c>
      <c r="AC23" s="290">
        <f>AC16-AC19+AC11</f>
        <v>98.703000000000017</v>
      </c>
      <c r="AD23" s="290">
        <f>AD16-AD19+AD11</f>
        <v>59.390999999999941</v>
      </c>
      <c r="AE23" s="290">
        <f>AE16-AE19+AE11</f>
        <v>99.795999999999935</v>
      </c>
      <c r="AF23" s="290"/>
      <c r="AG23" s="290">
        <f>AG16-AG19+AG11</f>
        <v>54.643000000000043</v>
      </c>
      <c r="AH23" s="290">
        <f>AH16-AH19+AH11</f>
        <v>84.413999999999902</v>
      </c>
      <c r="AI23" s="290">
        <f>AI16-AI19+AI11</f>
        <v>64.887</v>
      </c>
      <c r="AJ23" s="290">
        <f>AJ16-AJ19+AJ11</f>
        <v>78.960999999999913</v>
      </c>
      <c r="AK23" s="290"/>
      <c r="AL23" s="290">
        <f>AL16-AL19+AL11</f>
        <v>60.859000000000037</v>
      </c>
      <c r="AM23" s="290">
        <f>AM16-AM19+AM11</f>
        <v>105.08899999999998</v>
      </c>
      <c r="AN23" s="290">
        <f>AN16-AN19+AN11</f>
        <v>67.304000000000102</v>
      </c>
      <c r="AO23" s="290">
        <f>AO16-AO19+AO11</f>
        <v>108.21100000000004</v>
      </c>
      <c r="AP23" s="290"/>
      <c r="AQ23" s="290">
        <f>AQ16-AQ19+AQ11</f>
        <v>63.068999999999988</v>
      </c>
      <c r="AR23" s="290">
        <f>AR16-AR19+AR11</f>
        <v>124.11600000000007</v>
      </c>
      <c r="AS23" s="290">
        <f>AS16-AS19+AS11</f>
        <v>427.58299999999986</v>
      </c>
      <c r="AT23" s="290">
        <f>AT16-AT19+AT11</f>
        <v>121.73899999999989</v>
      </c>
      <c r="AU23" s="290"/>
      <c r="AV23" s="290">
        <f>AV16-AV19+AV11</f>
        <v>63.696999999999974</v>
      </c>
      <c r="AW23" s="290">
        <f>AW16-AW19+AW11</f>
        <v>128.67200000000005</v>
      </c>
      <c r="AX23" s="290">
        <f>AX16-AX19+AX11</f>
        <v>78.123999999999953</v>
      </c>
      <c r="AY23" s="290">
        <f>AY16-AY19+AY11</f>
        <v>103.94100000000013</v>
      </c>
      <c r="AZ23" s="290"/>
      <c r="BA23" s="290">
        <f>BA16-BA19+BA11</f>
        <v>66.984999999999985</v>
      </c>
      <c r="BB23" s="290">
        <f>BB16-BB19+BB11</f>
        <v>99.337000000000089</v>
      </c>
      <c r="BC23" s="290">
        <f>BC16-BC19+BC11</f>
        <v>54.329999999999821</v>
      </c>
      <c r="BD23" s="290">
        <f>BD16-BD19+BD11</f>
        <v>65.120999999999825</v>
      </c>
      <c r="BE23" s="290"/>
      <c r="BF23" s="290">
        <f>BF16-BF19+BF11</f>
        <v>60.058999999999997</v>
      </c>
      <c r="BG23" s="290">
        <f>BG16-BG19+BG11</f>
        <v>82.778000000000134</v>
      </c>
      <c r="BH23" s="290">
        <f>BH16-BH19+BH11</f>
        <v>35.028999999999989</v>
      </c>
      <c r="BI23" s="290">
        <f>BI16-BI19+BI11</f>
        <v>101.65999999999995</v>
      </c>
      <c r="BJ23" s="290"/>
      <c r="BK23" s="290">
        <f>BK16-BK19+BK11</f>
        <v>69.893000000000001</v>
      </c>
      <c r="BL23" s="290">
        <f>BL16-BL19+BL11</f>
        <v>105.71899999999994</v>
      </c>
      <c r="BM23" s="290">
        <f>BM16-BM19+BM11</f>
        <v>51.132000000000033</v>
      </c>
      <c r="BN23" s="290">
        <f>BN16-BN19+BN11</f>
        <v>119.76900000000003</v>
      </c>
      <c r="BO23" s="290"/>
      <c r="BP23" s="290">
        <f>BP12-BP14-BP19</f>
        <v>64.682999999999993</v>
      </c>
      <c r="BQ23" s="290">
        <f>BQ12-BQ14-BQ19</f>
        <v>134.18099999999976</v>
      </c>
      <c r="BR23" s="290">
        <f>BR12-BR14-BR19</f>
        <v>101.27599999999995</v>
      </c>
      <c r="BS23" s="290">
        <f>BS12-BS14-BS19</f>
        <v>189.00099999999998</v>
      </c>
      <c r="BT23" s="290"/>
      <c r="BU23" s="290">
        <f>BU12-BU14-BU19</f>
        <v>149.31100000000009</v>
      </c>
      <c r="BV23" s="290">
        <f>BV12-BV14-BV19</f>
        <v>189.35699999999997</v>
      </c>
      <c r="BW23" s="290">
        <f>BW12-BW14-BW19</f>
        <v>136.42299999999989</v>
      </c>
      <c r="BX23" s="290">
        <f>BX12-BX14-BX19</f>
        <v>249.64299999999992</v>
      </c>
      <c r="BY23" s="290"/>
      <c r="BZ23" s="290">
        <f>BZ12-BZ14-BZ19</f>
        <v>185.61899999999991</v>
      </c>
      <c r="CA23" s="290">
        <f>CA12-CA14-CA19</f>
        <v>252.69699999999978</v>
      </c>
      <c r="CB23" s="290">
        <f>CB12-CB14-CB19</f>
        <v>173.12999999999994</v>
      </c>
      <c r="CC23" s="290">
        <f>CC12-CC14-CC19</f>
        <v>318.8309999999999</v>
      </c>
      <c r="CD23" s="290"/>
      <c r="CE23" s="290">
        <f>CE12-CE14-CE19</f>
        <v>223.83799999999997</v>
      </c>
      <c r="CF23" s="290">
        <f>CF12-CF14-CF19</f>
        <v>305.1339999999999</v>
      </c>
      <c r="CG23" s="290">
        <f>CG12-CG14-CG19</f>
        <v>232.58899999999994</v>
      </c>
      <c r="CH23" s="290">
        <f>CH12-CH14-CH19</f>
        <v>386.8499999999998</v>
      </c>
      <c r="CI23" s="290"/>
      <c r="CJ23" s="290">
        <f>CJ12-CJ14-CJ19</f>
        <v>260.971</v>
      </c>
      <c r="CK23" s="290">
        <f>CK12-CK14-CK19</f>
        <v>309.89399999999978</v>
      </c>
      <c r="CL23" s="290">
        <f>CL12-CL14-CL19</f>
        <v>257.71699999999987</v>
      </c>
      <c r="CM23" s="290">
        <f>CM12-CM14-CM19</f>
        <v>384</v>
      </c>
      <c r="CN23" s="290"/>
      <c r="CO23" s="290">
        <f>CO12-CO14-CO19</f>
        <v>237</v>
      </c>
      <c r="CP23" s="290">
        <f>CP12-CP14-CP19</f>
        <v>269</v>
      </c>
      <c r="CQ23" s="290">
        <f>CQ12-CQ14-CQ19</f>
        <v>127.55100000000004</v>
      </c>
      <c r="CR23" s="290">
        <f>CR12-CR14-CR19</f>
        <v>156</v>
      </c>
      <c r="CS23" s="290"/>
      <c r="CT23" s="290">
        <f>CT16-CT19+CT11</f>
        <v>146</v>
      </c>
      <c r="CU23" s="290">
        <f>CU16-CU19+CU11</f>
        <v>206</v>
      </c>
      <c r="CV23" s="290">
        <f>CV16-CV19+CV11</f>
        <v>172</v>
      </c>
      <c r="CW23" s="290">
        <f>CW16-CW19+CW11</f>
        <v>310</v>
      </c>
      <c r="CX23" s="290"/>
      <c r="CY23" s="290">
        <f>CY16-CY19+CY11</f>
        <v>219</v>
      </c>
      <c r="CZ23" s="290">
        <f>CZ16-CZ19+CZ11</f>
        <v>272</v>
      </c>
      <c r="DA23" s="290">
        <f>DA16-DA19+DA11</f>
        <v>221</v>
      </c>
      <c r="DB23" s="290">
        <f>DB16-DB19+DB11</f>
        <v>406</v>
      </c>
      <c r="DC23" s="290"/>
      <c r="DD23" s="290">
        <f>DD16-DD19+DD11</f>
        <v>272</v>
      </c>
      <c r="DE23" s="290">
        <f>DE16-DE19+DE11</f>
        <v>320</v>
      </c>
      <c r="DF23" s="290">
        <f>DF16-DF19+DF11</f>
        <v>240</v>
      </c>
      <c r="DG23" s="290">
        <f>DG16-DG19+DG11</f>
        <v>417</v>
      </c>
      <c r="DH23" s="290"/>
      <c r="DI23" s="290">
        <f>DI16-DI19+DI11</f>
        <v>280</v>
      </c>
      <c r="DJ23" s="290">
        <f>DJ16-DJ19+DJ11</f>
        <v>290</v>
      </c>
      <c r="DK23" s="290">
        <f>DK16-DK19+DK11</f>
        <v>277</v>
      </c>
      <c r="DL23" s="290">
        <f>DL16-DL19+DL11</f>
        <v>498</v>
      </c>
      <c r="DM23" s="290"/>
      <c r="DN23" s="290">
        <f>DN16-DN19+DN11</f>
        <v>275</v>
      </c>
      <c r="DO23" s="290">
        <f>DO16-DO19+DO11</f>
        <v>335</v>
      </c>
      <c r="DP23" s="290">
        <f>DP16-DP19+DP11</f>
        <v>253</v>
      </c>
      <c r="DQ23" s="290">
        <f>DQ16-DQ19+DQ11</f>
        <v>487</v>
      </c>
      <c r="DR23" s="290"/>
      <c r="DS23" s="290">
        <f>DS16-DS19+DS11</f>
        <v>265</v>
      </c>
      <c r="DT23" s="290">
        <f>DT16-DT19+DT11</f>
        <v>331</v>
      </c>
      <c r="DU23" s="290">
        <f>DU16-DU19+DU11</f>
        <v>262</v>
      </c>
      <c r="DV23" s="290">
        <f>DV16-DV19+DV11</f>
        <v>465</v>
      </c>
      <c r="DW23" s="290"/>
      <c r="DX23" s="290">
        <f>DX16-DX19+DX11</f>
        <v>245</v>
      </c>
      <c r="DY23" s="290">
        <f>DY16-DY19+DY11</f>
        <v>326</v>
      </c>
      <c r="DZ23" s="290">
        <f>DZ16-DZ19+DZ11</f>
        <v>186</v>
      </c>
      <c r="EA23" s="290">
        <f>EA16-EA19+EA11</f>
        <v>372</v>
      </c>
      <c r="EB23" s="290"/>
      <c r="EC23" s="290">
        <f>EC16-EC19+EC11</f>
        <v>106</v>
      </c>
      <c r="ED23" s="290">
        <f>ED16-ED19+ED11</f>
        <v>221</v>
      </c>
      <c r="EE23" s="290">
        <f>EE16-EE19+EE11</f>
        <v>252</v>
      </c>
      <c r="EF23" s="290">
        <f>EF16-EF19+EF11</f>
        <v>424</v>
      </c>
      <c r="EG23" s="290"/>
      <c r="EH23" s="290">
        <f>EH16-EH19+EH11</f>
        <v>151</v>
      </c>
      <c r="EI23" s="290">
        <f>EI16-EI19+EI11</f>
        <v>217</v>
      </c>
      <c r="EJ23" s="290">
        <f>EJ16-EJ19+EJ11</f>
        <v>208</v>
      </c>
      <c r="EK23" s="290">
        <f>EK16-EK19+EK11</f>
        <v>350</v>
      </c>
      <c r="EL23" s="290"/>
      <c r="EM23" s="1267">
        <f>EM16-EM19+EM11</f>
        <v>121.68815519230793</v>
      </c>
      <c r="EN23" s="1267">
        <f>EN16-EN19+EN11</f>
        <v>186.70833184158425</v>
      </c>
      <c r="EO23" s="1267">
        <f>EO16-EO19+EO11</f>
        <v>197.55534016666621</v>
      </c>
      <c r="EP23" s="1267">
        <f>EP16-EP19+EP11</f>
        <v>341.78381147540989</v>
      </c>
      <c r="EQ23" s="290"/>
      <c r="ER23" s="1322"/>
      <c r="ES23" s="290">
        <f t="shared" ref="ES23:FV23" si="8">ES16-ES19+ES11</f>
        <v>230.54400000000001</v>
      </c>
      <c r="ET23" s="292">
        <f t="shared" si="8"/>
        <v>266.32100000000025</v>
      </c>
      <c r="EU23" s="292">
        <f t="shared" si="8"/>
        <v>273.52900000000045</v>
      </c>
      <c r="EV23" s="292">
        <f t="shared" si="8"/>
        <v>268.56400000000008</v>
      </c>
      <c r="EW23" s="292">
        <f t="shared" si="8"/>
        <v>366.22200000000021</v>
      </c>
      <c r="EX23" s="292">
        <f t="shared" si="8"/>
        <v>311.23999999999967</v>
      </c>
      <c r="EY23" s="292">
        <f t="shared" si="8"/>
        <v>282.90499999999992</v>
      </c>
      <c r="EZ23" s="292">
        <f t="shared" si="8"/>
        <v>341.46299999999962</v>
      </c>
      <c r="FA23" s="292">
        <f t="shared" si="8"/>
        <v>384.81400000000019</v>
      </c>
      <c r="FB23" s="292">
        <f t="shared" si="8"/>
        <v>382.18699999999978</v>
      </c>
      <c r="FC23" s="292">
        <f t="shared" si="8"/>
        <v>262.57300000000066</v>
      </c>
      <c r="FD23" s="292">
        <f t="shared" si="8"/>
        <v>279.52600000000018</v>
      </c>
      <c r="FE23" s="292">
        <f t="shared" si="8"/>
        <v>330.71299999999997</v>
      </c>
      <c r="FF23" s="292">
        <f t="shared" si="8"/>
        <v>489.14099999999883</v>
      </c>
      <c r="FG23" s="292">
        <f t="shared" si="8"/>
        <v>724.73399999999992</v>
      </c>
      <c r="FH23" s="292">
        <f t="shared" si="8"/>
        <v>930.27699999999891</v>
      </c>
      <c r="FI23" s="291">
        <f t="shared" si="8"/>
        <v>1148.4110000000001</v>
      </c>
      <c r="FJ23" s="291">
        <f t="shared" si="8"/>
        <v>1212.5820000000003</v>
      </c>
      <c r="FK23" s="292">
        <f t="shared" si="8"/>
        <v>779.55099999999993</v>
      </c>
      <c r="FL23" s="292">
        <f t="shared" si="8"/>
        <v>834</v>
      </c>
      <c r="FM23" s="291">
        <f t="shared" si="8"/>
        <v>1118</v>
      </c>
      <c r="FN23" s="292">
        <f t="shared" si="8"/>
        <v>1249</v>
      </c>
      <c r="FO23" s="292">
        <f t="shared" si="8"/>
        <v>1345</v>
      </c>
      <c r="FP23" s="292">
        <f t="shared" si="8"/>
        <v>1350</v>
      </c>
      <c r="FQ23" s="292">
        <f t="shared" si="8"/>
        <v>1323</v>
      </c>
      <c r="FR23" s="292">
        <f t="shared" si="8"/>
        <v>1129</v>
      </c>
      <c r="FS23" s="292">
        <f>FS16-FS19+FS11</f>
        <v>1003</v>
      </c>
      <c r="FT23" s="292">
        <f t="shared" si="8"/>
        <v>926</v>
      </c>
      <c r="FU23" s="292">
        <f t="shared" si="8"/>
        <v>847.73563867596897</v>
      </c>
      <c r="FV23" s="292">
        <f t="shared" si="8"/>
        <v>812.85983731807028</v>
      </c>
      <c r="FW23" s="293">
        <f>FW16-FW19+FW11</f>
        <v>781.73262418075308</v>
      </c>
      <c r="FX23" s="292">
        <f>FX16-FX19+FX11</f>
        <v>750.63372010559544</v>
      </c>
      <c r="FY23" s="293">
        <f>FY16-FY19+FY11</f>
        <v>731.61618079369714</v>
      </c>
      <c r="FZ23" s="292"/>
      <c r="GA23" s="292"/>
      <c r="GB23" s="258"/>
      <c r="GC23" s="292"/>
      <c r="GD23" s="292"/>
    </row>
    <row r="24" spans="1:186" x14ac:dyDescent="0.2">
      <c r="A24" s="302"/>
      <c r="B24" s="289"/>
      <c r="C24" s="290"/>
      <c r="D24" s="290"/>
      <c r="E24" s="290"/>
      <c r="F24" s="290"/>
      <c r="G24" s="290"/>
      <c r="H24" s="290"/>
      <c r="I24" s="290"/>
      <c r="J24" s="290"/>
      <c r="K24" s="290"/>
      <c r="L24" s="290"/>
      <c r="M24" s="290"/>
      <c r="N24" s="290"/>
      <c r="O24" s="290"/>
      <c r="P24" s="290"/>
      <c r="Q24" s="290"/>
      <c r="R24" s="290"/>
      <c r="S24" s="290"/>
      <c r="T24" s="290"/>
      <c r="U24" s="290"/>
      <c r="V24" s="290"/>
      <c r="W24" s="290"/>
      <c r="X24" s="290"/>
      <c r="Y24" s="290"/>
      <c r="Z24" s="290"/>
      <c r="AA24" s="290"/>
      <c r="AB24" s="290"/>
      <c r="AC24" s="290"/>
      <c r="AD24" s="290"/>
      <c r="AE24" s="290"/>
      <c r="AF24" s="290"/>
      <c r="AG24" s="290"/>
      <c r="AH24" s="290"/>
      <c r="AI24" s="290"/>
      <c r="AJ24" s="290"/>
      <c r="AK24" s="290"/>
      <c r="AL24" s="290"/>
      <c r="AM24" s="290"/>
      <c r="AN24" s="290"/>
      <c r="AO24" s="290"/>
      <c r="AP24" s="290"/>
      <c r="AQ24" s="290"/>
      <c r="AR24" s="290"/>
      <c r="AS24" s="290"/>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c r="BW24" s="290"/>
      <c r="BX24" s="290"/>
      <c r="BY24" s="290"/>
      <c r="BZ24" s="290"/>
      <c r="CA24" s="290"/>
      <c r="CB24" s="290"/>
      <c r="CC24" s="290"/>
      <c r="CD24" s="290"/>
      <c r="CE24" s="290"/>
      <c r="CF24" s="290"/>
      <c r="CG24" s="290"/>
      <c r="CH24" s="290"/>
      <c r="CI24" s="290"/>
      <c r="CJ24" s="290"/>
      <c r="CK24" s="290"/>
      <c r="CL24" s="290"/>
      <c r="CM24" s="290"/>
      <c r="CN24" s="290"/>
      <c r="CO24" s="290"/>
      <c r="CP24" s="290"/>
      <c r="CQ24" s="290"/>
      <c r="CR24" s="290"/>
      <c r="CS24" s="290"/>
      <c r="CT24" s="290"/>
      <c r="CU24" s="290"/>
      <c r="CV24" s="290"/>
      <c r="CW24" s="290"/>
      <c r="CX24" s="290"/>
      <c r="CY24" s="290"/>
      <c r="CZ24" s="290"/>
      <c r="DA24" s="290"/>
      <c r="DB24" s="290"/>
      <c r="DC24" s="290"/>
      <c r="DD24" s="290"/>
      <c r="DE24" s="290"/>
      <c r="DF24" s="290"/>
      <c r="DG24" s="290"/>
      <c r="DH24" s="290"/>
      <c r="DI24" s="290"/>
      <c r="DJ24" s="290"/>
      <c r="DK24" s="290"/>
      <c r="DL24" s="290"/>
      <c r="DM24" s="290"/>
      <c r="DN24" s="290"/>
      <c r="DO24" s="290"/>
      <c r="DP24" s="290"/>
      <c r="DQ24" s="290"/>
      <c r="DR24" s="290"/>
      <c r="DS24" s="290"/>
      <c r="DT24" s="290"/>
      <c r="DU24" s="290"/>
      <c r="DV24" s="290"/>
      <c r="DW24" s="290"/>
      <c r="DX24" s="290"/>
      <c r="DY24" s="290"/>
      <c r="DZ24" s="290"/>
      <c r="EA24" s="290"/>
      <c r="EB24" s="290"/>
      <c r="EC24" s="290"/>
      <c r="ED24" s="290"/>
      <c r="EE24" s="290"/>
      <c r="EF24" s="290"/>
      <c r="EG24" s="290"/>
      <c r="EH24" s="290"/>
      <c r="EI24" s="290"/>
      <c r="EJ24" s="290"/>
      <c r="EK24" s="290"/>
      <c r="EL24" s="290"/>
      <c r="EM24" s="1267"/>
      <c r="EN24" s="1267"/>
      <c r="EO24" s="1267"/>
      <c r="EP24" s="1267"/>
      <c r="EQ24" s="290"/>
      <c r="ER24" s="1322"/>
      <c r="ES24" s="290"/>
      <c r="ET24" s="292"/>
      <c r="EU24" s="292"/>
      <c r="EV24" s="292"/>
      <c r="EW24" s="292"/>
      <c r="EX24" s="292"/>
      <c r="EY24" s="292"/>
      <c r="EZ24" s="292"/>
      <c r="FA24" s="292"/>
      <c r="FB24" s="292"/>
      <c r="FC24" s="292"/>
      <c r="FD24" s="292"/>
      <c r="FE24" s="292"/>
      <c r="FF24" s="292"/>
      <c r="FG24" s="292"/>
      <c r="FH24" s="292"/>
      <c r="FI24" s="291"/>
      <c r="FJ24" s="291"/>
      <c r="FK24" s="292"/>
      <c r="FL24" s="292"/>
      <c r="FM24" s="291"/>
      <c r="FN24" s="292"/>
      <c r="FO24" s="292"/>
      <c r="FP24" s="292"/>
      <c r="FQ24" s="292"/>
      <c r="FR24" s="292"/>
      <c r="FS24" s="292"/>
      <c r="FT24" s="292"/>
      <c r="FU24" s="292"/>
      <c r="FV24" s="292"/>
      <c r="FW24" s="293"/>
      <c r="FX24" s="292"/>
      <c r="FY24" s="293"/>
      <c r="FZ24" s="292"/>
      <c r="GA24" s="292"/>
      <c r="GB24" s="292"/>
      <c r="GC24" s="292"/>
      <c r="GD24" s="292"/>
    </row>
    <row r="25" spans="1:186" hidden="1" outlineLevel="1" x14ac:dyDescent="0.2">
      <c r="A25" s="288" t="s">
        <v>228</v>
      </c>
      <c r="B25" s="289"/>
      <c r="C25" s="290">
        <f>INDEX('qtrP&amp;L'!$90:$90,MATCH(C$7,'qtrP&amp;L'!$6:$6,0))</f>
        <v>11.9</v>
      </c>
      <c r="D25" s="290">
        <f>INDEX('qtrP&amp;L'!$91:$91,MATCH(C$7,'qtrP&amp;L'!$6:$6,0))</f>
        <v>12.4</v>
      </c>
      <c r="E25" s="290">
        <f>INDEX('qtrP&amp;L'!$92:$92,MATCH(C$7,'qtrP&amp;L'!$6:$6,0))</f>
        <v>13.9</v>
      </c>
      <c r="F25" s="290">
        <f>INDEX('qtrP&amp;L'!$93:$93,MATCH(C$7,'qtrP&amp;L'!$6:$6,0))</f>
        <v>14.028</v>
      </c>
      <c r="G25" s="290"/>
      <c r="H25" s="290">
        <f>INDEX('qtrP&amp;L'!$90:$90,MATCH(H$7,'qtrP&amp;L'!$6:$6,0))</f>
        <v>11.862</v>
      </c>
      <c r="I25" s="290">
        <f>INDEX('qtrP&amp;L'!$91:$91,MATCH(H$7,'qtrP&amp;L'!$6:$6,0))</f>
        <v>11.743</v>
      </c>
      <c r="J25" s="290">
        <f>INDEX('qtrP&amp;L'!$92:$92,MATCH(H$7,'qtrP&amp;L'!$6:$6,0))</f>
        <v>12.063000000000001</v>
      </c>
      <c r="K25" s="290">
        <f>INDEX('qtrP&amp;L'!$93:$93,MATCH(H$7,'qtrP&amp;L'!$6:$6,0))</f>
        <v>13.438000000000001</v>
      </c>
      <c r="L25" s="290"/>
      <c r="M25" s="290">
        <f>INDEX('qtrP&amp;L'!$90:$90,MATCH(M$7,'qtrP&amp;L'!$6:$6,0))</f>
        <v>11.731999999999999</v>
      </c>
      <c r="N25" s="290">
        <f>INDEX('qtrP&amp;L'!$91:$91,MATCH(M$7,'qtrP&amp;L'!$6:$6,0))</f>
        <v>11.366</v>
      </c>
      <c r="O25" s="290">
        <f>INDEX('qtrP&amp;L'!$92:$92,MATCH(M$7,'qtrP&amp;L'!$6:$6,0))</f>
        <v>10.913</v>
      </c>
      <c r="P25" s="290">
        <f>INDEX('qtrP&amp;L'!$93:$93,MATCH(M$7,'qtrP&amp;L'!$6:$6,0))</f>
        <v>10.798999999999999</v>
      </c>
      <c r="Q25" s="290"/>
      <c r="R25" s="290">
        <f>INDEX('qtrP&amp;L'!$90:$90,MATCH(R$7,'qtrP&amp;L'!$6:$6,0))</f>
        <v>9.8699999999999992</v>
      </c>
      <c r="S25" s="290">
        <f>INDEX('qtrP&amp;L'!$91:$91,MATCH(R$7,'qtrP&amp;L'!$6:$6,0))</f>
        <v>9.8160000000000007</v>
      </c>
      <c r="T25" s="290">
        <f>INDEX('qtrP&amp;L'!$92:$92,MATCH(R$7,'qtrP&amp;L'!$6:$6,0))</f>
        <v>9.3290000000000006</v>
      </c>
      <c r="U25" s="290">
        <f>INDEX('qtrP&amp;L'!$93:$93,MATCH(R$7,'qtrP&amp;L'!$6:$6,0))</f>
        <v>8.6310000000000002</v>
      </c>
      <c r="V25" s="290"/>
      <c r="W25" s="290">
        <f>INDEX('qtrP&amp;L'!$90:$90,MATCH(W$7,'qtrP&amp;L'!$6:$6,0))</f>
        <v>7.9420000000000002</v>
      </c>
      <c r="X25" s="290">
        <f>INDEX('qtrP&amp;L'!$91:$91,MATCH(W$7,'qtrP&amp;L'!$6:$6,0))</f>
        <v>7.2060000000000004</v>
      </c>
      <c r="Y25" s="290">
        <f>INDEX('qtrP&amp;L'!$92:$92,MATCH(W$7,'qtrP&amp;L'!$6:$6,0))</f>
        <v>7.7050000000000001</v>
      </c>
      <c r="Z25" s="290">
        <f>INDEX('qtrP&amp;L'!$93:$93,MATCH(W$7,'qtrP&amp;L'!$6:$6,0))</f>
        <v>7.8109999999999999</v>
      </c>
      <c r="AA25" s="290"/>
      <c r="AB25" s="290">
        <f>INDEX('qtrP&amp;L'!$90:$90,MATCH(AB$7,'qtrP&amp;L'!$6:$6,0))</f>
        <v>7.673</v>
      </c>
      <c r="AC25" s="290">
        <f>INDEX('qtrP&amp;L'!$91:$91,MATCH(AB$7,'qtrP&amp;L'!$6:$6,0))</f>
        <v>9.6389999999999993</v>
      </c>
      <c r="AD25" s="290">
        <f>INDEX('qtrP&amp;L'!$92:$92,MATCH(AB$7,'qtrP&amp;L'!$6:$6,0))</f>
        <v>10.849</v>
      </c>
      <c r="AE25" s="290">
        <f>INDEX('qtrP&amp;L'!$93:$93,MATCH(AB$7,'qtrP&amp;L'!$6:$6,0))</f>
        <v>10.768000000000001</v>
      </c>
      <c r="AF25" s="290"/>
      <c r="AG25" s="290">
        <f>INDEX('qtrP&amp;L'!$90:$90,MATCH(AG$7,'qtrP&amp;L'!$6:$6,0))</f>
        <v>9.3940000000000001</v>
      </c>
      <c r="AH25" s="290">
        <f>INDEX('qtrP&amp;L'!$91:$91,MATCH(AG$7,'qtrP&amp;L'!$6:$6,0))</f>
        <v>10.333</v>
      </c>
      <c r="AI25" s="290">
        <f>INDEX('qtrP&amp;L'!$92:$92,MATCH(AG$7,'qtrP&amp;L'!$6:$6,0))</f>
        <v>9.1509999999999998</v>
      </c>
      <c r="AJ25" s="290">
        <f>INDEX('qtrP&amp;L'!$93:$93,MATCH(AG$7,'qtrP&amp;L'!$6:$6,0))</f>
        <v>8.17</v>
      </c>
      <c r="AK25" s="290"/>
      <c r="AL25" s="290">
        <f>INDEX('qtrP&amp;L'!$90:$90,MATCH(AL$7,'qtrP&amp;L'!$6:$6,0))</f>
        <v>7.51</v>
      </c>
      <c r="AM25" s="290">
        <f>INDEX('qtrP&amp;L'!$91:$91,MATCH(AL$7,'qtrP&amp;L'!$6:$6,0))</f>
        <v>8.4030000000000005</v>
      </c>
      <c r="AN25" s="290">
        <f>INDEX('qtrP&amp;L'!$92:$92,MATCH(AL$7,'qtrP&amp;L'!$6:$6,0))</f>
        <v>7.6589999999999998</v>
      </c>
      <c r="AO25" s="290">
        <f>INDEX('qtrP&amp;L'!$93:$93,MATCH(AL$7,'qtrP&amp;L'!$6:$6,0))</f>
        <v>10.678000000000001</v>
      </c>
      <c r="AP25" s="290"/>
      <c r="AQ25" s="290">
        <f>INDEX('qtrP&amp;L'!$90:$90,MATCH(AQ$7,'qtrP&amp;L'!$6:$6,0))</f>
        <v>10.231999999999999</v>
      </c>
      <c r="AR25" s="290">
        <f>INDEX('qtrP&amp;L'!$91:$91,MATCH(AQ$7,'qtrP&amp;L'!$6:$6,0))</f>
        <v>11.054</v>
      </c>
      <c r="AS25" s="290">
        <f>INDEX('qtrP&amp;L'!$92:$92,MATCH(AQ$7,'qtrP&amp;L'!$6:$6,0))</f>
        <v>12.715</v>
      </c>
      <c r="AT25" s="290">
        <f>INDEX('qtrP&amp;L'!$93:$93,MATCH(AQ$7,'qtrP&amp;L'!$6:$6,0))</f>
        <v>13.09</v>
      </c>
      <c r="AU25" s="290"/>
      <c r="AV25" s="290">
        <f>INDEX('qtrP&amp;L'!$90:$90,MATCH(AV$7,'qtrP&amp;L'!$6:$6,0))</f>
        <v>12.009</v>
      </c>
      <c r="AW25" s="290">
        <f>INDEX('qtrP&amp;L'!$91:$91,MATCH(AV$7,'qtrP&amp;L'!$6:$6,0))</f>
        <v>12.483000000000001</v>
      </c>
      <c r="AX25" s="290">
        <f>INDEX('qtrP&amp;L'!$92:$92,MATCH(AV$7,'qtrP&amp;L'!$6:$6,0))</f>
        <v>13.090999999999999</v>
      </c>
      <c r="AY25" s="290">
        <f>INDEX('qtrP&amp;L'!$93:$93,MATCH(AV$7,'qtrP&amp;L'!$6:$6,0))</f>
        <v>12.813000000000001</v>
      </c>
      <c r="AZ25" s="290"/>
      <c r="BA25" s="290">
        <f>INDEX('qtrP&amp;L'!$90:$90,MATCH(BA$7,'qtrP&amp;L'!$6:$6,0))</f>
        <v>13.295999999999999</v>
      </c>
      <c r="BB25" s="290">
        <f>INDEX('qtrP&amp;L'!$91:$91,MATCH(BA$7,'qtrP&amp;L'!$6:$6,0))</f>
        <v>14.295999999999999</v>
      </c>
      <c r="BC25" s="290">
        <f>INDEX('qtrP&amp;L'!$92:$92,MATCH(BA$7,'qtrP&amp;L'!$6:$6,0))</f>
        <v>15.994999999999999</v>
      </c>
      <c r="BD25" s="290">
        <f>INDEX('qtrP&amp;L'!$93:$93,MATCH(BA$7,'qtrP&amp;L'!$6:$6,0))</f>
        <v>19.111000000000001</v>
      </c>
      <c r="BE25" s="290"/>
      <c r="BF25" s="290">
        <f>INDEX('qtrP&amp;L'!$90:$90,MATCH(BF$7,'qtrP&amp;L'!$6:$6,0))</f>
        <v>19.504000000000001</v>
      </c>
      <c r="BG25" s="290">
        <f>INDEX('qtrP&amp;L'!$91:$91,MATCH(BF$7,'qtrP&amp;L'!$6:$6,0))</f>
        <v>19.279</v>
      </c>
      <c r="BH25" s="290">
        <f>INDEX('qtrP&amp;L'!$92:$92,MATCH(BF$7,'qtrP&amp;L'!$6:$6,0))</f>
        <v>17.934000000000001</v>
      </c>
      <c r="BI25" s="290">
        <f>INDEX('qtrP&amp;L'!$93:$93,MATCH(BF$7,'qtrP&amp;L'!$6:$6,0))</f>
        <v>18.321000000000002</v>
      </c>
      <c r="BJ25" s="290"/>
      <c r="BK25" s="290">
        <f>INDEX('qtrP&amp;L'!$90:$90,MATCH(BK$7,'qtrP&amp;L'!$6:$6,0))</f>
        <v>20.048999999999999</v>
      </c>
      <c r="BL25" s="290">
        <f>INDEX('qtrP&amp;L'!$91:$91,MATCH(BK$7,'qtrP&amp;L'!$6:$6,0))</f>
        <v>19.605</v>
      </c>
      <c r="BM25" s="290">
        <f>INDEX('qtrP&amp;L'!$92:$92,MATCH(BK$7,'qtrP&amp;L'!$6:$6,0))</f>
        <v>20.832000000000001</v>
      </c>
      <c r="BN25" s="290">
        <f>INDEX('qtrP&amp;L'!$93:$93,MATCH(BK$7,'qtrP&amp;L'!$6:$6,0))</f>
        <v>21.434999999999999</v>
      </c>
      <c r="BO25" s="290"/>
      <c r="BP25" s="290">
        <f>INDEX('qtrP&amp;L'!$90:$90,MATCH(BP$7,'qtrP&amp;L'!$6:$6,0))</f>
        <v>20.228000000000002</v>
      </c>
      <c r="BQ25" s="290">
        <f>INDEX('qtrP&amp;L'!$91:$91,MATCH(BP$7,'qtrP&amp;L'!$6:$6,0))</f>
        <v>26.134</v>
      </c>
      <c r="BR25" s="290">
        <f>INDEX('qtrP&amp;L'!$92:$92,MATCH(BP$7,'qtrP&amp;L'!$6:$6,0))</f>
        <v>26.681000000000001</v>
      </c>
      <c r="BS25" s="290">
        <f>INDEX('qtrP&amp;L'!$93:$93,MATCH(BP$7,'qtrP&amp;L'!$6:$6,0))</f>
        <v>17.908999999999999</v>
      </c>
      <c r="BT25" s="290"/>
      <c r="BU25" s="290">
        <f>INDEX('qtrP&amp;L'!$90:$90,MATCH(BU$7,'qtrP&amp;L'!$6:$6,0))</f>
        <v>36.683999999999997</v>
      </c>
      <c r="BV25" s="290">
        <f>INDEX('qtrP&amp;L'!$91:$91,MATCH(BU$7,'qtrP&amp;L'!$6:$6,0))</f>
        <v>14.090999999999999</v>
      </c>
      <c r="BW25" s="290">
        <f>INDEX('qtrP&amp;L'!$92:$92,MATCH(BU$7,'qtrP&amp;L'!$6:$6,0))</f>
        <v>13.484999999999999</v>
      </c>
      <c r="BX25" s="290">
        <f>INDEX('qtrP&amp;L'!$93:$93,MATCH(BU$7,'qtrP&amp;L'!$6:$6,0))</f>
        <v>13.167999999999999</v>
      </c>
      <c r="BY25" s="290"/>
      <c r="BZ25" s="290">
        <f>INDEX('qtrP&amp;L'!$90:$90,MATCH(BZ$7,'qtrP&amp;L'!$6:$6,0))</f>
        <v>12.638999999999999</v>
      </c>
      <c r="CA25" s="290">
        <f>INDEX('qtrP&amp;L'!$91:$91,MATCH(BZ$7,'qtrP&amp;L'!$6:$6,0))</f>
        <v>10.904</v>
      </c>
      <c r="CB25" s="290">
        <f>INDEX('qtrP&amp;L'!$92:$92,MATCH(BZ$7,'qtrP&amp;L'!$6:$6,0))</f>
        <v>10.247999999999999</v>
      </c>
      <c r="CC25" s="290">
        <f>INDEX('qtrP&amp;L'!$93:$93,MATCH(BZ$7,'qtrP&amp;L'!$6:$6,0))</f>
        <v>11.509</v>
      </c>
      <c r="CD25" s="290"/>
      <c r="CE25" s="290">
        <f>INDEX('qtrP&amp;L'!$90:$90,MATCH(CE$7,'qtrP&amp;L'!$6:$6,0))</f>
        <v>10.750999999999999</v>
      </c>
      <c r="CF25" s="290">
        <f>INDEX('qtrP&amp;L'!$91:$91,MATCH(CE$7,'qtrP&amp;L'!$6:$6,0))</f>
        <v>12.782999999999999</v>
      </c>
      <c r="CG25" s="290">
        <f>INDEX('qtrP&amp;L'!$92:$92,MATCH(CE$7,'qtrP&amp;L'!$6:$6,0))</f>
        <v>11.419</v>
      </c>
      <c r="CH25" s="290">
        <f>INDEX('qtrP&amp;L'!$93:$93,MATCH(CE$7,'qtrP&amp;L'!$6:$6,0))</f>
        <v>7.8049999999999997</v>
      </c>
      <c r="CI25" s="290"/>
      <c r="CJ25" s="290">
        <f>INDEX('qtrP&amp;L'!$90:$90,MATCH(CJ$7,'qtrP&amp;L'!$6:$6,0))</f>
        <v>7.2119999999999997</v>
      </c>
      <c r="CK25" s="290">
        <f>INDEX('qtrP&amp;L'!$91:$91,MATCH(CJ$7,'qtrP&amp;L'!$6:$6,0))</f>
        <v>16.811</v>
      </c>
      <c r="CL25" s="290">
        <f>INDEX('qtrP&amp;L'!$92:$92,MATCH(CJ$7,'qtrP&amp;L'!$6:$6,0))</f>
        <v>20.408000000000001</v>
      </c>
      <c r="CM25" s="290">
        <f>INDEX('qtrP&amp;L'!$93:$93,MATCH(CJ$7,'qtrP&amp;L'!$6:$6,0))</f>
        <v>30</v>
      </c>
      <c r="CN25" s="290"/>
      <c r="CO25" s="290">
        <f>INDEX('qtrP&amp;L'!$90:$90,MATCH(CO$7,'qtrP&amp;L'!$6:$6,0))</f>
        <v>31</v>
      </c>
      <c r="CP25" s="290">
        <f>INDEX('qtrP&amp;L'!$91:$91,MATCH(CO$7,'qtrP&amp;L'!$6:$6,0))</f>
        <v>34</v>
      </c>
      <c r="CQ25" s="290">
        <f>INDEX('qtrP&amp;L'!$92:$92,MATCH(CO$7,'qtrP&amp;L'!$6:$6,0))</f>
        <v>33</v>
      </c>
      <c r="CR25" s="290">
        <f>INDEX('qtrP&amp;L'!$93:$93,MATCH(CO$7,'qtrP&amp;L'!$6:$6,0))</f>
        <v>33</v>
      </c>
      <c r="CS25" s="290"/>
      <c r="CT25" s="290">
        <f>INDEX('qtrP&amp;L'!$90:$90,MATCH(CT$7,'qtrP&amp;L'!$6:$6,0))</f>
        <v>31</v>
      </c>
      <c r="CU25" s="290">
        <f>INDEX('qtrP&amp;L'!$91:$91,MATCH(CT$7,'qtrP&amp;L'!$6:$6,0))</f>
        <v>36</v>
      </c>
      <c r="CV25" s="290">
        <f>INDEX('qtrP&amp;L'!$92:$92,MATCH(CT$7,'qtrP&amp;L'!$6:$6,0))</f>
        <v>38</v>
      </c>
      <c r="CW25" s="290">
        <f>INDEX('qtrP&amp;L'!$93:$93,MATCH(CT$7,'qtrP&amp;L'!$6:$6,0))</f>
        <v>33</v>
      </c>
      <c r="CX25" s="290"/>
      <c r="CY25" s="290">
        <f>INDEX('qtrP&amp;L'!$90:$90,MATCH(CY$7,'qtrP&amp;L'!$6:$6,0))</f>
        <v>31</v>
      </c>
      <c r="CZ25" s="290">
        <f>INDEX('qtrP&amp;L'!$91:$91,MATCH(CY$7,'qtrP&amp;L'!$6:$6,0))</f>
        <v>32</v>
      </c>
      <c r="DA25" s="290">
        <f>INDEX('qtrP&amp;L'!$92:$92,MATCH(CY$7,'qtrP&amp;L'!$6:$6,0))</f>
        <v>31</v>
      </c>
      <c r="DB25" s="290">
        <f>INDEX('qtrP&amp;L'!$93:$93,MATCH(CY$7,'qtrP&amp;L'!$6:$6,0))</f>
        <v>33</v>
      </c>
      <c r="DC25" s="290"/>
      <c r="DD25" s="290">
        <f>INDEX('qtrP&amp;L'!$90:$90,MATCH(DD$7,'qtrP&amp;L'!$6:$6,0))</f>
        <v>31</v>
      </c>
      <c r="DE25" s="290">
        <f>INDEX('qtrP&amp;L'!$91:$91,MATCH(DD$7,'qtrP&amp;L'!$6:$6,0))</f>
        <v>30</v>
      </c>
      <c r="DF25" s="290">
        <f>INDEX('qtrP&amp;L'!$92:$92,MATCH(DD$7,'qtrP&amp;L'!$6:$6,0))</f>
        <v>31</v>
      </c>
      <c r="DG25" s="290">
        <f>INDEX('qtrP&amp;L'!$93:$93,MATCH(DD$7,'qtrP&amp;L'!$6:$6,0))</f>
        <v>38</v>
      </c>
      <c r="DH25" s="290"/>
      <c r="DI25" s="290">
        <f>INDEX('qtrP&amp;L'!$90:$90,MATCH(DI$7,'qtrP&amp;L'!$6:$6,0))</f>
        <v>40</v>
      </c>
      <c r="DJ25" s="290">
        <f>INDEX('qtrP&amp;L'!$91:$91,MATCH(DI$7,'qtrP&amp;L'!$6:$6,0))</f>
        <v>40</v>
      </c>
      <c r="DK25" s="290">
        <f>INDEX('qtrP&amp;L'!$92:$92,MATCH(DI$7,'qtrP&amp;L'!$6:$6,0))</f>
        <v>38</v>
      </c>
      <c r="DL25" s="290">
        <f>INDEX('qtrP&amp;L'!$93:$93,MATCH(DI$7,'qtrP&amp;L'!$6:$6,0))</f>
        <v>42</v>
      </c>
      <c r="DM25" s="290"/>
      <c r="DN25" s="290">
        <f>INDEX('qtrP&amp;L'!$90:$90,MATCH(DN$7,'qtrP&amp;L'!$6:$6,0))</f>
        <v>39</v>
      </c>
      <c r="DO25" s="290">
        <f>INDEX('qtrP&amp;L'!$91:$91,MATCH(DN$7,'qtrP&amp;L'!$6:$6,0))</f>
        <v>37</v>
      </c>
      <c r="DP25" s="290">
        <f>INDEX('qtrP&amp;L'!$92:$92,MATCH(DN$7,'qtrP&amp;L'!$6:$6,0))</f>
        <v>35</v>
      </c>
      <c r="DQ25" s="290">
        <f>INDEX('qtrP&amp;L'!$93:$93,MATCH(DN$7,'qtrP&amp;L'!$6:$6,0))</f>
        <v>50</v>
      </c>
      <c r="DR25" s="290"/>
      <c r="DS25" s="290">
        <f>INDEX('qtrP&amp;L'!$90:$90,MATCH(DS$7,'qtrP&amp;L'!$6:$6,0))</f>
        <v>35</v>
      </c>
      <c r="DT25" s="290">
        <f>INDEX('qtrP&amp;L'!$91:$91,MATCH(DS$7,'qtrP&amp;L'!$6:$6,0))</f>
        <v>35</v>
      </c>
      <c r="DU25" s="290">
        <f>INDEX('qtrP&amp;L'!$92:$92,MATCH(DS$7,'qtrP&amp;L'!$6:$6,0))</f>
        <v>34</v>
      </c>
      <c r="DV25" s="290">
        <f>INDEX('qtrP&amp;L'!$93:$93,MATCH(DS$7,'qtrP&amp;L'!$6:$6,0))</f>
        <v>34</v>
      </c>
      <c r="DW25" s="290"/>
      <c r="DX25" s="290">
        <f>INDEX('qtrP&amp;L'!$90:$90,MATCH(DX$7,'qtrP&amp;L'!$6:$6,0))</f>
        <v>33</v>
      </c>
      <c r="DY25" s="290">
        <f>INDEX('qtrP&amp;L'!$91:$91,MATCH(DX$7,'qtrP&amp;L'!$6:$6,0))</f>
        <v>32</v>
      </c>
      <c r="DZ25" s="290">
        <f>INDEX('qtrP&amp;L'!$92:$92,MATCH(DX$7,'qtrP&amp;L'!$6:$6,0))</f>
        <v>30</v>
      </c>
      <c r="EA25" s="290">
        <f>INDEX('qtrP&amp;L'!$93:$93,MATCH(DX$7,'qtrP&amp;L'!$6:$6,0))</f>
        <v>30</v>
      </c>
      <c r="EB25" s="290"/>
      <c r="EC25" s="290">
        <f>INDEX('qtrP&amp;L'!$90:$90,MATCH(EC$7,'qtrP&amp;L'!$6:$6,0))</f>
        <v>31</v>
      </c>
      <c r="ED25" s="290">
        <f>INDEX('qtrP&amp;L'!$91:$91,MATCH(EC$7,'qtrP&amp;L'!$6:$6,0))</f>
        <v>30</v>
      </c>
      <c r="EE25" s="290">
        <f>INDEX('qtrP&amp;L'!$92:$92,MATCH(EC$7,'qtrP&amp;L'!$6:$6,0))</f>
        <v>30</v>
      </c>
      <c r="EF25" s="290">
        <f>INDEX('qtrP&amp;L'!$93:$93,MATCH(EC$7,'qtrP&amp;L'!$6:$6,0))</f>
        <v>31</v>
      </c>
      <c r="EG25" s="249"/>
      <c r="EH25" s="290">
        <f>INDEX('qtrP&amp;L'!$90:$90,MATCH(EH$7,'qtrP&amp;L'!$6:$6,0))</f>
        <v>48</v>
      </c>
      <c r="EI25" s="290">
        <f>INDEX('qtrP&amp;L'!$91:$91,MATCH(EH$7,'qtrP&amp;L'!$6:$6,0))</f>
        <v>29</v>
      </c>
      <c r="EJ25" s="290">
        <f>INDEX('qtrP&amp;L'!$92:$92,MATCH(EH$7,'qtrP&amp;L'!$6:$6,0))</f>
        <v>28</v>
      </c>
      <c r="EK25" s="290">
        <f>INDEX('qtrP&amp;L'!$93:$93,MATCH(EH$7,'qtrP&amp;L'!$6:$6,0))</f>
        <v>31</v>
      </c>
      <c r="EL25" s="290"/>
      <c r="EM25" s="1267">
        <f>INDEX('qtrP&amp;L'!$90:$90,MATCH(EM$7,'qtrP&amp;L'!$6:$6,0))</f>
        <v>25</v>
      </c>
      <c r="EN25" s="1267">
        <f>INDEX('qtrP&amp;L'!$91:$91,MATCH(EM$7,'qtrP&amp;L'!$6:$6,0))</f>
        <v>25</v>
      </c>
      <c r="EO25" s="1267">
        <f>INDEX('qtrP&amp;L'!$92:$92,MATCH(EM$7,'qtrP&amp;L'!$6:$6,0))</f>
        <v>25</v>
      </c>
      <c r="EP25" s="1267">
        <f>INDEX('qtrP&amp;L'!$93:$93,MATCH(EM$7,'qtrP&amp;L'!$6:$6,0))</f>
        <v>30</v>
      </c>
      <c r="EQ25" s="290"/>
      <c r="ER25" s="277"/>
      <c r="ES25" s="292">
        <f>'yrP&amp;L'!J37</f>
        <v>52.228000000000002</v>
      </c>
      <c r="ET25" s="292">
        <f>'yrP&amp;L'!K37</f>
        <v>49.106000000000002</v>
      </c>
      <c r="EU25" s="292">
        <f>'yrP&amp;L'!L37</f>
        <v>44.81</v>
      </c>
      <c r="EV25" s="292">
        <f>'yrP&amp;L'!M37</f>
        <v>37.646000000000001</v>
      </c>
      <c r="EW25" s="292">
        <f>'yrP&amp;L'!N37</f>
        <v>30.664000000000001</v>
      </c>
      <c r="EX25" s="292">
        <f>'yrP&amp;L'!O37</f>
        <v>38.929000000000002</v>
      </c>
      <c r="EY25" s="292">
        <f>'yrP&amp;L'!P37</f>
        <v>37.048000000000002</v>
      </c>
      <c r="EZ25" s="292">
        <f>'yrP&amp;L'!Q37</f>
        <v>34.25</v>
      </c>
      <c r="FA25" s="292">
        <f>'yrP&amp;L'!R37</f>
        <v>47.091000000000008</v>
      </c>
      <c r="FB25" s="292">
        <f>'yrP&amp;L'!S37</f>
        <v>50.396000000000001</v>
      </c>
      <c r="FC25" s="292">
        <f>'yrP&amp;L'!T37</f>
        <v>62.697999999999993</v>
      </c>
      <c r="FD25" s="292">
        <f>'yrP&amp;L'!U37</f>
        <v>75.037999999999997</v>
      </c>
      <c r="FE25" s="292">
        <f>'yrP&amp;L'!V37</f>
        <v>81.920999999999992</v>
      </c>
      <c r="FF25" s="292">
        <f>'yrP&amp;L'!W37</f>
        <v>90.951999999999998</v>
      </c>
      <c r="FG25" s="292">
        <f>'yrP&amp;L'!X37</f>
        <v>77.427999999999997</v>
      </c>
      <c r="FH25" s="292">
        <f>'yrP&amp;L'!Y37</f>
        <v>45.3</v>
      </c>
      <c r="FI25" s="291">
        <f>'yrP&amp;L'!Z37</f>
        <v>42.758000000000003</v>
      </c>
      <c r="FJ25" s="291">
        <f>'yrP&amp;L'!AA37</f>
        <v>74.430999999999997</v>
      </c>
      <c r="FK25" s="292">
        <f>'yrP&amp;L'!AB37</f>
        <v>131</v>
      </c>
      <c r="FL25" s="292">
        <f>'yrP&amp;L'!AC37</f>
        <v>138</v>
      </c>
      <c r="FM25" s="291">
        <f>'yrP&amp;L'!AD37</f>
        <v>127</v>
      </c>
      <c r="FN25" s="292">
        <f>'yrP&amp;L'!AE37</f>
        <v>130</v>
      </c>
      <c r="FO25" s="292">
        <f>'yrP&amp;L'!AF37</f>
        <v>160</v>
      </c>
      <c r="FP25" s="292">
        <f>'yrP&amp;L'!AG37</f>
        <v>161</v>
      </c>
      <c r="FQ25" s="292">
        <f>'yrP&amp;L'!AH37</f>
        <v>138</v>
      </c>
      <c r="FR25" s="292">
        <f>'yrP&amp;L'!AI37</f>
        <v>125</v>
      </c>
      <c r="FS25" s="292">
        <f>'yrP&amp;L'!AJ37</f>
        <v>122</v>
      </c>
      <c r="FT25" s="292">
        <f>'yrP&amp;L'!AK37</f>
        <v>136</v>
      </c>
      <c r="FU25" s="292">
        <f>'yrP&amp;L'!AL37</f>
        <v>105</v>
      </c>
      <c r="FV25" s="292">
        <f>'yrP&amp;L'!AM37</f>
        <v>105</v>
      </c>
      <c r="FW25" s="293">
        <f>'yrP&amp;L'!AN37</f>
        <v>105</v>
      </c>
      <c r="FX25" s="292">
        <f>'yrP&amp;L'!AO37</f>
        <v>105</v>
      </c>
      <c r="FY25" s="293">
        <f>'yrP&amp;L'!AP37</f>
        <v>105</v>
      </c>
      <c r="FZ25" s="292"/>
      <c r="GA25" s="292"/>
      <c r="GB25" s="292"/>
      <c r="GC25" s="292"/>
      <c r="GD25" s="292"/>
    </row>
    <row r="26" spans="1:186" hidden="1" outlineLevel="1" x14ac:dyDescent="0.2">
      <c r="A26" s="288" t="s">
        <v>252</v>
      </c>
      <c r="B26" s="289"/>
      <c r="C26" s="290">
        <f>INDEX('qtrP&amp;L'!$100:$100,MATCH(C$7,'qtrP&amp;L'!$6:$6,0))</f>
        <v>0</v>
      </c>
      <c r="D26" s="290">
        <f>INDEX('qtrP&amp;L'!$101:$101,MATCH(C$7,'qtrP&amp;L'!$6:$6,0))</f>
        <v>0</v>
      </c>
      <c r="E26" s="290">
        <f>INDEX('qtrP&amp;L'!$102:$102,MATCH(C$7,'qtrP&amp;L'!$6:$6,0))</f>
        <v>0</v>
      </c>
      <c r="F26" s="290">
        <f>INDEX('qtrP&amp;L'!$103:$103,MATCH(C$7,'qtrP&amp;L'!$6:$6,0))</f>
        <v>0</v>
      </c>
      <c r="G26" s="290"/>
      <c r="H26" s="290">
        <f>INDEX('qtrP&amp;L'!$100:$100,MATCH(H$7,'qtrP&amp;L'!$6:$6,0))</f>
        <v>0</v>
      </c>
      <c r="I26" s="290">
        <f>INDEX('qtrP&amp;L'!$101:$101,MATCH(H$7,'qtrP&amp;L'!$6:$6,0))</f>
        <v>0</v>
      </c>
      <c r="J26" s="290">
        <f>INDEX('qtrP&amp;L'!$102:$102,MATCH(H$7,'qtrP&amp;L'!$6:$6,0))</f>
        <v>0</v>
      </c>
      <c r="K26" s="290">
        <f>INDEX('qtrP&amp;L'!$103:$103,MATCH(H$7,'qtrP&amp;L'!$6:$6,0))</f>
        <v>0</v>
      </c>
      <c r="L26" s="290"/>
      <c r="M26" s="290">
        <f>INDEX('qtrP&amp;L'!$100:$100,MATCH(M$7,'qtrP&amp;L'!$6:$6,0))</f>
        <v>0</v>
      </c>
      <c r="N26" s="290">
        <f>INDEX('qtrP&amp;L'!$101:$101,MATCH(M$7,'qtrP&amp;L'!$6:$6,0))</f>
        <v>0</v>
      </c>
      <c r="O26" s="290">
        <f>INDEX('qtrP&amp;L'!$102:$102,MATCH(M$7,'qtrP&amp;L'!$6:$6,0))</f>
        <v>0</v>
      </c>
      <c r="P26" s="290">
        <f>INDEX('qtrP&amp;L'!$103:$103,MATCH(M$7,'qtrP&amp;L'!$6:$6,0))</f>
        <v>0</v>
      </c>
      <c r="Q26" s="290"/>
      <c r="R26" s="290">
        <f>INDEX('qtrP&amp;L'!$100:$100,MATCH(R$7,'qtrP&amp;L'!$6:$6,0))</f>
        <v>0</v>
      </c>
      <c r="S26" s="290">
        <f>INDEX('qtrP&amp;L'!$101:$101,MATCH(R$7,'qtrP&amp;L'!$6:$6,0))</f>
        <v>0</v>
      </c>
      <c r="T26" s="290">
        <f>INDEX('qtrP&amp;L'!$102:$102,MATCH(R$7,'qtrP&amp;L'!$6:$6,0))</f>
        <v>0</v>
      </c>
      <c r="U26" s="290">
        <f>INDEX('qtrP&amp;L'!$103:$103,MATCH(R$7,'qtrP&amp;L'!$6:$6,0))</f>
        <v>0</v>
      </c>
      <c r="V26" s="290"/>
      <c r="W26" s="290">
        <f>INDEX('qtrP&amp;L'!$100:$100,MATCH(W$7,'qtrP&amp;L'!$6:$6,0))</f>
        <v>0</v>
      </c>
      <c r="X26" s="290">
        <f>INDEX('qtrP&amp;L'!$101:$101,MATCH(W$7,'qtrP&amp;L'!$6:$6,0))</f>
        <v>0</v>
      </c>
      <c r="Y26" s="290">
        <f>INDEX('qtrP&amp;L'!$102:$102,MATCH(W$7,'qtrP&amp;L'!$6:$6,0))</f>
        <v>0</v>
      </c>
      <c r="Z26" s="290">
        <f>INDEX('qtrP&amp;L'!$103:$103,MATCH(W$7,'qtrP&amp;L'!$6:$6,0))</f>
        <v>0</v>
      </c>
      <c r="AA26" s="290"/>
      <c r="AB26" s="290">
        <f>INDEX('qtrP&amp;L'!$100:$100,MATCH(AB$7,'qtrP&amp;L'!$6:$6,0))</f>
        <v>0</v>
      </c>
      <c r="AC26" s="290">
        <f>INDEX('qtrP&amp;L'!$101:$101,MATCH(AB$7,'qtrP&amp;L'!$6:$6,0))</f>
        <v>0</v>
      </c>
      <c r="AD26" s="290">
        <f>INDEX('qtrP&amp;L'!$102:$102,MATCH(AB$7,'qtrP&amp;L'!$6:$6,0))</f>
        <v>0</v>
      </c>
      <c r="AE26" s="290">
        <f>INDEX('qtrP&amp;L'!$103:$103,MATCH(AB$7,'qtrP&amp;L'!$6:$6,0))</f>
        <v>0</v>
      </c>
      <c r="AF26" s="290"/>
      <c r="AG26" s="290">
        <f>INDEX('qtrP&amp;L'!$100:$100,MATCH(AG$7,'qtrP&amp;L'!$6:$6,0))</f>
        <v>0</v>
      </c>
      <c r="AH26" s="290">
        <f>INDEX('qtrP&amp;L'!$101:$101,MATCH(AG$7,'qtrP&amp;L'!$6:$6,0))</f>
        <v>0</v>
      </c>
      <c r="AI26" s="290">
        <f>INDEX('qtrP&amp;L'!$102:$102,MATCH(AG$7,'qtrP&amp;L'!$6:$6,0))</f>
        <v>0</v>
      </c>
      <c r="AJ26" s="290">
        <f>INDEX('qtrP&amp;L'!$103:$103,MATCH(AG$7,'qtrP&amp;L'!$6:$6,0))</f>
        <v>0</v>
      </c>
      <c r="AK26" s="290"/>
      <c r="AL26" s="290">
        <f>INDEX('qtrP&amp;L'!$100:$100,MATCH(AL$7,'qtrP&amp;L'!$6:$6,0))</f>
        <v>0</v>
      </c>
      <c r="AM26" s="290">
        <f>INDEX('qtrP&amp;L'!$101:$101,MATCH(AL$7,'qtrP&amp;L'!$6:$6,0))</f>
        <v>0</v>
      </c>
      <c r="AN26" s="290">
        <f>INDEX('qtrP&amp;L'!$102:$102,MATCH(AL$7,'qtrP&amp;L'!$6:$6,0))</f>
        <v>0</v>
      </c>
      <c r="AO26" s="290">
        <f>INDEX('qtrP&amp;L'!$103:$103,MATCH(AL$7,'qtrP&amp;L'!$6:$6,0))</f>
        <v>0</v>
      </c>
      <c r="AP26" s="290"/>
      <c r="AQ26" s="290">
        <f>INDEX('qtrP&amp;L'!$100:$100,MATCH(AQ$7,'qtrP&amp;L'!$6:$6,0))</f>
        <v>0</v>
      </c>
      <c r="AR26" s="290">
        <f>INDEX('qtrP&amp;L'!$101:$101,MATCH(AQ$7,'qtrP&amp;L'!$6:$6,0))</f>
        <v>0</v>
      </c>
      <c r="AS26" s="290">
        <f>INDEX('qtrP&amp;L'!$102:$102,MATCH(AQ$7,'qtrP&amp;L'!$6:$6,0))</f>
        <v>0</v>
      </c>
      <c r="AT26" s="290">
        <f>INDEX('qtrP&amp;L'!$103:$103,MATCH(AQ$7,'qtrP&amp;L'!$6:$6,0))</f>
        <v>0</v>
      </c>
      <c r="AU26" s="290"/>
      <c r="AV26" s="290">
        <f>INDEX('qtrP&amp;L'!$100:$100,MATCH(AV$7,'qtrP&amp;L'!$6:$6,0))</f>
        <v>0</v>
      </c>
      <c r="AW26" s="290">
        <f>INDEX('qtrP&amp;L'!$101:$101,MATCH(AV$7,'qtrP&amp;L'!$6:$6,0))</f>
        <v>0</v>
      </c>
      <c r="AX26" s="290">
        <f>INDEX('qtrP&amp;L'!$102:$102,MATCH(AV$7,'qtrP&amp;L'!$6:$6,0))</f>
        <v>0</v>
      </c>
      <c r="AY26" s="290">
        <f>INDEX('qtrP&amp;L'!$103:$103,MATCH(AV$7,'qtrP&amp;L'!$6:$6,0))</f>
        <v>0</v>
      </c>
      <c r="AZ26" s="290"/>
      <c r="BA26" s="290">
        <f>INDEX('qtrP&amp;L'!$100:$100,MATCH(BA$7,'qtrP&amp;L'!$6:$6,0))</f>
        <v>0</v>
      </c>
      <c r="BB26" s="290">
        <f>INDEX('qtrP&amp;L'!$101:$101,MATCH(BA$7,'qtrP&amp;L'!$6:$6,0))</f>
        <v>0</v>
      </c>
      <c r="BC26" s="290">
        <f>INDEX('qtrP&amp;L'!$102:$102,MATCH(BA$7,'qtrP&amp;L'!$6:$6,0))</f>
        <v>0</v>
      </c>
      <c r="BD26" s="290">
        <f>INDEX('qtrP&amp;L'!$103:$103,MATCH(BA$7,'qtrP&amp;L'!$6:$6,0))</f>
        <v>0</v>
      </c>
      <c r="BE26" s="290"/>
      <c r="BF26" s="290">
        <f>INDEX('qtrP&amp;L'!$100:$100,MATCH(BF$7,'qtrP&amp;L'!$6:$6,0))</f>
        <v>0</v>
      </c>
      <c r="BG26" s="290">
        <f>INDEX('qtrP&amp;L'!$101:$101,MATCH(BF$7,'qtrP&amp;L'!$6:$6,0))</f>
        <v>0</v>
      </c>
      <c r="BH26" s="290">
        <f>INDEX('qtrP&amp;L'!$102:$102,MATCH(BF$7,'qtrP&amp;L'!$6:$6,0))</f>
        <v>0</v>
      </c>
      <c r="BI26" s="290">
        <f>INDEX('qtrP&amp;L'!$103:$103,MATCH(BF$7,'qtrP&amp;L'!$6:$6,0))</f>
        <v>0</v>
      </c>
      <c r="BJ26" s="290"/>
      <c r="BK26" s="290">
        <f>INDEX('qtrP&amp;L'!$100:$100,MATCH(BK$7,'qtrP&amp;L'!$6:$6,0))</f>
        <v>0</v>
      </c>
      <c r="BL26" s="290">
        <f>INDEX('qtrP&amp;L'!$101:$101,MATCH(BK$7,'qtrP&amp;L'!$6:$6,0))</f>
        <v>0</v>
      </c>
      <c r="BM26" s="290">
        <f>INDEX('qtrP&amp;L'!$102:$102,MATCH(BK$7,'qtrP&amp;L'!$6:$6,0))</f>
        <v>0</v>
      </c>
      <c r="BN26" s="290">
        <f>INDEX('qtrP&amp;L'!$103:$103,MATCH(BK$7,'qtrP&amp;L'!$6:$6,0))</f>
        <v>0</v>
      </c>
      <c r="BO26" s="290"/>
      <c r="BP26" s="290">
        <f>INDEX('qtrP&amp;L'!$100:$100,MATCH(BP$7,'qtrP&amp;L'!$6:$6,0))</f>
        <v>0</v>
      </c>
      <c r="BQ26" s="290">
        <f>INDEX('qtrP&amp;L'!$101:$101,MATCH(BP$7,'qtrP&amp;L'!$6:$6,0))</f>
        <v>0</v>
      </c>
      <c r="BR26" s="290">
        <f>INDEX('qtrP&amp;L'!$102:$102,MATCH(BP$7,'qtrP&amp;L'!$6:$6,0))</f>
        <v>0</v>
      </c>
      <c r="BS26" s="290">
        <f>INDEX('qtrP&amp;L'!$103:$103,MATCH(BP$7,'qtrP&amp;L'!$6:$6,0))</f>
        <v>0</v>
      </c>
      <c r="BT26" s="290"/>
      <c r="BU26" s="290">
        <f>INDEX('qtrP&amp;L'!$100:$100,MATCH(BU$7,'qtrP&amp;L'!$6:$6,0))</f>
        <v>0</v>
      </c>
      <c r="BV26" s="290">
        <f>INDEX('qtrP&amp;L'!$101:$101,MATCH(BU$7,'qtrP&amp;L'!$6:$6,0))</f>
        <v>0</v>
      </c>
      <c r="BW26" s="290">
        <f>INDEX('qtrP&amp;L'!$102:$102,MATCH(BU$7,'qtrP&amp;L'!$6:$6,0))</f>
        <v>0</v>
      </c>
      <c r="BX26" s="290">
        <f>INDEX('qtrP&amp;L'!$103:$103,MATCH(BU$7,'qtrP&amp;L'!$6:$6,0))</f>
        <v>0</v>
      </c>
      <c r="BY26" s="290"/>
      <c r="BZ26" s="290">
        <f>INDEX('qtrP&amp;L'!$100:$100,MATCH(BZ$7,'qtrP&amp;L'!$6:$6,0))</f>
        <v>0</v>
      </c>
      <c r="CA26" s="290">
        <f>INDEX('qtrP&amp;L'!$101:$101,MATCH(BZ$7,'qtrP&amp;L'!$6:$6,0))</f>
        <v>0</v>
      </c>
      <c r="CB26" s="290">
        <f>INDEX('qtrP&amp;L'!$102:$102,MATCH(BZ$7,'qtrP&amp;L'!$6:$6,0))</f>
        <v>0</v>
      </c>
      <c r="CC26" s="290">
        <f>INDEX('qtrP&amp;L'!$103:$103,MATCH(BZ$7,'qtrP&amp;L'!$6:$6,0))</f>
        <v>0</v>
      </c>
      <c r="CD26" s="290"/>
      <c r="CE26" s="290">
        <f>INDEX('qtrP&amp;L'!$100:$100,MATCH(CE$7,'qtrP&amp;L'!$6:$6,0))</f>
        <v>0</v>
      </c>
      <c r="CF26" s="290">
        <f>INDEX('qtrP&amp;L'!$101:$101,MATCH(CE$7,'qtrP&amp;L'!$6:$6,0))</f>
        <v>0</v>
      </c>
      <c r="CG26" s="290">
        <f>INDEX('qtrP&amp;L'!$102:$102,MATCH(CE$7,'qtrP&amp;L'!$6:$6,0))</f>
        <v>0</v>
      </c>
      <c r="CH26" s="290">
        <f>INDEX('qtrP&amp;L'!$103:$103,MATCH(CE$7,'qtrP&amp;L'!$6:$6,0))</f>
        <v>0</v>
      </c>
      <c r="CI26" s="290"/>
      <c r="CJ26" s="290">
        <f>INDEX('qtrP&amp;L'!$100:$100,MATCH(CJ$7,'qtrP&amp;L'!$6:$6,0))</f>
        <v>0</v>
      </c>
      <c r="CK26" s="290">
        <f>INDEX('qtrP&amp;L'!$101:$101,MATCH(CJ$7,'qtrP&amp;L'!$6:$6,0))</f>
        <v>0</v>
      </c>
      <c r="CL26" s="290">
        <f>INDEX('qtrP&amp;L'!$102:$102,MATCH(CJ$7,'qtrP&amp;L'!$6:$6,0))</f>
        <v>0</v>
      </c>
      <c r="CM26" s="290">
        <f>INDEX('qtrP&amp;L'!$103:$103,MATCH(CJ$7,'qtrP&amp;L'!$6:$6,0))</f>
        <v>0</v>
      </c>
      <c r="CN26" s="290"/>
      <c r="CO26" s="290">
        <f>INDEX('qtrP&amp;L'!$100:$100,MATCH(CO$7,'qtrP&amp;L'!$6:$6,0))</f>
        <v>0</v>
      </c>
      <c r="CP26" s="290">
        <f>INDEX('qtrP&amp;L'!$101:$101,MATCH(CO$7,'qtrP&amp;L'!$6:$6,0))</f>
        <v>0</v>
      </c>
      <c r="CQ26" s="290">
        <f>INDEX('qtrP&amp;L'!$102:$102,MATCH(CO$7,'qtrP&amp;L'!$6:$6,0))</f>
        <v>0</v>
      </c>
      <c r="CR26" s="290">
        <f>INDEX('qtrP&amp;L'!$103:$103,MATCH(CO$7,'qtrP&amp;L'!$6:$6,0))</f>
        <v>0</v>
      </c>
      <c r="CS26" s="290"/>
      <c r="CT26" s="290">
        <f>INDEX('qtrP&amp;L'!$100:$100,MATCH(CT$7,'qtrP&amp;L'!$6:$6,0))</f>
        <v>0</v>
      </c>
      <c r="CU26" s="290">
        <f>INDEX('qtrP&amp;L'!$101:$101,MATCH(CT$7,'qtrP&amp;L'!$6:$6,0))</f>
        <v>0</v>
      </c>
      <c r="CV26" s="290">
        <f>INDEX('qtrP&amp;L'!$102:$102,MATCH(CT$7,'qtrP&amp;L'!$6:$6,0))</f>
        <v>0</v>
      </c>
      <c r="CW26" s="290">
        <f>INDEX('qtrP&amp;L'!$103:$103,MATCH(CT$7,'qtrP&amp;L'!$6:$6,0))</f>
        <v>0</v>
      </c>
      <c r="CX26" s="290"/>
      <c r="CY26" s="290">
        <f>INDEX('qtrP&amp;L'!$100:$100,MATCH(CY$7,'qtrP&amp;L'!$6:$6,0))</f>
        <v>0</v>
      </c>
      <c r="CZ26" s="290">
        <f>INDEX('qtrP&amp;L'!$101:$101,MATCH(CY$7,'qtrP&amp;L'!$6:$6,0))</f>
        <v>0</v>
      </c>
      <c r="DA26" s="290">
        <f>INDEX('qtrP&amp;L'!$102:$102,MATCH(CY$7,'qtrP&amp;L'!$6:$6,0))</f>
        <v>0</v>
      </c>
      <c r="DB26" s="290">
        <f>INDEX('qtrP&amp;L'!$103:$103,MATCH(CY$7,'qtrP&amp;L'!$6:$6,0))</f>
        <v>0</v>
      </c>
      <c r="DC26" s="290"/>
      <c r="DD26" s="290">
        <f>INDEX('qtrP&amp;L'!$100:$100,MATCH(DD$7,'qtrP&amp;L'!$6:$6,0))</f>
        <v>0</v>
      </c>
      <c r="DE26" s="290">
        <f>INDEX('qtrP&amp;L'!$101:$101,MATCH(DD$7,'qtrP&amp;L'!$6:$6,0))</f>
        <v>0</v>
      </c>
      <c r="DF26" s="290">
        <f>INDEX('qtrP&amp;L'!$102:$102,MATCH(DD$7,'qtrP&amp;L'!$6:$6,0))</f>
        <v>0</v>
      </c>
      <c r="DG26" s="290">
        <f>INDEX('qtrP&amp;L'!$103:$103,MATCH(DD$7,'qtrP&amp;L'!$6:$6,0))</f>
        <v>0</v>
      </c>
      <c r="DH26" s="290"/>
      <c r="DI26" s="290">
        <f>INDEX('qtrP&amp;L'!$100:$100,MATCH(DI$7,'qtrP&amp;L'!$6:$6,0))</f>
        <v>0</v>
      </c>
      <c r="DJ26" s="290">
        <f>INDEX('qtrP&amp;L'!$101:$101,MATCH(DI$7,'qtrP&amp;L'!$6:$6,0))</f>
        <v>0</v>
      </c>
      <c r="DK26" s="290">
        <f>INDEX('qtrP&amp;L'!$102:$102,MATCH(DI$7,'qtrP&amp;L'!$6:$6,0))</f>
        <v>0</v>
      </c>
      <c r="DL26" s="290">
        <f>INDEX('qtrP&amp;L'!$103:$103,MATCH(DI$7,'qtrP&amp;L'!$6:$6,0))</f>
        <v>0</v>
      </c>
      <c r="DM26" s="290"/>
      <c r="DN26" s="290">
        <f>INDEX('qtrP&amp;L'!$100:$100,MATCH(DN$7,'qtrP&amp;L'!$6:$6,0))</f>
        <v>0</v>
      </c>
      <c r="DO26" s="290">
        <f>INDEX('qtrP&amp;L'!$101:$101,MATCH(DN$7,'qtrP&amp;L'!$6:$6,0))</f>
        <v>0</v>
      </c>
      <c r="DP26" s="290">
        <f>INDEX('qtrP&amp;L'!$102:$102,MATCH(DN$7,'qtrP&amp;L'!$6:$6,0))</f>
        <v>0</v>
      </c>
      <c r="DQ26" s="290">
        <f>INDEX('qtrP&amp;L'!$103:$103,MATCH(DN$7,'qtrP&amp;L'!$6:$6,0))</f>
        <v>0</v>
      </c>
      <c r="DR26" s="290"/>
      <c r="DS26" s="290">
        <f>INDEX('qtrP&amp;L'!$100:$100,MATCH(DS$7,'qtrP&amp;L'!$6:$6,0))</f>
        <v>0</v>
      </c>
      <c r="DT26" s="290">
        <f>INDEX('qtrP&amp;L'!$101:$101,MATCH(DS$7,'qtrP&amp;L'!$6:$6,0))</f>
        <v>0</v>
      </c>
      <c r="DU26" s="290">
        <f>INDEX('qtrP&amp;L'!$102:$102,MATCH(DS$7,'qtrP&amp;L'!$6:$6,0))</f>
        <v>0</v>
      </c>
      <c r="DV26" s="290">
        <f>INDEX('qtrP&amp;L'!$103:$103,MATCH(DS$7,'qtrP&amp;L'!$6:$6,0))</f>
        <v>0</v>
      </c>
      <c r="DW26" s="290"/>
      <c r="DX26" s="290">
        <f>INDEX('qtrP&amp;L'!$100:$100,MATCH(DX$7,'qtrP&amp;L'!$6:$6,0))</f>
        <v>0</v>
      </c>
      <c r="DY26" s="290">
        <f>INDEX('qtrP&amp;L'!$101:$101,MATCH(DX$7,'qtrP&amp;L'!$6:$6,0))</f>
        <v>0</v>
      </c>
      <c r="DZ26" s="290">
        <f>INDEX('qtrP&amp;L'!$102:$102,MATCH(DX$7,'qtrP&amp;L'!$6:$6,0))</f>
        <v>0</v>
      </c>
      <c r="EA26" s="290">
        <f>INDEX('qtrP&amp;L'!$103:$103,MATCH(DX$7,'qtrP&amp;L'!$6:$6,0))</f>
        <v>0</v>
      </c>
      <c r="EB26" s="290"/>
      <c r="EC26" s="290">
        <f>INDEX('qtrP&amp;L'!$100:$100,MATCH(EC$7,'qtrP&amp;L'!$6:$6,0))</f>
        <v>0</v>
      </c>
      <c r="ED26" s="290">
        <f>INDEX('qtrP&amp;L'!$101:$101,MATCH(EC$7,'qtrP&amp;L'!$6:$6,0))</f>
        <v>0</v>
      </c>
      <c r="EE26" s="290">
        <f>INDEX('qtrP&amp;L'!$102:$102,MATCH(EC$7,'qtrP&amp;L'!$6:$6,0))</f>
        <v>0</v>
      </c>
      <c r="EF26" s="290">
        <f>INDEX('qtrP&amp;L'!$103:$103,MATCH(EC$7,'qtrP&amp;L'!$6:$6,0))</f>
        <v>0</v>
      </c>
      <c r="EG26" s="249"/>
      <c r="EH26" s="290">
        <f>INDEX('qtrP&amp;L'!$100:$100,MATCH(EH$7,'qtrP&amp;L'!$6:$6,0))</f>
        <v>0</v>
      </c>
      <c r="EI26" s="290">
        <f>INDEX('qtrP&amp;L'!$101:$101,MATCH(EH$7,'qtrP&amp;L'!$6:$6,0))</f>
        <v>0</v>
      </c>
      <c r="EJ26" s="290">
        <f>INDEX('qtrP&amp;L'!$102:$102,MATCH(EH$7,'qtrP&amp;L'!$6:$6,0))</f>
        <v>0</v>
      </c>
      <c r="EK26" s="290">
        <f>INDEX('qtrP&amp;L'!$103:$103,MATCH(EH$7,'qtrP&amp;L'!$6:$6,0))</f>
        <v>0</v>
      </c>
      <c r="EL26" s="290"/>
      <c r="EM26" s="1267">
        <f>INDEX('qtrP&amp;L'!$100:$100,MATCH(EM$7,'qtrP&amp;L'!$6:$6,0))</f>
        <v>0</v>
      </c>
      <c r="EN26" s="1267">
        <f>INDEX('qtrP&amp;L'!$101:$101,MATCH(EM$7,'qtrP&amp;L'!$6:$6,0))</f>
        <v>0</v>
      </c>
      <c r="EO26" s="1267">
        <f>INDEX('qtrP&amp;L'!$102:$102,MATCH(EM$7,'qtrP&amp;L'!$6:$6,0))</f>
        <v>0</v>
      </c>
      <c r="EP26" s="1267">
        <f>INDEX('qtrP&amp;L'!$103:$103,MATCH(EM$7,'qtrP&amp;L'!$6:$6,0))</f>
        <v>0</v>
      </c>
      <c r="EQ26" s="290"/>
      <c r="ER26" s="277"/>
      <c r="ES26" s="292">
        <f>'yrP&amp;L'!J40</f>
        <v>0</v>
      </c>
      <c r="ET26" s="292">
        <f>'yrP&amp;L'!K40</f>
        <v>0</v>
      </c>
      <c r="EU26" s="292">
        <f>'yrP&amp;L'!L40</f>
        <v>0</v>
      </c>
      <c r="EV26" s="292">
        <f>'yrP&amp;L'!M40</f>
        <v>0</v>
      </c>
      <c r="EW26" s="292">
        <f>'yrP&amp;L'!N40</f>
        <v>0</v>
      </c>
      <c r="EX26" s="292">
        <f>'yrP&amp;L'!O40</f>
        <v>0</v>
      </c>
      <c r="EY26" s="292">
        <f>'yrP&amp;L'!P40</f>
        <v>0</v>
      </c>
      <c r="EZ26" s="292">
        <f>'yrP&amp;L'!Q40</f>
        <v>0</v>
      </c>
      <c r="FA26" s="292">
        <f>'yrP&amp;L'!R40</f>
        <v>0</v>
      </c>
      <c r="FB26" s="292">
        <f>'yrP&amp;L'!S40</f>
        <v>0</v>
      </c>
      <c r="FC26" s="292">
        <f>'yrP&amp;L'!T40</f>
        <v>32.856999999999999</v>
      </c>
      <c r="FD26" s="292">
        <f>'yrP&amp;L'!U40</f>
        <v>0</v>
      </c>
      <c r="FE26" s="292">
        <f>'yrP&amp;L'!V40</f>
        <v>16.100000000000001</v>
      </c>
      <c r="FF26" s="292">
        <f>'yrP&amp;L'!W40</f>
        <v>0</v>
      </c>
      <c r="FG26" s="292">
        <f>'yrP&amp;L'!X40</f>
        <v>0</v>
      </c>
      <c r="FH26" s="292">
        <f>'yrP&amp;L'!Y40</f>
        <v>0</v>
      </c>
      <c r="FI26" s="291">
        <f>'yrP&amp;L'!Z40</f>
        <v>0</v>
      </c>
      <c r="FJ26" s="291">
        <f>'yrP&amp;L'!AA40</f>
        <v>0</v>
      </c>
      <c r="FK26" s="292">
        <f>'yrP&amp;L'!AB40</f>
        <v>0</v>
      </c>
      <c r="FL26" s="292">
        <f>'yrP&amp;L'!AC40</f>
        <v>0</v>
      </c>
      <c r="FM26" s="291">
        <f>'yrP&amp;L'!AD40</f>
        <v>0</v>
      </c>
      <c r="FN26" s="292">
        <f>'yrP&amp;L'!AE40</f>
        <v>0</v>
      </c>
      <c r="FO26" s="292">
        <f>'yrP&amp;L'!AF40</f>
        <v>0</v>
      </c>
      <c r="FP26" s="292">
        <f>'yrP&amp;L'!AG40</f>
        <v>0</v>
      </c>
      <c r="FQ26" s="292">
        <f>'yrP&amp;L'!AH40</f>
        <v>0</v>
      </c>
      <c r="FR26" s="292">
        <f>'yrP&amp;L'!AI40</f>
        <v>0</v>
      </c>
      <c r="FS26" s="292">
        <f>'yrP&amp;L'!AJ40</f>
        <v>0</v>
      </c>
      <c r="FT26" s="292">
        <f>'yrP&amp;L'!AK40</f>
        <v>0</v>
      </c>
      <c r="FU26" s="292">
        <f>'yrP&amp;L'!AL40</f>
        <v>0</v>
      </c>
      <c r="FV26" s="292">
        <f>'yrP&amp;L'!AM40</f>
        <v>0</v>
      </c>
      <c r="FW26" s="293">
        <f>'yrP&amp;L'!AN40</f>
        <v>0</v>
      </c>
      <c r="FX26" s="292">
        <f>'yrP&amp;L'!AO40</f>
        <v>0</v>
      </c>
      <c r="FY26" s="293">
        <f>'yrP&amp;L'!AP40</f>
        <v>0</v>
      </c>
      <c r="FZ26" s="292"/>
      <c r="GA26" s="292"/>
      <c r="GB26" s="292"/>
      <c r="GC26" s="292"/>
      <c r="GD26" s="292"/>
    </row>
    <row r="27" spans="1:186" collapsed="1" x14ac:dyDescent="0.2">
      <c r="A27" s="302" t="s">
        <v>160</v>
      </c>
      <c r="B27" s="289"/>
      <c r="C27" s="290">
        <f>C23-C25-C26</f>
        <v>20.600000000000016</v>
      </c>
      <c r="D27" s="290">
        <f>D23-D25-D26</f>
        <v>55.399999999999984</v>
      </c>
      <c r="E27" s="290">
        <f>E23-E25-E26</f>
        <v>31.499999999999943</v>
      </c>
      <c r="F27" s="290">
        <f>F23-F25-F26</f>
        <v>70.816000000000074</v>
      </c>
      <c r="G27" s="290"/>
      <c r="H27" s="290">
        <f>H23-H25-H26</f>
        <v>41.356999999999957</v>
      </c>
      <c r="I27" s="290">
        <f>I23-I25-I26</f>
        <v>80.468999999999994</v>
      </c>
      <c r="J27" s="290">
        <f>J23-J25-J26</f>
        <v>31.329999999999984</v>
      </c>
      <c r="K27" s="290">
        <f>K23-K25-K26</f>
        <v>64.059000000000083</v>
      </c>
      <c r="L27" s="290"/>
      <c r="M27" s="290">
        <f>M23-M25-M26</f>
        <v>35.281999999999954</v>
      </c>
      <c r="N27" s="290">
        <f>N23-N25-N26</f>
        <v>67.95299999999996</v>
      </c>
      <c r="O27" s="290">
        <f>O23-O25-O26</f>
        <v>37.72900000000007</v>
      </c>
      <c r="P27" s="290">
        <f>P23-P25-P26</f>
        <v>87.754999999999882</v>
      </c>
      <c r="Q27" s="290"/>
      <c r="R27" s="290">
        <f>R23-R25-R26</f>
        <v>18.394999999999932</v>
      </c>
      <c r="S27" s="290">
        <f>S23-S25-S26</f>
        <v>70.150999999999954</v>
      </c>
      <c r="T27" s="290">
        <f>T23-T25-T26</f>
        <v>42.056000000000004</v>
      </c>
      <c r="U27" s="290">
        <f>U23-U25-U26</f>
        <v>100.31599999999995</v>
      </c>
      <c r="V27" s="290"/>
      <c r="W27" s="290">
        <f>W23-W25-W26</f>
        <v>52.773000000000017</v>
      </c>
      <c r="X27" s="290">
        <f>X23-X25-X26</f>
        <v>104.223</v>
      </c>
      <c r="Y27" s="290">
        <f>Y23-Y25-Y26</f>
        <v>63.078999999999965</v>
      </c>
      <c r="Z27" s="290">
        <f>Z23-Z25-Z26</f>
        <v>115.48299999999989</v>
      </c>
      <c r="AA27" s="290"/>
      <c r="AB27" s="290">
        <f>AB23-AB25-AB26</f>
        <v>45.676999999999921</v>
      </c>
      <c r="AC27" s="290">
        <f>AC23-AC25-AC26</f>
        <v>89.064000000000021</v>
      </c>
      <c r="AD27" s="290">
        <f>AD23-AD25-AD26</f>
        <v>48.541999999999945</v>
      </c>
      <c r="AE27" s="290">
        <f>AE23-AE25-AE26</f>
        <v>89.027999999999935</v>
      </c>
      <c r="AF27" s="290"/>
      <c r="AG27" s="290">
        <f>AG23-AG25-AG26</f>
        <v>45.249000000000045</v>
      </c>
      <c r="AH27" s="290">
        <f>AH23-AH25-AH26</f>
        <v>74.080999999999904</v>
      </c>
      <c r="AI27" s="290">
        <f>AI23-AI25-AI26</f>
        <v>55.736000000000004</v>
      </c>
      <c r="AJ27" s="290">
        <f>AJ23-AJ25-AJ26</f>
        <v>70.790999999999912</v>
      </c>
      <c r="AK27" s="290"/>
      <c r="AL27" s="290">
        <f>AL23-AL25-AL26</f>
        <v>53.349000000000039</v>
      </c>
      <c r="AM27" s="290">
        <f>AM23-AM25-AM26</f>
        <v>96.685999999999979</v>
      </c>
      <c r="AN27" s="290">
        <f>AN23-AN25-AN26</f>
        <v>59.645000000000103</v>
      </c>
      <c r="AO27" s="290">
        <f>AO23-AO25-AO26</f>
        <v>97.533000000000044</v>
      </c>
      <c r="AP27" s="290"/>
      <c r="AQ27" s="290">
        <f>AQ23-AQ25-AQ26</f>
        <v>52.836999999999989</v>
      </c>
      <c r="AR27" s="290">
        <f>AR23-AR25-AR26</f>
        <v>113.06200000000007</v>
      </c>
      <c r="AS27" s="290">
        <f>AS23-AS25-AS26</f>
        <v>414.86799999999988</v>
      </c>
      <c r="AT27" s="290">
        <f>AT23-AT25-AT26</f>
        <v>108.64899999999989</v>
      </c>
      <c r="AU27" s="290"/>
      <c r="AV27" s="290">
        <f>AV23-AV25-AV26</f>
        <v>51.687999999999974</v>
      </c>
      <c r="AW27" s="290">
        <f>AW23-AW25-AW26</f>
        <v>116.18900000000005</v>
      </c>
      <c r="AX27" s="290">
        <f>AX23-AX25-AX26</f>
        <v>65.032999999999959</v>
      </c>
      <c r="AY27" s="290">
        <f>AY23-AY25-AY26</f>
        <v>91.128000000000128</v>
      </c>
      <c r="AZ27" s="290"/>
      <c r="BA27" s="290">
        <f>BA23-BA25-BA26</f>
        <v>53.688999999999986</v>
      </c>
      <c r="BB27" s="290">
        <f>BB23-BB25-BB26</f>
        <v>85.041000000000082</v>
      </c>
      <c r="BC27" s="290">
        <f>BC23-BC25-BC26</f>
        <v>38.334999999999823</v>
      </c>
      <c r="BD27" s="290">
        <f>BD23-BD25-BD26</f>
        <v>46.00999999999982</v>
      </c>
      <c r="BE27" s="290"/>
      <c r="BF27" s="290">
        <f>BF23-BF25-BF26</f>
        <v>40.554999999999993</v>
      </c>
      <c r="BG27" s="290">
        <f>BG23-BG25-BG26</f>
        <v>63.499000000000137</v>
      </c>
      <c r="BH27" s="290">
        <f>BH23-BH25-BH26</f>
        <v>17.094999999999988</v>
      </c>
      <c r="BI27" s="290">
        <f>BI23-BI25-BI26</f>
        <v>83.338999999999956</v>
      </c>
      <c r="BJ27" s="290"/>
      <c r="BK27" s="290">
        <f>BK23-BK25-BK26</f>
        <v>49.844000000000001</v>
      </c>
      <c r="BL27" s="290">
        <f>BL23-BL25-BL26</f>
        <v>86.113999999999933</v>
      </c>
      <c r="BM27" s="290">
        <f>BM23-BM25-BM26</f>
        <v>30.300000000000033</v>
      </c>
      <c r="BN27" s="290">
        <f>BN23-BN25-BN26</f>
        <v>98.334000000000032</v>
      </c>
      <c r="BO27" s="290"/>
      <c r="BP27" s="290">
        <f>BP23-BP25-BP26</f>
        <v>44.454999999999991</v>
      </c>
      <c r="BQ27" s="290">
        <f>BQ23-BQ25-BQ26</f>
        <v>108.04699999999976</v>
      </c>
      <c r="BR27" s="290">
        <f>BR23-BR25-BR26</f>
        <v>74.594999999999956</v>
      </c>
      <c r="BS27" s="290">
        <f>BS23-BS25-BS26</f>
        <v>171.09199999999998</v>
      </c>
      <c r="BT27" s="290"/>
      <c r="BU27" s="290">
        <f>BU23-BU25-BU26</f>
        <v>112.62700000000009</v>
      </c>
      <c r="BV27" s="290">
        <f>BV23-BV25-BV26</f>
        <v>175.26599999999996</v>
      </c>
      <c r="BW27" s="290">
        <f>BW23-BW25-BW26</f>
        <v>122.93799999999989</v>
      </c>
      <c r="BX27" s="290">
        <f>BX23-BX25-BX26</f>
        <v>236.47499999999991</v>
      </c>
      <c r="BY27" s="290"/>
      <c r="BZ27" s="290">
        <f>BZ23-BZ25-BZ26</f>
        <v>172.9799999999999</v>
      </c>
      <c r="CA27" s="290">
        <f>CA23-CA25-CA26</f>
        <v>241.79299999999978</v>
      </c>
      <c r="CB27" s="290">
        <f>CB23-CB25-CB26</f>
        <v>162.88199999999995</v>
      </c>
      <c r="CC27" s="290">
        <f>CC23-CC25-CC26</f>
        <v>307.32199999999989</v>
      </c>
      <c r="CD27" s="290"/>
      <c r="CE27" s="290">
        <f>CE23-CE25-CE26</f>
        <v>213.08699999999996</v>
      </c>
      <c r="CF27" s="290">
        <f>CF23-CF25-CF26</f>
        <v>292.35099999999989</v>
      </c>
      <c r="CG27" s="290">
        <f>CG23-CG25-CG26</f>
        <v>221.16999999999993</v>
      </c>
      <c r="CH27" s="290">
        <f>CH23-CH25-CH26</f>
        <v>379.04499999999979</v>
      </c>
      <c r="CI27" s="290"/>
      <c r="CJ27" s="290">
        <f>CJ23-CJ25-CJ26</f>
        <v>253.75900000000001</v>
      </c>
      <c r="CK27" s="290">
        <f>CK23-CK25-CK26</f>
        <v>293.0829999999998</v>
      </c>
      <c r="CL27" s="290">
        <f>CL23-CL25-CL26</f>
        <v>237.30899999999986</v>
      </c>
      <c r="CM27" s="290">
        <f>CM23-CM25-CM26</f>
        <v>354</v>
      </c>
      <c r="CN27" s="290"/>
      <c r="CO27" s="290">
        <f>CO23-CO25-CO26</f>
        <v>206</v>
      </c>
      <c r="CP27" s="290">
        <f>CP23-CP25-CP26</f>
        <v>235</v>
      </c>
      <c r="CQ27" s="290">
        <f>CQ23-CQ25-CQ26</f>
        <v>94.551000000000045</v>
      </c>
      <c r="CR27" s="290">
        <f>CR23-CR25-CR26</f>
        <v>123</v>
      </c>
      <c r="CS27" s="290"/>
      <c r="CT27" s="290">
        <f>CT23-CT25-CT26</f>
        <v>115</v>
      </c>
      <c r="CU27" s="290">
        <f>CU23-CU25-CU26</f>
        <v>170</v>
      </c>
      <c r="CV27" s="290">
        <f>CV23-CV25-CV26</f>
        <v>134</v>
      </c>
      <c r="CW27" s="290">
        <f>CW23-CW25-CW26</f>
        <v>277</v>
      </c>
      <c r="CX27" s="290"/>
      <c r="CY27" s="290">
        <f>CY23-CY25-CY26</f>
        <v>188</v>
      </c>
      <c r="CZ27" s="290">
        <f>CZ23-CZ25-CZ26</f>
        <v>240</v>
      </c>
      <c r="DA27" s="290">
        <f>DA23-DA25-DA26</f>
        <v>190</v>
      </c>
      <c r="DB27" s="290">
        <f>DB23-DB25-DB26</f>
        <v>373</v>
      </c>
      <c r="DC27" s="290"/>
      <c r="DD27" s="290">
        <f>DD23-DD25-DD26</f>
        <v>241</v>
      </c>
      <c r="DE27" s="290">
        <f>DE23-DE25-DE26</f>
        <v>290</v>
      </c>
      <c r="DF27" s="290">
        <f>DF23-DF25-DF26</f>
        <v>209</v>
      </c>
      <c r="DG27" s="290">
        <f>DG23-DG25-DG26</f>
        <v>379</v>
      </c>
      <c r="DH27" s="290"/>
      <c r="DI27" s="290">
        <f>DI23-DI25-DI26</f>
        <v>240</v>
      </c>
      <c r="DJ27" s="290">
        <f>DJ23-DJ25-DJ26</f>
        <v>250</v>
      </c>
      <c r="DK27" s="290">
        <f>DK23-DK25-DK26</f>
        <v>239</v>
      </c>
      <c r="DL27" s="290">
        <f>DL23-DL25-DL26</f>
        <v>456</v>
      </c>
      <c r="DM27" s="290"/>
      <c r="DN27" s="290">
        <f>DN23-DN25-DN26</f>
        <v>236</v>
      </c>
      <c r="DO27" s="290">
        <f>DO23-DO25-DO26</f>
        <v>298</v>
      </c>
      <c r="DP27" s="290">
        <f>DP23-DP25-DP26</f>
        <v>218</v>
      </c>
      <c r="DQ27" s="290">
        <f>DQ23-DQ25-DQ26</f>
        <v>437</v>
      </c>
      <c r="DR27" s="290"/>
      <c r="DS27" s="290">
        <f>DS23-DS25-DS26</f>
        <v>230</v>
      </c>
      <c r="DT27" s="290">
        <f>DT23-DT25-DT26</f>
        <v>296</v>
      </c>
      <c r="DU27" s="290">
        <f>DU23-DU25-DU26</f>
        <v>228</v>
      </c>
      <c r="DV27" s="290">
        <f>DV23-DV25-DV26</f>
        <v>431</v>
      </c>
      <c r="DW27" s="290"/>
      <c r="DX27" s="290">
        <f>DX23-DX25-DX26</f>
        <v>212</v>
      </c>
      <c r="DY27" s="290">
        <f>DY23-DY25-DY26</f>
        <v>294</v>
      </c>
      <c r="DZ27" s="290">
        <f>DZ23-DZ25-DZ26</f>
        <v>156</v>
      </c>
      <c r="EA27" s="290">
        <f>EA23-EA25-EA26</f>
        <v>342</v>
      </c>
      <c r="EB27" s="290"/>
      <c r="EC27" s="290">
        <f>EC23-EC25-EC26</f>
        <v>75</v>
      </c>
      <c r="ED27" s="290">
        <f>ED23-ED25-ED26</f>
        <v>191</v>
      </c>
      <c r="EE27" s="290">
        <f>EE23-EE25-EE26</f>
        <v>222</v>
      </c>
      <c r="EF27" s="290">
        <f>EF23-EF25-EF26</f>
        <v>393</v>
      </c>
      <c r="EG27" s="249"/>
      <c r="EH27" s="290">
        <f>EH23-EH25-EH26</f>
        <v>103</v>
      </c>
      <c r="EI27" s="290">
        <f>EI23-EI25-EI26</f>
        <v>188</v>
      </c>
      <c r="EJ27" s="290">
        <f>EJ23-EJ25-EJ26</f>
        <v>180</v>
      </c>
      <c r="EK27" s="290">
        <f>EK23-EK25-EK26</f>
        <v>319</v>
      </c>
      <c r="EL27" s="290"/>
      <c r="EM27" s="1267">
        <f>EM23-EM25-EM26</f>
        <v>96.688155192307931</v>
      </c>
      <c r="EN27" s="1267">
        <f>EN23-EN25-EN26</f>
        <v>161.70833184158425</v>
      </c>
      <c r="EO27" s="1267">
        <f>EO23-EO25-EO26</f>
        <v>172.55534016666621</v>
      </c>
      <c r="EP27" s="1267">
        <f>EP23-EP25-EP26</f>
        <v>311.78381147540989</v>
      </c>
      <c r="EQ27" s="290"/>
      <c r="ER27" s="277"/>
      <c r="ES27" s="292">
        <f t="shared" ref="ES27:FM27" si="9">ES23-ES25-ES26</f>
        <v>178.316</v>
      </c>
      <c r="ET27" s="292">
        <f t="shared" si="9"/>
        <v>217.21500000000026</v>
      </c>
      <c r="EU27" s="292">
        <f t="shared" si="9"/>
        <v>228.71900000000045</v>
      </c>
      <c r="EV27" s="292">
        <f t="shared" si="9"/>
        <v>230.91800000000006</v>
      </c>
      <c r="EW27" s="292">
        <f t="shared" si="9"/>
        <v>335.55800000000022</v>
      </c>
      <c r="EX27" s="292">
        <f t="shared" si="9"/>
        <v>272.31099999999969</v>
      </c>
      <c r="EY27" s="292">
        <f t="shared" si="9"/>
        <v>245.85699999999991</v>
      </c>
      <c r="EZ27" s="292">
        <f t="shared" si="9"/>
        <v>307.21299999999962</v>
      </c>
      <c r="FA27" s="292">
        <f t="shared" si="9"/>
        <v>337.72300000000018</v>
      </c>
      <c r="FB27" s="292">
        <f t="shared" si="9"/>
        <v>331.79099999999977</v>
      </c>
      <c r="FC27" s="292">
        <f t="shared" si="9"/>
        <v>167.01800000000068</v>
      </c>
      <c r="FD27" s="292">
        <f t="shared" si="9"/>
        <v>204.48800000000017</v>
      </c>
      <c r="FE27" s="292">
        <f t="shared" si="9"/>
        <v>232.69199999999998</v>
      </c>
      <c r="FF27" s="292">
        <f t="shared" si="9"/>
        <v>398.18899999999883</v>
      </c>
      <c r="FG27" s="292">
        <f t="shared" si="9"/>
        <v>647.30599999999993</v>
      </c>
      <c r="FH27" s="292">
        <f t="shared" si="9"/>
        <v>884.97699999999895</v>
      </c>
      <c r="FI27" s="291">
        <f t="shared" si="9"/>
        <v>1105.653</v>
      </c>
      <c r="FJ27" s="291">
        <f t="shared" si="9"/>
        <v>1138.1510000000003</v>
      </c>
      <c r="FK27" s="292">
        <f t="shared" si="9"/>
        <v>648.55099999999993</v>
      </c>
      <c r="FL27" s="292">
        <f t="shared" si="9"/>
        <v>696</v>
      </c>
      <c r="FM27" s="291">
        <f t="shared" si="9"/>
        <v>991</v>
      </c>
      <c r="FN27" s="292">
        <f t="shared" ref="FN27:FV27" si="10">FN23-FN25-FN26</f>
        <v>1119</v>
      </c>
      <c r="FO27" s="292">
        <f t="shared" si="10"/>
        <v>1185</v>
      </c>
      <c r="FP27" s="292">
        <f t="shared" si="10"/>
        <v>1189</v>
      </c>
      <c r="FQ27" s="292">
        <f t="shared" si="10"/>
        <v>1185</v>
      </c>
      <c r="FR27" s="292">
        <f t="shared" si="10"/>
        <v>1004</v>
      </c>
      <c r="FS27" s="292">
        <f>FS23-FS25-FS26</f>
        <v>881</v>
      </c>
      <c r="FT27" s="292">
        <f t="shared" si="10"/>
        <v>790</v>
      </c>
      <c r="FU27" s="292">
        <f t="shared" si="10"/>
        <v>742.73563867596897</v>
      </c>
      <c r="FV27" s="292">
        <f t="shared" si="10"/>
        <v>707.85983731807028</v>
      </c>
      <c r="FW27" s="293">
        <f>FW23-FW25-FW26</f>
        <v>676.73262418075308</v>
      </c>
      <c r="FX27" s="292">
        <f>FX23-FX25-FX26</f>
        <v>645.63372010559544</v>
      </c>
      <c r="FY27" s="293">
        <f>FY23-FY25-FY26</f>
        <v>626.61618079369714</v>
      </c>
      <c r="FZ27" s="292"/>
      <c r="GA27" s="292"/>
      <c r="GB27" s="292"/>
      <c r="GC27" s="292"/>
      <c r="GD27" s="292"/>
    </row>
    <row r="28" spans="1:186" ht="9" customHeight="1" x14ac:dyDescent="0.2">
      <c r="A28" s="276"/>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1264"/>
      <c r="EN28" s="1264"/>
      <c r="EO28" s="1264"/>
      <c r="EP28" s="1264"/>
      <c r="EQ28" s="249"/>
      <c r="ER28" s="277"/>
      <c r="ES28" s="249"/>
      <c r="ET28" s="249"/>
      <c r="EU28" s="249"/>
      <c r="EV28" s="249"/>
      <c r="EW28" s="249"/>
      <c r="EX28" s="249"/>
      <c r="EY28" s="249"/>
      <c r="EZ28" s="249"/>
      <c r="FA28" s="249"/>
      <c r="FB28" s="249"/>
      <c r="FC28" s="249"/>
      <c r="FD28" s="249"/>
      <c r="FE28" s="249"/>
      <c r="FF28" s="249"/>
      <c r="FG28" s="249"/>
      <c r="FH28" s="249"/>
      <c r="FI28" s="276"/>
      <c r="FJ28" s="276"/>
      <c r="FK28" s="249"/>
      <c r="FL28" s="249"/>
      <c r="FM28" s="276"/>
      <c r="FN28" s="249"/>
      <c r="FO28" s="249"/>
      <c r="FP28" s="249"/>
      <c r="FQ28" s="249"/>
      <c r="FR28" s="249"/>
      <c r="FS28" s="249"/>
      <c r="FT28" s="249"/>
      <c r="FU28" s="249"/>
      <c r="FV28" s="249"/>
      <c r="FW28" s="277"/>
      <c r="FY28" s="277"/>
      <c r="FZ28" s="249"/>
      <c r="GA28" s="843"/>
      <c r="GB28" s="249"/>
      <c r="GC28" s="249"/>
      <c r="GD28" s="249"/>
    </row>
    <row r="29" spans="1:186" x14ac:dyDescent="0.2">
      <c r="A29" s="288" t="s">
        <v>161</v>
      </c>
      <c r="B29" s="289"/>
      <c r="C29" s="290">
        <f>INDEX('qtrP&amp;L'!$120:$120,MATCH(C$7,'qtrP&amp;L'!$6:$6,0))</f>
        <v>7.4</v>
      </c>
      <c r="D29" s="290">
        <f>INDEX('qtrP&amp;L'!$121:$121,MATCH(C$7,'qtrP&amp;L'!$6:$6,0))</f>
        <v>20.2</v>
      </c>
      <c r="E29" s="290">
        <f>INDEX('qtrP&amp;L'!$122:$122,MATCH(C$7,'qtrP&amp;L'!$6:$6,0))</f>
        <v>11.1</v>
      </c>
      <c r="F29" s="290">
        <f>INDEX('qtrP&amp;L'!$123:$123,MATCH(C$7,'qtrP&amp;L'!$6:$6,0))</f>
        <v>23.8</v>
      </c>
      <c r="G29" s="290"/>
      <c r="H29" s="290">
        <f>INDEX('qtrP&amp;L'!$120:$120,MATCH(H$7,'qtrP&amp;L'!$6:$6,0))</f>
        <v>15.7</v>
      </c>
      <c r="I29" s="290">
        <f>INDEX('qtrP&amp;L'!$121:$121,MATCH(H$7,'qtrP&amp;L'!$6:$6,0))</f>
        <v>30.6</v>
      </c>
      <c r="J29" s="290">
        <f>INDEX('qtrP&amp;L'!$122:$122,MATCH(H$7,'qtrP&amp;L'!$6:$6,0))</f>
        <v>11.9</v>
      </c>
      <c r="K29" s="290">
        <f>INDEX('qtrP&amp;L'!$123:$123,MATCH(H$7,'qtrP&amp;L'!$6:$6,0))</f>
        <v>23.2</v>
      </c>
      <c r="L29" s="290"/>
      <c r="M29" s="290">
        <f>INDEX('qtrP&amp;L'!$120:$120,MATCH(M$7,'qtrP&amp;L'!$6:$6,0))</f>
        <v>13.7</v>
      </c>
      <c r="N29" s="290">
        <f>INDEX('qtrP&amp;L'!$121:$121,MATCH(M$7,'qtrP&amp;L'!$6:$6,0))</f>
        <v>26.3</v>
      </c>
      <c r="O29" s="290">
        <f>INDEX('qtrP&amp;L'!$122:$122,MATCH(M$7,'qtrP&amp;L'!$6:$6,0))</f>
        <v>14.3</v>
      </c>
      <c r="P29" s="290">
        <f>INDEX('qtrP&amp;L'!$123:$123,MATCH(M$7,'qtrP&amp;L'!$6:$6,0))</f>
        <v>33.734400000000001</v>
      </c>
      <c r="Q29" s="290"/>
      <c r="R29" s="290">
        <f>INDEX('qtrP&amp;L'!$120:$120,MATCH(R$7,'qtrP&amp;L'!$6:$6,0))</f>
        <v>7.1</v>
      </c>
      <c r="S29" s="290">
        <f>INDEX('qtrP&amp;L'!$121:$121,MATCH(R$7,'qtrP&amp;L'!$6:$6,0))</f>
        <v>27.5</v>
      </c>
      <c r="T29" s="290">
        <f>INDEX('qtrP&amp;L'!$122:$122,MATCH(R$7,'qtrP&amp;L'!$6:$6,0))</f>
        <v>16.600000000000001</v>
      </c>
      <c r="U29" s="290">
        <f>INDEX('qtrP&amp;L'!$123:$123,MATCH(R$7,'qtrP&amp;L'!$6:$6,0))</f>
        <v>39.299999999999997</v>
      </c>
      <c r="V29" s="290"/>
      <c r="W29" s="290">
        <f>INDEX('qtrP&amp;L'!$120:$120,MATCH(W$7,'qtrP&amp;L'!$6:$6,0))</f>
        <v>20.8</v>
      </c>
      <c r="X29" s="290">
        <f>INDEX('qtrP&amp;L'!$121:$121,MATCH(W$7,'qtrP&amp;L'!$6:$6,0))</f>
        <v>41.2</v>
      </c>
      <c r="Y29" s="290">
        <f>INDEX('qtrP&amp;L'!$122:$122,MATCH(W$7,'qtrP&amp;L'!$6:$6,0))</f>
        <v>25</v>
      </c>
      <c r="Z29" s="290">
        <f>INDEX('qtrP&amp;L'!$123:$123,MATCH(W$7,'qtrP&amp;L'!$6:$6,0))</f>
        <v>45.6</v>
      </c>
      <c r="AA29" s="290"/>
      <c r="AB29" s="290">
        <f>INDEX('qtrP&amp;L'!$120:$120,MATCH(AB$7,'qtrP&amp;L'!$6:$6,0))</f>
        <v>18</v>
      </c>
      <c r="AC29" s="290">
        <f>INDEX('qtrP&amp;L'!$121:$121,MATCH(AB$7,'qtrP&amp;L'!$6:$6,0))</f>
        <v>35.200000000000003</v>
      </c>
      <c r="AD29" s="290">
        <f>INDEX('qtrP&amp;L'!$122:$122,MATCH(AB$7,'qtrP&amp;L'!$6:$6,0))</f>
        <v>19.100000000000001</v>
      </c>
      <c r="AE29" s="290">
        <f>INDEX('qtrP&amp;L'!$123:$123,MATCH(AB$7,'qtrP&amp;L'!$6:$6,0))</f>
        <v>34.9</v>
      </c>
      <c r="AF29" s="290"/>
      <c r="AG29" s="290">
        <f>INDEX('qtrP&amp;L'!$120:$120,MATCH(AG$7,'qtrP&amp;L'!$6:$6,0))</f>
        <v>17.899999999999999</v>
      </c>
      <c r="AH29" s="290">
        <f>INDEX('qtrP&amp;L'!$121:$121,MATCH(AG$7,'qtrP&amp;L'!$6:$6,0))</f>
        <v>29.3</v>
      </c>
      <c r="AI29" s="290">
        <f>INDEX('qtrP&amp;L'!$122:$122,MATCH(AG$7,'qtrP&amp;L'!$6:$6,0))</f>
        <v>21.7</v>
      </c>
      <c r="AJ29" s="290">
        <f>INDEX('qtrP&amp;L'!$123:$123,MATCH(AG$7,'qtrP&amp;L'!$6:$6,0))</f>
        <v>28</v>
      </c>
      <c r="AK29" s="290"/>
      <c r="AL29" s="290">
        <f>INDEX('qtrP&amp;L'!$120:$120,MATCH(AL$7,'qtrP&amp;L'!$6:$6,0))</f>
        <v>21</v>
      </c>
      <c r="AM29" s="290">
        <f>INDEX('qtrP&amp;L'!$121:$121,MATCH(AL$7,'qtrP&amp;L'!$6:$6,0))</f>
        <v>38.1</v>
      </c>
      <c r="AN29" s="290">
        <f>INDEX('qtrP&amp;L'!$122:$122,MATCH(AL$7,'qtrP&amp;L'!$6:$6,0))</f>
        <v>23.5</v>
      </c>
      <c r="AO29" s="290">
        <f>INDEX('qtrP&amp;L'!$123:$123,MATCH(AL$7,'qtrP&amp;L'!$6:$6,0))</f>
        <v>38.428002000000021</v>
      </c>
      <c r="AP29" s="290"/>
      <c r="AQ29" s="290">
        <f>INDEX('qtrP&amp;L'!$120:$120,MATCH(AQ$7,'qtrP&amp;L'!$6:$6,0))</f>
        <v>20.5</v>
      </c>
      <c r="AR29" s="290">
        <f>INDEX('qtrP&amp;L'!$121:$121,MATCH(AQ$7,'qtrP&amp;L'!$6:$6,0))</f>
        <v>43.868056000000031</v>
      </c>
      <c r="AS29" s="290">
        <f>INDEX('qtrP&amp;L'!$122:$122,MATCH(AQ$7,'qtrP&amp;L'!$6:$6,0))</f>
        <v>24.511899999999962</v>
      </c>
      <c r="AT29" s="290">
        <f>INDEX('qtrP&amp;L'!$123:$123,MATCH(AQ$7,'qtrP&amp;L'!$6:$6,0))</f>
        <v>42.047162999999955</v>
      </c>
      <c r="AU29" s="290"/>
      <c r="AV29" s="290">
        <f>INDEX('qtrP&amp;L'!$120:$120,MATCH(AV$7,'qtrP&amp;L'!$6:$6,0))</f>
        <v>20.149999999999999</v>
      </c>
      <c r="AW29" s="290">
        <f>INDEX('qtrP&amp;L'!$121:$121,MATCH(AV$7,'qtrP&amp;L'!$6:$6,0))</f>
        <v>45.35</v>
      </c>
      <c r="AX29" s="290">
        <f>INDEX('qtrP&amp;L'!$122:$122,MATCH(AV$7,'qtrP&amp;L'!$6:$6,0))</f>
        <v>25.362869999999983</v>
      </c>
      <c r="AY29" s="290">
        <f>INDEX('qtrP&amp;L'!$123:$123,MATCH(AV$7,'qtrP&amp;L'!$6:$6,0))</f>
        <v>42.64</v>
      </c>
      <c r="AZ29" s="290"/>
      <c r="BA29" s="290">
        <f>INDEX('qtrP&amp;L'!$120:$120,MATCH(BA$7,'qtrP&amp;L'!$6:$6,0))</f>
        <v>20.9</v>
      </c>
      <c r="BB29" s="290">
        <f>INDEX('qtrP&amp;L'!$121:$121,MATCH(BA$7,'qtrP&amp;L'!$6:$6,0))</f>
        <v>33.251031000000033</v>
      </c>
      <c r="BC29" s="290">
        <f>INDEX('qtrP&amp;L'!$122:$122,MATCH(BA$7,'qtrP&amp;L'!$6:$6,0))</f>
        <v>14.988985000000021</v>
      </c>
      <c r="BD29" s="290">
        <f>INDEX('qtrP&amp;L'!$123:$123,MATCH(BA$7,'qtrP&amp;L'!$6:$6,0))</f>
        <v>18.31382</v>
      </c>
      <c r="BE29" s="290"/>
      <c r="BF29" s="290">
        <f>INDEX('qtrP&amp;L'!$120:$120,MATCH(BF$7,'qtrP&amp;L'!$6:$6,0))</f>
        <v>15.8</v>
      </c>
      <c r="BG29" s="290">
        <f>INDEX('qtrP&amp;L'!$121:$121,MATCH(BF$7,'qtrP&amp;L'!$6:$6,0))</f>
        <v>24.8</v>
      </c>
      <c r="BH29" s="290">
        <f>INDEX('qtrP&amp;L'!$122:$122,MATCH(BF$7,'qtrP&amp;L'!$6:$6,0))</f>
        <v>6.6</v>
      </c>
      <c r="BI29" s="290">
        <f>INDEX('qtrP&amp;L'!$123:$123,MATCH(BF$7,'qtrP&amp;L'!$6:$6,0))</f>
        <v>32.6</v>
      </c>
      <c r="BJ29" s="290"/>
      <c r="BK29" s="290">
        <f>INDEX('qtrP&amp;L'!$120:$120,MATCH(BK$7,'qtrP&amp;L'!$6:$6,0))</f>
        <v>19.010000000000002</v>
      </c>
      <c r="BL29" s="290">
        <f>INDEX('qtrP&amp;L'!$121:$121,MATCH(BK$7,'qtrP&amp;L'!$6:$6,0))</f>
        <v>28.1647</v>
      </c>
      <c r="BM29" s="290">
        <f>INDEX('qtrP&amp;L'!$122:$122,MATCH(BK$7,'qtrP&amp;L'!$6:$6,0))</f>
        <v>11.872999999999999</v>
      </c>
      <c r="BN29" s="290">
        <f>INDEX('qtrP&amp;L'!$123:$123,MATCH(BK$7,'qtrP&amp;L'!$6:$6,0))</f>
        <v>38.299999999999997</v>
      </c>
      <c r="BO29" s="290"/>
      <c r="BP29" s="290">
        <f>INDEX('qtrP&amp;L'!$120:$120,MATCH(BP$7,'qtrP&amp;L'!$6:$6,0))</f>
        <v>17.3</v>
      </c>
      <c r="BQ29" s="290">
        <f>INDEX('qtrP&amp;L'!$121:$121,MATCH(BP$7,'qtrP&amp;L'!$6:$6,0))</f>
        <v>42.2</v>
      </c>
      <c r="BR29" s="290">
        <f>INDEX('qtrP&amp;L'!$122:$122,MATCH(BP$7,'qtrP&amp;L'!$6:$6,0))</f>
        <v>29.1</v>
      </c>
      <c r="BS29" s="290">
        <f>INDEX('qtrP&amp;L'!$123:$123,MATCH(BP$7,'qtrP&amp;L'!$6:$6,0))</f>
        <v>66.7</v>
      </c>
      <c r="BT29" s="290"/>
      <c r="BU29" s="290">
        <f>INDEX('qtrP&amp;L'!$120:$120,MATCH(BU$7,'qtrP&amp;L'!$6:$6,0))</f>
        <v>43.9</v>
      </c>
      <c r="BV29" s="290">
        <f>INDEX('qtrP&amp;L'!$121:$121,MATCH(BU$7,'qtrP&amp;L'!$6:$6,0))</f>
        <v>68.350999999999999</v>
      </c>
      <c r="BW29" s="290">
        <f>INDEX('qtrP&amp;L'!$122:$122,MATCH(BU$7,'qtrP&amp;L'!$6:$6,0))</f>
        <v>45.085000000000001</v>
      </c>
      <c r="BX29" s="290">
        <f>INDEX('qtrP&amp;L'!$123:$123,MATCH(BU$7,'qtrP&amp;L'!$6:$6,0))</f>
        <v>96.495000000000005</v>
      </c>
      <c r="BY29" s="290"/>
      <c r="BZ29" s="290">
        <f>INDEX('qtrP&amp;L'!$120:$120,MATCH(BZ$7,'qtrP&amp;L'!$6:$6,0))</f>
        <v>68.441999999999965</v>
      </c>
      <c r="CA29" s="290">
        <f>INDEX('qtrP&amp;L'!$121:$121,MATCH(BZ$7,'qtrP&amp;L'!$6:$6,0))</f>
        <v>92.875</v>
      </c>
      <c r="CB29" s="290">
        <f>INDEX('qtrP&amp;L'!$122:$122,MATCH(BZ$7,'qtrP&amp;L'!$6:$6,0))</f>
        <v>55.514692403013285</v>
      </c>
      <c r="CC29" s="290">
        <f>INDEX('qtrP&amp;L'!$123:$123,MATCH(BZ$7,'qtrP&amp;L'!$6:$6,0))</f>
        <v>116.96508983866762</v>
      </c>
      <c r="CD29" s="290"/>
      <c r="CE29" s="290">
        <f>INDEX('qtrP&amp;L'!$120:$120,MATCH(CE$7,'qtrP&amp;L'!$6:$6,0))</f>
        <v>81.855999999999995</v>
      </c>
      <c r="CF29" s="290">
        <f>INDEX('qtrP&amp;L'!$121:$121,MATCH(CE$7,'qtrP&amp;L'!$6:$6,0))</f>
        <v>113.59699999999991</v>
      </c>
      <c r="CG29" s="290">
        <f>INDEX('qtrP&amp;L'!$122:$122,MATCH(CE$7,'qtrP&amp;L'!$6:$6,0))</f>
        <v>85.497</v>
      </c>
      <c r="CH29" s="290">
        <f>INDEX('qtrP&amp;L'!$123:$123,MATCH(CE$7,'qtrP&amp;L'!$6:$6,0))</f>
        <v>146.70400000000001</v>
      </c>
      <c r="CI29" s="290"/>
      <c r="CJ29" s="290">
        <f>INDEX('qtrP&amp;L'!$120:$120,MATCH(CJ$7,'qtrP&amp;L'!$6:$6,0))</f>
        <v>96.947999999999993</v>
      </c>
      <c r="CK29" s="290">
        <f>INDEX('qtrP&amp;L'!$121:$121,MATCH(CJ$7,'qtrP&amp;L'!$6:$6,0))</f>
        <v>112.51900000000001</v>
      </c>
      <c r="CL29" s="290">
        <f>INDEX('qtrP&amp;L'!$122:$122,MATCH(CJ$7,'qtrP&amp;L'!$6:$6,0))</f>
        <v>92.878</v>
      </c>
      <c r="CM29" s="290">
        <f>INDEX('qtrP&amp;L'!$123:$123,MATCH(CJ$7,'qtrP&amp;L'!$6:$6,0))</f>
        <v>142</v>
      </c>
      <c r="CN29" s="290"/>
      <c r="CO29" s="290">
        <f>INDEX('qtrP&amp;L'!$120:$120,MATCH(CO$7,'qtrP&amp;L'!$6:$6,0))</f>
        <v>77</v>
      </c>
      <c r="CP29" s="290">
        <f>INDEX('qtrP&amp;L'!$121:$121,MATCH(CO$7,'qtrP&amp;L'!$6:$6,0))</f>
        <v>92</v>
      </c>
      <c r="CQ29" s="290">
        <f>INDEX('qtrP&amp;L'!$122:$122,MATCH(CO$7,'qtrP&amp;L'!$6:$6,0))</f>
        <v>30</v>
      </c>
      <c r="CR29" s="290">
        <f>INDEX('qtrP&amp;L'!$123:$123,MATCH(CO$7,'qtrP&amp;L'!$6:$6,0))</f>
        <v>55</v>
      </c>
      <c r="CS29" s="290"/>
      <c r="CT29" s="290">
        <f>INDEX('qtrP&amp;L'!$120:$120,MATCH(CT$7,'qtrP&amp;L'!$6:$6,0))</f>
        <v>47</v>
      </c>
      <c r="CU29" s="290">
        <f>INDEX('qtrP&amp;L'!$121:$121,MATCH(CT$7,'qtrP&amp;L'!$6:$6,0))</f>
        <v>65</v>
      </c>
      <c r="CV29" s="290">
        <f>INDEX('qtrP&amp;L'!$122:$122,MATCH(CT$7,'qtrP&amp;L'!$6:$6,0))</f>
        <v>51</v>
      </c>
      <c r="CW29" s="290">
        <f>INDEX('qtrP&amp;L'!$123:$123,MATCH(CT$7,'qtrP&amp;L'!$6:$6,0))</f>
        <v>105</v>
      </c>
      <c r="CX29" s="290"/>
      <c r="CY29" s="290">
        <f>INDEX('qtrP&amp;L'!$120:$120,MATCH(CY$7,'qtrP&amp;L'!$6:$6,0))</f>
        <v>72</v>
      </c>
      <c r="CZ29" s="290">
        <f>INDEX('qtrP&amp;L'!$121:$121,MATCH(CY$7,'qtrP&amp;L'!$6:$6,0))</f>
        <v>94</v>
      </c>
      <c r="DA29" s="290">
        <f>INDEX('qtrP&amp;L'!$122:$122,MATCH(CY$7,'qtrP&amp;L'!$6:$6,0))</f>
        <v>71</v>
      </c>
      <c r="DB29" s="290">
        <f>INDEX('qtrP&amp;L'!$123:$123,MATCH(CY$7,'qtrP&amp;L'!$6:$6,0))</f>
        <v>141</v>
      </c>
      <c r="DC29" s="290"/>
      <c r="DD29" s="290">
        <f>INDEX('qtrP&amp;L'!$120:$120,MATCH(DD$7,'qtrP&amp;L'!$6:$6,0))</f>
        <v>96</v>
      </c>
      <c r="DE29" s="290">
        <f>INDEX('qtrP&amp;L'!$121:$121,MATCH(DD$7,'qtrP&amp;L'!$6:$6,0))</f>
        <v>115</v>
      </c>
      <c r="DF29" s="290">
        <f>INDEX('qtrP&amp;L'!$122:$122,MATCH(DD$7,'qtrP&amp;L'!$6:$6,0))</f>
        <v>82</v>
      </c>
      <c r="DG29" s="290">
        <f>INDEX('qtrP&amp;L'!$123:$123,MATCH(DD$7,'qtrP&amp;L'!$6:$6,0))</f>
        <v>143</v>
      </c>
      <c r="DH29" s="290"/>
      <c r="DI29" s="290">
        <f>INDEX('qtrP&amp;L'!$120:$120,MATCH(DI$7,'qtrP&amp;L'!$6:$6,0))</f>
        <v>91</v>
      </c>
      <c r="DJ29" s="290">
        <f>INDEX('qtrP&amp;L'!$121:$121,MATCH(DI$7,'qtrP&amp;L'!$6:$6,0))</f>
        <v>94</v>
      </c>
      <c r="DK29" s="290">
        <f>INDEX('qtrP&amp;L'!$122:$122,MATCH(DI$7,'qtrP&amp;L'!$6:$6,0))</f>
        <v>93</v>
      </c>
      <c r="DL29" s="290">
        <f>INDEX('qtrP&amp;L'!$123:$123,MATCH(DI$7,'qtrP&amp;L'!$6:$6,0))</f>
        <v>172</v>
      </c>
      <c r="DM29" s="290"/>
      <c r="DN29" s="290">
        <f>INDEX('qtrP&amp;L'!$120:$120,MATCH(DN$7,'qtrP&amp;L'!$6:$6,0))</f>
        <v>91</v>
      </c>
      <c r="DO29" s="290">
        <f>INDEX('qtrP&amp;L'!$121:$121,MATCH(DN$7,'qtrP&amp;L'!$6:$6,0))</f>
        <v>114</v>
      </c>
      <c r="DP29" s="290">
        <f>INDEX('qtrP&amp;L'!$122:$122,MATCH(DN$7,'qtrP&amp;L'!$6:$6,0))</f>
        <v>81</v>
      </c>
      <c r="DQ29" s="290">
        <f>INDEX('qtrP&amp;L'!$123:$123,MATCH(DN$7,'qtrP&amp;L'!$6:$6,0))</f>
        <v>169</v>
      </c>
      <c r="DR29" s="290"/>
      <c r="DS29" s="290">
        <f>INDEX('qtrP&amp;L'!$120:$120,MATCH(DS$7,'qtrP&amp;L'!$6:$6,0))</f>
        <v>90</v>
      </c>
      <c r="DT29" s="290">
        <f>INDEX('qtrP&amp;L'!$121:$121,MATCH(DS$7,'qtrP&amp;L'!$6:$6,0))</f>
        <v>113</v>
      </c>
      <c r="DU29" s="290">
        <f>INDEX('qtrP&amp;L'!$122:$122,MATCH(DS$7,'qtrP&amp;L'!$6:$6,0))</f>
        <v>86</v>
      </c>
      <c r="DV29" s="290">
        <f>INDEX('qtrP&amp;L'!$123:$123,MATCH(DS$7,'qtrP&amp;L'!$6:$6,0))</f>
        <v>175.5</v>
      </c>
      <c r="DW29" s="290"/>
      <c r="DX29" s="290">
        <f>INDEX('qtrP&amp;L'!$120:$120,MATCH(DX$7,'qtrP&amp;L'!$6:$6,0))</f>
        <v>84</v>
      </c>
      <c r="DY29" s="290">
        <f>INDEX('qtrP&amp;L'!$121:$121,MATCH(DX$7,'qtrP&amp;L'!$6:$6,0))</f>
        <v>113.26</v>
      </c>
      <c r="DZ29" s="290">
        <f>INDEX('qtrP&amp;L'!$122:$122,MATCH(DX$7,'qtrP&amp;L'!$6:$6,0))</f>
        <v>47</v>
      </c>
      <c r="EA29" s="290">
        <f>INDEX('qtrP&amp;L'!$123:$123,MATCH(DX$7,'qtrP&amp;L'!$6:$6,0))</f>
        <v>130</v>
      </c>
      <c r="EB29" s="290"/>
      <c r="EC29" s="290">
        <f>INDEX('qtrP&amp;L'!$120:$120,MATCH(EC$7,'qtrP&amp;L'!$6:$6,0))</f>
        <v>29</v>
      </c>
      <c r="ED29" s="290">
        <f>INDEX('qtrP&amp;L'!$121:$121,MATCH(EC$7,'qtrP&amp;L'!$6:$6,0))</f>
        <v>74</v>
      </c>
      <c r="EE29" s="290">
        <f>INDEX('qtrP&amp;L'!$122:$122,MATCH(EC$7,'qtrP&amp;L'!$6:$6,0))</f>
        <v>74.039999999999992</v>
      </c>
      <c r="EF29" s="290">
        <f>INDEX('qtrP&amp;L'!$123:$123,MATCH(EC$7,'qtrP&amp;L'!$6:$6,0))</f>
        <v>153</v>
      </c>
      <c r="EG29" s="249"/>
      <c r="EH29" s="290">
        <f>INDEX('qtrP&amp;L'!$120:$120,MATCH(EH$7,'qtrP&amp;L'!$6:$6,0))</f>
        <v>40</v>
      </c>
      <c r="EI29" s="290">
        <f>INDEX('qtrP&amp;L'!$121:$121,MATCH(EH$7,'qtrP&amp;L'!$6:$6,0))</f>
        <v>78</v>
      </c>
      <c r="EJ29" s="290">
        <f>INDEX('qtrP&amp;L'!$122:$122,MATCH(EH$7,'qtrP&amp;L'!$6:$6,0))</f>
        <v>66</v>
      </c>
      <c r="EK29" s="290">
        <f>INDEX('qtrP&amp;L'!$123:$123,MATCH(EH$7,'qtrP&amp;L'!$6:$6,0))</f>
        <v>125.65</v>
      </c>
      <c r="EL29" s="290"/>
      <c r="EM29" s="1267">
        <f>INDEX('qtrP&amp;L'!$120:$120,MATCH(EM$7,'qtrP&amp;L'!$6:$6,0))</f>
        <v>26.589242677884684</v>
      </c>
      <c r="EN29" s="1267">
        <f>INDEX('qtrP&amp;L'!$121:$121,MATCH(EM$7,'qtrP&amp;L'!$6:$6,0))</f>
        <v>45.278332915643567</v>
      </c>
      <c r="EO29" s="1267">
        <f>INDEX('qtrP&amp;L'!$122:$122,MATCH(EM$7,'qtrP&amp;L'!$6:$6,0))</f>
        <v>46.589941844999927</v>
      </c>
      <c r="EP29" s="1267">
        <f>INDEX('qtrP&amp;L'!$123:$123,MATCH(EM$7,'qtrP&amp;L'!$6:$6,0))</f>
        <v>85.740548155737685</v>
      </c>
      <c r="EQ29" s="290"/>
      <c r="ER29" s="277"/>
      <c r="ES29" s="292">
        <f>'yrP&amp;L'!J45</f>
        <v>62.5</v>
      </c>
      <c r="ET29" s="292">
        <f>'yrP&amp;L'!K45</f>
        <v>81.400000000000006</v>
      </c>
      <c r="EU29" s="292">
        <f>'yrP&amp;L'!L45</f>
        <v>88.034400000000005</v>
      </c>
      <c r="EV29" s="292">
        <f>'yrP&amp;L'!M45</f>
        <v>90.5</v>
      </c>
      <c r="EW29" s="292">
        <f>'yrP&amp;L'!N45</f>
        <v>132.6</v>
      </c>
      <c r="EX29" s="292">
        <f>'yrP&amp;L'!O45</f>
        <v>107.2</v>
      </c>
      <c r="EY29" s="292">
        <f>'yrP&amp;L'!P45</f>
        <v>96.9</v>
      </c>
      <c r="EZ29" s="292">
        <f>'yrP&amp;L'!Q45</f>
        <v>121.02800200000001</v>
      </c>
      <c r="FA29" s="292">
        <f>'yrP&amp;L'!R45</f>
        <v>130.92711899999995</v>
      </c>
      <c r="FB29" s="292">
        <f>'yrP&amp;L'!S45</f>
        <v>129.5</v>
      </c>
      <c r="FC29" s="292">
        <f>'yrP&amp;L'!T45</f>
        <v>65.099999999999994</v>
      </c>
      <c r="FD29" s="292">
        <f>'yrP&amp;L'!U45</f>
        <v>79.8</v>
      </c>
      <c r="FE29" s="292">
        <f>'yrP&amp;L'!V45</f>
        <v>89.283000000000001</v>
      </c>
      <c r="FF29" s="292">
        <f>'yrP&amp;L'!W45</f>
        <v>155.30000000000001</v>
      </c>
      <c r="FG29" s="292">
        <f>'yrP&amp;L'!X45</f>
        <v>253.83100000000002</v>
      </c>
      <c r="FH29" s="292">
        <f>'yrP&amp;L'!Y45</f>
        <v>333.79678224168083</v>
      </c>
      <c r="FI29" s="291">
        <f>'yrP&amp;L'!Z45</f>
        <v>427.65399999999994</v>
      </c>
      <c r="FJ29" s="291">
        <f>'yrP&amp;L'!AA45</f>
        <v>444.34500000000003</v>
      </c>
      <c r="FK29" s="292">
        <f>'yrP&amp;L'!AB45</f>
        <v>254</v>
      </c>
      <c r="FL29" s="292">
        <f>'yrP&amp;L'!AC45</f>
        <v>268</v>
      </c>
      <c r="FM29" s="291">
        <f>'yrP&amp;L'!AD45</f>
        <v>378</v>
      </c>
      <c r="FN29" s="292">
        <f>'yrP&amp;L'!AE45</f>
        <v>436</v>
      </c>
      <c r="FO29" s="292">
        <f>'yrP&amp;L'!AF45</f>
        <v>450</v>
      </c>
      <c r="FP29" s="292">
        <f>'yrP&amp;L'!AG45</f>
        <v>455</v>
      </c>
      <c r="FQ29" s="292">
        <f>'yrP&amp;L'!AH45</f>
        <v>464.5</v>
      </c>
      <c r="FR29" s="292">
        <f>'yrP&amp;L'!AI45</f>
        <v>374.26</v>
      </c>
      <c r="FS29" s="292">
        <f>'yrP&amp;L'!AJ45</f>
        <v>330.03999999999996</v>
      </c>
      <c r="FT29" s="292">
        <f>'yrP&amp;L'!AK45</f>
        <v>309.64999999999998</v>
      </c>
      <c r="FU29" s="292">
        <f>'yrP&amp;L'!AL45</f>
        <v>204.19806559426587</v>
      </c>
      <c r="FV29" s="292">
        <f>'yrP&amp;L'!AM45</f>
        <v>194.60976687464597</v>
      </c>
      <c r="FW29" s="293">
        <f>'yrP&amp;L'!AN45</f>
        <v>186.05205619132525</v>
      </c>
      <c r="FX29" s="292">
        <f>'yrP&amp;L'!AO45</f>
        <v>177.50212843295174</v>
      </c>
      <c r="FY29" s="293">
        <f>'yrP&amp;L'!AP45</f>
        <v>172.2736937953263</v>
      </c>
      <c r="FZ29" s="292"/>
      <c r="GA29" s="292"/>
      <c r="GB29" s="292"/>
      <c r="GC29" s="292"/>
      <c r="GD29" s="292"/>
    </row>
    <row r="30" spans="1:186" ht="9" customHeight="1" x14ac:dyDescent="0.2">
      <c r="A30" s="276"/>
      <c r="CZ30" s="249"/>
      <c r="DA30" s="249"/>
      <c r="DB30" s="249"/>
      <c r="DC30" s="249"/>
      <c r="DD30" s="249"/>
      <c r="DE30" s="249"/>
      <c r="DF30" s="249"/>
      <c r="DG30" s="249"/>
      <c r="DH30" s="249"/>
      <c r="DI30" s="249"/>
      <c r="DJ30" s="249"/>
      <c r="DK30" s="249"/>
      <c r="DL30" s="249"/>
      <c r="DM30" s="249"/>
      <c r="DN30" s="249"/>
      <c r="DO30" s="249"/>
      <c r="DP30" s="249"/>
      <c r="DQ30" s="249"/>
      <c r="DR30" s="249"/>
      <c r="DS30" s="249"/>
      <c r="DT30" s="249"/>
      <c r="DU30" s="249"/>
      <c r="DV30" s="249"/>
      <c r="DW30" s="249"/>
      <c r="DX30" s="249"/>
      <c r="DY30" s="249"/>
      <c r="DZ30" s="249"/>
      <c r="EA30" s="249"/>
      <c r="EB30" s="249"/>
      <c r="EC30" s="249"/>
      <c r="ED30" s="249"/>
      <c r="EE30" s="249"/>
      <c r="EF30" s="249"/>
      <c r="EG30" s="249"/>
      <c r="EH30" s="249"/>
      <c r="EI30" s="249"/>
      <c r="EJ30" s="249"/>
      <c r="EK30" s="249"/>
      <c r="EL30" s="249"/>
      <c r="EM30" s="1264"/>
      <c r="EN30" s="1264"/>
      <c r="EO30" s="1264"/>
      <c r="EP30" s="1264"/>
      <c r="EQ30" s="249"/>
      <c r="ER30" s="277"/>
      <c r="ES30" s="286"/>
      <c r="ET30" s="286"/>
      <c r="EU30" s="286"/>
      <c r="EV30" s="286"/>
      <c r="EW30" s="286"/>
      <c r="EX30" s="286"/>
      <c r="EY30" s="286"/>
      <c r="EZ30" s="286"/>
      <c r="FA30" s="286"/>
      <c r="FB30" s="286"/>
      <c r="FC30" s="286"/>
      <c r="FD30" s="286"/>
      <c r="FE30" s="286"/>
      <c r="FF30" s="286"/>
      <c r="FG30" s="286"/>
      <c r="FH30" s="286"/>
      <c r="FI30" s="285"/>
      <c r="FJ30" s="285"/>
      <c r="FK30" s="286"/>
      <c r="FL30" s="286"/>
      <c r="FM30" s="285"/>
      <c r="FN30" s="286"/>
      <c r="FO30" s="286"/>
      <c r="FP30" s="286"/>
      <c r="FQ30" s="286"/>
      <c r="FR30" s="286"/>
      <c r="FS30" s="286"/>
      <c r="FT30" s="286"/>
      <c r="FU30" s="286"/>
      <c r="FV30" s="286"/>
      <c r="FW30" s="287"/>
      <c r="FX30" s="286"/>
      <c r="FY30" s="287"/>
      <c r="FZ30" s="286"/>
      <c r="GA30" s="286"/>
      <c r="GB30" s="286"/>
      <c r="GC30" s="286"/>
      <c r="GD30" s="286"/>
    </row>
    <row r="31" spans="1:186" x14ac:dyDescent="0.2">
      <c r="A31" s="276" t="s">
        <v>162</v>
      </c>
      <c r="C31" s="278">
        <f>C27-C29</f>
        <v>13.200000000000015</v>
      </c>
      <c r="D31" s="278">
        <f>D27-D29</f>
        <v>35.199999999999989</v>
      </c>
      <c r="E31" s="278">
        <f>E27-E29</f>
        <v>20.399999999999942</v>
      </c>
      <c r="F31" s="278">
        <f>F27-F29</f>
        <v>47.016000000000076</v>
      </c>
      <c r="G31" s="304"/>
      <c r="H31" s="278">
        <f>H27-H29</f>
        <v>25.656999999999957</v>
      </c>
      <c r="I31" s="278">
        <f>I27-I29</f>
        <v>49.868999999999993</v>
      </c>
      <c r="J31" s="278">
        <f>J27-J29</f>
        <v>19.429999999999986</v>
      </c>
      <c r="K31" s="278">
        <f>K27-K29</f>
        <v>40.85900000000008</v>
      </c>
      <c r="L31" s="304"/>
      <c r="M31" s="278">
        <f>M27-M29</f>
        <v>21.581999999999955</v>
      </c>
      <c r="N31" s="278">
        <f>N27-N29</f>
        <v>41.652999999999963</v>
      </c>
      <c r="O31" s="278">
        <f>O27-O29</f>
        <v>23.42900000000007</v>
      </c>
      <c r="P31" s="278">
        <f>P27-P29</f>
        <v>54.020599999999881</v>
      </c>
      <c r="Q31" s="304"/>
      <c r="R31" s="278">
        <f>R27-R29</f>
        <v>11.294999999999932</v>
      </c>
      <c r="S31" s="278">
        <f>S27-S29</f>
        <v>42.650999999999954</v>
      </c>
      <c r="T31" s="278">
        <f>T27-T29</f>
        <v>25.456000000000003</v>
      </c>
      <c r="U31" s="278">
        <f>U27-U29</f>
        <v>61.015999999999948</v>
      </c>
      <c r="V31" s="304"/>
      <c r="W31" s="278">
        <f>W27-W29</f>
        <v>31.973000000000017</v>
      </c>
      <c r="X31" s="278">
        <f>X27-X29</f>
        <v>63.022999999999996</v>
      </c>
      <c r="Y31" s="278">
        <f>Y27-Y29</f>
        <v>38.078999999999965</v>
      </c>
      <c r="Z31" s="278">
        <f>Z27-Z29</f>
        <v>69.882999999999896</v>
      </c>
      <c r="AA31" s="304"/>
      <c r="AB31" s="278">
        <f>AB27-AB29</f>
        <v>27.676999999999921</v>
      </c>
      <c r="AC31" s="278">
        <f>AC27-AC29</f>
        <v>53.864000000000019</v>
      </c>
      <c r="AD31" s="278">
        <f>AD27-AD29</f>
        <v>29.441999999999943</v>
      </c>
      <c r="AE31" s="278">
        <f>AE27-AE29</f>
        <v>54.127999999999936</v>
      </c>
      <c r="AF31" s="304"/>
      <c r="AG31" s="278">
        <f>AG27-AG29</f>
        <v>27.349000000000046</v>
      </c>
      <c r="AH31" s="278">
        <f>AH27-AH29</f>
        <v>44.780999999999906</v>
      </c>
      <c r="AI31" s="278">
        <f>AI27-AI29</f>
        <v>34.036000000000001</v>
      </c>
      <c r="AJ31" s="278">
        <f>AJ27-AJ29</f>
        <v>42.790999999999912</v>
      </c>
      <c r="AK31" s="304"/>
      <c r="AL31" s="278">
        <f>AL27-AL29</f>
        <v>32.349000000000039</v>
      </c>
      <c r="AM31" s="278">
        <f>AM27-AM29</f>
        <v>58.585999999999977</v>
      </c>
      <c r="AN31" s="278">
        <f>AN27-AN29</f>
        <v>36.145000000000103</v>
      </c>
      <c r="AO31" s="278">
        <f>AO27-AO29</f>
        <v>59.104998000000023</v>
      </c>
      <c r="AP31" s="304"/>
      <c r="AQ31" s="278">
        <f>AQ27-AQ29</f>
        <v>32.336999999999989</v>
      </c>
      <c r="AR31" s="278">
        <f>AR27-AR29</f>
        <v>69.193944000000045</v>
      </c>
      <c r="AS31" s="278">
        <f>AS27-AS29</f>
        <v>390.35609999999991</v>
      </c>
      <c r="AT31" s="278">
        <f>AT27-AT29</f>
        <v>66.601836999999932</v>
      </c>
      <c r="AU31" s="304"/>
      <c r="AV31" s="278">
        <f>AV27-AV29</f>
        <v>31.537999999999975</v>
      </c>
      <c r="AW31" s="278">
        <f>AW27-AW29</f>
        <v>70.839000000000055</v>
      </c>
      <c r="AX31" s="278">
        <f>AX27-AX29</f>
        <v>39.670129999999972</v>
      </c>
      <c r="AY31" s="278">
        <f>AY27-AY29</f>
        <v>48.488000000000127</v>
      </c>
      <c r="AZ31" s="304"/>
      <c r="BA31" s="278">
        <f>BA27-BA29</f>
        <v>32.788999999999987</v>
      </c>
      <c r="BB31" s="278">
        <f>BB27-BB29</f>
        <v>51.789969000000049</v>
      </c>
      <c r="BC31" s="278">
        <f>BC27-BC29</f>
        <v>23.346014999999802</v>
      </c>
      <c r="BD31" s="278">
        <f>BD27-BD29</f>
        <v>27.696179999999821</v>
      </c>
      <c r="BE31" s="304"/>
      <c r="BF31" s="278">
        <f>BF27-BF29</f>
        <v>24.754999999999992</v>
      </c>
      <c r="BG31" s="278">
        <f>BG27-BG29</f>
        <v>38.69900000000014</v>
      </c>
      <c r="BH31" s="278">
        <f>BH27-BH29</f>
        <v>10.494999999999989</v>
      </c>
      <c r="BI31" s="278">
        <f>BI27-BI29</f>
        <v>50.738999999999955</v>
      </c>
      <c r="BJ31" s="304"/>
      <c r="BK31" s="278">
        <f>BK27-BK29</f>
        <v>30.834</v>
      </c>
      <c r="BL31" s="278">
        <f>BL27-BL29</f>
        <v>57.949299999999937</v>
      </c>
      <c r="BM31" s="278">
        <f>BM27-BM29</f>
        <v>18.427000000000035</v>
      </c>
      <c r="BN31" s="278">
        <f>BN27-BN29</f>
        <v>60.034000000000034</v>
      </c>
      <c r="BO31" s="304"/>
      <c r="BP31" s="278">
        <f>BP27-BP29</f>
        <v>27.15499999999999</v>
      </c>
      <c r="BQ31" s="278">
        <f>BQ27-BQ29</f>
        <v>65.846999999999753</v>
      </c>
      <c r="BR31" s="278">
        <f>BR27-BR29</f>
        <v>45.494999999999955</v>
      </c>
      <c r="BS31" s="278">
        <f>BS27-BS29</f>
        <v>104.39199999999998</v>
      </c>
      <c r="BT31" s="304"/>
      <c r="BU31" s="278">
        <f>BU27-BU29</f>
        <v>68.727000000000089</v>
      </c>
      <c r="BV31" s="278">
        <f>BV27-BV29</f>
        <v>106.91499999999996</v>
      </c>
      <c r="BW31" s="278">
        <f>BW27-BW29</f>
        <v>77.852999999999895</v>
      </c>
      <c r="BX31" s="278">
        <f>BX27-BX29</f>
        <v>139.9799999999999</v>
      </c>
      <c r="BY31" s="304"/>
      <c r="BZ31" s="278">
        <f>BZ27-BZ29</f>
        <v>104.53799999999994</v>
      </c>
      <c r="CA31" s="278">
        <f>CA27-CA29</f>
        <v>148.91799999999978</v>
      </c>
      <c r="CB31" s="278">
        <f>CB27-CB29</f>
        <v>107.36730759698666</v>
      </c>
      <c r="CC31" s="278">
        <f>CC27-CC29</f>
        <v>190.35691016133228</v>
      </c>
      <c r="CD31" s="304"/>
      <c r="CE31" s="278">
        <f>CE27-CE29</f>
        <v>131.23099999999997</v>
      </c>
      <c r="CF31" s="278">
        <f>CF27-CF29</f>
        <v>178.75399999999996</v>
      </c>
      <c r="CG31" s="278">
        <f>CG27-CG29</f>
        <v>135.67299999999994</v>
      </c>
      <c r="CH31" s="278">
        <f>CH27-CH29</f>
        <v>232.34099999999978</v>
      </c>
      <c r="CI31" s="304"/>
      <c r="CJ31" s="278">
        <f>CJ27-CJ29</f>
        <v>156.81100000000004</v>
      </c>
      <c r="CK31" s="278">
        <f>CK27-CK29</f>
        <v>180.56399999999979</v>
      </c>
      <c r="CL31" s="278">
        <f>CL27-CL29</f>
        <v>144.43099999999987</v>
      </c>
      <c r="CM31" s="278">
        <f>CM27-CM29</f>
        <v>212</v>
      </c>
      <c r="CN31" s="304"/>
      <c r="CO31" s="278">
        <f>CO27-CO29</f>
        <v>129</v>
      </c>
      <c r="CP31" s="278">
        <f>CP27-CP29</f>
        <v>143</v>
      </c>
      <c r="CQ31" s="278">
        <f>CQ27-CQ29</f>
        <v>64.551000000000045</v>
      </c>
      <c r="CR31" s="278">
        <f>CR27-CR29</f>
        <v>68</v>
      </c>
      <c r="CS31" s="304"/>
      <c r="CT31" s="278">
        <f>CT27-CT29</f>
        <v>68</v>
      </c>
      <c r="CU31" s="278">
        <f>CU27-CU29</f>
        <v>105</v>
      </c>
      <c r="CV31" s="278">
        <f>CV27-CV29</f>
        <v>83</v>
      </c>
      <c r="CW31" s="278">
        <f>CW27-CW29</f>
        <v>172</v>
      </c>
      <c r="CX31" s="304"/>
      <c r="CY31" s="278">
        <f>CY27-CY29</f>
        <v>116</v>
      </c>
      <c r="CZ31" s="278">
        <f>CZ27-CZ29</f>
        <v>146</v>
      </c>
      <c r="DA31" s="278">
        <f>DA27-DA29</f>
        <v>119</v>
      </c>
      <c r="DB31" s="278">
        <f>DB27-DB29</f>
        <v>232</v>
      </c>
      <c r="DC31" s="304"/>
      <c r="DD31" s="278">
        <f>DD27-DD29</f>
        <v>145</v>
      </c>
      <c r="DE31" s="278">
        <f>DE27-DE29</f>
        <v>175</v>
      </c>
      <c r="DF31" s="278">
        <f>DF27-DF29</f>
        <v>127</v>
      </c>
      <c r="DG31" s="278">
        <f>DG27-DG29</f>
        <v>236</v>
      </c>
      <c r="DH31" s="304"/>
      <c r="DI31" s="278">
        <f>DI27-DI29</f>
        <v>149</v>
      </c>
      <c r="DJ31" s="278">
        <f>DJ27-DJ29</f>
        <v>156</v>
      </c>
      <c r="DK31" s="278">
        <f>DK27-DK29</f>
        <v>146</v>
      </c>
      <c r="DL31" s="278">
        <f>DL27-DL29</f>
        <v>284</v>
      </c>
      <c r="DM31" s="304"/>
      <c r="DN31" s="278">
        <f>DN27-DN29</f>
        <v>145</v>
      </c>
      <c r="DO31" s="278">
        <f>DO27-DO29</f>
        <v>184</v>
      </c>
      <c r="DP31" s="278">
        <f>DP27-DP29</f>
        <v>137</v>
      </c>
      <c r="DQ31" s="278">
        <f>DQ27-DQ29</f>
        <v>268</v>
      </c>
      <c r="DR31" s="304"/>
      <c r="DS31" s="278">
        <f>DS27-DS29</f>
        <v>140</v>
      </c>
      <c r="DT31" s="278">
        <f>DT27-DT29</f>
        <v>183</v>
      </c>
      <c r="DU31" s="278">
        <f>DU27-DU29</f>
        <v>142</v>
      </c>
      <c r="DV31" s="278">
        <f>DV27-DV29</f>
        <v>255.5</v>
      </c>
      <c r="DW31" s="304"/>
      <c r="DX31" s="278">
        <f>DX27-DX29</f>
        <v>128</v>
      </c>
      <c r="DY31" s="278">
        <f>DY27-DY29</f>
        <v>180.74</v>
      </c>
      <c r="DZ31" s="278">
        <f>DZ27-DZ29</f>
        <v>109</v>
      </c>
      <c r="EA31" s="278">
        <f>EA27-EA29</f>
        <v>212</v>
      </c>
      <c r="EB31" s="304"/>
      <c r="EC31" s="278">
        <f>EC27-EC29</f>
        <v>46</v>
      </c>
      <c r="ED31" s="278">
        <f>ED27-ED29</f>
        <v>117</v>
      </c>
      <c r="EE31" s="278">
        <f>EE27-EE29</f>
        <v>147.96</v>
      </c>
      <c r="EF31" s="278">
        <f>EF27-EF29</f>
        <v>240</v>
      </c>
      <c r="EG31" s="249"/>
      <c r="EH31" s="278">
        <f>EH27-EH29</f>
        <v>63</v>
      </c>
      <c r="EI31" s="278">
        <f>EI27-EI29</f>
        <v>110</v>
      </c>
      <c r="EJ31" s="278">
        <f>EJ27-EJ29</f>
        <v>114</v>
      </c>
      <c r="EK31" s="278">
        <f>EK27-EK29</f>
        <v>193.35</v>
      </c>
      <c r="EL31" s="278"/>
      <c r="EM31" s="1265">
        <f>EM27-EM29</f>
        <v>70.098912514423247</v>
      </c>
      <c r="EN31" s="1265">
        <f>EN27-EN29</f>
        <v>116.42999892594068</v>
      </c>
      <c r="EO31" s="1265">
        <f>EO27-EO29</f>
        <v>125.96539832166629</v>
      </c>
      <c r="EP31" s="1265">
        <f>EP27-EP29</f>
        <v>226.04326331967221</v>
      </c>
      <c r="EQ31" s="278"/>
      <c r="ER31" s="277"/>
      <c r="ES31" s="278">
        <f>ES27-ES29</f>
        <v>115.816</v>
      </c>
      <c r="ET31" s="278">
        <f>ET27-ET29</f>
        <v>135.81500000000025</v>
      </c>
      <c r="EU31" s="278">
        <f t="shared" ref="EU31:FK31" si="11">EU27-EU29</f>
        <v>140.68460000000044</v>
      </c>
      <c r="EV31" s="278">
        <f t="shared" si="11"/>
        <v>140.41800000000006</v>
      </c>
      <c r="EW31" s="278">
        <f t="shared" si="11"/>
        <v>202.95800000000023</v>
      </c>
      <c r="EX31" s="278">
        <f t="shared" si="11"/>
        <v>165.11099999999971</v>
      </c>
      <c r="EY31" s="278">
        <f t="shared" si="11"/>
        <v>148.95699999999991</v>
      </c>
      <c r="EZ31" s="278">
        <f t="shared" si="11"/>
        <v>186.18499799999961</v>
      </c>
      <c r="FA31" s="278">
        <f t="shared" si="11"/>
        <v>206.79588100000024</v>
      </c>
      <c r="FB31" s="278">
        <f t="shared" si="11"/>
        <v>202.29099999999977</v>
      </c>
      <c r="FC31" s="278">
        <f t="shared" si="11"/>
        <v>101.91800000000069</v>
      </c>
      <c r="FD31" s="278">
        <f t="shared" si="11"/>
        <v>124.68800000000017</v>
      </c>
      <c r="FE31" s="278">
        <f t="shared" si="11"/>
        <v>143.40899999999999</v>
      </c>
      <c r="FF31" s="278">
        <f t="shared" si="11"/>
        <v>242.88899999999882</v>
      </c>
      <c r="FG31" s="278">
        <f t="shared" si="11"/>
        <v>393.47499999999991</v>
      </c>
      <c r="FH31" s="278">
        <f t="shared" si="11"/>
        <v>551.18021775831812</v>
      </c>
      <c r="FI31" s="280">
        <f t="shared" si="11"/>
        <v>677.99900000000002</v>
      </c>
      <c r="FJ31" s="280">
        <f t="shared" si="11"/>
        <v>693.80600000000027</v>
      </c>
      <c r="FK31" s="278">
        <f t="shared" si="11"/>
        <v>394.55099999999993</v>
      </c>
      <c r="FL31" s="278">
        <f t="shared" ref="FL31:FR31" si="12">FL27-FL29</f>
        <v>428</v>
      </c>
      <c r="FM31" s="280">
        <f t="shared" si="12"/>
        <v>613</v>
      </c>
      <c r="FN31" s="278">
        <f t="shared" si="12"/>
        <v>683</v>
      </c>
      <c r="FO31" s="278">
        <f t="shared" si="12"/>
        <v>735</v>
      </c>
      <c r="FP31" s="278">
        <f>FP27-FP29</f>
        <v>734</v>
      </c>
      <c r="FQ31" s="278">
        <f t="shared" si="12"/>
        <v>720.5</v>
      </c>
      <c r="FR31" s="278">
        <f t="shared" si="12"/>
        <v>629.74</v>
      </c>
      <c r="FS31" s="278">
        <f t="shared" ref="FS31:FY31" si="13">FS27-FS29</f>
        <v>550.96</v>
      </c>
      <c r="FT31" s="278">
        <f t="shared" si="13"/>
        <v>480.35</v>
      </c>
      <c r="FU31" s="278">
        <f t="shared" si="13"/>
        <v>538.53757308170316</v>
      </c>
      <c r="FV31" s="278">
        <f t="shared" si="13"/>
        <v>513.25007044342431</v>
      </c>
      <c r="FW31" s="281">
        <f t="shared" si="13"/>
        <v>490.6805679894278</v>
      </c>
      <c r="FX31" s="278">
        <f t="shared" si="13"/>
        <v>468.13159167264371</v>
      </c>
      <c r="FY31" s="281">
        <f t="shared" si="13"/>
        <v>454.34248699837087</v>
      </c>
      <c r="FZ31" s="278"/>
      <c r="GA31" s="258"/>
      <c r="GB31" s="278"/>
      <c r="GC31" s="278"/>
      <c r="GD31" s="278"/>
    </row>
    <row r="32" spans="1:186" ht="9" customHeight="1" x14ac:dyDescent="0.2">
      <c r="A32" s="276"/>
      <c r="CZ32" s="249"/>
      <c r="DA32" s="249"/>
      <c r="DB32" s="249"/>
      <c r="DC32" s="249"/>
      <c r="DD32" s="249"/>
      <c r="DE32" s="249"/>
      <c r="DF32" s="249"/>
      <c r="DG32" s="249"/>
      <c r="DH32" s="249"/>
      <c r="DI32" s="249"/>
      <c r="DJ32" s="249"/>
      <c r="DK32" s="249"/>
      <c r="DL32" s="249"/>
      <c r="DM32" s="249"/>
      <c r="DN32" s="249"/>
      <c r="DO32" s="249"/>
      <c r="DP32" s="249"/>
      <c r="DQ32" s="249"/>
      <c r="DR32" s="249"/>
      <c r="DS32" s="249"/>
      <c r="DT32" s="249"/>
      <c r="DU32" s="249"/>
      <c r="DV32" s="249"/>
      <c r="DW32" s="249"/>
      <c r="EB32" s="249"/>
      <c r="EC32" s="249"/>
      <c r="ED32" s="249"/>
      <c r="EE32" s="249"/>
      <c r="EF32" s="249"/>
      <c r="EG32" s="249"/>
      <c r="EH32" s="249"/>
      <c r="EI32" s="249"/>
      <c r="EJ32" s="249"/>
      <c r="EK32" s="249"/>
      <c r="EL32" s="249"/>
      <c r="EM32" s="249"/>
      <c r="EN32" s="249"/>
      <c r="EO32" s="249"/>
      <c r="EP32" s="249"/>
      <c r="EQ32" s="249"/>
      <c r="ER32" s="277"/>
      <c r="ES32" s="286"/>
      <c r="ET32" s="286"/>
      <c r="EU32" s="286"/>
      <c r="EV32" s="286"/>
      <c r="EW32" s="286"/>
      <c r="EX32" s="286"/>
      <c r="EY32" s="286"/>
      <c r="EZ32" s="286"/>
      <c r="FA32" s="286"/>
      <c r="FB32" s="286"/>
      <c r="FC32" s="286"/>
      <c r="FD32" s="286"/>
      <c r="FE32" s="286"/>
      <c r="FF32" s="286"/>
      <c r="FG32" s="286"/>
      <c r="FH32" s="286"/>
      <c r="FI32" s="285"/>
      <c r="FJ32" s="285"/>
      <c r="FK32" s="286"/>
      <c r="FL32" s="286"/>
      <c r="FM32" s="285"/>
      <c r="FN32" s="286"/>
      <c r="FO32" s="286"/>
      <c r="FP32" s="286"/>
      <c r="FQ32" s="286"/>
      <c r="FR32" s="286"/>
      <c r="FS32" s="286"/>
      <c r="FT32" s="286"/>
      <c r="FU32" s="286"/>
      <c r="FV32" s="286"/>
      <c r="FW32" s="287"/>
      <c r="FX32" s="286"/>
      <c r="FY32" s="287"/>
      <c r="FZ32" s="286"/>
      <c r="GA32" s="286"/>
      <c r="GB32" s="286"/>
      <c r="GC32" s="286"/>
      <c r="GD32" s="286"/>
    </row>
    <row r="33" spans="1:270" x14ac:dyDescent="0.2">
      <c r="A33" s="288" t="s">
        <v>163</v>
      </c>
      <c r="B33" s="289"/>
      <c r="C33" s="294">
        <f>INDEX('qtrP&amp;L'!$150:$150,MATCH(C$7,'qtrP&amp;L'!$6:$6,0))</f>
        <v>0</v>
      </c>
      <c r="D33" s="294">
        <f>INDEX('qtrP&amp;L'!$151:$151,MATCH(C$7,'qtrP&amp;L'!$6:$6,0))</f>
        <v>0</v>
      </c>
      <c r="E33" s="294">
        <f>INDEX('qtrP&amp;L'!$152:$152,MATCH(C$7,'qtrP&amp;L'!$6:$6,0))</f>
        <v>0</v>
      </c>
      <c r="F33" s="294">
        <f>INDEX('qtrP&amp;L'!$153:$153,MATCH(C$7,'qtrP&amp;L'!$6:$6,0))</f>
        <v>0</v>
      </c>
      <c r="G33" s="294"/>
      <c r="H33" s="294">
        <f>INDEX('qtrP&amp;L'!$150:$150,MATCH(H$7,'qtrP&amp;L'!$6:$6,0))</f>
        <v>0</v>
      </c>
      <c r="I33" s="294">
        <f>INDEX('qtrP&amp;L'!$151:$151,MATCH(H$7,'qtrP&amp;L'!$6:$6,0))</f>
        <v>0</v>
      </c>
      <c r="J33" s="294">
        <f>INDEX('qtrP&amp;L'!$152:$152,MATCH(H$7,'qtrP&amp;L'!$6:$6,0))</f>
        <v>0</v>
      </c>
      <c r="K33" s="294">
        <f>INDEX('qtrP&amp;L'!$153:$153,MATCH(H$7,'qtrP&amp;L'!$6:$6,0))</f>
        <v>0</v>
      </c>
      <c r="L33" s="294"/>
      <c r="M33" s="294">
        <f>INDEX('qtrP&amp;L'!$150:$150,MATCH(M$7,'qtrP&amp;L'!$6:$6,0))</f>
        <v>0</v>
      </c>
      <c r="N33" s="294">
        <f>INDEX('qtrP&amp;L'!$151:$151,MATCH(M$7,'qtrP&amp;L'!$6:$6,0))</f>
        <v>0</v>
      </c>
      <c r="O33" s="294">
        <f>INDEX('qtrP&amp;L'!$152:$152,MATCH(M$7,'qtrP&amp;L'!$6:$6,0))</f>
        <v>0</v>
      </c>
      <c r="P33" s="294">
        <f>INDEX('qtrP&amp;L'!$153:$153,MATCH(M$7,'qtrP&amp;L'!$6:$6,0))</f>
        <v>4.0655999999999999</v>
      </c>
      <c r="Q33" s="294"/>
      <c r="R33" s="294">
        <f>INDEX('qtrP&amp;L'!$150:$150,MATCH(R$7,'qtrP&amp;L'!$6:$6,0))</f>
        <v>0</v>
      </c>
      <c r="S33" s="294">
        <f>INDEX('qtrP&amp;L'!$151:$151,MATCH(R$7,'qtrP&amp;L'!$6:$6,0))</f>
        <v>0</v>
      </c>
      <c r="T33" s="294">
        <f>INDEX('qtrP&amp;L'!$152:$152,MATCH(R$7,'qtrP&amp;L'!$6:$6,0))</f>
        <v>0</v>
      </c>
      <c r="U33" s="294">
        <f>INDEX('qtrP&amp;L'!$153:$153,MATCH(R$7,'qtrP&amp;L'!$6:$6,0))</f>
        <v>0</v>
      </c>
      <c r="V33" s="294"/>
      <c r="W33" s="294">
        <f>INDEX('qtrP&amp;L'!$150:$150,MATCH(W$7,'qtrP&amp;L'!$6:$6,0))</f>
        <v>0</v>
      </c>
      <c r="X33" s="294">
        <f>INDEX('qtrP&amp;L'!$151:$151,MATCH(W$7,'qtrP&amp;L'!$6:$6,0))</f>
        <v>0</v>
      </c>
      <c r="Y33" s="294">
        <f>INDEX('qtrP&amp;L'!$152:$152,MATCH(W$7,'qtrP&amp;L'!$6:$6,0))</f>
        <v>0</v>
      </c>
      <c r="Z33" s="294">
        <f>INDEX('qtrP&amp;L'!$153:$153,MATCH(W$7,'qtrP&amp;L'!$6:$6,0))</f>
        <v>0</v>
      </c>
      <c r="AA33" s="294"/>
      <c r="AB33" s="294">
        <f>INDEX('qtrP&amp;L'!$150:$150,MATCH(AB$7,'qtrP&amp;L'!$6:$6,0))</f>
        <v>0</v>
      </c>
      <c r="AC33" s="294">
        <f>INDEX('qtrP&amp;L'!$151:$151,MATCH(AB$7,'qtrP&amp;L'!$6:$6,0))</f>
        <v>0</v>
      </c>
      <c r="AD33" s="294">
        <f>INDEX('qtrP&amp;L'!$152:$152,MATCH(AB$7,'qtrP&amp;L'!$6:$6,0))</f>
        <v>0</v>
      </c>
      <c r="AE33" s="294">
        <f>INDEX('qtrP&amp;L'!$153:$153,MATCH(AB$7,'qtrP&amp;L'!$6:$6,0))</f>
        <v>0</v>
      </c>
      <c r="AF33" s="294"/>
      <c r="AG33" s="294">
        <f>INDEX('qtrP&amp;L'!$150:$150,MATCH(AG$7,'qtrP&amp;L'!$6:$6,0))</f>
        <v>1.452</v>
      </c>
      <c r="AH33" s="294">
        <f>INDEX('qtrP&amp;L'!$151:$151,MATCH(AG$7,'qtrP&amp;L'!$6:$6,0))</f>
        <v>0</v>
      </c>
      <c r="AI33" s="294">
        <f>INDEX('qtrP&amp;L'!$152:$152,MATCH(AG$7,'qtrP&amp;L'!$6:$6,0))</f>
        <v>0</v>
      </c>
      <c r="AJ33" s="294">
        <f>INDEX('qtrP&amp;L'!$153:$153,MATCH(AG$7,'qtrP&amp;L'!$6:$6,0))</f>
        <v>0</v>
      </c>
      <c r="AK33" s="294"/>
      <c r="AL33" s="294">
        <f>INDEX('qtrP&amp;L'!$150:$150,MATCH(AL$7,'qtrP&amp;L'!$6:$6,0))</f>
        <v>0</v>
      </c>
      <c r="AM33" s="294">
        <f>INDEX('qtrP&amp;L'!$151:$151,MATCH(AL$7,'qtrP&amp;L'!$6:$6,0))</f>
        <v>0</v>
      </c>
      <c r="AN33" s="294">
        <f>INDEX('qtrP&amp;L'!$152:$152,MATCH(AL$7,'qtrP&amp;L'!$6:$6,0))</f>
        <v>0</v>
      </c>
      <c r="AO33" s="294">
        <f>INDEX('qtrP&amp;L'!$153:$153,MATCH(AL$7,'qtrP&amp;L'!$6:$6,0))</f>
        <v>0</v>
      </c>
      <c r="AP33" s="294"/>
      <c r="AQ33" s="294">
        <f>INDEX('qtrP&amp;L'!$150:$150,MATCH(AQ$7,'qtrP&amp;L'!$6:$6,0))</f>
        <v>0</v>
      </c>
      <c r="AR33" s="294">
        <f>INDEX('qtrP&amp;L'!$151:$151,MATCH(AQ$7,'qtrP&amp;L'!$6:$6,0))</f>
        <v>0</v>
      </c>
      <c r="AS33" s="294">
        <f>INDEX('qtrP&amp;L'!$152:$152,MATCH(AQ$7,'qtrP&amp;L'!$6:$6,0))</f>
        <v>0</v>
      </c>
      <c r="AT33" s="294">
        <f>INDEX('qtrP&amp;L'!$153:$153,MATCH(AQ$7,'qtrP&amp;L'!$6:$6,0))</f>
        <v>0</v>
      </c>
      <c r="AU33" s="294"/>
      <c r="AV33" s="294">
        <f>INDEX('qtrP&amp;L'!$150:$150,MATCH(AV$7,'qtrP&amp;L'!$6:$6,0))</f>
        <v>0</v>
      </c>
      <c r="AW33" s="294">
        <f>INDEX('qtrP&amp;L'!$151:$151,MATCH(AV$7,'qtrP&amp;L'!$6:$6,0))</f>
        <v>0</v>
      </c>
      <c r="AX33" s="294">
        <f>INDEX('qtrP&amp;L'!$152:$152,MATCH(AV$7,'qtrP&amp;L'!$6:$6,0))</f>
        <v>6.1</v>
      </c>
      <c r="AY33" s="294">
        <f>INDEX('qtrP&amp;L'!$153:$153,MATCH(AV$7,'qtrP&amp;L'!$6:$6,0))</f>
        <v>0</v>
      </c>
      <c r="AZ33" s="294"/>
      <c r="BA33" s="294">
        <f>INDEX('qtrP&amp;L'!$150:$150,MATCH(BA$7,'qtrP&amp;L'!$6:$6,0))</f>
        <v>0</v>
      </c>
      <c r="BB33" s="294">
        <f>INDEX('qtrP&amp;L'!$151:$151,MATCH(BA$7,'qtrP&amp;L'!$6:$6,0))</f>
        <v>6.4188599999999996</v>
      </c>
      <c r="BC33" s="294">
        <f>INDEX('qtrP&amp;L'!$152:$152,MATCH(BA$7,'qtrP&amp;L'!$6:$6,0))</f>
        <v>43.9</v>
      </c>
      <c r="BD33" s="294">
        <f>INDEX('qtrP&amp;L'!$153:$153,MATCH(BA$7,'qtrP&amp;L'!$6:$6,0))</f>
        <v>0.64817999999999998</v>
      </c>
      <c r="BE33" s="294"/>
      <c r="BF33" s="294">
        <f>INDEX('qtrP&amp;L'!$150:$150,MATCH(BF$7,'qtrP&amp;L'!$6:$6,0))</f>
        <v>0</v>
      </c>
      <c r="BG33" s="294">
        <f>INDEX('qtrP&amp;L'!$151:$151,MATCH(BF$7,'qtrP&amp;L'!$6:$6,0))</f>
        <v>0</v>
      </c>
      <c r="BH33" s="294">
        <f>INDEX('qtrP&amp;L'!$152:$152,MATCH(BF$7,'qtrP&amp;L'!$6:$6,0))</f>
        <v>0</v>
      </c>
      <c r="BI33" s="294">
        <f>INDEX('qtrP&amp;L'!$153:$153,MATCH(BF$7,'qtrP&amp;L'!$6:$6,0))</f>
        <v>0</v>
      </c>
      <c r="BJ33" s="294"/>
      <c r="BK33" s="294">
        <f>INDEX('qtrP&amp;L'!$150:$150,MATCH(BK$7,'qtrP&amp;L'!$6:$6,0))</f>
        <v>-13.359</v>
      </c>
      <c r="BL33" s="294">
        <f>INDEX('qtrP&amp;L'!$151:$151,MATCH(BK$7,'qtrP&amp;L'!$6:$6,0))</f>
        <v>10.835300000000002</v>
      </c>
      <c r="BM33" s="294">
        <f>INDEX('qtrP&amp;L'!$152:$152,MATCH(BK$7,'qtrP&amp;L'!$6:$6,0))</f>
        <v>0</v>
      </c>
      <c r="BN33" s="294">
        <f>INDEX('qtrP&amp;L'!$153:$153,MATCH(BK$7,'qtrP&amp;L'!$6:$6,0))</f>
        <v>0</v>
      </c>
      <c r="BO33" s="294"/>
      <c r="BP33" s="294">
        <f>INDEX('qtrP&amp;L'!$150:$150,MATCH(BP$7,'qtrP&amp;L'!$6:$6,0))</f>
        <v>0</v>
      </c>
      <c r="BQ33" s="294">
        <f>INDEX('qtrP&amp;L'!$151:$151,MATCH(BP$7,'qtrP&amp;L'!$6:$6,0))</f>
        <v>0</v>
      </c>
      <c r="BR33" s="294">
        <f>-INDEX('qtrP&amp;L'!$152:$152,MATCH(BP$7,'qtrP&amp;L'!$6:$6,0))</f>
        <v>0</v>
      </c>
      <c r="BS33" s="294">
        <f>INDEX('qtrP&amp;L'!$153:$153,MATCH(BP$7,'qtrP&amp;L'!$6:$6,0))</f>
        <v>0</v>
      </c>
      <c r="BT33" s="294"/>
      <c r="BU33" s="294">
        <f>INDEX('qtrP&amp;L'!$150:$150,MATCH(BU$7,'qtrP&amp;L'!$6:$6,0))</f>
        <v>0</v>
      </c>
      <c r="BV33" s="294">
        <f>INDEX('qtrP&amp;L'!$151:$151,MATCH(BU$7,'qtrP&amp;L'!$6:$6,0))</f>
        <v>0</v>
      </c>
      <c r="BW33" s="294">
        <f>INDEX('qtrP&amp;L'!$152:$152,MATCH(BU$7,'qtrP&amp;L'!$6:$6,0))</f>
        <v>0</v>
      </c>
      <c r="BX33" s="294">
        <f>INDEX('qtrP&amp;L'!$153:$153,MATCH(BU$7,'qtrP&amp;L'!$6:$6,0))</f>
        <v>0</v>
      </c>
      <c r="BY33" s="294"/>
      <c r="BZ33" s="294">
        <f>INDEX('qtrP&amp;L'!$150:$150,MATCH(BZ$7,'qtrP&amp;L'!$6:$6,0))</f>
        <v>0</v>
      </c>
      <c r="CA33" s="294">
        <f>INDEX('qtrP&amp;L'!$151:$151,MATCH(BZ$7,'qtrP&amp;L'!$6:$6,0))</f>
        <v>0</v>
      </c>
      <c r="CB33" s="294">
        <f>INDEX('qtrP&amp;L'!$152:$152,MATCH(BZ$7,'qtrP&amp;L'!$6:$6,0))</f>
        <v>0</v>
      </c>
      <c r="CC33" s="294">
        <f>INDEX('qtrP&amp;L'!$153:$153,MATCH(BZ$7,'qtrP&amp;L'!$6:$6,0))</f>
        <v>0</v>
      </c>
      <c r="CD33" s="294"/>
      <c r="CE33" s="294">
        <f>INDEX('qtrP&amp;L'!$150:$150,MATCH(CE$7,'qtrP&amp;L'!$6:$6,0))</f>
        <v>0</v>
      </c>
      <c r="CF33" s="294">
        <f>INDEX('qtrP&amp;L'!$151:$151,MATCH(CE$7,'qtrP&amp;L'!$6:$6,0))</f>
        <v>0</v>
      </c>
      <c r="CG33" s="294">
        <f>INDEX('qtrP&amp;L'!$152:$152,MATCH(CE$7,'qtrP&amp;L'!$6:$6,0))</f>
        <v>0</v>
      </c>
      <c r="CH33" s="294">
        <f>INDEX('qtrP&amp;L'!$153:$153,MATCH(CE$7,'qtrP&amp;L'!$6:$6,0))</f>
        <v>0</v>
      </c>
      <c r="CI33" s="294"/>
      <c r="CJ33" s="294">
        <f>INDEX('qtrP&amp;L'!$150:$150,MATCH(CJ$7,'qtrP&amp;L'!$6:$6,0))</f>
        <v>0</v>
      </c>
      <c r="CK33" s="294">
        <f>INDEX('qtrP&amp;L'!$151:$151,MATCH(CJ$7,'qtrP&amp;L'!$6:$6,0))</f>
        <v>0</v>
      </c>
      <c r="CL33" s="294">
        <f>INDEX('qtrP&amp;L'!$152:$152,MATCH(CJ$7,'qtrP&amp;L'!$6:$6,0))</f>
        <v>-20.925000000000001</v>
      </c>
      <c r="CM33" s="294">
        <f>INDEX('qtrP&amp;L'!$153:$153,MATCH(CJ$7,'qtrP&amp;L'!$6:$6,0))</f>
        <v>0</v>
      </c>
      <c r="CN33" s="294"/>
      <c r="CO33" s="294">
        <f>INDEX('qtrP&amp;L'!$150:$150,MATCH(CO$7,'qtrP&amp;L'!$6:$6,0))</f>
        <v>0</v>
      </c>
      <c r="CP33" s="294">
        <f>INDEX('qtrP&amp;L'!$151:$151,MATCH(CO$7,'qtrP&amp;L'!$6:$6,0))</f>
        <v>0</v>
      </c>
      <c r="CQ33" s="294">
        <f>INDEX('qtrP&amp;L'!$152:$152,MATCH(CO$7,'qtrP&amp;L'!$6:$6,0))</f>
        <v>-7.7659999999999982</v>
      </c>
      <c r="CR33" s="294">
        <f>INDEX('qtrP&amp;L'!$153:$153,MATCH(CO$7,'qtrP&amp;L'!$6:$6,0))</f>
        <v>0</v>
      </c>
      <c r="CS33" s="294"/>
      <c r="CT33" s="294">
        <f>INDEX('qtrP&amp;L'!$150:$150,MATCH(CT$7,'qtrP&amp;L'!$6:$6,0))</f>
        <v>-13</v>
      </c>
      <c r="CU33" s="294">
        <f>INDEX('qtrP&amp;L'!$151:$151,MATCH(CT$7,'qtrP&amp;L'!$6:$6,0))</f>
        <v>0</v>
      </c>
      <c r="CV33" s="294">
        <f>INDEX('qtrP&amp;L'!$152:$152,MATCH(CT$7,'qtrP&amp;L'!$6:$6,0))</f>
        <v>0</v>
      </c>
      <c r="CW33" s="294">
        <f>INDEX('qtrP&amp;L'!$153:$153,MATCH(CT$7,'qtrP&amp;L'!$6:$6,0))</f>
        <v>0</v>
      </c>
      <c r="CX33" s="294"/>
      <c r="CY33" s="294">
        <f>INDEX('qtrP&amp;L'!$150:$150,MATCH(CY$7,'qtrP&amp;L'!$6:$6,0))</f>
        <v>0</v>
      </c>
      <c r="CZ33" s="294">
        <f>INDEX('qtrP&amp;L'!$151:$151,MATCH(CY$7,'qtrP&amp;L'!$6:$6,0))</f>
        <v>0</v>
      </c>
      <c r="DA33" s="294">
        <f>INDEX('qtrP&amp;L'!$152:$152,MATCH(CY$7,'qtrP&amp;L'!$6:$6,0))</f>
        <v>0</v>
      </c>
      <c r="DB33" s="294">
        <f>INDEX('qtrP&amp;L'!$153:$153,MATCH(CY$7,'qtrP&amp;L'!$6:$6,0))</f>
        <v>0</v>
      </c>
      <c r="DC33" s="294"/>
      <c r="DD33" s="294">
        <f>INDEX('qtrP&amp;L'!$150:$150,MATCH(DD$7,'qtrP&amp;L'!$6:$6,0))</f>
        <v>0</v>
      </c>
      <c r="DE33" s="294">
        <f>INDEX('qtrP&amp;L'!$151:$151,MATCH(DD$7,'qtrP&amp;L'!$6:$6,0))</f>
        <v>0</v>
      </c>
      <c r="DF33" s="294">
        <f>INDEX('qtrP&amp;L'!$152:$152,MATCH(DD$7,'qtrP&amp;L'!$6:$6,0))</f>
        <v>0</v>
      </c>
      <c r="DG33" s="294">
        <f>INDEX('qtrP&amp;L'!$153:$153,MATCH(DD$7,'qtrP&amp;L'!$6:$6,0))</f>
        <v>0</v>
      </c>
      <c r="DH33" s="290"/>
      <c r="DI33" s="290">
        <f>INDEX('qtrP&amp;L'!$150:$150,MATCH(DI$7,'qtrP&amp;L'!$6:$6,0))</f>
        <v>0</v>
      </c>
      <c r="DJ33" s="290">
        <f>INDEX('qtrP&amp;L'!$151:$151,MATCH(DI$7,'qtrP&amp;L'!$6:$6,0))</f>
        <v>0</v>
      </c>
      <c r="DK33" s="290">
        <f>INDEX('qtrP&amp;L'!$152:$152,MATCH(DI$7,'qtrP&amp;L'!$6:$6,0))</f>
        <v>0</v>
      </c>
      <c r="DL33" s="290">
        <f>INDEX('qtrP&amp;L'!$153:$153,MATCH(DI$7,'qtrP&amp;L'!$6:$6,0))</f>
        <v>0</v>
      </c>
      <c r="DM33" s="290"/>
      <c r="DN33" s="290">
        <f>INDEX('qtrP&amp;L'!$150:$150,MATCH(DN$7,'qtrP&amp;L'!$6:$6,0))</f>
        <v>0</v>
      </c>
      <c r="DO33" s="290">
        <f>INDEX('qtrP&amp;L'!$151:$151,MATCH(DN$7,'qtrP&amp;L'!$6:$6,0))</f>
        <v>0</v>
      </c>
      <c r="DP33" s="290">
        <f>INDEX('qtrP&amp;L'!$152:$152,MATCH(DN$7,'qtrP&amp;L'!$6:$6,0))</f>
        <v>0</v>
      </c>
      <c r="DQ33" s="290">
        <f>INDEX('qtrP&amp;L'!$153:$153,MATCH(DN$7,'qtrP&amp;L'!$6:$6,0))</f>
        <v>0</v>
      </c>
      <c r="DR33" s="290"/>
      <c r="DS33" s="290">
        <f>INDEX('qtrP&amp;L'!$150:$150,MATCH(DS$7,'qtrP&amp;L'!$6:$6,0))</f>
        <v>0</v>
      </c>
      <c r="DT33" s="290">
        <f>INDEX('qtrP&amp;L'!$151:$151,MATCH(DS$7,'qtrP&amp;L'!$6:$6,0))</f>
        <v>0</v>
      </c>
      <c r="DU33" s="290">
        <f>INDEX('qtrP&amp;L'!$152:$152,MATCH(DS$7,'qtrP&amp;L'!$6:$6,0))</f>
        <v>0</v>
      </c>
      <c r="DV33" s="290">
        <f>INDEX('qtrP&amp;L'!$153:$153,MATCH(DS$7,'qtrP&amp;L'!$6:$6,0))</f>
        <v>0</v>
      </c>
      <c r="DW33" s="290"/>
      <c r="DX33" s="290">
        <f>INDEX('qtrP&amp;L'!$150:$150,MATCH(DX$7,'qtrP&amp;L'!$6:$6,0))</f>
        <v>0</v>
      </c>
      <c r="DY33" s="290">
        <f>INDEX('qtrP&amp;L'!$151:$151,MATCH(DX$7,'qtrP&amp;L'!$6:$6,0))</f>
        <v>0</v>
      </c>
      <c r="DZ33" s="290">
        <f>INDEX('qtrP&amp;L'!$152:$152,MATCH(DX$7,'qtrP&amp;L'!$6:$6,0))</f>
        <v>0</v>
      </c>
      <c r="EA33" s="290">
        <f>INDEX('qtrP&amp;L'!$153:$153,MATCH(DX$7,'qtrP&amp;L'!$6:$6,0))</f>
        <v>0</v>
      </c>
      <c r="EB33" s="290"/>
      <c r="EC33" s="290">
        <f>INDEX('qtrP&amp;L'!$150:$150,MATCH(EC$7,'qtrP&amp;L'!$6:$6,0))</f>
        <v>0</v>
      </c>
      <c r="ED33" s="290">
        <f>INDEX('qtrP&amp;L'!$151:$151,MATCH(EC$7,'qtrP&amp;L'!$6:$6,0))</f>
        <v>0</v>
      </c>
      <c r="EE33" s="290">
        <f>INDEX('qtrP&amp;L'!$152:$152,MATCH(EC$7,'qtrP&amp;L'!$6:$6,0))</f>
        <v>158</v>
      </c>
      <c r="EF33" s="290">
        <f>INDEX('qtrP&amp;L'!$153:$153,MATCH(EC$7,'qtrP&amp;L'!$6:$6,0))</f>
        <v>38.799999999999997</v>
      </c>
      <c r="EG33" s="249"/>
      <c r="EH33" s="290">
        <f>INDEX('qtrP&amp;L'!$150:$150,MATCH(EH$7,'qtrP&amp;L'!$6:$6,0))</f>
        <v>0</v>
      </c>
      <c r="EI33" s="290">
        <f>INDEX('qtrP&amp;L'!$151:$151,MATCH(EH$7,'qtrP&amp;L'!$6:$6,0))</f>
        <v>0</v>
      </c>
      <c r="EJ33" s="290">
        <f>INDEX('qtrP&amp;L'!$152:$152,MATCH(EH$7,'qtrP&amp;L'!$6:$6,0))</f>
        <v>0</v>
      </c>
      <c r="EK33" s="290">
        <f>INDEX('qtrP&amp;L'!$153:$153,MATCH(EH$7,'qtrP&amp;L'!$6:$6,0))</f>
        <v>43</v>
      </c>
      <c r="EL33" s="290"/>
      <c r="EM33" s="290">
        <f>INDEX('qtrP&amp;L'!$150:$150,MATCH(EM$7,'qtrP&amp;L'!$6:$6,0))</f>
        <v>0</v>
      </c>
      <c r="EN33" s="290">
        <f>INDEX('qtrP&amp;L'!$151:$151,MATCH(EM$7,'qtrP&amp;L'!$6:$6,0))</f>
        <v>0</v>
      </c>
      <c r="EO33" s="290">
        <f>INDEX('qtrP&amp;L'!$152:$152,MATCH(EM$7,'qtrP&amp;L'!$6:$6,0))</f>
        <v>0</v>
      </c>
      <c r="EP33" s="290">
        <f>INDEX('qtrP&amp;L'!$153:$153,MATCH(EM$7,'qtrP&amp;L'!$6:$6,0))</f>
        <v>0</v>
      </c>
      <c r="EQ33" s="290"/>
      <c r="ER33" s="277"/>
      <c r="ES33" s="292">
        <f>'yrP&amp;L'!J53</f>
        <v>0</v>
      </c>
      <c r="ET33" s="292">
        <f>'yrP&amp;L'!K53</f>
        <v>0</v>
      </c>
      <c r="EU33" s="292">
        <f>'yrP&amp;L'!L53</f>
        <v>4.0655999999999999</v>
      </c>
      <c r="EV33" s="292">
        <f>'yrP&amp;L'!M53</f>
        <v>0</v>
      </c>
      <c r="EW33" s="292">
        <f>'yrP&amp;L'!N53</f>
        <v>0</v>
      </c>
      <c r="EX33" s="292">
        <f>'yrP&amp;L'!O53</f>
        <v>0</v>
      </c>
      <c r="EY33" s="292">
        <f>'yrP&amp;L'!P53</f>
        <v>1.452</v>
      </c>
      <c r="EZ33" s="292">
        <f>'yrP&amp;L'!Q53</f>
        <v>0</v>
      </c>
      <c r="FA33" s="292">
        <f>'yrP&amp;L'!R53</f>
        <v>0</v>
      </c>
      <c r="FB33" s="292">
        <f>'yrP&amp;L'!S53</f>
        <v>0</v>
      </c>
      <c r="FC33" s="292">
        <f>'yrP&amp;L'!T53</f>
        <v>0</v>
      </c>
      <c r="FD33" s="292">
        <f>'yrP&amp;L'!U53</f>
        <v>0</v>
      </c>
      <c r="FE33" s="292">
        <f>'yrP&amp;L'!V53</f>
        <v>0</v>
      </c>
      <c r="FF33" s="292">
        <f>'yrP&amp;L'!W53</f>
        <v>0</v>
      </c>
      <c r="FG33" s="292">
        <f>'yrP&amp;L'!X53</f>
        <v>0</v>
      </c>
      <c r="FH33" s="292">
        <f>'yrP&amp;L'!Y53</f>
        <v>0</v>
      </c>
      <c r="FI33" s="291">
        <f>'yrP&amp;L'!Z53</f>
        <v>0</v>
      </c>
      <c r="FJ33" s="291">
        <f>'yrP&amp;L'!AA53</f>
        <v>-20.925000000000001</v>
      </c>
      <c r="FK33" s="292">
        <f>'yrP&amp;L'!AB53</f>
        <v>-7.7659999999999982</v>
      </c>
      <c r="FL33" s="292">
        <f>'yrP&amp;L'!AC53</f>
        <v>-13</v>
      </c>
      <c r="FM33" s="291">
        <f>'yrP&amp;L'!AD53</f>
        <v>0</v>
      </c>
      <c r="FN33" s="292">
        <f>'yrP&amp;L'!AE53</f>
        <v>0</v>
      </c>
      <c r="FO33" s="292">
        <f>'yrP&amp;L'!AF53</f>
        <v>0</v>
      </c>
      <c r="FP33" s="292">
        <f>'yrP&amp;L'!AG53</f>
        <v>0</v>
      </c>
      <c r="FQ33" s="292">
        <f>'yrP&amp;L'!AH53</f>
        <v>0</v>
      </c>
      <c r="FR33" s="292">
        <f>'yrP&amp;L'!AI53</f>
        <v>29</v>
      </c>
      <c r="FS33" s="292">
        <f>'yrP&amp;L'!AJ53</f>
        <v>197</v>
      </c>
      <c r="FT33" s="292">
        <f>'yrP&amp;L'!AK53</f>
        <v>43</v>
      </c>
      <c r="FU33" s="292">
        <f>'yrP&amp;L'!AL53</f>
        <v>0</v>
      </c>
      <c r="FV33" s="292">
        <f>'yrP&amp;L'!AM53</f>
        <v>0</v>
      </c>
      <c r="FW33" s="293">
        <f>'yrP&amp;L'!AN53</f>
        <v>0</v>
      </c>
      <c r="FX33" s="1276">
        <f>'yrP&amp;L'!AO53</f>
        <v>0</v>
      </c>
      <c r="FY33" s="593">
        <f>'yrP&amp;L'!AP53</f>
        <v>0</v>
      </c>
      <c r="FZ33" s="292"/>
      <c r="GA33" s="292"/>
      <c r="GB33" s="292"/>
      <c r="GC33" s="292"/>
      <c r="GD33" s="292"/>
    </row>
    <row r="34" spans="1:270" ht="9" hidden="1" customHeight="1" outlineLevel="1" x14ac:dyDescent="0.2">
      <c r="A34" s="276"/>
      <c r="CZ34" s="249"/>
      <c r="DA34" s="249"/>
      <c r="DB34" s="249"/>
      <c r="DC34" s="249"/>
      <c r="DD34" s="249"/>
      <c r="DE34" s="249"/>
      <c r="DF34" s="249"/>
      <c r="DG34" s="249"/>
      <c r="DH34" s="249"/>
      <c r="DI34" s="249"/>
      <c r="DJ34" s="249"/>
      <c r="DK34" s="249"/>
      <c r="DL34" s="249"/>
      <c r="DM34" s="249"/>
      <c r="DN34" s="249"/>
      <c r="DO34" s="249"/>
      <c r="DP34" s="249"/>
      <c r="DQ34" s="249"/>
      <c r="DR34" s="249"/>
      <c r="DS34" s="249"/>
      <c r="DT34" s="249"/>
      <c r="DU34" s="249"/>
      <c r="DV34" s="249"/>
      <c r="DW34" s="249"/>
      <c r="EB34" s="249"/>
      <c r="EC34" s="249"/>
      <c r="ED34" s="249"/>
      <c r="EE34" s="249"/>
      <c r="EF34" s="249"/>
      <c r="EG34" s="249"/>
      <c r="EH34" s="249"/>
      <c r="EI34" s="249"/>
      <c r="EJ34" s="249"/>
      <c r="EK34" s="249"/>
      <c r="EL34" s="249"/>
      <c r="EM34" s="249"/>
      <c r="EN34" s="249"/>
      <c r="EO34" s="249"/>
      <c r="EP34" s="249"/>
      <c r="EQ34" s="249"/>
      <c r="ER34" s="277"/>
      <c r="ES34" s="249"/>
      <c r="ET34" s="249"/>
      <c r="EU34" s="249"/>
      <c r="EV34" s="249"/>
      <c r="EW34" s="249"/>
      <c r="EX34" s="249"/>
      <c r="EY34" s="249"/>
      <c r="EZ34" s="249"/>
      <c r="FA34" s="249"/>
      <c r="FB34" s="249"/>
      <c r="FC34" s="249"/>
      <c r="FD34" s="249"/>
      <c r="FE34" s="249"/>
      <c r="FF34" s="249"/>
      <c r="FG34" s="249"/>
      <c r="FH34" s="249"/>
      <c r="FI34" s="276"/>
      <c r="FJ34" s="276"/>
      <c r="FK34" s="249"/>
      <c r="FL34" s="249"/>
      <c r="FM34" s="276"/>
      <c r="FN34" s="249"/>
      <c r="FO34" s="249"/>
      <c r="FP34" s="249"/>
      <c r="FQ34" s="249"/>
      <c r="FR34" s="249"/>
      <c r="FS34" s="249"/>
      <c r="FT34" s="249"/>
      <c r="FU34" s="249"/>
      <c r="FV34" s="249"/>
      <c r="FW34" s="277"/>
      <c r="FY34" s="277"/>
      <c r="FZ34" s="249"/>
      <c r="GA34" s="249"/>
      <c r="GB34" s="249"/>
      <c r="GC34" s="249"/>
      <c r="GD34" s="249"/>
    </row>
    <row r="35" spans="1:270" hidden="1" outlineLevel="1" x14ac:dyDescent="0.2">
      <c r="A35" s="276" t="s">
        <v>7</v>
      </c>
      <c r="C35" s="278">
        <f>-C33+C31</f>
        <v>13.200000000000015</v>
      </c>
      <c r="D35" s="278">
        <f>-D33+D31</f>
        <v>35.199999999999989</v>
      </c>
      <c r="E35" s="278">
        <f>-E33+E31</f>
        <v>20.399999999999942</v>
      </c>
      <c r="F35" s="278">
        <f>-F33+F31</f>
        <v>47.016000000000076</v>
      </c>
      <c r="H35" s="278">
        <f>-H33+H31</f>
        <v>25.656999999999957</v>
      </c>
      <c r="I35" s="278">
        <f>-I33+I31</f>
        <v>49.868999999999993</v>
      </c>
      <c r="J35" s="278">
        <f>-J33+J31</f>
        <v>19.429999999999986</v>
      </c>
      <c r="K35" s="278">
        <f>-K33+K31</f>
        <v>40.85900000000008</v>
      </c>
      <c r="M35" s="278">
        <f>-M33+M31</f>
        <v>21.581999999999955</v>
      </c>
      <c r="N35" s="278">
        <f>-N33+N31</f>
        <v>41.652999999999963</v>
      </c>
      <c r="O35" s="278">
        <f>-O33+O31</f>
        <v>23.42900000000007</v>
      </c>
      <c r="P35" s="278">
        <f>-P33+P31</f>
        <v>49.954999999999885</v>
      </c>
      <c r="R35" s="278">
        <f>-R33+R31</f>
        <v>11.294999999999932</v>
      </c>
      <c r="S35" s="278">
        <f>-S33+S31</f>
        <v>42.650999999999954</v>
      </c>
      <c r="T35" s="278">
        <f>-T33+T31</f>
        <v>25.456000000000003</v>
      </c>
      <c r="U35" s="278">
        <f>-U33+U31</f>
        <v>61.015999999999948</v>
      </c>
      <c r="W35" s="278">
        <f>-W33+W31</f>
        <v>31.973000000000017</v>
      </c>
      <c r="X35" s="278">
        <f>-X33+X31</f>
        <v>63.022999999999996</v>
      </c>
      <c r="Y35" s="278">
        <f>-Y33+Y31</f>
        <v>38.078999999999965</v>
      </c>
      <c r="Z35" s="278">
        <f>-Z33+Z31</f>
        <v>69.882999999999896</v>
      </c>
      <c r="AB35" s="278">
        <f>-AB33+AB31</f>
        <v>27.676999999999921</v>
      </c>
      <c r="AC35" s="278">
        <f>-AC33+AC31</f>
        <v>53.864000000000019</v>
      </c>
      <c r="AD35" s="278">
        <f>-AD33+AD31</f>
        <v>29.441999999999943</v>
      </c>
      <c r="AE35" s="278">
        <f>-AE33+AE31</f>
        <v>54.127999999999936</v>
      </c>
      <c r="AG35" s="278">
        <f>-AG33+AG31</f>
        <v>25.897000000000048</v>
      </c>
      <c r="AH35" s="278">
        <f>-AH33+AH31</f>
        <v>44.780999999999906</v>
      </c>
      <c r="AI35" s="278">
        <f>-AI33+AI31</f>
        <v>34.036000000000001</v>
      </c>
      <c r="AJ35" s="278">
        <f>-AJ33+AJ31</f>
        <v>42.790999999999912</v>
      </c>
      <c r="AL35" s="278">
        <f>-AL33+AL31</f>
        <v>32.349000000000039</v>
      </c>
      <c r="AM35" s="278">
        <f>-AM33+AM31</f>
        <v>58.585999999999977</v>
      </c>
      <c r="AN35" s="278">
        <f>-AN33+AN31</f>
        <v>36.145000000000103</v>
      </c>
      <c r="AO35" s="278">
        <f>-AO33+AO31</f>
        <v>59.104998000000023</v>
      </c>
      <c r="AQ35" s="278">
        <f>-AQ33+AQ31</f>
        <v>32.336999999999989</v>
      </c>
      <c r="AR35" s="278">
        <f>-AR33+AR31</f>
        <v>69.193944000000045</v>
      </c>
      <c r="AS35" s="278">
        <f>-AS33+AS31</f>
        <v>390.35609999999991</v>
      </c>
      <c r="AT35" s="278">
        <f>-AT33+AT31</f>
        <v>66.601836999999932</v>
      </c>
      <c r="AV35" s="278">
        <f>-AV33+AV31</f>
        <v>31.537999999999975</v>
      </c>
      <c r="AW35" s="278">
        <f>-AW33+AW31</f>
        <v>70.839000000000055</v>
      </c>
      <c r="AX35" s="278">
        <f>-AX33+AX31</f>
        <v>33.57012999999997</v>
      </c>
      <c r="AY35" s="278">
        <f>-AY33+AY31</f>
        <v>48.488000000000127</v>
      </c>
      <c r="BA35" s="278">
        <f>-BA33+BA31</f>
        <v>32.788999999999987</v>
      </c>
      <c r="BB35" s="278">
        <f>-BB33+BB31</f>
        <v>45.371109000000047</v>
      </c>
      <c r="BC35" s="278">
        <f>-BC33+BC31</f>
        <v>-20.553985000000196</v>
      </c>
      <c r="BD35" s="278">
        <f>-BD33+BD31</f>
        <v>27.047999999999821</v>
      </c>
      <c r="BF35" s="278">
        <f>-BF33+BF31</f>
        <v>24.754999999999992</v>
      </c>
      <c r="BG35" s="278">
        <f>-BG33+BG31</f>
        <v>38.69900000000014</v>
      </c>
      <c r="BH35" s="278">
        <f>-BH33+BH31</f>
        <v>10.494999999999989</v>
      </c>
      <c r="BI35" s="278">
        <f>-BI33+BI31</f>
        <v>50.738999999999955</v>
      </c>
      <c r="BK35" s="278">
        <f>-BK33+BK31</f>
        <v>44.192999999999998</v>
      </c>
      <c r="BL35" s="278">
        <f>-BL33+BL31</f>
        <v>47.113999999999933</v>
      </c>
      <c r="BM35" s="278">
        <f>-BM33+BM31</f>
        <v>18.427000000000035</v>
      </c>
      <c r="BN35" s="278">
        <f>-BN33+BN31</f>
        <v>60.034000000000034</v>
      </c>
      <c r="BP35" s="278">
        <f>-BP33+BP31</f>
        <v>27.15499999999999</v>
      </c>
      <c r="BQ35" s="278">
        <f>-BQ33+BQ31</f>
        <v>65.846999999999753</v>
      </c>
      <c r="BR35" s="278">
        <f>-BR33+BR31</f>
        <v>45.494999999999955</v>
      </c>
      <c r="BS35" s="278">
        <f>-BS33+BS31</f>
        <v>104.39199999999998</v>
      </c>
      <c r="BU35" s="278">
        <f>-BU33+BU31</f>
        <v>68.727000000000089</v>
      </c>
      <c r="BV35" s="278">
        <f>-BV33+BV31</f>
        <v>106.91499999999996</v>
      </c>
      <c r="BW35" s="278">
        <f>-BW33+BW31</f>
        <v>77.852999999999895</v>
      </c>
      <c r="BX35" s="278">
        <f>-BX33+BX31</f>
        <v>139.9799999999999</v>
      </c>
      <c r="BZ35" s="278">
        <f>-BZ33+BZ31</f>
        <v>104.53799999999994</v>
      </c>
      <c r="CA35" s="278">
        <f>-CA33+CA31</f>
        <v>148.91799999999978</v>
      </c>
      <c r="CB35" s="278">
        <f>-CB33+CB31</f>
        <v>107.36730759698666</v>
      </c>
      <c r="CC35" s="278">
        <f>-CC33+CC31</f>
        <v>190.35691016133228</v>
      </c>
      <c r="CE35" s="278">
        <f>-CE33+CE31</f>
        <v>131.23099999999997</v>
      </c>
      <c r="CF35" s="278">
        <f>-CF33+CF31</f>
        <v>178.75399999999996</v>
      </c>
      <c r="CG35" s="278">
        <f>-CG33+CG31</f>
        <v>135.67299999999994</v>
      </c>
      <c r="CH35" s="278">
        <f>-CH33+CH31</f>
        <v>232.34099999999978</v>
      </c>
      <c r="CJ35" s="278">
        <f>-CJ33+CJ31</f>
        <v>156.81100000000004</v>
      </c>
      <c r="CK35" s="278">
        <f>-CK33+CK31</f>
        <v>180.56399999999979</v>
      </c>
      <c r="CL35" s="278">
        <f>-CL33+CL31</f>
        <v>165.35599999999988</v>
      </c>
      <c r="CM35" s="278">
        <f>-CM33+CM31</f>
        <v>212</v>
      </c>
      <c r="CO35" s="278">
        <f>-CO33+CO31</f>
        <v>129</v>
      </c>
      <c r="CP35" s="278">
        <f>-CP33+CP31</f>
        <v>143</v>
      </c>
      <c r="CQ35" s="278">
        <f>-CQ33+CQ31</f>
        <v>72.317000000000036</v>
      </c>
      <c r="CR35" s="278">
        <f>-CR33+CR31</f>
        <v>68</v>
      </c>
      <c r="CT35" s="278">
        <f>-CT33+CT31</f>
        <v>81</v>
      </c>
      <c r="CU35" s="278">
        <f>-CU33+CU31</f>
        <v>105</v>
      </c>
      <c r="CV35" s="278">
        <f>-CV33+CV31</f>
        <v>83</v>
      </c>
      <c r="CW35" s="278">
        <f>-CW33+CW31</f>
        <v>172</v>
      </c>
      <c r="CY35" s="278">
        <f>-CY33+CY31</f>
        <v>116</v>
      </c>
      <c r="CZ35" s="278">
        <f>-CZ33+CZ31</f>
        <v>146</v>
      </c>
      <c r="DA35" s="278">
        <f>-DA33+DA31</f>
        <v>119</v>
      </c>
      <c r="DB35" s="278">
        <f>-DB33+DB31</f>
        <v>232</v>
      </c>
      <c r="DC35" s="249"/>
      <c r="DD35" s="278">
        <f>-DD33+DD31</f>
        <v>145</v>
      </c>
      <c r="DE35" s="278">
        <f>-DE33+DE31</f>
        <v>175</v>
      </c>
      <c r="DF35" s="278">
        <f>-DF33+DF31</f>
        <v>127</v>
      </c>
      <c r="DG35" s="278">
        <f>-DG33+DG31</f>
        <v>236</v>
      </c>
      <c r="DH35" s="249"/>
      <c r="DI35" s="278">
        <f>-DI33+DI31</f>
        <v>149</v>
      </c>
      <c r="DJ35" s="278">
        <f>-DJ33+DJ31</f>
        <v>156</v>
      </c>
      <c r="DK35" s="278">
        <f>-DK33+DK31</f>
        <v>146</v>
      </c>
      <c r="DL35" s="278">
        <f>-DL33+DL31</f>
        <v>284</v>
      </c>
      <c r="DM35" s="249"/>
      <c r="DN35" s="278">
        <f>-DN33+DN31</f>
        <v>145</v>
      </c>
      <c r="DO35" s="278">
        <f>-DO33+DO31</f>
        <v>184</v>
      </c>
      <c r="DP35" s="278">
        <f>-DP33+DP31</f>
        <v>137</v>
      </c>
      <c r="DQ35" s="278">
        <f>-DQ33+DQ31</f>
        <v>268</v>
      </c>
      <c r="DR35" s="249"/>
      <c r="DS35" s="278">
        <f>-DS33+DS31</f>
        <v>140</v>
      </c>
      <c r="DT35" s="278">
        <f>-DT33+DT31</f>
        <v>183</v>
      </c>
      <c r="DU35" s="278">
        <f>-DU33+DU31</f>
        <v>142</v>
      </c>
      <c r="DV35" s="278">
        <f>-DV33+DV31</f>
        <v>255.5</v>
      </c>
      <c r="DW35" s="249"/>
      <c r="DX35" s="239">
        <f>-DX33+DX31</f>
        <v>128</v>
      </c>
      <c r="DY35" s="239">
        <f>-DY33+DY31</f>
        <v>180.74</v>
      </c>
      <c r="DZ35" s="239">
        <f>-DZ33+DZ31</f>
        <v>109</v>
      </c>
      <c r="EA35" s="239">
        <f>-EA33+EA31</f>
        <v>212</v>
      </c>
      <c r="EB35" s="249"/>
      <c r="EC35" s="278">
        <f>-EC33+EC31</f>
        <v>46</v>
      </c>
      <c r="ED35" s="278">
        <f>-ED33+ED31</f>
        <v>117</v>
      </c>
      <c r="EE35" s="278">
        <f>-EE33+EE31</f>
        <v>-10.039999999999992</v>
      </c>
      <c r="EF35" s="278">
        <f>-EF33+EF31</f>
        <v>201.2</v>
      </c>
      <c r="EG35" s="249"/>
      <c r="EH35" s="278">
        <f>-EH33+EH31</f>
        <v>63</v>
      </c>
      <c r="EI35" s="278">
        <f>-EI33+EI31</f>
        <v>110</v>
      </c>
      <c r="EJ35" s="278">
        <f>-EJ33+EJ31</f>
        <v>114</v>
      </c>
      <c r="EK35" s="278">
        <f>-EK33+EK31</f>
        <v>150.35</v>
      </c>
      <c r="EL35" s="278"/>
      <c r="EM35" s="278">
        <f>-EM33+EM31</f>
        <v>70.098912514423247</v>
      </c>
      <c r="EN35" s="278">
        <f>-EN33+EN31</f>
        <v>116.42999892594068</v>
      </c>
      <c r="EO35" s="278">
        <f>-EO33+EO31</f>
        <v>125.96539832166629</v>
      </c>
      <c r="EP35" s="278">
        <f>-EP33+EP31</f>
        <v>226.04326331967221</v>
      </c>
      <c r="EQ35" s="278"/>
      <c r="ER35" s="277"/>
      <c r="ES35" s="278">
        <f>-ES33+ES31</f>
        <v>115.816</v>
      </c>
      <c r="ET35" s="278">
        <f t="shared" ref="ET35:FK35" si="14">-ET33+ET31</f>
        <v>135.81500000000025</v>
      </c>
      <c r="EU35" s="278">
        <f t="shared" si="14"/>
        <v>136.61900000000045</v>
      </c>
      <c r="EV35" s="278">
        <f t="shared" si="14"/>
        <v>140.41800000000006</v>
      </c>
      <c r="EW35" s="278">
        <f t="shared" si="14"/>
        <v>202.95800000000023</v>
      </c>
      <c r="EX35" s="278">
        <f t="shared" si="14"/>
        <v>165.11099999999971</v>
      </c>
      <c r="EY35" s="278">
        <f t="shared" si="14"/>
        <v>147.50499999999991</v>
      </c>
      <c r="EZ35" s="278">
        <f t="shared" si="14"/>
        <v>186.18499799999961</v>
      </c>
      <c r="FA35" s="278">
        <f t="shared" si="14"/>
        <v>206.79588100000024</v>
      </c>
      <c r="FB35" s="278">
        <f t="shared" si="14"/>
        <v>202.29099999999977</v>
      </c>
      <c r="FC35" s="278">
        <f t="shared" si="14"/>
        <v>101.91800000000069</v>
      </c>
      <c r="FD35" s="278">
        <f t="shared" si="14"/>
        <v>124.68800000000017</v>
      </c>
      <c r="FE35" s="278">
        <f t="shared" si="14"/>
        <v>143.40899999999999</v>
      </c>
      <c r="FF35" s="278">
        <f t="shared" si="14"/>
        <v>242.88899999999882</v>
      </c>
      <c r="FG35" s="278">
        <f t="shared" si="14"/>
        <v>393.47499999999991</v>
      </c>
      <c r="FH35" s="278">
        <f t="shared" si="14"/>
        <v>551.18021775831812</v>
      </c>
      <c r="FI35" s="280">
        <f t="shared" si="14"/>
        <v>677.99900000000002</v>
      </c>
      <c r="FJ35" s="280">
        <f t="shared" si="14"/>
        <v>714.73100000000022</v>
      </c>
      <c r="FK35" s="278">
        <f t="shared" si="14"/>
        <v>402.31699999999995</v>
      </c>
      <c r="FL35" s="278">
        <f t="shared" ref="FL35:FR35" si="15">-FL33+FL31</f>
        <v>441</v>
      </c>
      <c r="FM35" s="280">
        <f t="shared" si="15"/>
        <v>613</v>
      </c>
      <c r="FN35" s="278">
        <f t="shared" si="15"/>
        <v>683</v>
      </c>
      <c r="FO35" s="278">
        <f t="shared" si="15"/>
        <v>735</v>
      </c>
      <c r="FP35" s="278">
        <f t="shared" si="15"/>
        <v>734</v>
      </c>
      <c r="FQ35" s="278">
        <f t="shared" si="15"/>
        <v>720.5</v>
      </c>
      <c r="FR35" s="278">
        <f t="shared" si="15"/>
        <v>600.74</v>
      </c>
      <c r="FS35" s="278">
        <f t="shared" ref="FS35:FY35" si="16">-FS33+FS31</f>
        <v>353.96000000000004</v>
      </c>
      <c r="FT35" s="278">
        <f t="shared" si="16"/>
        <v>437.35</v>
      </c>
      <c r="FU35" s="278">
        <f t="shared" si="16"/>
        <v>538.53757308170316</v>
      </c>
      <c r="FV35" s="278">
        <f t="shared" si="16"/>
        <v>513.25007044342431</v>
      </c>
      <c r="FW35" s="281">
        <f t="shared" si="16"/>
        <v>490.6805679894278</v>
      </c>
      <c r="FX35" s="278">
        <f t="shared" si="16"/>
        <v>468.13159167264371</v>
      </c>
      <c r="FY35" s="281">
        <f t="shared" si="16"/>
        <v>454.34248699837087</v>
      </c>
      <c r="FZ35" s="278"/>
      <c r="GA35" s="503"/>
      <c r="GB35" s="278"/>
      <c r="GC35" s="278"/>
      <c r="GD35" s="278"/>
    </row>
    <row r="36" spans="1:270" hidden="1" outlineLevel="1" x14ac:dyDescent="0.2">
      <c r="A36" s="305"/>
      <c r="C36" s="278"/>
      <c r="D36" s="278"/>
      <c r="E36" s="278"/>
      <c r="F36" s="278"/>
      <c r="H36" s="278"/>
      <c r="I36" s="278"/>
      <c r="J36" s="278"/>
      <c r="K36" s="278"/>
      <c r="M36" s="278"/>
      <c r="N36" s="278"/>
      <c r="O36" s="278"/>
      <c r="P36" s="278"/>
      <c r="R36" s="278"/>
      <c r="S36" s="278"/>
      <c r="T36" s="278"/>
      <c r="U36" s="278"/>
      <c r="W36" s="278"/>
      <c r="X36" s="278"/>
      <c r="Y36" s="278"/>
      <c r="Z36" s="278"/>
      <c r="AB36" s="278"/>
      <c r="AC36" s="278"/>
      <c r="AD36" s="278"/>
      <c r="AE36" s="278"/>
      <c r="AG36" s="278"/>
      <c r="AH36" s="278"/>
      <c r="AI36" s="278"/>
      <c r="AJ36" s="278"/>
      <c r="AL36" s="278"/>
      <c r="AM36" s="278"/>
      <c r="AN36" s="278"/>
      <c r="AO36" s="278"/>
      <c r="AQ36" s="278"/>
      <c r="AR36" s="278"/>
      <c r="AS36" s="278"/>
      <c r="AT36" s="278"/>
      <c r="AV36" s="278"/>
      <c r="AW36" s="278"/>
      <c r="AX36" s="278"/>
      <c r="AY36" s="278"/>
      <c r="BA36" s="278"/>
      <c r="BB36" s="278"/>
      <c r="BC36" s="278"/>
      <c r="BD36" s="278"/>
      <c r="BF36" s="278"/>
      <c r="BG36" s="278"/>
      <c r="BH36" s="278"/>
      <c r="BI36" s="278"/>
      <c r="BK36" s="278"/>
      <c r="BL36" s="278"/>
      <c r="BM36" s="278"/>
      <c r="BN36" s="278"/>
      <c r="BP36" s="278"/>
      <c r="BQ36" s="278"/>
      <c r="BR36" s="278"/>
      <c r="BS36" s="278"/>
      <c r="BU36" s="278"/>
      <c r="BV36" s="278"/>
      <c r="BW36" s="278"/>
      <c r="BX36" s="278"/>
      <c r="BZ36" s="278"/>
      <c r="CA36" s="278"/>
      <c r="CB36" s="278"/>
      <c r="CC36" s="278"/>
      <c r="CE36" s="278"/>
      <c r="CF36" s="278"/>
      <c r="CG36" s="278"/>
      <c r="CH36" s="278"/>
      <c r="CJ36" s="278"/>
      <c r="CK36" s="278"/>
      <c r="CL36" s="278"/>
      <c r="CM36" s="278"/>
      <c r="CO36" s="278"/>
      <c r="CP36" s="278"/>
      <c r="CQ36" s="278"/>
      <c r="CR36" s="278"/>
      <c r="CT36" s="278"/>
      <c r="CU36" s="278"/>
      <c r="CV36" s="278"/>
      <c r="CW36" s="278"/>
      <c r="CY36" s="278"/>
      <c r="CZ36" s="278"/>
      <c r="DA36" s="278"/>
      <c r="DB36" s="278"/>
      <c r="DC36" s="249"/>
      <c r="DD36" s="278"/>
      <c r="DE36" s="278"/>
      <c r="DF36" s="278"/>
      <c r="DG36" s="278"/>
      <c r="DH36" s="249"/>
      <c r="DI36" s="278"/>
      <c r="DJ36" s="278"/>
      <c r="DK36" s="278"/>
      <c r="DL36" s="278"/>
      <c r="DM36" s="249"/>
      <c r="DN36" s="278"/>
      <c r="DO36" s="278"/>
      <c r="DP36" s="278"/>
      <c r="DQ36" s="278"/>
      <c r="DR36" s="249"/>
      <c r="DS36" s="278"/>
      <c r="DT36" s="278"/>
      <c r="DU36" s="278"/>
      <c r="DV36" s="278"/>
      <c r="DW36" s="249"/>
      <c r="EB36" s="249"/>
      <c r="EC36" s="278"/>
      <c r="ED36" s="278"/>
      <c r="EE36" s="278"/>
      <c r="EF36" s="278"/>
      <c r="EG36" s="249"/>
      <c r="EH36" s="278"/>
      <c r="EI36" s="278"/>
      <c r="EJ36" s="278"/>
      <c r="EK36" s="278"/>
      <c r="EL36" s="278"/>
      <c r="EM36" s="278"/>
      <c r="EN36" s="278"/>
      <c r="EO36" s="278"/>
      <c r="EP36" s="278"/>
      <c r="EQ36" s="278"/>
      <c r="ER36" s="277"/>
      <c r="ES36" s="278"/>
      <c r="ET36" s="278"/>
      <c r="EU36" s="278"/>
      <c r="EV36" s="278"/>
      <c r="EW36" s="278"/>
      <c r="EX36" s="278"/>
      <c r="EY36" s="278"/>
      <c r="EZ36" s="278"/>
      <c r="FA36" s="278"/>
      <c r="FB36" s="278"/>
      <c r="FC36" s="278"/>
      <c r="FD36" s="278"/>
      <c r="FE36" s="278"/>
      <c r="FF36" s="278"/>
      <c r="FG36" s="278"/>
      <c r="FH36" s="278"/>
      <c r="FI36" s="280"/>
      <c r="FJ36" s="280"/>
      <c r="FK36" s="278"/>
      <c r="FL36" s="278"/>
      <c r="FM36" s="280"/>
      <c r="FN36" s="278"/>
      <c r="FO36" s="278"/>
      <c r="FP36" s="278"/>
      <c r="FQ36" s="278"/>
      <c r="FR36" s="278"/>
      <c r="FS36" s="278"/>
      <c r="FT36" s="278"/>
      <c r="FU36" s="278"/>
      <c r="FV36" s="278"/>
      <c r="FW36" s="281"/>
      <c r="FX36" s="1277"/>
      <c r="FY36" s="306"/>
      <c r="FZ36" s="278"/>
      <c r="GA36" s="278"/>
      <c r="GB36" s="278"/>
      <c r="GC36" s="278"/>
      <c r="GD36" s="278"/>
    </row>
    <row r="37" spans="1:270" collapsed="1" x14ac:dyDescent="0.2">
      <c r="A37" s="369" t="s">
        <v>166</v>
      </c>
      <c r="B37" s="370"/>
      <c r="C37" s="371">
        <f>INDEX('qtrP&amp;L'!$170:$170,MATCH(C$7,'qtrP&amp;L'!$6:$6,0))</f>
        <v>8.0981595092024891E-2</v>
      </c>
      <c r="D37" s="371">
        <f>INDEX('qtrP&amp;L'!$171:$171,MATCH(C$7,'qtrP&amp;L'!$6:$6,0))</f>
        <v>0.21595092024539889</v>
      </c>
      <c r="E37" s="371">
        <f>INDEX('qtrP&amp;L'!$172:$172,MATCH(C$7,'qtrP&amp;L'!$6:$6,0))</f>
        <v>0.12515337423312833</v>
      </c>
      <c r="F37" s="371">
        <f>INDEX('qtrP&amp;L'!$173:$173,MATCH(C$7,'qtrP&amp;L'!$6:$6,0))</f>
        <v>0.28761214555210474</v>
      </c>
      <c r="G37" s="370"/>
      <c r="H37" s="371">
        <f>INDEX('qtrP&amp;L'!$170:$170,MATCH(H$7,'qtrP&amp;L'!$6:$6,0))</f>
        <v>0.15694301793379653</v>
      </c>
      <c r="I37" s="371">
        <f>INDEX('qtrP&amp;L'!$171:$171,MATCH(H$7,'qtrP&amp;L'!$6:$6,0))</f>
        <v>0.30500120137532299</v>
      </c>
      <c r="J37" s="371">
        <f>INDEX('qtrP&amp;L'!$172:$172,MATCH(H$7,'qtrP&amp;L'!$6:$6,0))</f>
        <v>0.11874179700743276</v>
      </c>
      <c r="K37" s="371">
        <f>INDEX('qtrP&amp;L'!$173:$173,MATCH(H$7,'qtrP&amp;L'!$6:$6,0))</f>
        <v>0.24964692364530031</v>
      </c>
      <c r="L37" s="370"/>
      <c r="M37" s="371">
        <f>INDEX('qtrP&amp;L'!$170:$170,MATCH(M$7,'qtrP&amp;L'!$6:$6,0))</f>
        <v>0.13183083080764443</v>
      </c>
      <c r="N37" s="371">
        <f>INDEX('qtrP&amp;L'!$171:$171,MATCH(M$7,'qtrP&amp;L'!$6:$6,0))</f>
        <v>0.25443191528268111</v>
      </c>
      <c r="O37" s="371">
        <f>INDEX('qtrP&amp;L'!$172:$172,MATCH(M$7,'qtrP&amp;L'!$6:$6,0))</f>
        <v>0.14304943965454325</v>
      </c>
      <c r="P37" s="371">
        <f>INDEX('qtrP&amp;L'!$173:$173,MATCH(M$7,'qtrP&amp;L'!$6:$6,0))</f>
        <v>0.32983125868804386</v>
      </c>
      <c r="Q37" s="370"/>
      <c r="R37" s="371">
        <f>INDEX('qtrP&amp;L'!$170:$170,MATCH(R$7,'qtrP&amp;L'!$6:$6,0))</f>
        <v>6.8935521539851163E-2</v>
      </c>
      <c r="S37" s="371">
        <f>INDEX('qtrP&amp;L'!$171:$171,MATCH(R$7,'qtrP&amp;L'!$6:$6,0))</f>
        <v>0.26038461538461544</v>
      </c>
      <c r="T37" s="371">
        <f>INDEX('qtrP&amp;L'!$172:$172,MATCH(R$7,'qtrP&amp;L'!$6:$6,0))</f>
        <v>0.1554090354090355</v>
      </c>
      <c r="U37" s="371">
        <f>INDEX('qtrP&amp;L'!$173:$173,MATCH(R$7,'qtrP&amp;L'!$6:$6,0))</f>
        <v>0.37184540372546698</v>
      </c>
      <c r="V37" s="370"/>
      <c r="W37" s="371">
        <f>INDEX('qtrP&amp;L'!$170:$170,MATCH(W$7,'qtrP&amp;L'!$6:$6,0))</f>
        <v>0.19491615173273563</v>
      </c>
      <c r="X37" s="371">
        <f>INDEX('qtrP&amp;L'!$171:$171,MATCH(W$7,'qtrP&amp;L'!$6:$6,0))</f>
        <v>0.38373496167874566</v>
      </c>
      <c r="Y37" s="371">
        <f>INDEX('qtrP&amp;L'!$172:$172,MATCH(W$7,'qtrP&amp;L'!$6:$6,0))</f>
        <v>0.23173578875209114</v>
      </c>
      <c r="Z37" s="371">
        <f>INDEX('qtrP&amp;L'!$173:$173,MATCH(W$7,'qtrP&amp;L'!$6:$6,0))</f>
        <v>0.42499324953841394</v>
      </c>
      <c r="AA37" s="370"/>
      <c r="AB37" s="371">
        <f>INDEX('qtrP&amp;L'!$170:$170,MATCH(AB$7,'qtrP&amp;L'!$6:$6,0))</f>
        <v>0.16824327132078087</v>
      </c>
      <c r="AC37" s="371">
        <f>INDEX('qtrP&amp;L'!$171:$171,MATCH(AB$7,'qtrP&amp;L'!$6:$6,0))</f>
        <v>0.32742911321395329</v>
      </c>
      <c r="AD37" s="371">
        <f>INDEX('qtrP&amp;L'!$172:$172,MATCH(AB$7,'qtrP&amp;L'!$6:$6,0))</f>
        <v>0.17947167809883716</v>
      </c>
      <c r="AE37" s="371">
        <f>INDEX('qtrP&amp;L'!$173:$173,MATCH(AB$7,'qtrP&amp;L'!$6:$6,0))</f>
        <v>0.33331813548455941</v>
      </c>
      <c r="AF37" s="370"/>
      <c r="AG37" s="371">
        <f>INDEX('qtrP&amp;L'!$170:$170,MATCH(AG$7,'qtrP&amp;L'!$6:$6,0))</f>
        <v>0.16845815167265157</v>
      </c>
      <c r="AH37" s="371">
        <f>INDEX('qtrP&amp;L'!$171:$171,MATCH(AG$7,'qtrP&amp;L'!$6:$6,0))</f>
        <v>0.27583182164075343</v>
      </c>
      <c r="AI37" s="371">
        <f>INDEX('qtrP&amp;L'!$172:$172,MATCH(AG$7,'qtrP&amp;L'!$6:$6,0))</f>
        <v>0.21068074106783577</v>
      </c>
      <c r="AJ37" s="371">
        <f>INDEX('qtrP&amp;L'!$173:$173,MATCH(AG$7,'qtrP&amp;L'!$6:$6,0))</f>
        <v>0.26711927687538856</v>
      </c>
      <c r="AK37" s="370"/>
      <c r="AL37" s="371">
        <f>INDEX('qtrP&amp;L'!$170:$170,MATCH(AL$7,'qtrP&amp;L'!$6:$6,0))</f>
        <v>0.20583609892914695</v>
      </c>
      <c r="AM37" s="371">
        <f>INDEX('qtrP&amp;L'!$171:$171,MATCH(AL$7,'qtrP&amp;L'!$6:$6,0))</f>
        <v>0.38025079183758237</v>
      </c>
      <c r="AN37" s="371">
        <f>INDEX('qtrP&amp;L'!$172:$172,MATCH(AL$7,'qtrP&amp;L'!$6:$6,0))</f>
        <v>0.23394519164800584</v>
      </c>
      <c r="AO37" s="371">
        <f>INDEX('qtrP&amp;L'!$173:$173,MATCH(AL$7,'qtrP&amp;L'!$6:$6,0))</f>
        <v>0.38189473968779492</v>
      </c>
      <c r="AP37" s="370"/>
      <c r="AQ37" s="371">
        <f>INDEX('qtrP&amp;L'!$170:$170,MATCH(AQ$7,'qtrP&amp;L'!$6:$6,0))</f>
        <v>0.21449530581828852</v>
      </c>
      <c r="AR37" s="371">
        <f>INDEX('qtrP&amp;L'!$171:$171,MATCH(AQ$7,'qtrP&amp;L'!$6:$6,0))</f>
        <v>0.46351026331683448</v>
      </c>
      <c r="AS37" s="371">
        <f>INDEX('qtrP&amp;L'!$172:$172,MATCH(AQ$7,'qtrP&amp;L'!$6:$6,0))</f>
        <v>2.6929839327230201</v>
      </c>
      <c r="AT37" s="371">
        <f>INDEX('qtrP&amp;L'!$173:$173,MATCH(AQ$7,'qtrP&amp;L'!$6:$6,0))</f>
        <v>0.46690294154760675</v>
      </c>
      <c r="AU37" s="370"/>
      <c r="AV37" s="371">
        <f>INDEX('qtrP&amp;L'!$170:$170,MATCH(AV$7,'qtrP&amp;L'!$6:$6,0))</f>
        <v>0.22058247538048348</v>
      </c>
      <c r="AW37" s="371">
        <f>INDEX('qtrP&amp;L'!$171:$171,MATCH(AV$7,'qtrP&amp;L'!$6:$6,0))</f>
        <v>0.50566417542882935</v>
      </c>
      <c r="AX37" s="371">
        <f>INDEX('qtrP&amp;L'!$172:$172,MATCH(AV$7,'qtrP&amp;L'!$6:$6,0))</f>
        <v>0.28942145082331988</v>
      </c>
      <c r="AY37" s="371">
        <f>INDEX('qtrP&amp;L'!$173:$173,MATCH(AV$7,'qtrP&amp;L'!$6:$6,0))</f>
        <v>0.36244038809406492</v>
      </c>
      <c r="AZ37" s="370"/>
      <c r="BA37" s="371">
        <f>INDEX('qtrP&amp;L'!$170:$170,MATCH(BA$7,'qtrP&amp;L'!$6:$6,0))</f>
        <v>0.24910542669816993</v>
      </c>
      <c r="BB37" s="371">
        <f>INDEX('qtrP&amp;L'!$171:$171,MATCH(BA$7,'qtrP&amp;L'!$6:$6,0))</f>
        <v>0.39807816295157544</v>
      </c>
      <c r="BC37" s="371">
        <f>INDEX('qtrP&amp;L'!$172:$172,MATCH(BA$7,'qtrP&amp;L'!$6:$6,0))</f>
        <v>0.18050251664231093</v>
      </c>
      <c r="BD37" s="371">
        <f>INDEX('qtrP&amp;L'!$173:$173,MATCH(BA$7,'qtrP&amp;L'!$6:$6,0))</f>
        <v>0.20671104974437249</v>
      </c>
      <c r="BE37" s="370"/>
      <c r="BF37" s="371">
        <f>INDEX('qtrP&amp;L'!$170:$170,MATCH(BF$7,'qtrP&amp;L'!$6:$6,0))</f>
        <v>9.2423201565089999E-2</v>
      </c>
      <c r="BG37" s="371">
        <f>INDEX('qtrP&amp;L'!$171:$171,MATCH(BF$7,'qtrP&amp;L'!$6:$6,0))</f>
        <v>0.14394593146955142</v>
      </c>
      <c r="BH37" s="371">
        <f>INDEX('qtrP&amp;L'!$172:$172,MATCH(BF$7,'qtrP&amp;L'!$6:$6,0))</f>
        <v>3.909946426841715E-2</v>
      </c>
      <c r="BI37" s="371">
        <f>INDEX('qtrP&amp;L'!$173:$173,MATCH(BF$7,'qtrP&amp;L'!$6:$6,0))</f>
        <v>0.18803783066626115</v>
      </c>
      <c r="BJ37" s="370"/>
      <c r="BK37" s="371">
        <f>INDEX('qtrP&amp;L'!$170:$170,MATCH(BK$7,'qtrP&amp;L'!$6:$6,0))</f>
        <v>-4.131387937069346E-2</v>
      </c>
      <c r="BL37" s="371">
        <f>INDEX('qtrP&amp;L'!$171:$171,MATCH(BK$7,'qtrP&amp;L'!$6:$6,0))</f>
        <v>0.17239103224856361</v>
      </c>
      <c r="BM37" s="371">
        <f>INDEX('qtrP&amp;L'!$172:$172,MATCH(BK$7,'qtrP&amp;L'!$6:$6,0))</f>
        <v>6.7858089794956833E-2</v>
      </c>
      <c r="BN37" s="371">
        <f>INDEX('qtrP&amp;L'!$173:$173,MATCH(BK$7,'qtrP&amp;L'!$6:$6,0))</f>
        <v>0.22097645725054868</v>
      </c>
      <c r="BO37" s="370"/>
      <c r="BP37" s="371">
        <f>INDEX('qtrP&amp;L'!$170:$170,MATCH(BP$7,'qtrP&amp;L'!$6:$6,0))</f>
        <v>9.9983063078984927E-2</v>
      </c>
      <c r="BQ37" s="371">
        <f>INDEX('qtrP&amp;L'!$171:$171,MATCH(BP$7,'qtrP&amp;L'!$6:$6,0))</f>
        <v>0.24148439906702371</v>
      </c>
      <c r="BR37" s="371">
        <f>INDEX('qtrP&amp;L'!$172:$172,MATCH(BP$7,'qtrP&amp;L'!$6:$6,0))</f>
        <v>0.16471401779830977</v>
      </c>
      <c r="BS37" s="371">
        <f>INDEX('qtrP&amp;L'!$173:$173,MATCH(BP$7,'qtrP&amp;L'!$6:$6,0))</f>
        <v>0.37100007107825711</v>
      </c>
      <c r="BT37" s="370"/>
      <c r="BU37" s="371">
        <f>INDEX('qtrP&amp;L'!$170:$170,MATCH(BU$7,'qtrP&amp;L'!$6:$6,0))</f>
        <v>0.24203909138932944</v>
      </c>
      <c r="BV37" s="371">
        <f>INDEX('qtrP&amp;L'!$171:$171,MATCH(BU$7,'qtrP&amp;L'!$6:$6,0))</f>
        <v>0.37253392056976786</v>
      </c>
      <c r="BW37" s="371">
        <f>INDEX('qtrP&amp;L'!$172:$172,MATCH(BU$7,'qtrP&amp;L'!$6:$6,0))</f>
        <v>0.27192994711803747</v>
      </c>
      <c r="BX37" s="371">
        <f>INDEX('qtrP&amp;L'!$173:$173,MATCH(BU$7,'qtrP&amp;L'!$6:$6,0))</f>
        <v>0.49878492884172687</v>
      </c>
      <c r="BY37" s="370"/>
      <c r="BZ37" s="371">
        <f>INDEX('qtrP&amp;L'!$170:$170,MATCH(BZ$7,'qtrP&amp;L'!$6:$6,0))</f>
        <v>0.37550378240910343</v>
      </c>
      <c r="CA37" s="371">
        <f>INDEX('qtrP&amp;L'!$171:$171,MATCH(BZ$7,'qtrP&amp;L'!$6:$6,0))</f>
        <v>0.53343315339453801</v>
      </c>
      <c r="CB37" s="371">
        <f>INDEX('qtrP&amp;L'!$172:$172,MATCH(BZ$7,'qtrP&amp;L'!$6:$6,0))</f>
        <v>0.38719804537794555</v>
      </c>
      <c r="CC37" s="371">
        <f>INDEX('qtrP&amp;L'!$173:$173,MATCH(BZ$7,'qtrP&amp;L'!$6:$6,0))</f>
        <v>0.69054461681817692</v>
      </c>
      <c r="CD37" s="370"/>
      <c r="CE37" s="371">
        <f>INDEX('qtrP&amp;L'!$170:$170,MATCH(CE$7,'qtrP&amp;L'!$6:$6,0))</f>
        <v>0.48099739399115188</v>
      </c>
      <c r="CF37" s="371">
        <f>INDEX('qtrP&amp;L'!$171:$171,MATCH(CE$7,'qtrP&amp;L'!$6:$6,0))</f>
        <v>0.67143704972466989</v>
      </c>
      <c r="CG37" s="371">
        <f>INDEX('qtrP&amp;L'!$172:$172,MATCH(CE$7,'qtrP&amp;L'!$6:$6,0))</f>
        <v>0.51859595743379594</v>
      </c>
      <c r="CH37" s="371">
        <f>INDEX('qtrP&amp;L'!$173:$173,MATCH(CE$7,'qtrP&amp;L'!$6:$6,0))</f>
        <v>0.88601990618922233</v>
      </c>
      <c r="CI37" s="372"/>
      <c r="CJ37" s="371">
        <f>INDEX('qtrP&amp;L'!$170:$170,MATCH(CJ$7,'qtrP&amp;L'!$6:$6,0))</f>
        <v>0.59685001008636229</v>
      </c>
      <c r="CK37" s="371">
        <f>INDEX('qtrP&amp;L'!$171:$171,MATCH(CJ$7,'qtrP&amp;L'!$6:$6,0))</f>
        <v>0.7071124791465957</v>
      </c>
      <c r="CL37" s="371">
        <f>INDEX('qtrP&amp;L'!$172:$172,MATCH(CJ$7,'qtrP&amp;L'!$6:$6,0))</f>
        <v>0.58868772009912562</v>
      </c>
      <c r="CM37" s="371">
        <f>INDEX('qtrP&amp;L'!$173:$173,MATCH(CJ$7,'qtrP&amp;L'!$6:$6,0))</f>
        <v>0.91379310344827591</v>
      </c>
      <c r="CN37" s="372"/>
      <c r="CO37" s="371">
        <f>INDEX('qtrP&amp;L'!$170:$170,MATCH(CO$7,'qtrP&amp;L'!$6:$6,0))</f>
        <v>0.58186738836265228</v>
      </c>
      <c r="CP37" s="371">
        <f>INDEX('qtrP&amp;L'!$171:$171,MATCH(CO$7,'qtrP&amp;L'!$6:$6,0))</f>
        <v>0.65148063781321186</v>
      </c>
      <c r="CQ37" s="371">
        <f>INDEX('qtrP&amp;L'!$172:$172,MATCH(CO$7,'qtrP&amp;L'!$6:$6,0))</f>
        <v>0.29596973865199472</v>
      </c>
      <c r="CR37" s="371">
        <f>INDEX('qtrP&amp;L'!$173:$173,MATCH(CO$7,'qtrP&amp;L'!$6:$6,0))</f>
        <v>0.31365313653136528</v>
      </c>
      <c r="CS37" s="372"/>
      <c r="CT37" s="371">
        <f>INDEX('qtrP&amp;L'!$170:$170,MATCH(CT$7,'qtrP&amp;L'!$6:$6,0))</f>
        <v>0.31278748850045995</v>
      </c>
      <c r="CU37" s="371">
        <f>INDEX('qtrP&amp;L'!$171:$171,MATCH(CT$7,'qtrP&amp;L'!$6:$6,0))</f>
        <v>0.479890310786106</v>
      </c>
      <c r="CV37" s="371">
        <f>INDEX('qtrP&amp;L'!$172:$172,MATCH(CT$7,'qtrP&amp;L'!$6:$6,0))</f>
        <v>0.37607612143180791</v>
      </c>
      <c r="CW37" s="371">
        <f>INDEX('qtrP&amp;L'!$173:$173,MATCH(CT$7,'qtrP&amp;L'!$6:$6,0))</f>
        <v>0.77582318448353638</v>
      </c>
      <c r="CX37" s="372"/>
      <c r="CY37" s="371">
        <f>INDEX('qtrP&amp;L'!$170:$170,MATCH(CY$7,'qtrP&amp;L'!$6:$6,0))</f>
        <v>0.52158273381294962</v>
      </c>
      <c r="CZ37" s="373">
        <f>INDEX('qtrP&amp;L'!$171:$171,MATCH(CY$7,'qtrP&amp;L'!$6:$6,0))</f>
        <v>0.65529622980251345</v>
      </c>
      <c r="DA37" s="373">
        <f>INDEX('qtrP&amp;L'!$172:$172,MATCH(CY$7,'qtrP&amp;L'!$6:$6,0))</f>
        <v>0.53483146067415732</v>
      </c>
      <c r="DB37" s="373">
        <f>INDEX('qtrP&amp;L'!$173:$173,MATCH(CY$7,'qtrP&amp;L'!$6:$6,0))</f>
        <v>1.0408254822790488</v>
      </c>
      <c r="DC37" s="374"/>
      <c r="DD37" s="373">
        <f>INDEX('qtrP&amp;L'!$170:$170,MATCH(DD$7,'qtrP&amp;L'!$6:$6,0))</f>
        <v>0.64935064935064934</v>
      </c>
      <c r="DE37" s="373">
        <f>INDEX('qtrP&amp;L'!$171:$171,MATCH(DD$7,'qtrP&amp;L'!$6:$6,0))</f>
        <v>0.79509313948205362</v>
      </c>
      <c r="DF37" s="373">
        <f>INDEX('qtrP&amp;L'!$172:$172,MATCH(DD$7,'qtrP&amp;L'!$6:$6,0))</f>
        <v>0.59069767441860466</v>
      </c>
      <c r="DG37" s="373">
        <f>INDEX('qtrP&amp;L'!$173:$173,MATCH(DD$7,'qtrP&amp;L'!$6:$6,0))</f>
        <v>1.1116344795101272</v>
      </c>
      <c r="DH37" s="374"/>
      <c r="DI37" s="373">
        <f>INDEX('qtrP&amp;L'!$170:$170,MATCH(DI$7,'qtrP&amp;L'!$6:$6,0))</f>
        <v>0.70482497634815511</v>
      </c>
      <c r="DJ37" s="373">
        <f>INDEX('qtrP&amp;L'!$171:$171,MATCH(DI$7,'qtrP&amp;L'!$6:$6,0))</f>
        <v>0.74748442740776233</v>
      </c>
      <c r="DK37" s="373">
        <f>INDEX('qtrP&amp;L'!$172:$172,MATCH(DI$7,'qtrP&amp;L'!$6:$6,0))</f>
        <v>0.71323888617489017</v>
      </c>
      <c r="DL37" s="373">
        <f>INDEX('qtrP&amp;L'!$173:$173,MATCH(DI$7,'qtrP&amp;L'!$6:$6,0))</f>
        <v>1.4031620553359683</v>
      </c>
      <c r="DM37" s="374"/>
      <c r="DN37" s="373">
        <f>INDEX('qtrP&amp;L'!$170:$170,MATCH(DN$7,'qtrP&amp;L'!$6:$6,0))</f>
        <v>0.72864321608040206</v>
      </c>
      <c r="DO37" s="373">
        <f>INDEX('qtrP&amp;L'!$171:$171,MATCH(DN$7,'qtrP&amp;L'!$6:$6,0))</f>
        <v>0.92555331991951706</v>
      </c>
      <c r="DP37" s="373">
        <f>INDEX('qtrP&amp;L'!$172:$172,MATCH(DN$7,'qtrP&amp;L'!$6:$6,0))</f>
        <v>0.69437404967055238</v>
      </c>
      <c r="DQ37" s="373">
        <f>INDEX('qtrP&amp;L'!$173:$173,MATCH(DN$7,'qtrP&amp;L'!$6:$6,0))</f>
        <v>1.3687436159346271</v>
      </c>
      <c r="DR37" s="374"/>
      <c r="DS37" s="373">
        <f>INDEX('qtrP&amp;L'!$170:$170,MATCH(DS$7,'qtrP&amp;L'!$6:$6,0))</f>
        <v>0.72651790347690715</v>
      </c>
      <c r="DT37" s="373">
        <f>INDEX('qtrP&amp;L'!$171:$171,MATCH(DS$7,'qtrP&amp;L'!$6:$6,0))</f>
        <v>0.94966268811624288</v>
      </c>
      <c r="DU37" s="373">
        <f>INDEX('qtrP&amp;L'!$172:$172,MATCH(DS$7,'qtrP&amp;L'!$6:$6,0))</f>
        <v>0.72932717000513614</v>
      </c>
      <c r="DV37" s="373">
        <f>INDEX('qtrP&amp;L'!$173:$173,MATCH(DS$7,'qtrP&amp;L'!$6:$6,0))</f>
        <v>1.315653964984552</v>
      </c>
      <c r="DW37" s="374"/>
      <c r="DX37" s="373">
        <f>INDEX('qtrP&amp;L'!$170:$170,MATCH(DX$7,'qtrP&amp;L'!$6:$6,0))</f>
        <v>0.65674704976911236</v>
      </c>
      <c r="DY37" s="373">
        <f>INDEX('qtrP&amp;L'!$171:$171,MATCH(DX$7,'qtrP&amp;L'!$6:$6,0))</f>
        <v>0.93405684754521967</v>
      </c>
      <c r="DZ37" s="373">
        <f>INDEX('qtrP&amp;L'!$172:$172,MATCH(DX$7,'qtrP&amp;L'!$6:$6,0))</f>
        <v>0.56978567694720328</v>
      </c>
      <c r="EA37" s="373">
        <f>INDEX('qtrP&amp;L'!$173:$173,MATCH(DX$7,'qtrP&amp;L'!$6:$6,0))</f>
        <v>1.1732152739346984</v>
      </c>
      <c r="EB37" s="374"/>
      <c r="EC37" s="373">
        <f>INDEX('qtrP&amp;L'!$170:$170,MATCH(EC$7,'qtrP&amp;L'!$6:$6,0))</f>
        <v>0.2618099032441662</v>
      </c>
      <c r="ED37" s="373">
        <f>INDEX('qtrP&amp;L'!$171:$171,MATCH(EC$7,'qtrP&amp;L'!$6:$6,0))</f>
        <v>0.66933638443935928</v>
      </c>
      <c r="EE37" s="373">
        <f>INDEX('qtrP&amp;L'!$172:$172,MATCH(EC$7,'qtrP&amp;L'!$6:$6,0))</f>
        <v>0.85328719723183388</v>
      </c>
      <c r="EF37" s="373">
        <f>INDEX('qtrP&amp;L'!$173:$173,MATCH(EC$7,'qtrP&amp;L'!$6:$6,0))</f>
        <v>1.3659647125782586</v>
      </c>
      <c r="EG37" s="370"/>
      <c r="EH37" s="373">
        <f>INDEX('qtrP&amp;L'!$170:$170,MATCH(EH$7,'qtrP&amp;L'!$6:$6,0))</f>
        <v>0.37256061502069782</v>
      </c>
      <c r="EI37" s="373">
        <f>INDEX('qtrP&amp;L'!$171:$171,MATCH(EH$7,'qtrP&amp;L'!$6:$6,0))</f>
        <v>0.65281899109792285</v>
      </c>
      <c r="EJ37" s="373">
        <f>INDEX('qtrP&amp;L'!$172:$172,MATCH(EH$7,'qtrP&amp;L'!$6:$6,0))</f>
        <v>0.67479578548597141</v>
      </c>
      <c r="EK37" s="373">
        <f>INDEX('qtrP&amp;L'!$173:$173,MATCH(EH$7,'qtrP&amp;L'!$6:$6,0))</f>
        <v>1.1413813459268003</v>
      </c>
      <c r="EL37" s="371"/>
      <c r="EM37" s="373">
        <f>INDEX('qtrP&amp;L'!$170:$170,MATCH(EM$7,'qtrP&amp;L'!$6:$6,0))</f>
        <v>0.41875097081495366</v>
      </c>
      <c r="EN37" s="373">
        <f>INDEX('qtrP&amp;L'!$171:$171,MATCH(EM$7,'qtrP&amp;L'!$6:$6,0))</f>
        <v>0.70527303465451474</v>
      </c>
      <c r="EO37" s="373">
        <f>INDEX('qtrP&amp;L'!$172:$172,MATCH(EM$7,'qtrP&amp;L'!$6:$6,0))</f>
        <v>0.78288003928941241</v>
      </c>
      <c r="EP37" s="373">
        <f>INDEX('qtrP&amp;L'!$173:$173,MATCH(EM$7,'qtrP&amp;L'!$6:$6,0))</f>
        <v>1.4136539294538588</v>
      </c>
      <c r="EQ37" s="371"/>
      <c r="ER37" s="1323"/>
      <c r="ES37" s="373">
        <f>'yrP&amp;L'!J58</f>
        <v>0.7100156251133185</v>
      </c>
      <c r="ET37" s="373">
        <f>'yrP&amp;L'!K58</f>
        <v>0.83031286129312309</v>
      </c>
      <c r="EU37" s="373">
        <f>'yrP&amp;L'!L58</f>
        <v>0.85916268015108299</v>
      </c>
      <c r="EV37" s="373">
        <f>'yrP&amp;L'!M58</f>
        <v>0.85678348306837648</v>
      </c>
      <c r="EW37" s="373">
        <f>'yrP&amp;L'!N58</f>
        <v>1.2368722867659885</v>
      </c>
      <c r="EX37" s="373">
        <f>'yrP&amp;L'!O58</f>
        <v>1.0077621815285398</v>
      </c>
      <c r="EY37" s="373">
        <f>'yrP&amp;L'!P58</f>
        <v>0.92120514464349956</v>
      </c>
      <c r="EZ37" s="373">
        <f>'yrP&amp;L'!Q58</f>
        <v>1.2002240757809552</v>
      </c>
      <c r="FA37" s="373">
        <f>'yrP&amp;L'!R58</f>
        <v>1.4076365524928753</v>
      </c>
      <c r="FB37" s="373">
        <f>'yrP&amp;L'!S58</f>
        <v>1.4596424056348209</v>
      </c>
      <c r="FC37" s="373">
        <f>'yrP&amp;L'!T58</f>
        <v>0.77644266937879214</v>
      </c>
      <c r="FD37" s="373">
        <f>'yrP&amp;L'!U58</f>
        <v>0.46398124546486502</v>
      </c>
      <c r="FE37" s="373">
        <f>'yrP&amp;L'!V58</f>
        <v>0.33229431140094801</v>
      </c>
      <c r="FF37" s="373">
        <f>'yrP&amp;L'!W58</f>
        <v>0.88174338254112217</v>
      </c>
      <c r="FG37" s="373">
        <f>'yrP&amp;L'!X58</f>
        <v>1.3831814139226841</v>
      </c>
      <c r="FH37" s="373">
        <f>'yrP&amp;L'!Y58</f>
        <v>1.9842614832034384</v>
      </c>
      <c r="FI37" s="375">
        <f>'yrP&amp;L'!Z58</f>
        <v>2.5514990549466869</v>
      </c>
      <c r="FJ37" s="375">
        <f>'yrP&amp;L'!AA58</f>
        <v>2.7879678008175377</v>
      </c>
      <c r="FK37" s="373">
        <f>'yrP&amp;L'!AB58</f>
        <v>1.8013971007875809</v>
      </c>
      <c r="FL37" s="373">
        <f>'yrP&amp;L'!AC58</f>
        <v>1.9485545185522422</v>
      </c>
      <c r="FM37" s="375">
        <f>'yrP&amp;L'!AD58</f>
        <v>2.7532000898270828</v>
      </c>
      <c r="FN37" s="373">
        <f>'yrP&amp;L'!AE58</f>
        <v>3.137705294590559</v>
      </c>
      <c r="FO37" s="373">
        <f>'yrP&amp;L'!AF58</f>
        <v>3.5558780841799713</v>
      </c>
      <c r="FP37" s="373">
        <f>'yrP&amp;L'!AG58</f>
        <v>3.7126960040465353</v>
      </c>
      <c r="FQ37" s="373">
        <f>'yrP&amp;L'!AH58</f>
        <v>3.7215909090909092</v>
      </c>
      <c r="FR37" s="373">
        <f>'yrP&amp;L'!AI58</f>
        <v>3.3179135932560588</v>
      </c>
      <c r="FS37" s="373">
        <f>'yrP&amp;L'!AJ58</f>
        <v>3.1501429388221847</v>
      </c>
      <c r="FT37" s="373">
        <f>'yrP&amp;L'!AK58</f>
        <v>2.8425599905317038</v>
      </c>
      <c r="FU37" s="373">
        <f>'yrP&amp;L'!AL58</f>
        <v>3.2974127560357482</v>
      </c>
      <c r="FV37" s="373">
        <f>'yrP&amp;L'!AM58</f>
        <v>3.2520973597878888</v>
      </c>
      <c r="FW37" s="1307">
        <f>'yrP&amp;L'!AN58</f>
        <v>3.2003428617326617</v>
      </c>
      <c r="FX37" s="371">
        <f>'yrP&amp;L'!AO58</f>
        <v>3.1455964230420324</v>
      </c>
      <c r="FY37" s="376">
        <f>'yrP&amp;L'!AP58</f>
        <v>3.1481329810985734</v>
      </c>
      <c r="FZ37" s="308"/>
      <c r="GA37" s="308"/>
      <c r="GB37" s="308"/>
      <c r="GC37" s="308"/>
      <c r="GD37" s="308"/>
    </row>
    <row r="38" spans="1:270" hidden="1" x14ac:dyDescent="0.2">
      <c r="A38" s="307" t="s">
        <v>167</v>
      </c>
      <c r="C38" s="308">
        <f>INDEX('qtrP&amp;L'!$180:$180,MATCH(C$7,'qtrP&amp;L'!$6:$6,0))</f>
        <v>8.0981595092024891E-2</v>
      </c>
      <c r="D38" s="308">
        <f>INDEX('qtrP&amp;L'!$181:$181,MATCH(C$7,'qtrP&amp;L'!$6:$6,0))</f>
        <v>0.21595092024539889</v>
      </c>
      <c r="E38" s="308">
        <f>INDEX('qtrP&amp;L'!$182:$182,MATCH(C$7,'qtrP&amp;L'!$6:$6,0))</f>
        <v>0.12515337423312833</v>
      </c>
      <c r="F38" s="308">
        <f>INDEX('qtrP&amp;L'!$183:$183,MATCH(C$7,'qtrP&amp;L'!$6:$6,0))</f>
        <v>0.28761214555210474</v>
      </c>
      <c r="H38" s="308">
        <f>INDEX('qtrP&amp;L'!$180:$180,MATCH(H$7,'qtrP&amp;L'!$6:$6,0))</f>
        <v>0.15694301793379653</v>
      </c>
      <c r="I38" s="308">
        <f>INDEX('qtrP&amp;L'!$181:$181,MATCH(H$7,'qtrP&amp;L'!$6:$6,0))</f>
        <v>0.30500120137532299</v>
      </c>
      <c r="J38" s="308">
        <f>INDEX('qtrP&amp;L'!$182:$182,MATCH(H$7,'qtrP&amp;L'!$6:$6,0))</f>
        <v>0.11874179700743276</v>
      </c>
      <c r="K38" s="308">
        <f>INDEX('qtrP&amp;L'!$183:$183,MATCH(H$7,'qtrP&amp;L'!$6:$6,0))</f>
        <v>0.24964692364530031</v>
      </c>
      <c r="M38" s="308">
        <f>INDEX('qtrP&amp;L'!$180:$180,MATCH(M$7,'qtrP&amp;L'!$6:$6,0))</f>
        <v>0.13183083080764443</v>
      </c>
      <c r="N38" s="308">
        <f>INDEX('qtrP&amp;L'!$181:$181,MATCH(M$7,'qtrP&amp;L'!$6:$6,0))</f>
        <v>0.25443191528268111</v>
      </c>
      <c r="O38" s="308">
        <f>INDEX('qtrP&amp;L'!$182:$182,MATCH(M$7,'qtrP&amp;L'!$6:$6,0))</f>
        <v>0.14304943965454325</v>
      </c>
      <c r="P38" s="308">
        <f>INDEX('qtrP&amp;L'!$183:$183,MATCH(M$7,'qtrP&amp;L'!$6:$6,0))</f>
        <v>0.3050080992762248</v>
      </c>
      <c r="R38" s="308">
        <f>INDEX('qtrP&amp;L'!$180:$180,MATCH(R$7,'qtrP&amp;L'!$6:$6,0))</f>
        <v>6.8935521539851163E-2</v>
      </c>
      <c r="S38" s="308">
        <f>INDEX('qtrP&amp;L'!$181:$181,MATCH(R$7,'qtrP&amp;L'!$6:$6,0))</f>
        <v>0.26038461538461544</v>
      </c>
      <c r="T38" s="308">
        <f>INDEX('qtrP&amp;L'!$182:$182,MATCH(R$7,'qtrP&amp;L'!$6:$6,0))</f>
        <v>0.1554090354090355</v>
      </c>
      <c r="U38" s="308">
        <f>INDEX('qtrP&amp;L'!$183:$183,MATCH(R$7,'qtrP&amp;L'!$6:$6,0))</f>
        <v>0.37184540372546698</v>
      </c>
      <c r="W38" s="308">
        <f>INDEX('qtrP&amp;L'!$180:$180,MATCH(W$7,'qtrP&amp;L'!$6:$6,0))</f>
        <v>0.19491615173273563</v>
      </c>
      <c r="X38" s="308">
        <f>INDEX('qtrP&amp;L'!$181:$181,MATCH(W$7,'qtrP&amp;L'!$6:$6,0))</f>
        <v>0.38373496167874566</v>
      </c>
      <c r="Y38" s="308">
        <f>INDEX('qtrP&amp;L'!$182:$182,MATCH(W$7,'qtrP&amp;L'!$6:$6,0))</f>
        <v>0.23173578875209114</v>
      </c>
      <c r="Z38" s="308">
        <f>INDEX('qtrP&amp;L'!$183:$183,MATCH(W$7,'qtrP&amp;L'!$6:$6,0))</f>
        <v>0.42499324953841394</v>
      </c>
      <c r="AB38" s="308">
        <f>INDEX('qtrP&amp;L'!$180:$180,MATCH(AB$7,'qtrP&amp;L'!$6:$6,0))</f>
        <v>0.16824327132078087</v>
      </c>
      <c r="AC38" s="308">
        <f>INDEX('qtrP&amp;L'!$181:$181,MATCH(AB$7,'qtrP&amp;L'!$6:$6,0))</f>
        <v>0.32742911321395329</v>
      </c>
      <c r="AD38" s="308">
        <f>INDEX('qtrP&amp;L'!$182:$182,MATCH(AB$7,'qtrP&amp;L'!$6:$6,0))</f>
        <v>0.17947167809883716</v>
      </c>
      <c r="AE38" s="308">
        <f>INDEX('qtrP&amp;L'!$183:$183,MATCH(AB$7,'qtrP&amp;L'!$6:$6,0))</f>
        <v>0.33331813548455941</v>
      </c>
      <c r="AG38" s="308">
        <f>INDEX('qtrP&amp;L'!$180:$180,MATCH(AG$7,'qtrP&amp;L'!$6:$6,0))</f>
        <v>0.15951445222372515</v>
      </c>
      <c r="AH38" s="308">
        <f>INDEX('qtrP&amp;L'!$181:$181,MATCH(AG$7,'qtrP&amp;L'!$6:$6,0))</f>
        <v>0.27583182164075343</v>
      </c>
      <c r="AI38" s="308">
        <f>INDEX('qtrP&amp;L'!$182:$182,MATCH(AG$7,'qtrP&amp;L'!$6:$6,0))</f>
        <v>0.21068074106783577</v>
      </c>
      <c r="AJ38" s="308">
        <f>INDEX('qtrP&amp;L'!$183:$183,MATCH(AG$7,'qtrP&amp;L'!$6:$6,0))</f>
        <v>0.26711927687538856</v>
      </c>
      <c r="AL38" s="308">
        <f>INDEX('qtrP&amp;L'!$180:$180,MATCH(AL$7,'qtrP&amp;L'!$6:$6,0))</f>
        <v>0.20583609892914695</v>
      </c>
      <c r="AM38" s="308">
        <f>INDEX('qtrP&amp;L'!$181:$181,MATCH(AL$7,'qtrP&amp;L'!$6:$6,0))</f>
        <v>0.38025079183758237</v>
      </c>
      <c r="AN38" s="308">
        <f>INDEX('qtrP&amp;L'!$182:$182,MATCH(AL$7,'qtrP&amp;L'!$6:$6,0))</f>
        <v>0.23394519164800584</v>
      </c>
      <c r="AO38" s="308">
        <f>INDEX('qtrP&amp;L'!$183:$183,MATCH(AL$7,'qtrP&amp;L'!$6:$6,0))</f>
        <v>0.38189473968779492</v>
      </c>
      <c r="AQ38" s="308">
        <f>INDEX('qtrP&amp;L'!$180:$180,MATCH(AQ$7,'qtrP&amp;L'!$6:$6,0))</f>
        <v>0.21449530581828852</v>
      </c>
      <c r="AR38" s="308">
        <f>INDEX('qtrP&amp;L'!$181:$181,MATCH(AQ$7,'qtrP&amp;L'!$6:$6,0))</f>
        <v>0.46351026331683448</v>
      </c>
      <c r="AS38" s="308">
        <f>INDEX('qtrP&amp;L'!$182:$182,MATCH(AQ$7,'qtrP&amp;L'!$6:$6,0))</f>
        <v>2.6929839327230201</v>
      </c>
      <c r="AT38" s="308">
        <f>INDEX('qtrP&amp;L'!$183:$183,MATCH(AQ$7,'qtrP&amp;L'!$6:$6,0))</f>
        <v>0.46690294154760675</v>
      </c>
      <c r="AV38" s="308">
        <f>INDEX('qtrP&amp;L'!$180:$180,MATCH(AV$7,'qtrP&amp;L'!$6:$6,0))</f>
        <v>0.22058247538048348</v>
      </c>
      <c r="AW38" s="308">
        <f>INDEX('qtrP&amp;L'!$181:$181,MATCH(AV$7,'qtrP&amp;L'!$6:$6,0))</f>
        <v>0.50566417542882935</v>
      </c>
      <c r="AX38" s="308">
        <f>INDEX('qtrP&amp;L'!$182:$182,MATCH(AV$7,'qtrP&amp;L'!$6:$6,0))</f>
        <v>0.24491766800178003</v>
      </c>
      <c r="AY38" s="308">
        <f>INDEX('qtrP&amp;L'!$183:$183,MATCH(AV$7,'qtrP&amp;L'!$6:$6,0))</f>
        <v>0.36244038809406492</v>
      </c>
      <c r="BA38" s="308">
        <f>INDEX('qtrP&amp;L'!$180:$180,MATCH(BA$7,'qtrP&amp;L'!$6:$6,0))</f>
        <v>0.24910542669816993</v>
      </c>
      <c r="BB38" s="308">
        <f>INDEX('qtrP&amp;L'!$181:$181,MATCH(BA$7,'qtrP&amp;L'!$6:$6,0))</f>
        <v>0.34874026902382754</v>
      </c>
      <c r="BC38" s="308">
        <f>INDEX('qtrP&amp;L'!$182:$182,MATCH(BA$7,'qtrP&amp;L'!$6:$6,0))</f>
        <v>-0.15891560163601193</v>
      </c>
      <c r="BD38" s="308">
        <f>INDEX('qtrP&amp;L'!$183:$183,MATCH(BA$7,'qtrP&amp;L'!$6:$6,0))</f>
        <v>0.20187334403104637</v>
      </c>
      <c r="BF38" s="308">
        <f>INDEX('qtrP&amp;L'!$180:$180,MATCH(BF$7,'qtrP&amp;L'!$6:$6,0))</f>
        <v>9.2423201565089999E-2</v>
      </c>
      <c r="BG38" s="308">
        <f>INDEX('qtrP&amp;L'!$181:$181,MATCH(BF$7,'qtrP&amp;L'!$6:$6,0))</f>
        <v>0.14394593146955142</v>
      </c>
      <c r="BH38" s="308">
        <f>INDEX('qtrP&amp;L'!$182:$182,MATCH(BF$7,'qtrP&amp;L'!$6:$6,0))</f>
        <v>3.909946426841715E-2</v>
      </c>
      <c r="BI38" s="308">
        <f>INDEX('qtrP&amp;L'!$183:$183,MATCH(BF$7,'qtrP&amp;L'!$6:$6,0))</f>
        <v>0.18803783066626115</v>
      </c>
      <c r="BK38" s="308">
        <f>INDEX('qtrP&amp;L'!$180:$180,MATCH(BK$7,'qtrP&amp;L'!$6:$6,0))</f>
        <v>7.9068567849382397E-3</v>
      </c>
      <c r="BL38" s="308">
        <f>INDEX('qtrP&amp;L'!$181:$181,MATCH(BK$7,'qtrP&amp;L'!$6:$6,0))</f>
        <v>0.13250257694006706</v>
      </c>
      <c r="BM38" s="308">
        <f>INDEX('qtrP&amp;L'!$182:$182,MATCH(BK$7,'qtrP&amp;L'!$6:$6,0))</f>
        <v>6.7858089794956833E-2</v>
      </c>
      <c r="BN38" s="308">
        <f>INDEX('qtrP&amp;L'!$183:$183,MATCH(BK$7,'qtrP&amp;L'!$6:$6,0))</f>
        <v>0.22097645725054868</v>
      </c>
      <c r="BP38" s="308">
        <f>INDEX('qtrP&amp;L'!$180:$180,MATCH(BP$7,'qtrP&amp;L'!$6:$6,0))</f>
        <v>9.9983063078984927E-2</v>
      </c>
      <c r="BQ38" s="308">
        <f>INDEX('qtrP&amp;L'!$181:$181,MATCH(BP$7,'qtrP&amp;L'!$6:$6,0))</f>
        <v>0.24148439906702371</v>
      </c>
      <c r="BR38" s="308">
        <f>INDEX('qtrP&amp;L'!$182:$182,MATCH(BP$7,'qtrP&amp;L'!$6:$6,0))</f>
        <v>0.16471401779830977</v>
      </c>
      <c r="BS38" s="308">
        <f>INDEX('qtrP&amp;L'!$183:$183,MATCH(BP$7,'qtrP&amp;L'!$6:$6,0))</f>
        <v>0.37100007107825711</v>
      </c>
      <c r="BU38" s="308">
        <f>INDEX('qtrP&amp;L'!$180:$180,MATCH(BU$7,'qtrP&amp;L'!$6:$6,0))</f>
        <v>0.24203909138932944</v>
      </c>
      <c r="BV38" s="308">
        <f>INDEX('qtrP&amp;L'!$181:$181,MATCH(BU$7,'qtrP&amp;L'!$6:$6,0))</f>
        <v>0.37253392056976786</v>
      </c>
      <c r="BW38" s="308">
        <f>INDEX('qtrP&amp;L'!$182:$182,MATCH(BU$7,'qtrP&amp;L'!$6:$6,0))</f>
        <v>0.27192994711803747</v>
      </c>
      <c r="BX38" s="308">
        <f>INDEX('qtrP&amp;L'!$183:$183,MATCH(BU$7,'qtrP&amp;L'!$6:$6,0))</f>
        <v>0.49878492884172687</v>
      </c>
      <c r="BZ38" s="308">
        <f>INDEX('qtrP&amp;L'!$180:$180,MATCH(BZ$7,'qtrP&amp;L'!$6:$6,0))</f>
        <v>0.37550378240910343</v>
      </c>
      <c r="CA38" s="308">
        <f>INDEX('qtrP&amp;L'!$181:$181,MATCH(BZ$7,'qtrP&amp;L'!$6:$6,0))</f>
        <v>0.53343315339453801</v>
      </c>
      <c r="CB38" s="308">
        <f>INDEX('qtrP&amp;L'!$182:$182,MATCH(BZ$7,'qtrP&amp;L'!$6:$6,0))</f>
        <v>0.38719804537794555</v>
      </c>
      <c r="CC38" s="308">
        <f>INDEX('qtrP&amp;L'!$183:$183,MATCH(BZ$7,'qtrP&amp;L'!$6:$6,0))</f>
        <v>0.69054461681817692</v>
      </c>
      <c r="CE38" s="308">
        <f>INDEX('qtrP&amp;L'!$180:$180,MATCH(CE$7,'qtrP&amp;L'!$6:$6,0))</f>
        <v>0.48099739399115188</v>
      </c>
      <c r="CF38" s="308">
        <f>INDEX('qtrP&amp;L'!$181:$181,MATCH(CE$7,'qtrP&amp;L'!$6:$6,0))</f>
        <v>0.67143704972466989</v>
      </c>
      <c r="CG38" s="308">
        <f>INDEX('qtrP&amp;L'!$182:$182,MATCH(CE$7,'qtrP&amp;L'!$6:$6,0))</f>
        <v>0.51859595743379594</v>
      </c>
      <c r="CH38" s="308">
        <f>INDEX('qtrP&amp;L'!$183:$183,MATCH(CE$7,'qtrP&amp;L'!$6:$6,0))</f>
        <v>0.88601990618922233</v>
      </c>
      <c r="CI38" s="309"/>
      <c r="CJ38" s="308">
        <f>INDEX('qtrP&amp;L'!$180:$180,MATCH(CJ$7,'qtrP&amp;L'!$6:$6,0))</f>
        <v>0.59685001008636229</v>
      </c>
      <c r="CK38" s="308">
        <f>INDEX('qtrP&amp;L'!$181:$181,MATCH(CJ$7,'qtrP&amp;L'!$6:$6,0))</f>
        <v>0.7071124791465957</v>
      </c>
      <c r="CL38" s="308">
        <f>INDEX('qtrP&amp;L'!$182:$182,MATCH(CJ$7,'qtrP&amp;L'!$6:$6,0))</f>
        <v>0.6739761314725442</v>
      </c>
      <c r="CM38" s="308">
        <f>INDEX('qtrP&amp;L'!$183:$183,MATCH(CJ$7,'qtrP&amp;L'!$6:$6,0))</f>
        <v>0.91379310344827591</v>
      </c>
      <c r="CN38" s="309"/>
      <c r="CO38" s="308">
        <f>INDEX('qtrP&amp;L'!$180:$180,MATCH(CO$7,'qtrP&amp;L'!$6:$6,0))</f>
        <v>0.58186738836265228</v>
      </c>
      <c r="CP38" s="308">
        <f>INDEX('qtrP&amp;L'!$181:$181,MATCH(CO$7,'qtrP&amp;L'!$6:$6,0))</f>
        <v>0.65148063781321186</v>
      </c>
      <c r="CQ38" s="308">
        <f>INDEX('qtrP&amp;L'!$182:$182,MATCH(CO$7,'qtrP&amp;L'!$6:$6,0))</f>
        <v>0.33157725813846878</v>
      </c>
      <c r="CR38" s="308">
        <f>INDEX('qtrP&amp;L'!$183:$183,MATCH(CO$7,'qtrP&amp;L'!$6:$6,0))</f>
        <v>0.31365313653136528</v>
      </c>
      <c r="CS38" s="309"/>
      <c r="CT38" s="308">
        <f>INDEX('qtrP&amp;L'!$180:$180,MATCH(CT$7,'qtrP&amp;L'!$6:$6,0))</f>
        <v>0.37258509659613614</v>
      </c>
      <c r="CU38" s="308">
        <f>INDEX('qtrP&amp;L'!$181:$181,MATCH(CT$7,'qtrP&amp;L'!$6:$6,0))</f>
        <v>0.479890310786106</v>
      </c>
      <c r="CV38" s="308">
        <f>INDEX('qtrP&amp;L'!$182:$182,MATCH(CT$7,'qtrP&amp;L'!$6:$6,0))</f>
        <v>0.37607612143180791</v>
      </c>
      <c r="CW38" s="308">
        <f>INDEX('qtrP&amp;L'!$183:$183,MATCH(CT$7,'qtrP&amp;L'!$6:$6,0))</f>
        <v>0.77582318448353638</v>
      </c>
      <c r="CX38" s="309"/>
      <c r="CY38" s="308">
        <f>INDEX('qtrP&amp;L'!$180:$180,MATCH(CY$7,'qtrP&amp;L'!$6:$6,0))</f>
        <v>0.52158273381294962</v>
      </c>
      <c r="CZ38" s="311">
        <f>INDEX('qtrP&amp;L'!$181:$181,MATCH(CY$7,'qtrP&amp;L'!$6:$6,0))</f>
        <v>0.65529622980251345</v>
      </c>
      <c r="DA38" s="311">
        <f>INDEX('qtrP&amp;L'!$182:$182,MATCH(CY$7,'qtrP&amp;L'!$6:$6,0))</f>
        <v>0.53483146067415732</v>
      </c>
      <c r="DB38" s="311">
        <f>INDEX('qtrP&amp;L'!$183:$183,MATCH(CY$7,'qtrP&amp;L'!$6:$6,0))</f>
        <v>1.0408254822790488</v>
      </c>
      <c r="DC38" s="312"/>
      <c r="DD38" s="311">
        <f>INDEX('qtrP&amp;L'!$180:$180,MATCH(DD$7,'qtrP&amp;L'!$6:$6,0))</f>
        <v>0.64935064935064934</v>
      </c>
      <c r="DE38" s="311">
        <f>INDEX('qtrP&amp;L'!$181:$181,MATCH(DD$7,'qtrP&amp;L'!$6:$6,0))</f>
        <v>0.79509313948205362</v>
      </c>
      <c r="DF38" s="311">
        <f>INDEX('qtrP&amp;L'!$182:$182,MATCH(DD$7,'qtrP&amp;L'!$6:$6,0))</f>
        <v>0.59069767441860466</v>
      </c>
      <c r="DG38" s="311">
        <f>INDEX('qtrP&amp;L'!$183:$183,MATCH(DD$7,'qtrP&amp;L'!$6:$6,0))</f>
        <v>1.1116344795101272</v>
      </c>
      <c r="DH38" s="312"/>
      <c r="DI38" s="311">
        <f>INDEX('qtrP&amp;L'!$180:$180,MATCH(DI$7,'qtrP&amp;L'!$6:$6,0))</f>
        <v>0.70482497634815511</v>
      </c>
      <c r="DJ38" s="311">
        <f>INDEX('qtrP&amp;L'!$181:$181,MATCH(DI$7,'qtrP&amp;L'!$6:$6,0))</f>
        <v>0.74748442740776233</v>
      </c>
      <c r="DK38" s="311">
        <f>INDEX('qtrP&amp;L'!$182:$182,MATCH(DI$7,'qtrP&amp;L'!$6:$6,0))</f>
        <v>0.71323888617489017</v>
      </c>
      <c r="DL38" s="311">
        <f>INDEX('qtrP&amp;L'!$183:$183,MATCH(DI$7,'qtrP&amp;L'!$6:$6,0))</f>
        <v>1.4031620553359683</v>
      </c>
      <c r="DM38" s="312"/>
      <c r="DN38" s="311">
        <f>INDEX('qtrP&amp;L'!$180:$180,MATCH(DN$7,'qtrP&amp;L'!$6:$6,0))</f>
        <v>0.72864321608040206</v>
      </c>
      <c r="DO38" s="311">
        <f>INDEX('qtrP&amp;L'!$181:$181,MATCH(DN$7,'qtrP&amp;L'!$6:$6,0))</f>
        <v>0.92555331991951706</v>
      </c>
      <c r="DP38" s="311">
        <f>INDEX('qtrP&amp;L'!$182:$182,MATCH(DN$7,'qtrP&amp;L'!$6:$6,0))</f>
        <v>0.69437404967055238</v>
      </c>
      <c r="DQ38" s="311">
        <f>INDEX('qtrP&amp;L'!$183:$183,MATCH(DN$7,'qtrP&amp;L'!$6:$6,0))</f>
        <v>1.3687436159346271</v>
      </c>
      <c r="DR38" s="312"/>
      <c r="DS38" s="311">
        <f>INDEX('qtrP&amp;L'!$180:$180,MATCH(DS$7,'qtrP&amp;L'!$6:$6,0))</f>
        <v>0.72651790347690715</v>
      </c>
      <c r="DT38" s="311">
        <f>INDEX('qtrP&amp;L'!$181:$181,MATCH(DS$7,'qtrP&amp;L'!$6:$6,0))</f>
        <v>0.94966268811624288</v>
      </c>
      <c r="DU38" s="311">
        <f>INDEX('qtrP&amp;L'!$182:$182,MATCH(DS$7,'qtrP&amp;L'!$6:$6,0))</f>
        <v>0.72932717000513614</v>
      </c>
      <c r="DV38" s="311">
        <f>INDEX('qtrP&amp;L'!$183:$183,MATCH(DS$7,'qtrP&amp;L'!$6:$6,0))</f>
        <v>1.315653964984552</v>
      </c>
      <c r="DW38" s="312"/>
      <c r="DX38" s="311">
        <f>INDEX('qtrP&amp;L'!$180:$180,MATCH(DX$7,'qtrP&amp;L'!$6:$6,0))</f>
        <v>0.65674704976911236</v>
      </c>
      <c r="DY38" s="311">
        <f>INDEX('qtrP&amp;L'!$181:$181,MATCH(DX$7,'qtrP&amp;L'!$6:$6,0))</f>
        <v>0.93405684754521967</v>
      </c>
      <c r="DZ38" s="311">
        <f>INDEX('qtrP&amp;L'!$182:$182,MATCH(DX$7,'qtrP&amp;L'!$6:$6,0))</f>
        <v>0.56978567694720328</v>
      </c>
      <c r="EA38" s="311">
        <f>INDEX('qtrP&amp;L'!$183:$183,MATCH(DX$7,'qtrP&amp;L'!$6:$6,0))</f>
        <v>1.1732152739346984</v>
      </c>
      <c r="EB38" s="312"/>
      <c r="EC38" s="311">
        <f>INDEX('qtrP&amp;L'!$180:$180,MATCH(EC$7,'qtrP&amp;L'!$6:$6,0))</f>
        <v>0.2618099032441662</v>
      </c>
      <c r="ED38" s="311">
        <f>INDEX('qtrP&amp;L'!$181:$181,MATCH(EC$7,'qtrP&amp;L'!$6:$6,0))</f>
        <v>0.66933638443935928</v>
      </c>
      <c r="EE38" s="311">
        <f>INDEX('qtrP&amp;L'!$182:$182,MATCH(EC$7,'qtrP&amp;L'!$6:$6,0))</f>
        <v>-5.7900807381776193E-2</v>
      </c>
      <c r="EF38" s="311">
        <f>INDEX('qtrP&amp;L'!$183:$183,MATCH(EC$7,'qtrP&amp;L'!$6:$6,0))</f>
        <v>1.1451337507114399</v>
      </c>
      <c r="EG38" s="249"/>
      <c r="EH38" s="311">
        <f>INDEX('qtrP&amp;L'!$180:$180,MATCH(EH$7,'qtrP&amp;L'!$6:$6,0))</f>
        <v>0.37256061502069782</v>
      </c>
      <c r="EI38" s="311">
        <f>INDEX('qtrP&amp;L'!$181:$181,MATCH(EH$7,'qtrP&amp;L'!$6:$6,0))</f>
        <v>0.65281899109792285</v>
      </c>
      <c r="EJ38" s="311">
        <f>INDEX('qtrP&amp;L'!$182:$182,MATCH(EH$7,'qtrP&amp;L'!$6:$6,0))</f>
        <v>0.67479578548597141</v>
      </c>
      <c r="EK38" s="311">
        <f>INDEX('qtrP&amp;L'!$183:$183,MATCH(EH$7,'qtrP&amp;L'!$6:$6,0))</f>
        <v>0.88754427390791024</v>
      </c>
      <c r="EL38" s="308"/>
      <c r="EM38" s="311">
        <f>INDEX('qtrP&amp;L'!$180:$180,MATCH(EM$7,'qtrP&amp;L'!$6:$6,0))</f>
        <v>0.41875097081495366</v>
      </c>
      <c r="EN38" s="311">
        <f>INDEX('qtrP&amp;L'!$181:$181,MATCH(EM$7,'qtrP&amp;L'!$6:$6,0))</f>
        <v>0.70527303465451474</v>
      </c>
      <c r="EO38" s="311">
        <f>INDEX('qtrP&amp;L'!$182:$182,MATCH(EM$7,'qtrP&amp;L'!$6:$6,0))</f>
        <v>0.78288003928941241</v>
      </c>
      <c r="EP38" s="311">
        <f>INDEX('qtrP&amp;L'!$183:$183,MATCH(EM$7,'qtrP&amp;L'!$6:$6,0))</f>
        <v>1.4136539294538588</v>
      </c>
      <c r="EQ38" s="308"/>
      <c r="ER38" s="277"/>
      <c r="ES38" s="311">
        <f>'yrP&amp;L'!J61</f>
        <v>0.7100156251133185</v>
      </c>
      <c r="ET38" s="311">
        <f>'yrP&amp;L'!K61</f>
        <v>0.83031286129312309</v>
      </c>
      <c r="EU38" s="311">
        <f>'yrP&amp;L'!L61</f>
        <v>0.83433400812569969</v>
      </c>
      <c r="EV38" s="311">
        <f>'yrP&amp;L'!M61</f>
        <v>0.85678348306837648</v>
      </c>
      <c r="EW38" s="311">
        <f>'yrP&amp;L'!N61</f>
        <v>1.2368722867659885</v>
      </c>
      <c r="EX38" s="311">
        <f>'yrP&amp;L'!O61</f>
        <v>1.0077621815285398</v>
      </c>
      <c r="EY38" s="311">
        <f>'yrP&amp;L'!P61</f>
        <v>0.91222543996347538</v>
      </c>
      <c r="EZ38" s="311">
        <f>'yrP&amp;L'!Q61</f>
        <v>1.2002240757809552</v>
      </c>
      <c r="FA38" s="311">
        <f>'yrP&amp;L'!R61</f>
        <v>1.4076365524928753</v>
      </c>
      <c r="FB38" s="311">
        <f>'yrP&amp;L'!S61</f>
        <v>1.4596424056348209</v>
      </c>
      <c r="FC38" s="311">
        <f>'yrP&amp;L'!T61</f>
        <v>0.77644266937879214</v>
      </c>
      <c r="FD38" s="311">
        <f>'yrP&amp;L'!U61</f>
        <v>0.46398124546486502</v>
      </c>
      <c r="FE38" s="311">
        <f>'yrP&amp;L'!V61</f>
        <v>0.33229431140094801</v>
      </c>
      <c r="FF38" s="311">
        <f>'yrP&amp;L'!W61</f>
        <v>0.88174338254112217</v>
      </c>
      <c r="FG38" s="311">
        <f>'yrP&amp;L'!X61</f>
        <v>1.3831814139226841</v>
      </c>
      <c r="FH38" s="311">
        <f>'yrP&amp;L'!Y61</f>
        <v>1.9842614832034384</v>
      </c>
      <c r="FI38" s="313">
        <f>'yrP&amp;L'!Z61</f>
        <v>2.5514990549466869</v>
      </c>
      <c r="FJ38" s="313">
        <f>'yrP&amp;L'!AA61</f>
        <v>2.872052150379385</v>
      </c>
      <c r="FK38" s="311">
        <f>'yrP&amp;L'!AB61</f>
        <v>1.8368542403835175</v>
      </c>
      <c r="FL38" s="311">
        <f>'yrP&amp;L'!AC61</f>
        <v>2.0077395857045297</v>
      </c>
      <c r="FM38" s="313">
        <f>'yrP&amp;L'!AD61</f>
        <v>2.7532000898270828</v>
      </c>
      <c r="FN38" s="311">
        <f>'yrP&amp;L'!AE61</f>
        <v>3.137705294590559</v>
      </c>
      <c r="FO38" s="311">
        <f>'yrP&amp;L'!AF61</f>
        <v>3.5558780841799713</v>
      </c>
      <c r="FP38" s="311">
        <f>'yrP&amp;L'!AG61</f>
        <v>3.7126960040465353</v>
      </c>
      <c r="FQ38" s="311">
        <f>'yrP&amp;L'!AH61</f>
        <v>3.7215909090909092</v>
      </c>
      <c r="FR38" s="311">
        <f>'yrP&amp;L'!AI61</f>
        <v>3.165121180189673</v>
      </c>
      <c r="FS38" s="311">
        <f>'yrP&amp;L'!AJ61</f>
        <v>2.0237850200114358</v>
      </c>
      <c r="FT38" s="311">
        <f>'yrP&amp;L'!AK61</f>
        <v>2.5880995354617271</v>
      </c>
      <c r="FU38" s="311">
        <f>'yrP&amp;L'!AL61</f>
        <v>3.2974127560357482</v>
      </c>
      <c r="FV38" s="311">
        <f>'yrP&amp;L'!AM61</f>
        <v>3.2520973597878888</v>
      </c>
      <c r="FW38" s="310">
        <f>'yrP&amp;L'!AN61</f>
        <v>3.2003428617326617</v>
      </c>
      <c r="FX38" s="308">
        <f>'yrP&amp;L'!AO61</f>
        <v>3.1455964230420324</v>
      </c>
      <c r="FY38" s="310">
        <f>'yrP&amp;L'!AP61</f>
        <v>3.1481329810985734</v>
      </c>
      <c r="FZ38" s="308"/>
      <c r="GA38" s="308"/>
      <c r="GB38" s="308"/>
      <c r="GC38" s="308"/>
      <c r="GD38" s="308"/>
    </row>
    <row r="39" spans="1:270" ht="9" customHeight="1" x14ac:dyDescent="0.2">
      <c r="A39" s="276"/>
      <c r="CZ39" s="249"/>
      <c r="DA39" s="249"/>
      <c r="DB39" s="249"/>
      <c r="DC39" s="249"/>
      <c r="DD39" s="249"/>
      <c r="DE39" s="249"/>
      <c r="DF39" s="249"/>
      <c r="DG39" s="249"/>
      <c r="DH39" s="249"/>
      <c r="DI39" s="249"/>
      <c r="DJ39" s="249"/>
      <c r="DK39" s="249"/>
      <c r="DL39" s="249"/>
      <c r="DM39" s="249"/>
      <c r="DN39" s="249"/>
      <c r="DO39" s="249"/>
      <c r="DP39" s="249"/>
      <c r="DQ39" s="249"/>
      <c r="DR39" s="249"/>
      <c r="DS39" s="249"/>
      <c r="DT39" s="249"/>
      <c r="DU39" s="249"/>
      <c r="DV39" s="249"/>
      <c r="DW39" s="249"/>
      <c r="DX39" s="249"/>
      <c r="DY39" s="249"/>
      <c r="DZ39" s="249"/>
      <c r="EA39" s="249"/>
      <c r="EB39" s="249"/>
      <c r="EC39" s="574"/>
      <c r="ED39" s="249"/>
      <c r="EE39" s="249"/>
      <c r="EF39" s="249"/>
      <c r="EG39" s="249"/>
      <c r="EH39" s="574"/>
      <c r="EI39" s="249"/>
      <c r="EJ39" s="249"/>
      <c r="EK39" s="249"/>
      <c r="EL39" s="249"/>
      <c r="EM39" s="574"/>
      <c r="EN39" s="249"/>
      <c r="EO39" s="249"/>
      <c r="EP39" s="574"/>
      <c r="EQ39" s="249"/>
      <c r="ER39" s="277"/>
      <c r="ES39" s="249"/>
      <c r="ET39" s="249"/>
      <c r="EU39" s="249"/>
      <c r="EV39" s="249"/>
      <c r="EW39" s="249"/>
      <c r="EX39" s="249"/>
      <c r="EY39" s="249"/>
      <c r="EZ39" s="249"/>
      <c r="FA39" s="249"/>
      <c r="FB39" s="249"/>
      <c r="FC39" s="249"/>
      <c r="FD39" s="249"/>
      <c r="FE39" s="249"/>
      <c r="FF39" s="249"/>
      <c r="FG39" s="249"/>
      <c r="FH39" s="249"/>
      <c r="FI39" s="276"/>
      <c r="FJ39" s="276"/>
      <c r="FK39" s="249"/>
      <c r="FL39" s="249"/>
      <c r="FM39" s="276"/>
      <c r="FN39" s="249"/>
      <c r="FO39" s="249"/>
      <c r="FP39" s="249"/>
      <c r="FQ39" s="249"/>
      <c r="FR39" s="249"/>
      <c r="FS39" s="249"/>
      <c r="FT39" s="249"/>
      <c r="FU39" s="249"/>
      <c r="FV39" s="249"/>
      <c r="FW39" s="277"/>
      <c r="FY39" s="277"/>
      <c r="FZ39" s="249"/>
      <c r="GA39" s="249"/>
      <c r="GB39" s="249"/>
      <c r="GC39" s="249"/>
      <c r="GD39" s="249"/>
    </row>
    <row r="40" spans="1:270" s="249" customFormat="1" x14ac:dyDescent="0.2">
      <c r="A40" s="276" t="s">
        <v>164</v>
      </c>
      <c r="C40" s="282">
        <f>INDEX('qtrP&amp;L'!$190:$190,MATCH(C$7,'qtrP&amp;L'!$6:$6,0))</f>
        <v>163</v>
      </c>
      <c r="D40" s="282">
        <f>INDEX('qtrP&amp;L'!$191:$191,MATCH(C$7,'qtrP&amp;L'!$6:$6,0))</f>
        <v>163</v>
      </c>
      <c r="E40" s="282">
        <f>INDEX('qtrP&amp;L'!$192:$192,MATCH(C$7,'qtrP&amp;L'!$6:$6,0))</f>
        <v>163</v>
      </c>
      <c r="F40" s="282">
        <f>INDEX('qtrP&amp;L'!$193:$193,MATCH(C$7,'qtrP&amp;L'!$6:$6,0))</f>
        <v>163.47014799999999</v>
      </c>
      <c r="G40" s="282"/>
      <c r="H40" s="282">
        <f>INDEX('qtrP&amp;L'!$190:$190,MATCH(H$7,'qtrP&amp;L'!$6:$6,0))</f>
        <v>163.479716</v>
      </c>
      <c r="I40" s="282">
        <f>INDEX('qtrP&amp;L'!$191:$191,MATCH(H$7,'qtrP&amp;L'!$6:$6,0))</f>
        <v>163.50427400000001</v>
      </c>
      <c r="J40" s="282">
        <f>INDEX('qtrP&amp;L'!$192:$192,MATCH(H$7,'qtrP&amp;L'!$6:$6,0))</f>
        <v>163.63235599999999</v>
      </c>
      <c r="K40" s="282">
        <f>INDEX('qtrP&amp;L'!$193:$193,MATCH(H$7,'qtrP&amp;L'!$6:$6,0))</f>
        <v>163.667148</v>
      </c>
      <c r="L40" s="282"/>
      <c r="M40" s="282">
        <f>INDEX('qtrP&amp;L'!$190:$190,MATCH(M$7,'qtrP&amp;L'!$6:$6,0))</f>
        <v>163.70980800000001</v>
      </c>
      <c r="N40" s="282">
        <f>INDEX('qtrP&amp;L'!$191:$191,MATCH(M$7,'qtrP&amp;L'!$6:$6,0))</f>
        <v>163.70980800000001</v>
      </c>
      <c r="O40" s="282">
        <f>INDEX('qtrP&amp;L'!$192:$192,MATCH(M$7,'qtrP&amp;L'!$6:$6,0))</f>
        <v>163.78253599999999</v>
      </c>
      <c r="P40" s="282">
        <f>INDEX('qtrP&amp;L'!$193:$193,MATCH(M$7,'qtrP&amp;L'!$6:$6,0))</f>
        <v>163.78253599999999</v>
      </c>
      <c r="Q40" s="282"/>
      <c r="R40" s="282">
        <f>INDEX('qtrP&amp;L'!$190:$190,MATCH(R$7,'qtrP&amp;L'!$6:$6,0))</f>
        <v>163.84876399999999</v>
      </c>
      <c r="S40" s="282">
        <f>INDEX('qtrP&amp;L'!$191:$191,MATCH(R$7,'qtrP&amp;L'!$6:$6,0))</f>
        <v>163.80000000000001</v>
      </c>
      <c r="T40" s="282">
        <f>INDEX('qtrP&amp;L'!$192:$192,MATCH(R$7,'qtrP&amp;L'!$6:$6,0))</f>
        <v>163.80000000000001</v>
      </c>
      <c r="U40" s="282">
        <f>INDEX('qtrP&amp;L'!$193:$193,MATCH(R$7,'qtrP&amp;L'!$6:$6,0))</f>
        <v>164.089698</v>
      </c>
      <c r="V40" s="282"/>
      <c r="W40" s="282">
        <f>INDEX('qtrP&amp;L'!$190:$190,MATCH(W$7,'qtrP&amp;L'!$6:$6,0))</f>
        <v>164.03463600000001</v>
      </c>
      <c r="X40" s="282">
        <f>INDEX('qtrP&amp;L'!$191:$191,MATCH(W$7,'qtrP&amp;L'!$6:$6,0))</f>
        <v>164.23575199999999</v>
      </c>
      <c r="Y40" s="282">
        <f>INDEX('qtrP&amp;L'!$192:$192,MATCH(W$7,'qtrP&amp;L'!$6:$6,0))</f>
        <v>164.32075599999999</v>
      </c>
      <c r="Z40" s="282">
        <f>INDEX('qtrP&amp;L'!$193:$193,MATCH(W$7,'qtrP&amp;L'!$6:$6,0))</f>
        <v>164.4332</v>
      </c>
      <c r="AA40" s="282"/>
      <c r="AB40" s="282">
        <f>INDEX('qtrP&amp;L'!$190:$190,MATCH(AB$7,'qtrP&amp;L'!$6:$6,0))</f>
        <v>164.50583599999999</v>
      </c>
      <c r="AC40" s="282">
        <f>INDEX('qtrP&amp;L'!$191:$191,MATCH(AB$7,'qtrP&amp;L'!$6:$6,0))</f>
        <v>164.50583599999999</v>
      </c>
      <c r="AD40" s="282">
        <f>INDEX('qtrP&amp;L'!$192:$192,MATCH(AB$7,'qtrP&amp;L'!$6:$6,0))</f>
        <v>164.048168</v>
      </c>
      <c r="AE40" s="282">
        <f>INDEX('qtrP&amp;L'!$193:$193,MATCH(AB$7,'qtrP&amp;L'!$6:$6,0))</f>
        <v>162.39140399999999</v>
      </c>
      <c r="AF40" s="282"/>
      <c r="AG40" s="282">
        <f>INDEX('qtrP&amp;L'!$190:$190,MATCH(AG$7,'qtrP&amp;L'!$6:$6,0))</f>
        <v>162.34892600000001</v>
      </c>
      <c r="AH40" s="282">
        <f>INDEX('qtrP&amp;L'!$191:$191,MATCH(AG$7,'qtrP&amp;L'!$6:$6,0))</f>
        <v>162.34892600000001</v>
      </c>
      <c r="AI40" s="282">
        <f>INDEX('qtrP&amp;L'!$192:$192,MATCH(AG$7,'qtrP&amp;L'!$6:$6,0))</f>
        <v>161.55249800000001</v>
      </c>
      <c r="AJ40" s="282">
        <f>INDEX('qtrP&amp;L'!$193:$193,MATCH(AG$7,'qtrP&amp;L'!$6:$6,0))</f>
        <v>160.194354</v>
      </c>
      <c r="AK40" s="282"/>
      <c r="AL40" s="282">
        <f>INDEX('qtrP&amp;L'!$190:$190,MATCH(AL$7,'qtrP&amp;L'!$6:$6,0))</f>
        <v>157.15902199999999</v>
      </c>
      <c r="AM40" s="282">
        <f>INDEX('qtrP&amp;L'!$191:$191,MATCH(AL$7,'qtrP&amp;L'!$6:$6,0))</f>
        <v>154.072</v>
      </c>
      <c r="AN40" s="282">
        <f>INDEX('qtrP&amp;L'!$192:$192,MATCH(AL$7,'qtrP&amp;L'!$6:$6,0))</f>
        <v>154.50200000000001</v>
      </c>
      <c r="AO40" s="282">
        <f>INDEX('qtrP&amp;L'!$193:$193,MATCH(AL$7,'qtrP&amp;L'!$6:$6,0))</f>
        <v>154.76777200000001</v>
      </c>
      <c r="AP40" s="282"/>
      <c r="AQ40" s="282">
        <f>INDEX('qtrP&amp;L'!$190:$190,MATCH(AQ$7,'qtrP&amp;L'!$6:$6,0))</f>
        <v>150.758544</v>
      </c>
      <c r="AR40" s="282">
        <f>INDEX('qtrP&amp;L'!$191:$191,MATCH(AQ$7,'qtrP&amp;L'!$6:$6,0))</f>
        <v>149.282442</v>
      </c>
      <c r="AS40" s="282">
        <f>INDEX('qtrP&amp;L'!$192:$192,MATCH(AQ$7,'qtrP&amp;L'!$6:$6,0))</f>
        <v>144.953</v>
      </c>
      <c r="AT40" s="282">
        <f>INDEX('qtrP&amp;L'!$193:$193,MATCH(AQ$7,'qtrP&amp;L'!$6:$6,0))</f>
        <v>142.64599999999999</v>
      </c>
      <c r="AU40" s="282"/>
      <c r="AV40" s="282">
        <f>INDEX('qtrP&amp;L'!$190:$190,MATCH(AV$7,'qtrP&amp;L'!$6:$6,0))</f>
        <v>142.976</v>
      </c>
      <c r="AW40" s="282">
        <f>INDEX('qtrP&amp;L'!$191:$191,MATCH(AV$7,'qtrP&amp;L'!$6:$6,0))</f>
        <v>140.09100000000001</v>
      </c>
      <c r="AX40" s="282">
        <f>INDEX('qtrP&amp;L'!$192:$192,MATCH(AV$7,'qtrP&amp;L'!$6:$6,0))</f>
        <v>137.06700000000001</v>
      </c>
      <c r="AY40" s="282">
        <f>INDEX('qtrP&amp;L'!$193:$193,MATCH(AV$7,'qtrP&amp;L'!$6:$6,0))</f>
        <v>133.78200000000001</v>
      </c>
      <c r="AZ40" s="282"/>
      <c r="BA40" s="282">
        <f>INDEX('qtrP&amp;L'!$190:$190,MATCH(BA$7,'qtrP&amp;L'!$6:$6,0))</f>
        <v>131.62700000000001</v>
      </c>
      <c r="BB40" s="282">
        <f>INDEX('qtrP&amp;L'!$191:$191,MATCH(BA$7,'qtrP&amp;L'!$6:$6,0))</f>
        <v>130.1</v>
      </c>
      <c r="BC40" s="282">
        <f>INDEX('qtrP&amp;L'!$192:$192,MATCH(BA$7,'qtrP&amp;L'!$6:$6,0))</f>
        <v>129.339</v>
      </c>
      <c r="BD40" s="282">
        <f>INDEX('qtrP&amp;L'!$193:$193,MATCH(BA$7,'qtrP&amp;L'!$6:$6,0))</f>
        <v>133.98500000000001</v>
      </c>
      <c r="BE40" s="282"/>
      <c r="BF40" s="282">
        <f>INDEX('qtrP&amp;L'!$190:$190,MATCH(BF$7,'qtrP&amp;L'!$6:$6,0))</f>
        <v>267.84399999999999</v>
      </c>
      <c r="BG40" s="282">
        <f>INDEX('qtrP&amp;L'!$191:$191,MATCH(BF$7,'qtrP&amp;L'!$6:$6,0))</f>
        <v>268.84399999999999</v>
      </c>
      <c r="BH40" s="282">
        <f>INDEX('qtrP&amp;L'!$192:$192,MATCH(BF$7,'qtrP&amp;L'!$6:$6,0))</f>
        <v>268.41800000000001</v>
      </c>
      <c r="BI40" s="282">
        <f>INDEX('qtrP&amp;L'!$193:$193,MATCH(BF$7,'qtrP&amp;L'!$6:$6,0))</f>
        <v>269.834</v>
      </c>
      <c r="BJ40" s="282"/>
      <c r="BK40" s="282">
        <f>INDEX('qtrP&amp;L'!$190:$190,MATCH(BK$7,'qtrP&amp;L'!$6:$6,0))</f>
        <v>271.41000000000003</v>
      </c>
      <c r="BL40" s="282">
        <f>INDEX('qtrP&amp;L'!$191:$191,MATCH(BK$7,'qtrP&amp;L'!$6:$6,0))</f>
        <v>271.64</v>
      </c>
      <c r="BM40" s="282">
        <f>INDEX('qtrP&amp;L'!$192:$192,MATCH(BK$7,'qtrP&amp;L'!$6:$6,0))</f>
        <v>271.55200000000002</v>
      </c>
      <c r="BN40" s="282">
        <f>INDEX('qtrP&amp;L'!$193:$193,MATCH(BK$7,'qtrP&amp;L'!$6:$6,0))</f>
        <v>271.67599999999999</v>
      </c>
      <c r="BO40" s="282"/>
      <c r="BP40" s="282">
        <f>INDEX('qtrP&amp;L'!$190:$190,MATCH(BP$7,'qtrP&amp;L'!$6:$6,0))</f>
        <v>271.596</v>
      </c>
      <c r="BQ40" s="282">
        <f>INDEX('qtrP&amp;L'!$191:$191,MATCH(BP$7,'qtrP&amp;L'!$6:$6,0))</f>
        <v>272.67599999999999</v>
      </c>
      <c r="BR40" s="282">
        <f>INDEX('qtrP&amp;L'!$192:$192,MATCH(BP$7,'qtrP&amp;L'!$6:$6,0))</f>
        <v>276.20600000000002</v>
      </c>
      <c r="BS40" s="282">
        <f>INDEX('qtrP&amp;L'!$193:$193,MATCH(BP$7,'qtrP&amp;L'!$6:$6,0))</f>
        <v>281.38</v>
      </c>
      <c r="BT40" s="282"/>
      <c r="BU40" s="282">
        <f>INDEX('qtrP&amp;L'!$190:$190,MATCH(BU$7,'qtrP&amp;L'!$6:$6,0))</f>
        <v>283.95</v>
      </c>
      <c r="BV40" s="282">
        <f>INDEX('qtrP&amp;L'!$191:$191,MATCH(BU$7,'qtrP&amp;L'!$6:$6,0))</f>
        <v>286.99400000000003</v>
      </c>
      <c r="BW40" s="282">
        <f>INDEX('qtrP&amp;L'!$192:$192,MATCH(BU$7,'qtrP&amp;L'!$6:$6,0))</f>
        <v>286.298</v>
      </c>
      <c r="BX40" s="282">
        <f>INDEX('qtrP&amp;L'!$193:$193,MATCH(BU$7,'qtrP&amp;L'!$6:$6,0))</f>
        <v>280.642</v>
      </c>
      <c r="BY40" s="282"/>
      <c r="BZ40" s="282">
        <f>INDEX('qtrP&amp;L'!$190:$190,MATCH(BZ$7,'qtrP&amp;L'!$6:$6,0))</f>
        <v>278.39400000000001</v>
      </c>
      <c r="CA40" s="282">
        <f>INDEX('qtrP&amp;L'!$191:$191,MATCH(BZ$7,'qtrP&amp;L'!$6:$6,0))</f>
        <v>279.16899999999998</v>
      </c>
      <c r="CB40" s="282">
        <f>INDEX('qtrP&amp;L'!$192:$192,MATCH(BZ$7,'qtrP&amp;L'!$6:$6,0))</f>
        <v>277.29300000000001</v>
      </c>
      <c r="CC40" s="282">
        <f>INDEX('qtrP&amp;L'!$193:$193,MATCH(BZ$7,'qtrP&amp;L'!$6:$6,0))</f>
        <v>275.66199999999998</v>
      </c>
      <c r="CD40" s="282"/>
      <c r="CE40" s="282">
        <f>INDEX('qtrP&amp;L'!$190:$190,MATCH(CE$7,'qtrP&amp;L'!$6:$6,0))</f>
        <v>272.83100000000002</v>
      </c>
      <c r="CF40" s="282">
        <f>INDEX('qtrP&amp;L'!$191:$191,MATCH(CE$7,'qtrP&amp;L'!$6:$6,0))</f>
        <v>266.226</v>
      </c>
      <c r="CG40" s="282">
        <f>INDEX('qtrP&amp;L'!$192:$192,MATCH(CE$7,'qtrP&amp;L'!$6:$6,0))</f>
        <v>261.61599999999999</v>
      </c>
      <c r="CH40" s="282">
        <f>INDEX('qtrP&amp;L'!$193:$193,MATCH(CE$7,'qtrP&amp;L'!$6:$6,0))</f>
        <v>262.23</v>
      </c>
      <c r="CI40" s="282"/>
      <c r="CJ40" s="282">
        <f>INDEX('qtrP&amp;L'!$190:$190,MATCH(CJ$7,'qtrP&amp;L'!$6:$6,0))</f>
        <v>262.73099999999999</v>
      </c>
      <c r="CK40" s="282">
        <f>INDEX('qtrP&amp;L'!$191:$191,MATCH(CJ$7,'qtrP&amp;L'!$6:$6,0))</f>
        <v>255.35400000000001</v>
      </c>
      <c r="CL40" s="282">
        <f>INDEX('qtrP&amp;L'!$192:$192,MATCH(CJ$7,'qtrP&amp;L'!$6:$6,0))</f>
        <v>245.34399999999999</v>
      </c>
      <c r="CM40" s="282">
        <f>INDEX('qtrP&amp;L'!$193:$193,MATCH(CJ$7,'qtrP&amp;L'!$6:$6,0))</f>
        <v>232</v>
      </c>
      <c r="CN40" s="282"/>
      <c r="CO40" s="282">
        <f>INDEX('qtrP&amp;L'!$190:$190,MATCH(CO$7,'qtrP&amp;L'!$6:$6,0))</f>
        <v>221.7</v>
      </c>
      <c r="CP40" s="282">
        <f>INDEX('qtrP&amp;L'!$191:$191,MATCH(CO$7,'qtrP&amp;L'!$6:$6,0))</f>
        <v>219.5</v>
      </c>
      <c r="CQ40" s="282">
        <f>INDEX('qtrP&amp;L'!$192:$192,MATCH(CO$7,'qtrP&amp;L'!$6:$6,0))</f>
        <v>218.1</v>
      </c>
      <c r="CR40" s="282">
        <f>INDEX('qtrP&amp;L'!$193:$193,MATCH(CO$7,'qtrP&amp;L'!$6:$6,0))</f>
        <v>216.8</v>
      </c>
      <c r="CS40" s="282"/>
      <c r="CT40" s="282">
        <f>INDEX('qtrP&amp;L'!$190:$190,MATCH(CT$7,'qtrP&amp;L'!$6:$6,0))</f>
        <v>217.4</v>
      </c>
      <c r="CU40" s="282">
        <f>INDEX('qtrP&amp;L'!$191:$191,MATCH(CT$7,'qtrP&amp;L'!$6:$6,0))</f>
        <v>218.8</v>
      </c>
      <c r="CV40" s="282">
        <f>INDEX('qtrP&amp;L'!$192:$192,MATCH(CT$7,'qtrP&amp;L'!$6:$6,0))</f>
        <v>220.7</v>
      </c>
      <c r="CW40" s="282">
        <f>INDEX('qtrP&amp;L'!$193:$193,MATCH(CT$7,'qtrP&amp;L'!$6:$6,0))</f>
        <v>221.7</v>
      </c>
      <c r="CX40" s="282"/>
      <c r="CY40" s="314">
        <f>INDEX('qtrP&amp;L'!$190:$190,MATCH(CY$7,'qtrP&amp;L'!$6:$6,0))</f>
        <v>222.4</v>
      </c>
      <c r="CZ40" s="314">
        <f>INDEX('qtrP&amp;L'!$191:$191,MATCH(CY$7,'qtrP&amp;L'!$6:$6,0))</f>
        <v>222.8</v>
      </c>
      <c r="DA40" s="314">
        <f>INDEX('qtrP&amp;L'!$192:$192,MATCH(CY$7,'qtrP&amp;L'!$6:$6,0))</f>
        <v>222.5</v>
      </c>
      <c r="DB40" s="314">
        <f>INDEX('qtrP&amp;L'!$193:$193,MATCH(CY$7,'qtrP&amp;L'!$6:$6,0))</f>
        <v>222.9</v>
      </c>
      <c r="DC40" s="314"/>
      <c r="DD40" s="314">
        <f>INDEX('qtrP&amp;L'!$190:$190,MATCH(DD$7,'qtrP&amp;L'!$6:$6,0))</f>
        <v>223.3</v>
      </c>
      <c r="DE40" s="314">
        <f>INDEX('qtrP&amp;L'!$191:$191,MATCH(DD$7,'qtrP&amp;L'!$6:$6,0))</f>
        <v>220.1</v>
      </c>
      <c r="DF40" s="314">
        <f>INDEX('qtrP&amp;L'!$192:$192,MATCH(DD$7,'qtrP&amp;L'!$6:$6,0))</f>
        <v>215</v>
      </c>
      <c r="DG40" s="314">
        <f>INDEX('qtrP&amp;L'!$193:$193,MATCH(DD$7,'qtrP&amp;L'!$6:$6,0))</f>
        <v>212.3</v>
      </c>
      <c r="DH40" s="314"/>
      <c r="DI40" s="314">
        <f>INDEX('qtrP&amp;L'!$190:$190,MATCH(DI$7,'qtrP&amp;L'!$6:$6,0))</f>
        <v>211.4</v>
      </c>
      <c r="DJ40" s="314">
        <f>INDEX('qtrP&amp;L'!$191:$191,MATCH(DI$7,'qtrP&amp;L'!$6:$6,0))</f>
        <v>208.7</v>
      </c>
      <c r="DK40" s="314">
        <f>INDEX('qtrP&amp;L'!$192:$192,MATCH(DI$7,'qtrP&amp;L'!$6:$6,0))</f>
        <v>204.7</v>
      </c>
      <c r="DL40" s="314">
        <f>INDEX('qtrP&amp;L'!$193:$193,MATCH(DI$7,'qtrP&amp;L'!$6:$6,0))</f>
        <v>202.4</v>
      </c>
      <c r="DM40" s="314"/>
      <c r="DN40" s="314">
        <f>INDEX('qtrP&amp;L'!$190:$190,MATCH(DN$7,'qtrP&amp;L'!$6:$6,0))</f>
        <v>199</v>
      </c>
      <c r="DO40" s="314">
        <f>INDEX('qtrP&amp;L'!$191:$191,MATCH(DN$7,'qtrP&amp;L'!$6:$6,0))</f>
        <v>198.8</v>
      </c>
      <c r="DP40" s="314">
        <f>INDEX('qtrP&amp;L'!$192:$192,MATCH(DN$7,'qtrP&amp;L'!$6:$6,0))</f>
        <v>197.3</v>
      </c>
      <c r="DQ40" s="314">
        <f>INDEX('qtrP&amp;L'!$193:$193,MATCH(DN$7,'qtrP&amp;L'!$6:$6,0))</f>
        <v>195.8</v>
      </c>
      <c r="DR40" s="314"/>
      <c r="DS40" s="314">
        <f>INDEX('qtrP&amp;L'!$190:$190,MATCH(DS$7,'qtrP&amp;L'!$6:$6,0))</f>
        <v>192.7</v>
      </c>
      <c r="DT40" s="314">
        <f>INDEX('qtrP&amp;L'!$191:$191,MATCH(DS$7,'qtrP&amp;L'!$6:$6,0))</f>
        <v>192.7</v>
      </c>
      <c r="DU40" s="314">
        <f>INDEX('qtrP&amp;L'!$192:$192,MATCH(DS$7,'qtrP&amp;L'!$6:$6,0))</f>
        <v>194.7</v>
      </c>
      <c r="DV40" s="314">
        <f>INDEX('qtrP&amp;L'!$193:$193,MATCH(DS$7,'qtrP&amp;L'!$6:$6,0))</f>
        <v>194.2</v>
      </c>
      <c r="DW40" s="314"/>
      <c r="DX40" s="314">
        <f>INDEX('qtrP&amp;L'!$190:$190,MATCH(DX$7,'qtrP&amp;L'!$6:$6,0))</f>
        <v>194.9</v>
      </c>
      <c r="DY40" s="314">
        <f>INDEX('qtrP&amp;L'!$191:$191,MATCH(DX$7,'qtrP&amp;L'!$6:$6,0))</f>
        <v>193.5</v>
      </c>
      <c r="DZ40" s="314">
        <f>INDEX('qtrP&amp;L'!$192:$192,MATCH(DX$7,'qtrP&amp;L'!$6:$6,0))</f>
        <v>191.3</v>
      </c>
      <c r="EA40" s="314">
        <f>INDEX('qtrP&amp;L'!$193:$193,MATCH(DX$7,'qtrP&amp;L'!$6:$6,0))</f>
        <v>180.7</v>
      </c>
      <c r="EB40" s="314"/>
      <c r="EC40" s="314">
        <f>INDEX('qtrP&amp;L'!$190:$190,MATCH(EC$7,'qtrP&amp;L'!$6:$6,0))</f>
        <v>175.7</v>
      </c>
      <c r="ED40" s="314">
        <f>INDEX('qtrP&amp;L'!$191:$191,MATCH(EC$7,'qtrP&amp;L'!$6:$6,0))</f>
        <v>174.8</v>
      </c>
      <c r="EE40" s="314">
        <f>INDEX('qtrP&amp;L'!$192:$192,MATCH(EC$7,'qtrP&amp;L'!$6:$6,0))</f>
        <v>173.4</v>
      </c>
      <c r="EF40" s="314">
        <f>INDEX('qtrP&amp;L'!$193:$193,MATCH(EC$7,'qtrP&amp;L'!$6:$6,0))</f>
        <v>175.7</v>
      </c>
      <c r="EH40" s="314">
        <f>INDEX('qtrP&amp;L'!$190:$190,MATCH(EH$7,'qtrP&amp;L'!$6:$6,0))</f>
        <v>169.1</v>
      </c>
      <c r="EI40" s="314">
        <f>INDEX('qtrP&amp;L'!$191:$191,MATCH(EH$7,'qtrP&amp;L'!$6:$6,0))</f>
        <v>168.5</v>
      </c>
      <c r="EJ40" s="314">
        <f>INDEX('qtrP&amp;L'!$192:$192,MATCH(EH$7,'qtrP&amp;L'!$6:$6,0))</f>
        <v>168.94</v>
      </c>
      <c r="EK40" s="314">
        <f>INDEX('qtrP&amp;L'!$193:$193,MATCH(EH$7,'qtrP&amp;L'!$6:$6,0))</f>
        <v>169.4</v>
      </c>
      <c r="EL40" s="314"/>
      <c r="EM40" s="314">
        <f>INDEX('qtrP&amp;L'!$190:$190,MATCH(EM$7,'qtrP&amp;L'!$6:$6,0))</f>
        <v>167.4</v>
      </c>
      <c r="EN40" s="314">
        <f>INDEX('qtrP&amp;L'!$191:$191,MATCH(EM$7,'qtrP&amp;L'!$6:$6,0))</f>
        <v>165.08500000000001</v>
      </c>
      <c r="EO40" s="314">
        <f>INDEX('qtrP&amp;L'!$192:$192,MATCH(EM$7,'qtrP&amp;L'!$6:$6,0))</f>
        <v>160.9</v>
      </c>
      <c r="EP40" s="314">
        <f>INDEX('qtrP&amp;L'!$193:$193,MATCH(EM$7,'qtrP&amp;L'!$6:$6,0))</f>
        <v>159.9</v>
      </c>
      <c r="EQ40" s="314"/>
      <c r="ER40" s="277"/>
      <c r="ES40" s="314">
        <f>'yrP&amp;L'!J64</f>
        <v>163.117537</v>
      </c>
      <c r="ET40" s="314">
        <f>'yrP&amp;L'!K64</f>
        <v>163.5708735</v>
      </c>
      <c r="EU40" s="314">
        <f>'yrP&amp;L'!L64</f>
        <v>163.746172</v>
      </c>
      <c r="EV40" s="314">
        <f>'yrP&amp;L'!M64</f>
        <v>163.889714</v>
      </c>
      <c r="EW40" s="314">
        <f>'yrP&amp;L'!N64</f>
        <v>164.089698</v>
      </c>
      <c r="EX40" s="314">
        <f>'yrP&amp;L'!O64</f>
        <v>163.83924999999999</v>
      </c>
      <c r="EY40" s="314">
        <f>'yrP&amp;L'!P64</f>
        <v>161.697968</v>
      </c>
      <c r="EZ40" s="314">
        <f>'yrP&amp;L'!Q64</f>
        <v>155.12519850000001</v>
      </c>
      <c r="FA40" s="314">
        <f>'yrP&amp;L'!R64</f>
        <v>146.90999649999998</v>
      </c>
      <c r="FB40" s="314">
        <f>'yrP&amp;L'!S64</f>
        <v>138.42500000000001</v>
      </c>
      <c r="FC40" s="314">
        <f>'yrP&amp;L'!T64</f>
        <v>131.26274999999998</v>
      </c>
      <c r="FD40" s="314">
        <f>'yrP&amp;L'!U64</f>
        <v>268.73500000000001</v>
      </c>
      <c r="FE40" s="314">
        <f>'yrP&amp;L'!V64</f>
        <v>271.56950000000001</v>
      </c>
      <c r="FF40" s="314">
        <f>'yrP&amp;L'!W64</f>
        <v>275.46449999999999</v>
      </c>
      <c r="FG40" s="314">
        <f>'yrP&amp;L'!X64</f>
        <v>284.471</v>
      </c>
      <c r="FH40" s="314">
        <f>'yrP&amp;L'!Y64</f>
        <v>277.77600000000001</v>
      </c>
      <c r="FI40" s="315">
        <f>'yrP&amp;L'!Z64</f>
        <v>265.72575000000001</v>
      </c>
      <c r="FJ40" s="315">
        <f>'yrP&amp;L'!AA64</f>
        <v>248.85725000000002</v>
      </c>
      <c r="FK40" s="314">
        <f>'yrP&amp;L'!AB64</f>
        <v>219.02500000000001</v>
      </c>
      <c r="FL40" s="314">
        <f>'yrP&amp;L'!AC64</f>
        <v>219.65</v>
      </c>
      <c r="FM40" s="315">
        <f>'yrP&amp;L'!AD64</f>
        <v>222.65</v>
      </c>
      <c r="FN40" s="314">
        <f>'yrP&amp;L'!AE64</f>
        <v>217.67500000000001</v>
      </c>
      <c r="FO40" s="314">
        <f>'yrP&amp;L'!AF64</f>
        <v>206.7</v>
      </c>
      <c r="FP40" s="314">
        <f>'yrP&amp;L'!AG64</f>
        <v>197.7</v>
      </c>
      <c r="FQ40" s="314">
        <f>'yrP&amp;L'!AH64</f>
        <v>193.6</v>
      </c>
      <c r="FR40" s="314">
        <f>'yrP&amp;L'!AI64</f>
        <v>189.8</v>
      </c>
      <c r="FS40" s="314">
        <f>'yrP&amp;L'!AJ64</f>
        <v>174.89999999999998</v>
      </c>
      <c r="FT40" s="314">
        <f>'yrP&amp;L'!AK64</f>
        <v>168.98500000000001</v>
      </c>
      <c r="FU40" s="314">
        <f>'yrP&amp;L'!AL64</f>
        <v>163.32124999999999</v>
      </c>
      <c r="FV40" s="314">
        <f>FU40-(FU41-FV41)</f>
        <v>157.82124999999999</v>
      </c>
      <c r="FW40" s="316">
        <f>FV40-(FV41-FW41)</f>
        <v>153.32124999999999</v>
      </c>
      <c r="FX40" s="314">
        <f>FW40-(FW41-FX41)</f>
        <v>148.82124999999999</v>
      </c>
      <c r="FY40" s="316">
        <f>FX40-(FX41-FY41)</f>
        <v>144.32124999999999</v>
      </c>
      <c r="FZ40" s="258"/>
      <c r="GA40" s="314"/>
      <c r="GB40" s="314"/>
      <c r="GC40" s="314"/>
      <c r="GD40" s="314"/>
      <c r="GE40"/>
      <c r="GF40"/>
      <c r="GG40"/>
      <c r="GH40"/>
      <c r="GI40"/>
      <c r="GJ40"/>
      <c r="GO40" s="239"/>
      <c r="GP40" s="239"/>
      <c r="GQ40" s="239"/>
      <c r="GR40" s="239"/>
      <c r="GS40" s="239"/>
      <c r="GT40" s="239"/>
      <c r="GU40" s="239"/>
      <c r="GV40" s="239"/>
      <c r="GW40" s="239"/>
      <c r="GX40" s="239"/>
      <c r="GY40" s="239"/>
      <c r="GZ40" s="239"/>
      <c r="HA40" s="239"/>
      <c r="HB40" s="239"/>
      <c r="HC40" s="239"/>
      <c r="HD40" s="239"/>
      <c r="HE40" s="239"/>
      <c r="HF40" s="239"/>
      <c r="HG40" s="239"/>
      <c r="HH40" s="239"/>
      <c r="HI40" s="239"/>
      <c r="HJ40" s="239"/>
      <c r="HK40" s="239"/>
      <c r="HL40" s="239"/>
      <c r="HM40" s="239"/>
      <c r="HN40" s="239"/>
      <c r="HO40" s="239"/>
      <c r="HP40" s="239"/>
      <c r="HQ40" s="239"/>
      <c r="HR40" s="239"/>
      <c r="HS40" s="239"/>
      <c r="HT40" s="239"/>
      <c r="HU40" s="239"/>
      <c r="HV40" s="239"/>
      <c r="HW40" s="239"/>
      <c r="HX40" s="239"/>
      <c r="HY40" s="239"/>
      <c r="HZ40" s="239"/>
      <c r="IA40" s="239"/>
      <c r="IB40" s="239"/>
      <c r="IC40" s="239"/>
      <c r="ID40" s="239"/>
      <c r="IE40" s="239"/>
      <c r="IF40" s="239"/>
      <c r="IG40" s="239"/>
      <c r="IH40" s="239"/>
      <c r="II40" s="239"/>
      <c r="IJ40" s="239"/>
      <c r="IK40" s="239"/>
      <c r="IL40" s="239"/>
      <c r="IM40" s="239"/>
      <c r="IN40" s="239"/>
      <c r="IO40" s="239"/>
      <c r="IP40" s="239"/>
      <c r="IQ40" s="239"/>
      <c r="IR40" s="239"/>
      <c r="IS40" s="239"/>
      <c r="IT40" s="239"/>
      <c r="IU40" s="239"/>
      <c r="IV40" s="239"/>
      <c r="IW40" s="239"/>
      <c r="IX40" s="239"/>
      <c r="IY40" s="239"/>
      <c r="IZ40" s="239"/>
      <c r="JA40" s="239"/>
      <c r="JB40" s="239"/>
      <c r="JC40" s="239"/>
      <c r="JD40" s="239"/>
      <c r="JE40" s="239"/>
      <c r="JF40" s="239"/>
      <c r="JG40" s="239"/>
      <c r="JH40" s="239"/>
      <c r="JI40" s="239"/>
      <c r="JJ40" s="239"/>
    </row>
    <row r="41" spans="1:270" s="249" customFormat="1" hidden="1" outlineLevel="1" x14ac:dyDescent="0.2">
      <c r="A41" s="276" t="s">
        <v>165</v>
      </c>
      <c r="C41" s="282"/>
      <c r="D41" s="282"/>
      <c r="E41" s="282"/>
      <c r="F41" s="282"/>
      <c r="G41" s="282"/>
      <c r="H41" s="282"/>
      <c r="I41" s="282"/>
      <c r="J41" s="282"/>
      <c r="K41" s="282"/>
      <c r="L41" s="282"/>
      <c r="M41" s="282"/>
      <c r="N41" s="282"/>
      <c r="O41" s="282"/>
      <c r="P41" s="282"/>
      <c r="Q41" s="282"/>
      <c r="R41" s="282"/>
      <c r="S41" s="282"/>
      <c r="T41" s="282"/>
      <c r="U41" s="282"/>
      <c r="V41" s="282"/>
      <c r="W41" s="282"/>
      <c r="X41" s="282"/>
      <c r="Y41" s="282"/>
      <c r="Z41" s="282"/>
      <c r="AA41" s="282"/>
      <c r="AB41" s="282"/>
      <c r="AC41" s="282"/>
      <c r="AD41" s="282"/>
      <c r="AE41" s="282"/>
      <c r="AF41" s="282"/>
      <c r="AG41" s="282"/>
      <c r="AH41" s="282"/>
      <c r="AI41" s="282"/>
      <c r="AJ41" s="282">
        <f>INDEX('qtrP&amp;L'!$203:$203,MATCH(AG$7,'qtrP&amp;L'!$6:$6,0))</f>
        <v>160.194354</v>
      </c>
      <c r="AK41" s="282"/>
      <c r="AL41" s="282"/>
      <c r="AM41" s="282"/>
      <c r="AN41" s="282"/>
      <c r="AO41" s="282">
        <f>INDEX('qtrP&amp;L'!$203:$203,MATCH(AL$7,'qtrP&amp;L'!$6:$6,0))</f>
        <v>154.22753</v>
      </c>
      <c r="AP41" s="282"/>
      <c r="AQ41" s="282">
        <f>INDEX('qtrP&amp;L'!$200:$200,MATCH(AQ$7,'qtrP&amp;L'!$6:$6,0))</f>
        <v>152</v>
      </c>
      <c r="AR41" s="282">
        <f>INDEX('qtrP&amp;L'!$201:$201,MATCH(AQ$7,'qtrP&amp;L'!$6:$6,0))</f>
        <v>149</v>
      </c>
      <c r="AS41" s="282">
        <f>INDEX('qtrP&amp;L'!$202:$202,MATCH(AQ$7,'qtrP&amp;L'!$6:$6,0))</f>
        <v>144.49</v>
      </c>
      <c r="AT41" s="282">
        <f>INDEX('qtrP&amp;L'!$203:$203,MATCH(AQ$7,'qtrP&amp;L'!$6:$6,0))</f>
        <v>141.876</v>
      </c>
      <c r="AU41" s="282"/>
      <c r="AV41" s="282">
        <f>INDEX('qtrP&amp;L'!$200:$200,MATCH(AV$7,'qtrP&amp;L'!$6:$6,0))</f>
        <v>141.845</v>
      </c>
      <c r="AW41" s="282">
        <f>INDEX('qtrP&amp;L'!$201:$201,MATCH(AV$7,'qtrP&amp;L'!$6:$6,0))</f>
        <v>139.34200000000001</v>
      </c>
      <c r="AX41" s="282">
        <f>INDEX('qtrP&amp;L'!$202:$202,MATCH(AV$7,'qtrP&amp;L'!$6:$6,0))</f>
        <v>136.72200000000001</v>
      </c>
      <c r="AY41" s="282">
        <f>INDEX('qtrP&amp;L'!$203:$203,MATCH(AV$7,'qtrP&amp;L'!$6:$6,0))</f>
        <v>133.482</v>
      </c>
      <c r="AZ41" s="282"/>
      <c r="BA41" s="282">
        <f>INDEX('qtrP&amp;L'!$200:$200,MATCH(BA$7,'qtrP&amp;L'!$6:$6,0))</f>
        <v>131.16499999999999</v>
      </c>
      <c r="BB41" s="282">
        <f>INDEX('qtrP&amp;L'!$201:$201,MATCH(BA$7,'qtrP&amp;L'!$6:$6,0))</f>
        <v>129.66999999999999</v>
      </c>
      <c r="BC41" s="282">
        <f>INDEX('qtrP&amp;L'!$202:$202,MATCH(BA$7,'qtrP&amp;L'!$6:$6,0))</f>
        <v>129.315</v>
      </c>
      <c r="BD41" s="282">
        <f>INDEX('qtrP&amp;L'!$203:$203,MATCH(BA$7,'qtrP&amp;L'!$6:$6,0))</f>
        <v>133.90299999999999</v>
      </c>
      <c r="BE41" s="282"/>
      <c r="BF41" s="282">
        <f>INDEX('qtrP&amp;L'!$200:$200,MATCH(BF$7,'qtrP&amp;L'!$6:$6,0))</f>
        <v>267.71199999999999</v>
      </c>
      <c r="BG41" s="282">
        <f>INDEX('qtrP&amp;L'!$201:$201,MATCH(BF$7,'qtrP&amp;L'!$6:$6,0))</f>
        <v>268.01600000000002</v>
      </c>
      <c r="BH41" s="282">
        <f>INDEX('qtrP&amp;L'!$202:$202,MATCH(BF$7,'qtrP&amp;L'!$6:$6,0))</f>
        <v>268.298</v>
      </c>
      <c r="BI41" s="282">
        <f>INDEX('qtrP&amp;L'!$203:$203,MATCH(BF$7,'qtrP&amp;L'!$6:$6,0))</f>
        <v>268.79399999999998</v>
      </c>
      <c r="BJ41" s="282"/>
      <c r="BK41" s="282">
        <f>INDEX('qtrP&amp;L'!$200:$200,MATCH(BK$7,'qtrP&amp;L'!$6:$6,0))</f>
        <v>269.404</v>
      </c>
      <c r="BL41" s="282">
        <f>INDEX('qtrP&amp;L'!$201:$201,MATCH(BK$7,'qtrP&amp;L'!$6:$6,0))</f>
        <v>270.13200000000001</v>
      </c>
      <c r="BM41" s="282">
        <f>INDEX('qtrP&amp;L'!$202:$202,MATCH(BK$7,'qtrP&amp;L'!$6:$6,0))</f>
        <v>270.416</v>
      </c>
      <c r="BN41" s="282">
        <f>INDEX('qtrP&amp;L'!$203:$203,MATCH(BK$7,'qtrP&amp;L'!$6:$6,0))</f>
        <v>270.87599999999998</v>
      </c>
      <c r="BO41" s="282"/>
      <c r="BP41" s="282">
        <f>INDEX('qtrP&amp;L'!$200:$200,MATCH(BP$7,'qtrP&amp;L'!$6:$6,0))</f>
        <v>271.15600000000001</v>
      </c>
      <c r="BQ41" s="282">
        <f>INDEX('qtrP&amp;L'!$201:$201,MATCH(BP$7,'qtrP&amp;L'!$6:$6,0))</f>
        <v>271.68799999999999</v>
      </c>
      <c r="BR41" s="282">
        <f>INDEX('qtrP&amp;L'!$202:$202,MATCH(BP$7,'qtrP&amp;L'!$6:$6,0))</f>
        <v>272.608</v>
      </c>
      <c r="BS41" s="282">
        <f>INDEX('qtrP&amp;L'!$203:$203,MATCH(BP$7,'qtrP&amp;L'!$6:$6,0))</f>
        <v>275.19799999999998</v>
      </c>
      <c r="BT41" s="282"/>
      <c r="BU41" s="282">
        <f>INDEX('qtrP&amp;L'!$200:$200,MATCH(BU$7,'qtrP&amp;L'!$6:$6,0))</f>
        <v>278.22000000000003</v>
      </c>
      <c r="BV41" s="282">
        <f>INDEX('qtrP&amp;L'!$201:$201,MATCH(BU$7,'qtrP&amp;L'!$6:$6,0))</f>
        <v>281.47000000000003</v>
      </c>
      <c r="BW41" s="282">
        <f>INDEX('qtrP&amp;L'!$202:$202,MATCH(BU$7,'qtrP&amp;L'!$6:$6,0))</f>
        <v>281.39499999999998</v>
      </c>
      <c r="BX41" s="282">
        <f>INDEX('qtrP&amp;L'!$203:$203,MATCH(BU$7,'qtrP&amp;L'!$6:$6,0))</f>
        <v>274.89</v>
      </c>
      <c r="BY41" s="282"/>
      <c r="BZ41" s="282">
        <f>INDEX('qtrP&amp;L'!$200:$200,MATCH(BZ$7,'qtrP&amp;L'!$6:$6,0))</f>
        <v>273.07</v>
      </c>
      <c r="CA41" s="282">
        <f>INDEX('qtrP&amp;L'!$201:$201,MATCH(BZ$7,'qtrP&amp;L'!$6:$6,0))</f>
        <v>273.37900000000002</v>
      </c>
      <c r="CB41" s="282">
        <f>INDEX('qtrP&amp;L'!$202:$202,MATCH(BZ$7,'qtrP&amp;L'!$6:$6,0))</f>
        <v>271.59899999999999</v>
      </c>
      <c r="CC41" s="282">
        <f>INDEX('qtrP&amp;L'!$203:$203,MATCH(BZ$7,'qtrP&amp;L'!$6:$6,0))</f>
        <v>269.78300000000002</v>
      </c>
      <c r="CD41" s="282"/>
      <c r="CE41" s="282">
        <f>INDEX('qtrP&amp;L'!$200:$200,MATCH(CE$7,'qtrP&amp;L'!$6:$6,0))</f>
        <v>267.49</v>
      </c>
      <c r="CF41" s="282">
        <f>INDEX('qtrP&amp;L'!$201:$201,MATCH(CE$7,'qtrP&amp;L'!$6:$6,0))</f>
        <v>261.512</v>
      </c>
      <c r="CG41" s="282">
        <f>INDEX('qtrP&amp;L'!$202:$202,MATCH(CE$7,'qtrP&amp;L'!$6:$6,0))</f>
        <v>256.75700000000001</v>
      </c>
      <c r="CH41" s="282">
        <f>INDEX('qtrP&amp;L'!$203:$203,MATCH(CE$7,'qtrP&amp;L'!$6:$6,0))</f>
        <v>257.25900000000001</v>
      </c>
      <c r="CI41" s="282"/>
      <c r="CJ41" s="282">
        <f>INDEX('qtrP&amp;L'!$200:$200,MATCH(CJ$7,'qtrP&amp;L'!$6:$6,0))</f>
        <v>257.94799999999998</v>
      </c>
      <c r="CK41" s="282">
        <f>INDEX('qtrP&amp;L'!$201:$201,MATCH(CJ$7,'qtrP&amp;L'!$6:$6,0))</f>
        <v>251.02199999999999</v>
      </c>
      <c r="CL41" s="282">
        <f>INDEX('qtrP&amp;L'!$202:$202,MATCH(CJ$7,'qtrP&amp;L'!$6:$6,0))</f>
        <v>241.52099999999999</v>
      </c>
      <c r="CM41" s="282">
        <f>INDEX('qtrP&amp;L'!$203:$203,MATCH(CJ$7,'qtrP&amp;L'!$6:$6,0))</f>
        <v>229</v>
      </c>
      <c r="CN41" s="282"/>
      <c r="CO41" s="282">
        <f>INDEX('qtrP&amp;L'!$200:$200,MATCH(CO$7,'qtrP&amp;L'!$6:$6,0))</f>
        <v>218.6</v>
      </c>
      <c r="CP41" s="282">
        <f>INDEX('qtrP&amp;L'!$201:$201,MATCH(CO$7,'qtrP&amp;L'!$6:$6,0))</f>
        <v>216.5</v>
      </c>
      <c r="CQ41" s="282">
        <f>INDEX('qtrP&amp;L'!$202:$202,MATCH(CO$7,'qtrP&amp;L'!$6:$6,0))</f>
        <v>215.6</v>
      </c>
      <c r="CR41" s="282">
        <f>INDEX('qtrP&amp;L'!$203:$203,MATCH(CO$7,'qtrP&amp;L'!$6:$6,0))</f>
        <v>215.6</v>
      </c>
      <c r="CS41" s="282"/>
      <c r="CT41" s="282">
        <f>INDEX('qtrP&amp;L'!$200:$200,MATCH(CT$7,'qtrP&amp;L'!$6:$6,0))</f>
        <v>215.9</v>
      </c>
      <c r="CU41" s="282">
        <f>INDEX('qtrP&amp;L'!$201:$201,MATCH(CT$7,'qtrP&amp;L'!$6:$6,0))</f>
        <v>215.5</v>
      </c>
      <c r="CV41" s="282">
        <f>INDEX('qtrP&amp;L'!$202:$202,MATCH(CT$7,'qtrP&amp;L'!$6:$6,0))</f>
        <v>217.1</v>
      </c>
      <c r="CW41" s="282">
        <f>INDEX('qtrP&amp;L'!$203:$203,MATCH(CT$7,'qtrP&amp;L'!$6:$6,0))</f>
        <v>217.7</v>
      </c>
      <c r="CX41" s="282"/>
      <c r="CY41" s="317">
        <f>INDEX('qtrP&amp;L'!$200:$200,MATCH(CY$7,'qtrP&amp;L'!$6:$6,0))</f>
        <v>218.4</v>
      </c>
      <c r="CZ41" s="317">
        <f>INDEX('qtrP&amp;L'!$201:$201,MATCH(CY$7,'qtrP&amp;L'!$6:$6,0))</f>
        <v>219.2</v>
      </c>
      <c r="DA41" s="317">
        <f>INDEX('qtrP&amp;L'!$202:$202,MATCH(CY$7,'qtrP&amp;L'!$6:$6,0))</f>
        <v>219</v>
      </c>
      <c r="DB41" s="317">
        <f>INDEX('qtrP&amp;L'!$203:$203,MATCH(CY$7,'qtrP&amp;L'!$6:$6,0))</f>
        <v>218.8</v>
      </c>
      <c r="DC41" s="317"/>
      <c r="DD41" s="317">
        <f>INDEX('qtrP&amp;L'!$200:$200,MATCH(DD$7,'qtrP&amp;L'!$6:$6,0))</f>
        <v>219</v>
      </c>
      <c r="DE41" s="317">
        <f>INDEX('qtrP&amp;L'!$201:$201,MATCH(DD$7,'qtrP&amp;L'!$6:$6,0))</f>
        <v>215.9</v>
      </c>
      <c r="DF41" s="317">
        <f>INDEX('qtrP&amp;L'!$202:$202,MATCH(DD$7,'qtrP&amp;L'!$6:$6,0))</f>
        <v>210.9</v>
      </c>
      <c r="DG41" s="317">
        <f>INDEX('qtrP&amp;L'!$203:$203,MATCH(DD$7,'qtrP&amp;L'!$6:$6,0))</f>
        <v>208.2</v>
      </c>
      <c r="DH41" s="317"/>
      <c r="DI41" s="317">
        <f>INDEX('qtrP&amp;L'!$200:$200,MATCH(DI$7,'qtrP&amp;L'!$6:$6,0))</f>
        <v>207.3</v>
      </c>
      <c r="DJ41" s="317">
        <f>INDEX('qtrP&amp;L'!$201:$201,MATCH(DI$7,'qtrP&amp;L'!$6:$6,0))</f>
        <v>205.2</v>
      </c>
      <c r="DK41" s="317">
        <f>INDEX('qtrP&amp;L'!$202:$202,MATCH(DI$7,'qtrP&amp;L'!$6:$6,0))</f>
        <v>200.9</v>
      </c>
      <c r="DL41" s="317">
        <f>INDEX('qtrP&amp;L'!$203:$203,MATCH(DI$7,'qtrP&amp;L'!$6:$6,0))</f>
        <v>198.9</v>
      </c>
      <c r="DM41" s="317"/>
      <c r="DN41" s="317">
        <f>INDEX('qtrP&amp;L'!$200:$200,MATCH(DN$7,'qtrP&amp;L'!$6:$6,0))</f>
        <v>195.6</v>
      </c>
      <c r="DO41" s="317">
        <f>INDEX('qtrP&amp;L'!$201:$201,MATCH(DN$7,'qtrP&amp;L'!$6:$6,0))</f>
        <v>195.5</v>
      </c>
      <c r="DP41" s="317">
        <f>INDEX('qtrP&amp;L'!$202:$202,MATCH(DN$7,'qtrP&amp;L'!$6:$6,0))</f>
        <v>194.3</v>
      </c>
      <c r="DQ41" s="317">
        <f>INDEX('qtrP&amp;L'!$203:$203,MATCH(DN$7,'qtrP&amp;L'!$6:$6,0))</f>
        <v>192.7</v>
      </c>
      <c r="DR41" s="317"/>
      <c r="DS41" s="317">
        <f>INDEX('qtrP&amp;L'!$200:$200,MATCH(DS$7,'qtrP&amp;L'!$6:$6,0))</f>
        <v>189.8</v>
      </c>
      <c r="DT41" s="317">
        <f>INDEX('qtrP&amp;L'!$201:$201,MATCH(DS$7,'qtrP&amp;L'!$6:$6,0))</f>
        <v>189.6</v>
      </c>
      <c r="DU41" s="317">
        <f>INDEX('qtrP&amp;L'!$202:$202,MATCH(DS$7,'qtrP&amp;L'!$6:$6,0))</f>
        <v>190.7</v>
      </c>
      <c r="DV41" s="317">
        <f>INDEX('qtrP&amp;L'!$203:$203,MATCH(DS$7,'qtrP&amp;L'!$6:$6,0))</f>
        <v>189.9</v>
      </c>
      <c r="DW41" s="317"/>
      <c r="DX41" s="317">
        <f>INDEX('qtrP&amp;L'!$200:$200,MATCH(DX$7,'qtrP&amp;L'!$6:$6,0))</f>
        <v>190.6</v>
      </c>
      <c r="DY41" s="317">
        <f>INDEX('qtrP&amp;L'!$201:$201,MATCH(DX$7,'qtrP&amp;L'!$6:$6,0))</f>
        <v>189.4</v>
      </c>
      <c r="DZ41" s="317">
        <f>INDEX('qtrP&amp;L'!$202:$202,MATCH(DX$7,'qtrP&amp;L'!$6:$6,0))</f>
        <v>187.2</v>
      </c>
      <c r="EA41" s="317">
        <f>INDEX('qtrP&amp;L'!$203:$203,MATCH(DX$7,'qtrP&amp;L'!$6:$6,0))</f>
        <v>178.1</v>
      </c>
      <c r="EB41" s="317"/>
      <c r="EC41" s="317">
        <f>INDEX('qtrP&amp;L'!$200:$200,MATCH(EC$7,'qtrP&amp;L'!$6:$6,0))</f>
        <v>173.1</v>
      </c>
      <c r="ED41" s="317">
        <f>INDEX('qtrP&amp;L'!$201:$201,MATCH(EC$7,'qtrP&amp;L'!$6:$6,0))</f>
        <v>173.5</v>
      </c>
      <c r="EE41" s="317">
        <f>INDEX('qtrP&amp;L'!$202:$202,MATCH(EC$7,'qtrP&amp;L'!$6:$6,0))</f>
        <v>173.4</v>
      </c>
      <c r="EF41" s="317">
        <f>INDEX('qtrP&amp;L'!$203:$203,MATCH(EC$7,'qtrP&amp;L'!$6:$6,0))</f>
        <v>172.7</v>
      </c>
      <c r="EH41" s="317">
        <f>INDEX('qtrP&amp;L'!$200:$200,MATCH(EH$7,'qtrP&amp;L'!$6:$6,0))</f>
        <v>167.3</v>
      </c>
      <c r="EI41" s="317">
        <f>INDEX('qtrP&amp;L'!$201:$201,MATCH(EH$7,'qtrP&amp;L'!$6:$6,0))</f>
        <v>166.4</v>
      </c>
      <c r="EJ41" s="317">
        <f>INDEX('qtrP&amp;L'!$202:$202,MATCH(EH$7,'qtrP&amp;L'!$6:$6,0))</f>
        <v>166.6</v>
      </c>
      <c r="EK41" s="317">
        <f>INDEX('qtrP&amp;L'!$203:$203,MATCH(EH$7,'qtrP&amp;L'!$6:$6,0))</f>
        <v>166.9</v>
      </c>
      <c r="EL41" s="317"/>
      <c r="EM41" s="317">
        <f>INDEX('qtrP&amp;L'!$200:$200,MATCH(EM$7,'qtrP&amp;L'!$6:$6,0))</f>
        <v>164.9</v>
      </c>
      <c r="EN41" s="317">
        <f>INDEX('qtrP&amp;L'!$201:$201,MATCH(EM$7,'qtrP&amp;L'!$6:$6,0))</f>
        <v>162.9</v>
      </c>
      <c r="EO41" s="317">
        <f>INDEX('qtrP&amp;L'!$202:$202,MATCH(EM$7,'qtrP&amp;L'!$6:$6,0))</f>
        <v>160.9</v>
      </c>
      <c r="EP41" s="317">
        <f>INDEX('qtrP&amp;L'!$203:$203,MATCH(EM$7,'qtrP&amp;L'!$6:$6,0))</f>
        <v>159.9</v>
      </c>
      <c r="EQ41" s="317"/>
      <c r="ER41" s="277"/>
      <c r="ES41" s="317"/>
      <c r="ET41" s="317"/>
      <c r="EU41" s="317"/>
      <c r="EV41" s="317"/>
      <c r="EW41" s="317"/>
      <c r="EX41" s="317"/>
      <c r="EY41" s="317">
        <f>INDEX('qtrP&amp;L'!$204:$204,MATCH(EY$7,'qtrP&amp;L'!$6:$6,0))</f>
        <v>161.697968</v>
      </c>
      <c r="EZ41" s="317">
        <f>INDEX('qtrP&amp;L'!$204:$204,MATCH(EZ$7,'qtrP&amp;L'!$6:$6,0))</f>
        <v>154.97255999999999</v>
      </c>
      <c r="FA41" s="317">
        <f>INDEX('qtrP&amp;L'!$204:$204,MATCH(FA$7,'qtrP&amp;L'!$6:$6,0))</f>
        <v>146.8415</v>
      </c>
      <c r="FB41" s="317">
        <f>INDEX('qtrP&amp;L'!$204:$204,MATCH(FB$7,'qtrP&amp;L'!$6:$6,0))</f>
        <v>137.84774999999999</v>
      </c>
      <c r="FC41" s="317">
        <f>INDEX('qtrP&amp;L'!$204:$204,MATCH(FC$7,'qtrP&amp;L'!$6:$6,0))</f>
        <v>131.01325</v>
      </c>
      <c r="FD41" s="317">
        <f>INDEX('qtrP&amp;L'!$204:$204,MATCH(FD$7,'qtrP&amp;L'!$6:$6,0))</f>
        <v>268.20499999999998</v>
      </c>
      <c r="FE41" s="317">
        <f>INDEX('qtrP&amp;L'!$204:$204,MATCH(FE$7,'qtrP&amp;L'!$6:$6,0))</f>
        <v>270.20699999999999</v>
      </c>
      <c r="FF41" s="317">
        <f>INDEX('qtrP&amp;L'!$204:$204,MATCH(FF$7,'qtrP&amp;L'!$6:$6,0))</f>
        <v>272.66250000000002</v>
      </c>
      <c r="FG41" s="317">
        <f>INDEX('qtrP&amp;L'!$204:$204,MATCH(FG$7,'qtrP&amp;L'!$6:$6,0))</f>
        <v>278.99374999999998</v>
      </c>
      <c r="FH41" s="317">
        <f>INDEX('qtrP&amp;L'!$204:$204,MATCH(FH$7,'qtrP&amp;L'!$6:$6,0))</f>
        <v>271.95800000000003</v>
      </c>
      <c r="FI41" s="318">
        <f>INDEX('qtrP&amp;L'!$204:$204,MATCH(FI$7,'qtrP&amp;L'!$6:$6,0))</f>
        <v>260.75450000000001</v>
      </c>
      <c r="FJ41" s="318">
        <f>INDEX('qtrP&amp;L'!$204:$204,MATCH(FJ$7,'qtrP&amp;L'!$6:$6,0))</f>
        <v>244.87275</v>
      </c>
      <c r="FK41" s="317">
        <f>INDEX('qtrP&amp;L'!$204:$204,MATCH(FK$7,'qtrP&amp;L'!$6:$6,0))</f>
        <v>216.57499999999999</v>
      </c>
      <c r="FL41" s="317">
        <f>INDEX('qtrP&amp;L'!$204:$204,MATCH(FL$7,'qtrP&amp;L'!$6:$6,0))</f>
        <v>216.55</v>
      </c>
      <c r="FM41" s="318">
        <f>INDEX('qtrP&amp;L'!$204:$204,MATCH(FM$7,'qtrP&amp;L'!$6:$6,0))</f>
        <v>218.85</v>
      </c>
      <c r="FN41" s="317">
        <f>INDEX('qtrP&amp;L'!$204:$204,MATCH(FN$7,'qtrP&amp;L'!$6:$6,0))</f>
        <v>213.5</v>
      </c>
      <c r="FO41" s="317">
        <f>INDEX('qtrP&amp;L'!$204:$204,MATCH(FO$7,'qtrP&amp;L'!$6:$6,0))</f>
        <v>203</v>
      </c>
      <c r="FP41" s="317">
        <f>INDEX('qtrP&amp;L'!$204:$204,MATCH(FP$7,'qtrP&amp;L'!$6:$6,0))</f>
        <v>194.5</v>
      </c>
      <c r="FQ41" s="317">
        <f>INDEX('qtrP&amp;L'!$204:$204,MATCH(FQ$7,'qtrP&amp;L'!$6:$6,0))</f>
        <v>190</v>
      </c>
      <c r="FR41" s="317">
        <f>INDEX('qtrP&amp;L'!$204:$204,MATCH(FR$7,'qtrP&amp;L'!$6:$6,0))</f>
        <v>186.3</v>
      </c>
      <c r="FS41" s="317">
        <f>INDEX('qtrP&amp;L'!$204:$204,MATCH(FS$7,'qtrP&amp;L'!$6:$6,0))</f>
        <v>173.17500000000001</v>
      </c>
      <c r="FT41" s="317">
        <f>INDEX('qtrP&amp;L'!$204:$204,MATCH(FT$7,'qtrP&amp;L'!$6:$6,0))</f>
        <v>166.8</v>
      </c>
      <c r="FU41" s="319">
        <f>FT41+(FU42-FT42)</f>
        <v>159.80000000000001</v>
      </c>
      <c r="FV41" s="319">
        <f>FU41+(FV42-FU42)</f>
        <v>154.30000000000001</v>
      </c>
      <c r="FW41" s="321">
        <f>FV41+(FW42-FV42)</f>
        <v>149.80000000000001</v>
      </c>
      <c r="FX41" s="319">
        <f>FW41+(FX42-FW42)</f>
        <v>145.30000000000001</v>
      </c>
      <c r="FY41" s="321">
        <f>FX41+(FY42-FX42)</f>
        <v>140.80000000000001</v>
      </c>
      <c r="FZ41" s="319"/>
      <c r="GA41" s="319"/>
      <c r="GB41" s="319"/>
      <c r="GC41" s="319"/>
      <c r="GD41" s="319"/>
      <c r="GE41"/>
      <c r="GF41"/>
      <c r="GG41"/>
      <c r="GH41"/>
      <c r="GI41"/>
      <c r="GJ41"/>
      <c r="GO41" s="239"/>
      <c r="GP41" s="239"/>
      <c r="GQ41" s="239"/>
      <c r="GR41" s="239"/>
      <c r="GS41" s="239"/>
      <c r="GT41" s="239"/>
      <c r="GU41" s="239"/>
      <c r="GV41" s="239"/>
      <c r="GW41" s="239"/>
      <c r="GX41" s="239"/>
      <c r="GY41" s="239"/>
      <c r="GZ41" s="239"/>
      <c r="HA41" s="239"/>
      <c r="HB41" s="239"/>
      <c r="HC41" s="239"/>
      <c r="HD41" s="239"/>
      <c r="HE41" s="239"/>
      <c r="HF41" s="239"/>
      <c r="HG41" s="239"/>
      <c r="HH41" s="239"/>
      <c r="HI41" s="239"/>
      <c r="HJ41" s="239"/>
      <c r="HK41" s="239"/>
      <c r="HL41" s="239"/>
      <c r="HM41" s="239"/>
      <c r="HN41" s="239"/>
      <c r="HO41" s="239"/>
      <c r="HP41" s="239"/>
      <c r="HQ41" s="239"/>
      <c r="HR41" s="239"/>
      <c r="HS41" s="239"/>
      <c r="HT41" s="239"/>
      <c r="HU41" s="239"/>
      <c r="HV41" s="239"/>
      <c r="HW41" s="239"/>
      <c r="HX41" s="239"/>
      <c r="HY41" s="239"/>
      <c r="HZ41" s="239"/>
      <c r="IA41" s="239"/>
      <c r="IB41" s="239"/>
      <c r="IC41" s="239"/>
      <c r="ID41" s="239"/>
      <c r="IE41" s="239"/>
      <c r="IF41" s="239"/>
      <c r="IG41" s="239"/>
      <c r="IH41" s="239"/>
      <c r="II41" s="239"/>
      <c r="IJ41" s="239"/>
      <c r="IK41" s="239"/>
      <c r="IL41" s="239"/>
      <c r="IM41" s="239"/>
      <c r="IN41" s="239"/>
      <c r="IO41" s="239"/>
      <c r="IP41" s="239"/>
      <c r="IQ41" s="239"/>
      <c r="IR41" s="239"/>
      <c r="IS41" s="239"/>
      <c r="IT41" s="239"/>
      <c r="IU41" s="239"/>
      <c r="IV41" s="239"/>
      <c r="IW41" s="239"/>
      <c r="IX41" s="239"/>
      <c r="IY41" s="239"/>
      <c r="IZ41" s="239"/>
      <c r="JA41" s="239"/>
      <c r="JB41" s="239"/>
      <c r="JC41" s="239"/>
      <c r="JD41" s="239"/>
      <c r="JE41" s="239"/>
      <c r="JF41" s="239"/>
      <c r="JG41" s="239"/>
      <c r="JH41" s="239"/>
      <c r="JI41" s="239"/>
      <c r="JJ41" s="239"/>
    </row>
    <row r="42" spans="1:270" s="249" customFormat="1" hidden="1" outlineLevel="1" x14ac:dyDescent="0.2">
      <c r="A42" s="276" t="s">
        <v>168</v>
      </c>
      <c r="C42" s="282"/>
      <c r="D42" s="282"/>
      <c r="E42" s="282"/>
      <c r="F42" s="282"/>
      <c r="G42" s="282"/>
      <c r="H42" s="282"/>
      <c r="I42" s="282"/>
      <c r="J42" s="282"/>
      <c r="K42" s="282"/>
      <c r="L42" s="282"/>
      <c r="M42" s="282"/>
      <c r="N42" s="282"/>
      <c r="O42" s="282"/>
      <c r="P42" s="282"/>
      <c r="Q42" s="282"/>
      <c r="R42" s="282"/>
      <c r="S42" s="282"/>
      <c r="T42" s="282"/>
      <c r="U42" s="282"/>
      <c r="V42" s="282"/>
      <c r="W42" s="282"/>
      <c r="X42" s="282"/>
      <c r="Y42" s="282"/>
      <c r="Z42" s="282"/>
      <c r="AA42" s="282"/>
      <c r="AB42" s="282"/>
      <c r="AC42" s="282"/>
      <c r="AD42" s="282"/>
      <c r="AE42" s="282"/>
      <c r="AF42" s="282"/>
      <c r="AG42" s="282"/>
      <c r="AH42" s="282"/>
      <c r="AI42" s="282"/>
      <c r="AJ42" s="282"/>
      <c r="AK42" s="282"/>
      <c r="AL42" s="282"/>
      <c r="AM42" s="282"/>
      <c r="AN42" s="282"/>
      <c r="AO42" s="282"/>
      <c r="AP42" s="282"/>
      <c r="AQ42" s="282"/>
      <c r="AR42" s="282"/>
      <c r="AS42" s="282"/>
      <c r="AT42" s="282"/>
      <c r="AU42" s="282"/>
      <c r="AV42" s="282"/>
      <c r="AW42" s="282"/>
      <c r="AX42" s="282"/>
      <c r="AY42" s="282"/>
      <c r="AZ42" s="282"/>
      <c r="BA42" s="282"/>
      <c r="BB42" s="282"/>
      <c r="BC42" s="282"/>
      <c r="BD42" s="282"/>
      <c r="BE42" s="282"/>
      <c r="BF42" s="282">
        <f>INDEX('qtrP&amp;L'!$210:$210,MATCH(BF$7,'qtrP&amp;L'!$6:$6,0))</f>
        <v>268.02640000000002</v>
      </c>
      <c r="BG42" s="282">
        <f>INDEX('qtrP&amp;L'!$211:$211,MATCH(BF$7,'qtrP&amp;L'!$6:$6,0))</f>
        <v>268.14880399999998</v>
      </c>
      <c r="BH42" s="282">
        <f>INDEX('qtrP&amp;L'!$212:$212,MATCH(BF$7,'qtrP&amp;L'!$6:$6,0))</f>
        <v>268.81585999999999</v>
      </c>
      <c r="BI42" s="282">
        <f>INDEX('qtrP&amp;L'!$214:$214,MATCH(BF$7,'qtrP&amp;L'!$6:$6,0))</f>
        <v>268.93721599999998</v>
      </c>
      <c r="BJ42" s="282"/>
      <c r="BK42" s="282">
        <f>INDEX('qtrP&amp;L'!$210:$210,MATCH(BK$7,'qtrP&amp;L'!$6:$6,0))</f>
        <v>270.14165800000001</v>
      </c>
      <c r="BL42" s="282">
        <f>INDEX('qtrP&amp;L'!$211:$211,MATCH(BK$7,'qtrP&amp;L'!$6:$6,0))</f>
        <v>270.22471999999999</v>
      </c>
      <c r="BM42" s="282">
        <f>INDEX('qtrP&amp;L'!$212:$212,MATCH(BK$7,'qtrP&amp;L'!$6:$6,0))</f>
        <v>270.87322999999998</v>
      </c>
      <c r="BN42" s="282">
        <f>INDEX('qtrP&amp;L'!$214:$214,MATCH(BK$7,'qtrP&amp;L'!$6:$6,0))</f>
        <v>270.888082</v>
      </c>
      <c r="BO42" s="282"/>
      <c r="BP42" s="282">
        <f>INDEX('qtrP&amp;L'!$210:$210,MATCH(BP$7,'qtrP&amp;L'!$6:$6,0))</f>
        <v>271.66427199999998</v>
      </c>
      <c r="BQ42" s="282">
        <f>INDEX('qtrP&amp;L'!$211:$211,MATCH(BP$7,'qtrP&amp;L'!$6:$6,0))</f>
        <v>272.13190800000001</v>
      </c>
      <c r="BR42" s="282">
        <f>INDEX('qtrP&amp;L'!$212:$212,MATCH(BP$7,'qtrP&amp;L'!$6:$6,0))</f>
        <v>274.87046199999997</v>
      </c>
      <c r="BS42" s="282">
        <f>INDEX('qtrP&amp;L'!$214:$214,MATCH(BP$7,'qtrP&amp;L'!$6:$6,0))</f>
        <v>276.75333799999999</v>
      </c>
      <c r="BT42" s="282"/>
      <c r="BU42" s="282">
        <f>INDEX('qtrP&amp;L'!$210:$210,MATCH(BU$7,'qtrP&amp;L'!$6:$6,0))</f>
        <v>280.84526</v>
      </c>
      <c r="BV42" s="282">
        <f>INDEX('qtrP&amp;L'!$211:$211,MATCH(BU$7,'qtrP&amp;L'!$6:$6,0))</f>
        <v>281.39999999999998</v>
      </c>
      <c r="BW42" s="282">
        <f>INDEX('qtrP&amp;L'!$212:$212,MATCH(BU$7,'qtrP&amp;L'!$6:$6,0))</f>
        <v>280.15364599999998</v>
      </c>
      <c r="BX42" s="282">
        <f>INDEX('qtrP&amp;L'!$214:$214,MATCH(BU$7,'qtrP&amp;L'!$6:$6,0))</f>
        <v>273.57404000000002</v>
      </c>
      <c r="BY42" s="282"/>
      <c r="BZ42" s="282">
        <f>INDEX('qtrP&amp;L'!$210:$210,MATCH(BZ$7,'qtrP&amp;L'!$6:$6,0))</f>
        <v>273.11799999999999</v>
      </c>
      <c r="CA42" s="282">
        <f>INDEX('qtrP&amp;L'!$211:$211,MATCH(BZ$7,'qtrP&amp;L'!$6:$6,0))</f>
        <v>273.35199999999998</v>
      </c>
      <c r="CB42" s="282">
        <f>INDEX('qtrP&amp;L'!$212:$212,MATCH(BZ$7,'qtrP&amp;L'!$6:$6,0))</f>
        <v>269.69</v>
      </c>
      <c r="CC42" s="282">
        <f>INDEX('qtrP&amp;L'!$214:$214,MATCH(BZ$7,'qtrP&amp;L'!$6:$6,0))</f>
        <v>269.54899999999998</v>
      </c>
      <c r="CD42" s="282"/>
      <c r="CE42" s="282">
        <f>INDEX('qtrP&amp;L'!$210:$210,MATCH(CE$7,'qtrP&amp;L'!$6:$6,0))</f>
        <v>265.86500000000001</v>
      </c>
      <c r="CF42" s="282">
        <f>INDEX('qtrP&amp;L'!$211:$211,MATCH(CE$7,'qtrP&amp;L'!$6:$6,0))</f>
        <v>256.5</v>
      </c>
      <c r="CG42" s="282">
        <f>INDEX('qtrP&amp;L'!$212:$212,MATCH(CE$7,'qtrP&amp;L'!$6:$6,0))</f>
        <v>256.904</v>
      </c>
      <c r="CH42" s="282">
        <f>INDEX('qtrP&amp;L'!$214:$214,MATCH(CE$7,'qtrP&amp;L'!$6:$6,0))</f>
        <v>257.53500000000003</v>
      </c>
      <c r="CI42" s="282"/>
      <c r="CJ42" s="282">
        <f>INDEX('qtrP&amp;L'!$210:$210,MATCH(CJ$7,'qtrP&amp;L'!$6:$6,0))</f>
        <v>258.10000000000002</v>
      </c>
      <c r="CK42" s="282">
        <f>INDEX('qtrP&amp;L'!$211:$211,MATCH(CJ$7,'qtrP&amp;L'!$6:$6,0))</f>
        <v>247.5</v>
      </c>
      <c r="CL42" s="282">
        <f>INDEX('qtrP&amp;L'!$212:$212,MATCH(CJ$7,'qtrP&amp;L'!$6:$6,0))</f>
        <v>232</v>
      </c>
      <c r="CM42" s="282">
        <f>INDEX('qtrP&amp;L'!$214:$214,MATCH(CJ$7,'qtrP&amp;L'!$6:$6,0))</f>
        <v>220.9</v>
      </c>
      <c r="CN42" s="282"/>
      <c r="CO42" s="282">
        <f>INDEX('qtrP&amp;L'!$210:$210,MATCH(CO$7,'qtrP&amp;L'!$6:$6,0))</f>
        <v>216.9</v>
      </c>
      <c r="CP42" s="282">
        <f>INDEX('qtrP&amp;L'!$211:$211,MATCH(CO$7,'qtrP&amp;L'!$6:$6,0))</f>
        <v>215.6</v>
      </c>
      <c r="CQ42" s="282">
        <f>INDEX('qtrP&amp;L'!$212:$212,MATCH(CO$7,'qtrP&amp;L'!$6:$6,0))</f>
        <v>215.4</v>
      </c>
      <c r="CR42" s="282">
        <f>INDEX('qtrP&amp;L'!$214:$214,MATCH(CO$7,'qtrP&amp;L'!$6:$6,0))</f>
        <v>215.4</v>
      </c>
      <c r="CS42" s="282"/>
      <c r="CT42" s="282">
        <f>INDEX('qtrP&amp;L'!$210:$210,MATCH(CT$7,'qtrP&amp;L'!$6:$6,0))</f>
        <v>216.360015</v>
      </c>
      <c r="CU42" s="282">
        <f>INDEX('qtrP&amp;L'!$211:$211,MATCH(CT$7,'qtrP&amp;L'!$6:$6,0))</f>
        <v>216.4</v>
      </c>
      <c r="CV42" s="282">
        <f>INDEX('qtrP&amp;L'!$212:$212,MATCH(CT$7,'qtrP&amp;L'!$6:$6,0))</f>
        <v>217.3</v>
      </c>
      <c r="CW42" s="282">
        <f>INDEX('qtrP&amp;L'!$214:$214,MATCH(CT$7,'qtrP&amp;L'!$6:$6,0))</f>
        <v>217.7</v>
      </c>
      <c r="CX42" s="282"/>
      <c r="CY42" s="314">
        <f>INDEX('qtrP&amp;L'!$210:$210,MATCH(CY$7,'qtrP&amp;L'!$6:$6,0))</f>
        <v>218.9</v>
      </c>
      <c r="CZ42" s="314">
        <f>INDEX('qtrP&amp;L'!$211:$211,MATCH(CY$7,'qtrP&amp;L'!$6:$6,0))</f>
        <v>219.1</v>
      </c>
      <c r="DA42" s="314">
        <f>INDEX('qtrP&amp;L'!$212:$212,MATCH(CY$7,'qtrP&amp;L'!$6:$6,0))</f>
        <v>218.6</v>
      </c>
      <c r="DB42" s="314">
        <f>INDEX('qtrP&amp;L'!$214:$214,MATCH(CY$7,'qtrP&amp;L'!$6:$6,0))</f>
        <v>218</v>
      </c>
      <c r="DC42" s="314"/>
      <c r="DD42" s="314">
        <f>INDEX('qtrP&amp;L'!$210:$210,MATCH(DD$7,'qtrP&amp;L'!$6:$6,0))</f>
        <v>219.8</v>
      </c>
      <c r="DE42" s="314">
        <f>INDEX('qtrP&amp;L'!$211:$211,MATCH(DD$7,'qtrP&amp;L'!$6:$6,0))</f>
        <v>214.2</v>
      </c>
      <c r="DF42" s="314">
        <f>INDEX('qtrP&amp;L'!$212:$212,MATCH(DD$7,'qtrP&amp;L'!$6:$6,0))</f>
        <v>210.1</v>
      </c>
      <c r="DG42" s="314">
        <f>INDEX('qtrP&amp;L'!$214:$214,MATCH(DD$7,'qtrP&amp;L'!$6:$6,0))</f>
        <v>207.6</v>
      </c>
      <c r="DH42" s="314"/>
      <c r="DI42" s="314">
        <f>INDEX('qtrP&amp;L'!$210:$210,MATCH(DI$7,'qtrP&amp;L'!$6:$6,0))</f>
        <v>208.6</v>
      </c>
      <c r="DJ42" s="314">
        <f>INDEX('qtrP&amp;L'!$211:$211,MATCH(DI$7,'qtrP&amp;L'!$6:$6,0))</f>
        <v>201.1</v>
      </c>
      <c r="DK42" s="314">
        <f>INDEX('qtrP&amp;L'!$212:$212,MATCH(DI$7,'qtrP&amp;L'!$6:$6,0))</f>
        <v>200.7</v>
      </c>
      <c r="DL42" s="314">
        <f>INDEX('qtrP&amp;L'!$214:$214,MATCH(DI$7,'qtrP&amp;L'!$6:$6,0))</f>
        <v>197</v>
      </c>
      <c r="DM42" s="314"/>
      <c r="DN42" s="314">
        <f>INDEX('qtrP&amp;L'!$210:$210,MATCH(DN$7,'qtrP&amp;L'!$6:$6,0))</f>
        <v>195</v>
      </c>
      <c r="DO42" s="314">
        <f>INDEX('qtrP&amp;L'!$211:$211,MATCH(DN$7,'qtrP&amp;L'!$6:$6,0))</f>
        <v>195</v>
      </c>
      <c r="DP42" s="314">
        <f>INDEX('qtrP&amp;L'!$212:$212,MATCH(DN$7,'qtrP&amp;L'!$6:$6,0))</f>
        <v>195</v>
      </c>
      <c r="DQ42" s="314">
        <f>INDEX('qtrP&amp;L'!$214:$214,MATCH(DN$7,'qtrP&amp;L'!$6:$6,0))</f>
        <v>191.2</v>
      </c>
      <c r="DR42" s="314"/>
      <c r="DS42" s="314">
        <f>INDEX('qtrP&amp;L'!$210:$210,MATCH(DS$7,'qtrP&amp;L'!$6:$6,0))</f>
        <v>189.3</v>
      </c>
      <c r="DT42" s="314">
        <f>INDEX('qtrP&amp;L'!$211:$211,MATCH(DS$7,'qtrP&amp;L'!$6:$6,0))</f>
        <v>188.6</v>
      </c>
      <c r="DU42" s="314">
        <f>INDEX('qtrP&amp;L'!$212:$212,MATCH(DS$7,'qtrP&amp;L'!$6:$6,0))</f>
        <v>190.1</v>
      </c>
      <c r="DV42" s="314">
        <f>INDEX('qtrP&amp;L'!$214:$214,MATCH(DS$7,'qtrP&amp;L'!$6:$6,0))</f>
        <v>190.1</v>
      </c>
      <c r="DW42" s="314"/>
      <c r="DX42" s="314">
        <f>INDEX('qtrP&amp;L'!$210:$210,MATCH(DX$7,'qtrP&amp;L'!$6:$6,0))</f>
        <v>191</v>
      </c>
      <c r="DY42" s="314">
        <f>INDEX('qtrP&amp;L'!$211:$211,MATCH(DX$7,'qtrP&amp;L'!$6:$6,0))</f>
        <v>188.2</v>
      </c>
      <c r="DZ42" s="314">
        <f>INDEX('qtrP&amp;L'!$212:$212,MATCH(DX$7,'qtrP&amp;L'!$6:$6,0))</f>
        <v>185.4</v>
      </c>
      <c r="EA42" s="314">
        <f>INDEX('qtrP&amp;L'!$214:$214,MATCH(DX$7,'qtrP&amp;L'!$6:$6,0))</f>
        <v>173.5</v>
      </c>
      <c r="EB42" s="314"/>
      <c r="EC42" s="314">
        <f>INDEX('qtrP&amp;L'!$210:$210,MATCH(EC$7,'qtrP&amp;L'!$6:$6,0))</f>
        <v>173.4</v>
      </c>
      <c r="ED42" s="314">
        <f>INDEX('qtrP&amp;L'!$211:$211,MATCH(EC$7,'qtrP&amp;L'!$6:$6,0))</f>
        <v>173.3</v>
      </c>
      <c r="EE42" s="314">
        <f>INDEX('qtrP&amp;L'!$212:$212,MATCH(EC$7,'qtrP&amp;L'!$6:$6,0))</f>
        <v>173.2</v>
      </c>
      <c r="EF42" s="314">
        <f>INDEX('qtrP&amp;L'!$214:$214,MATCH(EC$7,'qtrP&amp;L'!$6:$6,0))</f>
        <v>170</v>
      </c>
      <c r="EH42" s="314">
        <f>INDEX('qtrP&amp;L'!$210:$210,MATCH(EH$7,'qtrP&amp;L'!$6:$6,0))</f>
        <v>166</v>
      </c>
      <c r="EI42" s="314">
        <f>INDEX('qtrP&amp;L'!$211:$211,MATCH(EH$7,'qtrP&amp;L'!$6:$6,0))</f>
        <v>166.2</v>
      </c>
      <c r="EJ42" s="314">
        <f>INDEX('qtrP&amp;L'!$212:$212,MATCH(EH$7,'qtrP&amp;L'!$6:$6,0))</f>
        <v>166.6</v>
      </c>
      <c r="EK42" s="314">
        <f>INDEX('qtrP&amp;L'!$214:$214,MATCH(EH$7,'qtrP&amp;L'!$6:$6,0))</f>
        <v>166.6</v>
      </c>
      <c r="EL42" s="314"/>
      <c r="EM42" s="314">
        <f>INDEX('qtrP&amp;L'!$210:$210,MATCH(EM$7,'qtrP&amp;L'!$6:$6,0))</f>
        <v>164.6</v>
      </c>
      <c r="EN42" s="314">
        <f>INDEX('qtrP&amp;L'!$211:$211,MATCH(EM$7,'qtrP&amp;L'!$6:$6,0))</f>
        <v>162.6</v>
      </c>
      <c r="EO42" s="314">
        <f>INDEX('qtrP&amp;L'!$212:$212,MATCH(EM$7,'qtrP&amp;L'!$6:$6,0))</f>
        <v>160.6</v>
      </c>
      <c r="EP42" s="314">
        <f>INDEX('qtrP&amp;L'!$214:$214,MATCH(EM$7,'qtrP&amp;L'!$6:$6,0))</f>
        <v>159.6</v>
      </c>
      <c r="EQ42" s="314"/>
      <c r="ER42" s="277"/>
      <c r="ES42" s="314"/>
      <c r="ET42" s="314"/>
      <c r="EU42" s="314"/>
      <c r="EV42" s="314"/>
      <c r="EW42" s="314"/>
      <c r="EX42" s="314"/>
      <c r="EY42" s="314"/>
      <c r="EZ42" s="314"/>
      <c r="FA42" s="314"/>
      <c r="FB42" s="314"/>
      <c r="FC42" s="314"/>
      <c r="FD42" s="314">
        <f>INDEX('qtrP&amp;L'!$214:$214,MATCH(FD$7,'qtrP&amp;L'!$6:$6,0))</f>
        <v>268.93721599999998</v>
      </c>
      <c r="FE42" s="314">
        <f>INDEX('qtrP&amp;L'!$214:$214,MATCH(FE$7,'qtrP&amp;L'!$6:$6,0))</f>
        <v>270.888082</v>
      </c>
      <c r="FF42" s="314">
        <f>INDEX('qtrP&amp;L'!$214:$214,MATCH(FF$7,'qtrP&amp;L'!$6:$6,0))</f>
        <v>276.75333799999999</v>
      </c>
      <c r="FG42" s="314">
        <f>INDEX('qtrP&amp;L'!$214:$214,MATCH(FG$7,'qtrP&amp;L'!$6:$6,0))</f>
        <v>273.57404000000002</v>
      </c>
      <c r="FH42" s="314">
        <f>INDEX('qtrP&amp;L'!$214:$214,MATCH(FH$7,'qtrP&amp;L'!$6:$6,0))</f>
        <v>269.54899999999998</v>
      </c>
      <c r="FI42" s="315">
        <f>INDEX('qtrP&amp;L'!$214:$214,MATCH(FI$7,'qtrP&amp;L'!$6:$6,0))</f>
        <v>257.53500000000003</v>
      </c>
      <c r="FJ42" s="315">
        <f>INDEX('qtrP&amp;L'!$214:$214,MATCH(FJ$7,'qtrP&amp;L'!$6:$6,0))</f>
        <v>220.9</v>
      </c>
      <c r="FK42" s="314">
        <f>INDEX('qtrP&amp;L'!$214:$214,MATCH(FK$7,'qtrP&amp;L'!$6:$6,0))</f>
        <v>215.4</v>
      </c>
      <c r="FL42" s="314">
        <f>INDEX('qtrP&amp;L'!$214:$214,MATCH(FL$7,'qtrP&amp;L'!$6:$6,0))</f>
        <v>217.7</v>
      </c>
      <c r="FM42" s="315">
        <f>INDEX('qtrP&amp;L'!$214:$214,MATCH(FM$7,'qtrP&amp;L'!$6:$6,0))</f>
        <v>218</v>
      </c>
      <c r="FN42" s="314">
        <f>INDEX('qtrP&amp;L'!$214:$214,MATCH(FN$7,'qtrP&amp;L'!$6:$6,0))</f>
        <v>207.6</v>
      </c>
      <c r="FO42" s="314">
        <f>INDEX('qtrP&amp;L'!$214:$214,MATCH(FO$7,'qtrP&amp;L'!$6:$6,0))</f>
        <v>197</v>
      </c>
      <c r="FP42" s="314">
        <f>INDEX('qtrP&amp;L'!$214:$214,MATCH(FP$7,'qtrP&amp;L'!$6:$6,0))</f>
        <v>191.2</v>
      </c>
      <c r="FQ42" s="314">
        <f>INDEX('qtrP&amp;L'!$214:$214,MATCH(FQ$7,'qtrP&amp;L'!$6:$6,0))</f>
        <v>190.1</v>
      </c>
      <c r="FR42" s="314">
        <f>INDEX('qtrP&amp;L'!$214:$214,MATCH(FR$7,'qtrP&amp;L'!$6:$6,0))</f>
        <v>173.5</v>
      </c>
      <c r="FS42" s="314">
        <f>INDEX('qtrP&amp;L'!$214:$214,MATCH(FS$7,'qtrP&amp;L'!$6:$6,0))</f>
        <v>170</v>
      </c>
      <c r="FT42" s="314">
        <f>INDEX('qtrP&amp;L'!$214:$214,MATCH(FT$7,'qtrP&amp;L'!$6:$6,0))</f>
        <v>166.6</v>
      </c>
      <c r="FU42" s="319">
        <f>FT42+FU43/FU44</f>
        <v>159.6</v>
      </c>
      <c r="FV42" s="319">
        <f>FU42+FV43/FV44+1.5</f>
        <v>154.1</v>
      </c>
      <c r="FW42" s="321">
        <f>FV42+FW43/FW44+1.5</f>
        <v>149.6</v>
      </c>
      <c r="FX42" s="319">
        <f>FW42+FX43/FX44+1.5</f>
        <v>145.1</v>
      </c>
      <c r="FY42" s="321">
        <f>FX42+FY43/FY44+1.5</f>
        <v>140.6</v>
      </c>
      <c r="FZ42" s="319"/>
      <c r="GA42" s="319"/>
      <c r="GB42" s="319"/>
      <c r="GC42" s="319"/>
      <c r="GD42" s="319"/>
      <c r="GE42"/>
      <c r="GF42"/>
      <c r="GG42"/>
      <c r="GH42"/>
      <c r="GI42"/>
      <c r="GJ42"/>
      <c r="GO42" s="239"/>
      <c r="GP42" s="239"/>
      <c r="GQ42" s="239"/>
      <c r="GR42" s="239"/>
      <c r="GS42" s="239"/>
      <c r="GT42" s="239"/>
      <c r="GU42" s="239"/>
      <c r="GV42" s="239"/>
      <c r="GW42" s="239"/>
      <c r="GX42" s="239"/>
      <c r="GY42" s="239"/>
      <c r="GZ42" s="239"/>
      <c r="HA42" s="239"/>
      <c r="HB42" s="239"/>
      <c r="HC42" s="239"/>
      <c r="HD42" s="239"/>
      <c r="HE42" s="239"/>
      <c r="HF42" s="239"/>
      <c r="HG42" s="239"/>
      <c r="HH42" s="239"/>
      <c r="HI42" s="239"/>
      <c r="HJ42" s="239"/>
      <c r="HK42" s="239"/>
      <c r="HL42" s="239"/>
      <c r="HM42" s="239"/>
      <c r="HN42" s="239"/>
      <c r="HO42" s="239"/>
      <c r="HP42" s="239"/>
      <c r="HQ42" s="239"/>
      <c r="HR42" s="239"/>
      <c r="HS42" s="239"/>
      <c r="HT42" s="239"/>
      <c r="HU42" s="239"/>
      <c r="HV42" s="239"/>
      <c r="HW42" s="239"/>
      <c r="HX42" s="239"/>
      <c r="HY42" s="239"/>
      <c r="HZ42" s="239"/>
      <c r="IA42" s="239"/>
      <c r="IB42" s="239"/>
      <c r="IC42" s="239"/>
      <c r="ID42" s="239"/>
      <c r="IE42" s="239"/>
      <c r="IF42" s="239"/>
      <c r="IG42" s="239"/>
      <c r="IH42" s="239"/>
      <c r="II42" s="239"/>
      <c r="IJ42" s="239"/>
      <c r="IK42" s="239"/>
      <c r="IL42" s="239"/>
      <c r="IM42" s="239"/>
      <c r="IN42" s="239"/>
      <c r="IO42" s="239"/>
      <c r="IP42" s="239"/>
      <c r="IQ42" s="239"/>
      <c r="IR42" s="239"/>
      <c r="IS42" s="239"/>
      <c r="IT42" s="239"/>
      <c r="IU42" s="239"/>
      <c r="IV42" s="239"/>
      <c r="IW42" s="239"/>
      <c r="IX42" s="239"/>
      <c r="IY42" s="239"/>
      <c r="IZ42" s="239"/>
      <c r="JA42" s="239"/>
      <c r="JB42" s="239"/>
      <c r="JC42" s="239"/>
      <c r="JD42" s="239"/>
      <c r="JE42" s="239"/>
      <c r="JF42" s="239"/>
      <c r="JG42" s="239"/>
      <c r="JH42" s="239"/>
      <c r="JI42" s="239"/>
      <c r="JJ42" s="239"/>
    </row>
    <row r="43" spans="1:270" s="249" customFormat="1" hidden="1" outlineLevel="1" x14ac:dyDescent="0.2">
      <c r="A43" s="276" t="s">
        <v>334</v>
      </c>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c r="AA43" s="282"/>
      <c r="AB43" s="282"/>
      <c r="AC43" s="282"/>
      <c r="AD43" s="282"/>
      <c r="AE43" s="282"/>
      <c r="AF43" s="282"/>
      <c r="AG43" s="282"/>
      <c r="AH43" s="282"/>
      <c r="AI43" s="282"/>
      <c r="AJ43" s="282"/>
      <c r="AK43" s="282"/>
      <c r="AL43" s="282"/>
      <c r="AM43" s="282"/>
      <c r="AN43" s="282"/>
      <c r="AO43" s="282"/>
      <c r="AP43" s="282"/>
      <c r="AQ43" s="282"/>
      <c r="AR43" s="282"/>
      <c r="AS43" s="282"/>
      <c r="AT43" s="282"/>
      <c r="AU43" s="282"/>
      <c r="AV43" s="282"/>
      <c r="AW43" s="282"/>
      <c r="AX43" s="282"/>
      <c r="AY43" s="282"/>
      <c r="AZ43" s="282"/>
      <c r="BA43" s="282"/>
      <c r="BB43" s="282"/>
      <c r="BC43" s="282"/>
      <c r="BD43" s="282"/>
      <c r="BE43" s="282"/>
      <c r="BF43" s="282"/>
      <c r="BG43" s="282"/>
      <c r="BH43" s="282"/>
      <c r="BI43" s="282"/>
      <c r="BJ43" s="282"/>
      <c r="BK43" s="282"/>
      <c r="BL43" s="282"/>
      <c r="BM43" s="282"/>
      <c r="BN43" s="282"/>
      <c r="BO43" s="282"/>
      <c r="BP43" s="282"/>
      <c r="BQ43" s="282"/>
      <c r="BR43" s="282"/>
      <c r="BS43" s="282"/>
      <c r="BT43" s="282"/>
      <c r="BU43" s="282"/>
      <c r="BV43" s="282"/>
      <c r="BW43" s="282"/>
      <c r="BX43" s="282"/>
      <c r="BY43" s="282"/>
      <c r="BZ43" s="282"/>
      <c r="CA43" s="282"/>
      <c r="CB43" s="282"/>
      <c r="CC43" s="282"/>
      <c r="CD43" s="282"/>
      <c r="CE43" s="282"/>
      <c r="CF43" s="282"/>
      <c r="CG43" s="282"/>
      <c r="CH43" s="282"/>
      <c r="CI43" s="282"/>
      <c r="CJ43" s="282"/>
      <c r="CK43" s="282"/>
      <c r="CL43" s="282"/>
      <c r="CM43" s="282"/>
      <c r="CN43" s="282"/>
      <c r="CO43" s="282"/>
      <c r="CP43" s="282"/>
      <c r="CQ43" s="282"/>
      <c r="CR43" s="282"/>
      <c r="CS43" s="282"/>
      <c r="CT43" s="282"/>
      <c r="CU43" s="282"/>
      <c r="CV43" s="282"/>
      <c r="CW43" s="282"/>
      <c r="CX43" s="282"/>
      <c r="CY43" s="314"/>
      <c r="CZ43" s="314"/>
      <c r="DA43" s="314"/>
      <c r="DB43" s="314"/>
      <c r="DC43" s="314"/>
      <c r="DD43" s="314"/>
      <c r="DE43" s="314"/>
      <c r="DF43" s="314"/>
      <c r="DG43" s="314"/>
      <c r="DH43" s="314"/>
      <c r="DI43" s="314"/>
      <c r="DJ43" s="314"/>
      <c r="DK43" s="314"/>
      <c r="DL43" s="314"/>
      <c r="DM43" s="314"/>
      <c r="DN43" s="314"/>
      <c r="DO43" s="314"/>
      <c r="DP43" s="314"/>
      <c r="DQ43" s="314"/>
      <c r="DR43" s="314"/>
      <c r="DS43" s="314"/>
      <c r="DT43" s="314"/>
      <c r="DU43" s="314"/>
      <c r="DV43" s="314"/>
      <c r="DW43" s="314"/>
      <c r="DX43" s="314"/>
      <c r="DY43" s="314"/>
      <c r="DZ43" s="314"/>
      <c r="EA43" s="314"/>
      <c r="EB43" s="314"/>
      <c r="EC43" s="314"/>
      <c r="ED43" s="314"/>
      <c r="EE43" s="314"/>
      <c r="EF43" s="314"/>
      <c r="EH43" s="314"/>
      <c r="EI43" s="314"/>
      <c r="EJ43" s="314"/>
      <c r="EK43" s="314"/>
      <c r="EL43" s="314"/>
      <c r="EM43" s="314"/>
      <c r="EN43" s="314"/>
      <c r="EO43" s="314"/>
      <c r="EP43" s="314"/>
      <c r="EQ43" s="314"/>
      <c r="ER43" s="277"/>
      <c r="ES43" s="314"/>
      <c r="ET43" s="314"/>
      <c r="EU43" s="314"/>
      <c r="EV43" s="314"/>
      <c r="EW43" s="314"/>
      <c r="EX43" s="314"/>
      <c r="EY43" s="314"/>
      <c r="EZ43" s="320"/>
      <c r="FA43" s="314"/>
      <c r="FB43" s="314"/>
      <c r="FC43" s="314"/>
      <c r="FD43" s="314"/>
      <c r="FE43" s="314"/>
      <c r="FF43" s="314"/>
      <c r="FG43" s="314"/>
      <c r="FH43" s="314"/>
      <c r="FI43" s="315"/>
      <c r="FJ43" s="315"/>
      <c r="FK43" s="314"/>
      <c r="FL43" s="314"/>
      <c r="FM43" s="315"/>
      <c r="FN43" s="314"/>
      <c r="FO43" s="314"/>
      <c r="FP43" s="314"/>
      <c r="FQ43" s="319"/>
      <c r="FR43" s="319"/>
      <c r="FS43" s="319"/>
      <c r="FT43" s="319">
        <f>flow!$AM$33</f>
        <v>-211</v>
      </c>
      <c r="FU43" s="319">
        <f>flow!AN33</f>
        <v>-350</v>
      </c>
      <c r="FV43" s="319">
        <f>flow!AO33</f>
        <v>-350</v>
      </c>
      <c r="FW43" s="321">
        <f>flow!AP33</f>
        <v>-300</v>
      </c>
      <c r="FX43" s="319">
        <f>flow!AQ33</f>
        <v>-300</v>
      </c>
      <c r="FY43" s="321">
        <f>flow!AR33</f>
        <v>-300</v>
      </c>
      <c r="FZ43" s="319"/>
      <c r="GA43" s="319"/>
      <c r="GB43" s="319"/>
      <c r="GC43" s="319"/>
      <c r="GD43" s="319"/>
      <c r="GE43"/>
      <c r="GF43"/>
      <c r="GG43"/>
      <c r="GH43"/>
      <c r="GI43"/>
      <c r="GJ43"/>
      <c r="GO43" s="239"/>
      <c r="GP43" s="239"/>
      <c r="GQ43" s="239"/>
      <c r="GR43" s="239"/>
      <c r="GS43" s="239"/>
      <c r="GT43" s="239"/>
      <c r="GU43" s="239"/>
      <c r="GV43" s="239"/>
      <c r="GW43" s="239"/>
      <c r="GX43" s="239"/>
      <c r="GY43" s="239"/>
      <c r="GZ43" s="239"/>
      <c r="HA43" s="239"/>
      <c r="HB43" s="239"/>
      <c r="HC43" s="239"/>
      <c r="HD43" s="239"/>
      <c r="HE43" s="239"/>
      <c r="HF43" s="239"/>
      <c r="HG43" s="239"/>
      <c r="HH43" s="239"/>
      <c r="HI43" s="239"/>
      <c r="HJ43" s="239"/>
      <c r="HK43" s="239"/>
      <c r="HL43" s="239"/>
      <c r="HM43" s="239"/>
      <c r="HN43" s="239"/>
      <c r="HO43" s="239"/>
      <c r="HP43" s="239"/>
      <c r="HQ43" s="239"/>
      <c r="HR43" s="239"/>
      <c r="HS43" s="239"/>
      <c r="HT43" s="239"/>
      <c r="HU43" s="239"/>
      <c r="HV43" s="239"/>
      <c r="HW43" s="239"/>
      <c r="HX43" s="239"/>
      <c r="HY43" s="239"/>
      <c r="HZ43" s="239"/>
      <c r="IA43" s="239"/>
      <c r="IB43" s="239"/>
      <c r="IC43" s="239"/>
      <c r="ID43" s="239"/>
      <c r="IE43" s="239"/>
      <c r="IF43" s="239"/>
      <c r="IG43" s="239"/>
      <c r="IH43" s="239"/>
      <c r="II43" s="239"/>
      <c r="IJ43" s="239"/>
      <c r="IK43" s="239"/>
      <c r="IL43" s="239"/>
      <c r="IM43" s="239"/>
      <c r="IN43" s="239"/>
      <c r="IO43" s="239"/>
      <c r="IP43" s="239"/>
      <c r="IQ43" s="239"/>
      <c r="IR43" s="239"/>
      <c r="IS43" s="239"/>
      <c r="IT43" s="239"/>
      <c r="IU43" s="239"/>
      <c r="IV43" s="239"/>
      <c r="IW43" s="239"/>
      <c r="IX43" s="239"/>
      <c r="IY43" s="239"/>
      <c r="IZ43" s="239"/>
      <c r="JA43" s="239"/>
      <c r="JB43" s="239"/>
      <c r="JC43" s="239"/>
      <c r="JD43" s="239"/>
      <c r="JE43" s="239"/>
      <c r="JF43" s="239"/>
      <c r="JG43" s="239"/>
      <c r="JH43" s="239"/>
      <c r="JI43" s="239"/>
      <c r="JJ43" s="239"/>
    </row>
    <row r="44" spans="1:270" s="249" customFormat="1" hidden="1" outlineLevel="1" x14ac:dyDescent="0.2">
      <c r="A44" s="276" t="s">
        <v>335</v>
      </c>
      <c r="C44" s="282"/>
      <c r="D44" s="282"/>
      <c r="E44" s="282"/>
      <c r="F44" s="282"/>
      <c r="G44" s="282"/>
      <c r="H44" s="282"/>
      <c r="I44" s="282"/>
      <c r="J44" s="282"/>
      <c r="K44" s="282"/>
      <c r="L44" s="282"/>
      <c r="M44" s="282"/>
      <c r="N44" s="282"/>
      <c r="O44" s="282"/>
      <c r="P44" s="282"/>
      <c r="Q44" s="282"/>
      <c r="R44" s="282"/>
      <c r="S44" s="282"/>
      <c r="T44" s="282"/>
      <c r="U44" s="282"/>
      <c r="V44" s="282"/>
      <c r="W44" s="282"/>
      <c r="X44" s="282"/>
      <c r="Y44" s="282"/>
      <c r="Z44" s="282"/>
      <c r="AA44" s="282"/>
      <c r="AB44" s="282"/>
      <c r="AC44" s="282"/>
      <c r="AD44" s="282"/>
      <c r="AE44" s="282"/>
      <c r="AF44" s="282"/>
      <c r="AG44" s="282"/>
      <c r="AH44" s="282"/>
      <c r="AI44" s="282"/>
      <c r="AJ44" s="282"/>
      <c r="AK44" s="282"/>
      <c r="AL44" s="282"/>
      <c r="AM44" s="282"/>
      <c r="AN44" s="282"/>
      <c r="AO44" s="282"/>
      <c r="AP44" s="282"/>
      <c r="AQ44" s="282"/>
      <c r="AR44" s="282"/>
      <c r="AS44" s="282"/>
      <c r="AT44" s="282"/>
      <c r="AU44" s="282"/>
      <c r="AV44" s="282"/>
      <c r="AW44" s="282"/>
      <c r="AX44" s="282"/>
      <c r="AY44" s="282"/>
      <c r="AZ44" s="282"/>
      <c r="BA44" s="282"/>
      <c r="BB44" s="282"/>
      <c r="BC44" s="282"/>
      <c r="BD44" s="282"/>
      <c r="BE44" s="282"/>
      <c r="BF44" s="282"/>
      <c r="BG44" s="282"/>
      <c r="BH44" s="282"/>
      <c r="BI44" s="282"/>
      <c r="BJ44" s="282"/>
      <c r="BK44" s="282"/>
      <c r="BL44" s="282"/>
      <c r="BM44" s="282"/>
      <c r="BN44" s="282"/>
      <c r="BO44" s="282"/>
      <c r="BP44" s="282"/>
      <c r="BQ44" s="282"/>
      <c r="BR44" s="282"/>
      <c r="BS44" s="282"/>
      <c r="BT44" s="282"/>
      <c r="BU44" s="282"/>
      <c r="BV44" s="282"/>
      <c r="BW44" s="282"/>
      <c r="BX44" s="282"/>
      <c r="BY44" s="282"/>
      <c r="BZ44" s="282"/>
      <c r="CA44" s="282"/>
      <c r="CB44" s="282"/>
      <c r="CC44" s="282"/>
      <c r="CD44" s="282"/>
      <c r="CE44" s="282"/>
      <c r="CF44" s="282"/>
      <c r="CG44" s="282"/>
      <c r="CH44" s="282"/>
      <c r="CI44" s="282"/>
      <c r="CJ44" s="282"/>
      <c r="CK44" s="282"/>
      <c r="CL44" s="282"/>
      <c r="CM44" s="282"/>
      <c r="CN44" s="282"/>
      <c r="CO44" s="282"/>
      <c r="CP44" s="282"/>
      <c r="CQ44" s="282"/>
      <c r="CR44" s="282"/>
      <c r="CS44" s="282"/>
      <c r="CT44" s="282"/>
      <c r="CU44" s="282"/>
      <c r="CV44" s="282"/>
      <c r="CW44" s="282"/>
      <c r="CX44" s="282"/>
      <c r="CY44" s="314"/>
      <c r="CZ44" s="314"/>
      <c r="DA44" s="314"/>
      <c r="DB44" s="314"/>
      <c r="DC44" s="314"/>
      <c r="DD44" s="314"/>
      <c r="DE44" s="314"/>
      <c r="DF44" s="314"/>
      <c r="DG44" s="314"/>
      <c r="DH44" s="314"/>
      <c r="DI44" s="314"/>
      <c r="DJ44" s="314"/>
      <c r="DK44" s="314"/>
      <c r="DL44" s="314"/>
      <c r="DM44" s="314"/>
      <c r="DN44" s="314"/>
      <c r="DO44" s="314"/>
      <c r="DP44" s="314"/>
      <c r="DQ44" s="314"/>
      <c r="DR44" s="314"/>
      <c r="DS44" s="314"/>
      <c r="DT44" s="314"/>
      <c r="DU44" s="314"/>
      <c r="DV44" s="314"/>
      <c r="DW44" s="314"/>
      <c r="DX44" s="314"/>
      <c r="DY44" s="314"/>
      <c r="DZ44" s="314"/>
      <c r="EA44" s="314"/>
      <c r="EB44" s="314"/>
      <c r="EC44" s="314"/>
      <c r="ED44" s="314"/>
      <c r="EE44" s="314"/>
      <c r="EF44" s="314"/>
      <c r="EH44" s="314"/>
      <c r="EI44" s="314"/>
      <c r="EJ44" s="314"/>
      <c r="EK44" s="314"/>
      <c r="EL44" s="314"/>
      <c r="EM44" s="314"/>
      <c r="EN44" s="314"/>
      <c r="EO44" s="314"/>
      <c r="EP44" s="314"/>
      <c r="EQ44" s="314"/>
      <c r="ER44" s="277"/>
      <c r="ES44" s="314"/>
      <c r="ET44" s="314"/>
      <c r="EU44" s="314"/>
      <c r="EV44" s="314"/>
      <c r="EW44" s="314"/>
      <c r="EX44" s="314"/>
      <c r="EY44" s="314"/>
      <c r="EZ44" s="320"/>
      <c r="FA44" s="314"/>
      <c r="FB44" s="314"/>
      <c r="FC44" s="314"/>
      <c r="FD44" s="314"/>
      <c r="FE44" s="314"/>
      <c r="FF44" s="314"/>
      <c r="FG44" s="314"/>
      <c r="FH44" s="314"/>
      <c r="FI44" s="315"/>
      <c r="FJ44" s="315"/>
      <c r="FK44" s="314"/>
      <c r="FL44" s="314"/>
      <c r="FM44" s="315"/>
      <c r="FN44" s="314"/>
      <c r="FO44" s="314"/>
      <c r="FP44" s="314"/>
      <c r="FQ44" s="319"/>
      <c r="FR44" s="319"/>
      <c r="FS44" s="319"/>
      <c r="FT44" s="319">
        <v>40</v>
      </c>
      <c r="FU44" s="319">
        <v>50</v>
      </c>
      <c r="FV44" s="319">
        <v>50</v>
      </c>
      <c r="FW44" s="321">
        <v>50</v>
      </c>
      <c r="FX44" s="319">
        <v>50</v>
      </c>
      <c r="FY44" s="321">
        <v>50</v>
      </c>
      <c r="FZ44" s="319"/>
      <c r="GA44" s="319"/>
      <c r="GB44" s="319"/>
      <c r="GC44" s="319"/>
      <c r="GD44" s="319"/>
      <c r="GE44"/>
      <c r="GF44"/>
      <c r="GG44"/>
      <c r="GH44"/>
      <c r="GI44"/>
      <c r="GJ44"/>
      <c r="GO44" s="239"/>
      <c r="GP44" s="239"/>
      <c r="GQ44" s="239"/>
      <c r="GR44" s="239"/>
      <c r="GS44" s="239"/>
      <c r="GT44" s="239"/>
      <c r="GU44" s="239"/>
      <c r="GV44" s="239"/>
      <c r="GW44" s="239"/>
      <c r="GX44" s="239"/>
      <c r="GY44" s="239"/>
      <c r="GZ44" s="239"/>
      <c r="HA44" s="239"/>
      <c r="HB44" s="239"/>
      <c r="HC44" s="239"/>
      <c r="HD44" s="239"/>
      <c r="HE44" s="239"/>
      <c r="HF44" s="239"/>
      <c r="HG44" s="239"/>
      <c r="HH44" s="239"/>
      <c r="HI44" s="239"/>
      <c r="HJ44" s="239"/>
      <c r="HK44" s="239"/>
      <c r="HL44" s="239"/>
      <c r="HM44" s="239"/>
      <c r="HN44" s="239"/>
      <c r="HO44" s="239"/>
      <c r="HP44" s="239"/>
      <c r="HQ44" s="239"/>
      <c r="HR44" s="239"/>
      <c r="HS44" s="239"/>
      <c r="HT44" s="239"/>
      <c r="HU44" s="239"/>
      <c r="HV44" s="239"/>
      <c r="HW44" s="239"/>
      <c r="HX44" s="239"/>
      <c r="HY44" s="239"/>
      <c r="HZ44" s="239"/>
      <c r="IA44" s="239"/>
      <c r="IB44" s="239"/>
      <c r="IC44" s="239"/>
      <c r="ID44" s="239"/>
      <c r="IE44" s="239"/>
      <c r="IF44" s="239"/>
      <c r="IG44" s="239"/>
      <c r="IH44" s="239"/>
      <c r="II44" s="239"/>
      <c r="IJ44" s="239"/>
      <c r="IK44" s="239"/>
      <c r="IL44" s="239"/>
      <c r="IM44" s="239"/>
      <c r="IN44" s="239"/>
      <c r="IO44" s="239"/>
      <c r="IP44" s="239"/>
      <c r="IQ44" s="239"/>
      <c r="IR44" s="239"/>
      <c r="IS44" s="239"/>
      <c r="IT44" s="239"/>
      <c r="IU44" s="239"/>
      <c r="IV44" s="239"/>
      <c r="IW44" s="239"/>
      <c r="IX44" s="239"/>
      <c r="IY44" s="239"/>
      <c r="IZ44" s="239"/>
      <c r="JA44" s="239"/>
      <c r="JB44" s="239"/>
      <c r="JC44" s="239"/>
      <c r="JD44" s="239"/>
      <c r="JE44" s="239"/>
      <c r="JF44" s="239"/>
      <c r="JG44" s="239"/>
      <c r="JH44" s="239"/>
      <c r="JI44" s="239"/>
      <c r="JJ44" s="239"/>
    </row>
    <row r="45" spans="1:270" s="249" customFormat="1" collapsed="1" x14ac:dyDescent="0.2">
      <c r="A45" s="276"/>
      <c r="ER45" s="277"/>
      <c r="FI45" s="276"/>
      <c r="FJ45" s="276"/>
      <c r="FM45" s="276"/>
      <c r="FQ45" s="322"/>
      <c r="FR45" s="322"/>
      <c r="FS45" s="322"/>
      <c r="FT45" s="322"/>
      <c r="FU45" s="322"/>
      <c r="FV45" s="322"/>
      <c r="FW45" s="323"/>
      <c r="FX45" s="322"/>
      <c r="FY45" s="323"/>
      <c r="FZ45" s="322"/>
      <c r="GA45" s="322"/>
      <c r="GB45" s="322"/>
      <c r="GC45" s="322"/>
      <c r="GD45" s="322"/>
      <c r="GE45"/>
      <c r="GF45"/>
      <c r="GG45"/>
      <c r="GH45"/>
      <c r="GI45"/>
      <c r="GJ45"/>
      <c r="GO45" s="239"/>
      <c r="GP45" s="239"/>
      <c r="GQ45" s="239"/>
      <c r="GR45" s="239"/>
      <c r="GS45" s="239"/>
      <c r="GT45" s="239"/>
      <c r="GU45" s="239"/>
      <c r="GV45" s="239"/>
      <c r="GW45" s="239"/>
      <c r="GX45" s="239"/>
      <c r="GY45" s="239"/>
      <c r="GZ45" s="239"/>
      <c r="HA45" s="239"/>
      <c r="HB45" s="239"/>
      <c r="HC45" s="239"/>
      <c r="HD45" s="239"/>
      <c r="HE45" s="239"/>
      <c r="HF45" s="239"/>
      <c r="HG45" s="239"/>
      <c r="HH45" s="239"/>
      <c r="HI45" s="239"/>
      <c r="HJ45" s="239"/>
      <c r="HK45" s="239"/>
      <c r="HL45" s="239"/>
      <c r="HM45" s="239"/>
      <c r="HN45" s="239"/>
      <c r="HO45" s="239"/>
      <c r="HP45" s="239"/>
      <c r="HQ45" s="239"/>
      <c r="HR45" s="239"/>
      <c r="HS45" s="239"/>
      <c r="HT45" s="239"/>
      <c r="HU45" s="239"/>
      <c r="HV45" s="239"/>
      <c r="HW45" s="239"/>
      <c r="HX45" s="239"/>
      <c r="HY45" s="239"/>
      <c r="HZ45" s="239"/>
      <c r="IA45" s="239"/>
      <c r="IB45" s="239"/>
      <c r="IC45" s="239"/>
      <c r="ID45" s="239"/>
      <c r="IE45" s="239"/>
      <c r="IF45" s="239"/>
      <c r="IG45" s="239"/>
      <c r="IH45" s="239"/>
      <c r="II45" s="239"/>
      <c r="IJ45" s="239"/>
      <c r="IK45" s="239"/>
      <c r="IL45" s="239"/>
      <c r="IM45" s="239"/>
      <c r="IN45" s="239"/>
      <c r="IO45" s="239"/>
      <c r="IP45" s="239"/>
      <c r="IQ45" s="239"/>
      <c r="IR45" s="239"/>
      <c r="IS45" s="239"/>
      <c r="IT45" s="239"/>
      <c r="IU45" s="239"/>
      <c r="IV45" s="239"/>
      <c r="IW45" s="239"/>
      <c r="IX45" s="239"/>
      <c r="IY45" s="239"/>
      <c r="IZ45" s="239"/>
      <c r="JA45" s="239"/>
      <c r="JB45" s="239"/>
      <c r="JC45" s="239"/>
      <c r="JD45" s="239"/>
      <c r="JE45" s="239"/>
      <c r="JF45" s="239"/>
      <c r="JG45" s="239"/>
      <c r="JH45" s="239"/>
      <c r="JI45" s="239"/>
      <c r="JJ45" s="239"/>
    </row>
    <row r="46" spans="1:270" x14ac:dyDescent="0.2">
      <c r="A46" s="276" t="s">
        <v>289</v>
      </c>
      <c r="C46" s="324"/>
      <c r="D46" s="324"/>
      <c r="E46" s="324"/>
      <c r="F46" s="324"/>
      <c r="G46" s="324"/>
      <c r="H46" s="324"/>
      <c r="I46" s="324"/>
      <c r="J46" s="324"/>
      <c r="K46" s="324"/>
      <c r="L46" s="324"/>
      <c r="M46" s="324"/>
      <c r="N46" s="324"/>
      <c r="O46" s="324"/>
      <c r="P46" s="324"/>
      <c r="Q46" s="324"/>
      <c r="R46" s="324"/>
      <c r="S46" s="324"/>
      <c r="T46" s="324"/>
      <c r="U46" s="324"/>
      <c r="V46" s="324"/>
      <c r="W46" s="324"/>
      <c r="X46" s="324"/>
      <c r="Y46" s="324"/>
      <c r="Z46" s="324"/>
      <c r="AA46" s="324"/>
      <c r="AB46" s="324"/>
      <c r="AC46" s="324"/>
      <c r="AD46" s="324"/>
      <c r="AE46" s="324"/>
      <c r="AF46" s="324"/>
      <c r="AG46" s="324"/>
      <c r="AH46" s="324"/>
      <c r="AI46" s="324"/>
      <c r="AJ46" s="324"/>
      <c r="AK46" s="324"/>
      <c r="AL46" s="324"/>
      <c r="AM46" s="324"/>
      <c r="AN46" s="324"/>
      <c r="AO46" s="324"/>
      <c r="AP46" s="324"/>
      <c r="AQ46" s="324"/>
      <c r="AR46" s="324"/>
      <c r="AS46" s="324"/>
      <c r="AT46" s="324"/>
      <c r="AU46" s="324"/>
      <c r="AV46" s="324"/>
      <c r="AW46" s="324"/>
      <c r="AX46" s="324"/>
      <c r="AY46" s="324"/>
      <c r="AZ46" s="324"/>
      <c r="BA46" s="324"/>
      <c r="BB46" s="324"/>
      <c r="BC46" s="324"/>
      <c r="BD46" s="324"/>
      <c r="BE46" s="324"/>
      <c r="BF46" s="324"/>
      <c r="BG46" s="324"/>
      <c r="BH46" s="324"/>
      <c r="BI46" s="324"/>
      <c r="BJ46" s="324"/>
      <c r="BK46" s="324">
        <f>INDEX('qtrP&amp;L'!$220:$220,MATCH(BK$7,'qtrP&amp;L'!$6:$6,0))</f>
        <v>50.957000000000001</v>
      </c>
      <c r="BL46" s="324">
        <f>INDEX('qtrP&amp;L'!$221:$221,MATCH(BK$7,'qtrP&amp;L'!$6:$6,0))</f>
        <v>51.783999999999999</v>
      </c>
      <c r="BM46" s="324">
        <f>INDEX('qtrP&amp;L'!$222:$222,MATCH(BK$7,'qtrP&amp;L'!$6:$6,0))</f>
        <v>52.487000000000016</v>
      </c>
      <c r="BN46" s="324">
        <f>INDEX('qtrP&amp;L'!$223:$223,MATCH(BK$7,'qtrP&amp;L'!$6:$6,0))</f>
        <v>78.703000000000003</v>
      </c>
      <c r="BO46" s="324"/>
      <c r="BP46" s="324">
        <f>INDEX('qtrP&amp;L'!$220:$220,MATCH(BP$7,'qtrP&amp;L'!$6:$6,0))</f>
        <v>56.426000000000002</v>
      </c>
      <c r="BQ46" s="324">
        <f>INDEX('qtrP&amp;L'!$221:$221,MATCH(BP$7,'qtrP&amp;L'!$6:$6,0))</f>
        <v>53.935000000000002</v>
      </c>
      <c r="BR46" s="324">
        <f>INDEX('qtrP&amp;L'!$222:$222,MATCH(BP$7,'qtrP&amp;L'!$6:$6,0))</f>
        <v>54.486000000000004</v>
      </c>
      <c r="BS46" s="324">
        <f>INDEX('qtrP&amp;L'!$223:$223,MATCH(BP$7,'qtrP&amp;L'!$6:$6,0))</f>
        <v>85.835999999999984</v>
      </c>
      <c r="BT46" s="324"/>
      <c r="BU46" s="324">
        <f>INDEX('qtrP&amp;L'!$220:$220,MATCH(BU$7,'qtrP&amp;L'!$6:$6,0))</f>
        <v>56.251000000000005</v>
      </c>
      <c r="BV46" s="324">
        <f>INDEX('qtrP&amp;L'!$221:$221,MATCH(BU$7,'qtrP&amp;L'!$6:$6,0))</f>
        <v>58.294000000000011</v>
      </c>
      <c r="BW46" s="324">
        <f>INDEX('qtrP&amp;L'!$222:$222,MATCH(BU$7,'qtrP&amp;L'!$6:$6,0))</f>
        <v>56.993999999999971</v>
      </c>
      <c r="BX46" s="324">
        <f>INDEX('qtrP&amp;L'!$223:$223,MATCH(BU$7,'qtrP&amp;L'!$6:$6,0))</f>
        <v>93.23</v>
      </c>
      <c r="BY46" s="324"/>
      <c r="BZ46" s="324">
        <f>INDEX('qtrP&amp;L'!$220:$220,MATCH(BZ$7,'qtrP&amp;L'!$6:$6,0))</f>
        <v>69.203999999999994</v>
      </c>
      <c r="CA46" s="324">
        <f>INDEX('qtrP&amp;L'!$221:$221,MATCH(BZ$7,'qtrP&amp;L'!$6:$6,0))</f>
        <v>68.232000000000014</v>
      </c>
      <c r="CB46" s="324">
        <f>INDEX('qtrP&amp;L'!$222:$222,MATCH(BZ$7,'qtrP&amp;L'!$6:$6,0))</f>
        <v>42.729000000000013</v>
      </c>
      <c r="CC46" s="324">
        <f>INDEX('qtrP&amp;L'!$223:$223,MATCH(BZ$7,'qtrP&amp;L'!$6:$6,0))</f>
        <v>96.162999999999926</v>
      </c>
      <c r="CD46" s="324"/>
      <c r="CE46" s="324">
        <f>INDEX('qtrP&amp;L'!$220:$220,MATCH(CE$7,'qtrP&amp;L'!$6:$6,0))</f>
        <v>70.424999999999997</v>
      </c>
      <c r="CF46" s="324">
        <f>INDEX('qtrP&amp;L'!$221:$221,MATCH(CE$7,'qtrP&amp;L'!$6:$6,0))</f>
        <v>68.207000000000008</v>
      </c>
      <c r="CG46" s="324">
        <f>INDEX('qtrP&amp;L'!$222:$222,MATCH(CE$7,'qtrP&amp;L'!$6:$6,0))</f>
        <v>67.183999999999983</v>
      </c>
      <c r="CH46" s="324">
        <f>INDEX('qtrP&amp;L'!$223:$223,MATCH(CE$7,'qtrP&amp;L'!$6:$6,0))</f>
        <v>78.704000000000008</v>
      </c>
      <c r="CI46" s="324"/>
      <c r="CJ46" s="324">
        <f>INDEX('qtrP&amp;L'!$220:$220,MATCH(CJ$7,'qtrP&amp;L'!$6:$6,0))</f>
        <v>69.364000000000004</v>
      </c>
      <c r="CK46" s="324">
        <f>INDEX('qtrP&amp;L'!$221:$221,MATCH(CJ$7,'qtrP&amp;L'!$6:$6,0))</f>
        <v>67.832999999999998</v>
      </c>
      <c r="CL46" s="324">
        <f>INDEX('qtrP&amp;L'!$222:$222,MATCH(CJ$7,'qtrP&amp;L'!$6:$6,0))</f>
        <v>65.325999999999993</v>
      </c>
      <c r="CM46" s="324">
        <f>INDEX('qtrP&amp;L'!$223:$223,MATCH(CJ$7,'qtrP&amp;L'!$6:$6,0))</f>
        <v>66.477000000000004</v>
      </c>
      <c r="CN46" s="324"/>
      <c r="CO46" s="324">
        <f>INDEX('qtrP&amp;L'!$220:$220,MATCH(CO$7,'qtrP&amp;L'!$6:$6,0))</f>
        <v>72</v>
      </c>
      <c r="CP46" s="324">
        <f>INDEX('qtrP&amp;L'!$221:$221,MATCH(CO$7,'qtrP&amp;L'!$6:$6,0))</f>
        <v>74</v>
      </c>
      <c r="CQ46" s="324">
        <f>INDEX('qtrP&amp;L'!$222:$222,MATCH(CO$7,'qtrP&amp;L'!$6:$6,0))</f>
        <v>76</v>
      </c>
      <c r="CR46" s="324">
        <f>INDEX('qtrP&amp;L'!$223:$223,MATCH(CO$7,'qtrP&amp;L'!$6:$6,0))</f>
        <v>80</v>
      </c>
      <c r="CS46" s="324"/>
      <c r="CT46" s="324">
        <f>INDEX('qtrP&amp;L'!$220:$220,MATCH(CT$7,'qtrP&amp;L'!$6:$6,0))</f>
        <v>77</v>
      </c>
      <c r="CU46" s="324">
        <f>INDEX('qtrP&amp;L'!$221:$221,MATCH(CT$7,'qtrP&amp;L'!$6:$6,0))</f>
        <v>78</v>
      </c>
      <c r="CV46" s="324">
        <f>INDEX('qtrP&amp;L'!$222:$222,MATCH(CT$7,'qtrP&amp;L'!$6:$6,0))</f>
        <v>79</v>
      </c>
      <c r="CW46" s="324">
        <f>INDEX('qtrP&amp;L'!$223:$223,MATCH(CT$7,'qtrP&amp;L'!$6:$6,0))</f>
        <v>79</v>
      </c>
      <c r="CX46" s="324"/>
      <c r="CY46" s="324">
        <f>INDEX('qtrP&amp;L'!$220:$220,MATCH(CY$7,'qtrP&amp;L'!$6:$6,0))</f>
        <v>79</v>
      </c>
      <c r="CZ46" s="324">
        <f>INDEX('qtrP&amp;L'!$221:$221,MATCH(CY$7,'qtrP&amp;L'!$6:$6,0))</f>
        <v>83</v>
      </c>
      <c r="DA46" s="324">
        <f>INDEX('qtrP&amp;L'!$222:$222,MATCH(CY$7,'qtrP&amp;L'!$6:$6,0))</f>
        <v>82</v>
      </c>
      <c r="DB46" s="324">
        <f>INDEX('qtrP&amp;L'!$223:$223,MATCH(CY$7,'qtrP&amp;L'!$6:$6,0))</f>
        <v>83</v>
      </c>
      <c r="DC46" s="324"/>
      <c r="DD46" s="324">
        <f>INDEX('qtrP&amp;L'!$220:$220,MATCH(DD$7,'qtrP&amp;L'!$6:$6,0))</f>
        <v>86</v>
      </c>
      <c r="DE46" s="324">
        <f>INDEX('qtrP&amp;L'!$221:$221,MATCH(DD$7,'qtrP&amp;L'!$6:$6,0))</f>
        <v>93</v>
      </c>
      <c r="DF46" s="324">
        <f>INDEX('qtrP&amp;L'!$222:$222,MATCH(DD$7,'qtrP&amp;L'!$6:$6,0))</f>
        <v>94</v>
      </c>
      <c r="DG46" s="324">
        <f>INDEX('qtrP&amp;L'!$223:$223,MATCH(DD$7,'qtrP&amp;L'!$6:$6,0))</f>
        <v>98</v>
      </c>
      <c r="DH46" s="324"/>
      <c r="DI46" s="324">
        <f>INDEX('qtrP&amp;L'!$220:$220,MATCH(DI$7,'qtrP&amp;L'!$6:$6,0))</f>
        <v>101</v>
      </c>
      <c r="DJ46" s="324">
        <f>INDEX('qtrP&amp;L'!$221:$221,MATCH(DI$7,'qtrP&amp;L'!$6:$6,0))</f>
        <v>106</v>
      </c>
      <c r="DK46" s="324">
        <f>INDEX('qtrP&amp;L'!$222:$222,MATCH(DI$7,'qtrP&amp;L'!$6:$6,0))</f>
        <v>107</v>
      </c>
      <c r="DL46" s="324">
        <f>INDEX('qtrP&amp;L'!$223:$223,MATCH(DI$7,'qtrP&amp;L'!$6:$6,0))</f>
        <v>115</v>
      </c>
      <c r="DM46" s="324"/>
      <c r="DN46" s="324">
        <f>INDEX('qtrP&amp;L'!$220:$220,MATCH(DN$7,'qtrP&amp;L'!$6:$6,0))</f>
        <v>105</v>
      </c>
      <c r="DO46" s="324">
        <f>INDEX('qtrP&amp;L'!$221:$221,MATCH(DN$7,'qtrP&amp;L'!$6:$6,0))</f>
        <v>106</v>
      </c>
      <c r="DP46" s="324">
        <f>INDEX('qtrP&amp;L'!$222:$222,MATCH(DN$7,'qtrP&amp;L'!$6:$6,0))</f>
        <v>121</v>
      </c>
      <c r="DQ46" s="324">
        <f>INDEX('qtrP&amp;L'!$223:$223,MATCH(DN$7,'qtrP&amp;L'!$6:$6,0))</f>
        <v>122</v>
      </c>
      <c r="DR46" s="324"/>
      <c r="DS46" s="324">
        <f>INDEX('qtrP&amp;L'!$220:$220,MATCH(DS$7,'qtrP&amp;L'!$6:$6,0))</f>
        <v>118</v>
      </c>
      <c r="DT46" s="324">
        <f>INDEX('qtrP&amp;L'!$221:$221,MATCH(DS$7,'qtrP&amp;L'!$6:$6,0))</f>
        <v>126</v>
      </c>
      <c r="DU46" s="324">
        <f>INDEX('qtrP&amp;L'!$222:$222,MATCH(DS$7,'qtrP&amp;L'!$6:$6,0))</f>
        <v>132</v>
      </c>
      <c r="DV46" s="324">
        <f>INDEX('qtrP&amp;L'!$223:$223,MATCH(DS$7,'qtrP&amp;L'!$6:$6,0))</f>
        <v>132</v>
      </c>
      <c r="DW46" s="324"/>
      <c r="DX46" s="324">
        <f>INDEX('qtrP&amp;L'!$220:$220,MATCH(DX$7,'qtrP&amp;L'!$6:$6,0))</f>
        <v>130</v>
      </c>
      <c r="DY46" s="324">
        <f>INDEX('qtrP&amp;L'!$221:$221,MATCH(DX$7,'qtrP&amp;L'!$6:$6,0))</f>
        <v>147</v>
      </c>
      <c r="DZ46" s="324">
        <f>INDEX('qtrP&amp;L'!$222:$222,MATCH(DX$7,'qtrP&amp;L'!$6:$6,0))</f>
        <v>147</v>
      </c>
      <c r="EA46" s="324">
        <f>INDEX('qtrP&amp;L'!$223:$223,MATCH(DX$7,'qtrP&amp;L'!$6:$6,0))</f>
        <v>152</v>
      </c>
      <c r="EB46" s="324"/>
      <c r="EC46" s="324">
        <f>INDEX('qtrP&amp;L'!$220:$220,MATCH(EC$7,'qtrP&amp;L'!$6:$6,0))</f>
        <v>155</v>
      </c>
      <c r="ED46" s="324">
        <f>INDEX('qtrP&amp;L'!$221:$221,MATCH(EC$7,'qtrP&amp;L'!$6:$6,0))</f>
        <v>164</v>
      </c>
      <c r="EE46" s="324">
        <f>INDEX('qtrP&amp;L'!$222:$222,MATCH(EC$7,'qtrP&amp;L'!$6:$6,0))</f>
        <v>161</v>
      </c>
      <c r="EF46" s="324">
        <f>INDEX('qtrP&amp;L'!$223:$223,MATCH(EC$7,'qtrP&amp;L'!$6:$6,0))</f>
        <v>165</v>
      </c>
      <c r="EG46" s="249"/>
      <c r="EH46" s="324">
        <f>INDEX('qtrP&amp;L'!$220:$220,MATCH(EH$7,'qtrP&amp;L'!$6:$6,0))</f>
        <v>161</v>
      </c>
      <c r="EI46" s="324">
        <f>INDEX('qtrP&amp;L'!$221:$221,MATCH(EH$7,'qtrP&amp;L'!$6:$6,0))</f>
        <v>159</v>
      </c>
      <c r="EJ46" s="324">
        <f>INDEX('qtrP&amp;L'!$222:$222,MATCH(EH$7,'qtrP&amp;L'!$6:$6,0))</f>
        <v>159</v>
      </c>
      <c r="EK46" s="324">
        <f>INDEX('qtrP&amp;L'!$223:$223,MATCH(EH$7,'qtrP&amp;L'!$6:$6,0))</f>
        <v>163</v>
      </c>
      <c r="EL46" s="324"/>
      <c r="EM46" s="324">
        <f>INDEX('qtrP&amp;L'!$220:$220,MATCH(EM$7,'qtrP&amp;L'!$6:$6,0))</f>
        <v>161</v>
      </c>
      <c r="EN46" s="324">
        <f>INDEX('qtrP&amp;L'!$221:$221,MATCH(EM$7,'qtrP&amp;L'!$6:$6,0))</f>
        <v>159</v>
      </c>
      <c r="EO46" s="324">
        <f>INDEX('qtrP&amp;L'!$222:$222,MATCH(EM$7,'qtrP&amp;L'!$6:$6,0))</f>
        <v>159</v>
      </c>
      <c r="EP46" s="324">
        <f>INDEX('qtrP&amp;L'!$223:$223,MATCH(EM$7,'qtrP&amp;L'!$6:$6,0))</f>
        <v>163</v>
      </c>
      <c r="EQ46" s="324"/>
      <c r="ER46" s="277"/>
      <c r="ES46" s="324">
        <f>flow!L10</f>
        <v>85.614999999999995</v>
      </c>
      <c r="ET46" s="324">
        <f>flow!M10</f>
        <v>96.034000000000006</v>
      </c>
      <c r="EU46" s="324">
        <f>flow!N10</f>
        <v>102.76300000000001</v>
      </c>
      <c r="EV46" s="324">
        <f>flow!O10</f>
        <v>103.46599999999999</v>
      </c>
      <c r="EW46" s="324">
        <f>flow!P10</f>
        <v>110.789</v>
      </c>
      <c r="EX46" s="324">
        <f>flow!Q10</f>
        <v>134.34700000000001</v>
      </c>
      <c r="EY46" s="324">
        <f>flow!R10</f>
        <v>156.12200000000001</v>
      </c>
      <c r="EZ46" s="324">
        <f>flow!S10</f>
        <v>159.72499999999999</v>
      </c>
      <c r="FA46" s="324">
        <f>flow!T10</f>
        <v>180.655</v>
      </c>
      <c r="FB46" s="324">
        <f>flow!U10</f>
        <v>193.71799999999999</v>
      </c>
      <c r="FC46" s="324">
        <f>flow!V10</f>
        <v>191.95</v>
      </c>
      <c r="FD46" s="324">
        <f>flow!W10</f>
        <v>213.089</v>
      </c>
      <c r="FE46" s="324">
        <f>flow!X10</f>
        <v>233.93100000000001</v>
      </c>
      <c r="FF46" s="324">
        <f>flow!Y10</f>
        <v>250.68299999999999</v>
      </c>
      <c r="FG46" s="324">
        <f>flow!Z10</f>
        <v>264.76900000000001</v>
      </c>
      <c r="FH46" s="324">
        <f>flow!AA10</f>
        <v>276.32799999999997</v>
      </c>
      <c r="FI46" s="325">
        <f>flow!AB10</f>
        <v>284.52</v>
      </c>
      <c r="FJ46" s="325">
        <f>flow!AC10</f>
        <v>269</v>
      </c>
      <c r="FK46" s="324">
        <f>flow!AD10</f>
        <v>302</v>
      </c>
      <c r="FL46" s="324">
        <f>flow!AE10</f>
        <v>313</v>
      </c>
      <c r="FM46" s="325">
        <f>flow!AF10</f>
        <v>327</v>
      </c>
      <c r="FN46" s="324">
        <f>flow!AG10</f>
        <v>371</v>
      </c>
      <c r="FO46" s="324">
        <f>flow!AH10</f>
        <v>429</v>
      </c>
      <c r="FP46" s="324">
        <f>flow!AI10</f>
        <v>454</v>
      </c>
      <c r="FQ46" s="324">
        <f>flow!AJ10</f>
        <v>508</v>
      </c>
      <c r="FR46" s="324">
        <f>flow!AK10</f>
        <v>576</v>
      </c>
      <c r="FS46" s="324">
        <f>flow!AL10</f>
        <v>645</v>
      </c>
      <c r="FT46" s="324">
        <f>flow!AM10</f>
        <v>666</v>
      </c>
      <c r="FU46" s="324">
        <f>flow!AN10</f>
        <v>642</v>
      </c>
      <c r="FV46" s="324">
        <f>flow!AO10</f>
        <v>632</v>
      </c>
      <c r="FW46" s="326">
        <f>flow!AP10</f>
        <v>622</v>
      </c>
      <c r="FX46" s="324">
        <f>flow!AQ10</f>
        <v>612</v>
      </c>
      <c r="FY46" s="326">
        <f>flow!AR10</f>
        <v>602</v>
      </c>
      <c r="FZ46" s="324"/>
      <c r="GA46" s="324"/>
      <c r="GB46" s="299"/>
      <c r="GC46" s="324"/>
      <c r="GD46" s="324"/>
    </row>
    <row r="47" spans="1:270" x14ac:dyDescent="0.2">
      <c r="A47" s="276" t="s">
        <v>169</v>
      </c>
      <c r="C47" s="324"/>
      <c r="D47" s="324"/>
      <c r="E47" s="324"/>
      <c r="F47" s="324"/>
      <c r="G47" s="324"/>
      <c r="H47" s="324"/>
      <c r="I47" s="324"/>
      <c r="J47" s="324"/>
      <c r="K47" s="324"/>
      <c r="L47" s="324"/>
      <c r="M47" s="324"/>
      <c r="N47" s="324"/>
      <c r="O47" s="324"/>
      <c r="P47" s="324"/>
      <c r="Q47" s="324"/>
      <c r="R47" s="324"/>
      <c r="S47" s="324"/>
      <c r="T47" s="324"/>
      <c r="U47" s="324"/>
      <c r="V47" s="324"/>
      <c r="W47" s="324"/>
      <c r="X47" s="324"/>
      <c r="Y47" s="324"/>
      <c r="Z47" s="324"/>
      <c r="AA47" s="324"/>
      <c r="AB47" s="324"/>
      <c r="AC47" s="324"/>
      <c r="AD47" s="324"/>
      <c r="AE47" s="324"/>
      <c r="AF47" s="324"/>
      <c r="AG47" s="324"/>
      <c r="AH47" s="324"/>
      <c r="AI47" s="324"/>
      <c r="AJ47" s="324"/>
      <c r="AK47" s="324"/>
      <c r="AL47" s="324"/>
      <c r="AM47" s="324"/>
      <c r="AN47" s="324"/>
      <c r="AO47" s="324"/>
      <c r="AP47" s="324"/>
      <c r="AQ47" s="324"/>
      <c r="AR47" s="324"/>
      <c r="AS47" s="324"/>
      <c r="AT47" s="324"/>
      <c r="AU47" s="324"/>
      <c r="AV47" s="324"/>
      <c r="AW47" s="324"/>
      <c r="AX47" s="324"/>
      <c r="AY47" s="324"/>
      <c r="AZ47" s="324"/>
      <c r="BA47" s="324"/>
      <c r="BB47" s="324"/>
      <c r="BC47" s="324"/>
      <c r="BD47" s="324"/>
      <c r="BE47" s="324"/>
      <c r="BF47" s="324"/>
      <c r="BG47" s="324"/>
      <c r="BH47" s="324"/>
      <c r="BI47" s="324"/>
      <c r="BJ47" s="324"/>
      <c r="BK47" s="324">
        <f>BK46+BK23</f>
        <v>120.85</v>
      </c>
      <c r="BL47" s="324">
        <f>BL46+BL23</f>
        <v>157.50299999999993</v>
      </c>
      <c r="BM47" s="324">
        <f>BM46+BM23</f>
        <v>103.61900000000006</v>
      </c>
      <c r="BN47" s="324">
        <f>BN46+BN23</f>
        <v>198.47200000000004</v>
      </c>
      <c r="BO47" s="324"/>
      <c r="BP47" s="324">
        <f>BP46+BP23</f>
        <v>121.10899999999999</v>
      </c>
      <c r="BQ47" s="324">
        <f>BQ46+BQ23</f>
        <v>188.11599999999976</v>
      </c>
      <c r="BR47" s="324">
        <f>BR46+BR23</f>
        <v>155.76199999999994</v>
      </c>
      <c r="BS47" s="324">
        <f>BS46+BS23</f>
        <v>274.83699999999999</v>
      </c>
      <c r="BT47" s="324"/>
      <c r="BU47" s="324">
        <f>BU46+BU23</f>
        <v>205.5620000000001</v>
      </c>
      <c r="BV47" s="324">
        <f>BV46+BV23</f>
        <v>247.65099999999998</v>
      </c>
      <c r="BW47" s="324">
        <f>BW46+BW23</f>
        <v>193.41699999999986</v>
      </c>
      <c r="BX47" s="324">
        <f>BX46+BX23</f>
        <v>342.87299999999993</v>
      </c>
      <c r="BY47" s="324"/>
      <c r="BZ47" s="324">
        <f>BZ46+BZ23</f>
        <v>254.82299999999992</v>
      </c>
      <c r="CA47" s="324">
        <f>CA46+CA23</f>
        <v>320.9289999999998</v>
      </c>
      <c r="CB47" s="324">
        <f>CB46+CB23</f>
        <v>215.85899999999995</v>
      </c>
      <c r="CC47" s="324">
        <f>CC46+CC23</f>
        <v>414.9939999999998</v>
      </c>
      <c r="CD47" s="324"/>
      <c r="CE47" s="324">
        <f>CE46+CE23</f>
        <v>294.26299999999998</v>
      </c>
      <c r="CF47" s="324">
        <f>CF46+CF23</f>
        <v>373.34099999999989</v>
      </c>
      <c r="CG47" s="324">
        <f>CG46+CG23</f>
        <v>299.77299999999991</v>
      </c>
      <c r="CH47" s="324">
        <f>CH46+CH23</f>
        <v>465.5539999999998</v>
      </c>
      <c r="CI47" s="324"/>
      <c r="CJ47" s="324">
        <f>CJ46+CJ23</f>
        <v>330.33500000000004</v>
      </c>
      <c r="CK47" s="324">
        <f>CK46+CK23</f>
        <v>377.72699999999975</v>
      </c>
      <c r="CL47" s="324">
        <f>CL46+CL23</f>
        <v>323.04299999999989</v>
      </c>
      <c r="CM47" s="324">
        <f>CM46+CM23</f>
        <v>450.47699999999998</v>
      </c>
      <c r="CN47" s="324"/>
      <c r="CO47" s="324">
        <f>CO46+CO23</f>
        <v>309</v>
      </c>
      <c r="CP47" s="324">
        <f>CP46+CP23</f>
        <v>343</v>
      </c>
      <c r="CQ47" s="324">
        <f>CQ46+CQ23</f>
        <v>203.55100000000004</v>
      </c>
      <c r="CR47" s="324">
        <f>CR46+CR23</f>
        <v>236</v>
      </c>
      <c r="CS47" s="324"/>
      <c r="CT47" s="324">
        <f>CT46+CT23</f>
        <v>223</v>
      </c>
      <c r="CU47" s="324">
        <f>CU46+CU23</f>
        <v>284</v>
      </c>
      <c r="CV47" s="324">
        <f>CV46+CV23</f>
        <v>251</v>
      </c>
      <c r="CW47" s="324">
        <f>CW46+CW23</f>
        <v>389</v>
      </c>
      <c r="CX47" s="324"/>
      <c r="CY47" s="324">
        <f>CY46+CY23</f>
        <v>298</v>
      </c>
      <c r="CZ47" s="324">
        <f>CZ46+CZ23</f>
        <v>355</v>
      </c>
      <c r="DA47" s="324">
        <f>DA46+DA23</f>
        <v>303</v>
      </c>
      <c r="DB47" s="324">
        <f>DB46+DB23</f>
        <v>489</v>
      </c>
      <c r="DC47" s="324"/>
      <c r="DD47" s="324">
        <f>DD46+DD23</f>
        <v>358</v>
      </c>
      <c r="DE47" s="324">
        <f>DE46+DE23</f>
        <v>413</v>
      </c>
      <c r="DF47" s="324">
        <f>DF46+DF23</f>
        <v>334</v>
      </c>
      <c r="DG47" s="324">
        <f>DG46+DG23</f>
        <v>515</v>
      </c>
      <c r="DH47" s="324"/>
      <c r="DI47" s="324">
        <f>DI46+DI23</f>
        <v>381</v>
      </c>
      <c r="DJ47" s="324">
        <f>DJ46+DJ23</f>
        <v>396</v>
      </c>
      <c r="DK47" s="324">
        <f>DK46+DK23</f>
        <v>384</v>
      </c>
      <c r="DL47" s="324">
        <f>DL46+DL23</f>
        <v>613</v>
      </c>
      <c r="DM47" s="324"/>
      <c r="DN47" s="324">
        <f>DN46+DN23</f>
        <v>380</v>
      </c>
      <c r="DO47" s="324">
        <f>DO46+DO23</f>
        <v>441</v>
      </c>
      <c r="DP47" s="324">
        <f>DP46+DP23</f>
        <v>374</v>
      </c>
      <c r="DQ47" s="324">
        <f>DQ46+DQ23</f>
        <v>609</v>
      </c>
      <c r="DR47" s="324"/>
      <c r="DS47" s="324">
        <f>DS46+DS23</f>
        <v>383</v>
      </c>
      <c r="DT47" s="324">
        <f>DT46+DT23</f>
        <v>457</v>
      </c>
      <c r="DU47" s="324">
        <f>DU46+DU23</f>
        <v>394</v>
      </c>
      <c r="DV47" s="324">
        <f>DV46+DV23</f>
        <v>597</v>
      </c>
      <c r="DW47" s="324"/>
      <c r="DX47" s="324">
        <f>DX46+DX23</f>
        <v>375</v>
      </c>
      <c r="DY47" s="324">
        <f>DY46+DY23</f>
        <v>473</v>
      </c>
      <c r="DZ47" s="324">
        <f>DZ46+DZ23</f>
        <v>333</v>
      </c>
      <c r="EA47" s="324">
        <f>EA46+EA23</f>
        <v>524</v>
      </c>
      <c r="EB47" s="324"/>
      <c r="EC47" s="324">
        <f>EC46+EC23</f>
        <v>261</v>
      </c>
      <c r="ED47" s="324">
        <f>ED46+ED23</f>
        <v>385</v>
      </c>
      <c r="EE47" s="324">
        <f>EE46+EE23</f>
        <v>413</v>
      </c>
      <c r="EF47" s="324">
        <f>EF46+EF23</f>
        <v>589</v>
      </c>
      <c r="EG47" s="249"/>
      <c r="EH47" s="324">
        <f>EH46+EH23</f>
        <v>312</v>
      </c>
      <c r="EI47" s="324">
        <f>EI46+EI23</f>
        <v>376</v>
      </c>
      <c r="EJ47" s="324">
        <f>EJ46+EJ23</f>
        <v>367</v>
      </c>
      <c r="EK47" s="324">
        <f>EK46+EK23</f>
        <v>513</v>
      </c>
      <c r="EL47" s="324"/>
      <c r="EM47" s="324">
        <f>EM46+EM23</f>
        <v>282.68815519230793</v>
      </c>
      <c r="EN47" s="324">
        <f>EN46+EN23</f>
        <v>345.70833184158425</v>
      </c>
      <c r="EO47" s="324">
        <f>EO46+EO23</f>
        <v>356.55534016666621</v>
      </c>
      <c r="EP47" s="324">
        <f>EP46+EP23</f>
        <v>504.78381147540989</v>
      </c>
      <c r="EQ47" s="324"/>
      <c r="ER47" s="277"/>
      <c r="ES47" s="324">
        <f t="shared" ref="ES47:FR47" si="17">ES46+ES23</f>
        <v>316.15899999999999</v>
      </c>
      <c r="ET47" s="324">
        <f t="shared" si="17"/>
        <v>362.35500000000025</v>
      </c>
      <c r="EU47" s="324">
        <f t="shared" si="17"/>
        <v>376.29200000000048</v>
      </c>
      <c r="EV47" s="324">
        <f t="shared" si="17"/>
        <v>372.03000000000009</v>
      </c>
      <c r="EW47" s="324">
        <f t="shared" si="17"/>
        <v>477.01100000000019</v>
      </c>
      <c r="EX47" s="324">
        <f t="shared" si="17"/>
        <v>445.58699999999965</v>
      </c>
      <c r="EY47" s="324">
        <f t="shared" si="17"/>
        <v>439.02699999999993</v>
      </c>
      <c r="EZ47" s="324">
        <f t="shared" si="17"/>
        <v>501.18799999999965</v>
      </c>
      <c r="FA47" s="324">
        <f t="shared" si="17"/>
        <v>565.46900000000016</v>
      </c>
      <c r="FB47" s="324">
        <f t="shared" si="17"/>
        <v>575.90499999999975</v>
      </c>
      <c r="FC47" s="324">
        <f t="shared" si="17"/>
        <v>454.52300000000065</v>
      </c>
      <c r="FD47" s="324">
        <f t="shared" si="17"/>
        <v>492.61500000000018</v>
      </c>
      <c r="FE47" s="324">
        <f t="shared" si="17"/>
        <v>564.64400000000001</v>
      </c>
      <c r="FF47" s="324">
        <f t="shared" si="17"/>
        <v>739.82399999999882</v>
      </c>
      <c r="FG47" s="324">
        <f t="shared" si="17"/>
        <v>989.50299999999993</v>
      </c>
      <c r="FH47" s="324">
        <f t="shared" si="17"/>
        <v>1206.6049999999989</v>
      </c>
      <c r="FI47" s="325">
        <f t="shared" si="17"/>
        <v>1432.931</v>
      </c>
      <c r="FJ47" s="325">
        <f t="shared" si="17"/>
        <v>1481.5820000000003</v>
      </c>
      <c r="FK47" s="324">
        <f t="shared" si="17"/>
        <v>1081.5509999999999</v>
      </c>
      <c r="FL47" s="324">
        <f t="shared" si="17"/>
        <v>1147</v>
      </c>
      <c r="FM47" s="325">
        <f t="shared" si="17"/>
        <v>1445</v>
      </c>
      <c r="FN47" s="324">
        <f t="shared" si="17"/>
        <v>1620</v>
      </c>
      <c r="FO47" s="324">
        <f t="shared" si="17"/>
        <v>1774</v>
      </c>
      <c r="FP47" s="324">
        <f t="shared" si="17"/>
        <v>1804</v>
      </c>
      <c r="FQ47" s="324">
        <f t="shared" si="17"/>
        <v>1831</v>
      </c>
      <c r="FR47" s="324">
        <f t="shared" si="17"/>
        <v>1705</v>
      </c>
      <c r="FS47" s="324">
        <f t="shared" ref="FS47:FY47" si="18">FS46+FS23</f>
        <v>1648</v>
      </c>
      <c r="FT47" s="324">
        <f t="shared" si="18"/>
        <v>1592</v>
      </c>
      <c r="FU47" s="324">
        <f t="shared" si="18"/>
        <v>1489.7356386759689</v>
      </c>
      <c r="FV47" s="324">
        <f t="shared" si="18"/>
        <v>1444.8598373180703</v>
      </c>
      <c r="FW47" s="326">
        <f t="shared" si="18"/>
        <v>1403.7326241807532</v>
      </c>
      <c r="FX47" s="324">
        <f t="shared" si="18"/>
        <v>1362.6337201055953</v>
      </c>
      <c r="FY47" s="326">
        <f t="shared" si="18"/>
        <v>1333.6161807936971</v>
      </c>
      <c r="FZ47" s="324"/>
      <c r="GA47" s="324"/>
      <c r="GB47" s="324"/>
      <c r="GC47" s="299"/>
      <c r="GD47" s="324"/>
    </row>
    <row r="48" spans="1:270" x14ac:dyDescent="0.2">
      <c r="A48" s="276"/>
      <c r="C48" s="324"/>
      <c r="D48" s="324"/>
      <c r="E48" s="324"/>
      <c r="F48" s="324"/>
      <c r="G48" s="324"/>
      <c r="H48" s="324"/>
      <c r="I48" s="324"/>
      <c r="J48" s="324"/>
      <c r="K48" s="324"/>
      <c r="L48" s="324"/>
      <c r="M48" s="324"/>
      <c r="N48" s="324"/>
      <c r="O48" s="324"/>
      <c r="P48" s="324"/>
      <c r="Q48" s="324"/>
      <c r="R48" s="324"/>
      <c r="S48" s="324"/>
      <c r="T48" s="324"/>
      <c r="U48" s="324"/>
      <c r="V48" s="324"/>
      <c r="W48" s="324"/>
      <c r="X48" s="324"/>
      <c r="Y48" s="324"/>
      <c r="Z48" s="324"/>
      <c r="AA48" s="324"/>
      <c r="AB48" s="324"/>
      <c r="AC48" s="324"/>
      <c r="AD48" s="324"/>
      <c r="AE48" s="324"/>
      <c r="AF48" s="324"/>
      <c r="AG48" s="324"/>
      <c r="AH48" s="324"/>
      <c r="AI48" s="324"/>
      <c r="AJ48" s="324"/>
      <c r="AK48" s="324"/>
      <c r="AL48" s="324"/>
      <c r="AM48" s="324"/>
      <c r="AN48" s="324"/>
      <c r="AO48" s="324"/>
      <c r="AP48" s="324"/>
      <c r="AQ48" s="324"/>
      <c r="AR48" s="324"/>
      <c r="AS48" s="324"/>
      <c r="AT48" s="324"/>
      <c r="AU48" s="324"/>
      <c r="AV48" s="324"/>
      <c r="AW48" s="324"/>
      <c r="AX48" s="324"/>
      <c r="AY48" s="324"/>
      <c r="AZ48" s="324"/>
      <c r="BA48" s="324"/>
      <c r="BB48" s="324"/>
      <c r="BC48" s="324"/>
      <c r="BD48" s="324"/>
      <c r="BE48" s="324"/>
      <c r="BF48" s="324"/>
      <c r="BG48" s="324"/>
      <c r="BH48" s="324"/>
      <c r="BI48" s="324"/>
      <c r="BJ48" s="324"/>
      <c r="BK48" s="324"/>
      <c r="BL48" s="324"/>
      <c r="BM48" s="324"/>
      <c r="BN48" s="324"/>
      <c r="BO48" s="324"/>
      <c r="BP48" s="324"/>
      <c r="BQ48" s="324"/>
      <c r="BR48" s="324"/>
      <c r="BS48" s="324"/>
      <c r="BT48" s="324"/>
      <c r="BU48" s="324"/>
      <c r="BV48" s="324"/>
      <c r="BW48" s="324"/>
      <c r="BX48" s="324"/>
      <c r="BY48" s="324"/>
      <c r="BZ48" s="324"/>
      <c r="CA48" s="324"/>
      <c r="CB48" s="324"/>
      <c r="CC48" s="324"/>
      <c r="CD48" s="324"/>
      <c r="CE48" s="324"/>
      <c r="CF48" s="324"/>
      <c r="CG48" s="324"/>
      <c r="CH48" s="324"/>
      <c r="CI48" s="324"/>
      <c r="CJ48" s="324"/>
      <c r="CK48" s="324"/>
      <c r="CL48" s="324"/>
      <c r="CM48" s="324"/>
      <c r="CN48" s="324"/>
      <c r="CO48" s="324"/>
      <c r="CP48" s="324"/>
      <c r="CQ48" s="324"/>
      <c r="CR48" s="324"/>
      <c r="CS48" s="324"/>
      <c r="CT48" s="324"/>
      <c r="CU48" s="324"/>
      <c r="CV48" s="324"/>
      <c r="CW48" s="324"/>
      <c r="CX48" s="324"/>
      <c r="CY48" s="324"/>
      <c r="CZ48" s="324"/>
      <c r="DA48" s="324"/>
      <c r="DB48" s="324"/>
      <c r="DC48" s="324"/>
      <c r="DD48" s="324"/>
      <c r="DE48" s="324"/>
      <c r="DF48" s="324"/>
      <c r="DG48" s="324"/>
      <c r="DH48" s="324"/>
      <c r="DI48" s="324"/>
      <c r="DJ48" s="324"/>
      <c r="DK48" s="324"/>
      <c r="DL48" s="324"/>
      <c r="DM48" s="324"/>
      <c r="DN48" s="324"/>
      <c r="DO48" s="324"/>
      <c r="DP48" s="324"/>
      <c r="DQ48" s="324"/>
      <c r="DR48" s="324"/>
      <c r="DS48" s="324"/>
      <c r="DT48" s="324"/>
      <c r="DU48" s="324"/>
      <c r="DV48" s="324"/>
      <c r="DW48" s="324"/>
      <c r="DX48" s="324"/>
      <c r="DY48" s="324"/>
      <c r="DZ48" s="324"/>
      <c r="EA48" s="324"/>
      <c r="EB48" s="324"/>
      <c r="EC48" s="299"/>
      <c r="ED48" s="324"/>
      <c r="EE48" s="324"/>
      <c r="EF48" s="324"/>
      <c r="EG48" s="249"/>
      <c r="EH48" s="299"/>
      <c r="EI48" s="324"/>
      <c r="EJ48" s="324"/>
      <c r="EK48" s="1367"/>
      <c r="EL48" s="324"/>
      <c r="EM48" s="299"/>
      <c r="EN48" s="324"/>
      <c r="EO48" s="324"/>
      <c r="EP48" s="324"/>
      <c r="EQ48" s="324"/>
      <c r="ER48" s="277"/>
      <c r="ES48" s="324"/>
      <c r="ET48" s="324"/>
      <c r="EU48" s="324"/>
      <c r="EV48" s="324"/>
      <c r="EW48" s="324"/>
      <c r="EX48" s="324"/>
      <c r="EY48" s="324"/>
      <c r="EZ48" s="324"/>
      <c r="FA48" s="324"/>
      <c r="FB48" s="324"/>
      <c r="FC48" s="324"/>
      <c r="FD48" s="324"/>
      <c r="FE48" s="324"/>
      <c r="FF48" s="324"/>
      <c r="FG48" s="324"/>
      <c r="FH48" s="324"/>
      <c r="FI48" s="325"/>
      <c r="FJ48" s="325"/>
      <c r="FK48" s="324"/>
      <c r="FL48" s="324"/>
      <c r="FM48" s="325"/>
      <c r="FN48" s="324"/>
      <c r="FO48" s="299"/>
      <c r="FP48" s="258"/>
      <c r="FQ48" s="299"/>
      <c r="FR48" s="299"/>
      <c r="FS48" s="299"/>
      <c r="FT48" s="299"/>
      <c r="FU48" s="299"/>
      <c r="FV48" s="299"/>
      <c r="FW48" s="328"/>
      <c r="FX48" s="299"/>
      <c r="FY48" s="328"/>
      <c r="FZ48" s="299"/>
      <c r="GA48" s="299"/>
      <c r="GB48" s="324"/>
      <c r="GC48" s="324"/>
      <c r="GD48" s="324"/>
    </row>
    <row r="49" spans="1:186" x14ac:dyDescent="0.2">
      <c r="A49" s="271" t="s">
        <v>170</v>
      </c>
      <c r="CZ49" s="249"/>
      <c r="DA49" s="249"/>
      <c r="DB49" s="249"/>
      <c r="DC49" s="249"/>
      <c r="DD49" s="249"/>
      <c r="DE49" s="249"/>
      <c r="DF49" s="249"/>
      <c r="DG49" s="249"/>
      <c r="DH49" s="249"/>
      <c r="DI49" s="249"/>
      <c r="DJ49" s="249"/>
      <c r="DK49" s="249"/>
      <c r="DL49" s="249"/>
      <c r="DM49" s="249"/>
      <c r="DN49" s="249"/>
      <c r="DO49" s="249"/>
      <c r="DP49" s="249"/>
      <c r="DQ49" s="249"/>
      <c r="DR49" s="249"/>
      <c r="DS49" s="249"/>
      <c r="DT49" s="249"/>
      <c r="DU49" s="249"/>
      <c r="DV49" s="249"/>
      <c r="DW49" s="249"/>
      <c r="DX49" s="249"/>
      <c r="DY49" s="249"/>
      <c r="DZ49" s="249"/>
      <c r="EA49" s="249"/>
      <c r="EB49" s="249"/>
      <c r="EC49" s="338"/>
      <c r="ED49" s="338"/>
      <c r="EE49" s="338"/>
      <c r="EF49" s="249"/>
      <c r="EG49" s="249"/>
      <c r="EH49" s="338"/>
      <c r="EI49" s="338"/>
      <c r="EJ49" s="338"/>
      <c r="EK49" s="249"/>
      <c r="EL49" s="249"/>
      <c r="EM49" s="338"/>
      <c r="EN49" s="338"/>
      <c r="EO49" s="338"/>
      <c r="EP49" s="249"/>
      <c r="EQ49" s="249"/>
      <c r="ER49" s="277"/>
      <c r="ES49" s="258"/>
      <c r="ET49" s="258"/>
      <c r="EU49" s="258"/>
      <c r="EV49" s="258"/>
      <c r="EW49" s="258"/>
      <c r="EX49" s="258"/>
      <c r="EY49" s="258"/>
      <c r="EZ49" s="258"/>
      <c r="FA49" s="258"/>
      <c r="FB49" s="258"/>
      <c r="FC49" s="258"/>
      <c r="FD49" s="258"/>
      <c r="FE49" s="258"/>
      <c r="FF49" s="258"/>
      <c r="FG49" s="258"/>
      <c r="FH49" s="258"/>
      <c r="FI49" s="329"/>
      <c r="FJ49" s="329"/>
      <c r="FK49" s="258"/>
      <c r="FL49" s="258"/>
      <c r="FM49" s="329"/>
      <c r="FN49" s="258"/>
      <c r="FO49" s="258"/>
      <c r="FP49" s="258"/>
      <c r="FQ49" s="258"/>
      <c r="FR49" s="258"/>
      <c r="FS49" s="299"/>
      <c r="FT49" s="1329"/>
      <c r="FU49" s="299"/>
      <c r="FV49" s="299"/>
      <c r="FW49" s="328"/>
      <c r="FX49" s="299"/>
      <c r="FY49" s="328"/>
      <c r="FZ49" s="249"/>
      <c r="GA49" s="249"/>
      <c r="GB49" s="249"/>
      <c r="GC49" s="249"/>
      <c r="GD49" s="249"/>
    </row>
    <row r="50" spans="1:186" x14ac:dyDescent="0.2">
      <c r="A50" s="276" t="s">
        <v>537</v>
      </c>
      <c r="C50" s="330">
        <f>1-C14/C10</f>
        <v>0.31531531531531531</v>
      </c>
      <c r="D50" s="330">
        <f>1-D14/D10</f>
        <v>0.31011235955056182</v>
      </c>
      <c r="E50" s="330">
        <f>1-E14/E10</f>
        <v>0.31784532997322412</v>
      </c>
      <c r="F50" s="330">
        <f>1-F14/F10</f>
        <v>0.29728993448534013</v>
      </c>
      <c r="G50" s="331"/>
      <c r="H50" s="330">
        <f>1-H14/H10</f>
        <v>0.32800362919933246</v>
      </c>
      <c r="I50" s="330">
        <f>1-I14/I10</f>
        <v>0.32513903575331493</v>
      </c>
      <c r="J50" s="330">
        <f>1-J14/J10</f>
        <v>0.32507419110230729</v>
      </c>
      <c r="K50" s="330">
        <f>1-K14/K10</f>
        <v>0.29936833882722469</v>
      </c>
      <c r="L50" s="331"/>
      <c r="M50" s="330">
        <f>1-M14/M10</f>
        <v>0.31924845851743489</v>
      </c>
      <c r="N50" s="330">
        <f>1-N14/N10</f>
        <v>0.31483077207613153</v>
      </c>
      <c r="O50" s="330">
        <f>1-O14/O10</f>
        <v>0.3242949623016923</v>
      </c>
      <c r="P50" s="330">
        <f>1-P14/P10</f>
        <v>0.31074497803606804</v>
      </c>
      <c r="Q50" s="331"/>
      <c r="R50" s="330">
        <f>1-R14/R10</f>
        <v>0.30618682239752482</v>
      </c>
      <c r="S50" s="330">
        <f>1-S14/S10</f>
        <v>0.30126810419209449</v>
      </c>
      <c r="T50" s="330">
        <f>1-T14/T10</f>
        <v>0.31851520653831111</v>
      </c>
      <c r="U50" s="330">
        <f>1-U14/U10</f>
        <v>0.32150377813737097</v>
      </c>
      <c r="V50" s="331"/>
      <c r="W50" s="330">
        <f>1-W14/W10</f>
        <v>0.33058596282192265</v>
      </c>
      <c r="X50" s="330">
        <f>1-X14/X10</f>
        <v>0.32963471085251428</v>
      </c>
      <c r="Y50" s="330">
        <f>1-Y14/Y10</f>
        <v>0.33952072466727301</v>
      </c>
      <c r="Z50" s="330">
        <f>1-Z14/Z10</f>
        <v>0.33124983731433888</v>
      </c>
      <c r="AA50" s="331"/>
      <c r="AB50" s="330">
        <f>1-AB14/AB10</f>
        <v>0.32104664307661368</v>
      </c>
      <c r="AC50" s="330">
        <f>1-AC14/AC10</f>
        <v>0.32147795193166961</v>
      </c>
      <c r="AD50" s="330">
        <f>1-AD14/AD10</f>
        <v>0.32482180034581321</v>
      </c>
      <c r="AE50" s="330">
        <f>1-AE14/AE10</f>
        <v>0.30711425306664109</v>
      </c>
      <c r="AF50" s="330"/>
      <c r="AG50" s="330">
        <f>1-AG14/AG10</f>
        <v>0.31883235720703518</v>
      </c>
      <c r="AH50" s="330">
        <f>1-AH14/AH10</f>
        <v>0.30574869670002502</v>
      </c>
      <c r="AI50" s="330">
        <f>1-AI14/AI10</f>
        <v>0.32410507496647845</v>
      </c>
      <c r="AJ50" s="330">
        <f>1-AJ14/AJ10</f>
        <v>0.29029584535841357</v>
      </c>
      <c r="AK50" s="331"/>
      <c r="AL50" s="330">
        <f>1-AL14/AL10</f>
        <v>0.32213469609865097</v>
      </c>
      <c r="AM50" s="330">
        <f>1-AM14/AM10</f>
        <v>0.31698569101005281</v>
      </c>
      <c r="AN50" s="330">
        <f>1-AN14/AN10</f>
        <v>0.33557383848542466</v>
      </c>
      <c r="AO50" s="330">
        <f>1-AO14/AO10</f>
        <v>0.31200042894027014</v>
      </c>
      <c r="AP50" s="331"/>
      <c r="AQ50" s="330">
        <f>1-AQ14/AQ10</f>
        <v>0.32869647140254654</v>
      </c>
      <c r="AR50" s="330">
        <f>1-AR14/AR10</f>
        <v>0.32892023956597327</v>
      </c>
      <c r="AS50" s="330">
        <f>1-AS14/AS10</f>
        <v>0.50409462519069281</v>
      </c>
      <c r="AT50" s="330">
        <f>1-AT14/AT10</f>
        <v>0.33729310766907183</v>
      </c>
      <c r="AU50" s="331"/>
      <c r="AV50" s="330">
        <f>1-AV14/AV10</f>
        <v>0.33770311951150267</v>
      </c>
      <c r="AW50" s="330">
        <f>1-AW14/AW10</f>
        <v>0.34643808520883057</v>
      </c>
      <c r="AX50" s="330">
        <f>1-AX14/AX10</f>
        <v>0.35336010535854878</v>
      </c>
      <c r="AY50" s="330">
        <f>1-AY14/AY10</f>
        <v>0.35082171132354056</v>
      </c>
      <c r="AZ50" s="331"/>
      <c r="BA50" s="330">
        <f>1-BA14/BA10</f>
        <v>0.35350280090551489</v>
      </c>
      <c r="BB50" s="330">
        <f>1-BB14/BB10</f>
        <v>0.34503083316461169</v>
      </c>
      <c r="BC50" s="330">
        <f>1-BC14/BC10</f>
        <v>0.34737442470235025</v>
      </c>
      <c r="BD50" s="330">
        <f>1-BD14/BD10</f>
        <v>0.32013275071191938</v>
      </c>
      <c r="BE50" s="331"/>
      <c r="BF50" s="330">
        <f>1-BF14/BF10</f>
        <v>0.34449607566253981</v>
      </c>
      <c r="BG50" s="330">
        <f>1-BG14/BG10</f>
        <v>0.3266039531388788</v>
      </c>
      <c r="BH50" s="330">
        <f>1-BH14/BH10</f>
        <v>0.32461805250149078</v>
      </c>
      <c r="BI50" s="330">
        <f>1-BI14/BI10</f>
        <v>0.33200497826606745</v>
      </c>
      <c r="BJ50" s="331"/>
      <c r="BK50" s="330">
        <f>1-BK14/BK10</f>
        <v>0.33928899684610447</v>
      </c>
      <c r="BL50" s="330">
        <f>1-BL14/BL10</f>
        <v>0.33312212176417433</v>
      </c>
      <c r="BM50" s="330">
        <f>1-BM14/BM10</f>
        <v>0.34087564927777414</v>
      </c>
      <c r="BN50" s="330">
        <f>1-BN14/BN10</f>
        <v>0.33224474547380134</v>
      </c>
      <c r="BO50" s="331"/>
      <c r="BP50" s="330">
        <f>1-BP14/BP10</f>
        <v>0.33649301520361341</v>
      </c>
      <c r="BQ50" s="330">
        <f>1-BQ14/BQ10</f>
        <v>0.33079336620349609</v>
      </c>
      <c r="BR50" s="330">
        <f>1-BR14/BR10</f>
        <v>0.35320417287630401</v>
      </c>
      <c r="BS50" s="330">
        <f>1-BS14/BS10</f>
        <v>0.36249478949562319</v>
      </c>
      <c r="BT50" s="331"/>
      <c r="BU50" s="330">
        <f>1-BU14/BU10</f>
        <v>0.36637034432005422</v>
      </c>
      <c r="BV50" s="330">
        <f>1-BV14/BV10</f>
        <v>0.34942154513995538</v>
      </c>
      <c r="BW50" s="330">
        <f>1-BW14/BW10</f>
        <v>0.36132027754360929</v>
      </c>
      <c r="BX50" s="330">
        <f>1-BX14/BX10</f>
        <v>0.36645776427945342</v>
      </c>
      <c r="BY50" s="331"/>
      <c r="BZ50" s="330">
        <f>1-BZ14/BZ10</f>
        <v>0.36767516443292547</v>
      </c>
      <c r="CA50" s="330">
        <f>1-CA14/CA10</f>
        <v>0.36028736663504934</v>
      </c>
      <c r="CB50" s="330">
        <f>1-CB14/CB10</f>
        <v>0.36467466986794717</v>
      </c>
      <c r="CC50" s="330">
        <f>1-CC14/CC10</f>
        <v>0.3745302086509561</v>
      </c>
      <c r="CD50" s="331"/>
      <c r="CE50" s="330">
        <f>1-CE14/CE10</f>
        <v>0.37164920102303967</v>
      </c>
      <c r="CF50" s="330">
        <f>1-CF14/CF10</f>
        <v>0.36284810003928702</v>
      </c>
      <c r="CG50" s="330">
        <f>1-CG14/CG10</f>
        <v>0.3803102713899823</v>
      </c>
      <c r="CH50" s="330">
        <f>1-CH14/CH10</f>
        <v>0.38264946193399685</v>
      </c>
      <c r="CI50" s="331"/>
      <c r="CJ50" s="330">
        <f>1-CJ14/CJ10</f>
        <v>0.37828475969766706</v>
      </c>
      <c r="CK50" s="330">
        <f>1-CK14/CK10</f>
        <v>0.36642759274123682</v>
      </c>
      <c r="CL50" s="330">
        <f>1-CL14/CL10</f>
        <v>0.37653341074397439</v>
      </c>
      <c r="CM50" s="330">
        <f>1-CM14/CM10</f>
        <v>0.37589498806682575</v>
      </c>
      <c r="CN50" s="331"/>
      <c r="CO50" s="330">
        <f>1-CO14/CO10</f>
        <v>0.3725385843533795</v>
      </c>
      <c r="CP50" s="330">
        <f>1-CP14/CP10</f>
        <v>0.34936598163533017</v>
      </c>
      <c r="CQ50" s="330">
        <f>1-CQ14/CQ10</f>
        <v>0.34348519736842109</v>
      </c>
      <c r="CR50" s="330">
        <f>1-CR14/CR10</f>
        <v>0.3198609300304216</v>
      </c>
      <c r="CS50" s="331"/>
      <c r="CT50" s="330">
        <f>1-CT14/CT10</f>
        <v>0.35111371629542787</v>
      </c>
      <c r="CU50" s="330">
        <f>1-CU14/CU10</f>
        <v>0.33892773892773898</v>
      </c>
      <c r="CV50" s="330">
        <f>1-CV14/CV10</f>
        <v>0.35224839400428265</v>
      </c>
      <c r="CW50" s="330">
        <f>1-CW14/CW10</f>
        <v>0.372587632926349</v>
      </c>
      <c r="CX50" s="331"/>
      <c r="CY50" s="330">
        <f>1-CY14/CY10</f>
        <v>0.37537688442211059</v>
      </c>
      <c r="CZ50" s="330">
        <f>1-CZ14/CZ10</f>
        <v>0.3525031030202731</v>
      </c>
      <c r="DA50" s="330">
        <f>1-DA14/DA10</f>
        <v>0.36224245328222326</v>
      </c>
      <c r="DB50" s="330">
        <f>1-DB14/DB10</f>
        <v>0.37571022727272729</v>
      </c>
      <c r="DC50" s="331"/>
      <c r="DD50" s="330">
        <f>1-DD14/DD10</f>
        <v>0.37864513234634367</v>
      </c>
      <c r="DE50" s="330">
        <f>1-DE14/DE10</f>
        <v>0.36561119293078059</v>
      </c>
      <c r="DF50" s="330">
        <f>1-DF14/DF10</f>
        <v>0.36592530423835501</v>
      </c>
      <c r="DG50" s="330">
        <f>1-DG14/DG10</f>
        <v>0.37740612180498578</v>
      </c>
      <c r="DH50" s="331"/>
      <c r="DI50" s="330">
        <f>1-DI14/DI10</f>
        <v>0.37514792899408289</v>
      </c>
      <c r="DJ50" s="330">
        <f>1-DJ14/DJ10</f>
        <v>0.35606579849211784</v>
      </c>
      <c r="DK50" s="330">
        <f>1-DK14/DK10</f>
        <v>0.36232952451161071</v>
      </c>
      <c r="DL50" s="330">
        <f>1-DL14/DL10</f>
        <v>0.37736373748609564</v>
      </c>
      <c r="DM50" s="331"/>
      <c r="DN50" s="330">
        <f>1-DN14/DN10</f>
        <v>0.37034249153180276</v>
      </c>
      <c r="DO50" s="330">
        <f>1-DO14/DO10</f>
        <v>0.35438144329896903</v>
      </c>
      <c r="DP50" s="330">
        <f>1-DP14/DP10</f>
        <v>0.35829451809387314</v>
      </c>
      <c r="DQ50" s="330">
        <f>1-DQ14/DQ10</f>
        <v>0.37216380741560595</v>
      </c>
      <c r="DR50" s="331"/>
      <c r="DS50" s="330">
        <f>1-DS14/DS10</f>
        <v>0.35777229467747618</v>
      </c>
      <c r="DT50" s="330">
        <f>1-DT14/DT10</f>
        <v>0.35376213592233008</v>
      </c>
      <c r="DU50" s="330">
        <f>1-DU14/DU10</f>
        <v>0.3549342105263158</v>
      </c>
      <c r="DV50" s="330">
        <f>1-DV14/DV10</f>
        <v>0.3666835957338751</v>
      </c>
      <c r="DW50" s="331"/>
      <c r="DX50" s="330">
        <f>1-DX14/DX10</f>
        <v>0.35826645264847512</v>
      </c>
      <c r="DY50" s="330">
        <f>1-DY14/DY10</f>
        <v>0.35325180655919952</v>
      </c>
      <c r="DZ50" s="330">
        <f>1-DZ14/DZ10</f>
        <v>0.33868477925285578</v>
      </c>
      <c r="EA50" s="330">
        <f>1-EA14/EA10</f>
        <v>0.34829833454018821</v>
      </c>
      <c r="EB50" s="331"/>
      <c r="EC50" s="330">
        <f>1-EC14/EC10</f>
        <v>0.34210526315789469</v>
      </c>
      <c r="ED50" s="330">
        <f>1-ED14/ED10</f>
        <v>0.34354120267260579</v>
      </c>
      <c r="EE50" s="330">
        <f>1-EE14/EE10</f>
        <v>0.34879032258064513</v>
      </c>
      <c r="EF50" s="330">
        <f>1-EF14/EF10</f>
        <v>0.35894414329483859</v>
      </c>
      <c r="EG50" s="249"/>
      <c r="EH50" s="330">
        <f>1-EH14/EH10</f>
        <v>0.34278743519365662</v>
      </c>
      <c r="EI50" s="330">
        <f>1-EI14/EI10</f>
        <v>0.34059725585149314</v>
      </c>
      <c r="EJ50" s="330">
        <f>1-EJ14/EJ10</f>
        <v>0.34622987856537701</v>
      </c>
      <c r="EK50" s="330">
        <f>1-EK14/EK10</f>
        <v>0.35456521739130431</v>
      </c>
      <c r="EL50" s="330"/>
      <c r="EM50" s="330">
        <f>1-EM14/EM10</f>
        <v>0.34250000000000003</v>
      </c>
      <c r="EN50" s="330">
        <f>1-EN14/EN10</f>
        <v>0.34099999999999997</v>
      </c>
      <c r="EO50" s="330">
        <f>1-EO14/EO10</f>
        <v>0.34749999999999992</v>
      </c>
      <c r="EP50" s="330">
        <f>1-EP14/EP10</f>
        <v>0.35650000000000004</v>
      </c>
      <c r="EQ50" s="330"/>
      <c r="ER50" s="277"/>
      <c r="ES50" s="330">
        <f t="shared" ref="ES50:FV50" si="19">1-ES14/ES10</f>
        <v>0.30880568256583496</v>
      </c>
      <c r="ET50" s="330">
        <f t="shared" si="19"/>
        <v>0.31774848890817731</v>
      </c>
      <c r="EU50" s="330">
        <f t="shared" si="19"/>
        <v>0.31645021784178118</v>
      </c>
      <c r="EV50" s="330">
        <f t="shared" si="19"/>
        <v>0.31215970860778097</v>
      </c>
      <c r="EW50" s="330">
        <f t="shared" si="19"/>
        <v>0.33250284120233831</v>
      </c>
      <c r="EX50" s="330">
        <f t="shared" si="19"/>
        <v>0.3177933427267573</v>
      </c>
      <c r="EY50" s="330">
        <f t="shared" si="19"/>
        <v>0.30788380941387983</v>
      </c>
      <c r="EZ50" s="330">
        <f t="shared" si="19"/>
        <v>0.32067839552281874</v>
      </c>
      <c r="FA50" s="330">
        <f t="shared" si="19"/>
        <v>0.33472192112397048</v>
      </c>
      <c r="FB50" s="330">
        <f t="shared" si="19"/>
        <v>0.34749271703243345</v>
      </c>
      <c r="FC50" s="330">
        <f t="shared" si="19"/>
        <v>0.3398767160281283</v>
      </c>
      <c r="FD50" s="330">
        <f t="shared" si="19"/>
        <v>0.33159884489708258</v>
      </c>
      <c r="FE50" s="330">
        <f t="shared" si="19"/>
        <v>0.33216959904828813</v>
      </c>
      <c r="FF50" s="330">
        <f t="shared" si="19"/>
        <v>0.34630566271106211</v>
      </c>
      <c r="FG50" s="330">
        <f t="shared" si="19"/>
        <v>0.36066134439275921</v>
      </c>
      <c r="FH50" s="330">
        <f t="shared" si="19"/>
        <v>0.36705055232607819</v>
      </c>
      <c r="FI50" s="332">
        <f t="shared" si="19"/>
        <v>0.37458966546886707</v>
      </c>
      <c r="FJ50" s="332">
        <f t="shared" si="19"/>
        <v>0.37400380207376371</v>
      </c>
      <c r="FK50" s="330">
        <f t="shared" si="19"/>
        <v>0.34513532746351461</v>
      </c>
      <c r="FL50" s="330">
        <f t="shared" si="19"/>
        <v>0.35480745943327685</v>
      </c>
      <c r="FM50" s="332">
        <f t="shared" si="19"/>
        <v>0.36659505907626211</v>
      </c>
      <c r="FN50" s="330">
        <f t="shared" si="19"/>
        <v>0.37201105077641228</v>
      </c>
      <c r="FO50" s="330">
        <f t="shared" si="19"/>
        <v>0.36813467097432406</v>
      </c>
      <c r="FP50" s="330">
        <f t="shared" si="19"/>
        <v>0.36404734506000325</v>
      </c>
      <c r="FQ50" s="330">
        <f t="shared" si="19"/>
        <v>0.35878270154831826</v>
      </c>
      <c r="FR50" s="330">
        <f t="shared" si="19"/>
        <v>0.34955658034764103</v>
      </c>
      <c r="FS50" s="330">
        <f t="shared" si="19"/>
        <v>0.34898958548865444</v>
      </c>
      <c r="FT50" s="330">
        <f t="shared" si="19"/>
        <v>0.3466340754442756</v>
      </c>
      <c r="FU50" s="330">
        <f t="shared" si="19"/>
        <v>0.34724074714771191</v>
      </c>
      <c r="FV50" s="330">
        <f t="shared" si="19"/>
        <v>0.34460000000000002</v>
      </c>
      <c r="FW50" s="333">
        <f>1-FW14/FW10</f>
        <v>0.34160000000000001</v>
      </c>
      <c r="FX50" s="330">
        <f>1-FX14/FX10</f>
        <v>0.33850000000000002</v>
      </c>
      <c r="FY50" s="333">
        <f>1-FY14/FY10</f>
        <v>0.33650000000000002</v>
      </c>
      <c r="FZ50" s="330"/>
      <c r="GA50" s="330"/>
      <c r="GB50" s="330"/>
      <c r="GC50" s="330"/>
      <c r="GD50" s="330"/>
    </row>
    <row r="51" spans="1:186" x14ac:dyDescent="0.2">
      <c r="A51" s="276" t="s">
        <v>536</v>
      </c>
      <c r="C51" s="330">
        <f>IF(ISERROR(C19/C12),"NA ",C19/C12)</f>
        <v>0.28348097967691499</v>
      </c>
      <c r="D51" s="330">
        <f>IF(ISERROR(D19/D12),"NA ",D19/D12)</f>
        <v>0.24442820606503468</v>
      </c>
      <c r="E51" s="330">
        <f>IF(ISERROR(E19/E12),"NA ",E19/E12)</f>
        <v>0.27091269236629595</v>
      </c>
      <c r="F51" s="330">
        <f>IF(ISERROR(F19/F12),"NA ",F19/F12)</f>
        <v>0.2226666839552916</v>
      </c>
      <c r="G51" s="331"/>
      <c r="H51" s="330">
        <f>IF(ISERROR(H19/H12),"NA ",H19/H12)</f>
        <v>0.2669789301234084</v>
      </c>
      <c r="I51" s="330">
        <f>IF(ISERROR(I19/I12),"NA ",I19/I12)</f>
        <v>0.23949840069472869</v>
      </c>
      <c r="J51" s="330">
        <f>IF(ISERROR(J19/J12),"NA ",J19/J12)</f>
        <v>0.28627061870179588</v>
      </c>
      <c r="K51" s="330">
        <f>IF(ISERROR(K19/K12),"NA ",K19/K12)</f>
        <v>0.23788998296439509</v>
      </c>
      <c r="L51" s="331"/>
      <c r="M51" s="330">
        <f>IF(ISERROR(M19/M12),"NA ",M19/M12)</f>
        <v>0.27451179983684248</v>
      </c>
      <c r="N51" s="330">
        <f>IF(ISERROR(N19/N12),"NA ",N19/N12)</f>
        <v>0.24876195289411807</v>
      </c>
      <c r="O51" s="330">
        <f>IF(ISERROR(O19/O12),"NA ",O19/O12)</f>
        <v>0.28072732247049725</v>
      </c>
      <c r="P51" s="330">
        <f>IF(ISERROR(P19/P12),"NA ",P19/P12)</f>
        <v>0.2357355915273818</v>
      </c>
      <c r="Q51" s="331"/>
      <c r="R51" s="330">
        <f>IF(ISERROR(R19/R12),"NA ",R19/R12)</f>
        <v>0.2895465140212391</v>
      </c>
      <c r="S51" s="330">
        <f>IF(ISERROR(S19/S12),"NA ",S19/S12)</f>
        <v>0.23893718458792568</v>
      </c>
      <c r="T51" s="330">
        <f>IF(ISERROR(T19/T12),"NA ",T19/T12)</f>
        <v>0.27313324857234123</v>
      </c>
      <c r="U51" s="330">
        <f>IF(ISERROR(U19/U12),"NA ",U19/U12)</f>
        <v>0.23732922949269047</v>
      </c>
      <c r="V51" s="331"/>
      <c r="W51" s="330">
        <f>IF(ISERROR(W19/W12),"NA ",W19/W12)</f>
        <v>0.27346337216849897</v>
      </c>
      <c r="X51" s="330">
        <f>IF(ISERROR(X19/X12),"NA ",X19/X12)</f>
        <v>0.24267673905059017</v>
      </c>
      <c r="Y51" s="330">
        <f>IF(ISERROR(Y19/Y12),"NA ",Y19/Y12)</f>
        <v>0.27787248012472882</v>
      </c>
      <c r="Z51" s="330">
        <f>IF(ISERROR(Z19/Z12),"NA ",Z19/Z12)</f>
        <v>0.24258844456156531</v>
      </c>
      <c r="AA51" s="331"/>
      <c r="AB51" s="330">
        <f>IF(ISERROR(AB19/AB12),"NA ",AB19/AB12)</f>
        <v>0.28312476236134304</v>
      </c>
      <c r="AC51" s="330">
        <f>IF(ISERROR(AC19/AC12),"NA ",AC19/AC12)</f>
        <v>0.25446120552479157</v>
      </c>
      <c r="AD51" s="330">
        <f>IF(ISERROR(AD19/AD12),"NA ",AD19/AD12)</f>
        <v>0.28486404245193125</v>
      </c>
      <c r="AE51" s="330">
        <f>IF(ISERROR(AE19/AE12),"NA ",AE19/AE12)</f>
        <v>0.24640721382492822</v>
      </c>
      <c r="AF51" s="331"/>
      <c r="AG51" s="330">
        <f>IF(ISERROR(AG19/AG12),"NA ",AG19/AG12)</f>
        <v>0.28577883815927407</v>
      </c>
      <c r="AH51" s="330">
        <f>IF(ISERROR(AH19/AH12),"NA ",AH19/AH12)</f>
        <v>0.25788267622798478</v>
      </c>
      <c r="AI51" s="330">
        <f>IF(ISERROR(AI19/AI12),"NA ",AI19/AI12)</f>
        <v>0.28328732006489293</v>
      </c>
      <c r="AJ51" s="330">
        <f>IF(ISERROR(AJ19/AJ12),"NA ",AJ19/AJ12)</f>
        <v>0.24579896924424843</v>
      </c>
      <c r="AK51" s="331"/>
      <c r="AL51" s="330">
        <f>IF(ISERROR(AL19/AL12),"NA ",AL19/AL12)</f>
        <v>0.27941197443508842</v>
      </c>
      <c r="AM51" s="330">
        <f>IF(ISERROR(AM19/AM12),"NA ",AM19/AM12)</f>
        <v>0.25392192815511744</v>
      </c>
      <c r="AN51" s="330">
        <f>IF(ISERROR(AN19/AN12),"NA ",AN19/AN12)</f>
        <v>0.29187492953511962</v>
      </c>
      <c r="AO51" s="330">
        <f>IF(ISERROR(AO19/AO12),"NA ",AO19/AO12)</f>
        <v>0.25121205431137561</v>
      </c>
      <c r="AP51" s="331"/>
      <c r="AQ51" s="330">
        <f>IF(ISERROR(AQ19/AQ12),"NA ",AQ19/AQ12)</f>
        <v>0.28886022461499378</v>
      </c>
      <c r="AR51" s="330">
        <f>IF(ISERROR(AR19/AR12),"NA ",AR19/AR12)</f>
        <v>0.25731776856113997</v>
      </c>
      <c r="AS51" s="330">
        <f>IF(ISERROR(AS19/AS12),"NA ",AS19/AS12)</f>
        <v>0.22284675725328906</v>
      </c>
      <c r="AT51" s="330">
        <f>IF(ISERROR(AT19/AT12),"NA ",AT19/AT12)</f>
        <v>0.26442907220103756</v>
      </c>
      <c r="AU51" s="331"/>
      <c r="AV51" s="330">
        <f>IF(ISERROR(AV19/AV12),"NA ",AV19/AV12)</f>
        <v>0.29484270972739729</v>
      </c>
      <c r="AW51" s="330">
        <f>IF(ISERROR(AW19/AW12),"NA ",AW19/AW12)</f>
        <v>0.26845545986816066</v>
      </c>
      <c r="AX51" s="330">
        <f>IF(ISERROR(AX19/AX12),"NA ",AX19/AX12)</f>
        <v>0.30003376857271502</v>
      </c>
      <c r="AY51" s="330">
        <f>IF(ISERROR(AY19/AY12),"NA ",AY19/AY12)</f>
        <v>0.2988130364005106</v>
      </c>
      <c r="AZ51" s="331"/>
      <c r="BA51" s="330">
        <f>IF(ISERROR(BA19/BA12),"NA ",BA19/BA12)</f>
        <v>0.31396095865142476</v>
      </c>
      <c r="BB51" s="330">
        <f>IF(ISERROR(BB19/BB12),"NA ",BB19/BB12)</f>
        <v>0.29288462003076371</v>
      </c>
      <c r="BC51" s="330">
        <f>IF(ISERROR(BC19/BC12),"NA ",BC19/BC12)</f>
        <v>0.32414490513995819</v>
      </c>
      <c r="BD51" s="330">
        <f>IF(ISERROR(BD19/BD12),"NA ",BD19/BD12)</f>
        <v>0.29335272635777876</v>
      </c>
      <c r="BE51" s="331"/>
      <c r="BF51" s="330">
        <f>IF(ISERROR(BF19/BF12),"NA ",BF19/BF12)</f>
        <v>0.31605129083528855</v>
      </c>
      <c r="BG51" s="330">
        <f>IF(ISERROR(BG19/BG12),"NA ",BG19/BG12)</f>
        <v>0.28931325567142929</v>
      </c>
      <c r="BH51" s="330">
        <f>IF(ISERROR(BH19/BH12),"NA ",BH19/BH12)</f>
        <v>0.31423497787753291</v>
      </c>
      <c r="BI51" s="330">
        <f>IF(ISERROR(BI19/BI12),"NA ",BI19/BI12)</f>
        <v>0.2824581059428723</v>
      </c>
      <c r="BJ51" s="331"/>
      <c r="BK51" s="330">
        <f>IF(ISERROR(BK19/BK12),"NA ",BK19/BK12)</f>
        <v>0.30184861598120499</v>
      </c>
      <c r="BL51" s="330">
        <f>IF(ISERROR(BL19/BL12),"NA ",BL19/BL12)</f>
        <v>0.28453712262747738</v>
      </c>
      <c r="BM51" s="330">
        <f>IF(ISERROR(BM19/BM12),"NA ",BM19/BM12)</f>
        <v>0.32021702141131653</v>
      </c>
      <c r="BN51" s="330">
        <f>IF(ISERROR(BN19/BN12),"NA ",BN19/BN12)</f>
        <v>0.27919718643870617</v>
      </c>
      <c r="BO51" s="331"/>
      <c r="BP51" s="330">
        <f>IF(ISERROR(BP19/BP12),"NA ",BP19/BP12)</f>
        <v>0.30656026092841976</v>
      </c>
      <c r="BQ51" s="330">
        <f>IF(ISERROR(BQ19/BQ12),"NA ",BQ19/BQ12)</f>
        <v>0.27036363167060345</v>
      </c>
      <c r="BR51" s="330">
        <f>IF(ISERROR(BR19/BR12),"NA ",BR19/BR12)</f>
        <v>0.30240907750765322</v>
      </c>
      <c r="BS51" s="330">
        <f>IF(ISERROR(BS19/BS12),"NA ",BS19/BS12)</f>
        <v>0.27933659217520806</v>
      </c>
      <c r="BT51" s="331"/>
      <c r="BU51" s="330">
        <f>IF(ISERROR(BU19/BU12),"NA ",BU19/BU12)</f>
        <v>0.28745435647631679</v>
      </c>
      <c r="BV51" s="330">
        <f>IF(ISERROR(BV19/BV12),"NA ",BV19/BV12)</f>
        <v>0.26858894795946064</v>
      </c>
      <c r="BW51" s="330">
        <f>IF(ISERROR(BW19/BW12),"NA ",BW19/BW12)</f>
        <v>0.29347174091109574</v>
      </c>
      <c r="BX51" s="330">
        <f>IF(ISERROR(BX19/BX12),"NA ",BX19/BX12)</f>
        <v>0.26353716755926471</v>
      </c>
      <c r="BY51" s="331"/>
      <c r="BZ51" s="330">
        <f>IF(ISERROR(BZ19/BZ12),"NA ",BZ19/BZ12)</f>
        <v>0.27422834941662949</v>
      </c>
      <c r="CA51" s="330">
        <f>IF(ISERROR(CA19/CA12),"NA ",CA19/CA12)</f>
        <v>0.25620244974453943</v>
      </c>
      <c r="CB51" s="330">
        <f>IF(ISERROR(CB19/CB12),"NA ",CB19/CB12)</f>
        <v>0.28118481337730178</v>
      </c>
      <c r="CC51" s="330">
        <f>IF(ISERROR(CC19/CC12),"NA ",CC19/CC12)</f>
        <v>0.25552799700636658</v>
      </c>
      <c r="CD51" s="331"/>
      <c r="CE51" s="330">
        <f>IF(ISERROR(CE19/CE12),"NA ",CE19/CE12)</f>
        <v>0.26844303366374067</v>
      </c>
      <c r="CF51" s="330">
        <f>IF(ISERROR(CF19/CF12),"NA ",CF19/CF12)</f>
        <v>0.24859403625158119</v>
      </c>
      <c r="CG51" s="330">
        <f>IF(ISERROR(CG19/CG12),"NA ",CG19/CG12)</f>
        <v>0.27873212900365735</v>
      </c>
      <c r="CH51" s="330">
        <f>IF(ISERROR(CH19/CH12),"NA ",CH19/CH12)</f>
        <v>0.2540434233792459</v>
      </c>
      <c r="CI51" s="331"/>
      <c r="CJ51" s="330">
        <f>IF(ISERROR(CJ17/CJ10),"NA ",CJ17/CJ10)</f>
        <v>0.25692573515562944</v>
      </c>
      <c r="CK51" s="330">
        <f>IF(ISERROR(CK17/CK10),"NA ",CK17/CK10)</f>
        <v>0.24565829308080608</v>
      </c>
      <c r="CL51" s="330">
        <f>IF(ISERROR(CL17/CL10),"NA ",CL17/CL10)</f>
        <v>0.25831741475525316</v>
      </c>
      <c r="CM51" s="330">
        <f>IF(ISERROR(CM17/CM10),"NA ",CM17/CM10)</f>
        <v>0.23269689737470167</v>
      </c>
      <c r="CN51" s="331"/>
      <c r="CO51" s="330">
        <f>IF(ISERROR(CO17/CO10),"NA ",CO17/CO10)</f>
        <v>0.26237360298030865</v>
      </c>
      <c r="CP51" s="330">
        <f>IF(ISERROR(CP17/CP10),"NA ",CP17/CP10)</f>
        <v>0.23830345430695235</v>
      </c>
      <c r="CQ51" s="330">
        <f>IF(ISERROR(CQ17/CQ10),"NA ",CQ17/CQ10)</f>
        <v>0.27191118421052635</v>
      </c>
      <c r="CR51" s="330">
        <f>IF(ISERROR(CR17/CR10),"NA ",CR17/CR10)</f>
        <v>0.25206431986093003</v>
      </c>
      <c r="CS51" s="331"/>
      <c r="CT51" s="330">
        <f>IF(ISERROR(CT17/CT10),"NA ",CT17/CT10)</f>
        <v>0.2620164126611958</v>
      </c>
      <c r="CU51" s="330">
        <f>IF(ISERROR(CU17/CU10),"NA ",CU17/CU10)</f>
        <v>0.24755244755244754</v>
      </c>
      <c r="CV51" s="330">
        <f>IF(ISERROR(CV17/CV10),"NA ",CV17/CV10)</f>
        <v>0.26766595289079231</v>
      </c>
      <c r="CW51" s="330">
        <f>IF(ISERROR(CW17/CW10),"NA ",CW17/CW10)</f>
        <v>0.24852304056715241</v>
      </c>
      <c r="CX51" s="331"/>
      <c r="CY51" s="330">
        <f>IF(ISERROR(CY17/CY10),"NA ",CY17/CY10)</f>
        <v>0.26783919597989952</v>
      </c>
      <c r="CZ51" s="330">
        <f>IF(ISERROR(CZ17/CZ10),"NA ",CZ17/CZ10)</f>
        <v>0.25362019031857674</v>
      </c>
      <c r="DA51" s="330">
        <f>IF(ISERROR(DA17/DA10),"NA ",DA17/DA10)</f>
        <v>0.27264015333013897</v>
      </c>
      <c r="DB51" s="330">
        <f>IF(ISERROR(DB17/DB10),"NA ",DB17/DB10)</f>
        <v>0.24751420454545456</v>
      </c>
      <c r="DC51" s="331"/>
      <c r="DD51" s="330">
        <f>IF(ISERROR(DD17/DD10),"NA ",DD17/DD10)</f>
        <v>0.27411395244504261</v>
      </c>
      <c r="DE51" s="330">
        <f>IF(ISERROR(DE17/DE10),"NA ",DE17/DE10)</f>
        <v>0.26067746686303389</v>
      </c>
      <c r="DF51" s="330">
        <f>IF(ISERROR(DF17/DF10),"NA ",DF17/DF10)</f>
        <v>0.28115820394460761</v>
      </c>
      <c r="DG51" s="330">
        <f>IF(ISERROR(DG17/DG10),"NA ",DG17/DG10)</f>
        <v>0.25812559166929633</v>
      </c>
      <c r="DH51" s="331"/>
      <c r="DI51" s="330">
        <f>IF(ISERROR(DI17/DI10),"NA ",DI17/DI10)</f>
        <v>0.283629191321499</v>
      </c>
      <c r="DJ51" s="330">
        <f>IF(ISERROR(DJ17/DJ10),"NA ",DJ17/DJ10)</f>
        <v>0.26662097326936257</v>
      </c>
      <c r="DK51" s="330">
        <f>IF(ISERROR(DK17/DK10),"NA ",DK17/DK10)</f>
        <v>0.27939550313306305</v>
      </c>
      <c r="DL51" s="330">
        <f>IF(ISERROR(DL17/DL10),"NA ",DL17/DL10)</f>
        <v>0.2550055617352614</v>
      </c>
      <c r="DM51" s="331"/>
      <c r="DN51" s="330">
        <f>IF(ISERROR(DN17/DN10),"NA ",DN17/DN10)</f>
        <v>0.28377869777945053</v>
      </c>
      <c r="DO51" s="330">
        <f>IF(ISERROR(DO17/DO10),"NA ",DO17/DO10)</f>
        <v>0.25998711340206188</v>
      </c>
      <c r="DP51" s="330">
        <f>IF(ISERROR(DP17/DP10),"NA ",DP17/DP10)</f>
        <v>0.28412755284844143</v>
      </c>
      <c r="DQ51" s="330">
        <f>IF(ISERROR(DQ17/DQ10),"NA ",DQ17/DQ10)</f>
        <v>0.25401217487548422</v>
      </c>
      <c r="DR51" s="331"/>
      <c r="DS51" s="330">
        <f>IF(ISERROR(DS17/DS10),"NA ",DS17/DS10)</f>
        <v>0.27952062037363412</v>
      </c>
      <c r="DT51" s="330">
        <f>IF(ISERROR(DT17/DT10),"NA ",DT17/DT10)</f>
        <v>0.26972087378640774</v>
      </c>
      <c r="DU51" s="330">
        <f>IF(ISERROR(DU17/DU10),"NA ",DU17/DU10)</f>
        <v>0.28782894736842107</v>
      </c>
      <c r="DV51" s="330">
        <f>IF(ISERROR(DV17/DV10),"NA ",DV17/DV10)</f>
        <v>0.26206196038598273</v>
      </c>
      <c r="DW51" s="331"/>
      <c r="DX51" s="330">
        <f>IF(ISERROR(DX17/DX10),"NA ",DX17/DX10)</f>
        <v>0.29502407704654898</v>
      </c>
      <c r="DY51" s="330">
        <f>IF(ISERROR(DY17/DY10),"NA ",DY17/DY10)</f>
        <v>0.27765425236242358</v>
      </c>
      <c r="DZ51" s="330">
        <f>IF(ISERROR(DZ17/DZ10),"NA ",DZ17/DZ10)</f>
        <v>0.29360913862303178</v>
      </c>
      <c r="EA51" s="330">
        <f>IF(ISERROR(EA17/EA10),"NA ",EA17/EA10)</f>
        <v>0.26212889210716872</v>
      </c>
      <c r="EB51" s="331"/>
      <c r="EC51" s="330">
        <f>IF(ISERROR(EC17/EC10),"NA ",EC17/EC10)</f>
        <v>0.31422305764411029</v>
      </c>
      <c r="ED51" s="330">
        <f>IF(ISERROR(ED17/ED10),"NA ",ED17/ED10)</f>
        <v>0.28674832962138086</v>
      </c>
      <c r="EE51" s="330">
        <f>IF(ISERROR(EE17/EE10),"NA ",EE17/EE10)</f>
        <v>0.28513824884792627</v>
      </c>
      <c r="EF51" s="330">
        <f>IF(ISERROR(EF17/EF10),"NA ",EF17/EF10)</f>
        <v>0.26632099929295311</v>
      </c>
      <c r="EG51" s="249"/>
      <c r="EH51" s="330">
        <f>IF(ISERROR(EH17/EH10),"NA ",EH17/EH10)</f>
        <v>0.30802073802988716</v>
      </c>
      <c r="EI51" s="330">
        <f>IF(ISERROR(EI17/EI10),"NA ",EI17/EI10)</f>
        <v>0.29351627656712403</v>
      </c>
      <c r="EJ51" s="330">
        <f>IF(ISERROR(EJ17/EJ10),"NA ",EJ17/EJ10)</f>
        <v>0.30217452696978253</v>
      </c>
      <c r="EK51" s="330">
        <f>IF(ISERROR(EK17/EK10),"NA ",EK17/EK10)</f>
        <v>0.29065217391304349</v>
      </c>
      <c r="EL51" s="330"/>
      <c r="EM51" s="330">
        <f>IF(ISERROR(EM17/EM10),"NA ",EM17/EM10)</f>
        <v>0.31899999999999995</v>
      </c>
      <c r="EN51" s="330">
        <f>IF(ISERROR(EN17/EN10),"NA ",EN17/EN10)</f>
        <v>0.30499999999999999</v>
      </c>
      <c r="EO51" s="330">
        <f>IF(ISERROR(EO17/EO10),"NA ",EO17/EO10)</f>
        <v>0.30800000000000005</v>
      </c>
      <c r="EP51" s="330">
        <f>IF(ISERROR(EP17/EP10),"NA ",EP17/EP10)</f>
        <v>0.29399999999999998</v>
      </c>
      <c r="EQ51" s="330"/>
      <c r="ER51" s="277"/>
      <c r="ES51" s="330">
        <f t="shared" ref="ES51:FU51" si="20">IF(ISERROR(ES17/ES10),"NA ",ES17/ES10)</f>
        <v>0</v>
      </c>
      <c r="ET51" s="330">
        <f t="shared" si="20"/>
        <v>0</v>
      </c>
      <c r="EU51" s="330">
        <f t="shared" si="20"/>
        <v>0</v>
      </c>
      <c r="EV51" s="330">
        <f t="shared" si="20"/>
        <v>0</v>
      </c>
      <c r="EW51" s="330">
        <f t="shared" si="20"/>
        <v>0</v>
      </c>
      <c r="EX51" s="330">
        <f t="shared" si="20"/>
        <v>0</v>
      </c>
      <c r="EY51" s="330">
        <f t="shared" si="20"/>
        <v>0</v>
      </c>
      <c r="EZ51" s="330">
        <f t="shared" si="20"/>
        <v>0</v>
      </c>
      <c r="FA51" s="330">
        <f t="shared" si="20"/>
        <v>0</v>
      </c>
      <c r="FB51" s="330">
        <f t="shared" si="20"/>
        <v>0</v>
      </c>
      <c r="FC51" s="330">
        <f t="shared" si="20"/>
        <v>0</v>
      </c>
      <c r="FD51" s="330">
        <f t="shared" si="20"/>
        <v>0</v>
      </c>
      <c r="FE51" s="330">
        <f t="shared" si="20"/>
        <v>0</v>
      </c>
      <c r="FF51" s="330">
        <f t="shared" si="20"/>
        <v>0</v>
      </c>
      <c r="FG51" s="330">
        <f t="shared" si="20"/>
        <v>0</v>
      </c>
      <c r="FH51" s="330">
        <f t="shared" si="20"/>
        <v>0</v>
      </c>
      <c r="FI51" s="332">
        <f t="shared" si="20"/>
        <v>0</v>
      </c>
      <c r="FJ51" s="332">
        <f t="shared" si="20"/>
        <v>0.2472865875968841</v>
      </c>
      <c r="FK51" s="330">
        <f t="shared" si="20"/>
        <v>0.25497117356169341</v>
      </c>
      <c r="FL51" s="330">
        <f t="shared" si="20"/>
        <v>0.25538871397432794</v>
      </c>
      <c r="FM51" s="332">
        <f t="shared" ref="FM51:FT51" si="21">IF(ISERROR(FM17/FM10),"NA ",FM17/FM10)</f>
        <v>0.25907626208378087</v>
      </c>
      <c r="FN51" s="330">
        <f t="shared" si="21"/>
        <v>0.26740973611508051</v>
      </c>
      <c r="FO51" s="330">
        <f t="shared" si="21"/>
        <v>0.2696820268661792</v>
      </c>
      <c r="FP51" s="330">
        <f t="shared" si="21"/>
        <v>0.26894624362978792</v>
      </c>
      <c r="FQ51" s="330">
        <f t="shared" si="21"/>
        <v>0.27373960796277935</v>
      </c>
      <c r="FR51" s="330">
        <f t="shared" si="21"/>
        <v>0.28059595601277049</v>
      </c>
      <c r="FS51" s="330">
        <f t="shared" si="21"/>
        <v>0.28643354714118213</v>
      </c>
      <c r="FT51" s="330">
        <f t="shared" si="21"/>
        <v>0.2978133051463302</v>
      </c>
      <c r="FU51" s="330">
        <f t="shared" si="20"/>
        <v>0.30569584758174173</v>
      </c>
      <c r="FV51" s="330">
        <f>IF(ISERROR(FV17/FV10),"NA ",FV17/FV10)</f>
        <v>0.3075</v>
      </c>
      <c r="FW51" s="333">
        <f>IF(ISERROR(FW17/FW10),"NA ",FW17/FW10)</f>
        <v>0.30840000000000001</v>
      </c>
      <c r="FX51" s="330">
        <f>IF(ISERROR(FX17/FX10),"NA ",FX17/FX10)</f>
        <v>0.309</v>
      </c>
      <c r="FY51" s="333">
        <f>IF(ISERROR(FY17/FY10),"NA ",FY17/FY10)</f>
        <v>0.30980000000000002</v>
      </c>
      <c r="FZ51" s="330"/>
      <c r="GA51" s="330"/>
      <c r="GB51" s="330"/>
      <c r="GC51" s="330"/>
      <c r="GD51" s="334"/>
    </row>
    <row r="52" spans="1:186" x14ac:dyDescent="0.2">
      <c r="A52" s="276" t="s">
        <v>535</v>
      </c>
      <c r="C52" s="330">
        <f>C23/C12</f>
        <v>5.6453013722424894E-2</v>
      </c>
      <c r="D52" s="330">
        <f>D23/D12</f>
        <v>8.2572159298501993E-2</v>
      </c>
      <c r="E52" s="330">
        <f>E23/E12</f>
        <v>6.917568185281113E-2</v>
      </c>
      <c r="F52" s="330">
        <f>F23/F12</f>
        <v>9.1677255949448144E-2</v>
      </c>
      <c r="G52" s="331"/>
      <c r="H52" s="330">
        <f>H23/H12</f>
        <v>8.4157742594548723E-2</v>
      </c>
      <c r="I52" s="330">
        <f>I23/I12</f>
        <v>9.9847757399358542E-2</v>
      </c>
      <c r="J52" s="330">
        <f>J23/J12</f>
        <v>6.1072172493385112E-2</v>
      </c>
      <c r="K52" s="330">
        <f>K23/K12</f>
        <v>7.7431570323077084E-2</v>
      </c>
      <c r="L52" s="331"/>
      <c r="M52" s="330">
        <f>M23/M12</f>
        <v>6.836619992758243E-2</v>
      </c>
      <c r="N52" s="330">
        <f>N23/N12</f>
        <v>8.1477418287863757E-2</v>
      </c>
      <c r="O52" s="330">
        <f>O23/O12</f>
        <v>6.3980070185776686E-2</v>
      </c>
      <c r="P52" s="330">
        <f>P23/P12</f>
        <v>9.0146652726745422E-2</v>
      </c>
      <c r="Q52" s="331"/>
      <c r="R52" s="330">
        <f>R23/R12</f>
        <v>3.9308700900630184E-2</v>
      </c>
      <c r="S52" s="330">
        <f>S23/S12</f>
        <v>7.6942024314091445E-2</v>
      </c>
      <c r="T52" s="330">
        <f>T23/T12</f>
        <v>6.4877511107519784E-2</v>
      </c>
      <c r="U52" s="330">
        <f>U23/U12</f>
        <v>9.6580024449292493E-2</v>
      </c>
      <c r="V52" s="331"/>
      <c r="W52" s="330">
        <f>W23/W12</f>
        <v>7.7273664463150732E-2</v>
      </c>
      <c r="X52" s="330">
        <f>X23/X12</f>
        <v>0.1010524311113328</v>
      </c>
      <c r="Y52" s="330">
        <f>Y23/Y12</f>
        <v>7.985532539939505E-2</v>
      </c>
      <c r="Z52" s="330">
        <f>Z23/Z12</f>
        <v>0.10153336846959606</v>
      </c>
      <c r="AA52" s="331"/>
      <c r="AB52" s="330">
        <f>AB23/AB12</f>
        <v>6.2996384349974052E-2</v>
      </c>
      <c r="AC52" s="330">
        <f>AC23/AC12</f>
        <v>8.3765514607599775E-2</v>
      </c>
      <c r="AD52" s="330">
        <f>AD23/AD12</f>
        <v>6.323391469793771E-2</v>
      </c>
      <c r="AE52" s="330">
        <f>AE23/AE12</f>
        <v>7.8319285523692883E-2</v>
      </c>
      <c r="AF52" s="331"/>
      <c r="AG52" s="330">
        <f>AG23/AG12</f>
        <v>5.8097352377671642E-2</v>
      </c>
      <c r="AH52" s="330">
        <f>AH23/AH12</f>
        <v>6.6199893658568654E-2</v>
      </c>
      <c r="AI52" s="330">
        <f>AI23/AI12</f>
        <v>6.3682821527732109E-2</v>
      </c>
      <c r="AJ52" s="330">
        <f>AJ23/AJ12</f>
        <v>5.857888649594227E-2</v>
      </c>
      <c r="AK52" s="331"/>
      <c r="AL52" s="330">
        <f>AL23/AL12</f>
        <v>6.1996133072821737E-2</v>
      </c>
      <c r="AM52" s="330">
        <f>AM23/AM12</f>
        <v>7.6162156129194955E-2</v>
      </c>
      <c r="AN52" s="330">
        <f>AN23/AN12</f>
        <v>6.0223089574061132E-2</v>
      </c>
      <c r="AO52" s="330">
        <f>AO23/AO12</f>
        <v>7.3058130671641158E-2</v>
      </c>
      <c r="AP52" s="331"/>
      <c r="AQ52" s="330">
        <f>AQ23/AQ12</f>
        <v>5.8908196280327882E-2</v>
      </c>
      <c r="AR52" s="330">
        <f>AR23/AR12</f>
        <v>8.415391468666035E-2</v>
      </c>
      <c r="AS52" s="330">
        <f>AS23/AS12</f>
        <v>0.29029654060850629</v>
      </c>
      <c r="AT52" s="330">
        <f>AT23/AT12</f>
        <v>8.291136093844384E-2</v>
      </c>
      <c r="AU52" s="331"/>
      <c r="AV52" s="330">
        <f>AV23/AV12</f>
        <v>5.9737760450614588E-2</v>
      </c>
      <c r="AW52" s="330">
        <f>AW23/AW12</f>
        <v>8.7805543803141789E-2</v>
      </c>
      <c r="AX52" s="330">
        <f>AX23/AX12</f>
        <v>6.8701457676722158E-2</v>
      </c>
      <c r="AY52" s="330">
        <f>AY23/AY12</f>
        <v>6.5405388058377298E-2</v>
      </c>
      <c r="AZ52" s="331"/>
      <c r="BA52" s="330">
        <f>BA23/BA12</f>
        <v>5.6549425557115458E-2</v>
      </c>
      <c r="BB52" s="330">
        <f>BB23/BB12</f>
        <v>6.6666085037729889E-2</v>
      </c>
      <c r="BC52" s="330">
        <f>BC23/BC12</f>
        <v>4.1811991491378882E-2</v>
      </c>
      <c r="BD52" s="330">
        <f>BD23/BD12</f>
        <v>3.8644221080478575E-2</v>
      </c>
      <c r="BE52" s="331"/>
      <c r="BF52" s="330">
        <f>BF23/BF12</f>
        <v>4.7848342289445067E-2</v>
      </c>
      <c r="BG52" s="330">
        <f>BG23/BG12</f>
        <v>5.2353795741898114E-2</v>
      </c>
      <c r="BH52" s="330">
        <f>BH23/BH12</f>
        <v>2.7548094542285913E-2</v>
      </c>
      <c r="BI52" s="330">
        <f>BI23/BI12</f>
        <v>6.1235799390412834E-2</v>
      </c>
      <c r="BJ52" s="331"/>
      <c r="BK52" s="330">
        <f>BK23/BK12</f>
        <v>5.4643821854245093E-2</v>
      </c>
      <c r="BL52" s="330">
        <f>BL23/BL12</f>
        <v>6.252347165865596E-2</v>
      </c>
      <c r="BM52" s="330">
        <f>BM23/BM12</f>
        <v>3.7646691557325231E-2</v>
      </c>
      <c r="BN52" s="330">
        <f>BN23/BN12</f>
        <v>6.6988196287065593E-2</v>
      </c>
      <c r="BO52" s="331"/>
      <c r="BP52" s="330">
        <f>BP23/BP12</f>
        <v>4.7175852451746908E-2</v>
      </c>
      <c r="BQ52" s="330">
        <f>BQ23/BQ12</f>
        <v>7.3690153282943677E-2</v>
      </c>
      <c r="BR52" s="330">
        <f>BR23/BR12</f>
        <v>6.9764878664385133E-2</v>
      </c>
      <c r="BS52" s="330">
        <f>BS23/BS12</f>
        <v>9.6429032434167117E-2</v>
      </c>
      <c r="BT52" s="331"/>
      <c r="BU52" s="330">
        <f>BU23/BU12</f>
        <v>9.4802019331076001E-2</v>
      </c>
      <c r="BV52" s="330">
        <f>BV23/BV12</f>
        <v>9.4845332940642582E-2</v>
      </c>
      <c r="BW52" s="330">
        <f>BW23/BW12</f>
        <v>8.5957406590636942E-2</v>
      </c>
      <c r="BX52" s="330">
        <f>BX23/BX12</f>
        <v>0.1163405095358552</v>
      </c>
      <c r="BY52" s="331"/>
      <c r="BZ52" s="330">
        <f>BZ23/BZ12</f>
        <v>0.10936739559016402</v>
      </c>
      <c r="CA52" s="330">
        <f>CA23/CA12</f>
        <v>0.11745656797780792</v>
      </c>
      <c r="CB52" s="330">
        <f>CB23/CB12</f>
        <v>0.10104765517845155</v>
      </c>
      <c r="CC52" s="330">
        <f>CC23/CC12</f>
        <v>0.13526971975416224</v>
      </c>
      <c r="CD52" s="331"/>
      <c r="CE52" s="330">
        <f>CE23/CE12</f>
        <v>0.12158097966335715</v>
      </c>
      <c r="CF52" s="330">
        <f>CF23/CF12</f>
        <v>0.13088470518191628</v>
      </c>
      <c r="CG52" s="330">
        <f>CG23/CG12</f>
        <v>0.12045489149742969</v>
      </c>
      <c r="CH52" s="330">
        <f>CH23/CH12</f>
        <v>0.14349456085693899</v>
      </c>
      <c r="CI52" s="331"/>
      <c r="CJ52" s="330">
        <f>CJ21/CJ10</f>
        <v>0.12135902454203761</v>
      </c>
      <c r="CK52" s="330">
        <f>CK21/CK10</f>
        <v>0.12076929966043075</v>
      </c>
      <c r="CL52" s="330">
        <f>CL21/CL10</f>
        <v>0.11821599598872126</v>
      </c>
      <c r="CM52" s="330">
        <f>CM21/CM10</f>
        <v>0.14319809069212411</v>
      </c>
      <c r="CN52" s="331"/>
      <c r="CO52" s="330">
        <f>CO21/CO10</f>
        <v>0.11016498137307078</v>
      </c>
      <c r="CP52" s="330">
        <f>CP21/CP10</f>
        <v>0.11106252732837779</v>
      </c>
      <c r="CQ52" s="330">
        <f>CQ21/CQ10</f>
        <v>7.1574013157894759E-2</v>
      </c>
      <c r="CR52" s="330">
        <f>CR21/CR10</f>
        <v>6.7796610169491525E-2</v>
      </c>
      <c r="CS52" s="331"/>
      <c r="CT52" s="330">
        <f>CT21/CT10</f>
        <v>8.9097303634232128E-2</v>
      </c>
      <c r="CU52" s="330">
        <f>CU21/CU10</f>
        <v>9.1375291375291379E-2</v>
      </c>
      <c r="CV52" s="330">
        <f>CV21/CV10</f>
        <v>8.4582441113490364E-2</v>
      </c>
      <c r="CW52" s="330">
        <f>CW21/CW10</f>
        <v>0.12406459235919653</v>
      </c>
      <c r="CX52" s="331"/>
      <c r="CY52" s="330">
        <f>CY21/CY10</f>
        <v>0.10753768844221105</v>
      </c>
      <c r="CZ52" s="330">
        <f>CZ21/CZ10</f>
        <v>9.8882912701696316E-2</v>
      </c>
      <c r="DA52" s="330">
        <f>DA21/DA10</f>
        <v>8.9602299952084338E-2</v>
      </c>
      <c r="DB52" s="330">
        <f>DB21/DB10</f>
        <v>0.12819602272727273</v>
      </c>
      <c r="DC52" s="331"/>
      <c r="DD52" s="330">
        <f>DD21/DD10</f>
        <v>0.10453117990130104</v>
      </c>
      <c r="DE52" s="330">
        <f>DE21/DE10</f>
        <v>0.10493372606774669</v>
      </c>
      <c r="DF52" s="330">
        <f>DF21/DF10</f>
        <v>8.4767100293747372E-2</v>
      </c>
      <c r="DG52" s="330">
        <f>DG21/DG10</f>
        <v>0.1192805301356895</v>
      </c>
      <c r="DH52" s="331"/>
      <c r="DI52" s="330">
        <f>DI21/DI10</f>
        <v>9.1518737672583825E-2</v>
      </c>
      <c r="DJ52" s="330">
        <f>DJ21/DJ10</f>
        <v>8.9444825222755306E-2</v>
      </c>
      <c r="DK52" s="330">
        <f>DK21/DK10</f>
        <v>8.2934021378547731E-2</v>
      </c>
      <c r="DL52" s="330">
        <f>DL21/DL10</f>
        <v>0.12235817575083426</v>
      </c>
      <c r="DM52" s="331"/>
      <c r="DN52" s="330">
        <f>DN21/DN10</f>
        <v>8.6563793752352278E-2</v>
      </c>
      <c r="DO52" s="330">
        <f>DO21/DO10</f>
        <v>9.4394329896907214E-2</v>
      </c>
      <c r="DP52" s="330">
        <f>DP21/DP10</f>
        <v>7.4166965245431746E-2</v>
      </c>
      <c r="DQ52" s="330">
        <f>DQ21/DQ10</f>
        <v>0.11815163254012175</v>
      </c>
      <c r="DR52" s="331"/>
      <c r="DS52" s="330">
        <f>DS21/DS10</f>
        <v>7.8251674303842084E-2</v>
      </c>
      <c r="DT52" s="330">
        <f>DT21/DT10</f>
        <v>8.4041262135922334E-2</v>
      </c>
      <c r="DU52" s="330">
        <f>DU21/DU10</f>
        <v>6.7105263157894737E-2</v>
      </c>
      <c r="DV52" s="330">
        <f>DV21/DV10</f>
        <v>0.10462163534789233</v>
      </c>
      <c r="DW52" s="331"/>
      <c r="DX52" s="330">
        <f>DX21/DX10</f>
        <v>6.3242375601926165E-2</v>
      </c>
      <c r="DY52" s="330">
        <f>DY21/DY10</f>
        <v>7.5597554196775982E-2</v>
      </c>
      <c r="DZ52" s="330">
        <f>DZ21/DZ10</f>
        <v>4.5075640629824019E-2</v>
      </c>
      <c r="EA52" s="330">
        <f>EA21/EA10</f>
        <v>8.616944243301955E-2</v>
      </c>
      <c r="EB52" s="331"/>
      <c r="EC52" s="330">
        <f>EC21/EC10</f>
        <v>2.788220551378446E-2</v>
      </c>
      <c r="ED52" s="330">
        <f>ED21/ED10</f>
        <v>5.6792873051224942E-2</v>
      </c>
      <c r="EE52" s="330">
        <f>EE21/EE10</f>
        <v>6.3652073732718889E-2</v>
      </c>
      <c r="EF52" s="330">
        <f>EF21/EF10</f>
        <v>9.2623144001885455E-2</v>
      </c>
      <c r="EG52" s="249"/>
      <c r="EH52" s="330">
        <f>EH21/EH10</f>
        <v>3.4766697163769442E-2</v>
      </c>
      <c r="EI52" s="330">
        <f>EI21/EI10</f>
        <v>4.7080979284369114E-2</v>
      </c>
      <c r="EJ52" s="330">
        <f>EJ21/EJ10</f>
        <v>4.4055351595594462E-2</v>
      </c>
      <c r="EK52" s="330">
        <f>EK21/EK10</f>
        <v>6.3913043478260864E-2</v>
      </c>
      <c r="EL52" s="330"/>
      <c r="EM52" s="330">
        <f>EM21/EM10</f>
        <v>2.3500000000000069E-2</v>
      </c>
      <c r="EN52" s="330">
        <f>EN21/EN10</f>
        <v>3.6000000000000018E-2</v>
      </c>
      <c r="EO52" s="330">
        <f>EO21/EO10</f>
        <v>3.9499999999999869E-2</v>
      </c>
      <c r="EP52" s="330">
        <f>EP21/EP10</f>
        <v>6.2500000000000014E-2</v>
      </c>
      <c r="EQ52" s="330"/>
      <c r="ER52" s="277"/>
      <c r="ES52" s="330">
        <f t="shared" ref="ES52:FV52" si="22">ES21/ES10</f>
        <v>0.30880568256583496</v>
      </c>
      <c r="ET52" s="330">
        <f t="shared" si="22"/>
        <v>0.31774848890817725</v>
      </c>
      <c r="EU52" s="330">
        <f t="shared" si="22"/>
        <v>0.31645021784178112</v>
      </c>
      <c r="EV52" s="330">
        <f t="shared" si="22"/>
        <v>0.31215970860778097</v>
      </c>
      <c r="EW52" s="330">
        <f t="shared" si="22"/>
        <v>0.33250284120233831</v>
      </c>
      <c r="EX52" s="330">
        <f t="shared" si="22"/>
        <v>0.3177933427267573</v>
      </c>
      <c r="EY52" s="330">
        <f t="shared" si="22"/>
        <v>0.30788380941387977</v>
      </c>
      <c r="EZ52" s="330">
        <f t="shared" si="22"/>
        <v>0.32067839552281868</v>
      </c>
      <c r="FA52" s="330">
        <f t="shared" si="22"/>
        <v>0.33472192112397048</v>
      </c>
      <c r="FB52" s="330">
        <f t="shared" si="22"/>
        <v>0.34749271703243345</v>
      </c>
      <c r="FC52" s="330">
        <f t="shared" si="22"/>
        <v>0.33987671602812836</v>
      </c>
      <c r="FD52" s="330">
        <f t="shared" si="22"/>
        <v>0.33159884489708263</v>
      </c>
      <c r="FE52" s="330">
        <f t="shared" si="22"/>
        <v>0.33216959904828808</v>
      </c>
      <c r="FF52" s="330">
        <f t="shared" si="22"/>
        <v>0.34630566271106206</v>
      </c>
      <c r="FG52" s="330">
        <f t="shared" si="22"/>
        <v>0.36066134439275915</v>
      </c>
      <c r="FH52" s="330">
        <f t="shared" si="22"/>
        <v>0.36705055232607814</v>
      </c>
      <c r="FI52" s="332">
        <f t="shared" si="22"/>
        <v>0.37458966546886713</v>
      </c>
      <c r="FJ52" s="332">
        <f t="shared" si="22"/>
        <v>0.12671721447687959</v>
      </c>
      <c r="FK52" s="330">
        <f t="shared" si="22"/>
        <v>9.016415390182124E-2</v>
      </c>
      <c r="FL52" s="330">
        <f t="shared" si="22"/>
        <v>9.9418745458948896E-2</v>
      </c>
      <c r="FM52" s="332">
        <f t="shared" ref="FM52:FR52" si="23">FM21/FM10</f>
        <v>0.10751879699248121</v>
      </c>
      <c r="FN52" s="330">
        <f t="shared" si="23"/>
        <v>0.10460131466133181</v>
      </c>
      <c r="FO52" s="330">
        <f t="shared" si="23"/>
        <v>9.8452644108144874E-2</v>
      </c>
      <c r="FP52" s="330">
        <f t="shared" si="23"/>
        <v>9.5101101430215357E-2</v>
      </c>
      <c r="FQ52" s="330">
        <f t="shared" si="23"/>
        <v>8.5043093585538854E-2</v>
      </c>
      <c r="FR52" s="330">
        <f t="shared" si="23"/>
        <v>6.8960624334870518E-2</v>
      </c>
      <c r="FS52" s="330">
        <f>FS21/FS10</f>
        <v>6.255603834747224E-2</v>
      </c>
      <c r="FT52" s="330">
        <f t="shared" si="22"/>
        <v>4.8820770297945432E-2</v>
      </c>
      <c r="FU52" s="330">
        <f t="shared" si="22"/>
        <v>4.154489956597017E-2</v>
      </c>
      <c r="FV52" s="330">
        <f t="shared" si="22"/>
        <v>3.7100000000000063E-2</v>
      </c>
      <c r="FW52" s="333">
        <f>FW21/FW10</f>
        <v>3.3199999999999945E-2</v>
      </c>
      <c r="FX52" s="330">
        <f>FX21/FX10</f>
        <v>2.9499999999999971E-2</v>
      </c>
      <c r="FY52" s="333">
        <f>FY21/FY10</f>
        <v>2.6699999999999984E-2</v>
      </c>
      <c r="FZ52" s="335"/>
      <c r="GA52" s="330"/>
      <c r="GB52" s="330"/>
      <c r="GC52" s="330"/>
      <c r="GD52" s="330"/>
    </row>
    <row r="53" spans="1:186" x14ac:dyDescent="0.2">
      <c r="A53" s="276" t="s">
        <v>538</v>
      </c>
      <c r="C53" s="330"/>
      <c r="D53" s="330"/>
      <c r="E53" s="330"/>
      <c r="F53" s="330"/>
      <c r="G53" s="331"/>
      <c r="H53" s="330"/>
      <c r="I53" s="330"/>
      <c r="J53" s="330"/>
      <c r="K53" s="330"/>
      <c r="L53" s="331"/>
      <c r="M53" s="330"/>
      <c r="N53" s="330"/>
      <c r="O53" s="330"/>
      <c r="P53" s="330"/>
      <c r="Q53" s="331"/>
      <c r="R53" s="330"/>
      <c r="S53" s="330"/>
      <c r="T53" s="330"/>
      <c r="U53" s="330"/>
      <c r="V53" s="331"/>
      <c r="W53" s="330"/>
      <c r="X53" s="330"/>
      <c r="Y53" s="330"/>
      <c r="Z53" s="330"/>
      <c r="AA53" s="331"/>
      <c r="AB53" s="330"/>
      <c r="AC53" s="330"/>
      <c r="AD53" s="330"/>
      <c r="AE53" s="330"/>
      <c r="AF53" s="331"/>
      <c r="AG53" s="330"/>
      <c r="AH53" s="330"/>
      <c r="AI53" s="330"/>
      <c r="AJ53" s="330"/>
      <c r="AK53" s="331"/>
      <c r="AL53" s="330"/>
      <c r="AM53" s="330"/>
      <c r="AN53" s="330"/>
      <c r="AO53" s="330"/>
      <c r="AP53" s="331"/>
      <c r="AQ53" s="330"/>
      <c r="AR53" s="330"/>
      <c r="AS53" s="330"/>
      <c r="AT53" s="330"/>
      <c r="AU53" s="331"/>
      <c r="AV53" s="330"/>
      <c r="AW53" s="330"/>
      <c r="AX53" s="330"/>
      <c r="AY53" s="330"/>
      <c r="AZ53" s="331"/>
      <c r="BA53" s="330"/>
      <c r="BB53" s="330"/>
      <c r="BC53" s="330"/>
      <c r="BD53" s="330"/>
      <c r="BE53" s="331"/>
      <c r="BF53" s="330"/>
      <c r="BG53" s="330"/>
      <c r="BH53" s="330"/>
      <c r="BI53" s="330"/>
      <c r="BJ53" s="331"/>
      <c r="BK53" s="330"/>
      <c r="BL53" s="330"/>
      <c r="BM53" s="330"/>
      <c r="BN53" s="330"/>
      <c r="BO53" s="331"/>
      <c r="BP53" s="330"/>
      <c r="BQ53" s="330"/>
      <c r="BR53" s="330"/>
      <c r="BS53" s="330"/>
      <c r="BT53" s="331"/>
      <c r="BU53" s="330"/>
      <c r="BV53" s="330"/>
      <c r="BW53" s="330"/>
      <c r="BX53" s="330"/>
      <c r="BY53" s="331"/>
      <c r="BZ53" s="330"/>
      <c r="CA53" s="330"/>
      <c r="CB53" s="330"/>
      <c r="CC53" s="330"/>
      <c r="CD53" s="331"/>
      <c r="CE53" s="330"/>
      <c r="CF53" s="330"/>
      <c r="CG53" s="330"/>
      <c r="CH53" s="330"/>
      <c r="CI53" s="331"/>
      <c r="CJ53" s="330">
        <f>CJ22/CJ12</f>
        <v>1.1867804667608421E-2</v>
      </c>
      <c r="CK53" s="330">
        <f>CK22/CK12</f>
        <v>8.6656958615570143E-3</v>
      </c>
      <c r="CL53" s="330">
        <f>CL22/CL12</f>
        <v>1.2151196803880692E-2</v>
      </c>
      <c r="CM53" s="330">
        <f>CM22/CM12</f>
        <v>9.2664092664092659E-3</v>
      </c>
      <c r="CN53" s="331"/>
      <c r="CO53" s="330">
        <f>CO22/CO12</f>
        <v>1.5392508978963571E-2</v>
      </c>
      <c r="CP53" s="330">
        <f>CP22/CP12</f>
        <v>6.3586265366680798E-3</v>
      </c>
      <c r="CQ53" s="330">
        <f>CQ22/CQ12</f>
        <v>-1.5806111696522655E-3</v>
      </c>
      <c r="CR53" s="330">
        <f>CR22/CR12</f>
        <v>0</v>
      </c>
      <c r="CS53" s="331"/>
      <c r="CT53" s="330">
        <f>CT22/CT12</f>
        <v>-3.3482142857142855E-3</v>
      </c>
      <c r="CU53" s="330">
        <f>CU22/CU12</f>
        <v>4.4802867383512543E-3</v>
      </c>
      <c r="CV53" s="330">
        <f>CV22/CV12</f>
        <v>7.1319409067753439E-3</v>
      </c>
      <c r="CW53" s="330">
        <f>CW22/CW12</f>
        <v>-1.893939393939394E-3</v>
      </c>
      <c r="CX53" s="331"/>
      <c r="CY53" s="330">
        <f>CY22/CY12</f>
        <v>2.3957834211787254E-3</v>
      </c>
      <c r="CZ53" s="330">
        <f>CZ22/CZ12</f>
        <v>1.3121272365805169E-2</v>
      </c>
      <c r="DA53" s="330">
        <f>DA22/DA12</f>
        <v>1.5582034830430797E-2</v>
      </c>
      <c r="DB53" s="330">
        <f>DB22/DB12</f>
        <v>1.5432098765432098E-2</v>
      </c>
      <c r="DC53" s="331"/>
      <c r="DD53" s="330">
        <f>DD22/DD12</f>
        <v>1.6788635385277657E-2</v>
      </c>
      <c r="DE53" s="330">
        <f>DE22/DE12</f>
        <v>1.2455516014234875E-2</v>
      </c>
      <c r="DF53" s="330">
        <f>DF22/DF12</f>
        <v>1.5334947538337369E-2</v>
      </c>
      <c r="DG53" s="330">
        <f>DG22/DG12</f>
        <v>1.1941212492345376E-2</v>
      </c>
      <c r="DH53" s="331"/>
      <c r="DI53" s="330">
        <f>DI22/DI12</f>
        <v>1.7904761904761906E-2</v>
      </c>
      <c r="DJ53" s="330">
        <f>DJ22/DJ12</f>
        <v>9.3147039254823684E-3</v>
      </c>
      <c r="DK53" s="330">
        <f>DK22/DK12</f>
        <v>1.8181818181818181E-2</v>
      </c>
      <c r="DL53" s="330">
        <f>DL22/DL12</f>
        <v>1.5143320713899405E-2</v>
      </c>
      <c r="DM53" s="331"/>
      <c r="DN53" s="330">
        <f>DN22/DN12</f>
        <v>1.6369588941433248E-2</v>
      </c>
      <c r="DO53" s="330">
        <f>DO22/DO12</f>
        <v>1.2515644555694618E-2</v>
      </c>
      <c r="DP53" s="330">
        <f>DP22/DP12</f>
        <v>1.6643550624133148E-2</v>
      </c>
      <c r="DQ53" s="330">
        <f>DQ22/DQ12</f>
        <v>1.5898679601185663E-2</v>
      </c>
      <c r="DR53" s="331"/>
      <c r="DS53" s="330">
        <f>DS22/DS12</f>
        <v>1.3988399863527807E-2</v>
      </c>
      <c r="DT53" s="330">
        <f>DT22/DT12</f>
        <v>1.5625E-2</v>
      </c>
      <c r="DU53" s="330">
        <f>DU22/DU12</f>
        <v>1.8152866242038216E-2</v>
      </c>
      <c r="DV53" s="330">
        <f>DV22/DV12</f>
        <v>1.2614395251051199E-2</v>
      </c>
      <c r="DW53" s="331"/>
      <c r="DX53" s="330">
        <f>DX22/DX12</f>
        <v>1.4930015552099534E-2</v>
      </c>
      <c r="DY53" s="330">
        <f>DY22/DY12</f>
        <v>1.43204539313699E-2</v>
      </c>
      <c r="DZ53" s="330">
        <f>DZ22/DZ12</f>
        <v>1.1421701232341449E-2</v>
      </c>
      <c r="EA53" s="330">
        <f>EA22/EA12</f>
        <v>3.5765379113018598E-3</v>
      </c>
      <c r="EB53" s="331"/>
      <c r="EC53" s="330">
        <f>EC22/EC12</f>
        <v>5.2323791935980305E-3</v>
      </c>
      <c r="ED53" s="330">
        <f>ED22/ED12</f>
        <v>4.6562585592988225E-3</v>
      </c>
      <c r="EE53" s="330">
        <f>EE22/EE12</f>
        <v>8.752117447769622E-3</v>
      </c>
      <c r="EF53" s="330">
        <f>EF22/EF12</f>
        <v>7.182576459684893E-3</v>
      </c>
      <c r="EG53" s="249"/>
      <c r="EH53" s="330">
        <f>EH22/EH12</f>
        <v>1.1031604054859869E-2</v>
      </c>
      <c r="EI53" s="330">
        <f>EI22/EI12</f>
        <v>1.0545742156604272E-2</v>
      </c>
      <c r="EJ53" s="330">
        <f>EJ22/EJ12</f>
        <v>1.3226784238082117E-2</v>
      </c>
      <c r="EK53" s="330">
        <f>EK22/EK12</f>
        <v>1.1909825606125054E-2</v>
      </c>
      <c r="EL53" s="330"/>
      <c r="EM53" s="330">
        <f>EM22/EM12</f>
        <v>9.3863419097084729E-3</v>
      </c>
      <c r="EN53" s="330">
        <f>EN22/EN12</f>
        <v>8.4561395418822037E-3</v>
      </c>
      <c r="EO53" s="330">
        <f>EO22/EO12</f>
        <v>1.5156900393066742E-2</v>
      </c>
      <c r="EP53" s="330">
        <f>EP22/EP12</f>
        <v>1.6773114413250533E-2</v>
      </c>
      <c r="EQ53" s="330"/>
      <c r="ER53" s="277"/>
      <c r="ES53" s="330"/>
      <c r="ET53" s="330"/>
      <c r="EU53" s="330"/>
      <c r="EV53" s="330"/>
      <c r="EW53" s="330"/>
      <c r="EX53" s="330"/>
      <c r="EY53" s="330"/>
      <c r="EZ53" s="330"/>
      <c r="FA53" s="330"/>
      <c r="FB53" s="330"/>
      <c r="FC53" s="330"/>
      <c r="FD53" s="330"/>
      <c r="FE53" s="330"/>
      <c r="FF53" s="330"/>
      <c r="FG53" s="330"/>
      <c r="FH53" s="330"/>
      <c r="FI53" s="332"/>
      <c r="FJ53" s="332"/>
      <c r="FK53" s="330"/>
      <c r="FL53" s="330"/>
      <c r="FM53" s="332">
        <f t="shared" ref="FM53:FV53" si="24">FM22/FM12</f>
        <v>1.2061855670103093E-2</v>
      </c>
      <c r="FN53" s="330">
        <f t="shared" si="24"/>
        <v>1.3882504367012964E-2</v>
      </c>
      <c r="FO53" s="330">
        <f t="shared" si="24"/>
        <v>1.4999175869457723E-2</v>
      </c>
      <c r="FP53" s="330">
        <f t="shared" si="24"/>
        <v>1.5311004784688996E-2</v>
      </c>
      <c r="FQ53" s="330">
        <f t="shared" si="24"/>
        <v>1.4956315711535613E-2</v>
      </c>
      <c r="FR53" s="330">
        <f t="shared" si="24"/>
        <v>1.0667036087829882E-2</v>
      </c>
      <c r="FS53" s="330">
        <f>FS22/FS12</f>
        <v>6.5049464697113429E-3</v>
      </c>
      <c r="FT53" s="330">
        <f t="shared" si="24"/>
        <v>1.1694017314898567E-2</v>
      </c>
      <c r="FU53" s="330">
        <f t="shared" si="24"/>
        <v>1.344659775865583E-2</v>
      </c>
      <c r="FV53" s="330">
        <f t="shared" si="24"/>
        <v>1.4011273440898784E-2</v>
      </c>
      <c r="FW53" s="333">
        <f>FW22/FW12</f>
        <v>1.4667943064873703E-2</v>
      </c>
      <c r="FX53" s="330">
        <f>FX22/FX12</f>
        <v>1.5300126745573473E-2</v>
      </c>
      <c r="FY53" s="333">
        <f>FY22/FY12</f>
        <v>1.6135737257647689E-2</v>
      </c>
      <c r="FZ53" s="335"/>
      <c r="GA53" s="330"/>
      <c r="GB53" s="330"/>
      <c r="GC53" s="330"/>
      <c r="GD53" s="330"/>
    </row>
    <row r="54" spans="1:186" x14ac:dyDescent="0.2">
      <c r="A54" s="276" t="s">
        <v>534</v>
      </c>
      <c r="C54" s="330"/>
      <c r="D54" s="330"/>
      <c r="E54" s="330"/>
      <c r="F54" s="330"/>
      <c r="G54" s="331"/>
      <c r="H54" s="330"/>
      <c r="I54" s="330"/>
      <c r="J54" s="330"/>
      <c r="K54" s="330"/>
      <c r="L54" s="331"/>
      <c r="M54" s="330"/>
      <c r="N54" s="330"/>
      <c r="O54" s="330"/>
      <c r="P54" s="330"/>
      <c r="Q54" s="331"/>
      <c r="R54" s="330"/>
      <c r="S54" s="330"/>
      <c r="T54" s="330"/>
      <c r="U54" s="330"/>
      <c r="V54" s="331"/>
      <c r="W54" s="330"/>
      <c r="X54" s="330"/>
      <c r="Y54" s="330"/>
      <c r="Z54" s="330"/>
      <c r="AA54" s="331"/>
      <c r="AB54" s="330"/>
      <c r="AC54" s="330"/>
      <c r="AD54" s="330"/>
      <c r="AE54" s="330"/>
      <c r="AF54" s="331"/>
      <c r="AG54" s="330"/>
      <c r="AH54" s="330"/>
      <c r="AI54" s="330"/>
      <c r="AJ54" s="330"/>
      <c r="AK54" s="331"/>
      <c r="AL54" s="330"/>
      <c r="AM54" s="330"/>
      <c r="AN54" s="330"/>
      <c r="AO54" s="330"/>
      <c r="AP54" s="331"/>
      <c r="AQ54" s="330"/>
      <c r="AR54" s="330"/>
      <c r="AS54" s="330"/>
      <c r="AT54" s="330"/>
      <c r="AU54" s="331"/>
      <c r="AV54" s="330"/>
      <c r="AW54" s="330"/>
      <c r="AX54" s="330"/>
      <c r="AY54" s="330"/>
      <c r="AZ54" s="331"/>
      <c r="BA54" s="330"/>
      <c r="BB54" s="330"/>
      <c r="BC54" s="330"/>
      <c r="BD54" s="330"/>
      <c r="BE54" s="331"/>
      <c r="BF54" s="330"/>
      <c r="BG54" s="330"/>
      <c r="BH54" s="330"/>
      <c r="BI54" s="330"/>
      <c r="BJ54" s="331"/>
      <c r="BK54" s="330"/>
      <c r="BL54" s="330"/>
      <c r="BM54" s="330"/>
      <c r="BN54" s="330"/>
      <c r="BO54" s="331"/>
      <c r="BP54" s="330"/>
      <c r="BQ54" s="330"/>
      <c r="BR54" s="330"/>
      <c r="BS54" s="330"/>
      <c r="BT54" s="331"/>
      <c r="BU54" s="330"/>
      <c r="BV54" s="330"/>
      <c r="BW54" s="330"/>
      <c r="BX54" s="330"/>
      <c r="BY54" s="331"/>
      <c r="BZ54" s="330"/>
      <c r="CA54" s="330"/>
      <c r="CB54" s="330"/>
      <c r="CC54" s="330"/>
      <c r="CD54" s="331"/>
      <c r="CE54" s="330"/>
      <c r="CF54" s="330"/>
      <c r="CG54" s="330"/>
      <c r="CH54" s="330"/>
      <c r="CI54" s="331"/>
      <c r="CJ54" s="330">
        <f>CJ23/CJ10</f>
        <v>0.13356606778744973</v>
      </c>
      <c r="CK54" s="330">
        <f>CK23/CK10</f>
        <v>0.1296900018330209</v>
      </c>
      <c r="CL54" s="330">
        <f>CL23/CL10</f>
        <v>0.13079133433885962</v>
      </c>
      <c r="CM54" s="330">
        <f>CM23/CM10</f>
        <v>0.15274463007159905</v>
      </c>
      <c r="CN54" s="331"/>
      <c r="CO54" s="330">
        <f>CO23/CO10</f>
        <v>0.12613092070250134</v>
      </c>
      <c r="CP54" s="330">
        <f>CP23/CP10</f>
        <v>0.11762133799737648</v>
      </c>
      <c r="CQ54" s="330">
        <f>CQ23/CQ10</f>
        <v>6.9929276315789504E-2</v>
      </c>
      <c r="CR54" s="330">
        <f>CR23/CR10</f>
        <v>6.7796610169491525E-2</v>
      </c>
      <c r="CS54" s="331"/>
      <c r="CT54" s="330">
        <f>CT23/CT10</f>
        <v>8.5580304806565061E-2</v>
      </c>
      <c r="CU54" s="330">
        <f>CU23/CU10</f>
        <v>9.6037296037296035E-2</v>
      </c>
      <c r="CV54" s="330">
        <f>CV23/CV10</f>
        <v>9.2077087794432549E-2</v>
      </c>
      <c r="CW54" s="330">
        <f>CW23/CW10</f>
        <v>0.12209531311539977</v>
      </c>
      <c r="CX54" s="331"/>
      <c r="CY54" s="330">
        <f>CY23/CY10</f>
        <v>0.1100502512562814</v>
      </c>
      <c r="CZ54" s="330">
        <f>CZ23/CZ10</f>
        <v>0.11253620190318576</v>
      </c>
      <c r="DA54" s="330">
        <f>DA23/DA10</f>
        <v>0.10589362721609967</v>
      </c>
      <c r="DB54" s="330">
        <f>DB23/DB10</f>
        <v>0.14417613636363635</v>
      </c>
      <c r="DC54" s="331"/>
      <c r="DD54" s="330">
        <f>DD23/DD10</f>
        <v>0.12202781516375057</v>
      </c>
      <c r="DE54" s="330">
        <f>DE23/DE10</f>
        <v>0.11782032400589101</v>
      </c>
      <c r="DF54" s="330">
        <f>DF23/DF10</f>
        <v>0.10071338648762064</v>
      </c>
      <c r="DG54" s="330">
        <f>DG23/DG10</f>
        <v>0.13158725149889555</v>
      </c>
      <c r="DH54" s="331"/>
      <c r="DI54" s="330">
        <f>DI23/DI10</f>
        <v>0.11045364891518737</v>
      </c>
      <c r="DJ54" s="330">
        <f>DJ23/DJ10</f>
        <v>9.9383139136394794E-2</v>
      </c>
      <c r="DK54" s="330">
        <f>DK23/DK10</f>
        <v>0.10210099520825654</v>
      </c>
      <c r="DL54" s="330">
        <f>DL23/DL10</f>
        <v>0.13848720800889877</v>
      </c>
      <c r="DM54" s="331"/>
      <c r="DN54" s="330">
        <f>DN23/DN10</f>
        <v>0.10350018818216034</v>
      </c>
      <c r="DO54" s="330">
        <f>DO23/DO10</f>
        <v>0.10792525773195877</v>
      </c>
      <c r="DP54" s="330">
        <f>DP23/DP10</f>
        <v>9.0648513077749904E-2</v>
      </c>
      <c r="DQ54" s="330">
        <f>DQ23/DQ10</f>
        <v>0.13475373547315994</v>
      </c>
      <c r="DR54" s="331"/>
      <c r="DS54" s="330">
        <f>DS23/DS10</f>
        <v>9.3408530137469151E-2</v>
      </c>
      <c r="DT54" s="330">
        <f>DT23/DT10</f>
        <v>0.1004247572815534</v>
      </c>
      <c r="DU54" s="330">
        <f>DU23/DU10</f>
        <v>8.6184210526315794E-2</v>
      </c>
      <c r="DV54" s="330">
        <f>DV23/DV10</f>
        <v>0.11808024377856779</v>
      </c>
      <c r="DW54" s="331"/>
      <c r="DX54" s="330">
        <f>DX23/DX10</f>
        <v>7.8651685393258425E-2</v>
      </c>
      <c r="DY54" s="330">
        <f>DY23/DY10</f>
        <v>9.0605892162312393E-2</v>
      </c>
      <c r="DZ54" s="330">
        <f>DZ23/DZ10</f>
        <v>5.7425131213337449E-2</v>
      </c>
      <c r="EA54" s="330">
        <f>EA23/EA10</f>
        <v>8.9790007241129621E-2</v>
      </c>
      <c r="EB54" s="331"/>
      <c r="EC54" s="330">
        <f>EC23/EC10</f>
        <v>3.3208020050125311E-2</v>
      </c>
      <c r="ED54" s="330">
        <f>ED23/ED10</f>
        <v>6.152561247216036E-2</v>
      </c>
      <c r="EE54" s="330">
        <f>EE23/EE10</f>
        <v>7.2580645161290328E-2</v>
      </c>
      <c r="EF54" s="330">
        <f>EF23/EF10</f>
        <v>9.9929295309922228E-2</v>
      </c>
      <c r="EG54" s="249"/>
      <c r="EH54" s="330">
        <f>EH23/EH10</f>
        <v>4.6050625190606889E-2</v>
      </c>
      <c r="EI54" s="330">
        <f>EI23/EI10</f>
        <v>5.8380414312617701E-2</v>
      </c>
      <c r="EJ54" s="330">
        <f>EJ23/EJ10</f>
        <v>5.8740468794125957E-2</v>
      </c>
      <c r="EK54" s="330">
        <f>EK23/EK10</f>
        <v>7.6086956521739135E-2</v>
      </c>
      <c r="EL54" s="330"/>
      <c r="EM54" s="330">
        <f>EM23/EM10</f>
        <v>3.5662020658302408E-2</v>
      </c>
      <c r="EN54" s="330">
        <f>EN23/EN10</f>
        <v>4.6641993980513663E-2</v>
      </c>
      <c r="EO54" s="330">
        <f>EO23/EO10</f>
        <v>5.5439714950376751E-2</v>
      </c>
      <c r="EP54" s="330">
        <f>EP23/EP10</f>
        <v>7.8655233907957964E-2</v>
      </c>
      <c r="EQ54" s="330"/>
      <c r="ER54" s="277"/>
      <c r="ES54" s="330">
        <f t="shared" ref="ES54:FV54" si="25">ES23/ES10</f>
        <v>7.9665393185122932E-2</v>
      </c>
      <c r="ET54" s="330">
        <f t="shared" si="25"/>
        <v>8.3753482901547965E-2</v>
      </c>
      <c r="EU54" s="330">
        <f t="shared" si="25"/>
        <v>7.9932986146320717E-2</v>
      </c>
      <c r="EV54" s="330">
        <f t="shared" si="25"/>
        <v>7.4810205635863367E-2</v>
      </c>
      <c r="EW54" s="330">
        <f t="shared" si="25"/>
        <v>9.4036222569494607E-2</v>
      </c>
      <c r="EX54" s="330">
        <f t="shared" si="25"/>
        <v>7.5662766353649699E-2</v>
      </c>
      <c r="EY54" s="330">
        <f t="shared" si="25"/>
        <v>6.35304283815432E-2</v>
      </c>
      <c r="EZ54" s="330">
        <f t="shared" si="25"/>
        <v>7.0381175457949682E-2</v>
      </c>
      <c r="FA54" s="330">
        <f t="shared" si="25"/>
        <v>7.6535882845487901E-2</v>
      </c>
      <c r="FB54" s="330">
        <f t="shared" si="25"/>
        <v>7.4225480675859351E-2</v>
      </c>
      <c r="FC54" s="330">
        <f t="shared" si="25"/>
        <v>4.7494120053822676E-2</v>
      </c>
      <c r="FD54" s="330">
        <f t="shared" si="25"/>
        <v>4.9612983725970144E-2</v>
      </c>
      <c r="FE54" s="330">
        <f t="shared" si="25"/>
        <v>5.5631982742146889E-2</v>
      </c>
      <c r="FF54" s="330">
        <f t="shared" si="25"/>
        <v>7.585260736795664E-2</v>
      </c>
      <c r="FG54" s="330">
        <f t="shared" si="25"/>
        <v>0.10162558247573096</v>
      </c>
      <c r="FH54" s="330">
        <f t="shared" si="25"/>
        <v>0.12046144491008987</v>
      </c>
      <c r="FI54" s="332">
        <f t="shared" si="25"/>
        <v>0.13414922474779509</v>
      </c>
      <c r="FJ54" s="332">
        <f t="shared" si="25"/>
        <v>0.137359260174716</v>
      </c>
      <c r="FK54" s="330">
        <f t="shared" si="25"/>
        <v>9.4023760704378234E-2</v>
      </c>
      <c r="FL54" s="330">
        <f t="shared" si="25"/>
        <v>0.10099297650762896</v>
      </c>
      <c r="FM54" s="332">
        <f t="shared" si="25"/>
        <v>0.12008592910848551</v>
      </c>
      <c r="FN54" s="330">
        <f t="shared" si="25"/>
        <v>0.11898637706011242</v>
      </c>
      <c r="FO54" s="330">
        <f t="shared" si="25"/>
        <v>0.11435130079918381</v>
      </c>
      <c r="FP54" s="330">
        <f t="shared" si="25"/>
        <v>0.1109649843827059</v>
      </c>
      <c r="FQ54" s="330">
        <f t="shared" si="25"/>
        <v>0.1009076348104645</v>
      </c>
      <c r="FR54" s="330">
        <f t="shared" si="25"/>
        <v>8.0099326002128421E-2</v>
      </c>
      <c r="FS54" s="330">
        <f>FS23/FS10</f>
        <v>6.9177184633422997E-2</v>
      </c>
      <c r="FT54" s="330">
        <f t="shared" si="25"/>
        <v>6.1174605271850431E-2</v>
      </c>
      <c r="FU54" s="330">
        <f t="shared" si="25"/>
        <v>5.532064155335846E-2</v>
      </c>
      <c r="FV54" s="330">
        <f t="shared" si="25"/>
        <v>5.1469009967237099E-2</v>
      </c>
      <c r="FW54" s="333">
        <f>FW23/FW10</f>
        <v>4.8260467316561743E-2</v>
      </c>
      <c r="FX54" s="330">
        <f>FX23/FX10</f>
        <v>4.522770864746814E-2</v>
      </c>
      <c r="FY54" s="333">
        <f>FY23/FY10</f>
        <v>4.3312025920935714E-2</v>
      </c>
      <c r="FZ54" s="336"/>
      <c r="GA54" s="255"/>
      <c r="GB54" s="255"/>
      <c r="GC54" s="330"/>
      <c r="GD54" s="330"/>
    </row>
    <row r="55" spans="1:186" x14ac:dyDescent="0.2">
      <c r="A55" s="276" t="s">
        <v>174</v>
      </c>
      <c r="C55" s="330">
        <f>C27/C12</f>
        <v>3.5782525620983177E-2</v>
      </c>
      <c r="D55" s="330">
        <f>D27/D12</f>
        <v>6.7470466447448529E-2</v>
      </c>
      <c r="E55" s="330">
        <f>E27/E12</f>
        <v>4.7996343135761003E-2</v>
      </c>
      <c r="F55" s="330">
        <f>F27/F12</f>
        <v>7.6519454025224184E-2</v>
      </c>
      <c r="G55" s="331"/>
      <c r="H55" s="330">
        <f>H27/H12</f>
        <v>6.5399796322417755E-2</v>
      </c>
      <c r="I55" s="330">
        <f>I27/I12</f>
        <v>8.7132360106808041E-2</v>
      </c>
      <c r="J55" s="330">
        <f>J27/J12</f>
        <v>4.4094466024883164E-2</v>
      </c>
      <c r="K55" s="330">
        <f>K27/K12</f>
        <v>6.4004915846110122E-2</v>
      </c>
      <c r="L55" s="331"/>
      <c r="M55" s="330">
        <f>M27/M12</f>
        <v>5.1305914532797939E-2</v>
      </c>
      <c r="N55" s="330">
        <f>N27/N12</f>
        <v>6.9802128177551478E-2</v>
      </c>
      <c r="O55" s="330">
        <f>O27/O12</f>
        <v>4.9625921385616743E-2</v>
      </c>
      <c r="P55" s="330">
        <f>P27/P12</f>
        <v>8.0268883150714773E-2</v>
      </c>
      <c r="Q55" s="331"/>
      <c r="R55" s="330">
        <f>R27/R12</f>
        <v>2.5582294465490579E-2</v>
      </c>
      <c r="S55" s="330">
        <f>S27/S12</f>
        <v>6.7497341999297564E-2</v>
      </c>
      <c r="T55" s="330">
        <f>T27/T12</f>
        <v>5.3098931733732646E-2</v>
      </c>
      <c r="U55" s="330">
        <f>U27/U12</f>
        <v>8.8928761073322121E-2</v>
      </c>
      <c r="V55" s="331"/>
      <c r="W55" s="330">
        <f>W27/W12</f>
        <v>6.7165660787513029E-2</v>
      </c>
      <c r="X55" s="330">
        <f>X27/X12</f>
        <v>9.4517473258455498E-2</v>
      </c>
      <c r="Y55" s="330">
        <f>Y27/Y12</f>
        <v>7.1162890919818603E-2</v>
      </c>
      <c r="Z55" s="330">
        <f>Z27/Z12</f>
        <v>9.5100961855194593E-2</v>
      </c>
      <c r="AA55" s="331"/>
      <c r="AB55" s="330">
        <f>AB27/AB12</f>
        <v>5.3936004647680676E-2</v>
      </c>
      <c r="AC55" s="330">
        <f>AC27/AC12</f>
        <v>7.5585258735917524E-2</v>
      </c>
      <c r="AD55" s="330">
        <f>AD27/AD12</f>
        <v>5.1682926491678736E-2</v>
      </c>
      <c r="AE55" s="330">
        <f>AE27/AE12</f>
        <v>6.9868625512077939E-2</v>
      </c>
      <c r="AF55" s="331"/>
      <c r="AG55" s="330">
        <f>AG27/AG12</f>
        <v>4.8109494312853697E-2</v>
      </c>
      <c r="AH55" s="330">
        <f>AH27/AH12</f>
        <v>5.8096457010927374E-2</v>
      </c>
      <c r="AI55" s="330">
        <f>AI27/AI12</f>
        <v>5.4701646565100515E-2</v>
      </c>
      <c r="AJ55" s="330">
        <f>AJ27/AJ12</f>
        <v>5.2517799343147237E-2</v>
      </c>
      <c r="AK55" s="331"/>
      <c r="AL55" s="330">
        <f>AL27/AL12</f>
        <v>5.4345810862846372E-2</v>
      </c>
      <c r="AM55" s="330">
        <f>AM27/AM12</f>
        <v>7.0072169565866482E-2</v>
      </c>
      <c r="AN55" s="330">
        <f>AN27/AN12</f>
        <v>5.3369876643956926E-2</v>
      </c>
      <c r="AO55" s="330">
        <f>AO27/AO12</f>
        <v>6.5848930873914649E-2</v>
      </c>
      <c r="AP55" s="331"/>
      <c r="AQ55" s="330">
        <f>AQ27/AQ12</f>
        <v>4.9351224323577102E-2</v>
      </c>
      <c r="AR55" s="330">
        <f>AR27/AR12</f>
        <v>7.6659011749518127E-2</v>
      </c>
      <c r="AS55" s="330">
        <f>AS27/AS12</f>
        <v>0.28166401659834417</v>
      </c>
      <c r="AT55" s="330">
        <f>AT27/AT12</f>
        <v>7.3996307301694472E-2</v>
      </c>
      <c r="AU55" s="331"/>
      <c r="AV55" s="330">
        <f>AV27/AV12</f>
        <v>4.847520859964153E-2</v>
      </c>
      <c r="AW55" s="330">
        <f>AW27/AW12</f>
        <v>7.9287166819068972E-2</v>
      </c>
      <c r="AX55" s="330">
        <f>AX27/AX12</f>
        <v>5.7189364306618605E-2</v>
      </c>
      <c r="AY55" s="330">
        <f>AY27/AY12</f>
        <v>5.7342744470264932E-2</v>
      </c>
      <c r="AZ55" s="331"/>
      <c r="BA55" s="330">
        <f>BA27/BA12</f>
        <v>4.5324805683898954E-2</v>
      </c>
      <c r="BB55" s="330">
        <f>BB27/BB12</f>
        <v>5.7071892021035339E-2</v>
      </c>
      <c r="BC55" s="330">
        <f>BC27/BC12</f>
        <v>2.9502350337235549E-2</v>
      </c>
      <c r="BD55" s="330">
        <f>BD27/BD12</f>
        <v>2.73033370481537E-2</v>
      </c>
      <c r="BE55" s="331"/>
      <c r="BF55" s="330">
        <f>BF27/BF12</f>
        <v>3.2309720800353728E-2</v>
      </c>
      <c r="BG55" s="330">
        <f>BG27/BG12</f>
        <v>4.0160594310261061E-2</v>
      </c>
      <c r="BH55" s="330">
        <f>BH27/BH12</f>
        <v>1.3444137035038895E-2</v>
      </c>
      <c r="BI55" s="330">
        <f>BI27/BI12</f>
        <v>5.0199983133952533E-2</v>
      </c>
      <c r="BJ55" s="331"/>
      <c r="BK55" s="330">
        <f>BK27/BK12</f>
        <v>3.896909070297444E-2</v>
      </c>
      <c r="BL55" s="330">
        <f>BL27/BL12</f>
        <v>5.092884191501526E-2</v>
      </c>
      <c r="BM55" s="330">
        <f>BM27/BM12</f>
        <v>2.2308823323690739E-2</v>
      </c>
      <c r="BN55" s="330">
        <f>BN27/BN12</f>
        <v>5.4999351198493009E-2</v>
      </c>
      <c r="BO55" s="331"/>
      <c r="BP55" s="330">
        <f>BP27/BP12</f>
        <v>3.2422777557355231E-2</v>
      </c>
      <c r="BQ55" s="330">
        <f>BQ27/BQ12</f>
        <v>5.933776012820155E-2</v>
      </c>
      <c r="BR55" s="330">
        <f>BR27/BR12</f>
        <v>5.1385433113173985E-2</v>
      </c>
      <c r="BS55" s="330">
        <f>BS27/BS12</f>
        <v>8.7291792198065196E-2</v>
      </c>
      <c r="BT55" s="331"/>
      <c r="BU55" s="330">
        <f>BU27/BU12</f>
        <v>7.1510250625882218E-2</v>
      </c>
      <c r="BV55" s="330">
        <f>BV27/BV12</f>
        <v>8.7787418068382264E-2</v>
      </c>
      <c r="BW55" s="330">
        <f>BW27/BW12</f>
        <v>7.7460777518744819E-2</v>
      </c>
      <c r="BX55" s="330">
        <f>BX27/BX12</f>
        <v>0.11020385908073271</v>
      </c>
      <c r="BY55" s="331"/>
      <c r="BZ55" s="330">
        <f>BZ27/BZ12</f>
        <v>0.10192045043441982</v>
      </c>
      <c r="CA55" s="330">
        <f>CA27/CA12</f>
        <v>0.11238825922372687</v>
      </c>
      <c r="CB55" s="330">
        <f>CB27/CB12</f>
        <v>9.5066390404762571E-2</v>
      </c>
      <c r="CC55" s="330">
        <f>CC27/CC12</f>
        <v>0.13038682190341794</v>
      </c>
      <c r="CD55" s="331"/>
      <c r="CE55" s="330">
        <f>CE27/CE12</f>
        <v>0.11574141215310083</v>
      </c>
      <c r="CF55" s="330">
        <f>CF27/CF12</f>
        <v>0.12540154307497167</v>
      </c>
      <c r="CG55" s="330">
        <f>CG27/CG12</f>
        <v>0.11454113630690413</v>
      </c>
      <c r="CH55" s="330">
        <f>CH27/CH12</f>
        <v>0.14059944634876165</v>
      </c>
      <c r="CI55" s="331"/>
      <c r="CJ55" s="330">
        <f>CJ27/CJ12</f>
        <v>0.12626565949635846</v>
      </c>
      <c r="CK55" s="330">
        <f>CK27/CK12</f>
        <v>0.11914843967877238</v>
      </c>
      <c r="CL55" s="330">
        <f>CL27/CL12</f>
        <v>0.11637226531870221</v>
      </c>
      <c r="CM55" s="330">
        <f>CM27/CM12</f>
        <v>0.13667953667953667</v>
      </c>
      <c r="CN55" s="331"/>
      <c r="CO55" s="330">
        <f>CO27/CO12</f>
        <v>0.10569522832221652</v>
      </c>
      <c r="CP55" s="330">
        <f>CP27/CP12</f>
        <v>9.9618482407799913E-2</v>
      </c>
      <c r="CQ55" s="330">
        <f>CQ27/CQ12</f>
        <v>4.9816122233930477E-2</v>
      </c>
      <c r="CR55" s="330">
        <f>CR27/CR12</f>
        <v>5.1442910915934753E-2</v>
      </c>
      <c r="CS55" s="331"/>
      <c r="CT55" s="330">
        <f>CT27/CT12</f>
        <v>6.4174107142857137E-2</v>
      </c>
      <c r="CU55" s="330">
        <f>CU27/CU12</f>
        <v>7.6164874551971323E-2</v>
      </c>
      <c r="CV55" s="330">
        <f>CV27/CV12</f>
        <v>6.8262862964849721E-2</v>
      </c>
      <c r="CW55" s="330">
        <f>CW27/CW12</f>
        <v>0.10492424242424242</v>
      </c>
      <c r="CX55" s="331"/>
      <c r="CY55" s="330">
        <f>CY27/CY12</f>
        <v>9.008145663632007E-2</v>
      </c>
      <c r="CZ55" s="330">
        <f>CZ27/CZ12</f>
        <v>9.5427435387673953E-2</v>
      </c>
      <c r="DA55" s="330">
        <f>DA27/DA12</f>
        <v>8.707607699358387E-2</v>
      </c>
      <c r="DB55" s="330">
        <f>DB27/DB12</f>
        <v>0.12791495198902605</v>
      </c>
      <c r="DC55" s="331"/>
      <c r="DD55" s="330">
        <f>DD27/DD12</f>
        <v>0.1037451571244081</v>
      </c>
      <c r="DE55" s="330">
        <f>DE27/DE12</f>
        <v>0.10320284697508897</v>
      </c>
      <c r="DF55" s="330">
        <f>DF27/DF12</f>
        <v>8.4342211460855535E-2</v>
      </c>
      <c r="DG55" s="330">
        <f>DG27/DG12</f>
        <v>0.11604409063074096</v>
      </c>
      <c r="DH55" s="331"/>
      <c r="DI55" s="330">
        <f>DI27/DI12</f>
        <v>9.1428571428571428E-2</v>
      </c>
      <c r="DJ55" s="330">
        <f>DJ27/DJ12</f>
        <v>8.316699933466401E-2</v>
      </c>
      <c r="DK55" s="330">
        <f>DK27/DK12</f>
        <v>8.5204991087344029E-2</v>
      </c>
      <c r="DL55" s="330">
        <f>DL27/DL12</f>
        <v>0.1233098972417523</v>
      </c>
      <c r="DM55" s="331"/>
      <c r="DN55" s="330">
        <f>DN27/DN12</f>
        <v>8.5849399781738819E-2</v>
      </c>
      <c r="DO55" s="330">
        <f>DO27/DO12</f>
        <v>9.3241551939924908E-2</v>
      </c>
      <c r="DP55" s="330">
        <f>DP27/DP12</f>
        <v>7.558945908460471E-2</v>
      </c>
      <c r="DQ55" s="330">
        <f>DQ27/DQ12</f>
        <v>0.11775801670708703</v>
      </c>
      <c r="DR55" s="331"/>
      <c r="DS55" s="330">
        <f>DS27/DS12</f>
        <v>7.8471511429546226E-2</v>
      </c>
      <c r="DT55" s="330">
        <f>DT27/DT12</f>
        <v>8.7264150943396221E-2</v>
      </c>
      <c r="DU55" s="330">
        <f>DU27/DU12</f>
        <v>7.2611464968152864E-2</v>
      </c>
      <c r="DV55" s="330">
        <f>DV27/DV12</f>
        <v>0.10660400692555033</v>
      </c>
      <c r="DW55" s="331"/>
      <c r="DX55" s="330">
        <f>DX27/DX12</f>
        <v>6.594090202177294E-2</v>
      </c>
      <c r="DY55" s="330">
        <f>DY27/DY12</f>
        <v>7.9437989732504724E-2</v>
      </c>
      <c r="DZ55" s="330">
        <f>DZ27/DZ12</f>
        <v>4.6889089269612265E-2</v>
      </c>
      <c r="EA55" s="330">
        <f>EA27/EA12</f>
        <v>8.15450643776824E-2</v>
      </c>
      <c r="EB55" s="331"/>
      <c r="EC55" s="330">
        <f>EC27/EC12</f>
        <v>2.3084025854108958E-2</v>
      </c>
      <c r="ED55" s="330">
        <f>ED27/ED12</f>
        <v>5.2314434401533827E-2</v>
      </c>
      <c r="EE55" s="330">
        <f>EE27/EE12</f>
        <v>6.2676453980801808E-2</v>
      </c>
      <c r="EF55" s="330">
        <f>EF27/EF12</f>
        <v>9.1056533827618164E-2</v>
      </c>
      <c r="EG55" s="249"/>
      <c r="EH55" s="330">
        <f>EH27/EH12</f>
        <v>3.0709600477042336E-2</v>
      </c>
      <c r="EI55" s="330">
        <f>EI27/EI12</f>
        <v>4.9564988136040072E-2</v>
      </c>
      <c r="EJ55" s="330">
        <f>EJ27/EJ12</f>
        <v>4.9600440892807934E-2</v>
      </c>
      <c r="EK55" s="330">
        <f>EK27/EK12</f>
        <v>6.784347086346236E-2</v>
      </c>
      <c r="EL55" s="330"/>
      <c r="EM55" s="330">
        <f>EM27/EM12</f>
        <v>2.766659283822686E-2</v>
      </c>
      <c r="EN55" s="330">
        <f>EN27/EN12</f>
        <v>3.9570294888087436E-2</v>
      </c>
      <c r="EO55" s="330">
        <f>EO27/EO12</f>
        <v>4.7143352473922477E-2</v>
      </c>
      <c r="EP55" s="330">
        <f>EP27/EP12</f>
        <v>6.9945248427788626E-2</v>
      </c>
      <c r="EQ55" s="330"/>
      <c r="ER55" s="277"/>
      <c r="ES55" s="330">
        <f t="shared" ref="ES55:FV55" si="26">ES27/ES12</f>
        <v>5.9866432280790347E-2</v>
      </c>
      <c r="ET55" s="330">
        <f t="shared" si="26"/>
        <v>6.6482251352278726E-2</v>
      </c>
      <c r="EU55" s="330">
        <f t="shared" si="26"/>
        <v>6.5074619052049518E-2</v>
      </c>
      <c r="EV55" s="330">
        <f t="shared" si="26"/>
        <v>6.2775948654418573E-2</v>
      </c>
      <c r="EW55" s="330">
        <f t="shared" si="26"/>
        <v>8.4118259607001283E-2</v>
      </c>
      <c r="EX55" s="330">
        <f t="shared" si="26"/>
        <v>6.4244808365690298E-2</v>
      </c>
      <c r="EY55" s="330">
        <f t="shared" si="26"/>
        <v>5.365090740228326E-2</v>
      </c>
      <c r="EZ55" s="330">
        <f t="shared" si="26"/>
        <v>6.1935545002676229E-2</v>
      </c>
      <c r="FA55" s="330">
        <f t="shared" si="26"/>
        <v>6.5768469856742812E-2</v>
      </c>
      <c r="FB55" s="330">
        <f t="shared" si="26"/>
        <v>6.3008863069366844E-2</v>
      </c>
      <c r="FC55" s="330">
        <f t="shared" si="26"/>
        <v>2.9512980512753209E-2</v>
      </c>
      <c r="FD55" s="330">
        <f t="shared" si="26"/>
        <v>3.5452026865371508E-2</v>
      </c>
      <c r="FE55" s="330">
        <f t="shared" si="26"/>
        <v>3.8246894079417219E-2</v>
      </c>
      <c r="FF55" s="330">
        <f t="shared" si="26"/>
        <v>6.0298210296044659E-2</v>
      </c>
      <c r="FG55" s="330">
        <f t="shared" si="26"/>
        <v>8.8619186772822517E-2</v>
      </c>
      <c r="FH55" s="330">
        <f t="shared" si="26"/>
        <v>0.11175411032197877</v>
      </c>
      <c r="FI55" s="332">
        <f t="shared" si="26"/>
        <v>0.12565348099485601</v>
      </c>
      <c r="FJ55" s="332">
        <f t="shared" si="26"/>
        <v>0.12508858349929003</v>
      </c>
      <c r="FK55" s="330">
        <f t="shared" si="26"/>
        <v>7.5439222984762119E-2</v>
      </c>
      <c r="FL55" s="330">
        <f t="shared" si="26"/>
        <v>8.06769444766431E-2</v>
      </c>
      <c r="FM55" s="332">
        <f t="shared" si="26"/>
        <v>0.10216494845360825</v>
      </c>
      <c r="FN55" s="330">
        <f t="shared" si="26"/>
        <v>0.10287763169991726</v>
      </c>
      <c r="FO55" s="330">
        <f t="shared" si="26"/>
        <v>9.765946925993077E-2</v>
      </c>
      <c r="FP55" s="330">
        <f t="shared" si="26"/>
        <v>9.4816586921850077E-2</v>
      </c>
      <c r="FQ55" s="330">
        <f t="shared" si="26"/>
        <v>8.7738782763216353E-2</v>
      </c>
      <c r="FR55" s="330">
        <f t="shared" si="26"/>
        <v>6.9543533975202604E-2</v>
      </c>
      <c r="FS55" s="330">
        <f t="shared" si="26"/>
        <v>5.9696435831413472E-2</v>
      </c>
      <c r="FT55" s="330">
        <f t="shared" si="26"/>
        <v>5.1040186070551753E-2</v>
      </c>
      <c r="FU55" s="330">
        <f t="shared" si="26"/>
        <v>4.7310598646584982E-2</v>
      </c>
      <c r="FV55" s="330">
        <f t="shared" si="26"/>
        <v>4.3704703991246784E-2</v>
      </c>
      <c r="FW55" s="333">
        <f>FW27/FW12</f>
        <v>4.0689388896250962E-2</v>
      </c>
      <c r="FX55" s="330">
        <f>FX27/FX12</f>
        <v>3.7843586946254559E-2</v>
      </c>
      <c r="FY55" s="333">
        <f>FY27/FY12</f>
        <v>3.6032385482878099E-2</v>
      </c>
      <c r="FZ55" s="330"/>
      <c r="GA55" s="330"/>
      <c r="GB55" s="330"/>
      <c r="GC55" s="330"/>
      <c r="GD55" s="330"/>
    </row>
    <row r="56" spans="1:186" x14ac:dyDescent="0.2">
      <c r="A56" s="276" t="s">
        <v>175</v>
      </c>
      <c r="C56" s="330">
        <f>C29/C27</f>
        <v>0.35922330097087352</v>
      </c>
      <c r="D56" s="330">
        <f>D29/D27</f>
        <v>0.36462093862815892</v>
      </c>
      <c r="E56" s="330">
        <f>E29/E27</f>
        <v>0.35238095238095302</v>
      </c>
      <c r="F56" s="330">
        <f>F29/F27</f>
        <v>0.33608224130140046</v>
      </c>
      <c r="G56" s="331"/>
      <c r="H56" s="330">
        <f>H29/H27</f>
        <v>0.37962134584230034</v>
      </c>
      <c r="I56" s="330">
        <f>I29/I27</f>
        <v>0.38027066323677444</v>
      </c>
      <c r="J56" s="330">
        <f>J29/J27</f>
        <v>0.37982764123842983</v>
      </c>
      <c r="K56" s="330">
        <f>K29/K27</f>
        <v>0.36216612810065674</v>
      </c>
      <c r="L56" s="331"/>
      <c r="M56" s="330">
        <f>M29/M27</f>
        <v>0.3882999829941618</v>
      </c>
      <c r="N56" s="330">
        <f>N29/N27</f>
        <v>0.38703221344164374</v>
      </c>
      <c r="O56" s="330">
        <f>O29/O27</f>
        <v>0.37901879191073112</v>
      </c>
      <c r="P56" s="330">
        <f>P29/P27</f>
        <v>0.38441570280895726</v>
      </c>
      <c r="Q56" s="331"/>
      <c r="R56" s="330">
        <f>R29/R27</f>
        <v>0.38597444957869126</v>
      </c>
      <c r="S56" s="330">
        <f>S29/S27</f>
        <v>0.39201151801114764</v>
      </c>
      <c r="T56" s="330">
        <f>T29/T27</f>
        <v>0.39471181282100054</v>
      </c>
      <c r="U56" s="330">
        <f>U29/U27</f>
        <v>0.39176203197894671</v>
      </c>
      <c r="V56" s="331"/>
      <c r="W56" s="330">
        <f>W29/W27</f>
        <v>0.39414094328539201</v>
      </c>
      <c r="X56" s="330">
        <f>X29/X27</f>
        <v>0.3953062183970909</v>
      </c>
      <c r="Y56" s="330">
        <f>Y29/Y27</f>
        <v>0.39632841357662635</v>
      </c>
      <c r="Z56" s="330">
        <f>Z29/Z27</f>
        <v>0.39486331321493245</v>
      </c>
      <c r="AA56" s="331"/>
      <c r="AB56" s="330">
        <f>AB29/AB27</f>
        <v>0.39407141449745015</v>
      </c>
      <c r="AC56" s="330">
        <f>AC29/AC27</f>
        <v>0.39522141381478482</v>
      </c>
      <c r="AD56" s="330">
        <f>AD29/AD27</f>
        <v>0.39347369288451284</v>
      </c>
      <c r="AE56" s="330">
        <f>AE29/AE27</f>
        <v>0.39201150199937124</v>
      </c>
      <c r="AF56" s="331"/>
      <c r="AG56" s="330">
        <f>AG29/AG27</f>
        <v>0.39558885279232647</v>
      </c>
      <c r="AH56" s="330">
        <f>AH29/AH27</f>
        <v>0.3955130195326742</v>
      </c>
      <c r="AI56" s="330">
        <f>AI29/AI27</f>
        <v>0.38933543849576568</v>
      </c>
      <c r="AJ56" s="330">
        <f>AJ29/AJ27</f>
        <v>0.39553050529022099</v>
      </c>
      <c r="AK56" s="331"/>
      <c r="AL56" s="330">
        <f>AL29/AL27</f>
        <v>0.39363436990384043</v>
      </c>
      <c r="AM56" s="330">
        <f>AM29/AM27</f>
        <v>0.39405911921064074</v>
      </c>
      <c r="AN56" s="330">
        <f>AN29/AN27</f>
        <v>0.39399782043758841</v>
      </c>
      <c r="AO56" s="330">
        <f>AO29/AO27</f>
        <v>0.39400000000000002</v>
      </c>
      <c r="AP56" s="331"/>
      <c r="AQ56" s="330">
        <f>AQ29/AQ27</f>
        <v>0.38798569184473009</v>
      </c>
      <c r="AR56" s="330">
        <f>AR29/AR27</f>
        <v>0.38800000000000007</v>
      </c>
      <c r="AS56" s="330">
        <f>AS29/AS27</f>
        <v>5.9083612136872375E-2</v>
      </c>
      <c r="AT56" s="330">
        <f>AT29/AT27</f>
        <v>0.38700000000000001</v>
      </c>
      <c r="AU56" s="331"/>
      <c r="AV56" s="330">
        <f>AV29/AV27</f>
        <v>0.38983903420523158</v>
      </c>
      <c r="AW56" s="330">
        <f>AW29/AW27</f>
        <v>0.39031233593541542</v>
      </c>
      <c r="AX56" s="330">
        <f>AX29/AX27</f>
        <v>0.39</v>
      </c>
      <c r="AY56" s="330">
        <f>AY29/AY27</f>
        <v>0.46791326485822077</v>
      </c>
      <c r="AZ56" s="331"/>
      <c r="BA56" s="330">
        <f>BA29/BA27</f>
        <v>0.38927899569744273</v>
      </c>
      <c r="BB56" s="330">
        <f>BB29/BB27</f>
        <v>0.39100000000000001</v>
      </c>
      <c r="BC56" s="330">
        <f>BC29/BC27</f>
        <v>0.39100000000000235</v>
      </c>
      <c r="BD56" s="330">
        <f>BD29/BD27</f>
        <v>0.39803999130623935</v>
      </c>
      <c r="BE56" s="331"/>
      <c r="BF56" s="330">
        <f>BF29/BF27</f>
        <v>0.38959437800517827</v>
      </c>
      <c r="BG56" s="330">
        <f>BG29/BG27</f>
        <v>0.39055733161152062</v>
      </c>
      <c r="BH56" s="330">
        <f>BH29/BH27</f>
        <v>0.38607780052646995</v>
      </c>
      <c r="BI56" s="330">
        <f>BI29/BI27</f>
        <v>0.39117340020878605</v>
      </c>
      <c r="BJ56" s="331"/>
      <c r="BK56" s="330">
        <f>BK29/BK27</f>
        <v>0.38138993660219889</v>
      </c>
      <c r="BL56" s="330">
        <f>BL29/BL27</f>
        <v>0.32706296304898186</v>
      </c>
      <c r="BM56" s="330">
        <f>BM29/BM27</f>
        <v>0.39184818481848138</v>
      </c>
      <c r="BN56" s="330">
        <f>BN29/BN27</f>
        <v>0.38948888482111971</v>
      </c>
      <c r="BO56" s="331"/>
      <c r="BP56" s="330">
        <f>BP29/BP27</f>
        <v>0.38915757507591958</v>
      </c>
      <c r="BQ56" s="330">
        <f>BQ29/BQ27</f>
        <v>0.39057077012781566</v>
      </c>
      <c r="BR56" s="330">
        <f>BR29/BR27</f>
        <v>0.39010657550774203</v>
      </c>
      <c r="BS56" s="330">
        <f>BS29/BS27</f>
        <v>0.38984873635237188</v>
      </c>
      <c r="BT56" s="331"/>
      <c r="BU56" s="330">
        <f>BU29/BU27</f>
        <v>0.3897822014259455</v>
      </c>
      <c r="BV56" s="330">
        <f>BV29/BV27</f>
        <v>0.38998436661988073</v>
      </c>
      <c r="BW56" s="330">
        <f>BW29/BW27</f>
        <v>0.3667295710032703</v>
      </c>
      <c r="BX56" s="330">
        <f>BX29/BX27</f>
        <v>0.40805581985410738</v>
      </c>
      <c r="BY56" s="331"/>
      <c r="BZ56" s="330">
        <f>BZ29/BZ27</f>
        <v>0.39566423864030525</v>
      </c>
      <c r="CA56" s="330">
        <f>CA29/CA27</f>
        <v>0.38410954824994969</v>
      </c>
      <c r="CB56" s="330">
        <f>CB29/CB27</f>
        <v>0.34082766912865325</v>
      </c>
      <c r="CC56" s="330">
        <f>CC29/CC27</f>
        <v>0.38059458756180053</v>
      </c>
      <c r="CD56" s="331"/>
      <c r="CE56" s="330">
        <f>CE29/CE27</f>
        <v>0.38414356577360426</v>
      </c>
      <c r="CF56" s="330">
        <f>CF29/CF27</f>
        <v>0.38856374700274654</v>
      </c>
      <c r="CG56" s="330">
        <f>CG29/CG27</f>
        <v>0.38656689424424662</v>
      </c>
      <c r="CH56" s="330">
        <f>CH29/CH27</f>
        <v>0.38703584007175951</v>
      </c>
      <c r="CI56" s="331"/>
      <c r="CJ56" s="330">
        <f>CJ29/CJ27</f>
        <v>0.38204753328945962</v>
      </c>
      <c r="CK56" s="330">
        <f>CK29/CK27</f>
        <v>0.38391513666777016</v>
      </c>
      <c r="CL56" s="330">
        <f>CL29/CL27</f>
        <v>0.3913800150858166</v>
      </c>
      <c r="CM56" s="330">
        <f>CM29/CM27</f>
        <v>0.40112994350282488</v>
      </c>
      <c r="CN56" s="331"/>
      <c r="CO56" s="330">
        <f>CO29/CO27</f>
        <v>0.37378640776699029</v>
      </c>
      <c r="CP56" s="330">
        <f>CP29/CP27</f>
        <v>0.39148936170212767</v>
      </c>
      <c r="CQ56" s="330">
        <f>CQ29/CQ27</f>
        <v>0.31728908208268536</v>
      </c>
      <c r="CR56" s="330">
        <f>CR29/CR27</f>
        <v>0.44715447154471544</v>
      </c>
      <c r="CS56" s="331"/>
      <c r="CT56" s="330">
        <f>CT29/CT27</f>
        <v>0.40869565217391307</v>
      </c>
      <c r="CU56" s="330">
        <f>CU29/CU27</f>
        <v>0.38235294117647056</v>
      </c>
      <c r="CV56" s="330">
        <f>CV29/CV27</f>
        <v>0.38059701492537312</v>
      </c>
      <c r="CW56" s="330">
        <f>CW29/CW27</f>
        <v>0.37906137184115524</v>
      </c>
      <c r="CX56" s="331"/>
      <c r="CY56" s="330">
        <f>CY29/CY27</f>
        <v>0.38297872340425532</v>
      </c>
      <c r="CZ56" s="330">
        <f>CZ29/CZ27</f>
        <v>0.39166666666666666</v>
      </c>
      <c r="DA56" s="330">
        <f>DA29/DA27</f>
        <v>0.37368421052631579</v>
      </c>
      <c r="DB56" s="330">
        <f>DB29/DB27</f>
        <v>0.37801608579088469</v>
      </c>
      <c r="DC56" s="331"/>
      <c r="DD56" s="330">
        <f>DD29/DD27</f>
        <v>0.39834024896265557</v>
      </c>
      <c r="DE56" s="330">
        <f>DE29/DE27</f>
        <v>0.39655172413793105</v>
      </c>
      <c r="DF56" s="330">
        <f>DF29/DF27</f>
        <v>0.3923444976076555</v>
      </c>
      <c r="DG56" s="330">
        <f>DG29/DG27</f>
        <v>0.37730870712401055</v>
      </c>
      <c r="DH56" s="331"/>
      <c r="DI56" s="330">
        <f>DI29/DI27</f>
        <v>0.37916666666666665</v>
      </c>
      <c r="DJ56" s="330">
        <f>DJ29/DJ27</f>
        <v>0.376</v>
      </c>
      <c r="DK56" s="330">
        <f>DK29/DK27</f>
        <v>0.38912133891213391</v>
      </c>
      <c r="DL56" s="330">
        <f>DL29/DL27</f>
        <v>0.37719298245614036</v>
      </c>
      <c r="DM56" s="331"/>
      <c r="DN56" s="330">
        <f>DN29/DN27</f>
        <v>0.38559322033898308</v>
      </c>
      <c r="DO56" s="330">
        <f>DO29/DO27</f>
        <v>0.3825503355704698</v>
      </c>
      <c r="DP56" s="330">
        <f>DP29/DP27</f>
        <v>0.37155963302752293</v>
      </c>
      <c r="DQ56" s="330">
        <f>DQ29/DQ27</f>
        <v>0.38672768878718533</v>
      </c>
      <c r="DR56" s="331"/>
      <c r="DS56" s="330">
        <f>DS29/DS27</f>
        <v>0.39130434782608697</v>
      </c>
      <c r="DT56" s="330">
        <f>DT29/DT27</f>
        <v>0.38175675675675674</v>
      </c>
      <c r="DU56" s="330">
        <f>DU29/DU27</f>
        <v>0.37719298245614036</v>
      </c>
      <c r="DV56" s="330">
        <f>DV29/DV27</f>
        <v>0.40719257540603249</v>
      </c>
      <c r="DW56" s="331"/>
      <c r="DX56" s="330">
        <f>DX29/DX27</f>
        <v>0.39622641509433965</v>
      </c>
      <c r="DY56" s="330">
        <f>DY29/DY27</f>
        <v>0.38523809523809527</v>
      </c>
      <c r="DZ56" s="330">
        <f>DZ29/DZ27</f>
        <v>0.30128205128205127</v>
      </c>
      <c r="EA56" s="330">
        <f>EA29/EA27</f>
        <v>0.38011695906432746</v>
      </c>
      <c r="EB56" s="331"/>
      <c r="EC56" s="330">
        <f>EC29/EC27</f>
        <v>0.38666666666666666</v>
      </c>
      <c r="ED56" s="330">
        <f>ED29/ED27</f>
        <v>0.38743455497382201</v>
      </c>
      <c r="EE56" s="330">
        <f>EE29/EE27</f>
        <v>0.33351351351351349</v>
      </c>
      <c r="EF56" s="330">
        <f>EF29/EF27</f>
        <v>0.38931297709923662</v>
      </c>
      <c r="EG56" s="249"/>
      <c r="EH56" s="330">
        <f>EH29/EH27</f>
        <v>0.38834951456310679</v>
      </c>
      <c r="EI56" s="330">
        <f>EI29/EI27</f>
        <v>0.41489361702127658</v>
      </c>
      <c r="EJ56" s="330">
        <f>EJ29/EJ27</f>
        <v>0.36666666666666664</v>
      </c>
      <c r="EK56" s="330">
        <f>EK29/EK27</f>
        <v>0.39388714733542324</v>
      </c>
      <c r="EL56" s="330"/>
      <c r="EM56" s="330">
        <f>EM29/EM27</f>
        <v>0.27500000000000002</v>
      </c>
      <c r="EN56" s="330">
        <f>EN29/EN27</f>
        <v>0.27999999999999986</v>
      </c>
      <c r="EO56" s="330">
        <f>EO29/EO27</f>
        <v>0.2700000000000003</v>
      </c>
      <c r="EP56" s="330">
        <f>EP29/EP27</f>
        <v>0.27499999999999991</v>
      </c>
      <c r="EQ56" s="330"/>
      <c r="ER56" s="277"/>
      <c r="ES56" s="330">
        <f t="shared" ref="ES56:FV56" si="27">ES29/ES27</f>
        <v>0.35050135714125485</v>
      </c>
      <c r="ET56" s="330">
        <f t="shared" si="27"/>
        <v>0.37474391731694362</v>
      </c>
      <c r="EU56" s="330">
        <f t="shared" si="27"/>
        <v>0.38490199764776795</v>
      </c>
      <c r="EV56" s="330">
        <f t="shared" si="27"/>
        <v>0.39191401276643645</v>
      </c>
      <c r="EW56" s="330">
        <f t="shared" si="27"/>
        <v>0.39516268424534629</v>
      </c>
      <c r="EX56" s="330">
        <f t="shared" si="27"/>
        <v>0.39366753454689718</v>
      </c>
      <c r="EY56" s="330">
        <f t="shared" si="27"/>
        <v>0.39413154801368289</v>
      </c>
      <c r="EZ56" s="330">
        <f t="shared" si="27"/>
        <v>0.39395468941744055</v>
      </c>
      <c r="FA56" s="330">
        <f t="shared" si="27"/>
        <v>0.38767605108328385</v>
      </c>
      <c r="FB56" s="330">
        <f t="shared" si="27"/>
        <v>0.39030594561033932</v>
      </c>
      <c r="FC56" s="330">
        <f t="shared" si="27"/>
        <v>0.38977834724400801</v>
      </c>
      <c r="FD56" s="330">
        <f t="shared" si="27"/>
        <v>0.39024294824146127</v>
      </c>
      <c r="FE56" s="330">
        <f t="shared" si="27"/>
        <v>0.38369604455675316</v>
      </c>
      <c r="FF56" s="330">
        <f t="shared" si="27"/>
        <v>0.39001579651873974</v>
      </c>
      <c r="FG56" s="330">
        <f t="shared" si="27"/>
        <v>0.39213447735692247</v>
      </c>
      <c r="FH56" s="330">
        <f t="shared" si="27"/>
        <v>0.37718130780989928</v>
      </c>
      <c r="FI56" s="332">
        <f t="shared" si="27"/>
        <v>0.38678862174660578</v>
      </c>
      <c r="FJ56" s="332">
        <f t="shared" si="27"/>
        <v>0.39040953265427863</v>
      </c>
      <c r="FK56" s="330">
        <f t="shared" si="27"/>
        <v>0.39164229181668059</v>
      </c>
      <c r="FL56" s="330">
        <f t="shared" si="27"/>
        <v>0.38505747126436779</v>
      </c>
      <c r="FM56" s="332">
        <f t="shared" si="27"/>
        <v>0.38143289606458125</v>
      </c>
      <c r="FN56" s="330">
        <f t="shared" si="27"/>
        <v>0.3896336014298481</v>
      </c>
      <c r="FO56" s="330">
        <f t="shared" si="27"/>
        <v>0.379746835443038</v>
      </c>
      <c r="FP56" s="330">
        <f t="shared" si="27"/>
        <v>0.3826745164003364</v>
      </c>
      <c r="FQ56" s="330">
        <f t="shared" si="27"/>
        <v>0.3919831223628692</v>
      </c>
      <c r="FR56" s="330">
        <f t="shared" si="27"/>
        <v>0.37276892430278885</v>
      </c>
      <c r="FS56" s="330">
        <f t="shared" si="27"/>
        <v>0.37461975028376843</v>
      </c>
      <c r="FT56" s="330">
        <f t="shared" si="27"/>
        <v>0.39196202531645569</v>
      </c>
      <c r="FU56" s="330">
        <f t="shared" si="27"/>
        <v>0.27492697934661886</v>
      </c>
      <c r="FV56" s="330">
        <f t="shared" si="27"/>
        <v>0.27492697934661869</v>
      </c>
      <c r="FW56" s="333">
        <f>FW29/FW27</f>
        <v>0.27492697934661908</v>
      </c>
      <c r="FX56" s="330">
        <f>FX29/FX27</f>
        <v>0.27492697934661886</v>
      </c>
      <c r="FY56" s="333">
        <f>FY29/FY27</f>
        <v>0.27492697934661942</v>
      </c>
      <c r="FZ56" s="330"/>
      <c r="GA56" s="330"/>
      <c r="GB56" s="705"/>
      <c r="GC56" s="330"/>
      <c r="GD56" s="330"/>
    </row>
    <row r="57" spans="1:186" x14ac:dyDescent="0.2">
      <c r="A57" s="276" t="s">
        <v>176</v>
      </c>
      <c r="C57" s="330">
        <f>C31/C12</f>
        <v>2.2928608650338744E-2</v>
      </c>
      <c r="D57" s="330">
        <f>D31/D12</f>
        <v>4.2869321641700146E-2</v>
      </c>
      <c r="E57" s="330">
        <f>E31/E12</f>
        <v>3.108334603077852E-2</v>
      </c>
      <c r="F57" s="330">
        <f>F31/F12</f>
        <v>5.0802624413267369E-2</v>
      </c>
      <c r="G57" s="331"/>
      <c r="H57" s="330">
        <f>H31/H12</f>
        <v>4.0572637624689198E-2</v>
      </c>
      <c r="I57" s="330">
        <f>I31/I12</f>
        <v>5.3998479739606677E-2</v>
      </c>
      <c r="J57" s="330">
        <f>J31/J12</f>
        <v>2.7346169002983711E-2</v>
      </c>
      <c r="K57" s="330">
        <f>K31/K12</f>
        <v>4.0824503294716041E-2</v>
      </c>
      <c r="L57" s="331"/>
      <c r="M57" s="330">
        <f>M31/M12</f>
        <v>3.1383828792212583E-2</v>
      </c>
      <c r="N57" s="330">
        <f>N31/N12</f>
        <v>4.2786456006056406E-2</v>
      </c>
      <c r="O57" s="330">
        <f>O31/O12</f>
        <v>3.081676461458337E-2</v>
      </c>
      <c r="P57" s="330">
        <f>P31/P12</f>
        <v>4.9412264020642686E-2</v>
      </c>
      <c r="Q57" s="331"/>
      <c r="R57" s="330">
        <f>R31/R12</f>
        <v>1.5708182440212853E-2</v>
      </c>
      <c r="S57" s="330">
        <f>S31/S12</f>
        <v>4.1037606500435336E-2</v>
      </c>
      <c r="T57" s="330">
        <f>T31/T12</f>
        <v>3.2140156130252479E-2</v>
      </c>
      <c r="U57" s="330">
        <f>U31/U12</f>
        <v>5.4089848933867188E-2</v>
      </c>
      <c r="V57" s="331"/>
      <c r="W57" s="330">
        <f>W31/W12</f>
        <v>4.069292388833598E-2</v>
      </c>
      <c r="X57" s="330">
        <f>X31/X12</f>
        <v>5.7154128332207295E-2</v>
      </c>
      <c r="Y57" s="330">
        <f>Y31/Y12</f>
        <v>4.2959015256040387E-2</v>
      </c>
      <c r="Z57" s="330">
        <f>Z31/Z12</f>
        <v>5.7549080967125549E-2</v>
      </c>
      <c r="AA57" s="331"/>
      <c r="AB57" s="330">
        <f>AB31/AB12</f>
        <v>3.2681367003828107E-2</v>
      </c>
      <c r="AC57" s="330">
        <f>AC31/AC12</f>
        <v>4.5712345914751887E-2</v>
      </c>
      <c r="AD57" s="330">
        <f>AD31/AD12</f>
        <v>3.1347054545919087E-2</v>
      </c>
      <c r="AE57" s="330">
        <f>AE31/AE12</f>
        <v>4.2479320682456675E-2</v>
      </c>
      <c r="AF57" s="331"/>
      <c r="AG57" s="330">
        <f>AG31/AG12</f>
        <v>2.9077914649212951E-2</v>
      </c>
      <c r="AH57" s="330">
        <f>AH31/AH12</f>
        <v>3.5118551874385291E-2</v>
      </c>
      <c r="AI57" s="330">
        <f>AI31/AI12</f>
        <v>3.3404357013236706E-2</v>
      </c>
      <c r="AJ57" s="330">
        <f>AJ31/AJ12</f>
        <v>3.1745407632221771E-2</v>
      </c>
      <c r="AK57" s="331"/>
      <c r="AL57" s="330">
        <f>AL31/AL12</f>
        <v>3.2953431846936554E-2</v>
      </c>
      <c r="AM57" s="330">
        <f>AM31/AM12</f>
        <v>4.2459592145562476E-2</v>
      </c>
      <c r="AN57" s="330">
        <f>AN31/AN12</f>
        <v>3.2342261569214943E-2</v>
      </c>
      <c r="AO57" s="330">
        <f>AO31/AO12</f>
        <v>3.9904452109592273E-2</v>
      </c>
      <c r="AP57" s="331"/>
      <c r="AQ57" s="330">
        <f>AQ31/AQ12</f>
        <v>3.0203655411009566E-2</v>
      </c>
      <c r="AR57" s="330">
        <f>AR31/AR12</f>
        <v>4.6915315190705097E-2</v>
      </c>
      <c r="AS57" s="330">
        <f>AS31/AS12</f>
        <v>0.26502228908873404</v>
      </c>
      <c r="AT57" s="330">
        <f>AT31/AT12</f>
        <v>4.5359736375938708E-2</v>
      </c>
      <c r="AU57" s="331"/>
      <c r="AV57" s="330">
        <f>AV31/AV12</f>
        <v>2.9577680096260141E-2</v>
      </c>
      <c r="AW57" s="330">
        <f>AW31/AW12</f>
        <v>4.8340407528217201E-2</v>
      </c>
      <c r="AX57" s="330">
        <f>AX31/AX12</f>
        <v>3.4885512227037348E-2</v>
      </c>
      <c r="AY57" s="330">
        <f>AY31/AY12</f>
        <v>3.0511313689252584E-2</v>
      </c>
      <c r="AZ57" s="331"/>
      <c r="BA57" s="330">
        <f>BA31/BA12</f>
        <v>2.7680810847089028E-2</v>
      </c>
      <c r="BB57" s="330">
        <f>BB31/BB12</f>
        <v>3.4756782240810517E-2</v>
      </c>
      <c r="BC57" s="330">
        <f>BC31/BC12</f>
        <v>1.796693135537638E-2</v>
      </c>
      <c r="BD57" s="330">
        <f>BD31/BD12</f>
        <v>1.6435517006875282E-2</v>
      </c>
      <c r="BE57" s="331"/>
      <c r="BF57" s="330">
        <f>BF31/BF12</f>
        <v>1.9722035221618948E-2</v>
      </c>
      <c r="BG57" s="330">
        <f>BG31/BG12</f>
        <v>2.4475579760512685E-2</v>
      </c>
      <c r="BH57" s="330">
        <f>BH31/BH12</f>
        <v>8.2536541785746213E-3</v>
      </c>
      <c r="BI57" s="330">
        <f>BI31/BI12</f>
        <v>3.0563085041020611E-2</v>
      </c>
      <c r="BJ57" s="331"/>
      <c r="BK57" s="330">
        <f>BK31/BK12</f>
        <v>2.410667167032168E-2</v>
      </c>
      <c r="BL57" s="330">
        <f>BL31/BL12</f>
        <v>3.4271903973637191E-2</v>
      </c>
      <c r="BM57" s="330">
        <f>BM31/BM12</f>
        <v>1.3567151398866325E-2</v>
      </c>
      <c r="BN57" s="330">
        <f>BN31/BN12</f>
        <v>3.3577715234306853E-2</v>
      </c>
      <c r="BO57" s="331"/>
      <c r="BP57" s="330">
        <f>BP31/BP12</f>
        <v>1.9805208065908925E-2</v>
      </c>
      <c r="BQ57" s="330">
        <f>BQ31/BQ12</f>
        <v>3.6162165457270273E-2</v>
      </c>
      <c r="BR57" s="330">
        <f>BR31/BR12</f>
        <v>3.1339637770411551E-2</v>
      </c>
      <c r="BS57" s="330">
        <f>BS31/BS12</f>
        <v>5.3261197315715644E-2</v>
      </c>
      <c r="BT57" s="331"/>
      <c r="BU57" s="330">
        <f>BU31/BU12</f>
        <v>4.3636827712404742E-2</v>
      </c>
      <c r="BV57" s="330">
        <f>BV31/BV12</f>
        <v>5.3551697435789539E-2</v>
      </c>
      <c r="BW57" s="330">
        <f>BW31/BW12</f>
        <v>4.9053619809715773E-2</v>
      </c>
      <c r="BX57" s="330">
        <f>BX31/BX12</f>
        <v>6.523453301245781E-2</v>
      </c>
      <c r="BY57" s="331"/>
      <c r="BZ57" s="330">
        <f>BZ31/BZ12</f>
        <v>6.1594173011408127E-2</v>
      </c>
      <c r="CA57" s="330">
        <f>CA31/CA12</f>
        <v>6.9218855744702906E-2</v>
      </c>
      <c r="CB57" s="330">
        <f>CB31/CB12</f>
        <v>6.2665134150632781E-2</v>
      </c>
      <c r="CC57" s="330">
        <f>CC31/CC12</f>
        <v>8.0762303197592658E-2</v>
      </c>
      <c r="CD57" s="331"/>
      <c r="CE57" s="330">
        <f>CE31/CE12</f>
        <v>7.1280093380936299E-2</v>
      </c>
      <c r="CF57" s="330">
        <f>CF31/CF12</f>
        <v>7.6675049617834348E-2</v>
      </c>
      <c r="CG57" s="330">
        <f>CG31/CG12</f>
        <v>7.0263324981537284E-2</v>
      </c>
      <c r="CH57" s="330">
        <f>CH31/CH12</f>
        <v>8.6182421517544391E-2</v>
      </c>
      <c r="CI57" s="331"/>
      <c r="CJ57" s="330">
        <f>CJ31/CJ12</f>
        <v>7.802617574660789E-2</v>
      </c>
      <c r="CK57" s="330">
        <f>CK31/CK12</f>
        <v>7.3405550175744919E-2</v>
      </c>
      <c r="CL57" s="330">
        <f>CL31/CL12</f>
        <v>7.0826486362697894E-2</v>
      </c>
      <c r="CM57" s="330">
        <f>CM31/CM12</f>
        <v>8.1853281853281848E-2</v>
      </c>
      <c r="CN57" s="331"/>
      <c r="CO57" s="330">
        <f>CO31/CO12</f>
        <v>6.6187788609543358E-2</v>
      </c>
      <c r="CP57" s="330">
        <f>CP31/CP12</f>
        <v>6.0618906316235691E-2</v>
      </c>
      <c r="CQ57" s="330">
        <f>CQ31/CQ12</f>
        <v>3.401001053740782E-2</v>
      </c>
      <c r="CR57" s="330">
        <f>CR31/CR12</f>
        <v>2.8439983270598077E-2</v>
      </c>
      <c r="CS57" s="331"/>
      <c r="CT57" s="330">
        <f>CT31/CT12</f>
        <v>3.7946428571428568E-2</v>
      </c>
      <c r="CU57" s="330">
        <f>CU31/CU12</f>
        <v>4.7043010752688172E-2</v>
      </c>
      <c r="CV57" s="330">
        <f>CV31/CV12</f>
        <v>4.2282221090168111E-2</v>
      </c>
      <c r="CW57" s="330">
        <f>CW31/CW12</f>
        <v>6.5151515151515155E-2</v>
      </c>
      <c r="CX57" s="331"/>
      <c r="CY57" s="330">
        <f>CY31/CY12</f>
        <v>5.558217537134643E-2</v>
      </c>
      <c r="CZ57" s="330">
        <f>CZ31/CZ12</f>
        <v>5.805168986083499E-2</v>
      </c>
      <c r="DA57" s="330">
        <f>DA31/DA12</f>
        <v>5.4537121906507793E-2</v>
      </c>
      <c r="DB57" s="330">
        <f>DB31/DB12</f>
        <v>7.956104252400549E-2</v>
      </c>
      <c r="DC57" s="331"/>
      <c r="DD57" s="330">
        <f>DD31/DD12</f>
        <v>6.2419285406801549E-2</v>
      </c>
      <c r="DE57" s="330">
        <f>DE31/DE12</f>
        <v>6.2277580071174378E-2</v>
      </c>
      <c r="DF57" s="330">
        <f>DF31/DF12</f>
        <v>5.1251008878127523E-2</v>
      </c>
      <c r="DG57" s="330">
        <f>DG31/DG12</f>
        <v>7.2259644825474589E-2</v>
      </c>
      <c r="DH57" s="331"/>
      <c r="DI57" s="330">
        <f>DI31/DI12</f>
        <v>5.6761904761904763E-2</v>
      </c>
      <c r="DJ57" s="330">
        <f>DJ31/DJ12</f>
        <v>5.1896207584830337E-2</v>
      </c>
      <c r="DK57" s="330">
        <f>DK31/DK12</f>
        <v>5.2049910873440283E-2</v>
      </c>
      <c r="DL57" s="330">
        <f>DL31/DL12</f>
        <v>7.6798269334775557E-2</v>
      </c>
      <c r="DM57" s="331"/>
      <c r="DN57" s="330">
        <f>DN31/DN12</f>
        <v>5.2746453255729353E-2</v>
      </c>
      <c r="DO57" s="330">
        <f>DO31/DO12</f>
        <v>5.7571964956195244E-2</v>
      </c>
      <c r="DP57" s="330">
        <f>DP31/DP12</f>
        <v>4.7503467406380027E-2</v>
      </c>
      <c r="DQ57" s="330">
        <f>DQ31/DQ12</f>
        <v>7.2217731069792512E-2</v>
      </c>
      <c r="DR57" s="331"/>
      <c r="DS57" s="330">
        <f>DS31/DS12</f>
        <v>4.7765267826680315E-2</v>
      </c>
      <c r="DT57" s="330">
        <f>DT31/DT12</f>
        <v>5.3950471698113206E-2</v>
      </c>
      <c r="DU57" s="330">
        <f>DU31/DU12</f>
        <v>4.5222929936305729E-2</v>
      </c>
      <c r="DV57" s="330">
        <f>DV31/DV12</f>
        <v>6.3195646796932972E-2</v>
      </c>
      <c r="DW57" s="331"/>
      <c r="DX57" s="330">
        <f>DX31/DX12</f>
        <v>3.9813374805598753E-2</v>
      </c>
      <c r="DY57" s="330">
        <f>DY31/DY12</f>
        <v>4.8835449878411243E-2</v>
      </c>
      <c r="DZ57" s="330">
        <f>DZ31/DZ12</f>
        <v>3.2762248271716261E-2</v>
      </c>
      <c r="EA57" s="330">
        <f>EA31/EA12</f>
        <v>5.0548402479732954E-2</v>
      </c>
      <c r="EB57" s="331"/>
      <c r="EC57" s="330">
        <f>EC31/EC12</f>
        <v>1.4158202523853494E-2</v>
      </c>
      <c r="ED57" s="330">
        <f>ED31/ED12</f>
        <v>3.2046014790468362E-2</v>
      </c>
      <c r="EE57" s="330">
        <f>EE31/EE12</f>
        <v>4.1773009599096557E-2</v>
      </c>
      <c r="EF57" s="330">
        <f>EF31/EF12</f>
        <v>5.5607043558850787E-2</v>
      </c>
      <c r="EG57" s="331"/>
      <c r="EH57" s="330">
        <f>EH31/EH12</f>
        <v>1.8783542039355994E-2</v>
      </c>
      <c r="EI57" s="330">
        <f>EI31/EI12</f>
        <v>2.9000790930661744E-2</v>
      </c>
      <c r="EJ57" s="330">
        <f>EJ31/EJ12</f>
        <v>3.1413612565445025E-2</v>
      </c>
      <c r="EK57" s="330">
        <f>EK31/EK12</f>
        <v>4.1120799659719265E-2</v>
      </c>
      <c r="EL57" s="330"/>
      <c r="EM57" s="330">
        <f>EM31/EM12</f>
        <v>2.0058279807714473E-2</v>
      </c>
      <c r="EN57" s="330">
        <f>EN31/EN12</f>
        <v>2.8490612319422959E-2</v>
      </c>
      <c r="EO57" s="330">
        <f>EO31/EO12</f>
        <v>3.4414647305963393E-2</v>
      </c>
      <c r="EP57" s="330">
        <f>EP31/EP12</f>
        <v>5.0710305110146757E-2</v>
      </c>
      <c r="EQ57" s="330"/>
      <c r="ER57" s="353"/>
      <c r="ES57" s="330">
        <f t="shared" ref="ES57:FV57" si="28">ES31/ES12</f>
        <v>3.8883166519168302E-2</v>
      </c>
      <c r="ET57" s="330">
        <f t="shared" si="28"/>
        <v>4.1568432048476121E-2</v>
      </c>
      <c r="EU57" s="330">
        <f t="shared" si="28"/>
        <v>4.0027268182748162E-2</v>
      </c>
      <c r="EV57" s="330">
        <f t="shared" si="28"/>
        <v>3.8173174712045614E-2</v>
      </c>
      <c r="EW57" s="330">
        <f t="shared" si="28"/>
        <v>5.0877862346651773E-2</v>
      </c>
      <c r="EX57" s="330">
        <f t="shared" si="28"/>
        <v>3.8953713048931124E-2</v>
      </c>
      <c r="EY57" s="330">
        <f t="shared" si="28"/>
        <v>3.2505392215482598E-2</v>
      </c>
      <c r="EZ57" s="330">
        <f t="shared" si="28"/>
        <v>3.7535746607247004E-2</v>
      </c>
      <c r="FA57" s="330">
        <f t="shared" si="28"/>
        <v>4.0271609176890766E-2</v>
      </c>
      <c r="FB57" s="330">
        <f t="shared" si="28"/>
        <v>3.8416129187245233E-2</v>
      </c>
      <c r="FC57" s="330">
        <f t="shared" si="28"/>
        <v>1.8009459746247649E-2</v>
      </c>
      <c r="FD57" s="330">
        <f t="shared" si="28"/>
        <v>2.1617123380293438E-2</v>
      </c>
      <c r="FE57" s="330">
        <f t="shared" si="28"/>
        <v>2.3571712104563734E-2</v>
      </c>
      <c r="FF57" s="330">
        <f t="shared" si="28"/>
        <v>3.6780955778778324E-2</v>
      </c>
      <c r="FG57" s="330">
        <f t="shared" si="28"/>
        <v>5.3868548283866259E-2</v>
      </c>
      <c r="FH57" s="330">
        <f t="shared" si="28"/>
        <v>6.9602548837603057E-2</v>
      </c>
      <c r="FI57" s="332">
        <f t="shared" si="28"/>
        <v>7.7052144263192332E-2</v>
      </c>
      <c r="FJ57" s="332">
        <f t="shared" si="28"/>
        <v>7.6252808074946499E-2</v>
      </c>
      <c r="FK57" s="330">
        <f t="shared" si="28"/>
        <v>4.5894032802140272E-2</v>
      </c>
      <c r="FL57" s="330">
        <f t="shared" si="28"/>
        <v>4.9611684247131103E-2</v>
      </c>
      <c r="FM57" s="332">
        <f t="shared" si="28"/>
        <v>6.3195876288659789E-2</v>
      </c>
      <c r="FN57" s="330">
        <f t="shared" si="28"/>
        <v>6.2793049554104988E-2</v>
      </c>
      <c r="FO57" s="330">
        <f t="shared" si="28"/>
        <v>6.0573594857425417E-2</v>
      </c>
      <c r="FP57" s="330">
        <f t="shared" si="28"/>
        <v>5.8532695374800638E-2</v>
      </c>
      <c r="FQ57" s="330">
        <f t="shared" si="28"/>
        <v>5.3346660743373318E-2</v>
      </c>
      <c r="FR57" s="330">
        <f t="shared" si="28"/>
        <v>4.3619865623051882E-2</v>
      </c>
      <c r="FS57" s="330">
        <f t="shared" si="28"/>
        <v>3.7332971947418352E-2</v>
      </c>
      <c r="FT57" s="330">
        <f t="shared" si="28"/>
        <v>3.1034371365809537E-2</v>
      </c>
      <c r="FU57" s="330">
        <f t="shared" si="28"/>
        <v>3.4303638669599144E-2</v>
      </c>
      <c r="FV57" s="330">
        <f t="shared" si="28"/>
        <v>3.1689101739695198E-2</v>
      </c>
      <c r="FW57" s="333">
        <f>FW31/FW12</f>
        <v>2.9502778115544821E-2</v>
      </c>
      <c r="FX57" s="330">
        <f>FX31/FX12</f>
        <v>2.7439363899479655E-2</v>
      </c>
      <c r="FY57" s="333">
        <f>FY31/FY12</f>
        <v>2.6126110583417444E-2</v>
      </c>
      <c r="FZ57" s="330"/>
      <c r="GA57" s="330"/>
      <c r="GB57" s="705"/>
      <c r="GC57" s="330"/>
      <c r="GD57" s="330"/>
    </row>
    <row r="58" spans="1:186" x14ac:dyDescent="0.2">
      <c r="A58" s="276" t="s">
        <v>177</v>
      </c>
      <c r="C58" s="330"/>
      <c r="D58" s="330"/>
      <c r="E58" s="330"/>
      <c r="F58" s="330"/>
      <c r="G58" s="331"/>
      <c r="H58" s="330"/>
      <c r="I58" s="330"/>
      <c r="J58" s="330"/>
      <c r="K58" s="330"/>
      <c r="L58" s="331"/>
      <c r="M58" s="330"/>
      <c r="N58" s="330"/>
      <c r="O58" s="330"/>
      <c r="P58" s="330"/>
      <c r="Q58" s="331"/>
      <c r="R58" s="330"/>
      <c r="S58" s="330"/>
      <c r="T58" s="330"/>
      <c r="U58" s="330"/>
      <c r="V58" s="331"/>
      <c r="W58" s="330"/>
      <c r="X58" s="330"/>
      <c r="Y58" s="330"/>
      <c r="Z58" s="330"/>
      <c r="AA58" s="331"/>
      <c r="AB58" s="330"/>
      <c r="AC58" s="330"/>
      <c r="AD58" s="330"/>
      <c r="AE58" s="330"/>
      <c r="AF58" s="331"/>
      <c r="AG58" s="330"/>
      <c r="AH58" s="330"/>
      <c r="AI58" s="330"/>
      <c r="AJ58" s="330"/>
      <c r="AK58" s="331"/>
      <c r="AL58" s="330"/>
      <c r="AM58" s="330"/>
      <c r="AN58" s="330"/>
      <c r="AO58" s="330"/>
      <c r="AP58" s="331"/>
      <c r="AQ58" s="330"/>
      <c r="AR58" s="330"/>
      <c r="AS58" s="330"/>
      <c r="AT58" s="330"/>
      <c r="AU58" s="331"/>
      <c r="AV58" s="330"/>
      <c r="AW58" s="330"/>
      <c r="AX58" s="330"/>
      <c r="AY58" s="330"/>
      <c r="AZ58" s="331"/>
      <c r="BA58" s="330"/>
      <c r="BB58" s="330"/>
      <c r="BC58" s="330"/>
      <c r="BD58" s="330"/>
      <c r="BE58" s="331"/>
      <c r="BF58" s="330"/>
      <c r="BG58" s="330"/>
      <c r="BH58" s="330"/>
      <c r="BI58" s="330"/>
      <c r="BJ58" s="331"/>
      <c r="BK58" s="330">
        <f>IF(ISERROR(BK47/BK12),"NA ",BK47/BK12)</f>
        <v>9.4483079436932432E-2</v>
      </c>
      <c r="BL58" s="330">
        <f>IF(ISERROR(BL47/BL12),"NA ",BL47/BL12)</f>
        <v>9.3149144020027538E-2</v>
      </c>
      <c r="BM58" s="330">
        <f>IF(ISERROR(BM47/BM12),"NA ",BM47/BM12)</f>
        <v>7.6291021913449164E-2</v>
      </c>
      <c r="BN58" s="330">
        <f>IF(ISERROR(BN47/BN12),"NA ",BN47/BN12)</f>
        <v>0.11100770060271424</v>
      </c>
      <c r="BO58" s="331"/>
      <c r="BP58" s="330">
        <f>IF(ISERROR(BP47/BP12),"NA ",BP47/BP12)</f>
        <v>8.8329550493616821E-2</v>
      </c>
      <c r="BQ58" s="330">
        <f>IF(ISERROR(BQ47/BQ12),"NA ",BQ47/BQ12)</f>
        <v>0.10331043050040051</v>
      </c>
      <c r="BR58" s="330">
        <f>IF(ISERROR(BR47/BR12),"NA ",BR47/BR12)</f>
        <v>0.10729804722265847</v>
      </c>
      <c r="BS58" s="330">
        <f>IF(ISERROR(BS47/BS12),"NA ",BS47/BS12)</f>
        <v>0.14022288764138385</v>
      </c>
      <c r="BT58" s="331"/>
      <c r="BU58" s="330">
        <f>IF(ISERROR(BU47/BU12),"NA ",BU47/BU12)</f>
        <v>0.13051746152483501</v>
      </c>
      <c r="BV58" s="330">
        <f>IF(ISERROR(BV47/BV12),"NA ",BV47/BV12)</f>
        <v>0.12404369285573323</v>
      </c>
      <c r="BW58" s="330">
        <f>IF(ISERROR(BW47/BW12),"NA ",BW47/BW12)</f>
        <v>0.12186818725978191</v>
      </c>
      <c r="BX58" s="330">
        <f>IF(ISERROR(BX47/BX12),"NA ",BX47/BX12)</f>
        <v>0.15978825573353664</v>
      </c>
      <c r="BY58" s="331"/>
      <c r="BZ58" s="330">
        <f>IF(ISERROR(BZ47/BZ12),"NA ",BZ47/BZ12)</f>
        <v>0.15014264620794407</v>
      </c>
      <c r="CA58" s="330">
        <f>IF(ISERROR(CA47/CA12),"NA ",CA47/CA12)</f>
        <v>0.14917161226508399</v>
      </c>
      <c r="CB58" s="330">
        <f>IF(ISERROR(CB47/CB12),"NA ",CB47/CB12)</f>
        <v>0.12598651764087895</v>
      </c>
      <c r="CC58" s="330">
        <f>IF(ISERROR(CC47/CC12),"NA ",CC47/CC12)</f>
        <v>0.17606858203769016</v>
      </c>
      <c r="CD58" s="331"/>
      <c r="CE58" s="330">
        <f>IF(ISERROR(CE47/CE12),"NA ",CE47/CE12)</f>
        <v>0.15983337868761546</v>
      </c>
      <c r="CF58" s="330">
        <f>IF(ISERROR(CF47/CF12),"NA ",CF47/CF12)</f>
        <v>0.16014153361251715</v>
      </c>
      <c r="CG58" s="330">
        <f>IF(ISERROR(CG47/CG12),"NA ",CG47/CG12)</f>
        <v>0.15524863251855844</v>
      </c>
      <c r="CH58" s="330">
        <f>IF(ISERROR(CH47/CH12),"NA ",CH47/CH12)</f>
        <v>0.17268829464958352</v>
      </c>
      <c r="CI58" s="331"/>
      <c r="CJ58" s="330">
        <f>IF(ISERROR(CJ47/CJ12),"NA ",CJ47/CJ12)</f>
        <v>0.16436842291201326</v>
      </c>
      <c r="CK58" s="330">
        <f>IF(ISERROR(CK47/CK12),"NA ",CK47/CK12)</f>
        <v>0.15355917154711687</v>
      </c>
      <c r="CL58" s="330">
        <f>IF(ISERROR(CL47/CL12),"NA ",CL47/CL12)</f>
        <v>0.15841474914710157</v>
      </c>
      <c r="CM58" s="330">
        <f>IF(ISERROR(CM47/CM12),"NA ",CM47/CM12)</f>
        <v>0.17392934362934362</v>
      </c>
      <c r="CN58" s="331"/>
      <c r="CO58" s="330">
        <f>IF(ISERROR(CO47/CO12),"NA ",CO47/CO12)</f>
        <v>0.15854284248332479</v>
      </c>
      <c r="CP58" s="330">
        <f>IF(ISERROR(CP47/CP12),"NA ",CP47/CP12)</f>
        <v>0.14540059347181009</v>
      </c>
      <c r="CQ58" s="330">
        <f>IF(ISERROR(CQ47/CQ12),"NA ",CQ47/CQ12)</f>
        <v>0.10724499473129613</v>
      </c>
      <c r="CR58" s="330">
        <f>IF(ISERROR(CR47/CR12),"NA ",CR47/CR12)</f>
        <v>9.87034713508992E-2</v>
      </c>
      <c r="CS58" s="331"/>
      <c r="CT58" s="330">
        <f>IF(ISERROR(CT47/CT12),"NA ",CT47/CT12)</f>
        <v>0.12444196428571429</v>
      </c>
      <c r="CU58" s="330">
        <f>IF(ISERROR(CU47/CU12),"NA ",CU47/CU12)</f>
        <v>0.12724014336917563</v>
      </c>
      <c r="CV58" s="330">
        <f>IF(ISERROR(CV47/CV12),"NA ",CV47/CV12)</f>
        <v>0.12786551197147222</v>
      </c>
      <c r="CW58" s="330">
        <f>IF(ISERROR(CW47/CW12),"NA ",CW47/CW12)</f>
        <v>0.14734848484848484</v>
      </c>
      <c r="CX58" s="331"/>
      <c r="CY58" s="330">
        <f>IF(ISERROR(CY47/CY12),"NA ",CY47/CY12)</f>
        <v>0.14278869190225205</v>
      </c>
      <c r="CZ58" s="330">
        <f>IF(ISERROR(CZ47/CZ12),"NA ",CZ47/CZ12)</f>
        <v>0.14115308151093439</v>
      </c>
      <c r="DA58" s="330">
        <f>IF(ISERROR(DA47/DA12),"NA ",DA47/DA12)</f>
        <v>0.13886342804766269</v>
      </c>
      <c r="DB58" s="330">
        <f>IF(ISERROR(DB47/DB12),"NA ",DB47/DB12)</f>
        <v>0.16769547325102882</v>
      </c>
      <c r="DC58" s="331"/>
      <c r="DD58" s="330">
        <f>IF(ISERROR(DD47/DD12),"NA ",DD47/DD12)</f>
        <v>0.15411106328024107</v>
      </c>
      <c r="DE58" s="330">
        <f>IF(ISERROR(DE47/DE12),"NA ",DE47/DE12)</f>
        <v>0.14697508896797154</v>
      </c>
      <c r="DF58" s="330">
        <f>IF(ISERROR(DF47/DF12),"NA ",DF47/DF12)</f>
        <v>0.13478611783696529</v>
      </c>
      <c r="DG58" s="330">
        <f>IF(ISERROR(DG47/DG12),"NA ",DG47/DG12)</f>
        <v>0.1576852418860992</v>
      </c>
      <c r="DH58" s="331"/>
      <c r="DI58" s="330">
        <f>IF(ISERROR(DI47/DI12),"NA ",DI47/DI12)</f>
        <v>0.14514285714285713</v>
      </c>
      <c r="DJ58" s="330">
        <f>IF(ISERROR(DJ47/DJ12),"NA ",DJ47/DJ12)</f>
        <v>0.1317365269461078</v>
      </c>
      <c r="DK58" s="330">
        <f>IF(ISERROR(DK47/DK12),"NA ",DK47/DK12)</f>
        <v>0.13689839572192514</v>
      </c>
      <c r="DL58" s="330">
        <f>IF(ISERROR(DL47/DL12),"NA ",DL47/DL12)</f>
        <v>0.16576527852893455</v>
      </c>
      <c r="DM58" s="331"/>
      <c r="DN58" s="330">
        <f>IF(ISERROR(DN47/DN12),"NA ",DN47/DN12)</f>
        <v>0.13823208439432522</v>
      </c>
      <c r="DO58" s="330">
        <f>IF(ISERROR(DO47/DO12),"NA ",DO47/DO12)</f>
        <v>0.13798498122653316</v>
      </c>
      <c r="DP58" s="330">
        <f>IF(ISERROR(DP47/DP12),"NA ",DP47/DP12)</f>
        <v>0.12968099861303745</v>
      </c>
      <c r="DQ58" s="330">
        <f>IF(ISERROR(DQ47/DQ12),"NA ",DQ47/DQ12)</f>
        <v>0.16410670978173</v>
      </c>
      <c r="DR58" s="331"/>
      <c r="DS58" s="330">
        <f>IF(ISERROR(DS47/DS12),"NA ",DS47/DS12)</f>
        <v>0.13067212555441829</v>
      </c>
      <c r="DT58" s="330">
        <f>IF(ISERROR(DT47/DT12),"NA ",DT47/DT12)</f>
        <v>0.13472877358490565</v>
      </c>
      <c r="DU58" s="330">
        <f>IF(ISERROR(DU47/DU12),"NA ",DU47/DU12)</f>
        <v>0.12547770700636943</v>
      </c>
      <c r="DV58" s="330">
        <f>IF(ISERROR(DV47/DV12),"NA ",DV47/DV12)</f>
        <v>0.14766262676230521</v>
      </c>
      <c r="DW58" s="331"/>
      <c r="DX58" s="330">
        <f>IF(ISERROR(DX47/DX12),"NA ",DX47/DX12)</f>
        <v>0.1166407465007776</v>
      </c>
      <c r="DY58" s="330">
        <f>IF(ISERROR(DY47/DY12),"NA ",DY47/DY12)</f>
        <v>0.12780329640637667</v>
      </c>
      <c r="DZ58" s="330">
        <f>IF(ISERROR(DZ47/DZ12),"NA ",DZ47/DZ12)</f>
        <v>0.10009017132551848</v>
      </c>
      <c r="EA58" s="330">
        <f>IF(ISERROR(EA47/EA12),"NA ",EA47/EA12)</f>
        <v>0.12494039103481164</v>
      </c>
      <c r="EB58" s="331"/>
      <c r="EC58" s="330">
        <f>IF(ISERROR(EC47/EC12),"NA ",EC47/EC12)</f>
        <v>8.0332409972299165E-2</v>
      </c>
      <c r="ED58" s="330">
        <f>IF(ISERROR(ED47/ED12),"NA ",ED47/ED12)</f>
        <v>0.10545056149000274</v>
      </c>
      <c r="EE58" s="330">
        <f>IF(ISERROR(EE47/EE12),"NA ",EE47/EE12)</f>
        <v>0.116600790513834</v>
      </c>
      <c r="EF58" s="330">
        <f>IF(ISERROR(EF47/EF12),"NA ",EF47/EF12)</f>
        <v>0.13646895273401297</v>
      </c>
      <c r="EG58" s="331"/>
      <c r="EH58" s="330">
        <f>IF(ISERROR(EH47/EH12),"NA ",EH47/EH12)</f>
        <v>9.3023255813953487E-2</v>
      </c>
      <c r="EI58" s="330">
        <f>IF(ISERROR(EI47/EI12),"NA ",EI47/EI12)</f>
        <v>9.9129976272080145E-2</v>
      </c>
      <c r="EJ58" s="330">
        <f>IF(ISERROR(EJ47/EJ12),"NA ",EJ47/EJ12)</f>
        <v>0.10112978782033619</v>
      </c>
      <c r="EK58" s="330">
        <f>IF(ISERROR(EK47/EK12),"NA ",EK47/EK12)</f>
        <v>0.10910250957039558</v>
      </c>
      <c r="EL58" s="330"/>
      <c r="EM58" s="330">
        <f>IF(ISERROR(EM47/EM12),"NA ",EM47/EM12)</f>
        <v>8.0889102438033419E-2</v>
      </c>
      <c r="EN58" s="330">
        <f>IF(ISERROR(EN47/EN12),"NA ",EN47/EN12)</f>
        <v>8.4595397654843904E-2</v>
      </c>
      <c r="EO58" s="330">
        <f>IF(ISERROR(EO47/EO12),"NA ",EO47/EO12)</f>
        <v>9.7413467828355471E-2</v>
      </c>
      <c r="EP58" s="330">
        <f>IF(ISERROR(EP47/EP12),"NA ",EP47/EP12)</f>
        <v>0.11324266301349713</v>
      </c>
      <c r="EQ58" s="330"/>
      <c r="ER58" s="353"/>
      <c r="ES58" s="330">
        <f t="shared" ref="ES58:FV58" si="29">IF(ISERROR(ES47/ES12),"NA ",ES47/ES12)</f>
        <v>0.10614477311885862</v>
      </c>
      <c r="ET58" s="330">
        <f t="shared" si="29"/>
        <v>0.11090475422394837</v>
      </c>
      <c r="EU58" s="330">
        <f t="shared" si="29"/>
        <v>0.10706175941803611</v>
      </c>
      <c r="EV58" s="330">
        <f t="shared" si="29"/>
        <v>0.10113778994233166</v>
      </c>
      <c r="EW58" s="330">
        <f t="shared" si="29"/>
        <v>0.11957794221385061</v>
      </c>
      <c r="EX58" s="330">
        <f t="shared" si="29"/>
        <v>0.10512484411295486</v>
      </c>
      <c r="EY58" s="330">
        <f t="shared" si="29"/>
        <v>9.5804459194174726E-2</v>
      </c>
      <c r="EZ58" s="330">
        <f t="shared" si="29"/>
        <v>0.10104179161949953</v>
      </c>
      <c r="FA58" s="330">
        <f t="shared" si="29"/>
        <v>0.11011992337336364</v>
      </c>
      <c r="FB58" s="330">
        <f t="shared" si="29"/>
        <v>0.10936740082149221</v>
      </c>
      <c r="FC58" s="330">
        <f t="shared" si="29"/>
        <v>8.0316663123723736E-2</v>
      </c>
      <c r="FD58" s="330">
        <f t="shared" si="29"/>
        <v>8.5404523562678372E-2</v>
      </c>
      <c r="FE58" s="330">
        <f t="shared" si="29"/>
        <v>9.2808860040647978E-2</v>
      </c>
      <c r="FF58" s="330">
        <f t="shared" si="29"/>
        <v>0.11203238445577604</v>
      </c>
      <c r="FG58" s="330">
        <f t="shared" si="29"/>
        <v>0.13546753957057125</v>
      </c>
      <c r="FH58" s="330">
        <f t="shared" si="29"/>
        <v>0.15236900878220702</v>
      </c>
      <c r="FI58" s="332">
        <f t="shared" si="29"/>
        <v>0.16284744687116123</v>
      </c>
      <c r="FJ58" s="332">
        <f t="shared" si="29"/>
        <v>0.16283339707828323</v>
      </c>
      <c r="FK58" s="330">
        <f t="shared" si="29"/>
        <v>0.12580562987088517</v>
      </c>
      <c r="FL58" s="330">
        <f t="shared" si="29"/>
        <v>0.13295467717630693</v>
      </c>
      <c r="FM58" s="332">
        <f t="shared" si="29"/>
        <v>0.14896907216494845</v>
      </c>
      <c r="FN58" s="330">
        <f t="shared" si="29"/>
        <v>0.14893812632159603</v>
      </c>
      <c r="FO58" s="330">
        <f t="shared" si="29"/>
        <v>0.1462007582000989</v>
      </c>
      <c r="FP58" s="330">
        <f t="shared" si="29"/>
        <v>0.14385964912280702</v>
      </c>
      <c r="FQ58" s="330">
        <f t="shared" si="29"/>
        <v>0.13556937657337478</v>
      </c>
      <c r="FR58" s="330">
        <f t="shared" si="29"/>
        <v>0.1180993281152594</v>
      </c>
      <c r="FS58" s="330">
        <f t="shared" si="29"/>
        <v>0.11166824773004472</v>
      </c>
      <c r="FT58" s="330">
        <f t="shared" si="29"/>
        <v>0.10285566610673214</v>
      </c>
      <c r="FU58" s="330">
        <f t="shared" si="29"/>
        <v>9.489282756991943E-2</v>
      </c>
      <c r="FV58" s="330">
        <f t="shared" si="29"/>
        <v>8.9208580808989524E-2</v>
      </c>
      <c r="FW58" s="333">
        <f>IF(ISERROR(FW47/FW12),"NA ",FW47/FW12)</f>
        <v>8.4401166148581896E-2</v>
      </c>
      <c r="FX58" s="330">
        <f>IF(ISERROR(FX47/FX12),"NA ",FX47/FX12)</f>
        <v>7.9870282571796986E-2</v>
      </c>
      <c r="FY58" s="333">
        <f>IF(ISERROR(FY47/FY12),"NA ",FY47/FY12)</f>
        <v>7.6687091373375996E-2</v>
      </c>
      <c r="FZ58" s="330"/>
      <c r="GA58" s="330"/>
      <c r="GB58" s="705"/>
      <c r="GC58" s="330"/>
      <c r="GD58" s="330"/>
    </row>
    <row r="59" spans="1:186" x14ac:dyDescent="0.2">
      <c r="A59" s="276"/>
      <c r="CZ59" s="249"/>
      <c r="DA59" s="249"/>
      <c r="DB59" s="249"/>
      <c r="DC59" s="249"/>
      <c r="DD59" s="249"/>
      <c r="DE59" s="249"/>
      <c r="DF59" s="249"/>
      <c r="DG59" s="249"/>
      <c r="DH59" s="249"/>
      <c r="DI59" s="249"/>
      <c r="DJ59" s="249"/>
      <c r="DK59" s="249"/>
      <c r="DL59" s="249"/>
      <c r="DM59" s="249"/>
      <c r="DN59" s="249"/>
      <c r="DO59" s="249"/>
      <c r="DP59" s="249"/>
      <c r="DQ59" s="249"/>
      <c r="DR59" s="249"/>
      <c r="DS59" s="249"/>
      <c r="DT59" s="249"/>
      <c r="DU59" s="249"/>
      <c r="DV59" s="249"/>
      <c r="DW59" s="249"/>
      <c r="DX59" s="249"/>
      <c r="DY59" s="249"/>
      <c r="DZ59" s="249"/>
      <c r="EA59" s="249"/>
      <c r="EB59" s="249"/>
      <c r="EC59" s="249"/>
      <c r="ED59" s="249"/>
      <c r="EE59" s="249"/>
      <c r="EF59" s="249"/>
      <c r="EG59" s="249"/>
      <c r="EH59" s="249"/>
      <c r="EI59" s="249"/>
      <c r="EJ59" s="249"/>
      <c r="EK59" s="249"/>
      <c r="EL59" s="249"/>
      <c r="EM59" s="249"/>
      <c r="EN59" s="249"/>
      <c r="EO59" s="249"/>
      <c r="EP59" s="249"/>
      <c r="EQ59" s="249"/>
      <c r="ER59" s="277"/>
      <c r="ES59" s="249"/>
      <c r="ET59" s="249"/>
      <c r="EU59" s="249"/>
      <c r="EV59" s="249"/>
      <c r="EW59" s="249"/>
      <c r="EX59" s="249"/>
      <c r="EY59" s="249"/>
      <c r="EZ59" s="249"/>
      <c r="FA59" s="249"/>
      <c r="FB59" s="249"/>
      <c r="FC59" s="249"/>
      <c r="FD59" s="249"/>
      <c r="FE59" s="249"/>
      <c r="FF59" s="249"/>
      <c r="FG59" s="249"/>
      <c r="FH59" s="249"/>
      <c r="FI59" s="276"/>
      <c r="FJ59" s="276"/>
      <c r="FK59" s="249"/>
      <c r="FL59" s="249"/>
      <c r="FM59" s="276"/>
      <c r="FN59" s="249"/>
      <c r="FO59" s="249"/>
      <c r="FP59" s="249"/>
      <c r="FQ59" s="249"/>
      <c r="FR59" s="249"/>
      <c r="FS59" s="249"/>
      <c r="FT59" s="249"/>
      <c r="FU59" s="249"/>
      <c r="FV59" s="249"/>
      <c r="FW59" s="277"/>
      <c r="FY59" s="277"/>
      <c r="FZ59" s="249"/>
      <c r="GA59" s="249"/>
      <c r="GB59" s="249"/>
      <c r="GC59" s="249"/>
      <c r="GD59" s="249"/>
    </row>
    <row r="60" spans="1:186" x14ac:dyDescent="0.2">
      <c r="A60" s="271" t="s">
        <v>178</v>
      </c>
      <c r="CZ60" s="249"/>
      <c r="DA60" s="249"/>
      <c r="DB60" s="249"/>
      <c r="DC60" s="249"/>
      <c r="DD60" s="249"/>
      <c r="DE60" s="249"/>
      <c r="DF60" s="249"/>
      <c r="DG60" s="249"/>
      <c r="DH60" s="249"/>
      <c r="DI60" s="258"/>
      <c r="DJ60" s="258"/>
      <c r="DK60" s="258"/>
      <c r="DL60" s="258"/>
      <c r="DM60" s="249"/>
      <c r="DN60" s="249"/>
      <c r="DO60" s="249"/>
      <c r="DP60" s="249"/>
      <c r="DQ60" s="249"/>
      <c r="DR60" s="249"/>
      <c r="DS60" s="249"/>
      <c r="DT60" s="249"/>
      <c r="DU60" s="249"/>
      <c r="DV60" s="249"/>
      <c r="DW60" s="249"/>
      <c r="DX60" s="249"/>
      <c r="DY60" s="249"/>
      <c r="DZ60" s="249"/>
      <c r="EA60" s="249"/>
      <c r="EB60" s="249"/>
      <c r="EC60" s="258"/>
      <c r="ED60" s="258"/>
      <c r="EE60" s="338"/>
      <c r="EF60" s="338"/>
      <c r="EG60" s="249"/>
      <c r="EH60" s="258"/>
      <c r="EI60" s="258"/>
      <c r="EJ60" s="829"/>
      <c r="EK60" s="249"/>
      <c r="EL60" s="249"/>
      <c r="EM60" s="258"/>
      <c r="EN60" s="258"/>
      <c r="EO60" s="829"/>
      <c r="EP60" s="249"/>
      <c r="EQ60" s="249"/>
      <c r="ER60" s="277"/>
      <c r="ES60" s="249"/>
      <c r="ET60" s="249"/>
      <c r="EU60" s="249"/>
      <c r="EV60" s="249"/>
      <c r="EW60" s="249"/>
      <c r="EX60" s="249"/>
      <c r="EY60" s="249"/>
      <c r="EZ60" s="249"/>
      <c r="FA60" s="249"/>
      <c r="FB60" s="249"/>
      <c r="FC60" s="249"/>
      <c r="FD60" s="249"/>
      <c r="FE60" s="249"/>
      <c r="FF60" s="249"/>
      <c r="FG60" s="249"/>
      <c r="FH60" s="249"/>
      <c r="FI60" s="276"/>
      <c r="FJ60" s="276"/>
      <c r="FK60" s="249"/>
      <c r="FL60" s="249"/>
      <c r="FM60" s="337"/>
      <c r="FN60" s="338"/>
      <c r="FO60" s="338"/>
      <c r="FP60" s="338"/>
      <c r="FQ60" s="338"/>
      <c r="FR60" s="338"/>
      <c r="FS60" s="338"/>
      <c r="FT60" s="338"/>
      <c r="FU60" s="338"/>
      <c r="FV60" s="338"/>
      <c r="FW60" s="339"/>
      <c r="FX60" s="338"/>
      <c r="FY60" s="339"/>
      <c r="FZ60" s="338"/>
      <c r="GA60" s="338"/>
      <c r="GB60" s="338"/>
      <c r="GC60" s="338"/>
      <c r="GD60" s="338"/>
    </row>
    <row r="61" spans="1:186" x14ac:dyDescent="0.2">
      <c r="A61" s="276" t="s">
        <v>273</v>
      </c>
      <c r="C61" s="330"/>
      <c r="D61" s="330"/>
      <c r="E61" s="330"/>
      <c r="F61" s="330"/>
      <c r="H61" s="330">
        <f>H10/C10-1</f>
        <v>0.10018558558558555</v>
      </c>
      <c r="I61" s="330">
        <f>I10/D10-1</f>
        <v>0.1286941323345816</v>
      </c>
      <c r="J61" s="330">
        <f>J10/E10-1</f>
        <v>8.2181445896991612E-2</v>
      </c>
      <c r="K61" s="330">
        <f>K10/F10-1</f>
        <v>8.311369606336183E-2</v>
      </c>
      <c r="M61" s="330">
        <f>M10/H10-1</f>
        <v>8.7136813936387503E-2</v>
      </c>
      <c r="N61" s="330">
        <f>N10/I10-1</f>
        <v>5.2574760752319483E-2</v>
      </c>
      <c r="O61" s="330">
        <f>O10/J10-1</f>
        <v>7.3098066155612873E-2</v>
      </c>
      <c r="P61" s="330">
        <f>P10/K10-1</f>
        <v>9.3243127182901508E-2</v>
      </c>
      <c r="R61" s="330">
        <f>R10/M10-1</f>
        <v>4.7830023395283972E-2</v>
      </c>
      <c r="S61" s="330">
        <f>S10/N10-1</f>
        <v>6.9319977806173938E-2</v>
      </c>
      <c r="T61" s="330">
        <f>T10/O10-1</f>
        <v>4.3499195037033811E-2</v>
      </c>
      <c r="U61" s="330">
        <f>U10/P10-1</f>
        <v>3.569875417698154E-2</v>
      </c>
      <c r="W61" s="330">
        <f>W10/R10-1</f>
        <v>9.5610868380683778E-2</v>
      </c>
      <c r="X61" s="330">
        <f>X10/S10-1</f>
        <v>6.0849150240471994E-2</v>
      </c>
      <c r="Y61" s="330">
        <f>Y10/T10-1</f>
        <v>0.12035124705441946</v>
      </c>
      <c r="Z61" s="330">
        <f>Z10/U10-1</f>
        <v>7.5420976969977183E-2</v>
      </c>
      <c r="AB61" s="330">
        <f>AB10/W10-1</f>
        <v>7.0251501846306352E-2</v>
      </c>
      <c r="AC61" s="330">
        <f>AC10/X10-1</f>
        <v>6.4602070771587972E-2</v>
      </c>
      <c r="AD61" s="330">
        <f>AD10/Y10-1</f>
        <v>5.2066898075102452E-2</v>
      </c>
      <c r="AE61" s="330">
        <f>AE10/Z10-1</f>
        <v>4.2725662854854241E-2</v>
      </c>
      <c r="AG61" s="330">
        <f>AG10/AB10-1</f>
        <v>0.1107947788003405</v>
      </c>
      <c r="AH61" s="330">
        <f>AH10/AC10-1</f>
        <v>8.0248755915871106E-2</v>
      </c>
      <c r="AI61" s="330">
        <f>AI10/AD10-1</f>
        <v>8.5562299304845046E-2</v>
      </c>
      <c r="AJ61" s="330">
        <f>AJ10/AE10-1</f>
        <v>6.3910467688437445E-2</v>
      </c>
      <c r="AL61" s="330">
        <f>AL10/AG10-1</f>
        <v>5.2745037871345657E-2</v>
      </c>
      <c r="AM61" s="330">
        <f>AM10/AH10-1</f>
        <v>9.0120212909919228E-2</v>
      </c>
      <c r="AN61" s="330">
        <f>AN10/AI10-1</f>
        <v>0.10700906098898866</v>
      </c>
      <c r="AO61" s="330">
        <f>AO10/AJ10-1</f>
        <v>0.10108333579322393</v>
      </c>
      <c r="AQ61" s="330">
        <f>AQ10/AL10-1</f>
        <v>9.0661359878458248E-2</v>
      </c>
      <c r="AR61" s="330">
        <f>AR10/AM10-1</f>
        <v>6.9412455803952389E-2</v>
      </c>
      <c r="AS61" s="330">
        <f>AS10/AN10-1</f>
        <v>0.32690698340221536</v>
      </c>
      <c r="AT61" s="330">
        <f>AT10/AO10-1</f>
        <v>-5.9845416525750039E-3</v>
      </c>
      <c r="AV61" s="330">
        <f>AV10/AQ10-1</f>
        <v>-1.0670870925720832E-3</v>
      </c>
      <c r="AW61" s="330">
        <f>AW10/AR10-1</f>
        <v>-2.6871021858876354E-3</v>
      </c>
      <c r="AX61" s="330">
        <f>AX10/AS10-1</f>
        <v>-0.23230860514424889</v>
      </c>
      <c r="AY61" s="330">
        <f>AY10/AT10-1</f>
        <v>7.63076037902084E-2</v>
      </c>
      <c r="BA61" s="330">
        <f>BA10/AV10-1</f>
        <v>0.10997156206543135</v>
      </c>
      <c r="BB61" s="330">
        <f>BB10/AW10-1</f>
        <v>9.449942669885969E-3</v>
      </c>
      <c r="BC61" s="330">
        <f>BC10/AX10-1</f>
        <v>0.13717149770203774</v>
      </c>
      <c r="BD61" s="330">
        <f>BD10/AY10-1</f>
        <v>6.3833136509837241E-2</v>
      </c>
      <c r="BF61" s="330">
        <f>BF10/BA10-1</f>
        <v>5.6064062314403751E-2</v>
      </c>
      <c r="BG61" s="330">
        <f>BG10/BB10-1</f>
        <v>6.0893526922826124E-2</v>
      </c>
      <c r="BH61" s="330">
        <f>BH10/BC10-1</f>
        <v>-1.8337439301642E-2</v>
      </c>
      <c r="BI61" s="330">
        <f>BI10/BD10-1</f>
        <v>-1.4884628276867984E-2</v>
      </c>
      <c r="BK61" s="330">
        <f>BK10/BF10-1</f>
        <v>2.2758694295753834E-2</v>
      </c>
      <c r="BL61" s="330">
        <f>BL10/BG10-1</f>
        <v>7.1013010436943969E-2</v>
      </c>
      <c r="BM61" s="330">
        <f>BM10/BH10-1</f>
        <v>6.7751147678296597E-2</v>
      </c>
      <c r="BN61" s="330">
        <f>BN10/BI10-1</f>
        <v>7.326143866984669E-2</v>
      </c>
      <c r="BP61" s="330">
        <f>BP10/BK10-1</f>
        <v>7.201301052127973E-2</v>
      </c>
      <c r="BQ61" s="330">
        <f>BQ10/BL10-1</f>
        <v>7.8085058060026746E-2</v>
      </c>
      <c r="BR61" s="330">
        <f>BR10/BM10-1</f>
        <v>6.4917574880913653E-2</v>
      </c>
      <c r="BS61" s="330">
        <f>BS10/BN10-1</f>
        <v>9.6318604170260613E-2</v>
      </c>
      <c r="BU61" s="330">
        <f>BU10/BP10-1</f>
        <v>0.14977326368504928</v>
      </c>
      <c r="BV61" s="330">
        <f>BV10/BQ10-1</f>
        <v>9.4509188704616776E-2</v>
      </c>
      <c r="BW61" s="330">
        <f>BW10/BR10-1</f>
        <v>9.4386487829110743E-2</v>
      </c>
      <c r="BX61" s="330">
        <f>BX10/BS10-1</f>
        <v>9.438463943309694E-2</v>
      </c>
      <c r="BZ61" s="330">
        <f>BZ10/BU10-1</f>
        <v>7.7489270526021059E-2</v>
      </c>
      <c r="CA61" s="330">
        <f>CA10/BV10-1</f>
        <v>7.8300264143989162E-2</v>
      </c>
      <c r="CB61" s="330">
        <f>CB10/BW10-1</f>
        <v>8.0344984112573847E-2</v>
      </c>
      <c r="CC61" s="330">
        <f>CC10/BX10-1</f>
        <v>9.3011950905161678E-2</v>
      </c>
      <c r="CE61" s="330">
        <f>CE10/BZ10-1</f>
        <v>8.0236377241346801E-2</v>
      </c>
      <c r="CF61" s="330">
        <f>CF10/CA10-1</f>
        <v>7.7870794203294791E-2</v>
      </c>
      <c r="CG61" s="330">
        <f>CG10/CB10-1</f>
        <v>0.12371128451380553</v>
      </c>
      <c r="CH61" s="330">
        <f>CH10/CC10-1</f>
        <v>0.14601385198414429</v>
      </c>
      <c r="CJ61" s="330">
        <f>CJ10/CE10-1</f>
        <v>9.3244659452122125E-2</v>
      </c>
      <c r="CK61" s="330">
        <f>CK10/CF10-1</f>
        <v>5.2425314957092572E-2</v>
      </c>
      <c r="CL61" s="330">
        <f>CL10/CG10-1</f>
        <v>5.2529695214419192E-2</v>
      </c>
      <c r="CM61" s="330">
        <f>CM10/CH10-1</f>
        <v>-4.4434916667426827E-2</v>
      </c>
      <c r="CO61" s="330">
        <f>CO10/CJ10-1</f>
        <v>-3.8319808052932891E-2</v>
      </c>
      <c r="CP61" s="330">
        <f>CP10/CK10-1</f>
        <v>-4.289520225587129E-2</v>
      </c>
      <c r="CQ61" s="330">
        <f>CQ10/CL10-1</f>
        <v>-7.4320305474299131E-2</v>
      </c>
      <c r="CR61" s="330">
        <f>CR10/CM10-1</f>
        <v>-8.4725536992840134E-2</v>
      </c>
      <c r="CT61" s="330">
        <f>CT10/CO10-1</f>
        <v>-9.207025013304948E-2</v>
      </c>
      <c r="CU61" s="330">
        <f>CU10/CP10-1</f>
        <v>-6.2090074333187584E-2</v>
      </c>
      <c r="CV61" s="330">
        <f>CV10/CQ10-1</f>
        <v>2.4122807017543879E-2</v>
      </c>
      <c r="CW61" s="330">
        <f>CW10/CR10-1</f>
        <v>0.10343328987396783</v>
      </c>
      <c r="CY61" s="330">
        <f>CY10/CT10-1</f>
        <v>0.16647127784290738</v>
      </c>
      <c r="CZ61" s="330">
        <f>CZ10/CU10-1</f>
        <v>0.12680652680652682</v>
      </c>
      <c r="DA61" s="330">
        <f>DA10/CV10-1</f>
        <v>0.11723768736616713</v>
      </c>
      <c r="DB61" s="330">
        <f>DB10/CW10-1</f>
        <v>0.10909807010634109</v>
      </c>
      <c r="DC61" s="249"/>
      <c r="DD61" s="330">
        <f>DD10/CY10-1</f>
        <v>0.12010050251256277</v>
      </c>
      <c r="DE61" s="330">
        <f>DE10/CZ10-1</f>
        <v>0.12370707488622257</v>
      </c>
      <c r="DF61" s="330">
        <f>DF10/DA10-1</f>
        <v>0.14183037853378044</v>
      </c>
      <c r="DG61" s="330">
        <f>DG10/DB10-1</f>
        <v>0.12535511363636354</v>
      </c>
      <c r="DH61" s="249"/>
      <c r="DI61" s="330">
        <f>DI10/DD10-1</f>
        <v>0.13728129205921946</v>
      </c>
      <c r="DJ61" s="330">
        <f>DJ10/DE10-1</f>
        <v>7.4374079528718662E-2</v>
      </c>
      <c r="DK61" s="330">
        <f>DK10/DF10-1</f>
        <v>0.13848090642047839</v>
      </c>
      <c r="DL61" s="330">
        <f>DL10/DG10-1</f>
        <v>0.13474282107920477</v>
      </c>
      <c r="DM61" s="249"/>
      <c r="DN61" s="330">
        <f>DN10/DI10-1</f>
        <v>4.8126232741617425E-2</v>
      </c>
      <c r="DO61" s="330">
        <f>DO10/DJ10-1</f>
        <v>6.3742289239204997E-2</v>
      </c>
      <c r="DP61" s="330">
        <f>DP10/DK10-1</f>
        <v>2.8750460744563222E-2</v>
      </c>
      <c r="DQ61" s="330">
        <f>DQ10/DL10-1</f>
        <v>5.0055617352613435E-3</v>
      </c>
      <c r="DR61" s="249"/>
      <c r="DS61" s="330">
        <f>DS10/DN10-1</f>
        <v>6.7745577719232175E-2</v>
      </c>
      <c r="DT61" s="330">
        <f>DT10/DO10-1</f>
        <v>6.1855670103092786E-2</v>
      </c>
      <c r="DU61" s="330">
        <f>DU10/DP10-1</f>
        <v>8.9215335005374374E-2</v>
      </c>
      <c r="DV61" s="330">
        <f>DV10/DQ10-1</f>
        <v>8.9651355838406221E-2</v>
      </c>
      <c r="DW61" s="249"/>
      <c r="DX61" s="330">
        <f>DX10/DS10-1</f>
        <v>9.7990835389496045E-2</v>
      </c>
      <c r="DY61" s="330">
        <f>DY10/DT10-1</f>
        <v>9.1626213592232997E-2</v>
      </c>
      <c r="DZ61" s="330">
        <f>DZ10/DU10-1</f>
        <v>6.5460526315789469E-2</v>
      </c>
      <c r="EA61" s="330">
        <f>EA10/DV10-1</f>
        <v>5.2056881665820232E-2</v>
      </c>
      <c r="EB61" s="249"/>
      <c r="EC61" s="330">
        <f>EC10/DX10-1</f>
        <v>2.4719101123595433E-2</v>
      </c>
      <c r="ED61" s="330">
        <f>ED10/DY10-1</f>
        <v>-1.6675931072818173E-3</v>
      </c>
      <c r="EE61" s="330">
        <f>EE10/DZ10-1</f>
        <v>7.1935782648965718E-2</v>
      </c>
      <c r="EF61" s="330">
        <f>EF10/EA10-1</f>
        <v>2.4137098720733663E-2</v>
      </c>
      <c r="EG61" s="249"/>
      <c r="EH61" s="330">
        <f>EH10/EC10-1</f>
        <v>2.7255639097744311E-2</v>
      </c>
      <c r="EI61" s="330">
        <f>EI10/ED10-1</f>
        <v>3.4799554565701607E-2</v>
      </c>
      <c r="EJ61" s="330">
        <f>EJ10/EE10-1</f>
        <v>1.9873271889401023E-2</v>
      </c>
      <c r="EK61" s="330">
        <f>EK10/EF10-1</f>
        <v>8.4138581192552353E-2</v>
      </c>
      <c r="EL61" s="330"/>
      <c r="EM61" s="330">
        <f>EM10/EH10-1</f>
        <v>4.0641025641025674E-2</v>
      </c>
      <c r="EN61" s="330">
        <f>EN10/EI10-1</f>
        <v>7.6946251768033935E-2</v>
      </c>
      <c r="EO61" s="330">
        <f>EO10/EJ10-1</f>
        <v>6.333333333333302E-3</v>
      </c>
      <c r="EP61" s="330">
        <f>EP10/EK10-1</f>
        <v>-5.5360655737704878E-2</v>
      </c>
      <c r="EQ61" s="330"/>
      <c r="ER61" s="277"/>
      <c r="ES61" s="330"/>
      <c r="ET61" s="330">
        <f t="shared" ref="ET61:FV61" si="30">ET10/ES10-1</f>
        <v>9.8799407305840248E-2</v>
      </c>
      <c r="EU61" s="330">
        <f t="shared" si="30"/>
        <v>7.6154939587775416E-2</v>
      </c>
      <c r="EV61" s="330">
        <f t="shared" si="30"/>
        <v>4.9082416928917461E-2</v>
      </c>
      <c r="EW61" s="330">
        <f t="shared" si="30"/>
        <v>8.4831548622845254E-2</v>
      </c>
      <c r="EX61" s="330">
        <f t="shared" si="30"/>
        <v>5.6243224380776891E-2</v>
      </c>
      <c r="EY61" s="330">
        <f t="shared" si="30"/>
        <v>8.2544227371426526E-2</v>
      </c>
      <c r="EZ61" s="330">
        <f t="shared" si="30"/>
        <v>8.950266367217341E-2</v>
      </c>
      <c r="FA61" s="330">
        <f t="shared" si="30"/>
        <v>3.6331339774063443E-2</v>
      </c>
      <c r="FB61" s="330">
        <f t="shared" si="30"/>
        <v>2.4087639148827833E-2</v>
      </c>
      <c r="FC61" s="330">
        <f t="shared" si="30"/>
        <v>7.3710817634492276E-2</v>
      </c>
      <c r="FD61" s="330">
        <f t="shared" si="30"/>
        <v>1.9099627984763501E-2</v>
      </c>
      <c r="FE61" s="330">
        <f t="shared" si="30"/>
        <v>5.5115164186839927E-2</v>
      </c>
      <c r="FF61" s="330">
        <f t="shared" si="30"/>
        <v>8.4767899101310329E-2</v>
      </c>
      <c r="FG61" s="330">
        <f t="shared" si="30"/>
        <v>0.105890265317655</v>
      </c>
      <c r="FH61" s="330">
        <f t="shared" si="30"/>
        <v>8.2900681814389365E-2</v>
      </c>
      <c r="FI61" s="332">
        <f t="shared" si="30"/>
        <v>0.10852364459071628</v>
      </c>
      <c r="FJ61" s="332">
        <f t="shared" si="30"/>
        <v>3.1202595863094373E-2</v>
      </c>
      <c r="FK61" s="330">
        <f t="shared" si="30"/>
        <v>-6.0809391770148324E-2</v>
      </c>
      <c r="FL61" s="330">
        <f t="shared" si="30"/>
        <v>-3.9802195151369402E-3</v>
      </c>
      <c r="FM61" s="332">
        <f t="shared" si="30"/>
        <v>0.1273916202470331</v>
      </c>
      <c r="FN61" s="330">
        <f t="shared" si="30"/>
        <v>0.12749731471535974</v>
      </c>
      <c r="FO61" s="330">
        <f t="shared" si="30"/>
        <v>0.12051062208249985</v>
      </c>
      <c r="FP61" s="330">
        <f t="shared" si="30"/>
        <v>3.4347900017003941E-2</v>
      </c>
      <c r="FQ61" s="330">
        <f t="shared" si="30"/>
        <v>7.7675489067894121E-2</v>
      </c>
      <c r="FR61" s="330">
        <f t="shared" si="30"/>
        <v>7.5051483487148296E-2</v>
      </c>
      <c r="FS61" s="330">
        <f t="shared" si="30"/>
        <v>2.8662646328485364E-2</v>
      </c>
      <c r="FT61" s="330">
        <f t="shared" si="30"/>
        <v>4.4003034692047693E-2</v>
      </c>
      <c r="FU61" s="330">
        <f t="shared" si="30"/>
        <v>1.2356375625196314E-2</v>
      </c>
      <c r="FV61" s="330">
        <f t="shared" si="30"/>
        <v>3.0615377831069379E-2</v>
      </c>
      <c r="FW61" s="333">
        <f>FW10/FV10-1</f>
        <v>2.5644516209221591E-2</v>
      </c>
      <c r="FX61" s="330">
        <f>FX10/FW10-1</f>
        <v>2.4605706395462557E-2</v>
      </c>
      <c r="FY61" s="333">
        <f>FY10/FX10-1</f>
        <v>1.7773923331075192E-2</v>
      </c>
      <c r="FZ61" s="330"/>
      <c r="GA61" s="330"/>
      <c r="GB61" s="330"/>
      <c r="GC61" s="330"/>
      <c r="GD61" s="330"/>
    </row>
    <row r="62" spans="1:186" x14ac:dyDescent="0.2">
      <c r="A62" s="276" t="s">
        <v>179</v>
      </c>
      <c r="C62" s="330"/>
      <c r="D62" s="330"/>
      <c r="E62" s="330"/>
      <c r="F62" s="330"/>
      <c r="H62" s="330">
        <f>INDEX('qtrP&amp;L'!$10:$10,MATCH(H$7,'qtrP&amp;L'!$6:$6,0)+2)%</f>
        <v>6.0000000000000001E-3</v>
      </c>
      <c r="I62" s="330">
        <f>INDEX('qtrP&amp;L'!$11:$11,MATCH(H$7,'qtrP&amp;L'!$6:$6,0)+2)%</f>
        <v>3.5000000000000003E-2</v>
      </c>
      <c r="J62" s="330">
        <f>INDEX('qtrP&amp;L'!$12:$12,MATCH(H$7,'qtrP&amp;L'!$6:$6,0)+2)%</f>
        <v>0.02</v>
      </c>
      <c r="K62" s="330">
        <f>INDEX('qtrP&amp;L'!$13:$13,MATCH(H$7,'qtrP&amp;L'!$6:$6,0)+2)%</f>
        <v>-6.9999999999999993E-3</v>
      </c>
      <c r="M62" s="330">
        <f>INDEX('qtrP&amp;L'!$10:$10,MATCH(M$7,'qtrP&amp;L'!$6:$6,0)+2)%</f>
        <v>8.0000000000000002E-3</v>
      </c>
      <c r="N62" s="330">
        <f>INDEX('qtrP&amp;L'!$11:$11,MATCH(M$7,'qtrP&amp;L'!$6:$6,0)+2)%</f>
        <v>-1.4999999999999999E-2</v>
      </c>
      <c r="O62" s="330">
        <f>INDEX('qtrP&amp;L'!$12:$12,MATCH(M$7,'qtrP&amp;L'!$6:$6,0)+2)%</f>
        <v>-9.0000000000000011E-3</v>
      </c>
      <c r="P62" s="330">
        <f>INDEX('qtrP&amp;L'!$13:$13,MATCH(M$7,'qtrP&amp;L'!$6:$6,0)+2)%</f>
        <v>4.4999999999999998E-2</v>
      </c>
      <c r="R62" s="330">
        <f>INDEX('qtrP&amp;L'!$10:$10,MATCH(R$7,'qtrP&amp;L'!$6:$6,0)+2)%</f>
        <v>3.0000000000000001E-3</v>
      </c>
      <c r="S62" s="330">
        <f>INDEX('qtrP&amp;L'!$11:$11,MATCH(R$7,'qtrP&amp;L'!$6:$6,0)+2)%</f>
        <v>2.6000000000000002E-2</v>
      </c>
      <c r="T62" s="330">
        <f>INDEX('qtrP&amp;L'!$12:$12,MATCH(R$7,'qtrP&amp;L'!$6:$6,0)+2)%</f>
        <v>4.0999999999999995E-2</v>
      </c>
      <c r="U62" s="330">
        <f>INDEX('qtrP&amp;L'!$13:$13,MATCH(R$7,'qtrP&amp;L'!$6:$6,0)+2)%</f>
        <v>3.1400000000000004E-2</v>
      </c>
      <c r="W62" s="330">
        <f>INDEX('qtrP&amp;L'!$10:$10,MATCH(W$7,'qtrP&amp;L'!$6:$6,0)+2)%</f>
        <v>6.8699999999999997E-2</v>
      </c>
      <c r="X62" s="330">
        <f>INDEX('qtrP&amp;L'!$11:$11,MATCH(W$7,'qtrP&amp;L'!$6:$6,0)+2)%</f>
        <v>0.04</v>
      </c>
      <c r="Y62" s="330">
        <f>INDEX('qtrP&amp;L'!$12:$12,MATCH(W$7,'qtrP&amp;L'!$6:$6,0)+2)%</f>
        <v>6.7000000000000004E-2</v>
      </c>
      <c r="Z62" s="330">
        <f>INDEX('qtrP&amp;L'!$13:$13,MATCH(W$7,'qtrP&amp;L'!$6:$6,0)+2)%</f>
        <v>1.4999999999999999E-2</v>
      </c>
      <c r="AB62" s="330">
        <f>INDEX('qtrP&amp;L'!$10:$10,MATCH(AB$7,'qtrP&amp;L'!$6:$6,0)+2)%</f>
        <v>-2E-3</v>
      </c>
      <c r="AC62" s="330">
        <f>INDEX('qtrP&amp;L'!$11:$11,MATCH(AB$7,'qtrP&amp;L'!$6:$6,0)+2)%</f>
        <v>4.0000000000000001E-3</v>
      </c>
      <c r="AD62" s="330">
        <f>INDEX('qtrP&amp;L'!$12:$12,MATCH(AB$7,'qtrP&amp;L'!$6:$6,0)+2)%</f>
        <v>-0.02</v>
      </c>
      <c r="AE62" s="330">
        <f>INDEX('qtrP&amp;L'!$13:$13,MATCH(AB$7,'qtrP&amp;L'!$6:$6,0)+2)%</f>
        <v>-0.01</v>
      </c>
      <c r="AG62" s="330">
        <f>INDEX('qtrP&amp;L'!$10:$10,MATCH(AG$7,'qtrP&amp;L'!$6:$6,0)+2)%</f>
        <v>3.9E-2</v>
      </c>
      <c r="AH62" s="330">
        <f>INDEX('qtrP&amp;L'!$11:$11,MATCH(AG$7,'qtrP&amp;L'!$6:$6,0)+2)%</f>
        <v>1.1000000000000001E-2</v>
      </c>
      <c r="AI62" s="330">
        <f>INDEX('qtrP&amp;L'!$12:$12,MATCH(AG$7,'qtrP&amp;L'!$6:$6,0)+2)%</f>
        <v>-3.0000000000000001E-3</v>
      </c>
      <c r="AJ62" s="330">
        <f>INDEX('qtrP&amp;L'!$13:$13,MATCH(AG$7,'qtrP&amp;L'!$6:$6,0)+2)%</f>
        <v>-1.3000000000000001E-2</v>
      </c>
      <c r="AL62" s="330">
        <f>INDEX('qtrP&amp;L'!$10:$10,MATCH(AL$7,'qtrP&amp;L'!$6:$6,0)+2)%</f>
        <v>5.0000000000000001E-3</v>
      </c>
      <c r="AM62" s="330">
        <f>INDEX('qtrP&amp;L'!$11:$11,MATCH(AL$7,'qtrP&amp;L'!$6:$6,0)+2)%</f>
        <v>0.05</v>
      </c>
      <c r="AN62" s="330">
        <f>INDEX('qtrP&amp;L'!$12:$12,MATCH(AL$7,'qtrP&amp;L'!$6:$6,0)+2)%</f>
        <v>4.7E-2</v>
      </c>
      <c r="AO62" s="330">
        <f>INDEX('qtrP&amp;L'!$13:$13,MATCH(AL$7,'qtrP&amp;L'!$6:$6,0)+2)%</f>
        <v>4.2999999999999997E-2</v>
      </c>
      <c r="AQ62" s="330">
        <f>INDEX('qtrP&amp;L'!$10:$10,MATCH(AQ$7,'qtrP&amp;L'!$6:$6,0)+2)%</f>
        <v>0.11178961632929596</v>
      </c>
      <c r="AR62" s="330">
        <f>INDEX('qtrP&amp;L'!$11:$11,MATCH(AQ$7,'qtrP&amp;L'!$6:$6,0)+2)%</f>
        <v>0.11568845900643134</v>
      </c>
      <c r="AS62" s="330">
        <f>INDEX('qtrP&amp;L'!$12:$12,MATCH(AQ$7,'qtrP&amp;L'!$6:$6,0)+2)%</f>
        <v>0.11568845900643134</v>
      </c>
      <c r="AT62" s="330">
        <f>INDEX('qtrP&amp;L'!$13:$13,MATCH(AQ$7,'qtrP&amp;L'!$6:$6,0)+2)%</f>
        <v>8.8658273609437455E-2</v>
      </c>
      <c r="AV62" s="330">
        <f>INDEX('qtrP&amp;L'!$10:$10,MATCH(AV$7,'qtrP&amp;L'!$6:$6,0)+2)%</f>
        <v>5.2266719484417523E-2</v>
      </c>
      <c r="AW62" s="330">
        <f>INDEX('qtrP&amp;L'!$11:$11,MATCH(AV$7,'qtrP&amp;L'!$6:$6,0)+2)%</f>
        <v>4.4943225230541284E-2</v>
      </c>
      <c r="AX62" s="330">
        <f>INDEX('qtrP&amp;L'!$12:$12,MATCH(AV$7,'qtrP&amp;L'!$6:$6,0)+2)%</f>
        <v>4.4943225230541284E-2</v>
      </c>
      <c r="AY62" s="330">
        <f>INDEX('qtrP&amp;L'!$13:$13,MATCH(AV$7,'qtrP&amp;L'!$6:$6,0)+2)%</f>
        <v>5.4988748825727018E-2</v>
      </c>
      <c r="BA62" s="330">
        <f>INDEX('qtrP&amp;L'!$10:$10,MATCH(BA$7,'qtrP&amp;L'!$6:$6,0)+2)%</f>
        <v>5.2999999999999999E-2</v>
      </c>
      <c r="BB62" s="330">
        <f>INDEX('qtrP&amp;L'!$11:$11,MATCH(BA$7,'qtrP&amp;L'!$6:$6,0)+2)%</f>
        <v>-4.4999999999999998E-2</v>
      </c>
      <c r="BC62" s="330">
        <f>INDEX('qtrP&amp;L'!$12:$12,MATCH(BA$7,'qtrP&amp;L'!$6:$6,0)+2)%</f>
        <v>4.9000000000000002E-2</v>
      </c>
      <c r="BD62" s="330">
        <f>INDEX('qtrP&amp;L'!$13:$13,MATCH(BA$7,'qtrP&amp;L'!$6:$6,0)+2)%</f>
        <v>-1.7615026876849672E-2</v>
      </c>
      <c r="BF62" s="330">
        <f>INDEX('qtrP&amp;L'!$10:$10,MATCH(BF$7,'qtrP&amp;L'!$6:$6,0)+2)%</f>
        <v>-8.0000000000000002E-3</v>
      </c>
      <c r="BG62" s="330">
        <f>INDEX('qtrP&amp;L'!$11:$11,MATCH(BF$7,'qtrP&amp;L'!$6:$6,0)+2)%</f>
        <v>2.3E-2</v>
      </c>
      <c r="BH62" s="330">
        <f>INDEX('qtrP&amp;L'!$12:$12,MATCH(BF$7,'qtrP&amp;L'!$6:$6,0)+2)%</f>
        <v>-9.3000000000000013E-2</v>
      </c>
      <c r="BI62" s="330">
        <f>INDEX('qtrP&amp;L'!$13:$13,MATCH(BF$7,'qtrP&amp;L'!$6:$6,0)+2)%</f>
        <v>-4.5999999999999999E-2</v>
      </c>
      <c r="BK62" s="330">
        <f>INDEX('qtrP&amp;L'!$10:$10,MATCH(BK$7,'qtrP&amp;L'!$6:$6,0)+2)%</f>
        <v>-2.6000000000000002E-2</v>
      </c>
      <c r="BL62" s="330">
        <f>INDEX('qtrP&amp;L'!$11:$11,MATCH(BK$7,'qtrP&amp;L'!$6:$6,0)+2)%</f>
        <v>2.2000000000000002E-2</v>
      </c>
      <c r="BM62" s="330">
        <f>INDEX('qtrP&amp;L'!$12:$12,MATCH(BK$7,'qtrP&amp;L'!$6:$6,0)+2)%</f>
        <v>3.9E-2</v>
      </c>
      <c r="BN62" s="330">
        <f>INDEX('qtrP&amp;L'!$13:$13,MATCH(BK$7,'qtrP&amp;L'!$6:$6,0)+2)%</f>
        <v>1.4999999999999999E-2</v>
      </c>
      <c r="BP62" s="330">
        <f>INDEX('qtrP&amp;L'!$10:$10,MATCH(BP$7,'qtrP&amp;L'!$6:$6,0)+2)%</f>
        <v>-1.4999999999999999E-2</v>
      </c>
      <c r="BQ62" s="330">
        <f>INDEX('qtrP&amp;L'!$11:$11,MATCH(BP$7,'qtrP&amp;L'!$6:$6,0)+2)%</f>
        <v>3.7999999999999999E-2</v>
      </c>
      <c r="BR62" s="330">
        <f>INDEX('qtrP&amp;L'!$12:$12,MATCH(BP$7,'qtrP&amp;L'!$6:$6,0)+2)%</f>
        <v>0.05</v>
      </c>
      <c r="BS62" s="330">
        <f>INDEX('qtrP&amp;L'!$13:$13,MATCH(BP$7,'qtrP&amp;L'!$6:$6,0)+2)%</f>
        <v>8.3000000000000004E-2</v>
      </c>
      <c r="BU62" s="330">
        <f>INDEX('qtrP&amp;L'!$10:$10,MATCH(BU$7,'qtrP&amp;L'!$6:$6,0)+2)%</f>
        <v>0.13200000000000001</v>
      </c>
      <c r="BV62" s="330">
        <f>INDEX('qtrP&amp;L'!$11:$11,MATCH(BU$7,'qtrP&amp;L'!$6:$6,0)+2)%</f>
        <v>6.8000000000000005E-2</v>
      </c>
      <c r="BW62" s="330">
        <f>INDEX('qtrP&amp;L'!$12:$12,MATCH(BU$7,'qtrP&amp;L'!$6:$6,0)+2)%</f>
        <v>9.4E-2</v>
      </c>
      <c r="BX62" s="330">
        <f>INDEX('qtrP&amp;L'!$13:$13,MATCH(BU$7,'qtrP&amp;L'!$6:$6,0)+2)%</f>
        <v>7.2000000000000008E-2</v>
      </c>
      <c r="BZ62" s="330">
        <f>INDEX('qtrP&amp;L'!$10:$10,MATCH(BZ$7,'qtrP&amp;L'!$6:$6,0)+2)%</f>
        <v>6.2E-2</v>
      </c>
      <c r="CA62" s="330">
        <f>INDEX('qtrP&amp;L'!$11:$11,MATCH(BZ$7,'qtrP&amp;L'!$6:$6,0)+2)%</f>
        <v>6.2E-2</v>
      </c>
      <c r="CB62" s="330">
        <f>INDEX('qtrP&amp;L'!$12:$12,MATCH(BZ$7,'qtrP&amp;L'!$6:$6,0)+2)%</f>
        <v>5.9000000000000004E-2</v>
      </c>
      <c r="CC62" s="330">
        <f>INDEX('qtrP&amp;L'!$13:$13,MATCH(BZ$7,'qtrP&amp;L'!$6:$6,0)+2)%</f>
        <v>5.7999999999999996E-2</v>
      </c>
      <c r="CE62" s="330">
        <f>INDEX('qtrP&amp;L'!$10:$10,MATCH(CE$7,'qtrP&amp;L'!$6:$6,0)+2)%</f>
        <v>5.4000000000000006E-2</v>
      </c>
      <c r="CF62" s="330">
        <f>INDEX('qtrP&amp;L'!$11:$11,MATCH(CE$7,'qtrP&amp;L'!$6:$6,0)+2)%</f>
        <v>5.7000000000000002E-2</v>
      </c>
      <c r="CG62" s="330">
        <f>INDEX('qtrP&amp;L'!$12:$12,MATCH(CE$7,'qtrP&amp;L'!$6:$6,0)+2)%</f>
        <v>0.107</v>
      </c>
      <c r="CH62" s="330">
        <f>INDEX('qtrP&amp;L'!$13:$13,MATCH(CE$7,'qtrP&amp;L'!$6:$6,0)+2)%</f>
        <v>8.3000000000000004E-2</v>
      </c>
      <c r="CJ62" s="330">
        <f>INDEX('qtrP&amp;L'!$10:$10,MATCH(CJ$7,'qtrP&amp;L'!$6:$6,0)+2)%</f>
        <v>9.5000000000000001E-2</v>
      </c>
      <c r="CK62" s="330">
        <f>INDEX('qtrP&amp;L'!$11:$11,MATCH(CJ$7,'qtrP&amp;L'!$6:$6,0)+2)%</f>
        <v>5.9000000000000004E-2</v>
      </c>
      <c r="CL62" s="330">
        <f>INDEX('qtrP&amp;L'!$12:$12,MATCH(CJ$7,'qtrP&amp;L'!$6:$6,0)+2)%</f>
        <v>2.2000000000000002E-2</v>
      </c>
      <c r="CM62" s="330">
        <f>INDEX('qtrP&amp;L'!$13:$13,MATCH(CJ$7,'qtrP&amp;L'!$6:$6,0)+2)%</f>
        <v>-6.9999999999999993E-3</v>
      </c>
      <c r="CO62" s="330">
        <f>INDEX('qtrP&amp;L'!$10:$10,MATCH(CO$7,'qtrP&amp;L'!$6:$6,0)+2)%</f>
        <v>-6.5000000000000002E-2</v>
      </c>
      <c r="CP62" s="330">
        <f>INDEX('qtrP&amp;L'!$11:$11,MATCH(CO$7,'qtrP&amp;L'!$6:$6,0)+2)%</f>
        <v>-0.06</v>
      </c>
      <c r="CQ62" s="330">
        <f>INDEX('qtrP&amp;L'!$12:$12,MATCH(CO$7,'qtrP&amp;L'!$6:$6,0)+2)%</f>
        <v>-0.111</v>
      </c>
      <c r="CR62" s="330">
        <f>INDEX('qtrP&amp;L'!$13:$13,MATCH(CO$7,'qtrP&amp;L'!$6:$6,0)+2)%</f>
        <v>-0.125</v>
      </c>
      <c r="CS62" s="258"/>
      <c r="CT62" s="330">
        <f>INDEX('qtrP&amp;L'!$10:$10,MATCH(CT$7,'qtrP&amp;L'!$6:$6,0)+2)%</f>
        <v>-0.13200000000000001</v>
      </c>
      <c r="CU62" s="330">
        <f>INDEX('qtrP&amp;L'!$11:$11,MATCH(CT$7,'qtrP&amp;L'!$6:$6,0)+2)%</f>
        <v>-9.8000000000000004E-2</v>
      </c>
      <c r="CV62" s="330">
        <f>INDEX('qtrP&amp;L'!$12:$12,MATCH(CT$7,'qtrP&amp;L'!$6:$6,0)+2)%</f>
        <v>-1.2E-2</v>
      </c>
      <c r="CW62" s="330">
        <f>INDEX('qtrP&amp;L'!$13:$13,MATCH(CT$7,'qtrP&amp;L'!$6:$6,0)+2)%</f>
        <v>6.9000000000000006E-2</v>
      </c>
      <c r="CY62" s="330">
        <f>INDEX('qtrP&amp;L'!$10:$10,MATCH(CY$7,'qtrP&amp;L'!$6:$6,0)+2)%</f>
        <v>0.12</v>
      </c>
      <c r="CZ62" s="330">
        <f>INDEX('qtrP&amp;L'!$11:$11,MATCH(CY$7,'qtrP&amp;L'!$6:$6,0)+2)%</f>
        <v>8.4000000000000005E-2</v>
      </c>
      <c r="DA62" s="330">
        <f>INDEX('qtrP&amp;L'!$12:$12,MATCH(CY$7,'qtrP&amp;L'!$6:$6,0)+2)%</f>
        <v>5.7999999999999996E-2</v>
      </c>
      <c r="DB62" s="330">
        <f>INDEX('qtrP&amp;L'!$13:$13,MATCH(CY$7,'qtrP&amp;L'!$6:$6,0)+2)%</f>
        <v>6.7000000000000004E-2</v>
      </c>
      <c r="DC62" s="249"/>
      <c r="DD62" s="330">
        <f>INDEX('qtrP&amp;L'!$10:$10,MATCH(DD$7,'qtrP&amp;L'!$6:$6,0)+2)%</f>
        <v>6.5000000000000002E-2</v>
      </c>
      <c r="DE62" s="330">
        <f>INDEX('qtrP&amp;L'!$11:$11,MATCH(DD$7,'qtrP&amp;L'!$6:$6,0)+2)%</f>
        <v>7.2999999999999995E-2</v>
      </c>
      <c r="DF62" s="330">
        <f>INDEX('qtrP&amp;L'!$12:$12,MATCH(DD$7,'qtrP&amp;L'!$6:$6,0)+2)%</f>
        <v>7.9000000000000001E-2</v>
      </c>
      <c r="DG62" s="330">
        <f>INDEX('qtrP&amp;L'!$13:$13,MATCH(DD$7,'qtrP&amp;L'!$6:$6,0)+2)%</f>
        <v>7.0999999999999994E-2</v>
      </c>
      <c r="DH62" s="249"/>
      <c r="DI62" s="330">
        <f>INDEX('qtrP&amp;L'!$10:$10,MATCH(DI$7,'qtrP&amp;L'!$6:$6,0)+2)%</f>
        <v>8.5000000000000006E-2</v>
      </c>
      <c r="DJ62" s="330">
        <f>INDEX('qtrP&amp;L'!$11:$11,MATCH(DI$7,'qtrP&amp;L'!$6:$6,0)+2)%</f>
        <v>4.4999999999999998E-2</v>
      </c>
      <c r="DK62" s="330">
        <f>INDEX('qtrP&amp;L'!$12:$12,MATCH(DI$7,'qtrP&amp;L'!$6:$6,0)+2)%</f>
        <v>0.107</v>
      </c>
      <c r="DL62" s="330">
        <f>INDEX('qtrP&amp;L'!$13:$13,MATCH(DI$7,'qtrP&amp;L'!$6:$6,0)+2)%</f>
        <v>6.3E-2</v>
      </c>
      <c r="DM62" s="249"/>
      <c r="DN62" s="330">
        <f>INDEX('qtrP&amp;L'!$10:$10,MATCH(DN$7,'qtrP&amp;L'!$6:$6,0)+2)%</f>
        <v>2.7000000000000003E-2</v>
      </c>
      <c r="DO62" s="330">
        <f>INDEX('qtrP&amp;L'!$11:$11,MATCH(DN$7,'qtrP&amp;L'!$6:$6,0)+2)%</f>
        <v>4.4000000000000004E-2</v>
      </c>
      <c r="DP62" s="330">
        <f>INDEX('qtrP&amp;L'!$12:$12,MATCH(DN$7,'qtrP&amp;L'!$6:$6,0)+2)%</f>
        <v>1E-3</v>
      </c>
      <c r="DQ62" s="330">
        <f>INDEX('qtrP&amp;L'!$13:$13,MATCH(DN$7,'qtrP&amp;L'!$6:$6,0)+2)%</f>
        <v>2.2000000000000002E-2</v>
      </c>
      <c r="DR62" s="249"/>
      <c r="DS62" s="330">
        <f>INDEX('qtrP&amp;L'!$10:$10,MATCH(DS$7,'qtrP&amp;L'!$6:$6,0)+2)%</f>
        <v>3.9E-2</v>
      </c>
      <c r="DT62" s="330">
        <f>INDEX('qtrP&amp;L'!$11:$11,MATCH(DS$7,'qtrP&amp;L'!$6:$6,0)+2)%</f>
        <v>3.3000000000000002E-2</v>
      </c>
      <c r="DU62" s="330">
        <f>INDEX('qtrP&amp;L'!$12:$12,MATCH(DS$7,'qtrP&amp;L'!$6:$6,0)+2)%</f>
        <v>4.2999999999999997E-2</v>
      </c>
      <c r="DV62" s="330">
        <f>INDEX('qtrP&amp;L'!$13:$13,MATCH(DS$7,'qtrP&amp;L'!$6:$6,0)+2)%</f>
        <v>4.7E-2</v>
      </c>
      <c r="DW62" s="249"/>
      <c r="DX62" s="330">
        <f>INDEX('qtrP&amp;L'!$10:$10,MATCH(DX$7,'qtrP&amp;L'!$6:$6,0)+2)%</f>
        <v>4.4000000000000004E-2</v>
      </c>
      <c r="DY62" s="330">
        <f>INDEX('qtrP&amp;L'!$11:$11,MATCH(DX$7,'qtrP&amp;L'!$6:$6,0)+2)%</f>
        <v>4.9000000000000002E-2</v>
      </c>
      <c r="DZ62" s="330">
        <f>INDEX('qtrP&amp;L'!$12:$12,MATCH(DX$7,'qtrP&amp;L'!$6:$6,0)+2)%</f>
        <v>9.0000000000000011E-3</v>
      </c>
      <c r="EA62" s="330">
        <f>INDEX('qtrP&amp;L'!$13:$13,MATCH(DX$7,'qtrP&amp;L'!$6:$6,0)+2)%</f>
        <v>0.01</v>
      </c>
      <c r="EB62" s="249"/>
      <c r="EC62" s="330">
        <f>INDEX('qtrP&amp;L'!$10:$10,MATCH(EC$7,'qtrP&amp;L'!$6:$6,0)+2)%</f>
        <v>-1.7000000000000001E-2</v>
      </c>
      <c r="ED62" s="330">
        <f>INDEX('qtrP&amp;L'!$11:$11,MATCH(EC$7,'qtrP&amp;L'!$6:$6,0)+2)%</f>
        <v>-1.2E-2</v>
      </c>
      <c r="EE62" s="330">
        <f>INDEX('qtrP&amp;L'!$12:$12,MATCH(EC$7,'qtrP&amp;L'!$6:$6,0)+2)%</f>
        <v>2.4E-2</v>
      </c>
      <c r="EF62" s="330">
        <f>INDEX('qtrP&amp;L'!$13:$13,MATCH(EC$7,'qtrP&amp;L'!$6:$6,0)+2)%</f>
        <v>-9.0000000000000011E-3</v>
      </c>
      <c r="EG62" s="249"/>
      <c r="EH62" s="330">
        <f>INDEX('qtrP&amp;L'!$10:$10,MATCH(EH$7,'qtrP&amp;L'!$6:$6,0)+2)%</f>
        <v>-8.0000000000000002E-3</v>
      </c>
      <c r="EI62" s="330">
        <f>INDEX('qtrP&amp;L'!$11:$11,MATCH(EH$7,'qtrP&amp;L'!$6:$6,0)+2)%</f>
        <v>1.7000000000000001E-2</v>
      </c>
      <c r="EJ62" s="330">
        <f>INDEX('qtrP&amp;L'!$12:$12,MATCH(EH$7,'qtrP&amp;L'!$6:$6,0)+2)%</f>
        <v>-9.0000000000000011E-3</v>
      </c>
      <c r="EK62" s="330">
        <f>INDEX('qtrP&amp;L'!$13:$13,MATCH(EH$7,'qtrP&amp;L'!$6:$6,0)+2)%</f>
        <v>2.6000000000000002E-2</v>
      </c>
      <c r="EL62" s="330"/>
      <c r="EM62" s="330">
        <f>INDEX('qtrP&amp;L'!$10:$10,MATCH(EM$7,'qtrP&amp;L'!$6:$6,0)+2)%</f>
        <v>5.0000000000000001E-3</v>
      </c>
      <c r="EN62" s="330">
        <f>INDEX('qtrP&amp;L'!$11:$11,MATCH(EM$7,'qtrP&amp;L'!$6:$6,0)+2)%</f>
        <v>0.04</v>
      </c>
      <c r="EO62" s="330">
        <f>INDEX('qtrP&amp;L'!$12:$12,MATCH(EM$7,'qtrP&amp;L'!$6:$6,0)+2)%</f>
        <v>-0.02</v>
      </c>
      <c r="EP62" s="330">
        <f>INDEX('qtrP&amp;L'!$13:$13,MATCH(EM$7,'qtrP&amp;L'!$6:$6,0)+2)%</f>
        <v>-5.0000000000000001E-3</v>
      </c>
      <c r="EQ62" s="330"/>
      <c r="ER62" s="277"/>
      <c r="ES62" s="330"/>
      <c r="ET62" s="330">
        <f>'yrP&amp;L'!K9</f>
        <v>1.4E-2</v>
      </c>
      <c r="EU62" s="330">
        <f>'yrP&amp;L'!L9</f>
        <v>1.4E-2</v>
      </c>
      <c r="EV62" s="330">
        <f>'yrP&amp;L'!M9</f>
        <v>2.6699999999999998E-2</v>
      </c>
      <c r="EW62" s="330">
        <f>'yrP&amp;L'!N9</f>
        <v>4.3946778079116122E-2</v>
      </c>
      <c r="EX62" s="330">
        <f>'yrP&amp;L'!O9</f>
        <v>-6.7070384556666375E-3</v>
      </c>
      <c r="EY62" s="330">
        <f>'yrP&amp;L'!P9</f>
        <v>6.4808741758201035E-3</v>
      </c>
      <c r="EZ62" s="330">
        <f>'yrP&amp;L'!Q9</f>
        <v>3.8380962127320666E-2</v>
      </c>
      <c r="FA62" s="330">
        <f>'yrP&amp;L'!R9</f>
        <v>0</v>
      </c>
      <c r="FB62" s="330">
        <f>'yrP&amp;L'!S9</f>
        <v>0</v>
      </c>
      <c r="FC62" s="330">
        <f>'yrP&amp;L'!T9</f>
        <v>5.1341592674625011E-3</v>
      </c>
      <c r="FD62" s="330">
        <f>'yrP&amp;L'!U9</f>
        <v>-5.9000000000000004E-2</v>
      </c>
      <c r="FE62" s="330">
        <f>'yrP&amp;L'!V9</f>
        <v>1.3000000000000001E-2</v>
      </c>
      <c r="FF62" s="330">
        <f>'yrP&amp;L'!W9</f>
        <v>4.0999999999999995E-2</v>
      </c>
      <c r="FG62" s="330">
        <f>'yrP&amp;L'!X9</f>
        <v>8.5000000000000006E-2</v>
      </c>
      <c r="FH62" s="330">
        <f>'yrP&amp;L'!Y9</f>
        <v>0.06</v>
      </c>
      <c r="FI62" s="332">
        <f>'yrP&amp;L'!Z9</f>
        <v>7.4999999999999997E-2</v>
      </c>
      <c r="FJ62" s="332">
        <f>'yrP&amp;L'!AA9</f>
        <v>3.9E-2</v>
      </c>
      <c r="FK62" s="330">
        <f>'yrP&amp;L'!AB9</f>
        <v>-0.09</v>
      </c>
      <c r="FL62" s="330">
        <f>'yrP&amp;L'!AC9</f>
        <v>-4.2000000000000003E-2</v>
      </c>
      <c r="FM62" s="332">
        <f>'yrP&amp;L'!AD9</f>
        <v>8.1000000000000003E-2</v>
      </c>
      <c r="FN62" s="330">
        <f>'yrP&amp;L'!AE9</f>
        <v>7.2000000000000008E-2</v>
      </c>
      <c r="FO62" s="330">
        <f>'yrP&amp;L'!AF9</f>
        <v>7.2999999999999995E-2</v>
      </c>
      <c r="FP62" s="330">
        <f>'yrP&amp;L'!AG9</f>
        <v>2.5000000000000001E-2</v>
      </c>
      <c r="FQ62" s="330">
        <f>'yrP&amp;L'!AH9</f>
        <v>0.04</v>
      </c>
      <c r="FR62" s="330">
        <f>'yrP&amp;L'!AI9</f>
        <v>2.7000000000000003E-2</v>
      </c>
      <c r="FS62" s="330">
        <f>'yrP&amp;L'!AJ9</f>
        <v>-4.0000000000000001E-3</v>
      </c>
      <c r="FT62" s="330">
        <f>'yrP&amp;L'!AK9</f>
        <v>8.0000000000000002E-3</v>
      </c>
      <c r="FU62" s="330">
        <f>'yrP&amp;L'!AL9</f>
        <v>5.4937506829665474E-3</v>
      </c>
      <c r="FV62" s="330">
        <f>'yrP&amp;L'!AM9</f>
        <v>0</v>
      </c>
      <c r="FW62" s="333">
        <f>'yrP&amp;L'!AN9</f>
        <v>0</v>
      </c>
      <c r="FX62" s="330">
        <f>'yrP&amp;L'!AO9</f>
        <v>0</v>
      </c>
      <c r="FY62" s="333">
        <f>'yrP&amp;L'!AP9</f>
        <v>0</v>
      </c>
      <c r="FZ62" s="330"/>
      <c r="GA62" s="330"/>
      <c r="GB62" s="330"/>
      <c r="GC62" s="330"/>
      <c r="GD62" s="330"/>
    </row>
    <row r="63" spans="1:186" x14ac:dyDescent="0.2">
      <c r="A63" s="276" t="s">
        <v>158</v>
      </c>
      <c r="C63" s="330"/>
      <c r="D63" s="330"/>
      <c r="E63" s="330"/>
      <c r="F63" s="330"/>
      <c r="H63" s="330">
        <f>H19/C19-1</f>
        <v>3.4497549019607998E-2</v>
      </c>
      <c r="I63" s="330">
        <f>I19/D19-1</f>
        <v>0.10205779770802192</v>
      </c>
      <c r="J63" s="330">
        <f>J19/E19-1</f>
        <v>0.14398762654668174</v>
      </c>
      <c r="K63" s="330">
        <f>K19/F19-1</f>
        <v>0.15538894550395499</v>
      </c>
      <c r="M63" s="330">
        <f>M19/H19-1</f>
        <v>0.11814251021737832</v>
      </c>
      <c r="N63" s="330">
        <f>N19/I19-1</f>
        <v>9.4894273068002466E-2</v>
      </c>
      <c r="O63" s="330">
        <f>O19/J19-1</f>
        <v>4.9296709455705745E-2</v>
      </c>
      <c r="P63" s="330">
        <f>P19/K19-1</f>
        <v>8.2447467564922716E-2</v>
      </c>
      <c r="R63" s="330">
        <f>R19/M19-1</f>
        <v>0.10288913844980296</v>
      </c>
      <c r="S63" s="330">
        <f>S19/N19-1</f>
        <v>2.5432337347009559E-2</v>
      </c>
      <c r="T63" s="330">
        <f>T19/O19-1</f>
        <v>1.3597091290739716E-2</v>
      </c>
      <c r="U63" s="330">
        <f>U19/P19-1</f>
        <v>3.8793889516182123E-2</v>
      </c>
      <c r="W63" s="330">
        <f>W19/R19-1</f>
        <v>3.2012641751401283E-2</v>
      </c>
      <c r="X63" s="330">
        <f>X19/S19-1</f>
        <v>7.7577910128014738E-2</v>
      </c>
      <c r="Y63" s="330">
        <f>Y19/T19-1</f>
        <v>0.13857070216798406</v>
      </c>
      <c r="Z63" s="330">
        <f>Z19/U19-1</f>
        <v>0.10033281164205743</v>
      </c>
      <c r="AB63" s="330">
        <f>AB19/W19-1</f>
        <v>0.11591983766475522</v>
      </c>
      <c r="AC63" s="330">
        <f>AC19/X19-1</f>
        <v>0.12048760071152032</v>
      </c>
      <c r="AD63" s="330">
        <f>AD19/Y19-1</f>
        <v>8.6254146248381236E-2</v>
      </c>
      <c r="AE63" s="330">
        <f>AE19/Z19-1</f>
        <v>6.5846289632697452E-2</v>
      </c>
      <c r="AG63" s="330">
        <f>AG19/AB19-1</f>
        <v>0.12101546892660076</v>
      </c>
      <c r="AH63" s="330">
        <f>AH19/AC19-1</f>
        <v>9.6712224601284591E-2</v>
      </c>
      <c r="AI63" s="330">
        <f>AI19/AD19-1</f>
        <v>7.8833273531874193E-2</v>
      </c>
      <c r="AJ63" s="330">
        <f>AJ19/AE19-1</f>
        <v>5.5246084904308379E-2</v>
      </c>
      <c r="AL63" s="330">
        <f>AL19/AG19-1</f>
        <v>2.0462299143931828E-2</v>
      </c>
      <c r="AM63" s="330">
        <f>AM19/AH19-1</f>
        <v>6.546424357430447E-2</v>
      </c>
      <c r="AN63" s="330">
        <f>AN19/AI19-1</f>
        <v>0.13008758193484016</v>
      </c>
      <c r="AO63" s="330">
        <f>AO19/AJ19-1</f>
        <v>0.1230309999607635</v>
      </c>
      <c r="AQ63" s="330">
        <f>AQ19/AL19-1</f>
        <v>0.1275160689350936</v>
      </c>
      <c r="AR63" s="330">
        <f>AR19/AM19-1</f>
        <v>8.3190862048789338E-2</v>
      </c>
      <c r="AS63" s="330">
        <f>AS19/AN19-1</f>
        <v>6.2600975496103217E-3</v>
      </c>
      <c r="AT63" s="330">
        <f>AT19/AO19-1</f>
        <v>4.3473820568363131E-2</v>
      </c>
      <c r="AV63" s="330">
        <f>AV19/AQ19-1</f>
        <v>1.6558721864561976E-2</v>
      </c>
      <c r="AW63" s="330">
        <f>AW19/AR19-1</f>
        <v>3.6599826091539001E-2</v>
      </c>
      <c r="AX63" s="330">
        <f>AX19/AS19-1</f>
        <v>3.9450393772754389E-2</v>
      </c>
      <c r="AY63" s="330">
        <f>AY19/AT19-1</f>
        <v>0.2230607167325156</v>
      </c>
      <c r="BA63" s="330">
        <f>BA19/AV19-1</f>
        <v>0.18294506081734441</v>
      </c>
      <c r="BB63" s="330">
        <f>BB19/AW19-1</f>
        <v>0.10934926283680735</v>
      </c>
      <c r="BC63" s="330">
        <f>BC19/AX19-1</f>
        <v>0.23449516976177076</v>
      </c>
      <c r="BD63" s="330">
        <f>BD19/AY19-1</f>
        <v>4.1007185154611436E-2</v>
      </c>
      <c r="BF63" s="330">
        <f>BF19/BA19-1</f>
        <v>6.670359425542971E-2</v>
      </c>
      <c r="BG63" s="330">
        <f>BG19/BB19-1</f>
        <v>4.8171706941510184E-2</v>
      </c>
      <c r="BH63" s="330">
        <f>BH19/BC19-1</f>
        <v>-5.1335501792540206E-2</v>
      </c>
      <c r="BI63" s="330">
        <f>BI19/BD19-1</f>
        <v>-5.1424017024685353E-2</v>
      </c>
      <c r="BK63" s="330">
        <f>BK19/BF19-1</f>
        <v>-2.6775496211300043E-2</v>
      </c>
      <c r="BL63" s="330">
        <f>BL19/BG19-1</f>
        <v>5.1753122260575823E-2</v>
      </c>
      <c r="BM63" s="330">
        <f>BM19/BH19-1</f>
        <v>8.8478056300804964E-2</v>
      </c>
      <c r="BN63" s="330">
        <f>BN19/BI19-1</f>
        <v>6.4531263328499566E-2</v>
      </c>
      <c r="BP63" s="330">
        <f>BP19/BK19-1</f>
        <v>8.8690544026688523E-2</v>
      </c>
      <c r="BQ63" s="330">
        <f>BQ19/BL19-1</f>
        <v>2.3248079980877856E-2</v>
      </c>
      <c r="BR63" s="330">
        <f>BR19/BM19-1</f>
        <v>9.3787147550934424E-3</v>
      </c>
      <c r="BS63" s="330">
        <f>BS19/BN19-1</f>
        <v>9.6798749949917884E-2</v>
      </c>
      <c r="BU63" s="330">
        <f>BU19/BP19-1</f>
        <v>7.7102058878108837E-2</v>
      </c>
      <c r="BV63" s="330">
        <f>BV19/BQ19-1</f>
        <v>8.9240300629697122E-2</v>
      </c>
      <c r="BW63" s="330">
        <f>BW19/BR19-1</f>
        <v>6.0977220956719869E-2</v>
      </c>
      <c r="BX63" s="330">
        <f>BX19/BS19-1</f>
        <v>3.2871232876712231E-2</v>
      </c>
      <c r="BZ63" s="330">
        <f>BZ19/BU19-1</f>
        <v>2.8025286371246683E-2</v>
      </c>
      <c r="CA63" s="330">
        <f>CA19/BV19-1</f>
        <v>2.790391490266364E-2</v>
      </c>
      <c r="CB63" s="330">
        <f>CB19/BW19-1</f>
        <v>3.4349645425092667E-2</v>
      </c>
      <c r="CC63" s="330">
        <f>CC19/BX19-1</f>
        <v>6.5045437906832371E-2</v>
      </c>
      <c r="CE63" s="330">
        <f>CE19/BZ19-1</f>
        <v>6.1875029543081439E-2</v>
      </c>
      <c r="CF63" s="330">
        <f>CF19/CA19-1</f>
        <v>5.1444495243071486E-2</v>
      </c>
      <c r="CG63" s="330">
        <f>CG19/CB19-1</f>
        <v>0.11715597549027756</v>
      </c>
      <c r="CH63" s="330">
        <f>CH19/CC19-1</f>
        <v>0.13714717407186017</v>
      </c>
      <c r="CJ63" s="330">
        <f>CJ19/CE19-1</f>
        <v>8.049046983124919E-2</v>
      </c>
      <c r="CK63" s="330">
        <f>CK19/CF19-1</f>
        <v>9.7399370548285624E-2</v>
      </c>
      <c r="CL63" s="330">
        <f>CL19/CG19-1</f>
        <v>2.7479979933483056E-2</v>
      </c>
      <c r="CM63" s="330">
        <f>CM19/CH19-1</f>
        <v>-6.9911415267761789E-2</v>
      </c>
      <c r="CO63" s="330">
        <f>CO19/CJ19-1</f>
        <v>-1.8726591760299671E-3</v>
      </c>
      <c r="CP63" s="330">
        <f>CP19/CK19-1</f>
        <v>-5.3459119496855334E-2</v>
      </c>
      <c r="CQ63" s="330">
        <f>CQ19/CL19-1</f>
        <v>3.610488245931287E-2</v>
      </c>
      <c r="CR63" s="330">
        <f>CR19/CM19-1</f>
        <v>5.180533751962324E-2</v>
      </c>
      <c r="CS63" s="258"/>
      <c r="CT63" s="330">
        <f>CT19/CO19-1</f>
        <v>1.1257035647279645E-2</v>
      </c>
      <c r="CU63" s="330">
        <f>CU19/CP19-1</f>
        <v>9.966777408637828E-3</v>
      </c>
      <c r="CV63" s="330">
        <f>CV19/CQ19-1</f>
        <v>1.4021774415933885E-2</v>
      </c>
      <c r="CW63" s="330">
        <f>CW19/CR19-1</f>
        <v>0.10000000000000009</v>
      </c>
      <c r="CY63" s="330">
        <f>CY19/CT19-1</f>
        <v>0.15955473098330231</v>
      </c>
      <c r="CZ63" s="330">
        <f>CZ19/CU19-1</f>
        <v>0.11513157894736836</v>
      </c>
      <c r="DA63" s="330">
        <f>DA19/CV19-1</f>
        <v>8.43373493975903E-2</v>
      </c>
      <c r="DB63" s="330">
        <f>DB19/CW19-1</f>
        <v>2.0352781546811416E-2</v>
      </c>
      <c r="DC63" s="249"/>
      <c r="DD63" s="330">
        <f>DD19/CY19-1</f>
        <v>6.5600000000000103E-2</v>
      </c>
      <c r="DE63" s="330">
        <f>DE19/CZ19-1</f>
        <v>0.13126843657817111</v>
      </c>
      <c r="DF63" s="330">
        <f>DF19/DA19-1</f>
        <v>0.15396825396825387</v>
      </c>
      <c r="DG63" s="330">
        <f>DG19/DB19-1</f>
        <v>0.16489361702127669</v>
      </c>
      <c r="DH63" s="249"/>
      <c r="DI63" s="330">
        <f>DI19/DD19-1</f>
        <v>0.14264264264264259</v>
      </c>
      <c r="DJ63" s="330">
        <f>DJ19/DE19-1</f>
        <v>9.1264667535853938E-2</v>
      </c>
      <c r="DK63" s="330">
        <f>DK19/DF19-1</f>
        <v>9.7661623108665774E-2</v>
      </c>
      <c r="DL63" s="330">
        <f>DL19/DG19-1</f>
        <v>9.7031963470319615E-2</v>
      </c>
      <c r="DM63" s="249"/>
      <c r="DN63" s="330">
        <f>DN19/DI19-1</f>
        <v>5.2562417871222067E-2</v>
      </c>
      <c r="DO63" s="330">
        <f>DO19/DJ19-1</f>
        <v>2.3894862604540101E-2</v>
      </c>
      <c r="DP63" s="330">
        <f>DP19/DK19-1</f>
        <v>5.2631578947368363E-2</v>
      </c>
      <c r="DQ63" s="330">
        <f>DQ19/DL19-1</f>
        <v>-6.2434963579605096E-3</v>
      </c>
      <c r="DR63" s="249"/>
      <c r="DS63" s="330">
        <f>DS19/DN19-1</f>
        <v>5.3682896379525502E-2</v>
      </c>
      <c r="DT63" s="330">
        <f>DT19/DO19-1</f>
        <v>8.6347724620770228E-2</v>
      </c>
      <c r="DU63" s="330">
        <f>DU19/DP19-1</f>
        <v>9.1666666666666563E-2</v>
      </c>
      <c r="DV63" s="330">
        <f>DV19/DQ19-1</f>
        <v>0.13507853403141357</v>
      </c>
      <c r="DW63" s="249"/>
      <c r="DX63" s="330">
        <f>DX19/DS19-1</f>
        <v>0.15047393364928907</v>
      </c>
      <c r="DY63" s="330">
        <f>DY19/DT19-1</f>
        <v>0.12567132116004287</v>
      </c>
      <c r="DZ63" s="330">
        <f>DZ19/DU19-1</f>
        <v>8.9422028353326022E-2</v>
      </c>
      <c r="EA63" s="330">
        <f>EA19/DV19-1</f>
        <v>3.5055350553505615E-2</v>
      </c>
      <c r="EB63" s="249"/>
      <c r="EC63" s="330">
        <f>EC19/DX19-1</f>
        <v>7.4150360453141051E-2</v>
      </c>
      <c r="ED63" s="330">
        <f>ED19/DY19-1</f>
        <v>2.2900763358778553E-2</v>
      </c>
      <c r="EE63" s="330">
        <f>EE19/DZ19-1</f>
        <v>3.0030030030030019E-2</v>
      </c>
      <c r="EF63" s="330">
        <f>EF19/EA19-1</f>
        <v>4.4563279857397609E-2</v>
      </c>
      <c r="EG63" s="249"/>
      <c r="EH63" s="330">
        <f>EH19/EC19-1</f>
        <v>4.7938638542666112E-3</v>
      </c>
      <c r="EI63" s="330">
        <f>EI19/ED19-1</f>
        <v>4.9440298507462677E-2</v>
      </c>
      <c r="EJ63" s="330">
        <f>EJ19/EE19-1</f>
        <v>7.4829931972789199E-2</v>
      </c>
      <c r="EK63" s="330">
        <f>EK19/EF19-1</f>
        <v>0.18003412969283272</v>
      </c>
      <c r="EL63" s="330"/>
      <c r="EM63" s="330">
        <f>EM19/EH19-1</f>
        <v>7.7778199867880149E-2</v>
      </c>
      <c r="EN63" s="330">
        <f>EN19/EI19-1</f>
        <v>0.12170472127612753</v>
      </c>
      <c r="EO63" s="330">
        <f>EO19/EJ19-1</f>
        <v>2.8512939119951897E-2</v>
      </c>
      <c r="EP63" s="330">
        <f>EP19/EK19-1</f>
        <v>-4.5892806087976967E-2</v>
      </c>
      <c r="EQ63" s="330"/>
      <c r="ER63" s="277"/>
      <c r="ES63" s="330"/>
      <c r="ET63" s="330">
        <f t="shared" ref="ET63:FV63" si="31">ET19/ES19-1</f>
        <v>0.11197961940168777</v>
      </c>
      <c r="EU63" s="330">
        <f t="shared" si="31"/>
        <v>8.489666327923473E-2</v>
      </c>
      <c r="EV63" s="330">
        <f t="shared" si="31"/>
        <v>4.2658383743654937E-2</v>
      </c>
      <c r="EW63" s="330">
        <f t="shared" si="31"/>
        <v>8.7996861507645852E-2</v>
      </c>
      <c r="EX63" s="330">
        <f t="shared" si="31"/>
        <v>9.5559961577060371E-2</v>
      </c>
      <c r="EY63" s="330">
        <f t="shared" si="31"/>
        <v>8.6030444066653722E-2</v>
      </c>
      <c r="EZ63" s="330">
        <f t="shared" si="31"/>
        <v>8.6514343908869362E-2</v>
      </c>
      <c r="FA63" s="330">
        <f t="shared" si="31"/>
        <v>6.2241435481420249E-2</v>
      </c>
      <c r="FB63" s="330">
        <f t="shared" si="31"/>
        <v>8.4372398186825404E-2</v>
      </c>
      <c r="FC63" s="330">
        <f t="shared" si="31"/>
        <v>0.14648032990426785</v>
      </c>
      <c r="FD63" s="330">
        <f t="shared" si="31"/>
        <v>-1.3973857615818264E-2</v>
      </c>
      <c r="FE63" s="330">
        <f t="shared" si="31"/>
        <v>3.5164152591814268E-2</v>
      </c>
      <c r="FF63" s="330">
        <f t="shared" si="31"/>
        <v>6.5004121780384727E-2</v>
      </c>
      <c r="FG63" s="330">
        <f t="shared" si="31"/>
        <v>6.3769860451597049E-2</v>
      </c>
      <c r="FH63" s="330">
        <f t="shared" si="31"/>
        <v>3.9813724456535748E-2</v>
      </c>
      <c r="FI63" s="332">
        <f t="shared" si="31"/>
        <v>9.3397522500006991E-2</v>
      </c>
      <c r="FJ63" s="332">
        <f t="shared" si="31"/>
        <v>2.7488361299738084E-2</v>
      </c>
      <c r="FK63" s="330">
        <f t="shared" si="31"/>
        <v>1.1849999999999916E-2</v>
      </c>
      <c r="FL63" s="330">
        <f t="shared" si="31"/>
        <v>3.2259253272450383E-2</v>
      </c>
      <c r="FM63" s="332">
        <f t="shared" si="31"/>
        <v>8.9249492900608463E-2</v>
      </c>
      <c r="FN63" s="330">
        <f t="shared" si="31"/>
        <v>0.13072625698324014</v>
      </c>
      <c r="FO63" s="330">
        <f t="shared" si="31"/>
        <v>0.10573122529644263</v>
      </c>
      <c r="FP63" s="330">
        <f t="shared" si="31"/>
        <v>2.859696157283298E-2</v>
      </c>
      <c r="FQ63" s="330">
        <f t="shared" si="31"/>
        <v>9.3541847668694E-2</v>
      </c>
      <c r="FR63" s="330">
        <f t="shared" si="31"/>
        <v>9.6398305084745672E-2</v>
      </c>
      <c r="FS63" s="330">
        <f t="shared" si="31"/>
        <v>4.251207729468609E-2</v>
      </c>
      <c r="FT63" s="330">
        <f t="shared" si="31"/>
        <v>8.0166821130676524E-2</v>
      </c>
      <c r="FU63" s="330">
        <f t="shared" si="31"/>
        <v>4.0003201360827134E-2</v>
      </c>
      <c r="FV63" s="330">
        <f t="shared" si="31"/>
        <v>3.7993419873676659E-2</v>
      </c>
      <c r="FW63" s="333">
        <f>FW19/FV19-1</f>
        <v>3.0270208856819414E-2</v>
      </c>
      <c r="FX63" s="330">
        <f>FX19/FW19-1</f>
        <v>2.8185481145251767E-2</v>
      </c>
      <c r="FY63" s="333">
        <f>FY19/FX19-1</f>
        <v>2.2485484621001417E-2</v>
      </c>
      <c r="FZ63" s="330"/>
      <c r="GA63" s="330"/>
      <c r="GB63" s="330"/>
      <c r="GC63" s="330"/>
      <c r="GD63" s="330"/>
    </row>
    <row r="64" spans="1:186" x14ac:dyDescent="0.2">
      <c r="A64" s="276" t="s">
        <v>159</v>
      </c>
      <c r="C64" s="330"/>
      <c r="D64" s="330"/>
      <c r="E64" s="330"/>
      <c r="F64" s="330"/>
      <c r="H64" s="330">
        <f>((H23/C23)-1)</f>
        <v>0.63750769230769033</v>
      </c>
      <c r="I64" s="330">
        <f>((I23/D23)-1)</f>
        <v>0.36005899705014777</v>
      </c>
      <c r="J64" s="330">
        <f>((J23/E23)-1)</f>
        <v>-4.4207048458148823E-2</v>
      </c>
      <c r="K64" s="330">
        <f>((K23/F23)-1)</f>
        <v>-8.6594219980198783E-2</v>
      </c>
      <c r="M64" s="330">
        <f>((M23/H23)-1)</f>
        <v>-0.11659369773952932</v>
      </c>
      <c r="N64" s="330">
        <f>((N23/I23)-1)</f>
        <v>-0.13981911247993783</v>
      </c>
      <c r="O64" s="330">
        <f>((O23/J23)-1)</f>
        <v>0.12096421081741493</v>
      </c>
      <c r="P64" s="330">
        <f>((P23/K23)-1)</f>
        <v>0.27171374375781987</v>
      </c>
      <c r="R64" s="330">
        <f>((R23/M23)-1)</f>
        <v>-0.398796103288383</v>
      </c>
      <c r="S64" s="330">
        <f>((S23/N23)-1)</f>
        <v>8.1695432368031895E-3</v>
      </c>
      <c r="T64" s="330">
        <f>((T23/O23)-1)</f>
        <v>5.6391595740305389E-2</v>
      </c>
      <c r="U64" s="330">
        <f>((U23/P23)-1)</f>
        <v>0.10545487752907112</v>
      </c>
      <c r="W64" s="330">
        <f>((W23/R23)-1)</f>
        <v>1.1480629754112917</v>
      </c>
      <c r="X64" s="330">
        <f>((X23/S23)-1)</f>
        <v>0.39343729288331519</v>
      </c>
      <c r="Y64" s="330">
        <f>((Y23/T23)-1)</f>
        <v>0.37752262333365683</v>
      </c>
      <c r="Z64" s="330">
        <f>((Z23/U23)-1)</f>
        <v>0.13168788493487615</v>
      </c>
      <c r="AB64" s="330">
        <f>((AB23/W23)-1)</f>
        <v>-0.12130445524170452</v>
      </c>
      <c r="AC64" s="330">
        <f>((AC23/X23)-1)</f>
        <v>-0.11420725304902657</v>
      </c>
      <c r="AD64" s="330">
        <f>((AD23/Y23)-1)</f>
        <v>-0.16095445298372557</v>
      </c>
      <c r="AE64" s="330">
        <f>((AE23/Z23)-1)</f>
        <v>-0.19058510552013863</v>
      </c>
      <c r="AG64" s="330">
        <f>((AG23/AB23)-1)</f>
        <v>2.423617619494145E-2</v>
      </c>
      <c r="AH64" s="330">
        <f>((AH23/AC23)-1)</f>
        <v>-0.14476763624206068</v>
      </c>
      <c r="AI64" s="330">
        <f>((AI23/AD23)-1)</f>
        <v>9.2539273627318286E-2</v>
      </c>
      <c r="AJ64" s="330">
        <f>((AJ23/AE23)-1)</f>
        <v>-0.20877590284179759</v>
      </c>
      <c r="AL64" s="330">
        <f>((AL23/AG23)-1)</f>
        <v>0.11375656534231271</v>
      </c>
      <c r="AM64" s="330">
        <f>((AM23/AH23)-1)</f>
        <v>0.24492382780107702</v>
      </c>
      <c r="AN64" s="330">
        <f>((AN23/AI23)-1)</f>
        <v>3.7249371985144997E-2</v>
      </c>
      <c r="AO64" s="330">
        <f>((AO23/AJ23)-1)</f>
        <v>0.37043603804409964</v>
      </c>
      <c r="AQ64" s="330">
        <f>((AQ23/AL23)-1)</f>
        <v>3.6313445833811686E-2</v>
      </c>
      <c r="AR64" s="330">
        <f>((AR23/AM23)-1)</f>
        <v>0.18105605724671547</v>
      </c>
      <c r="AS64" s="330">
        <f>((AS23/AN23)-1)</f>
        <v>5.3530102222750386</v>
      </c>
      <c r="AT64" s="330">
        <f>((AT23/AO23)-1)</f>
        <v>0.12501501695760919</v>
      </c>
      <c r="AV64" s="330">
        <f>((AV23/AQ23)-1)</f>
        <v>9.9573483010668706E-3</v>
      </c>
      <c r="AW64" s="330">
        <f>((AW23/AR23)-1)</f>
        <v>3.6707596119758712E-2</v>
      </c>
      <c r="AX64" s="330">
        <f>((AX23/AS23)-1)</f>
        <v>-0.81728927483085156</v>
      </c>
      <c r="AY64" s="330">
        <f>((AY23/AT23)-1)</f>
        <v>-0.14619801378358432</v>
      </c>
      <c r="BA64" s="330">
        <f>((BA23/AV23)-1)</f>
        <v>5.1619385528361095E-2</v>
      </c>
      <c r="BB64" s="330">
        <f>((BB23/AW23)-1)</f>
        <v>-0.2279827779159409</v>
      </c>
      <c r="BC64" s="330">
        <f>((BC23/AX23)-1)</f>
        <v>-0.3045670984588621</v>
      </c>
      <c r="BD64" s="330">
        <f>((BD23/AY23)-1)</f>
        <v>-0.37348110947557034</v>
      </c>
      <c r="BF64" s="330">
        <f>((BF23/BA23)-1)</f>
        <v>-0.10339628274986923</v>
      </c>
      <c r="BG64" s="330">
        <f>((BG23/BB23)-1)</f>
        <v>-0.16669518910375736</v>
      </c>
      <c r="BH64" s="330">
        <f>((BH23/BC23)-1)</f>
        <v>-0.35525492361494382</v>
      </c>
      <c r="BI64" s="330">
        <f>((BI23/BD23)-1)</f>
        <v>0.56109396354478935</v>
      </c>
      <c r="BK64" s="330">
        <f>((BK23/BF23)-1)</f>
        <v>0.16373898999317338</v>
      </c>
      <c r="BL64" s="330">
        <f>((BL23/BG23)-1)</f>
        <v>0.27713885331851174</v>
      </c>
      <c r="BM64" s="330">
        <f>((BM23/BH23)-1)</f>
        <v>0.45970481600959356</v>
      </c>
      <c r="BN64" s="330">
        <f>((BN23/BI23)-1)</f>
        <v>0.17813299232736668</v>
      </c>
      <c r="BP64" s="330">
        <f>((BP23/BK23)-1)</f>
        <v>-7.4542514987194775E-2</v>
      </c>
      <c r="BQ64" s="330">
        <f>((BQ23/BL23)-1)</f>
        <v>0.26922312923882963</v>
      </c>
      <c r="BR64" s="330">
        <f>((BR23/BM23)-1)</f>
        <v>0.98067746225455465</v>
      </c>
      <c r="BS64" s="330">
        <f>((BS23/BN23)-1)</f>
        <v>0.57804607202197489</v>
      </c>
      <c r="BU64" s="330">
        <f>((BU23/BP23)-1)</f>
        <v>1.3083499528469629</v>
      </c>
      <c r="BV64" s="330">
        <f>((BV23/BQ23)-1)</f>
        <v>0.41120575938471404</v>
      </c>
      <c r="BW64" s="330">
        <f>((BW23/BR23)-1)</f>
        <v>0.34704174730439541</v>
      </c>
      <c r="BX64" s="330">
        <f>((BX23/BS23)-1)</f>
        <v>0.32085544520928422</v>
      </c>
      <c r="BZ64" s="330">
        <f>((BZ23/BU23)-1)</f>
        <v>0.24317029555759317</v>
      </c>
      <c r="CA64" s="330">
        <f>((CA23/BV23)-1)</f>
        <v>0.33450044096600506</v>
      </c>
      <c r="CB64" s="330">
        <f>((CB23/BW23)-1)</f>
        <v>0.26906753260080829</v>
      </c>
      <c r="CC64" s="330">
        <f>((CC23/BX23)-1)</f>
        <v>0.27714776701129207</v>
      </c>
      <c r="CE64" s="330">
        <f>((CE23/BZ23)-1)</f>
        <v>0.20590025805547962</v>
      </c>
      <c r="CF64" s="330">
        <f>((CF23/CA23)-1)</f>
        <v>0.20750938871454805</v>
      </c>
      <c r="CG64" s="330">
        <f>((CG23/CB23)-1)</f>
        <v>0.34343556864783698</v>
      </c>
      <c r="CH64" s="330">
        <f>((CH23/CC23)-1)</f>
        <v>0.21333872804087406</v>
      </c>
      <c r="CJ64" s="330">
        <f>((CJ23/CE23)-1)</f>
        <v>0.1658922971077299</v>
      </c>
      <c r="CK64" s="330">
        <f>((CK23/CF23)-1)</f>
        <v>1.5599703736718595E-2</v>
      </c>
      <c r="CL64" s="330">
        <f>((CL23/CG23)-1)</f>
        <v>0.10803606361435802</v>
      </c>
      <c r="CM64" s="330">
        <f>((CM23/CH23)-1)</f>
        <v>-7.367196587824254E-3</v>
      </c>
      <c r="CO64" s="330">
        <f>((CO23/CJ23)-1)</f>
        <v>-9.1853117779370108E-2</v>
      </c>
      <c r="CP64" s="330">
        <f>((CP23/CK23)-1)</f>
        <v>-0.13196125126656144</v>
      </c>
      <c r="CQ64" s="330">
        <f>((CQ23/CL23)-1)</f>
        <v>-0.50507339445981403</v>
      </c>
      <c r="CR64" s="330">
        <f>((CR23/CM23)-1)</f>
        <v>-0.59375</v>
      </c>
      <c r="CS64" s="258"/>
      <c r="CT64" s="330">
        <f>((CT23/CO23)-1)</f>
        <v>-0.38396624472573837</v>
      </c>
      <c r="CU64" s="330">
        <f>((CU23/CP23)-1)</f>
        <v>-0.23420074349442377</v>
      </c>
      <c r="CV64" s="330">
        <f>((CV23/CQ23)-1)</f>
        <v>0.34848021575683408</v>
      </c>
      <c r="CW64" s="330">
        <f>((CW23/CR23)-1)</f>
        <v>0.98717948717948723</v>
      </c>
      <c r="CY64" s="330">
        <f>((CY23/CT23)-1)</f>
        <v>0.5</v>
      </c>
      <c r="CZ64" s="330">
        <f>((CZ23/CU23)-1)</f>
        <v>0.32038834951456319</v>
      </c>
      <c r="DA64" s="330">
        <f>((DA23/CV23)-1)</f>
        <v>0.28488372093023262</v>
      </c>
      <c r="DB64" s="330">
        <f>((DB23/CW23)-1)</f>
        <v>0.30967741935483861</v>
      </c>
      <c r="DC64" s="249"/>
      <c r="DD64" s="330">
        <f>((DD23/CY23)-1)</f>
        <v>0.24200913242009126</v>
      </c>
      <c r="DE64" s="330">
        <f>((DE23/CZ23)-1)</f>
        <v>0.17647058823529416</v>
      </c>
      <c r="DF64" s="330">
        <f>((DF23/DA23)-1)</f>
        <v>8.5972850678732948E-2</v>
      </c>
      <c r="DG64" s="330">
        <f>((DG23/DB23)-1)</f>
        <v>2.7093596059113212E-2</v>
      </c>
      <c r="DH64" s="249"/>
      <c r="DI64" s="330">
        <f>((DI23/DD23)-1)</f>
        <v>2.9411764705882248E-2</v>
      </c>
      <c r="DJ64" s="330">
        <f>((DJ23/DE23)-1)</f>
        <v>-9.375E-2</v>
      </c>
      <c r="DK64" s="330">
        <f>((DK23/DF23)-1)</f>
        <v>0.15416666666666656</v>
      </c>
      <c r="DL64" s="330">
        <f>((DL23/DG23)-1)</f>
        <v>0.19424460431654667</v>
      </c>
      <c r="DM64" s="249"/>
      <c r="DN64" s="330">
        <f>((DN23/DI23)-1)</f>
        <v>-1.7857142857142905E-2</v>
      </c>
      <c r="DO64" s="330">
        <f>((DO23/DJ23)-1)</f>
        <v>0.15517241379310343</v>
      </c>
      <c r="DP64" s="330">
        <f>((DP23/DK23)-1)</f>
        <v>-8.6642599277978349E-2</v>
      </c>
      <c r="DQ64" s="330">
        <f>((DQ23/DL23)-1)</f>
        <v>-2.2088353413654671E-2</v>
      </c>
      <c r="DR64" s="249"/>
      <c r="DS64" s="330">
        <f>((DS23/DN23)-1)</f>
        <v>-3.6363636363636376E-2</v>
      </c>
      <c r="DT64" s="330">
        <f>((DT23/DO23)-1)</f>
        <v>-1.1940298507462699E-2</v>
      </c>
      <c r="DU64" s="330">
        <f>((DU23/DP23)-1)</f>
        <v>3.5573122529644285E-2</v>
      </c>
      <c r="DV64" s="330">
        <f>((DV23/DQ23)-1)</f>
        <v>-4.5174537987679675E-2</v>
      </c>
      <c r="DW64" s="249"/>
      <c r="DX64" s="330">
        <f>((DX23/DS23)-1)</f>
        <v>-7.547169811320753E-2</v>
      </c>
      <c r="DY64" s="330">
        <f>((DY23/DT23)-1)</f>
        <v>-1.5105740181268867E-2</v>
      </c>
      <c r="DZ64" s="330">
        <f>((DZ23/DU23)-1)</f>
        <v>-0.29007633587786263</v>
      </c>
      <c r="EA64" s="330">
        <f>((EA23/DV23)-1)</f>
        <v>-0.19999999999999996</v>
      </c>
      <c r="EB64" s="249"/>
      <c r="EC64" s="330">
        <f>((EC23/DX23)-1)</f>
        <v>-0.56734693877551012</v>
      </c>
      <c r="ED64" s="330">
        <f>((ED23/DY23)-1)</f>
        <v>-0.32208588957055218</v>
      </c>
      <c r="EE64" s="330">
        <f>((EE23/DZ23)-1)</f>
        <v>0.35483870967741926</v>
      </c>
      <c r="EF64" s="330">
        <f>((EF23/EA23)-1)</f>
        <v>0.13978494623655924</v>
      </c>
      <c r="EG64" s="249"/>
      <c r="EH64" s="330">
        <f>((EH23/EC23)-1)</f>
        <v>0.42452830188679247</v>
      </c>
      <c r="EI64" s="330">
        <f>((EI23/ED23)-1)</f>
        <v>-1.8099547511312264E-2</v>
      </c>
      <c r="EJ64" s="330">
        <f>((EJ23/EE23)-1)</f>
        <v>-0.17460317460317465</v>
      </c>
      <c r="EK64" s="330">
        <f>((EK23/EF23)-1)</f>
        <v>-0.17452830188679247</v>
      </c>
      <c r="EL64" s="330"/>
      <c r="EM64" s="330">
        <f>((EM23/EH23)-1)</f>
        <v>-0.19411817753438454</v>
      </c>
      <c r="EN64" s="330">
        <f>((EN23/EI23)-1)</f>
        <v>-0.13959294082219242</v>
      </c>
      <c r="EO64" s="330">
        <f>((EO23/EJ23)-1)</f>
        <v>-5.0214710737181645E-2</v>
      </c>
      <c r="EP64" s="330">
        <f>((EP23/EK23)-1)</f>
        <v>-2.3474824355971702E-2</v>
      </c>
      <c r="EQ64" s="330"/>
      <c r="ER64" s="277"/>
      <c r="ES64" s="330"/>
      <c r="ET64" s="330">
        <f t="shared" ref="ET64:FV64" si="32">((ET23/ES23)-1)</f>
        <v>0.15518512735096235</v>
      </c>
      <c r="EU64" s="330">
        <f t="shared" si="32"/>
        <v>2.7065083113987143E-2</v>
      </c>
      <c r="EV64" s="330">
        <f t="shared" si="32"/>
        <v>-1.8151640228276977E-2</v>
      </c>
      <c r="EW64" s="330">
        <f t="shared" si="32"/>
        <v>0.36363027062450692</v>
      </c>
      <c r="EX64" s="330">
        <f t="shared" si="32"/>
        <v>-0.15013297944962489</v>
      </c>
      <c r="EY64" s="330">
        <f t="shared" si="32"/>
        <v>-9.1039069528337513E-2</v>
      </c>
      <c r="EZ64" s="330">
        <f t="shared" si="32"/>
        <v>0.20698821159046221</v>
      </c>
      <c r="FA64" s="330">
        <f t="shared" si="32"/>
        <v>0.12695665416165336</v>
      </c>
      <c r="FB64" s="330">
        <f t="shared" si="32"/>
        <v>-6.8266747051832777E-3</v>
      </c>
      <c r="FC64" s="330">
        <f t="shared" si="32"/>
        <v>-0.31297244542592817</v>
      </c>
      <c r="FD64" s="330">
        <f t="shared" si="32"/>
        <v>6.456490195107456E-2</v>
      </c>
      <c r="FE64" s="330">
        <f t="shared" si="32"/>
        <v>0.18312071149016451</v>
      </c>
      <c r="FF64" s="330">
        <f t="shared" si="32"/>
        <v>0.47904981056081519</v>
      </c>
      <c r="FG64" s="330">
        <f t="shared" si="32"/>
        <v>0.48164639643784035</v>
      </c>
      <c r="FH64" s="330">
        <f t="shared" si="32"/>
        <v>0.28361164234049863</v>
      </c>
      <c r="FI64" s="332">
        <f t="shared" si="32"/>
        <v>0.23448284758195825</v>
      </c>
      <c r="FJ64" s="332">
        <f t="shared" si="32"/>
        <v>5.5878078492804573E-2</v>
      </c>
      <c r="FK64" s="330">
        <f t="shared" si="32"/>
        <v>-0.35711481780201282</v>
      </c>
      <c r="FL64" s="330">
        <f t="shared" si="32"/>
        <v>6.9846616834562614E-2</v>
      </c>
      <c r="FM64" s="332">
        <f t="shared" si="32"/>
        <v>0.34052757793764998</v>
      </c>
      <c r="FN64" s="330">
        <f t="shared" si="32"/>
        <v>0.11717352415026827</v>
      </c>
      <c r="FO64" s="330">
        <f t="shared" si="32"/>
        <v>7.686148919135305E-2</v>
      </c>
      <c r="FP64" s="330">
        <f t="shared" si="32"/>
        <v>3.7174721189590088E-3</v>
      </c>
      <c r="FQ64" s="330">
        <f t="shared" si="32"/>
        <v>-2.0000000000000018E-2</v>
      </c>
      <c r="FR64" s="330">
        <f t="shared" si="32"/>
        <v>-0.1466364323507181</v>
      </c>
      <c r="FS64" s="330">
        <f>((FS23/FR23)-1)</f>
        <v>-0.11160318866253327</v>
      </c>
      <c r="FT64" s="330">
        <f>((FT23/FS23)-1)</f>
        <v>-7.6769690927218304E-2</v>
      </c>
      <c r="FU64" s="330">
        <f t="shared" si="32"/>
        <v>-8.451874873005516E-2</v>
      </c>
      <c r="FV64" s="330">
        <f t="shared" si="32"/>
        <v>-4.1139949492237093E-2</v>
      </c>
      <c r="FW64" s="333">
        <f>((FW23/FV23)-1)</f>
        <v>-3.8293456889219146E-2</v>
      </c>
      <c r="FX64" s="330">
        <f>((FX23/FW23)-1)</f>
        <v>-3.978202151630672E-2</v>
      </c>
      <c r="FY64" s="333">
        <f>((FY23/FX23)-1)</f>
        <v>-2.5335311753944434E-2</v>
      </c>
      <c r="FZ64" s="330"/>
      <c r="GA64" s="330"/>
      <c r="GB64" s="330"/>
      <c r="GC64" s="330"/>
      <c r="GD64" s="330"/>
    </row>
    <row r="65" spans="1:186" x14ac:dyDescent="0.2">
      <c r="A65" s="276" t="s">
        <v>166</v>
      </c>
      <c r="C65" s="330"/>
      <c r="D65" s="330"/>
      <c r="E65" s="330"/>
      <c r="F65" s="330"/>
      <c r="H65" s="330">
        <f>((H37/C37)-1)</f>
        <v>0.93800847903096396</v>
      </c>
      <c r="I65" s="330">
        <f>((I37/D37)-1)</f>
        <v>0.41236351773231883</v>
      </c>
      <c r="J65" s="330">
        <f>((J37/E37)-1)</f>
        <v>-5.1229759205312919E-2</v>
      </c>
      <c r="K65" s="330">
        <f>((K37/F37)-1)</f>
        <v>-0.13200145575885125</v>
      </c>
      <c r="M65" s="330">
        <f>((M37/H37)-1)</f>
        <v>-0.16000831038399688</v>
      </c>
      <c r="N65" s="330">
        <f>((N37/I37)-1)</f>
        <v>-0.16580028493203613</v>
      </c>
      <c r="O65" s="330">
        <f>((O37/J37)-1)</f>
        <v>0.20471007900940674</v>
      </c>
      <c r="P65" s="330">
        <f>((P37/K37)-1)</f>
        <v>0.32119095990411606</v>
      </c>
      <c r="R65" s="330">
        <f>((R37/M37)-1)</f>
        <v>-0.47709104829631532</v>
      </c>
      <c r="S65" s="330">
        <f>((S37/N37)-1)</f>
        <v>2.3396043280658141E-2</v>
      </c>
      <c r="T65" s="330">
        <f>((T37/O37)-1)</f>
        <v>8.6400868009969267E-2</v>
      </c>
      <c r="U65" s="330">
        <f>((U37/P37)-1)</f>
        <v>0.12738072553990509</v>
      </c>
      <c r="W65" s="330">
        <f>((W37/R37)-1)</f>
        <v>1.8275139924785497</v>
      </c>
      <c r="X65" s="330">
        <f>((X37/S37)-1)</f>
        <v>0.47372363421674812</v>
      </c>
      <c r="Y65" s="330">
        <f>((Y37/T37)-1)</f>
        <v>0.491134592928681</v>
      </c>
      <c r="Z65" s="330">
        <f>((Z37/U37)-1)</f>
        <v>0.14292995228787597</v>
      </c>
      <c r="AB65" s="330">
        <f>((AB37/W37)-1)</f>
        <v>-0.13684284331925445</v>
      </c>
      <c r="AC65" s="330">
        <f>((AC37/X37)-1)</f>
        <v>-0.1467310880886854</v>
      </c>
      <c r="AD65" s="330">
        <f>((AD37/Y37)-1)</f>
        <v>-0.22553318559338131</v>
      </c>
      <c r="AE65" s="330">
        <f>((AE37/Z37)-1)</f>
        <v>-0.21570957692486425</v>
      </c>
      <c r="AG65" s="330">
        <f>((AG37/AB37)-1)</f>
        <v>1.2772002718670628E-3</v>
      </c>
      <c r="AH65" s="330">
        <f>((AH37/AC37)-1)</f>
        <v>-0.15758309047944807</v>
      </c>
      <c r="AI65" s="330">
        <f>((AI37/AD37)-1)</f>
        <v>0.17389408345427859</v>
      </c>
      <c r="AJ65" s="330">
        <f>((AJ37/AE37)-1)</f>
        <v>-0.19860563096254757</v>
      </c>
      <c r="AL65" s="330">
        <f>((AL37/AG37)-1)</f>
        <v>0.22188268650322329</v>
      </c>
      <c r="AM65" s="330">
        <f>((AM37/AH37)-1)</f>
        <v>0.3785602747924619</v>
      </c>
      <c r="AN65" s="330">
        <f>((AN37/AI37)-1)</f>
        <v>0.1104251411982613</v>
      </c>
      <c r="AO65" s="330">
        <f>((AO37/AJ37)-1)</f>
        <v>0.42967869692889749</v>
      </c>
      <c r="AQ65" s="330">
        <f>((AQ37/AL37)-1)</f>
        <v>4.2068456088075523E-2</v>
      </c>
      <c r="AR65" s="330">
        <f>((AR37/AM37)-1)</f>
        <v>0.21895936383694625</v>
      </c>
      <c r="AS65" s="330">
        <f>((AS37/AN37)-1)</f>
        <v>10.511174535165853</v>
      </c>
      <c r="AT65" s="330">
        <f>((AT37/AO37)-1)</f>
        <v>0.22259589626530962</v>
      </c>
      <c r="AV65" s="330">
        <f>((AV37/AQ37)-1)</f>
        <v>2.8379033932573572E-2</v>
      </c>
      <c r="AW65" s="330">
        <f>((AW37/AR37)-1)</f>
        <v>9.094493789705016E-2</v>
      </c>
      <c r="AX65" s="330">
        <f>((AX37/AS37)-1)</f>
        <v>-0.89252759836161721</v>
      </c>
      <c r="AY65" s="330">
        <f>((AY37/AT37)-1)</f>
        <v>-0.22373505103070879</v>
      </c>
      <c r="BA65" s="330">
        <f>((BA37/AV37)-1)</f>
        <v>0.1293074223982984</v>
      </c>
      <c r="BB65" s="330">
        <f>((BB37/AW37)-1)</f>
        <v>-0.21276178480711117</v>
      </c>
      <c r="BC65" s="330">
        <f>((BC37/AX37)-1)</f>
        <v>-0.37633331555476024</v>
      </c>
      <c r="BD65" s="330">
        <f>((BD37/AY37)-1)</f>
        <v>-0.42966883235230302</v>
      </c>
      <c r="BF65" s="330">
        <f>((BF37/BA37)-1)</f>
        <v>-0.62897957386903847</v>
      </c>
      <c r="BG65" s="330">
        <f>((BG37/BB37)-1)</f>
        <v>-0.6383978201611078</v>
      </c>
      <c r="BH65" s="330">
        <f>((BH37/BC37)-1)</f>
        <v>-0.78338548960013787</v>
      </c>
      <c r="BI65" s="330">
        <f>((BI37/BD37)-1)</f>
        <v>-9.0334885828326161E-2</v>
      </c>
      <c r="BK65" s="330">
        <f>((BK37/BF37)-1)</f>
        <v>-1.4470076633473656</v>
      </c>
      <c r="BL65" s="330">
        <f>((BL37/BG37)-1)</f>
        <v>0.19760961972745394</v>
      </c>
      <c r="BM65" s="330">
        <f>((BM37/BH37)-1)</f>
        <v>0.73552479719702069</v>
      </c>
      <c r="BN65" s="330">
        <f>((BN37/BI37)-1)</f>
        <v>0.17517021158762791</v>
      </c>
      <c r="BP65" s="330">
        <f>((BP37/BK37)-1)</f>
        <v>-3.420084112215064</v>
      </c>
      <c r="BQ65" s="330">
        <f>((BQ37/BL37)-1)</f>
        <v>0.40079443760645961</v>
      </c>
      <c r="BR65" s="330">
        <f>((BR37/BM37)-1)</f>
        <v>1.4273305997268317</v>
      </c>
      <c r="BS65" s="330">
        <f>((BS37/BN37)-1)</f>
        <v>0.67891220492148574</v>
      </c>
      <c r="BU65" s="330">
        <f>((BU37/BP37)-1)</f>
        <v>1.420800923033561</v>
      </c>
      <c r="BV65" s="330">
        <f>((BV37/BQ37)-1)</f>
        <v>0.54268317957207457</v>
      </c>
      <c r="BW65" s="330">
        <f>((BW37/BR37)-1)</f>
        <v>0.65092170510352232</v>
      </c>
      <c r="BX65" s="330">
        <f>((BX37/BS37)-1)</f>
        <v>0.34443351288877611</v>
      </c>
      <c r="BZ65" s="330">
        <f>((BZ37/BU37)-1)</f>
        <v>0.55141791457600031</v>
      </c>
      <c r="CA65" s="330">
        <f>((CA37/BV37)-1)</f>
        <v>0.43190491909752704</v>
      </c>
      <c r="CB65" s="330">
        <f>((CB37/BW37)-1)</f>
        <v>0.42388894449302161</v>
      </c>
      <c r="CC65" s="330">
        <f>((CC37/BX37)-1)</f>
        <v>0.38445365304391288</v>
      </c>
      <c r="CE65" s="330">
        <f>((CE37/BZ37)-1)</f>
        <v>0.28093887871178724</v>
      </c>
      <c r="CF65" s="330">
        <f>((CF37/CA37)-1)</f>
        <v>0.25870888498762157</v>
      </c>
      <c r="CG65" s="330">
        <f>((CG37/CB37)-1)</f>
        <v>0.33935582481464333</v>
      </c>
      <c r="CH65" s="330">
        <f>((CH37/CC37)-1)</f>
        <v>0.28307409052254595</v>
      </c>
      <c r="CJ65" s="330">
        <f>((CJ37/CE37)-1)</f>
        <v>0.24085913466995112</v>
      </c>
      <c r="CK65" s="330">
        <f>((CK37/CF37)-1)</f>
        <v>5.3132947364991079E-2</v>
      </c>
      <c r="CL65" s="330">
        <f>((CL37/CG37)-1)</f>
        <v>0.13515678566444977</v>
      </c>
      <c r="CM65" s="330">
        <f>((CM37/CH37)-1)</f>
        <v>3.1346019502548561E-2</v>
      </c>
      <c r="CO65" s="330">
        <f>((CO37/CJ37)-1)</f>
        <v>-2.5102825618687818E-2</v>
      </c>
      <c r="CP65" s="330">
        <f>((CP37/CK37)-1)</f>
        <v>-7.8674670542549507E-2</v>
      </c>
      <c r="CQ65" s="330">
        <f>((CQ37/CL37)-1)</f>
        <v>-0.49723813059637434</v>
      </c>
      <c r="CR65" s="330">
        <f>((CR37/CM37)-1)</f>
        <v>-0.6567569449279399</v>
      </c>
      <c r="CS65" s="258"/>
      <c r="CT65" s="330">
        <f>((CT37/CO37)-1)</f>
        <v>-0.4624419674375817</v>
      </c>
      <c r="CU65" s="330">
        <f>((CU37/CP37)-1)</f>
        <v>-0.26338515232482329</v>
      </c>
      <c r="CV65" s="330">
        <f>((CV37/CQ37)-1)</f>
        <v>0.27065734201293923</v>
      </c>
      <c r="CW65" s="330">
        <f>((CW37/CR37)-1)</f>
        <v>1.4735068587651572</v>
      </c>
      <c r="CY65" s="330">
        <f>((CY37/CT37)-1)</f>
        <v>0.66753068133728322</v>
      </c>
      <c r="CZ65" s="330">
        <f>((CZ37/CU37)-1)</f>
        <v>0.36551252457895189</v>
      </c>
      <c r="DA65" s="330">
        <f>((DA37/CV37)-1)</f>
        <v>0.42213618519019902</v>
      </c>
      <c r="DB65" s="330">
        <f>((DB37/CW37)-1)</f>
        <v>0.34157563617014586</v>
      </c>
      <c r="DC65" s="249"/>
      <c r="DD65" s="330">
        <f>((DD37/CY37)-1)</f>
        <v>0.24496193461710702</v>
      </c>
      <c r="DE65" s="330">
        <f>((DE37/CZ37)-1)</f>
        <v>0.21333391422329839</v>
      </c>
      <c r="DF65" s="330">
        <f>((DF37/DA37)-1)</f>
        <v>0.10445573578268519</v>
      </c>
      <c r="DG65" s="330">
        <f>((DG37/DB37)-1)</f>
        <v>6.8031575356928276E-2</v>
      </c>
      <c r="DH65" s="249"/>
      <c r="DI65" s="330">
        <f>((DI37/DD37)-1)</f>
        <v>8.543046357615891E-2</v>
      </c>
      <c r="DJ65" s="330">
        <f>((DJ37/DE37)-1)</f>
        <v>-5.9878157300294332E-2</v>
      </c>
      <c r="DK65" s="330">
        <f>((DK37/DF37)-1)</f>
        <v>0.20745165769764862</v>
      </c>
      <c r="DL65" s="330">
        <f>((DL37/DG37)-1)</f>
        <v>0.26225128960943245</v>
      </c>
      <c r="DM65" s="249"/>
      <c r="DN65" s="330">
        <f>((DN37/DI37)-1)</f>
        <v>3.3793126707362342E-2</v>
      </c>
      <c r="DO65" s="330">
        <f>((DO37/DJ37)-1)</f>
        <v>0.23822421709745645</v>
      </c>
      <c r="DP65" s="330">
        <f>((DP37/DK37)-1)</f>
        <v>-2.6449534468753089E-2</v>
      </c>
      <c r="DQ65" s="330">
        <f>((DQ37/DL37)-1)</f>
        <v>-2.4529197657857216E-2</v>
      </c>
      <c r="DR65" s="249"/>
      <c r="DS65" s="330">
        <f>((DS37/DN37)-1)</f>
        <v>-2.9168083316930549E-3</v>
      </c>
      <c r="DT65" s="330">
        <f>((DT37/DO37)-1)</f>
        <v>2.6048599986462362E-2</v>
      </c>
      <c r="DU65" s="330">
        <f>((DU37/DP37)-1)</f>
        <v>5.033759592710485E-2</v>
      </c>
      <c r="DV65" s="330">
        <f>((DV37/DQ37)-1)</f>
        <v>-3.8787140507554829E-2</v>
      </c>
      <c r="DW65" s="249"/>
      <c r="DX65" s="330">
        <f>((DX37/DS37)-1)</f>
        <v>-9.6034596496371805E-2</v>
      </c>
      <c r="DY65" s="330">
        <f>((DY37/DT37)-1)</f>
        <v>-1.6433035399104789E-2</v>
      </c>
      <c r="DZ65" s="330">
        <f>((DZ37/DU37)-1)</f>
        <v>-0.21875161055196846</v>
      </c>
      <c r="EA65" s="330">
        <f>((EA37/DV37)-1)</f>
        <v>-0.10826455499757959</v>
      </c>
      <c r="EB65" s="249"/>
      <c r="EC65" s="330">
        <f>((EC37/DX37)-1)</f>
        <v>-0.60135351451337504</v>
      </c>
      <c r="ED65" s="330">
        <f>((ED37/DY37)-1)</f>
        <v>-0.28340937042704428</v>
      </c>
      <c r="EE65" s="330">
        <f>((EE37/DZ37)-1)</f>
        <v>0.49755817275642045</v>
      </c>
      <c r="EF65" s="330">
        <f>((EF37/EA37)-1)</f>
        <v>0.16429162057967606</v>
      </c>
      <c r="EG65" s="249"/>
      <c r="EH65" s="330">
        <f>((EH37/EC37)-1)</f>
        <v>0.42301956650296968</v>
      </c>
      <c r="EI65" s="330">
        <f>((EI37/ED37)-1)</f>
        <v>-2.4677268000710129E-2</v>
      </c>
      <c r="EJ65" s="330">
        <f>((EJ37/EE37)-1)</f>
        <v>-0.20918093266242599</v>
      </c>
      <c r="EK65" s="330">
        <f>((EK37/EF37)-1)</f>
        <v>-0.16441373966942174</v>
      </c>
      <c r="EL65" s="330"/>
      <c r="EM65" s="330">
        <f>((EM37/EH37)-1)</f>
        <v>0.12398078039378824</v>
      </c>
      <c r="EN65" s="330">
        <f>((EN37/EI37)-1)</f>
        <v>8.0350057629870353E-2</v>
      </c>
      <c r="EO65" s="330">
        <f>((EO37/EJ37)-1)</f>
        <v>0.1601732792767836</v>
      </c>
      <c r="EP65" s="330">
        <f>((EP37/EK37)-1)</f>
        <v>0.23854655107051315</v>
      </c>
      <c r="EQ65" s="330"/>
      <c r="ER65" s="277"/>
      <c r="ES65" s="330"/>
      <c r="ET65" s="330">
        <f t="shared" ref="ET65:FV65" si="33">((ET37/ES37)-1)</f>
        <v>0.16942899835564207</v>
      </c>
      <c r="EU65" s="330">
        <f t="shared" si="33"/>
        <v>3.4745720803396107E-2</v>
      </c>
      <c r="EV65" s="330">
        <f t="shared" si="33"/>
        <v>-2.7692044099123514E-3</v>
      </c>
      <c r="EW65" s="330">
        <f t="shared" si="33"/>
        <v>0.44362293532598196</v>
      </c>
      <c r="EX65" s="330">
        <f t="shared" si="33"/>
        <v>-0.1852334373474368</v>
      </c>
      <c r="EY65" s="330">
        <f t="shared" si="33"/>
        <v>-8.5890340470758164E-2</v>
      </c>
      <c r="EZ65" s="330">
        <f t="shared" si="33"/>
        <v>0.30288468617425512</v>
      </c>
      <c r="FA65" s="330">
        <f t="shared" si="33"/>
        <v>0.17281146154059779</v>
      </c>
      <c r="FB65" s="330">
        <f t="shared" si="33"/>
        <v>3.6945512000128966E-2</v>
      </c>
      <c r="FC65" s="330">
        <f t="shared" si="33"/>
        <v>-0.46805966558562317</v>
      </c>
      <c r="FD65" s="330">
        <f t="shared" si="33"/>
        <v>-0.40242690959258831</v>
      </c>
      <c r="FE65" s="330">
        <f t="shared" si="33"/>
        <v>-0.28381951932556937</v>
      </c>
      <c r="FF65" s="330">
        <f t="shared" si="33"/>
        <v>1.6535012857238054</v>
      </c>
      <c r="FG65" s="330">
        <f t="shared" si="33"/>
        <v>0.56868930497267001</v>
      </c>
      <c r="FH65" s="330">
        <f t="shared" si="33"/>
        <v>0.43456343703758948</v>
      </c>
      <c r="FI65" s="332">
        <f t="shared" si="33"/>
        <v>0.28586835784741771</v>
      </c>
      <c r="FJ65" s="332">
        <f t="shared" si="33"/>
        <v>9.2678359183555159E-2</v>
      </c>
      <c r="FK65" s="330">
        <f t="shared" si="33"/>
        <v>-0.35386732219097261</v>
      </c>
      <c r="FL65" s="330">
        <f t="shared" si="33"/>
        <v>8.1690715334405306E-2</v>
      </c>
      <c r="FM65" s="332">
        <f t="shared" si="33"/>
        <v>0.41294485918345503</v>
      </c>
      <c r="FN65" s="330">
        <f t="shared" si="33"/>
        <v>0.13965755928317791</v>
      </c>
      <c r="FO65" s="330">
        <f t="shared" si="33"/>
        <v>0.13327344359278959</v>
      </c>
      <c r="FP65" s="330">
        <f t="shared" si="33"/>
        <v>4.4101039505331618E-2</v>
      </c>
      <c r="FQ65" s="330">
        <f t="shared" si="33"/>
        <v>2.3958075303442961E-3</v>
      </c>
      <c r="FR65" s="330">
        <f t="shared" si="33"/>
        <v>-0.10846901921669261</v>
      </c>
      <c r="FS65" s="330">
        <f t="shared" si="33"/>
        <v>-5.0565106570250151E-2</v>
      </c>
      <c r="FT65" s="330">
        <f t="shared" si="33"/>
        <v>-9.7640949716867098E-2</v>
      </c>
      <c r="FU65" s="330">
        <f t="shared" si="33"/>
        <v>0.16001518596586028</v>
      </c>
      <c r="FV65" s="330">
        <f t="shared" si="33"/>
        <v>-1.3742712726792172E-2</v>
      </c>
      <c r="FW65" s="333">
        <f>((FW37/FV37)-1)</f>
        <v>-1.5914190852700294E-2</v>
      </c>
      <c r="FX65" s="330">
        <f>((FX37/FW37)-1)</f>
        <v>-1.7106429234581944E-2</v>
      </c>
      <c r="FY65" s="333">
        <f>((FY37/FX37)-1)</f>
        <v>8.0638381896691591E-4</v>
      </c>
      <c r="FZ65" s="330"/>
      <c r="GA65" s="330"/>
      <c r="GB65" s="330"/>
      <c r="GC65" s="330"/>
      <c r="GD65" s="330"/>
    </row>
    <row r="66" spans="1:186" x14ac:dyDescent="0.2">
      <c r="A66" s="305" t="s">
        <v>169</v>
      </c>
      <c r="B66" s="240"/>
      <c r="C66" s="340"/>
      <c r="D66" s="340"/>
      <c r="E66" s="340"/>
      <c r="F66" s="340"/>
      <c r="G66" s="240"/>
      <c r="H66" s="340" t="str">
        <f>IF(ISERROR(H47/C47-1),"NA ",H47/C47-1)</f>
        <v xml:space="preserve">NA </v>
      </c>
      <c r="I66" s="340" t="str">
        <f>IF(ISERROR(I47/D47-1),"NA ",I47/D47-1)</f>
        <v xml:space="preserve">NA </v>
      </c>
      <c r="J66" s="340" t="str">
        <f>IF(ISERROR(J47/E47-1),"NA ",J47/E47-1)</f>
        <v xml:space="preserve">NA </v>
      </c>
      <c r="K66" s="340" t="str">
        <f>IF(ISERROR(K47/F47-1),"NA ",K47/F47-1)</f>
        <v xml:space="preserve">NA </v>
      </c>
      <c r="L66" s="240"/>
      <c r="M66" s="340" t="str">
        <f>IF(ISERROR(M47/H47-1),"NA ",M47/H47-1)</f>
        <v xml:space="preserve">NA </v>
      </c>
      <c r="N66" s="340" t="str">
        <f>IF(ISERROR(N47/I47-1),"NA ",N47/I47-1)</f>
        <v xml:space="preserve">NA </v>
      </c>
      <c r="O66" s="340" t="str">
        <f>IF(ISERROR(O47/J47-1),"NA ",O47/J47-1)</f>
        <v xml:space="preserve">NA </v>
      </c>
      <c r="P66" s="340" t="str">
        <f>IF(ISERROR(P47/K47-1),"NA ",P47/K47-1)</f>
        <v xml:space="preserve">NA </v>
      </c>
      <c r="Q66" s="240"/>
      <c r="R66" s="340" t="str">
        <f>IF(ISERROR(R47/M47-1),"NA ",R47/M47-1)</f>
        <v xml:space="preserve">NA </v>
      </c>
      <c r="S66" s="340" t="str">
        <f>IF(ISERROR(S47/N47-1),"NA ",S47/N47-1)</f>
        <v xml:space="preserve">NA </v>
      </c>
      <c r="T66" s="340" t="str">
        <f>IF(ISERROR(T47/O47-1),"NA ",T47/O47-1)</f>
        <v xml:space="preserve">NA </v>
      </c>
      <c r="U66" s="340" t="str">
        <f>IF(ISERROR(U47/P47-1),"NA ",U47/P47-1)</f>
        <v xml:space="preserve">NA </v>
      </c>
      <c r="V66" s="240"/>
      <c r="W66" s="340" t="str">
        <f>IF(ISERROR(W47/R47-1),"NA ",W47/R47-1)</f>
        <v xml:space="preserve">NA </v>
      </c>
      <c r="X66" s="340" t="str">
        <f>IF(ISERROR(X47/S47-1),"NA ",X47/S47-1)</f>
        <v xml:space="preserve">NA </v>
      </c>
      <c r="Y66" s="340" t="str">
        <f>IF(ISERROR(Y47/T47-1),"NA ",Y47/T47-1)</f>
        <v xml:space="preserve">NA </v>
      </c>
      <c r="Z66" s="340" t="str">
        <f>IF(ISERROR(Z47/U47-1),"NA ",Z47/U47-1)</f>
        <v xml:space="preserve">NA </v>
      </c>
      <c r="AA66" s="240"/>
      <c r="AB66" s="340" t="str">
        <f>IF(ISERROR(AB47/W47-1),"NA ",AB47/W47-1)</f>
        <v xml:space="preserve">NA </v>
      </c>
      <c r="AC66" s="340" t="str">
        <f>IF(ISERROR(AC47/X47-1),"NA ",AC47/X47-1)</f>
        <v xml:space="preserve">NA </v>
      </c>
      <c r="AD66" s="340" t="str">
        <f>IF(ISERROR(AD47/Y47-1),"NA ",AD47/Y47-1)</f>
        <v xml:space="preserve">NA </v>
      </c>
      <c r="AE66" s="340" t="str">
        <f>IF(ISERROR(AE47/Z47-1),"NA ",AE47/Z47-1)</f>
        <v xml:space="preserve">NA </v>
      </c>
      <c r="AF66" s="240"/>
      <c r="AG66" s="340" t="str">
        <f>IF(ISERROR(AG47/AB47-1),"NA ",AG47/AB47-1)</f>
        <v xml:space="preserve">NA </v>
      </c>
      <c r="AH66" s="340" t="str">
        <f>IF(ISERROR(AH47/AC47-1),"NA ",AH47/AC47-1)</f>
        <v xml:space="preserve">NA </v>
      </c>
      <c r="AI66" s="340" t="str">
        <f>IF(ISERROR(AI47/AD47-1),"NA ",AI47/AD47-1)</f>
        <v xml:space="preserve">NA </v>
      </c>
      <c r="AJ66" s="340" t="str">
        <f>IF(ISERROR(AJ47/AE47-1),"NA ",AJ47/AE47-1)</f>
        <v xml:space="preserve">NA </v>
      </c>
      <c r="AK66" s="240"/>
      <c r="AL66" s="340" t="str">
        <f>IF(ISERROR(AL47/AG47-1),"NA ",AL47/AG47-1)</f>
        <v xml:space="preserve">NA </v>
      </c>
      <c r="AM66" s="340" t="str">
        <f>IF(ISERROR(AM47/AH47-1),"NA ",AM47/AH47-1)</f>
        <v xml:space="preserve">NA </v>
      </c>
      <c r="AN66" s="340" t="str">
        <f>IF(ISERROR(AN47/AI47-1),"NA ",AN47/AI47-1)</f>
        <v xml:space="preserve">NA </v>
      </c>
      <c r="AO66" s="340" t="str">
        <f>IF(ISERROR(AO47/AJ47-1),"NA ",AO47/AJ47-1)</f>
        <v xml:space="preserve">NA </v>
      </c>
      <c r="AP66" s="240"/>
      <c r="AQ66" s="340" t="str">
        <f>IF(ISERROR(AQ47/AL47-1),"NA ",AQ47/AL47-1)</f>
        <v xml:space="preserve">NA </v>
      </c>
      <c r="AR66" s="340" t="str">
        <f>IF(ISERROR(AR47/AM47-1),"NA ",AR47/AM47-1)</f>
        <v xml:space="preserve">NA </v>
      </c>
      <c r="AS66" s="340" t="str">
        <f>IF(ISERROR(AS47/AN47-1),"NA ",AS47/AN47-1)</f>
        <v xml:space="preserve">NA </v>
      </c>
      <c r="AT66" s="340" t="str">
        <f>IF(ISERROR(AT47/AO47-1),"NA ",AT47/AO47-1)</f>
        <v xml:space="preserve">NA </v>
      </c>
      <c r="AU66" s="240"/>
      <c r="AV66" s="340" t="str">
        <f>IF(ISERROR(AV47/AQ47-1),"NA ",AV47/AQ47-1)</f>
        <v xml:space="preserve">NA </v>
      </c>
      <c r="AW66" s="340" t="str">
        <f>IF(ISERROR(AW47/AR47-1),"NA ",AW47/AR47-1)</f>
        <v xml:space="preserve">NA </v>
      </c>
      <c r="AX66" s="340" t="str">
        <f>IF(ISERROR(AX47/AS47-1),"NA ",AX47/AS47-1)</f>
        <v xml:space="preserve">NA </v>
      </c>
      <c r="AY66" s="340" t="str">
        <f>IF(ISERROR(AY47/AT47-1),"NA ",AY47/AT47-1)</f>
        <v xml:space="preserve">NA </v>
      </c>
      <c r="AZ66" s="240"/>
      <c r="BA66" s="340" t="str">
        <f>IF(ISERROR(BA47/AV47-1),"NA ",BA47/AV47-1)</f>
        <v xml:space="preserve">NA </v>
      </c>
      <c r="BB66" s="340" t="str">
        <f>IF(ISERROR(BB47/AW47-1),"NA ",BB47/AW47-1)</f>
        <v xml:space="preserve">NA </v>
      </c>
      <c r="BC66" s="340" t="str">
        <f>IF(ISERROR(BC47/AX47-1),"NA ",BC47/AX47-1)</f>
        <v xml:space="preserve">NA </v>
      </c>
      <c r="BD66" s="340" t="str">
        <f>IF(ISERROR(BD47/AY47-1),"NA ",BD47/AY47-1)</f>
        <v xml:space="preserve">NA </v>
      </c>
      <c r="BE66" s="240"/>
      <c r="BF66" s="340" t="str">
        <f>IF(ISERROR(BF47/BA47-1),"NA ",BF47/BA47-1)</f>
        <v xml:space="preserve">NA </v>
      </c>
      <c r="BG66" s="340" t="str">
        <f>IF(ISERROR(BG47/BB47-1),"NA ",BG47/BB47-1)</f>
        <v xml:space="preserve">NA </v>
      </c>
      <c r="BH66" s="340" t="str">
        <f>IF(ISERROR(BH47/BC47-1),"NA ",BH47/BC47-1)</f>
        <v xml:space="preserve">NA </v>
      </c>
      <c r="BI66" s="340" t="str">
        <f>IF(ISERROR(BI47/BD47-1),"NA ",BI47/BD47-1)</f>
        <v xml:space="preserve">NA </v>
      </c>
      <c r="BJ66" s="240"/>
      <c r="BK66" s="340" t="str">
        <f>IF(ISERROR(BK47/BF47-1),"NA ",BK47/BF47-1)</f>
        <v xml:space="preserve">NA </v>
      </c>
      <c r="BL66" s="340" t="str">
        <f>IF(ISERROR(BL47/BG47-1),"NA ",BL47/BG47-1)</f>
        <v xml:space="preserve">NA </v>
      </c>
      <c r="BM66" s="340" t="str">
        <f>IF(ISERROR(BM47/BH47-1),"NA ",BM47/BH47-1)</f>
        <v xml:space="preserve">NA </v>
      </c>
      <c r="BN66" s="340" t="str">
        <f>IF(ISERROR(BN47/BI47-1),"NA ",BN47/BI47-1)</f>
        <v xml:space="preserve">NA </v>
      </c>
      <c r="BO66" s="240"/>
      <c r="BP66" s="340">
        <f>IF(ISERROR(BP47/BK47-1),"NA ",BP47/BK47-1)</f>
        <v>2.1431526685975477E-3</v>
      </c>
      <c r="BQ66" s="340">
        <f>IF(ISERROR(BQ47/BL47-1),"NA ",BQ47/BL47-1)</f>
        <v>0.19436455178631418</v>
      </c>
      <c r="BR66" s="340">
        <f>IF(ISERROR(BR47/BM47-1),"NA ",BR47/BM47-1)</f>
        <v>0.50321852169968695</v>
      </c>
      <c r="BS66" s="340">
        <f>IF(ISERROR(BS47/BN47-1),"NA ",BS47/BN47-1)</f>
        <v>0.38476460155588676</v>
      </c>
      <c r="BT66" s="240"/>
      <c r="BU66" s="340">
        <f>IF(ISERROR(BU47/BP47-1),"NA ",BU47/BP47-1)</f>
        <v>0.69733050392621609</v>
      </c>
      <c r="BV66" s="340">
        <f>IF(ISERROR(BV47/BQ47-1),"NA ",BV47/BQ47-1)</f>
        <v>0.31648025686278847</v>
      </c>
      <c r="BW66" s="340">
        <f>IF(ISERROR(BW47/BR47-1),"NA ",BW47/BR47-1)</f>
        <v>0.24174702430631312</v>
      </c>
      <c r="BX66" s="340">
        <f>IF(ISERROR(BX47/BS47-1),"NA ",BX47/BS47-1)</f>
        <v>0.24755036621706661</v>
      </c>
      <c r="BY66" s="240"/>
      <c r="BZ66" s="340">
        <f>IF(ISERROR(BZ47/BU47-1),"NA ",BZ47/BU47-1)</f>
        <v>0.23964059505161361</v>
      </c>
      <c r="CA66" s="340">
        <f>IF(ISERROR(CA47/BV47-1),"NA ",CA47/BV47-1)</f>
        <v>0.29589220314070941</v>
      </c>
      <c r="CB66" s="340">
        <f>IF(ISERROR(CB47/BW47-1),"NA ",CB47/BW47-1)</f>
        <v>0.1160290977525249</v>
      </c>
      <c r="CC66" s="340">
        <f>IF(ISERROR(CC47/BX47-1),"NA ",CC47/BX47-1)</f>
        <v>0.21034318829420773</v>
      </c>
      <c r="CD66" s="240"/>
      <c r="CE66" s="340">
        <f>IF(ISERROR(CE47/BZ47-1),"NA ",CE47/BZ47-1)</f>
        <v>0.15477409809946541</v>
      </c>
      <c r="CF66" s="340">
        <f>IF(ISERROR(CF47/CA47-1),"NA ",CF47/CA47-1)</f>
        <v>0.16331338084124569</v>
      </c>
      <c r="CG66" s="340">
        <f>IF(ISERROR(CG47/CB47-1),"NA ",CG47/CB47-1)</f>
        <v>0.38874450451452103</v>
      </c>
      <c r="CH66" s="340">
        <f>IF(ISERROR(CH47/CC47-1),"NA ",CH47/CC47-1)</f>
        <v>0.12183308674342297</v>
      </c>
      <c r="CI66" s="240"/>
      <c r="CJ66" s="340">
        <f>IF(ISERROR(CJ47/CE47-1),"NA ",CJ47/CE47-1)</f>
        <v>0.12258421887903026</v>
      </c>
      <c r="CK66" s="340">
        <f>IF(ISERROR(CK47/CF47-1),"NA ",CK47/CF47-1)</f>
        <v>1.1747973032696368E-2</v>
      </c>
      <c r="CL66" s="340">
        <f>IF(ISERROR(CL47/CG47-1),"NA ",CL47/CG47-1)</f>
        <v>7.7625403221771139E-2</v>
      </c>
      <c r="CM66" s="340">
        <f>IF(ISERROR(CM47/CH47-1),"NA ",CM47/CH47-1)</f>
        <v>-3.2385072408356086E-2</v>
      </c>
      <c r="CN66" s="240"/>
      <c r="CO66" s="340">
        <f>IF(ISERROR(CO47/CJ47-1),"NA ",CO47/CJ47-1)</f>
        <v>-6.4585950625879907E-2</v>
      </c>
      <c r="CP66" s="340">
        <f>IF(ISERROR(CP47/CK47-1),"NA ",CP47/CK47-1)</f>
        <v>-9.1936769148087794E-2</v>
      </c>
      <c r="CQ66" s="340">
        <f>IF(ISERROR(CQ47/CL47-1),"NA ",CQ47/CL47-1)</f>
        <v>-0.36989502945428288</v>
      </c>
      <c r="CR66" s="340">
        <f>IF(ISERROR(CR47/CM47-1),"NA ",CR47/CM47-1)</f>
        <v>-0.47611087802484919</v>
      </c>
      <c r="CS66" s="341"/>
      <c r="CT66" s="340">
        <f>IF(ISERROR(CT47/CO47-1),"NA ",CT47/CO47-1)</f>
        <v>-0.27831715210355989</v>
      </c>
      <c r="CU66" s="340">
        <f>IF(ISERROR(CU47/CP47-1),"NA ",CU47/CP47-1)</f>
        <v>-0.17201166180758021</v>
      </c>
      <c r="CV66" s="340">
        <f>IF(ISERROR(CV47/CQ47-1),"NA ",CV47/CQ47-1)</f>
        <v>0.23310619942913546</v>
      </c>
      <c r="CW66" s="340">
        <f>IF(ISERROR(CW47/CR47-1),"NA ",CW47/CR47-1)</f>
        <v>0.64830508474576276</v>
      </c>
      <c r="CX66" s="240"/>
      <c r="CY66" s="340">
        <f>IF(ISERROR(CY47/CT47-1),"NA ",CY47/CT47-1)</f>
        <v>0.33632286995515703</v>
      </c>
      <c r="CZ66" s="340">
        <f>IF(ISERROR(CZ47/CU47-1),"NA ",CZ47/CU47-1)</f>
        <v>0.25</v>
      </c>
      <c r="DA66" s="340">
        <f>IF(ISERROR(DA47/CV47-1),"NA ",DA47/CV47-1)</f>
        <v>0.20717131474103589</v>
      </c>
      <c r="DB66" s="340">
        <f>IF(ISERROR(DB47/CW47-1),"NA ",DB47/CW47-1)</f>
        <v>0.25706940874035999</v>
      </c>
      <c r="DC66" s="240"/>
      <c r="DD66" s="340">
        <f>IF(ISERROR(DD47/CY47-1),"NA ",DD47/CY47-1)</f>
        <v>0.20134228187919456</v>
      </c>
      <c r="DE66" s="340">
        <f>IF(ISERROR(DE47/CZ47-1),"NA ",DE47/CZ47-1)</f>
        <v>0.16338028169014085</v>
      </c>
      <c r="DF66" s="340">
        <f>IF(ISERROR(DF47/DA47-1),"NA ",DF47/DA47-1)</f>
        <v>0.10231023102310233</v>
      </c>
      <c r="DG66" s="340">
        <f>IF(ISERROR(DG47/DB47-1),"NA ",DG47/DB47-1)</f>
        <v>5.3169734151329306E-2</v>
      </c>
      <c r="DH66" s="240"/>
      <c r="DI66" s="340">
        <f>IF(ISERROR(DI47/DD47-1),"NA ",DI47/DD47-1)</f>
        <v>6.4245810055865826E-2</v>
      </c>
      <c r="DJ66" s="340">
        <f>IF(ISERROR(DJ47/DE47-1),"NA ",DJ47/DE47-1)</f>
        <v>-4.1162227602905554E-2</v>
      </c>
      <c r="DK66" s="340">
        <f>IF(ISERROR(DK47/DF47-1),"NA ",DK47/DF47-1)</f>
        <v>0.14970059880239517</v>
      </c>
      <c r="DL66" s="340">
        <f>IF(ISERROR(DL47/DG47-1),"NA ",DL47/DG47-1)</f>
        <v>0.19029126213592229</v>
      </c>
      <c r="DM66" s="240"/>
      <c r="DN66" s="340">
        <f>IF(ISERROR(DN47/DI47-1),"NA ",DN47/DI47-1)</f>
        <v>-2.624671916010457E-3</v>
      </c>
      <c r="DO66" s="340">
        <f>IF(ISERROR(DO47/DJ47-1),"NA ",DO47/DJ47-1)</f>
        <v>0.11363636363636354</v>
      </c>
      <c r="DP66" s="340">
        <f>IF(ISERROR(DP47/DK47-1),"NA ",DP47/DK47-1)</f>
        <v>-2.604166666666663E-2</v>
      </c>
      <c r="DQ66" s="340">
        <f>IF(ISERROR(DQ47/DL47-1),"NA ",DQ47/DL47-1)</f>
        <v>-6.525285481239762E-3</v>
      </c>
      <c r="DR66" s="240"/>
      <c r="DS66" s="340">
        <f>IF(ISERROR(DS47/DN47-1),"NA ",DS47/DN47-1)</f>
        <v>7.8947368421051767E-3</v>
      </c>
      <c r="DT66" s="340">
        <f>IF(ISERROR(DT47/DO47-1),"NA ",DT47/DO47-1)</f>
        <v>3.6281179138321962E-2</v>
      </c>
      <c r="DU66" s="340">
        <f>IF(ISERROR(DU47/DP47-1),"NA ",DU47/DP47-1)</f>
        <v>5.3475935828876997E-2</v>
      </c>
      <c r="DV66" s="340">
        <f>IF(ISERROR(DV47/DQ47-1),"NA ",DV47/DQ47-1)</f>
        <v>-1.9704433497536922E-2</v>
      </c>
      <c r="DW66" s="240"/>
      <c r="DX66" s="340">
        <f>IF(ISERROR(DX47/DS47-1),"NA ",DX47/DS47-1)</f>
        <v>-2.0887728459530019E-2</v>
      </c>
      <c r="DY66" s="340">
        <f>IF(ISERROR(DY47/DT47-1),"NA ",DY47/DT47-1)</f>
        <v>3.5010940919037115E-2</v>
      </c>
      <c r="DZ66" s="340">
        <f>IF(ISERROR(DZ47/DU47-1),"NA ",DZ47/DU47-1)</f>
        <v>-0.15482233502538068</v>
      </c>
      <c r="EA66" s="340">
        <f>IF(ISERROR(EA47/DV47-1),"NA ",EA47/DV47-1)</f>
        <v>-0.1222780569514238</v>
      </c>
      <c r="EB66" s="240"/>
      <c r="EC66" s="340">
        <f>IF(ISERROR(EC47/DX47-1),"NA ",EC47/DX47-1)</f>
        <v>-0.30400000000000005</v>
      </c>
      <c r="ED66" s="340">
        <f>IF(ISERROR(ED47/DY47-1),"NA ",ED47/DY47-1)</f>
        <v>-0.18604651162790697</v>
      </c>
      <c r="EE66" s="340">
        <f>IF(ISERROR(EE47/DZ47-1),"NA ",EE47/DZ47-1)</f>
        <v>0.24024024024024015</v>
      </c>
      <c r="EF66" s="340">
        <f>IF(ISERROR(EF47/EA47-1),"NA ",EF47/EA47-1)</f>
        <v>0.12404580152671763</v>
      </c>
      <c r="EG66" s="340"/>
      <c r="EH66" s="340">
        <f>IF(ISERROR(EH47/EC47-1),"NA ",EH47/EC47-1)</f>
        <v>0.19540229885057481</v>
      </c>
      <c r="EI66" s="340">
        <f>IF(ISERROR(EI47/ED47-1),"NA ",EI47/ED47-1)</f>
        <v>-2.3376623376623384E-2</v>
      </c>
      <c r="EJ66" s="340">
        <f>IF(ISERROR(EJ47/EE47-1),"NA ",EJ47/EE47-1)</f>
        <v>-0.11138014527845042</v>
      </c>
      <c r="EK66" s="340">
        <f>IF(ISERROR(EK47/EF47-1),"NA ",EK47/EF47-1)</f>
        <v>-0.12903225806451613</v>
      </c>
      <c r="EL66" s="340"/>
      <c r="EM66" s="340">
        <f>IF(ISERROR(EM47/EH47-1),"NA ",EM47/EH47-1)</f>
        <v>-9.3948220537474536E-2</v>
      </c>
      <c r="EN66" s="340">
        <f>IF(ISERROR(EN47/EI47-1),"NA ",EN47/EI47-1)</f>
        <v>-8.0562947229829152E-2</v>
      </c>
      <c r="EO66" s="340">
        <f>IF(ISERROR(EO47/EJ47-1),"NA ",EO47/EJ47-1)</f>
        <v>-2.845956357856616E-2</v>
      </c>
      <c r="EP66" s="340">
        <f>IF(ISERROR(EP47/EK47-1),"NA ",EP47/EK47-1)</f>
        <v>-1.6015962036238007E-2</v>
      </c>
      <c r="EQ66" s="340"/>
      <c r="ER66" s="343"/>
      <c r="ES66" s="340"/>
      <c r="ET66" s="340">
        <f t="shared" ref="ET66:FV66" si="34">IF(ISERROR(ET47/ES47-1),"NA ",ET47/ES47-1)</f>
        <v>0.14611635284777669</v>
      </c>
      <c r="EU66" s="340">
        <f t="shared" si="34"/>
        <v>3.8462281464310522E-2</v>
      </c>
      <c r="EV66" s="340">
        <f t="shared" si="34"/>
        <v>-1.1326310418505847E-2</v>
      </c>
      <c r="EW66" s="340">
        <f t="shared" si="34"/>
        <v>0.28218423245437219</v>
      </c>
      <c r="EX66" s="340">
        <f t="shared" si="34"/>
        <v>-6.5876887535089357E-2</v>
      </c>
      <c r="EY66" s="340">
        <f t="shared" si="34"/>
        <v>-1.4722153025110041E-2</v>
      </c>
      <c r="EZ66" s="340">
        <f t="shared" si="34"/>
        <v>0.14158810278183287</v>
      </c>
      <c r="FA66" s="340">
        <f t="shared" si="34"/>
        <v>0.12825726074846289</v>
      </c>
      <c r="FB66" s="340">
        <f t="shared" si="34"/>
        <v>1.8455476781219726E-2</v>
      </c>
      <c r="FC66" s="340">
        <f t="shared" si="34"/>
        <v>-0.21076740087340651</v>
      </c>
      <c r="FD66" s="340">
        <f t="shared" si="34"/>
        <v>8.3806540043076971E-2</v>
      </c>
      <c r="FE66" s="340">
        <f t="shared" si="34"/>
        <v>0.14621763446098845</v>
      </c>
      <c r="FF66" s="340">
        <f t="shared" si="34"/>
        <v>0.3102485814070437</v>
      </c>
      <c r="FG66" s="340">
        <f t="shared" si="34"/>
        <v>0.33748432059517053</v>
      </c>
      <c r="FH66" s="340">
        <f t="shared" si="34"/>
        <v>0.2194050952852078</v>
      </c>
      <c r="FI66" s="342">
        <f t="shared" si="34"/>
        <v>0.18757256931638877</v>
      </c>
      <c r="FJ66" s="342">
        <f t="shared" si="34"/>
        <v>3.3952088411793868E-2</v>
      </c>
      <c r="FK66" s="340">
        <f t="shared" si="34"/>
        <v>-0.27000260532322906</v>
      </c>
      <c r="FL66" s="340">
        <f t="shared" si="34"/>
        <v>6.0514021067892276E-2</v>
      </c>
      <c r="FM66" s="342">
        <f t="shared" si="34"/>
        <v>0.25980819529206634</v>
      </c>
      <c r="FN66" s="340">
        <f t="shared" si="34"/>
        <v>0.12110726643598624</v>
      </c>
      <c r="FO66" s="340">
        <f t="shared" si="34"/>
        <v>9.5061728395061662E-2</v>
      </c>
      <c r="FP66" s="340">
        <f t="shared" si="34"/>
        <v>1.6910935738444266E-2</v>
      </c>
      <c r="FQ66" s="340">
        <f t="shared" si="34"/>
        <v>1.4966740576496607E-2</v>
      </c>
      <c r="FR66" s="340">
        <f t="shared" si="34"/>
        <v>-6.8814855270344033E-2</v>
      </c>
      <c r="FS66" s="340">
        <f t="shared" si="34"/>
        <v>-3.3431085043988285E-2</v>
      </c>
      <c r="FT66" s="340">
        <f t="shared" si="34"/>
        <v>-3.398058252427183E-2</v>
      </c>
      <c r="FU66" s="340">
        <f t="shared" si="34"/>
        <v>-6.4236407866853695E-2</v>
      </c>
      <c r="FV66" s="340">
        <f t="shared" si="34"/>
        <v>-3.0123332081779863E-2</v>
      </c>
      <c r="FW66" s="333">
        <f>IF(ISERROR(FW47/FV47-1),"NA ",FW47/FV47-1)</f>
        <v>-2.8464500206232368E-2</v>
      </c>
      <c r="FX66" s="340">
        <f>IF(ISERROR(FX47/FW47-1),"NA ",FX47/FW47-1)</f>
        <v>-2.9278299419124743E-2</v>
      </c>
      <c r="FY66" s="343">
        <f>IF(ISERROR(FY47/FX47-1),"NA ",FY47/FX47-1)</f>
        <v>-2.1295186581504422E-2</v>
      </c>
      <c r="FZ66" s="330"/>
      <c r="GA66" s="330"/>
      <c r="GB66" s="330"/>
      <c r="GC66" s="330"/>
      <c r="GD66" s="330"/>
    </row>
    <row r="67" spans="1:186" x14ac:dyDescent="0.2">
      <c r="FV67" s="249"/>
      <c r="FW67" s="344"/>
      <c r="FX67" s="344"/>
      <c r="FY67" s="344"/>
    </row>
    <row r="68" spans="1:186" x14ac:dyDescent="0.2">
      <c r="A68" s="345" t="s">
        <v>181</v>
      </c>
      <c r="B68" s="268"/>
      <c r="CP68" s="272"/>
      <c r="CQ68" s="272"/>
      <c r="CR68" s="272"/>
      <c r="CS68" s="272"/>
      <c r="CT68" s="239"/>
      <c r="CU68" s="239"/>
      <c r="CV68" s="239"/>
      <c r="CW68" s="239"/>
      <c r="CX68" s="239"/>
      <c r="CY68" s="239"/>
      <c r="DI68" s="346">
        <f>DJ68-1</f>
        <v>2005</v>
      </c>
      <c r="DJ68" s="346">
        <f>DK68-1</f>
        <v>2006</v>
      </c>
      <c r="DK68" s="346">
        <f>DL68-1</f>
        <v>2007</v>
      </c>
      <c r="DL68" s="346">
        <f>DN68-1</f>
        <v>2008</v>
      </c>
      <c r="DM68" s="268"/>
      <c r="DN68" s="346">
        <f>DX68-1</f>
        <v>2009</v>
      </c>
      <c r="DX68" s="346">
        <f>DY68-1</f>
        <v>2010</v>
      </c>
      <c r="DY68" s="346">
        <f>DZ68-1</f>
        <v>2011</v>
      </c>
      <c r="DZ68" s="346">
        <v>2012</v>
      </c>
      <c r="EA68" s="346">
        <v>2013</v>
      </c>
      <c r="EB68" s="268"/>
      <c r="EC68" s="346">
        <v>2014</v>
      </c>
      <c r="ED68" s="346">
        <v>2015</v>
      </c>
      <c r="EE68" s="1231">
        <v>2016</v>
      </c>
      <c r="EF68" s="978">
        <v>2017</v>
      </c>
      <c r="EG68" s="249"/>
      <c r="EJ68" s="249"/>
      <c r="EK68" s="249"/>
      <c r="EL68" s="277"/>
      <c r="EM68" s="1230" t="s">
        <v>181</v>
      </c>
      <c r="EN68" s="268"/>
      <c r="EO68" s="268"/>
      <c r="EP68" s="268"/>
      <c r="EQ68" s="268"/>
      <c r="ER68" s="268"/>
      <c r="ES68" s="347">
        <f t="shared" ref="ES68:FV68" si="35">ES7</f>
        <v>1990</v>
      </c>
      <c r="ET68" s="347">
        <f t="shared" si="35"/>
        <v>1991</v>
      </c>
      <c r="EU68" s="347">
        <f t="shared" si="35"/>
        <v>1992</v>
      </c>
      <c r="EV68" s="347">
        <f t="shared" si="35"/>
        <v>1993</v>
      </c>
      <c r="EW68" s="347">
        <f t="shared" si="35"/>
        <v>1994</v>
      </c>
      <c r="EX68" s="347">
        <f t="shared" si="35"/>
        <v>1995</v>
      </c>
      <c r="EY68" s="347">
        <f t="shared" si="35"/>
        <v>1996</v>
      </c>
      <c r="EZ68" s="347">
        <f t="shared" si="35"/>
        <v>1997</v>
      </c>
      <c r="FA68" s="347">
        <f t="shared" si="35"/>
        <v>1998</v>
      </c>
      <c r="FB68" s="347">
        <f t="shared" si="35"/>
        <v>1999</v>
      </c>
      <c r="FC68" s="347">
        <f t="shared" si="35"/>
        <v>2000</v>
      </c>
      <c r="FD68" s="347">
        <f t="shared" si="35"/>
        <v>2001</v>
      </c>
      <c r="FE68" s="347">
        <f t="shared" si="35"/>
        <v>2002</v>
      </c>
      <c r="FF68" s="347">
        <f t="shared" si="35"/>
        <v>2003</v>
      </c>
      <c r="FG68" s="347">
        <f t="shared" si="35"/>
        <v>2004</v>
      </c>
      <c r="FH68" s="347">
        <f t="shared" si="35"/>
        <v>2005</v>
      </c>
      <c r="FI68" s="347">
        <f t="shared" si="35"/>
        <v>2006</v>
      </c>
      <c r="FJ68" s="347">
        <f t="shared" si="35"/>
        <v>2007</v>
      </c>
      <c r="FK68" s="347">
        <f t="shared" si="35"/>
        <v>2008</v>
      </c>
      <c r="FL68" s="347">
        <f t="shared" si="35"/>
        <v>2009</v>
      </c>
      <c r="FM68" s="347">
        <f t="shared" si="35"/>
        <v>2010</v>
      </c>
      <c r="FN68" s="347">
        <f t="shared" si="35"/>
        <v>2011</v>
      </c>
      <c r="FO68" s="347">
        <f t="shared" si="35"/>
        <v>2012</v>
      </c>
      <c r="FP68" s="347">
        <f t="shared" si="35"/>
        <v>2013</v>
      </c>
      <c r="FQ68" s="347">
        <f t="shared" si="35"/>
        <v>2014</v>
      </c>
      <c r="FR68" s="347">
        <f t="shared" si="35"/>
        <v>2015</v>
      </c>
      <c r="FS68" s="1090">
        <f t="shared" si="35"/>
        <v>2016</v>
      </c>
      <c r="FT68" s="269">
        <f t="shared" si="35"/>
        <v>2017</v>
      </c>
      <c r="FU68" s="269">
        <f t="shared" si="35"/>
        <v>2018</v>
      </c>
      <c r="FV68" s="269">
        <f t="shared" si="35"/>
        <v>2019</v>
      </c>
      <c r="FW68" s="1278">
        <f>FW7</f>
        <v>2020</v>
      </c>
      <c r="FX68" s="270">
        <f>FX7</f>
        <v>2021</v>
      </c>
      <c r="FY68" s="270">
        <f>FY7</f>
        <v>2022</v>
      </c>
      <c r="FZ68" s="348"/>
      <c r="GA68" s="270"/>
      <c r="GB68" s="270"/>
      <c r="GC68" s="270"/>
      <c r="GD68" s="270"/>
    </row>
    <row r="69" spans="1:186" x14ac:dyDescent="0.2">
      <c r="A69" s="276" t="s">
        <v>191</v>
      </c>
      <c r="CS69" s="327"/>
      <c r="DI69" s="349">
        <f>INDEX(turn!$R:$R,MATCH(DI68,turn!$B:$B,0)+5)</f>
        <v>4.7582929023113829</v>
      </c>
      <c r="DJ69" s="349">
        <f>INDEX(turn!$R:$R,MATCH(DJ68,turn!$B:$B,0)+5)</f>
        <v>4.9689768940141432</v>
      </c>
      <c r="DK69" s="349">
        <f>INDEX(turn!$R:$R,MATCH(DK68,turn!$B:$B,0)+5)</f>
        <v>5.0500071450364725</v>
      </c>
      <c r="DL69" s="349">
        <f>INDEX(turn!$R:$R,MATCH(DL68,turn!$B:$B,0)+5)</f>
        <v>5.0683621936989498</v>
      </c>
      <c r="DM69" s="249"/>
      <c r="DN69" s="349">
        <f>INDEX(turn!$R:$R,MATCH(DN68,turn!$B:$B,0)+5)</f>
        <v>5.2949068322981363</v>
      </c>
      <c r="DX69" s="349">
        <f>INDEX(turn!$R:$R,MATCH(DX68,turn!$B:$B,0)+5)</f>
        <v>5.4020382457345697</v>
      </c>
      <c r="DY69" s="349">
        <f>INDEX(turn!$R:$R,MATCH(DY68,turn!$B:$B,0)+5)</f>
        <v>5.4138178831742119</v>
      </c>
      <c r="DZ69" s="349">
        <f>INDEX(turn!$R:$R,MATCH(DZ68,turn!$B:$B,0)+5)</f>
        <v>5.2430335097001768</v>
      </c>
      <c r="EA69" s="349">
        <f>INDEX(turn!$R:$R,MATCH(EA68,turn!$B:$B,0)+5)</f>
        <v>5.0000807819694648</v>
      </c>
      <c r="EB69" s="249"/>
      <c r="EC69" s="349">
        <f>INDEX(turn!$R:$R,MATCH(EC68,turn!$B:$B,0)+5)</f>
        <v>4.5671601249490701</v>
      </c>
      <c r="ED69" s="349">
        <f>INDEX(turn!$R:$R,MATCH(ED68,turn!$B:$B,0)+5)</f>
        <v>4.4386347131445172</v>
      </c>
      <c r="EE69" s="349">
        <f>INDEX(turn!$R:$R,MATCH(EE68,turn!$B:$B,0)+5)</f>
        <v>4.4479001001354774</v>
      </c>
      <c r="EF69" s="350">
        <f>INDEX(turn!$R:$R,MATCH(EF68,turn!$B:$B,0)+5)</f>
        <v>4.5826817260353314</v>
      </c>
      <c r="EG69" s="249"/>
      <c r="EJ69" s="249"/>
      <c r="EK69" s="249"/>
      <c r="EL69" s="277"/>
      <c r="EM69" s="249" t="s">
        <v>182</v>
      </c>
      <c r="EN69" s="249"/>
      <c r="EO69" s="249"/>
      <c r="EP69" s="249"/>
      <c r="EQ69" s="249"/>
      <c r="ER69" s="249"/>
      <c r="ES69" s="351">
        <f>yrSales!J42</f>
        <v>63</v>
      </c>
      <c r="ET69" s="351">
        <f>yrSales!K42</f>
        <v>68</v>
      </c>
      <c r="EU69" s="351">
        <f>yrSales!L42</f>
        <v>72</v>
      </c>
      <c r="EV69" s="351">
        <f>yrSales!M42</f>
        <v>74</v>
      </c>
      <c r="EW69" s="351">
        <f>yrSales!N42</f>
        <v>76</v>
      </c>
      <c r="EX69" s="351">
        <f>yrSales!O42</f>
        <v>78</v>
      </c>
      <c r="EY69" s="351">
        <f>yrSales!P42</f>
        <v>82</v>
      </c>
      <c r="EZ69" s="351">
        <f>yrSales!Q42</f>
        <v>87</v>
      </c>
      <c r="FA69" s="351">
        <f>yrSales!R42</f>
        <v>92</v>
      </c>
      <c r="FB69" s="351">
        <f>yrSales!S42</f>
        <v>98</v>
      </c>
      <c r="FC69" s="351">
        <f>yrSales!T42</f>
        <v>114</v>
      </c>
      <c r="FD69" s="351">
        <f>yrSales!U42</f>
        <v>127</v>
      </c>
      <c r="FE69" s="351">
        <f>yrSales!V42</f>
        <v>143</v>
      </c>
      <c r="FF69" s="351">
        <f>yrSales!W42</f>
        <v>141</v>
      </c>
      <c r="FG69" s="351">
        <f>yrSales!X42</f>
        <v>150</v>
      </c>
      <c r="FH69" s="351">
        <f>yrSales!Y42</f>
        <v>155</v>
      </c>
      <c r="FI69" s="351">
        <f>yrSales!Z42</f>
        <v>155</v>
      </c>
      <c r="FJ69" s="351">
        <f>yrSales!AA42</f>
        <v>156</v>
      </c>
      <c r="FK69" s="351">
        <f>yrSales!AB42</f>
        <v>169</v>
      </c>
      <c r="FL69" s="351">
        <f>yrSales!AC42</f>
        <v>184</v>
      </c>
      <c r="FM69" s="351">
        <f>yrSales!AD42</f>
        <v>204</v>
      </c>
      <c r="FN69" s="351">
        <f>yrSales!AE42</f>
        <v>225</v>
      </c>
      <c r="FO69" s="351">
        <f>yrSales!AF42</f>
        <v>240</v>
      </c>
      <c r="FP69" s="351">
        <f>yrSales!AG42</f>
        <v>260</v>
      </c>
      <c r="FQ69" s="351">
        <f>yrSales!AH42</f>
        <v>292</v>
      </c>
      <c r="FR69" s="351">
        <f>yrSales!AI42</f>
        <v>323</v>
      </c>
      <c r="FS69" s="351">
        <f>yrSales!AJ42</f>
        <v>349</v>
      </c>
      <c r="FT69" s="351">
        <f>yrSales!AK42</f>
        <v>366</v>
      </c>
      <c r="FU69" s="351">
        <f>yrSales!AL42</f>
        <v>380</v>
      </c>
      <c r="FV69" s="351">
        <f>yrSales!AM42</f>
        <v>397</v>
      </c>
      <c r="FW69" s="977">
        <f>yrSales!AN42</f>
        <v>409</v>
      </c>
      <c r="FX69" s="351">
        <f>yrSales!AO42</f>
        <v>416</v>
      </c>
      <c r="FY69" s="351">
        <f>yrSales!AP42</f>
        <v>423</v>
      </c>
      <c r="FZ69" s="352"/>
      <c r="GA69" s="351"/>
      <c r="GB69" s="351"/>
      <c r="GC69" s="351"/>
      <c r="GD69" s="351"/>
    </row>
    <row r="70" spans="1:186" x14ac:dyDescent="0.2">
      <c r="A70" s="276" t="s">
        <v>192</v>
      </c>
      <c r="CS70" s="258"/>
      <c r="DI70" s="331">
        <f>bal!AB72</f>
        <v>0.56488643044086795</v>
      </c>
      <c r="DJ70" s="331">
        <f>bal!AC72</f>
        <v>0.57836394465395691</v>
      </c>
      <c r="DK70" s="331">
        <f>bal!AD72</f>
        <v>0.58158995815899583</v>
      </c>
      <c r="DL70" s="331">
        <f>bal!AE72</f>
        <v>0.62555555555555553</v>
      </c>
      <c r="DM70" s="331"/>
      <c r="DN70" s="331">
        <f>bal!AF72</f>
        <v>0.80846325167037858</v>
      </c>
      <c r="DX70" s="331">
        <f>bal!AG72</f>
        <v>0.86591606960081879</v>
      </c>
      <c r="DY70" s="331">
        <f>bal!AH72</f>
        <v>0.79878048780487809</v>
      </c>
      <c r="DZ70" s="331">
        <f>bal!AI72</f>
        <v>0.74338235294117649</v>
      </c>
      <c r="EA70" s="331">
        <f>bal!AJ72</f>
        <v>0.82495101241018942</v>
      </c>
      <c r="EB70" s="249"/>
      <c r="EC70" s="331">
        <f>bal!AK72</f>
        <v>0.76630121177149457</v>
      </c>
      <c r="ED70" s="331">
        <f>bal!AL72</f>
        <v>0.68071979434447305</v>
      </c>
      <c r="EE70" s="331">
        <f>bal!AM72</f>
        <v>0.7067510548523207</v>
      </c>
      <c r="EF70" s="353">
        <f>bal!AN72</f>
        <v>0.6951159348791317</v>
      </c>
      <c r="EG70" s="249"/>
      <c r="EJ70" s="249"/>
      <c r="EK70" s="249"/>
      <c r="EL70" s="277"/>
      <c r="EM70" s="249" t="s">
        <v>309</v>
      </c>
      <c r="EN70" s="249"/>
      <c r="EO70" s="249"/>
      <c r="EP70" s="249"/>
      <c r="EQ70" s="249"/>
      <c r="ER70" s="249"/>
      <c r="ES70" s="351"/>
      <c r="ET70" s="351"/>
      <c r="EU70" s="351"/>
      <c r="EV70" s="351"/>
      <c r="EW70" s="351"/>
      <c r="EX70" s="351"/>
      <c r="EY70" s="351"/>
      <c r="EZ70" s="351"/>
      <c r="FA70" s="351"/>
      <c r="FB70" s="351"/>
      <c r="FC70" s="351"/>
      <c r="FD70" s="351"/>
      <c r="FE70" s="351"/>
      <c r="FF70" s="351"/>
      <c r="FG70" s="351"/>
      <c r="FH70" s="351"/>
      <c r="FI70" s="351"/>
      <c r="FJ70" s="351">
        <f>yrSales!AA54</f>
        <v>101</v>
      </c>
      <c r="FK70" s="351">
        <f>yrSales!AB54</f>
        <v>109</v>
      </c>
      <c r="FL70" s="351">
        <f>yrSales!AC54</f>
        <v>112</v>
      </c>
      <c r="FM70" s="351">
        <f>yrSales!AD54</f>
        <v>115</v>
      </c>
      <c r="FN70" s="351">
        <f>yrSales!AE54</f>
        <v>117</v>
      </c>
      <c r="FO70" s="351">
        <f>yrSales!AF54</f>
        <v>117</v>
      </c>
      <c r="FP70" s="351">
        <f>yrSales!AG54</f>
        <v>117</v>
      </c>
      <c r="FQ70" s="351">
        <f>yrSales!AH54</f>
        <v>117</v>
      </c>
      <c r="FR70" s="351">
        <f>yrSales!AI54</f>
        <v>121</v>
      </c>
      <c r="FS70" s="351">
        <f>yrSales!AJ54</f>
        <v>123</v>
      </c>
      <c r="FT70" s="351">
        <f>yrSales!AK54</f>
        <v>123</v>
      </c>
      <c r="FU70" s="351">
        <f>yrSales!AL54</f>
        <v>124</v>
      </c>
      <c r="FV70" s="351">
        <f>yrSales!AM54</f>
        <v>126</v>
      </c>
      <c r="FW70" s="977">
        <f>yrSales!AN54</f>
        <v>128</v>
      </c>
      <c r="FX70" s="351">
        <f>yrSales!AO54</f>
        <v>130</v>
      </c>
      <c r="FY70" s="351">
        <f>yrSales!AP54</f>
        <v>132</v>
      </c>
      <c r="FZ70" s="352"/>
      <c r="GA70" s="351"/>
      <c r="GB70" s="351"/>
      <c r="GC70" s="351"/>
      <c r="GD70" s="351"/>
    </row>
    <row r="71" spans="1:186" x14ac:dyDescent="0.2">
      <c r="A71" s="276" t="s">
        <v>193</v>
      </c>
      <c r="CS71" s="258"/>
      <c r="DI71" s="331">
        <f>INDEX(dtc!53:53,MATCH(DI68,dtc!5:5,0))</f>
        <v>0.30867884013445324</v>
      </c>
      <c r="DJ71" s="331">
        <f>INDEX(dtc!53:53,MATCH(DJ68,dtc!5:5,0))</f>
        <v>0.22524404486931457</v>
      </c>
      <c r="DK71" s="331">
        <f>INDEX(dtc!53:53,MATCH(DK68,dtc!5:5,0))</f>
        <v>0.69130675526024365</v>
      </c>
      <c r="DL71" s="331">
        <f>INDEX(dtc!53:53,MATCH(DL68,dtc!5:5,0))</f>
        <v>0.64907192575406036</v>
      </c>
      <c r="DM71" s="338"/>
      <c r="DN71" s="331">
        <f>INDEX(dtc!53:53,MATCH(DN68,dtc!5:5,0))</f>
        <v>0.62437275985663088</v>
      </c>
      <c r="DX71" s="331">
        <f>INDEX(dtc!53:53,MATCH(DX68,dtc!5:5,0))</f>
        <v>0.57913369429404415</v>
      </c>
      <c r="DY71" s="331">
        <f>INDEX(dtc!53:53,MATCH(DY68,dtc!5:5,0))</f>
        <v>0.6509013028734606</v>
      </c>
      <c r="DZ71" s="330">
        <f>INDEX(dtc!53:53,MATCH(DZ68,dtc!5:5,0))</f>
        <v>0.62070059274825051</v>
      </c>
      <c r="EA71" s="330">
        <f>INDEX(dtc!53:53,MATCH(EA68,dtc!5:5,0))</f>
        <v>0.59942618373673773</v>
      </c>
      <c r="EB71" s="249"/>
      <c r="EC71" s="330">
        <f>INDEX(dtc!53:53,MATCH(EC68,dtc!5:5,0))</f>
        <v>0.56201759109675098</v>
      </c>
      <c r="ED71" s="330">
        <f>INDEX(dtc!53:53,MATCH(ED68,dtc!5:5,0))</f>
        <v>0.76305767138193692</v>
      </c>
      <c r="EE71" s="330">
        <f>INDEX(dtc!53:53,MATCH(EE68,dtc!5:5,0))</f>
        <v>0.761042524005487</v>
      </c>
      <c r="EF71" s="333">
        <f>INDEX(dtc!53:53,MATCH(EF68,dtc!5:5,0))</f>
        <v>0.73694130317716744</v>
      </c>
      <c r="EG71" s="249"/>
      <c r="EJ71" s="249"/>
      <c r="EK71" s="249"/>
      <c r="EL71" s="277"/>
      <c r="EM71" s="249" t="s">
        <v>290</v>
      </c>
      <c r="EN71" s="249"/>
      <c r="EO71" s="249"/>
      <c r="EP71" s="249"/>
      <c r="EQ71" s="249"/>
      <c r="ER71" s="249"/>
      <c r="ES71" s="351"/>
      <c r="ET71" s="351"/>
      <c r="EU71" s="351"/>
      <c r="EV71" s="351"/>
      <c r="EW71" s="351"/>
      <c r="EX71" s="351"/>
      <c r="EY71" s="351"/>
      <c r="EZ71" s="351"/>
      <c r="FA71" s="351"/>
      <c r="FB71" s="351"/>
      <c r="FC71" s="351"/>
      <c r="FD71" s="351"/>
      <c r="FE71" s="351"/>
      <c r="FF71" s="351"/>
      <c r="FG71" s="351"/>
      <c r="FH71" s="351"/>
      <c r="FI71" s="351"/>
      <c r="FJ71" s="351">
        <f>yrSales!AA66</f>
        <v>55</v>
      </c>
      <c r="FK71" s="351">
        <f>yrSales!AB66</f>
        <v>60</v>
      </c>
      <c r="FL71" s="351">
        <f>yrSales!AC66</f>
        <v>72</v>
      </c>
      <c r="FM71" s="351">
        <f>yrSales!AD66</f>
        <v>89</v>
      </c>
      <c r="FN71" s="351">
        <f>yrSales!AE66</f>
        <v>108</v>
      </c>
      <c r="FO71" s="351">
        <f>yrSales!AF66</f>
        <v>123</v>
      </c>
      <c r="FP71" s="351">
        <f>yrSales!AG66</f>
        <v>143</v>
      </c>
      <c r="FQ71" s="351">
        <f>yrSales!AH66</f>
        <v>175</v>
      </c>
      <c r="FR71" s="351">
        <f>yrSales!AI66</f>
        <v>202</v>
      </c>
      <c r="FS71" s="351">
        <f>yrSales!AJ66</f>
        <v>226</v>
      </c>
      <c r="FT71" s="351">
        <f>yrSales!AK66</f>
        <v>243</v>
      </c>
      <c r="FU71" s="351">
        <f>yrSales!AL66</f>
        <v>256</v>
      </c>
      <c r="FV71" s="351">
        <f>yrSales!AM66</f>
        <v>271</v>
      </c>
      <c r="FW71" s="977">
        <f>yrSales!AN66</f>
        <v>281</v>
      </c>
      <c r="FX71" s="351">
        <f>yrSales!AO66</f>
        <v>286</v>
      </c>
      <c r="FY71" s="351">
        <f>yrSales!AP66</f>
        <v>291</v>
      </c>
      <c r="FZ71" s="352"/>
      <c r="GA71" s="351"/>
      <c r="GB71" s="351"/>
      <c r="GC71" s="351"/>
      <c r="GD71" s="351"/>
    </row>
    <row r="72" spans="1:186" x14ac:dyDescent="0.2">
      <c r="A72" s="305" t="s">
        <v>194</v>
      </c>
      <c r="B72" s="240"/>
      <c r="CS72" s="258"/>
      <c r="DI72" s="354">
        <f>flow!AA8/((bal!AB39+bal!AA39)/2)</f>
        <v>0.28402003657987729</v>
      </c>
      <c r="DJ72" s="354">
        <f>flow!AB8/((bal!AC39+bal!AB39)/2)</f>
        <v>0.31824932571411368</v>
      </c>
      <c r="DK72" s="354">
        <f>flow!AC8/((bal!AD39+bal!AC39)/2)</f>
        <v>0.43542620662261416</v>
      </c>
      <c r="DL72" s="354">
        <f>flow!AD8/((bal!AE39+bal!AD39)/2)</f>
        <v>0.34604014515353526</v>
      </c>
      <c r="DM72" s="354"/>
      <c r="DN72" s="354">
        <f>flow!AE8/((bal!AF39+bal!AE39)/2)</f>
        <v>0.31692631245038327</v>
      </c>
      <c r="DX72" s="354">
        <f>flow!AF8/((bal!AG39+bal!AF39)/2)</f>
        <v>0.3411620095488288</v>
      </c>
      <c r="DY72" s="354">
        <f>flow!AG8/((bal!AH39+bal!AG39)/2)</f>
        <v>0.34342311850680429</v>
      </c>
      <c r="DZ72" s="354">
        <f>flow!AH8/((bal!AI39+bal!AH39)/2)</f>
        <v>0.37988419662657741</v>
      </c>
      <c r="EA72" s="354">
        <f>flow!AI8/((bal!AJ39+bal!AI39)/2)</f>
        <v>0.36758814102564097</v>
      </c>
      <c r="EB72" s="240"/>
      <c r="EC72" s="354">
        <f>flow!AJ8/((bal!AK39+bal!AJ39)/2)</f>
        <v>0.31878415149436984</v>
      </c>
      <c r="ED72" s="354">
        <f>flow!AK8/((bal!AL39+bal!AK39)/2)</f>
        <v>0.36287526427061312</v>
      </c>
      <c r="EE72" s="354">
        <f>flow!AL8/((bal!AM39+bal!AL39)/2)</f>
        <v>0.40661688684663988</v>
      </c>
      <c r="EF72" s="355">
        <f>flow!AM8/((bal!AN39+bal!AM39)/2)</f>
        <v>0.47357877639415269</v>
      </c>
      <c r="EG72" s="249"/>
      <c r="EJ72" s="249"/>
      <c r="EK72" s="249"/>
      <c r="EL72" s="277"/>
      <c r="EM72" s="249" t="s">
        <v>183</v>
      </c>
      <c r="EN72" s="249"/>
      <c r="EO72" s="249"/>
      <c r="EP72" s="249"/>
      <c r="EQ72" s="249"/>
      <c r="ER72" s="249"/>
      <c r="ES72" s="314">
        <f>yrSales!J48</f>
        <v>7.6550000000000002</v>
      </c>
      <c r="ET72" s="314">
        <f>yrSales!K48</f>
        <v>8.59</v>
      </c>
      <c r="EU72" s="314">
        <f>yrSales!L48</f>
        <v>9.2240000000000002</v>
      </c>
      <c r="EV72" s="314">
        <f>yrSales!M48</f>
        <v>9.282</v>
      </c>
      <c r="EW72" s="314">
        <f>yrSales!N48</f>
        <v>9.9979999999999993</v>
      </c>
      <c r="EX72" s="314">
        <f>yrSales!O48</f>
        <v>10.712999999999999</v>
      </c>
      <c r="EY72" s="314">
        <f>yrSales!P48</f>
        <v>11.754</v>
      </c>
      <c r="EZ72" s="314">
        <f>yrSales!Q48</f>
        <v>12.6136</v>
      </c>
      <c r="FA72" s="314">
        <f>yrSales!R48</f>
        <v>13.7319</v>
      </c>
      <c r="FB72" s="314">
        <f>yrSales!S48</f>
        <v>14.487</v>
      </c>
      <c r="FC72" s="314">
        <f>yrSales!T48</f>
        <v>15.987</v>
      </c>
      <c r="FD72" s="314">
        <f>yrSales!U48</f>
        <v>17.010999999999999</v>
      </c>
      <c r="FE72" s="314">
        <f>yrSales!V48</f>
        <v>18.428000000000001</v>
      </c>
      <c r="FF72" s="314">
        <f>yrSales!W48</f>
        <v>19.138000000000002</v>
      </c>
      <c r="FG72" s="314">
        <f>yrSales!X48</f>
        <v>19.396999999999998</v>
      </c>
      <c r="FH72" s="314">
        <f>yrSales!Y48</f>
        <v>20.07</v>
      </c>
      <c r="FI72" s="314">
        <f>yrSales!Z48</f>
        <v>20.170000000000002</v>
      </c>
      <c r="FJ72" s="314">
        <f>yrSales!AA48</f>
        <v>20.501999999999999</v>
      </c>
      <c r="FK72" s="314">
        <f>yrSales!AB48</f>
        <v>21.876000000000001</v>
      </c>
      <c r="FL72" s="314">
        <f>yrSales!AC48</f>
        <v>22.773</v>
      </c>
      <c r="FM72" s="314">
        <f>yrSales!AD48</f>
        <v>23.838000000000001</v>
      </c>
      <c r="FN72" s="314">
        <f>yrSales!AE48</f>
        <v>24.744999999999997</v>
      </c>
      <c r="FO72" s="314">
        <f>yrSales!AF48</f>
        <v>25.29</v>
      </c>
      <c r="FP72" s="314">
        <f>yrSales!AG48</f>
        <v>26.016999999999999</v>
      </c>
      <c r="FQ72" s="314">
        <f>yrSales!AH48</f>
        <v>27.061</v>
      </c>
      <c r="FR72" s="314">
        <f>yrSales!AI48</f>
        <v>28.61</v>
      </c>
      <c r="FS72" s="314">
        <f>yrSales!AJ48</f>
        <v>29.792000000000002</v>
      </c>
      <c r="FT72" s="314">
        <f>yrSales!AK48</f>
        <v>30.218</v>
      </c>
      <c r="FU72" s="314">
        <f>yrSales!AL48</f>
        <v>31.464310800310798</v>
      </c>
      <c r="FV72" s="314">
        <f>yrSales!AM48</f>
        <v>32.265752408667417</v>
      </c>
      <c r="FW72" s="316">
        <f>yrSales!AN48</f>
        <v>33.098637439288161</v>
      </c>
      <c r="FX72" s="314">
        <f>yrSales!AO48</f>
        <v>33.740411296513166</v>
      </c>
      <c r="FY72" s="314">
        <f>yrSales!AP48</f>
        <v>34.286629567040293</v>
      </c>
      <c r="FZ72" s="315"/>
      <c r="GA72" s="314"/>
      <c r="GB72" s="314"/>
      <c r="GC72" s="314"/>
      <c r="GD72" s="314"/>
    </row>
    <row r="73" spans="1:186" x14ac:dyDescent="0.2">
      <c r="CS73" s="258"/>
      <c r="DD73" s="331"/>
      <c r="DE73" s="331"/>
      <c r="DF73" s="331"/>
      <c r="DG73" s="331"/>
      <c r="DH73" s="331"/>
      <c r="DI73" s="331"/>
      <c r="DJ73" s="331"/>
      <c r="DK73" s="331"/>
      <c r="DL73" s="331"/>
      <c r="DM73" s="249"/>
      <c r="DN73" s="331"/>
      <c r="DO73" s="356"/>
      <c r="DP73" s="249"/>
      <c r="DQ73" s="249"/>
      <c r="EG73" s="249"/>
      <c r="EJ73" s="249"/>
      <c r="EK73" s="249"/>
      <c r="EL73" s="277"/>
      <c r="EM73" s="249" t="s">
        <v>184</v>
      </c>
      <c r="EN73" s="249"/>
      <c r="EO73" s="249"/>
      <c r="EP73" s="249"/>
      <c r="EQ73" s="249"/>
      <c r="ER73" s="249"/>
      <c r="ES73" s="330"/>
      <c r="ET73" s="331">
        <f t="shared" ref="ET73:FR73" si="36">ET72/ES72-1</f>
        <v>0.12214239059438281</v>
      </c>
      <c r="EU73" s="331">
        <f t="shared" si="36"/>
        <v>7.3806752037252732E-2</v>
      </c>
      <c r="EV73" s="331">
        <f t="shared" si="36"/>
        <v>6.2879444926278172E-3</v>
      </c>
      <c r="EW73" s="331">
        <f t="shared" si="36"/>
        <v>7.7138547726782969E-2</v>
      </c>
      <c r="EX73" s="331">
        <f t="shared" si="36"/>
        <v>7.1514302860572032E-2</v>
      </c>
      <c r="EY73" s="331">
        <f t="shared" si="36"/>
        <v>9.7171660599271847E-2</v>
      </c>
      <c r="EZ73" s="331">
        <f t="shared" si="36"/>
        <v>7.3132550621065162E-2</v>
      </c>
      <c r="FA73" s="331">
        <f t="shared" si="36"/>
        <v>8.8658273609437455E-2</v>
      </c>
      <c r="FB73" s="331">
        <f t="shared" si="36"/>
        <v>5.4988748825727018E-2</v>
      </c>
      <c r="FC73" s="331">
        <f t="shared" si="36"/>
        <v>0.1035411058190101</v>
      </c>
      <c r="FD73" s="331">
        <f t="shared" si="36"/>
        <v>6.4052042284356014E-2</v>
      </c>
      <c r="FE73" s="331">
        <f t="shared" si="36"/>
        <v>8.329904179648473E-2</v>
      </c>
      <c r="FF73" s="331">
        <f t="shared" si="36"/>
        <v>3.852832645973514E-2</v>
      </c>
      <c r="FG73" s="331">
        <f t="shared" si="36"/>
        <v>1.3533284564740233E-2</v>
      </c>
      <c r="FH73" s="331">
        <f t="shared" si="36"/>
        <v>3.4696087023766697E-2</v>
      </c>
      <c r="FI73" s="331">
        <f t="shared" si="36"/>
        <v>4.9825610363727346E-3</v>
      </c>
      <c r="FJ73" s="331">
        <f t="shared" si="36"/>
        <v>1.6460089241447484E-2</v>
      </c>
      <c r="FK73" s="331">
        <f t="shared" si="36"/>
        <v>6.7017851916886251E-2</v>
      </c>
      <c r="FL73" s="331">
        <f t="shared" si="36"/>
        <v>4.1003839824465205E-2</v>
      </c>
      <c r="FM73" s="331">
        <f t="shared" si="36"/>
        <v>4.6765906995125839E-2</v>
      </c>
      <c r="FN73" s="331">
        <f t="shared" si="36"/>
        <v>3.8048494001174493E-2</v>
      </c>
      <c r="FO73" s="331">
        <f t="shared" si="36"/>
        <v>2.2024651444736421E-2</v>
      </c>
      <c r="FP73" s="331">
        <f t="shared" si="36"/>
        <v>2.8746540134440446E-2</v>
      </c>
      <c r="FQ73" s="331">
        <f t="shared" si="36"/>
        <v>4.0127608871122655E-2</v>
      </c>
      <c r="FR73" s="331">
        <f t="shared" si="36"/>
        <v>5.7241048002660611E-2</v>
      </c>
      <c r="FS73" s="331">
        <f t="shared" ref="FS73:FY73" si="37">FS72/FR72-1</f>
        <v>4.1314225795176629E-2</v>
      </c>
      <c r="FT73" s="331">
        <f t="shared" si="37"/>
        <v>1.4299140708915026E-2</v>
      </c>
      <c r="FU73" s="331">
        <f t="shared" si="37"/>
        <v>4.1243987037884677E-2</v>
      </c>
      <c r="FV73" s="331">
        <f t="shared" si="37"/>
        <v>2.5471449651098155E-2</v>
      </c>
      <c r="FW73" s="353">
        <f t="shared" si="37"/>
        <v>2.5813284006884318E-2</v>
      </c>
      <c r="FX73" s="331">
        <f t="shared" si="37"/>
        <v>1.938973646278308E-2</v>
      </c>
      <c r="FY73" s="331">
        <f t="shared" si="37"/>
        <v>1.6188844460932161E-2</v>
      </c>
      <c r="FZ73" s="357"/>
      <c r="GA73" s="331"/>
      <c r="GB73" s="331"/>
      <c r="GC73" s="331"/>
      <c r="GD73" s="331"/>
    </row>
    <row r="74" spans="1:186" x14ac:dyDescent="0.2">
      <c r="CS74" s="258"/>
      <c r="DD74" s="331"/>
      <c r="DE74" s="331"/>
      <c r="DF74" s="331"/>
      <c r="DG74" s="331"/>
      <c r="DH74" s="331"/>
      <c r="DI74" s="331"/>
      <c r="DJ74" s="331"/>
      <c r="DK74" s="331"/>
      <c r="DL74" s="331"/>
      <c r="DM74" s="249"/>
      <c r="DN74" s="331"/>
      <c r="DO74" s="356"/>
      <c r="DP74" s="249"/>
      <c r="DQ74" s="249"/>
      <c r="EG74" s="249"/>
      <c r="EJ74" s="249"/>
      <c r="EK74" s="249"/>
      <c r="EL74" s="277"/>
      <c r="EM74" s="249" t="s">
        <v>185</v>
      </c>
      <c r="EN74" s="249"/>
      <c r="EO74" s="249"/>
      <c r="EP74" s="249"/>
      <c r="EQ74" s="249"/>
      <c r="ER74" s="249"/>
      <c r="ES74" s="351">
        <f>yrSales!J20</f>
        <v>125.49180327868854</v>
      </c>
      <c r="ET74" s="351">
        <f>yrSales!K20</f>
        <v>131.14503816793894</v>
      </c>
      <c r="EU74" s="351">
        <f>yrSales!L20</f>
        <v>131.77142857142857</v>
      </c>
      <c r="EV74" s="351">
        <f>yrSales!M20</f>
        <v>127.15068493150686</v>
      </c>
      <c r="EW74" s="351">
        <f>yrSales!N20</f>
        <v>133.30666666666664</v>
      </c>
      <c r="EX74" s="351">
        <f>yrSales!O20</f>
        <v>139.12987012987014</v>
      </c>
      <c r="EY74" s="351">
        <f>yrSales!P20</f>
        <v>146.92500000000001</v>
      </c>
      <c r="EZ74" s="351">
        <f>yrSales!Q20</f>
        <v>149.27337278106509</v>
      </c>
      <c r="FA74" s="351">
        <f>yrSales!R20</f>
        <v>153.4290502793296</v>
      </c>
      <c r="FB74" s="351">
        <f>yrSales!S20</f>
        <v>152.49473684210525</v>
      </c>
      <c r="FC74" s="351">
        <f>yrSales!T20</f>
        <v>150.82075471698116</v>
      </c>
      <c r="FD74" s="351">
        <f>yrSales!U20</f>
        <v>141.1701244813278</v>
      </c>
      <c r="FE74" s="351">
        <f>yrSales!V20</f>
        <v>136.50370370370371</v>
      </c>
      <c r="FF74" s="351">
        <f>yrSales!W20</f>
        <v>134.77464788732397</v>
      </c>
      <c r="FG74" s="351">
        <f>yrSales!X20</f>
        <v>133.31271477663228</v>
      </c>
      <c r="FH74" s="351">
        <f>yrSales!Y20</f>
        <v>131.60655737704917</v>
      </c>
      <c r="FI74" s="351">
        <f>yrSales!Z20</f>
        <v>130.12903225806451</v>
      </c>
      <c r="FJ74" s="351">
        <f>yrSales!AA20</f>
        <v>131.84565916398714</v>
      </c>
      <c r="FK74" s="351">
        <f>yrSales!AB20</f>
        <v>134.62153846153845</v>
      </c>
      <c r="FL74" s="351">
        <f>yrSales!AC20</f>
        <v>129.02549575070822</v>
      </c>
      <c r="FM74" s="351">
        <f>yrSales!AD20</f>
        <v>122.87628865979381</v>
      </c>
      <c r="FN74" s="351">
        <f>yrSales!AE20</f>
        <v>115.36130536130534</v>
      </c>
      <c r="FO74" s="351">
        <f>yrSales!AF20</f>
        <v>108.77419354838709</v>
      </c>
      <c r="FP74" s="351">
        <f>yrSales!AG20</f>
        <v>104.068</v>
      </c>
      <c r="FQ74" s="351">
        <f>yrSales!AH20</f>
        <v>98.04710144927536</v>
      </c>
      <c r="FR74" s="351">
        <f>yrSales!AI20</f>
        <v>93.040650406504071</v>
      </c>
      <c r="FS74" s="351">
        <f>yrSales!AJ20</f>
        <v>88.666666666666671</v>
      </c>
      <c r="FT74" s="351">
        <f>yrSales!AK20</f>
        <v>84.525874125874125</v>
      </c>
      <c r="FU74" s="351">
        <f>yrSales!AL20</f>
        <v>84.354720644264873</v>
      </c>
      <c r="FV74" s="351">
        <f>yrSales!AM20</f>
        <v>83.05212975203969</v>
      </c>
      <c r="FW74" s="977">
        <f>yrSales!AN20</f>
        <v>82.13061399327087</v>
      </c>
      <c r="FX74" s="351">
        <f>yrSales!AO20</f>
        <v>81.794936476395563</v>
      </c>
      <c r="FY74" s="351">
        <f>yrSales!AP20</f>
        <v>81.732132460167563</v>
      </c>
      <c r="FZ74" s="352"/>
      <c r="GA74" s="351"/>
      <c r="GB74" s="351"/>
      <c r="GC74" s="351"/>
      <c r="GD74" s="351"/>
    </row>
    <row r="75" spans="1:186" x14ac:dyDescent="0.2">
      <c r="DE75" s="249"/>
      <c r="DF75" s="249"/>
      <c r="DG75" s="249"/>
      <c r="DH75" s="249"/>
      <c r="DI75" s="249"/>
      <c r="DJ75" s="249"/>
      <c r="DK75" s="249"/>
      <c r="DL75" s="249"/>
      <c r="DM75" s="249"/>
      <c r="DN75" s="249"/>
      <c r="DO75" s="249"/>
      <c r="DP75" s="249"/>
      <c r="DQ75" s="249"/>
      <c r="EG75" s="249"/>
      <c r="EJ75" s="249"/>
      <c r="EK75" s="249"/>
      <c r="EL75" s="277"/>
      <c r="EM75" s="843" t="s">
        <v>556</v>
      </c>
      <c r="EN75" s="249"/>
      <c r="EO75" s="249"/>
      <c r="EP75" s="249"/>
      <c r="EQ75" s="249"/>
      <c r="ER75" s="249"/>
      <c r="ES75" s="358">
        <f>yrSales!J23</f>
        <v>397.70549027691885</v>
      </c>
      <c r="ET75" s="358">
        <f>yrSales!K23</f>
        <v>391.48291782086795</v>
      </c>
      <c r="EU75" s="358">
        <f>yrSales!L23</f>
        <v>384.18985067924109</v>
      </c>
      <c r="EV75" s="358">
        <f>yrSales!M23</f>
        <v>387.97557548903058</v>
      </c>
      <c r="EW75" s="358">
        <f>yrSales!N23</f>
        <v>403.99149377593358</v>
      </c>
      <c r="EX75" s="358">
        <f>yrSales!O23</f>
        <v>397.23007097677561</v>
      </c>
      <c r="EY75" s="358">
        <f>yrSales!P23</f>
        <v>396.4092224150977</v>
      </c>
      <c r="EZ75" s="358">
        <f>yrSales!Q23</f>
        <v>398.20285953479208</v>
      </c>
      <c r="FA75" s="358">
        <f>yrSales!R23</f>
        <v>381.68871344252341</v>
      </c>
      <c r="FB75" s="358">
        <f>yrSales!S23</f>
        <v>364.93272239527414</v>
      </c>
      <c r="FC75" s="358">
        <f>yrSales!T23</f>
        <v>362.83631948546304</v>
      </c>
      <c r="FD75" s="358">
        <f>yrSales!U23</f>
        <v>341.48312018910241</v>
      </c>
      <c r="FE75" s="708">
        <f>yrSales!V23</f>
        <v>335.48666723101667</v>
      </c>
      <c r="FF75" s="708">
        <f>yrSales!W23</f>
        <v>343.31959750838519</v>
      </c>
      <c r="FG75" s="708">
        <f>yrSales!X23</f>
        <v>370.12653431944989</v>
      </c>
      <c r="FH75" s="708">
        <f>yrSales!Y23</f>
        <v>391.34527580003549</v>
      </c>
      <c r="FI75" s="708">
        <f>yrSales!Z23</f>
        <v>425.48200795228627</v>
      </c>
      <c r="FJ75" s="708">
        <f>yrSales!AA23</f>
        <v>434.09785601888279</v>
      </c>
      <c r="FK75" s="708">
        <f>yrSales!AB23</f>
        <v>391.28793241776395</v>
      </c>
      <c r="FL75" s="708">
        <f>yrSales!AC23</f>
        <v>369.90750072789984</v>
      </c>
      <c r="FM75" s="708">
        <f>yrSales!AD23</f>
        <v>399.47651841839905</v>
      </c>
      <c r="FN75" s="708">
        <f>yrSales!AE23</f>
        <v>432.12646398946134</v>
      </c>
      <c r="FO75" s="708">
        <f>yrSales!AF23</f>
        <v>470.15089437393829</v>
      </c>
      <c r="FP75" s="708">
        <f>yrSales!AG23</f>
        <v>474.24328064396667</v>
      </c>
      <c r="FQ75" s="708">
        <f>yrSales!AH23</f>
        <v>494.02765740984961</v>
      </c>
      <c r="FR75" s="708">
        <f>yrSales!AI23</f>
        <v>506.36776777855619</v>
      </c>
      <c r="FS75" s="708">
        <f>yrSales!AJ23</f>
        <v>496.52409164069724</v>
      </c>
      <c r="FT75" s="708">
        <f>yrSales!AK23</f>
        <v>504.48258623562737</v>
      </c>
      <c r="FU75" s="708">
        <f>yrSales!AL23</f>
        <v>496.86979164734481</v>
      </c>
      <c r="FV75" s="708">
        <f>yrSales!AM23</f>
        <v>495.62761716822644</v>
      </c>
      <c r="FW75" s="710">
        <f>yrSales!AN23</f>
        <v>495.62761716822638</v>
      </c>
      <c r="FX75" s="708">
        <f>yrSales!AO23</f>
        <v>496.61887240256283</v>
      </c>
      <c r="FY75" s="708">
        <f>yrSales!AP23</f>
        <v>496.61887240256294</v>
      </c>
      <c r="FZ75" s="359"/>
      <c r="GA75" s="358"/>
      <c r="GB75" s="358"/>
      <c r="GC75" s="358"/>
      <c r="GD75" s="358"/>
    </row>
    <row r="76" spans="1:186" x14ac:dyDescent="0.2">
      <c r="EG76" s="249"/>
      <c r="EJ76" s="249"/>
      <c r="EK76" s="249"/>
      <c r="EL76" s="277"/>
      <c r="EM76" s="843" t="s">
        <v>557</v>
      </c>
      <c r="EN76" s="249"/>
      <c r="EO76" s="249"/>
      <c r="EP76" s="249"/>
      <c r="EQ76" s="249"/>
      <c r="ER76" s="249"/>
      <c r="ES76" s="358"/>
      <c r="ET76" s="358"/>
      <c r="EU76" s="358"/>
      <c r="EV76" s="358"/>
      <c r="EW76" s="358"/>
      <c r="EX76" s="358"/>
      <c r="EY76" s="358"/>
      <c r="EZ76" s="358"/>
      <c r="FA76" s="358"/>
      <c r="FB76" s="358"/>
      <c r="FC76" s="358"/>
      <c r="FD76" s="358"/>
      <c r="FE76" s="358"/>
      <c r="FF76" s="708">
        <f>yrSales!W7/yrSales!W46</f>
        <v>0</v>
      </c>
      <c r="FG76" s="708">
        <f>yrSales!X7/yrSales!X46</f>
        <v>0</v>
      </c>
      <c r="FH76" s="708">
        <f>yrSales!Y7/yrSales!Y46</f>
        <v>0</v>
      </c>
      <c r="FI76" s="708">
        <f>yrSales!Z7/yrSales!Z46</f>
        <v>0</v>
      </c>
      <c r="FJ76" s="708">
        <f>yrSales!AA7/yrSales!AA46</f>
        <v>411.37081423233593</v>
      </c>
      <c r="FK76" s="708">
        <f>yrSales!AB7/yrSales!AB46</f>
        <v>367.64358865449054</v>
      </c>
      <c r="FL76" s="708">
        <f>yrSales!AC7/yrSales!AC46</f>
        <v>344.68857085265068</v>
      </c>
      <c r="FM76" s="708">
        <f>yrSales!AD7/yrSales!AD46</f>
        <v>369.2261483340842</v>
      </c>
      <c r="FN76" s="708">
        <f>yrSales!AE7/yrSales!AE46</f>
        <v>394.54130045489165</v>
      </c>
      <c r="FO76" s="708">
        <f>yrSales!AF7/yrSales!AF46</f>
        <v>419.42640151893676</v>
      </c>
      <c r="FP76" s="708">
        <f>yrSales!AG7/yrSales!AG46</f>
        <v>411.01448145477218</v>
      </c>
      <c r="FQ76" s="708">
        <f>yrSales!AH7/yrSales!AH46</f>
        <v>418.81758920833488</v>
      </c>
      <c r="FR76" s="708">
        <f>yrSales!AI7/yrSales!AI46</f>
        <v>423.70354403549425</v>
      </c>
      <c r="FS76" s="708">
        <f>yrSales!AJ7/yrSales!AJ46</f>
        <v>386.28814081709533</v>
      </c>
      <c r="FT76" s="708">
        <f>yrSales!AK7/yrSales!AK46</f>
        <v>378.3702716213964</v>
      </c>
      <c r="FU76" s="708">
        <f>yrSales!AL7/yrSales!AL46</f>
        <v>361.90727335015328</v>
      </c>
      <c r="FV76" s="708">
        <f>yrSales!AM7/yrSales!AM46</f>
        <v>354.55159201949584</v>
      </c>
      <c r="FW76" s="710">
        <f>yrSales!AN7/yrSales!AN46</f>
        <v>347.07506825609562</v>
      </c>
      <c r="FX76" s="708">
        <f>yrSales!AO7/yrSales!AO46</f>
        <v>339.7218091446461</v>
      </c>
      <c r="FY76" s="710">
        <f>yrSales!AP7/yrSales!AP46</f>
        <v>333.21236016940173</v>
      </c>
      <c r="FZ76" s="329"/>
      <c r="GA76" s="258"/>
      <c r="GB76" s="258"/>
      <c r="GC76" s="258"/>
      <c r="GD76" s="258"/>
    </row>
    <row r="77" spans="1:186" x14ac:dyDescent="0.2">
      <c r="A77" s="360" t="s">
        <v>77</v>
      </c>
      <c r="EJ77" s="249"/>
      <c r="EK77" s="249"/>
      <c r="EL77" s="277"/>
      <c r="EM77" s="240" t="s">
        <v>520</v>
      </c>
      <c r="EN77" s="240"/>
      <c r="EO77" s="240"/>
      <c r="EP77" s="240"/>
      <c r="EQ77" s="240"/>
      <c r="ER77" s="240"/>
      <c r="ES77" s="240"/>
      <c r="ET77" s="240"/>
      <c r="EU77" s="240"/>
      <c r="EV77" s="240"/>
      <c r="EW77" s="240"/>
      <c r="EX77" s="240"/>
      <c r="EY77" s="240"/>
      <c r="EZ77" s="240"/>
      <c r="FA77" s="240"/>
      <c r="FB77" s="240"/>
      <c r="FC77" s="240"/>
      <c r="FD77" s="240"/>
      <c r="FE77" s="240"/>
      <c r="FF77" s="240"/>
      <c r="FG77" s="240"/>
      <c r="FH77" s="240"/>
      <c r="FI77" s="240"/>
      <c r="FJ77" s="341">
        <f>yrSales!AA13</f>
        <v>5.2354651080235452E-2</v>
      </c>
      <c r="FK77" s="341">
        <f>yrSales!AB13</f>
        <v>6.0426969002532867E-2</v>
      </c>
      <c r="FL77" s="341">
        <f>yrSales!AC13</f>
        <v>6.8176313877452169E-2</v>
      </c>
      <c r="FM77" s="341">
        <f>yrSales!AD13</f>
        <v>7.5725026852846405E-2</v>
      </c>
      <c r="FN77" s="341">
        <f>yrSales!AE13</f>
        <v>8.6977231589978082E-2</v>
      </c>
      <c r="FO77" s="341">
        <f>yrSales!AF13</f>
        <v>0.1078898146573712</v>
      </c>
      <c r="FP77" s="341">
        <f>yrSales!AG13</f>
        <v>0.13332566168009205</v>
      </c>
      <c r="FQ77" s="341">
        <f>yrSales!AH13</f>
        <v>0.15223857829303639</v>
      </c>
      <c r="FR77" s="341">
        <f>yrSales!AI13</f>
        <v>0.16324937921248669</v>
      </c>
      <c r="FS77" s="341">
        <f>yrSales!AJ13</f>
        <v>0.22201531140078626</v>
      </c>
      <c r="FT77" s="341">
        <f>yrSales!AK13</f>
        <v>0.24998348417784239</v>
      </c>
      <c r="FU77" s="341">
        <f>yrSales!AL13</f>
        <v>0.27162552557226433</v>
      </c>
      <c r="FV77" s="341">
        <f>yrSales!AM13</f>
        <v>0.28464117063284311</v>
      </c>
      <c r="FW77" s="709">
        <f>yrSales!AN13</f>
        <v>0.29972613261724046</v>
      </c>
      <c r="FX77" s="341">
        <f>yrSales!AO13</f>
        <v>0.3159305293793484</v>
      </c>
      <c r="FY77" s="709">
        <f>yrSales!AP13</f>
        <v>0.32903806382271883</v>
      </c>
    </row>
    <row r="78" spans="1:186" x14ac:dyDescent="0.2">
      <c r="A78" s="360"/>
    </row>
    <row r="79" spans="1:186" x14ac:dyDescent="0.2">
      <c r="A79" s="360"/>
      <c r="FQ79" s="255"/>
      <c r="FR79" s="255"/>
      <c r="FS79" s="255"/>
      <c r="FT79" s="255"/>
      <c r="FU79" s="255"/>
      <c r="FV79" s="255"/>
      <c r="FW79" s="255"/>
    </row>
    <row r="80" spans="1:186" x14ac:dyDescent="0.2">
      <c r="A80" s="360"/>
    </row>
    <row r="81" spans="1:186" x14ac:dyDescent="0.2">
      <c r="A81" s="360"/>
    </row>
    <row r="82" spans="1:186" x14ac:dyDescent="0.2">
      <c r="A82" s="249" t="s">
        <v>89</v>
      </c>
      <c r="AQ82" s="361">
        <f>INDEX(qtrSales!$I:$I,MATCH(sumry!AQ6,qtrSales!$A:$A,0)+1)</f>
        <v>90</v>
      </c>
      <c r="AR82" s="361">
        <f>INDEX(qtrSales!$I:$I,MATCH(sumry!AR6,qtrSales!$A:$A,0)+2)</f>
        <v>92</v>
      </c>
      <c r="AS82" s="361">
        <f>INDEX(qtrSales!$I:$I,MATCH(sumry!AS6,qtrSales!$A:$A,0)+3)</f>
        <v>94</v>
      </c>
      <c r="AT82" s="361">
        <f>INDEX(qtrSales!$I:$I,MATCH(sumry!AT6,qtrSales!$A:$A,0)+4)</f>
        <v>92</v>
      </c>
      <c r="AV82" s="361">
        <f>INDEX(qtrSales!$I:$I,MATCH(sumry!AV6,qtrSales!$A:$A,0)+1)</f>
        <v>93</v>
      </c>
      <c r="AW82" s="361">
        <f>INDEX(qtrSales!$I:$I,MATCH(sumry!AW6,qtrSales!$A:$A,0)+2)</f>
        <v>93</v>
      </c>
      <c r="AX82" s="361">
        <f>INDEX(qtrSales!$I:$I,MATCH(sumry!AX6,qtrSales!$A:$A,0)+3)</f>
        <v>97</v>
      </c>
      <c r="AY82" s="361">
        <f>INDEX(qtrSales!$I:$I,MATCH(sumry!AY6,qtrSales!$A:$A,0)+4)</f>
        <v>98</v>
      </c>
      <c r="BA82" s="361">
        <f>INDEX(qtrSales!$I:$I,MATCH(sumry!BA6,qtrSales!$A:$A,0)+1)</f>
        <v>100</v>
      </c>
      <c r="BB82" s="361">
        <f>INDEX(qtrSales!$I:$I,MATCH(sumry!BB6,qtrSales!$A:$A,0)+2)</f>
        <v>107</v>
      </c>
      <c r="BC82" s="361">
        <f>INDEX(qtrSales!$I:$I,MATCH(sumry!BC6,qtrSales!$A:$A,0)+3)</f>
        <v>114</v>
      </c>
      <c r="BD82" s="361">
        <f>INDEX(qtrSales!$I:$I,MATCH(sumry!BD6,qtrSales!$A:$A,0)+4)</f>
        <v>114</v>
      </c>
      <c r="BF82" s="361">
        <f>INDEX(qtrSales!$I:$I,MATCH(sumry!BF6,qtrSales!$A:$A,0)+1)</f>
        <v>122</v>
      </c>
      <c r="BG82" s="361">
        <f>INDEX(qtrSales!$I:$I,MATCH(sumry!BG6,qtrSales!$A:$A,0)+2)</f>
        <v>122</v>
      </c>
      <c r="BH82" s="361">
        <f>INDEX(qtrSales!$I:$I,MATCH(sumry!BH6,qtrSales!$A:$A,0)+3)</f>
        <v>131</v>
      </c>
      <c r="BI82" s="361">
        <f>INDEX(qtrSales!$I:$I,MATCH(sumry!BI6,qtrSales!$A:$A,0)+4)</f>
        <v>127</v>
      </c>
      <c r="BK82" s="361">
        <f>INDEX(qtrSales!$I:$I,MATCH(sumry!BK6,qtrSales!$A:$A,0)+1)</f>
        <v>136</v>
      </c>
      <c r="BL82" s="361">
        <f>INDEX(qtrSales!$I:$I,MATCH(sumry!BL6,qtrSales!$A:$A,0)+2)</f>
        <v>136</v>
      </c>
      <c r="BM82" s="361">
        <f>INDEX(qtrSales!$I:$I,MATCH(sumry!BM6,qtrSales!$A:$A,0)+3)</f>
        <v>142</v>
      </c>
      <c r="BN82" s="361">
        <f>INDEX(qtrSales!$I:$I,MATCH(sumry!BN6,qtrSales!$A:$A,0)+4)</f>
        <v>143</v>
      </c>
      <c r="BP82" s="361">
        <f>INDEX(qtrSales!$I:$I,MATCH(sumry!BP6,qtrSales!$A:$A,0)+1)</f>
        <v>143</v>
      </c>
      <c r="BQ82" s="361">
        <f>INDEX(qtrSales!$I:$I,MATCH(sumry!BQ6,qtrSales!$A:$A,0)+2)</f>
        <v>143</v>
      </c>
      <c r="BR82" s="361">
        <f>INDEX(qtrSales!$I:$I,MATCH(sumry!BR6,qtrSales!$A:$A,0)+3)</f>
        <v>147</v>
      </c>
      <c r="BS82" s="361">
        <f>INDEX(qtrSales!$I:$I,MATCH(sumry!BS6,qtrSales!$A:$A,0)+4)</f>
        <v>141</v>
      </c>
      <c r="BU82" s="361">
        <f>INDEX(qtrSales!$I:$I,MATCH(sumry!BU6,qtrSales!$A:$A,0)+1)</f>
        <v>142</v>
      </c>
      <c r="BV82" s="361">
        <f>INDEX(qtrSales!$I:$I,MATCH(sumry!BV6,qtrSales!$A:$A,0)+2)</f>
        <v>149</v>
      </c>
      <c r="BW82" s="361">
        <f>INDEX(qtrSales!$I:$I,MATCH(sumry!BW6,qtrSales!$A:$A,0)+3)</f>
        <v>149</v>
      </c>
      <c r="BX82" s="361">
        <f>INDEX(qtrSales!$I:$I,MATCH(sumry!BX6,qtrSales!$A:$A,0)+4)</f>
        <v>150</v>
      </c>
      <c r="BZ82" s="361">
        <f>INDEX(qtrSales!$I:$I,MATCH(sumry!BZ6,qtrSales!$A:$A,0)+1)</f>
        <v>151</v>
      </c>
      <c r="CA82" s="361">
        <f>INDEX(qtrSales!$I:$I,MATCH(sumry!CA6,qtrSales!$A:$A,0)+2)</f>
        <v>150</v>
      </c>
      <c r="CB82" s="361">
        <f>INDEX(qtrSales!$I:$I,MATCH(sumry!CB6,qtrSales!$A:$A,0)+3)</f>
        <v>154</v>
      </c>
      <c r="CC82" s="361">
        <f>INDEX(qtrSales!$I:$I,MATCH(sumry!CC6,qtrSales!$A:$A,0)+4)</f>
        <v>155</v>
      </c>
      <c r="CE82" s="361">
        <f>INDEX(qtrSales!$I:$I,MATCH(sumry!CE6,qtrSales!$A:$A,0)+1)</f>
        <v>156</v>
      </c>
      <c r="CF82" s="361">
        <f>INDEX(qtrSales!$I:$I,MATCH(sumry!CF6,qtrSales!$A:$A,0)+2)</f>
        <v>156</v>
      </c>
      <c r="CG82" s="361">
        <f>INDEX(qtrSales!$I:$I,MATCH(sumry!CG6,qtrSales!$A:$A,0)+3)</f>
        <v>156</v>
      </c>
      <c r="CH82" s="361">
        <f>INDEX(qtrSales!$I:$I,MATCH(sumry!CH6,qtrSales!$A:$A,0)+4)</f>
        <v>155</v>
      </c>
      <c r="CJ82" s="361">
        <f>INDEX(qtrSales!$I:$I,MATCH(sumry!CJ6,qtrSales!$A:$A,0)+1)</f>
        <v>155</v>
      </c>
      <c r="CK82" s="361">
        <f>INDEX(qtrSales!$I:$I,MATCH(sumry!CK6,qtrSales!$A:$A,0)+2)</f>
        <v>157</v>
      </c>
      <c r="CL82" s="361">
        <f>INDEX(qtrSales!$I:$I,MATCH(sumry!CL6,qtrSales!$A:$A,0)+3)</f>
        <v>157</v>
      </c>
      <c r="CM82" s="361">
        <f>INDEX(qtrSales!$I:$I,MATCH(sumry!CM6,qtrSales!$A:$A,0)+4)</f>
        <v>156</v>
      </c>
      <c r="CO82" s="361">
        <f>INDEX(qtrSales!$I:$I,MATCH(sumry!CO6,qtrSales!$A:$A,0)+1)</f>
        <v>159</v>
      </c>
      <c r="CP82" s="361">
        <f>INDEX(qtrSales!$I:$I,MATCH(sumry!CP6,qtrSales!$A:$A,0)+2)</f>
        <v>159</v>
      </c>
      <c r="CQ82" s="361">
        <f>INDEX(qtrSales!$I:$I,MATCH(sumry!CQ6,qtrSales!$A:$A,0)+3)</f>
        <v>166</v>
      </c>
      <c r="CR82" s="361">
        <f>INDEX(qtrSales!$I:$I,MATCH(sumry!CR6,qtrSales!$A:$A,0)+4)</f>
        <v>169</v>
      </c>
      <c r="CT82" s="361">
        <f>INDEX(qtrSales!$I:$I,MATCH(sumry!CT6,qtrSales!$A:$A,0)+1)</f>
        <v>175</v>
      </c>
      <c r="CU82" s="361">
        <f>INDEX(qtrSales!$I:$I,MATCH(sumry!CU6,qtrSales!$A:$A,0)+2)</f>
        <v>175</v>
      </c>
      <c r="CV82" s="361">
        <f>INDEX(qtrSales!$I:$I,MATCH(sumry!CV6,qtrSales!$A:$A,0)+3)</f>
        <v>182</v>
      </c>
      <c r="CW82" s="361">
        <f>INDEX(qtrSales!$I:$I,MATCH(sumry!CW6,qtrSales!$A:$A,0)+4)</f>
        <v>184</v>
      </c>
      <c r="CY82" s="361">
        <f>INDEX(qtrSales!$I:$I,MATCH(sumry!CY6,qtrSales!$A:$A,0)+1)</f>
        <v>192</v>
      </c>
      <c r="CZ82" s="362">
        <f>INDEX(qtrSales!$I:$I,MATCH(sumry!CZ6,qtrSales!$A:$A,0)+2)</f>
        <v>193</v>
      </c>
      <c r="DA82" s="362">
        <f>INDEX(qtrSales!$I:$I,MATCH(sumry!DA6,qtrSales!$A:$A,0)+3)</f>
        <v>203</v>
      </c>
      <c r="DB82" s="362">
        <f>INDEX(qtrSales!$I:$I,MATCH(sumry!DB6,qtrSales!$A:$A,0)+4)</f>
        <v>204</v>
      </c>
      <c r="DD82" s="362">
        <f>INDEX(qtrSales!$I:$I,MATCH(sumry!DD6,qtrSales!$A:$A,0)+1)</f>
        <v>211</v>
      </c>
      <c r="DE82" s="362">
        <f>INDEX(qtrSales!$I:$I,MATCH(sumry!DE6,qtrSales!$A:$A,0)+2)</f>
        <v>214</v>
      </c>
      <c r="DF82" s="362">
        <f>INDEX(qtrSales!$I:$I,MATCH(sumry!DF6,qtrSales!$A:$A,0)+3)</f>
        <v>225</v>
      </c>
      <c r="DG82" s="362">
        <f>INDEX(qtrSales!$I:$I,MATCH(sumry!DG6,qtrSales!$A:$A,0)+4)</f>
        <v>225</v>
      </c>
      <c r="DI82" s="362">
        <f>INDEX(qtrSales!$I:$I,MATCH(sumry!DI6,qtrSales!$A:$A,0)+1)</f>
        <v>229</v>
      </c>
      <c r="DJ82" s="362">
        <f>INDEX(qtrSales!$I:$I,MATCH(sumry!DJ6,qtrSales!$A:$A,0)+2)</f>
        <v>231</v>
      </c>
      <c r="DK82" s="362">
        <f>INDEX(qtrSales!$I:$I,MATCH(sumry!DK6,qtrSales!$A:$A,0)+3)</f>
        <v>238</v>
      </c>
      <c r="DL82" s="362">
        <f>INDEX(qtrSales!$I:$I,MATCH(sumry!DL6,qtrSales!$A:$A,0)+4)</f>
        <v>240</v>
      </c>
      <c r="DN82" s="362">
        <f>INDEX(qtrSales!$I:$I,MATCH(sumry!DN6,qtrSales!$A:$A,0)+1)</f>
        <v>245</v>
      </c>
      <c r="DO82" s="362">
        <f>INDEX(qtrSales!$I:$I,MATCH(sumry!DO6,qtrSales!$A:$A,0)+2)</f>
        <v>248</v>
      </c>
      <c r="DP82" s="362">
        <f>INDEX(qtrSales!$I:$I,MATCH(sumry!DP6,qtrSales!$A:$A,0)+3)</f>
        <v>257</v>
      </c>
      <c r="DQ82" s="362">
        <f>INDEX(qtrSales!$I:$I,MATCH(sumry!DQ6,qtrSales!$A:$A,0)+4)</f>
        <v>260</v>
      </c>
      <c r="DS82" s="362">
        <f>INDEX(qtrSales!$I:$I,MATCH(sumry!DS6,qtrSales!$A:$A,0)+1)</f>
        <v>270</v>
      </c>
      <c r="DT82" s="362">
        <f>INDEX(qtrSales!$I:$I,MATCH(sumry!DT6,qtrSales!$A:$A,0)+2)</f>
        <v>271</v>
      </c>
      <c r="DU82" s="362">
        <f>INDEX(qtrSales!$I:$I,MATCH(sumry!DU6,qtrSales!$A:$A,0)+3)</f>
        <v>293</v>
      </c>
      <c r="DV82" s="362">
        <f>INDEX(qtrSales!$I:$I,MATCH(sumry!DV6,qtrSales!$A:$A,0)+4)</f>
        <v>292</v>
      </c>
      <c r="DX82" s="362">
        <f>INDEX(qtrSales!$I:$I,MATCH(sumry!DX6,qtrSales!$A:$A,0)+1)</f>
        <v>303</v>
      </c>
      <c r="DY82" s="362">
        <f>INDEX(qtrSales!$I:$I,MATCH(sumry!DY6,qtrSales!$A:$A,0)+2)</f>
        <v>304</v>
      </c>
      <c r="DZ82" s="362">
        <f>INDEX(qtrSales!$I:$I,MATCH(sumry!DZ6,qtrSales!$A:$A,0)+3)</f>
        <v>323</v>
      </c>
      <c r="EA82" s="362">
        <f>INDEX(qtrSales!$I:$I,MATCH(sumry!EA6,qtrSales!$A:$A,0)+4)</f>
        <v>323</v>
      </c>
      <c r="EC82" s="362">
        <f>INDEX(qtrSales!$I:$I,MATCH(sumry!EC6,qtrSales!$A:$A,0)+1)</f>
        <v>330</v>
      </c>
      <c r="ED82" s="362">
        <f>INDEX(qtrSales!$I:$I,MATCH(sumry!ED6,qtrSales!$A:$A,0)+2)</f>
        <v>329</v>
      </c>
      <c r="EE82" s="362">
        <f>INDEX(qtrSales!$I:$I,MATCH(sumry!EE6,qtrSales!$A:$A,0)+3)</f>
        <v>348</v>
      </c>
      <c r="EF82" s="362">
        <f>INDEX(qtrSales!$I:$I,MATCH(sumry!EF6,qtrSales!$A:$A,0)+4)</f>
        <v>349</v>
      </c>
      <c r="EH82" s="362">
        <f>INDEX(qtrSales!$I:$I,MATCH(sumry!EH6,qtrSales!$A:$A,0)+1)</f>
        <v>353</v>
      </c>
      <c r="EI82" s="362">
        <f>INDEX(qtrSales!$I:$I,MATCH(sumry!EI6,qtrSales!$A:$A,0)+2)</f>
        <v>354</v>
      </c>
      <c r="EJ82" s="362">
        <f>INDEX(qtrSales!$I:$I,MATCH(sumry!EJ6,qtrSales!$A:$A,0)+3)</f>
        <v>366</v>
      </c>
      <c r="EK82" s="362">
        <f>INDEX(qtrSales!$I:$I,MATCH(sumry!EK6,qtrSales!$A:$A,0)+4)</f>
        <v>366</v>
      </c>
      <c r="EL82" s="362"/>
      <c r="EM82" s="362"/>
      <c r="EN82" s="362"/>
      <c r="EO82" s="362"/>
      <c r="EP82" s="362"/>
      <c r="EQ82" s="362"/>
      <c r="ES82" s="363"/>
      <c r="ET82" s="363"/>
      <c r="EU82" s="363">
        <f t="shared" ref="EU82:FV82" si="38">EU69</f>
        <v>72</v>
      </c>
      <c r="EV82" s="363">
        <f t="shared" si="38"/>
        <v>74</v>
      </c>
      <c r="EW82" s="363">
        <f t="shared" si="38"/>
        <v>76</v>
      </c>
      <c r="EX82" s="363">
        <f t="shared" si="38"/>
        <v>78</v>
      </c>
      <c r="EY82" s="363">
        <f t="shared" si="38"/>
        <v>82</v>
      </c>
      <c r="EZ82" s="363">
        <f t="shared" si="38"/>
        <v>87</v>
      </c>
      <c r="FA82" s="363">
        <f t="shared" si="38"/>
        <v>92</v>
      </c>
      <c r="FB82" s="363">
        <f t="shared" si="38"/>
        <v>98</v>
      </c>
      <c r="FC82" s="363">
        <f t="shared" si="38"/>
        <v>114</v>
      </c>
      <c r="FD82" s="363">
        <f t="shared" si="38"/>
        <v>127</v>
      </c>
      <c r="FE82" s="363">
        <f t="shared" si="38"/>
        <v>143</v>
      </c>
      <c r="FF82" s="363">
        <f t="shared" si="38"/>
        <v>141</v>
      </c>
      <c r="FG82" s="363">
        <f t="shared" si="38"/>
        <v>150</v>
      </c>
      <c r="FH82" s="363">
        <f t="shared" si="38"/>
        <v>155</v>
      </c>
      <c r="FI82" s="363">
        <f t="shared" si="38"/>
        <v>155</v>
      </c>
      <c r="FJ82" s="363">
        <f t="shared" si="38"/>
        <v>156</v>
      </c>
      <c r="FK82" s="363">
        <f t="shared" si="38"/>
        <v>169</v>
      </c>
      <c r="FL82" s="363">
        <f t="shared" si="38"/>
        <v>184</v>
      </c>
      <c r="FM82" s="363">
        <f t="shared" si="38"/>
        <v>204</v>
      </c>
      <c r="FN82" s="363">
        <f t="shared" si="38"/>
        <v>225</v>
      </c>
      <c r="FO82" s="363">
        <f t="shared" si="38"/>
        <v>240</v>
      </c>
      <c r="FP82" s="363">
        <f t="shared" si="38"/>
        <v>260</v>
      </c>
      <c r="FQ82" s="363">
        <f t="shared" si="38"/>
        <v>292</v>
      </c>
      <c r="FR82" s="363">
        <f t="shared" si="38"/>
        <v>323</v>
      </c>
      <c r="FS82" s="363">
        <f t="shared" si="38"/>
        <v>349</v>
      </c>
      <c r="FT82" s="363">
        <f t="shared" si="38"/>
        <v>366</v>
      </c>
      <c r="FU82" s="363">
        <f t="shared" si="38"/>
        <v>380</v>
      </c>
      <c r="FV82" s="363">
        <f t="shared" si="38"/>
        <v>397</v>
      </c>
      <c r="FW82" s="363">
        <f>FW69</f>
        <v>409</v>
      </c>
      <c r="FX82" s="364">
        <f>FX69</f>
        <v>416</v>
      </c>
      <c r="FY82" s="364">
        <f>FY69</f>
        <v>423</v>
      </c>
      <c r="FZ82" s="363"/>
      <c r="GA82" s="363"/>
      <c r="GB82" s="363"/>
      <c r="GC82" s="363"/>
      <c r="GD82" s="363"/>
    </row>
    <row r="83" spans="1:186" x14ac:dyDescent="0.2">
      <c r="A83" s="249" t="s">
        <v>237</v>
      </c>
      <c r="C83" s="361"/>
      <c r="D83" s="361"/>
      <c r="E83" s="361"/>
      <c r="F83" s="361"/>
      <c r="H83" s="361"/>
      <c r="I83" s="361"/>
      <c r="J83" s="361"/>
      <c r="K83" s="361"/>
      <c r="M83" s="361"/>
      <c r="N83" s="361"/>
      <c r="O83" s="361"/>
      <c r="P83" s="361"/>
      <c r="R83" s="361"/>
      <c r="S83" s="361"/>
      <c r="T83" s="361"/>
      <c r="U83" s="361"/>
      <c r="W83" s="361"/>
      <c r="X83" s="361"/>
      <c r="Y83" s="361"/>
      <c r="Z83" s="361"/>
      <c r="AB83" s="361"/>
      <c r="AC83" s="361"/>
      <c r="AD83" s="361"/>
      <c r="AE83" s="361"/>
      <c r="AG83" s="361"/>
      <c r="AH83" s="361"/>
      <c r="AI83" s="361"/>
      <c r="AJ83" s="361"/>
      <c r="AL83" s="361"/>
      <c r="AM83" s="361"/>
      <c r="AN83" s="361"/>
      <c r="AO83" s="361"/>
      <c r="AQ83" s="361">
        <f>INDEX(qtrSales!$Z:$Z,MATCH(sumry!AQ6,qtrSales!$A:$A,0)+1)/1000</f>
        <v>1.3126899999999999E-2</v>
      </c>
      <c r="AR83" s="361">
        <f>INDEX(qtrSales!$Z:$Z,MATCH(sumry!AR6,qtrSales!$A:$A,0)+2)/1000</f>
        <v>1.32189E-2</v>
      </c>
      <c r="AS83" s="361">
        <f>INDEX(qtrSales!$Z:$Z,MATCH(sumry!AS6,qtrSales!$A:$A,0)+3)/1000</f>
        <v>1.38239E-2</v>
      </c>
      <c r="AT83" s="361">
        <f>INDEX(qtrSales!$Z:$Z,MATCH(sumry!AT6,qtrSales!$A:$A,0)+4)/1000</f>
        <v>1.37319E-2</v>
      </c>
      <c r="AV83" s="361">
        <f>INDEX(qtrSales!$Z:$Z,MATCH(sumry!AV6,qtrSales!$A:$A,0)+1)/1000</f>
        <v>1.3813000000000001E-2</v>
      </c>
      <c r="AW83" s="361">
        <f>INDEX(qtrSales!$Z:$Z,MATCH(sumry!AW6,qtrSales!$A:$A,0)+2)/1000</f>
        <v>1.3813000000000001E-2</v>
      </c>
      <c r="AX83" s="361">
        <f>INDEX(qtrSales!$Z:$Z,MATCH(sumry!AX6,qtrSales!$A:$A,0)+3)/1000</f>
        <v>1.4437E-2</v>
      </c>
      <c r="AY83" s="361">
        <f>INDEX(qtrSales!$Z:$Z,MATCH(sumry!AY6,qtrSales!$A:$A,0)+4)/1000</f>
        <v>1.4487E-2</v>
      </c>
      <c r="BA83" s="361">
        <f>INDEX(qtrSales!$Z:$Z,MATCH(sumry!BA6,qtrSales!$A:$A,0)+1)/1000</f>
        <v>1.4702999999999999E-2</v>
      </c>
      <c r="BB83" s="361">
        <f>INDEX(qtrSales!$Z:$Z,MATCH(sumry!BB6,qtrSales!$A:$A,0)+2)/1000</f>
        <v>1.5212999999999999E-2</v>
      </c>
      <c r="BC83" s="361">
        <f>INDEX(qtrSales!$Z:$Z,MATCH(sumry!BC6,qtrSales!$A:$A,0)+3)/1000</f>
        <v>1.5970999999999999E-2</v>
      </c>
      <c r="BD83" s="361">
        <f>INDEX(qtrSales!$Z:$Z,MATCH(sumry!BD6,qtrSales!$A:$A,0)+4)/1000</f>
        <v>1.5987000000000001E-2</v>
      </c>
      <c r="BF83" s="361">
        <f>INDEX(qtrSales!$Z:$Z,MATCH(sumry!BF6,qtrSales!$A:$A,0)+1)/1000</f>
        <v>1.6306999999999999E-2</v>
      </c>
      <c r="BG83" s="361">
        <f>INDEX(qtrSales!$Z:$Z,MATCH(sumry!BG6,qtrSales!$A:$A,0)+2)/1000</f>
        <v>1.6306999999999999E-2</v>
      </c>
      <c r="BH83" s="361">
        <f>INDEX(qtrSales!$Z:$Z,MATCH(sumry!BH6,qtrSales!$A:$A,0)+3)/1000</f>
        <v>1.7033E-2</v>
      </c>
      <c r="BI83" s="361">
        <f>INDEX(qtrSales!$Z:$Z,MATCH(sumry!BI6,qtrSales!$A:$A,0)+4)/1000</f>
        <v>1.7010999999999998E-2</v>
      </c>
      <c r="BK83" s="361">
        <f>INDEX(qtrSales!$Z:$Z,MATCH(sumry!BK6,qtrSales!$A:$A,0)+1)/1000</f>
        <v>1.7475000000000001E-2</v>
      </c>
      <c r="BL83" s="361">
        <f>INDEX(qtrSales!$Z:$Z,MATCH(sumry!BL6,qtrSales!$A:$A,0)+2)/1000</f>
        <v>1.7454999999999998E-2</v>
      </c>
      <c r="BM83" s="361">
        <f>INDEX(qtrSales!$Z:$Z,MATCH(sumry!BM6,qtrSales!$A:$A,0)+3)/1000</f>
        <v>1.8179999999999998E-2</v>
      </c>
      <c r="BN83" s="361">
        <f>INDEX(qtrSales!$Z:$Z,MATCH(sumry!BN6,qtrSales!$A:$A,0)+4)/1000</f>
        <v>1.8428E-2</v>
      </c>
      <c r="BP83" s="361">
        <f>INDEX(qtrSales!$Z:$Z,MATCH(sumry!BP6,qtrSales!$A:$A,0)+1)/1000</f>
        <v>1.8613000000000001E-2</v>
      </c>
      <c r="BQ83" s="361">
        <f>INDEX(qtrSales!$Z:$Z,MATCH(sumry!BQ6,qtrSales!$A:$A,0)+2)/1000</f>
        <v>1.8613000000000001E-2</v>
      </c>
      <c r="BR83" s="361">
        <f>INDEX(qtrSales!$Z:$Z,MATCH(sumry!BR6,qtrSales!$A:$A,0)+3)/1000</f>
        <v>1.8977999999999998E-2</v>
      </c>
      <c r="BS83" s="361">
        <f>INDEX(qtrSales!$Z:$Z,MATCH(sumry!BS6,qtrSales!$A:$A,0)+4)/1000</f>
        <v>1.9138000000000002E-2</v>
      </c>
      <c r="BU83" s="361">
        <f>INDEX(qtrSales!$Z:$Z,MATCH(sumry!BU6,qtrSales!$A:$A,0)+1)/1000</f>
        <v>1.9289000000000001E-2</v>
      </c>
      <c r="BV83" s="361">
        <f>INDEX(qtrSales!$Z:$Z,MATCH(sumry!BV6,qtrSales!$A:$A,0)+2)/1000</f>
        <v>1.9289000000000001E-2</v>
      </c>
      <c r="BW83" s="361">
        <f>INDEX(qtrSales!$Z:$Z,MATCH(sumry!BW6,qtrSales!$A:$A,0)+3)/1000</f>
        <v>1.9439000000000001E-2</v>
      </c>
      <c r="BX83" s="361">
        <f>INDEX(qtrSales!$Z:$Z,MATCH(sumry!BX6,qtrSales!$A:$A,0)+4)/1000</f>
        <v>1.9396999999999998E-2</v>
      </c>
      <c r="BZ83" s="361">
        <f>INDEX(qtrSales!$Z:$Z,MATCH(sumry!BZ6,qtrSales!$A:$A,0)+1)/1000</f>
        <v>1.9550000000000001E-2</v>
      </c>
      <c r="CA83" s="361">
        <f>INDEX(qtrSales!$Z:$Z,MATCH(sumry!CA6,qtrSales!$A:$A,0)+2)/1000</f>
        <v>1.9578999999999999E-2</v>
      </c>
      <c r="CB83" s="361">
        <f>INDEX(qtrSales!$Z:$Z,MATCH(sumry!CB6,qtrSales!$A:$A,0)+3)/1000</f>
        <v>2.0057999999999999E-2</v>
      </c>
      <c r="CC83" s="361">
        <f>INDEX(qtrSales!$Z:$Z,MATCH(sumry!CC6,qtrSales!$A:$A,0)+4)/1000</f>
        <v>2.0070000000000001E-2</v>
      </c>
      <c r="CE83" s="361">
        <f>INDEX(qtrSales!$Z:$Z,MATCH(sumry!CE6,qtrSales!$A:$A,0)+1)/1000</f>
        <v>2.0070000000000001E-2</v>
      </c>
      <c r="CF83" s="361">
        <f>INDEX(qtrSales!$Z:$Z,MATCH(sumry!CF6,qtrSales!$A:$A,0)+2)/1000</f>
        <v>2.0216999999999999E-2</v>
      </c>
      <c r="CG83" s="361">
        <f>INDEX(qtrSales!$Z:$Z,MATCH(sumry!CG6,qtrSales!$A:$A,0)+3)/1000</f>
        <v>2.0277999999999997E-2</v>
      </c>
      <c r="CH83" s="361">
        <f>INDEX(qtrSales!$Z:$Z,MATCH(sumry!CH6,qtrSales!$A:$A,0)+4)/1000</f>
        <v>2.017E-2</v>
      </c>
      <c r="CJ83" s="361">
        <f>INDEX(qtrSales!$Z:$Z,MATCH(sumry!CJ6,qtrSales!$A:$A,0)+1)/1000</f>
        <v>2.017E-2</v>
      </c>
      <c r="CK83" s="361">
        <f>INDEX(qtrSales!$Z:$Z,MATCH(sumry!CK6,qtrSales!$A:$A,0)+2)/1000</f>
        <v>2.0191000000000001E-2</v>
      </c>
      <c r="CL83" s="361">
        <f>INDEX(qtrSales!$Z:$Z,MATCH(sumry!CL6,qtrSales!$A:$A,0)+3)/1000</f>
        <v>2.0542000000000001E-2</v>
      </c>
      <c r="CM83" s="361">
        <f>INDEX(qtrSales!$Z:$Z,MATCH(sumry!CM6,qtrSales!$A:$A,0)+4)/1000</f>
        <v>2.0501999999999999E-2</v>
      </c>
      <c r="CO83" s="361">
        <f>INDEX(qtrSales!$Z:$Z,MATCH(sumry!CO6,qtrSales!$A:$A,0)+1)/1000</f>
        <v>2.1138999999999998E-2</v>
      </c>
      <c r="CP83" s="361">
        <f>INDEX(qtrSales!$Z:$Z,MATCH(sumry!CP6,qtrSales!$A:$A,0)+2)/1000</f>
        <v>2.1138999999999998E-2</v>
      </c>
      <c r="CQ83" s="361">
        <f>INDEX(qtrSales!$Z:$Z,MATCH(sumry!CQ6,qtrSales!$A:$A,0)+3)/1000</f>
        <v>2.1717E-2</v>
      </c>
      <c r="CR83" s="361">
        <f>INDEX(qtrSales!$Z:$Z,MATCH(sumry!CR6,qtrSales!$A:$A,0)+4)/1000</f>
        <v>2.1876E-2</v>
      </c>
      <c r="CT83" s="361">
        <f>INDEX(qtrSales!$Z:$Z,MATCH(sumry!CT6,qtrSales!$A:$A,0)+1)/1000</f>
        <v>2.2335999999999998E-2</v>
      </c>
      <c r="CU83" s="361">
        <f>INDEX(qtrSales!$Z:$Z,MATCH(sumry!CU6,qtrSales!$A:$A,0)+2)/1000</f>
        <v>2.2350999999999999E-2</v>
      </c>
      <c r="CV83" s="361">
        <f>INDEX(qtrSales!$Z:$Z,MATCH(sumry!CV6,qtrSales!$A:$A,0)+3)/1000</f>
        <v>2.2702000000000003E-2</v>
      </c>
      <c r="CW83" s="361">
        <f>INDEX(qtrSales!$Z:$Z,MATCH(sumry!CW6,qtrSales!$A:$A,0)+4)/1000</f>
        <v>2.2772999999999998E-2</v>
      </c>
      <c r="CY83" s="361">
        <f>INDEX(qtrSales!$Z:$Z,MATCH(sumry!CY6,qtrSales!$A:$A,0)+1)/1000</f>
        <v>2.3289000000000001E-2</v>
      </c>
      <c r="CZ83" s="362">
        <f>INDEX(qtrSales!$Z:$Z,MATCH(sumry!CZ6,qtrSales!$A:$A,0)+2)/1000</f>
        <v>2.3342999999999999E-2</v>
      </c>
      <c r="DA83" s="362">
        <f>INDEX(qtrSales!$Z:$Z,MATCH(sumry!DA6,qtrSales!$A:$A,0)+3)/1000</f>
        <v>2.3802E-2</v>
      </c>
      <c r="DB83" s="362">
        <f>INDEX(qtrSales!$Z:$Z,MATCH(sumry!DB6,qtrSales!$A:$A,0)+4)/1000</f>
        <v>2.3838000000000002E-2</v>
      </c>
      <c r="DC83" s="362"/>
      <c r="DD83" s="362">
        <f>INDEX(qtrSales!$Z:$Z,MATCH(sumry!DD6,qtrSales!$A:$A,0)+1)/1000</f>
        <v>2.4184000000000001E-2</v>
      </c>
      <c r="DE83" s="362">
        <f>INDEX(qtrSales!$Z:$Z,MATCH(sumry!DE6,qtrSales!$A:$A,0)+2)/1000</f>
        <v>2.4297999999999997E-2</v>
      </c>
      <c r="DF83" s="362">
        <f>INDEX(qtrSales!$Z:$Z,MATCH(sumry!DF6,qtrSales!$A:$A,0)+3)/1000</f>
        <v>2.4743999999999999E-2</v>
      </c>
      <c r="DG83" s="362">
        <f>INDEX(qtrSales!$Z:$Z,MATCH(sumry!DG6,qtrSales!$A:$A,0)+4)/1000</f>
        <v>2.4744999999999996E-2</v>
      </c>
      <c r="DH83" s="362" t="e">
        <f>INDEX(qtrSales!$Z:$Z,MATCH(sumry!DH6,qtrSales!$A:$A,0)+1)/1000</f>
        <v>#N/A</v>
      </c>
      <c r="DI83" s="362">
        <f>INDEX(qtrSales!$Z:$Z,MATCH(sumry!DI6,qtrSales!$A:$A,0)+1)/1000</f>
        <v>2.4898E-2</v>
      </c>
      <c r="DJ83" s="362">
        <f>INDEX(qtrSales!$Z:$Z,MATCH(sumry!DJ6,qtrSales!$A:$A,0)+2)/1000</f>
        <v>2.4974E-2</v>
      </c>
      <c r="DK83" s="362">
        <f>INDEX(qtrSales!$Z:$Z,MATCH(sumry!DK6,qtrSales!$A:$A,0)+3)/1000</f>
        <v>2.5212999999999999E-2</v>
      </c>
      <c r="DL83" s="362">
        <f>INDEX(qtrSales!$Z:$Z,MATCH(sumry!DL6,qtrSales!$A:$A,0)+4)/1000</f>
        <v>2.529E-2</v>
      </c>
      <c r="DM83" s="362" t="e">
        <f>INDEX(qtrSales!$Z:$Z,MATCH(sumry!DM6,qtrSales!$A:$A,0)+1)/1000</f>
        <v>#N/A</v>
      </c>
      <c r="DN83" s="362">
        <f>INDEX(qtrSales!$Z:$Z,MATCH(sumry!DN6,qtrSales!$A:$A,0)+1)/1000</f>
        <v>2.5463E-2</v>
      </c>
      <c r="DO83" s="362">
        <f>INDEX(qtrSales!$Z:$Z,MATCH(sumry!DO6,qtrSales!$A:$A,0)+2)/1000</f>
        <v>2.5566999999999999E-2</v>
      </c>
      <c r="DP83" s="362">
        <f>INDEX(qtrSales!$Z:$Z,MATCH(sumry!DP6,qtrSales!$A:$A,0)+3)/1000</f>
        <v>2.5905999999999998E-2</v>
      </c>
      <c r="DQ83" s="362">
        <f>INDEX(qtrSales!$Z:$Z,MATCH(sumry!DQ6,qtrSales!$A:$A,0)+4)/1000</f>
        <v>2.6016999999999998E-2</v>
      </c>
      <c r="DR83" s="362" t="e">
        <f>INDEX(qtrSales!$Z:$Z,MATCH(sumry!DR6,qtrSales!$A:$A,0)+1)/1000</f>
        <v>#N/A</v>
      </c>
      <c r="DS83" s="362">
        <f>INDEX(qtrSales!$Z:$Z,MATCH(sumry!DS6,qtrSales!$A:$A,0)+1)/1000</f>
        <v>2.6407E-2</v>
      </c>
      <c r="DT83" s="362">
        <f>INDEX(qtrSales!$Z:$Z,MATCH(sumry!DT6,qtrSales!$A:$A,0)+2)/1000</f>
        <v>2.6442E-2</v>
      </c>
      <c r="DU83" s="362">
        <f>INDEX(qtrSales!$Z:$Z,MATCH(sumry!DU6,qtrSales!$A:$A,0)+3)/1000</f>
        <v>2.7271999999999998E-2</v>
      </c>
      <c r="DV83" s="362">
        <f>INDEX(qtrSales!$Z:$Z,MATCH(sumry!DV6,qtrSales!$A:$A,0)+4)/1000</f>
        <v>2.7060999999999998E-2</v>
      </c>
      <c r="DW83" s="362"/>
      <c r="DX83" s="362">
        <f>INDEX(qtrSales!$Z:$Z,MATCH(sumry!DX6,qtrSales!$A:$A,0)+1)/1000</f>
        <v>2.7519999999999999E-2</v>
      </c>
      <c r="DY83" s="362">
        <f>INDEX(qtrSales!$Z:$Z,MATCH(sumry!DY6,qtrSales!$A:$A,0)+2)/1000</f>
        <v>2.7556000000000001E-2</v>
      </c>
      <c r="DZ83" s="362">
        <f>INDEX(qtrSales!$Z:$Z,MATCH(sumry!DZ6,qtrSales!$A:$A,0)+3)/1000</f>
        <v>2.861E-2</v>
      </c>
      <c r="EA83" s="362">
        <f>INDEX(qtrSales!$Z:$Z,MATCH(sumry!EA6,qtrSales!$A:$A,0)+4)/1000</f>
        <v>2.861E-2</v>
      </c>
      <c r="EB83" s="362"/>
      <c r="EC83" s="362">
        <f>INDEX(qtrSales!$Z:$Z,MATCH(sumry!EC6,qtrSales!$A:$A,0)+1)/1000</f>
        <v>2.8771999999999999E-2</v>
      </c>
      <c r="ED83" s="362">
        <f>INDEX(qtrSales!$Z:$Z,MATCH(sumry!ED6,qtrSales!$A:$A,0)+2)/1000</f>
        <v>2.8826000000000001E-2</v>
      </c>
      <c r="EE83" s="362">
        <f>INDEX(qtrSales!$Z:$Z,MATCH(sumry!EE6,qtrSales!$A:$A,0)+3)/1000</f>
        <v>2.9783E-2</v>
      </c>
      <c r="EF83" s="362">
        <f>INDEX(qtrSales!$Z:$Z,MATCH(sumry!EF6,qtrSales!$A:$A,0)+4)/1000</f>
        <v>2.9792000000000003E-2</v>
      </c>
      <c r="EG83" s="362"/>
      <c r="EH83" s="362">
        <f>INDEX(qtrSales!$Z:$Z,MATCH(sumry!EH6,qtrSales!$A:$A,0)+1)/1000</f>
        <v>2.9763999999999999E-2</v>
      </c>
      <c r="EI83" s="362">
        <f>INDEX(qtrSales!$Z:$Z,MATCH(sumry!EI6,qtrSales!$A:$A,0)+2)/1000</f>
        <v>2.9803E-2</v>
      </c>
      <c r="EJ83" s="362">
        <f>INDEX(qtrSales!$Z:$Z,MATCH(sumry!EJ6,qtrSales!$A:$A,0)+3)/1000</f>
        <v>3.0223E-2</v>
      </c>
      <c r="EK83" s="362">
        <f>INDEX(qtrSales!$Z:$Z,MATCH(sumry!EK6,qtrSales!$A:$A,0)+4)/1000</f>
        <v>3.0217999999999998E-2</v>
      </c>
      <c r="EL83" s="362"/>
      <c r="EM83" s="362"/>
      <c r="EN83" s="362"/>
      <c r="EO83" s="362"/>
      <c r="EP83" s="362"/>
      <c r="EQ83" s="362"/>
      <c r="ER83" s="362"/>
      <c r="ES83" s="362"/>
      <c r="ET83" s="362"/>
      <c r="EU83" s="362"/>
      <c r="EV83" s="362"/>
      <c r="EW83" s="362"/>
      <c r="EX83" s="362">
        <f t="shared" ref="EX83:FV83" si="39">EX72</f>
        <v>10.712999999999999</v>
      </c>
      <c r="EY83" s="362">
        <f t="shared" si="39"/>
        <v>11.754</v>
      </c>
      <c r="EZ83" s="362">
        <f t="shared" si="39"/>
        <v>12.6136</v>
      </c>
      <c r="FA83" s="362">
        <f t="shared" si="39"/>
        <v>13.7319</v>
      </c>
      <c r="FB83" s="362">
        <f t="shared" si="39"/>
        <v>14.487</v>
      </c>
      <c r="FC83" s="362">
        <f t="shared" si="39"/>
        <v>15.987</v>
      </c>
      <c r="FD83" s="362">
        <f t="shared" si="39"/>
        <v>17.010999999999999</v>
      </c>
      <c r="FE83" s="362">
        <f t="shared" si="39"/>
        <v>18.428000000000001</v>
      </c>
      <c r="FF83" s="362">
        <f t="shared" si="39"/>
        <v>19.138000000000002</v>
      </c>
      <c r="FG83" s="362">
        <f t="shared" si="39"/>
        <v>19.396999999999998</v>
      </c>
      <c r="FH83" s="362">
        <f t="shared" si="39"/>
        <v>20.07</v>
      </c>
      <c r="FI83" s="362">
        <f t="shared" si="39"/>
        <v>20.170000000000002</v>
      </c>
      <c r="FJ83" s="362">
        <f t="shared" si="39"/>
        <v>20.501999999999999</v>
      </c>
      <c r="FK83" s="362">
        <f t="shared" si="39"/>
        <v>21.876000000000001</v>
      </c>
      <c r="FL83" s="362">
        <f t="shared" si="39"/>
        <v>22.773</v>
      </c>
      <c r="FM83" s="362">
        <f t="shared" si="39"/>
        <v>23.838000000000001</v>
      </c>
      <c r="FN83" s="362">
        <f t="shared" si="39"/>
        <v>24.744999999999997</v>
      </c>
      <c r="FO83" s="362">
        <f t="shared" si="39"/>
        <v>25.29</v>
      </c>
      <c r="FP83" s="362">
        <f t="shared" si="39"/>
        <v>26.016999999999999</v>
      </c>
      <c r="FQ83" s="362">
        <f t="shared" si="39"/>
        <v>27.061</v>
      </c>
      <c r="FR83" s="362">
        <f t="shared" si="39"/>
        <v>28.61</v>
      </c>
      <c r="FS83" s="362">
        <f t="shared" si="39"/>
        <v>29.792000000000002</v>
      </c>
      <c r="FT83" s="362">
        <f t="shared" si="39"/>
        <v>30.218</v>
      </c>
      <c r="FU83" s="362">
        <f t="shared" si="39"/>
        <v>31.464310800310798</v>
      </c>
      <c r="FV83" s="362">
        <f t="shared" si="39"/>
        <v>32.265752408667417</v>
      </c>
      <c r="FW83" s="362">
        <f>FW72</f>
        <v>33.098637439288161</v>
      </c>
      <c r="FX83" s="361">
        <f>FX72</f>
        <v>33.740411296513166</v>
      </c>
      <c r="FY83" s="361">
        <f>FY72</f>
        <v>34.286629567040293</v>
      </c>
      <c r="FZ83" s="362"/>
      <c r="GA83" s="362"/>
      <c r="GB83" s="362"/>
      <c r="GC83" s="362"/>
      <c r="GD83" s="362"/>
    </row>
    <row r="84" spans="1:186" ht="11.1" customHeight="1" x14ac:dyDescent="0.2">
      <c r="A84" s="249" t="s">
        <v>4</v>
      </c>
      <c r="B84" s="365"/>
      <c r="C84" s="366">
        <v>0.35</v>
      </c>
      <c r="D84" s="366">
        <v>0.35</v>
      </c>
      <c r="E84" s="366">
        <v>0.35</v>
      </c>
      <c r="F84" s="366">
        <v>0.35</v>
      </c>
      <c r="G84" s="365"/>
      <c r="H84" s="366">
        <v>0.35</v>
      </c>
      <c r="I84" s="366">
        <v>0.35</v>
      </c>
      <c r="J84" s="366">
        <v>0.35</v>
      </c>
      <c r="K84" s="366">
        <v>0.35</v>
      </c>
      <c r="L84" s="365"/>
      <c r="M84" s="366">
        <v>0.35</v>
      </c>
      <c r="N84" s="366">
        <v>0.35</v>
      </c>
      <c r="O84" s="366">
        <v>0.35</v>
      </c>
      <c r="P84" s="366">
        <v>0.35</v>
      </c>
      <c r="Q84" s="365"/>
      <c r="R84" s="366">
        <v>0.35</v>
      </c>
      <c r="S84" s="366">
        <v>0.35</v>
      </c>
      <c r="T84" s="366">
        <v>0.35</v>
      </c>
      <c r="U84" s="366">
        <v>0.35</v>
      </c>
      <c r="V84" s="365"/>
      <c r="W84" s="366">
        <v>0.35</v>
      </c>
      <c r="X84" s="366">
        <v>0.35</v>
      </c>
      <c r="Y84" s="366">
        <v>0.35</v>
      </c>
      <c r="Z84" s="366">
        <v>0.35</v>
      </c>
      <c r="AA84" s="365"/>
      <c r="AB84" s="366">
        <v>0.35</v>
      </c>
      <c r="AC84" s="366">
        <v>0.35</v>
      </c>
      <c r="AD84" s="366">
        <v>0.35</v>
      </c>
      <c r="AE84" s="366">
        <v>0.35</v>
      </c>
      <c r="AF84" s="365"/>
      <c r="AG84" s="366">
        <v>0.35</v>
      </c>
      <c r="AH84" s="366">
        <v>0.35</v>
      </c>
      <c r="AI84" s="366">
        <v>0.35</v>
      </c>
      <c r="AJ84" s="366">
        <v>0.35</v>
      </c>
      <c r="AK84" s="365"/>
      <c r="AL84" s="366">
        <v>0.35</v>
      </c>
      <c r="AM84" s="366">
        <v>0.35</v>
      </c>
      <c r="AN84" s="366">
        <v>0.35</v>
      </c>
      <c r="AO84" s="366">
        <v>0.35</v>
      </c>
      <c r="AP84" s="365"/>
      <c r="AQ84" s="366">
        <v>0.35</v>
      </c>
      <c r="AR84" s="366">
        <v>0.35</v>
      </c>
      <c r="AS84" s="366">
        <v>0.35</v>
      </c>
      <c r="AT84" s="366">
        <v>0.35</v>
      </c>
      <c r="AU84" s="366"/>
      <c r="AV84" s="366">
        <v>0.35</v>
      </c>
      <c r="AW84" s="366">
        <v>0.35</v>
      </c>
      <c r="AX84" s="366">
        <v>0.35</v>
      </c>
      <c r="AY84" s="366">
        <v>0.35</v>
      </c>
      <c r="AZ84" s="365"/>
      <c r="BA84" s="366">
        <v>0.35</v>
      </c>
      <c r="BB84" s="366">
        <v>0.35</v>
      </c>
      <c r="BC84" s="366">
        <v>0.35</v>
      </c>
      <c r="BD84" s="366">
        <v>0.35</v>
      </c>
      <c r="BE84" s="366"/>
      <c r="BF84" s="366">
        <v>0.35</v>
      </c>
      <c r="BG84" s="366">
        <v>0.35</v>
      </c>
      <c r="BH84" s="366">
        <v>0.35</v>
      </c>
      <c r="BI84" s="366">
        <v>0.35</v>
      </c>
      <c r="BJ84" s="365"/>
      <c r="BK84" s="366">
        <v>0.35</v>
      </c>
      <c r="BL84" s="366">
        <v>0.35</v>
      </c>
      <c r="BM84" s="366">
        <v>0.35</v>
      </c>
      <c r="BN84" s="366">
        <v>0.35</v>
      </c>
      <c r="BO84" s="365"/>
      <c r="BP84" s="366">
        <v>0.35</v>
      </c>
      <c r="BQ84" s="366">
        <v>0.35</v>
      </c>
      <c r="BR84" s="366">
        <v>0.35</v>
      </c>
      <c r="BS84" s="366">
        <v>0.35</v>
      </c>
      <c r="BT84" s="365"/>
      <c r="BU84" s="366">
        <v>0.35</v>
      </c>
      <c r="BV84" s="366">
        <v>0.35</v>
      </c>
      <c r="BW84" s="366">
        <v>0.35</v>
      </c>
      <c r="BX84" s="366">
        <v>0.35</v>
      </c>
      <c r="BY84" s="366"/>
      <c r="BZ84" s="366">
        <v>0.35</v>
      </c>
      <c r="CA84" s="366">
        <v>0.35</v>
      </c>
      <c r="CB84" s="366">
        <v>0.35</v>
      </c>
      <c r="CC84" s="366">
        <v>0.35</v>
      </c>
      <c r="CD84" s="365"/>
      <c r="CE84" s="366">
        <v>0.35</v>
      </c>
      <c r="CF84" s="366">
        <v>0.35</v>
      </c>
      <c r="CG84" s="366">
        <v>0.35</v>
      </c>
      <c r="CH84" s="366">
        <v>0.35</v>
      </c>
      <c r="CI84" s="366"/>
      <c r="CJ84" s="366">
        <v>0.35</v>
      </c>
      <c r="CK84" s="366">
        <v>0.35</v>
      </c>
      <c r="CL84" s="366">
        <v>0.35</v>
      </c>
      <c r="CM84" s="366">
        <v>0.35</v>
      </c>
      <c r="CN84" s="365"/>
      <c r="CO84" s="366">
        <v>0.35</v>
      </c>
      <c r="CP84" s="366">
        <v>0.35</v>
      </c>
      <c r="CQ84" s="366">
        <v>0.35</v>
      </c>
      <c r="CR84" s="366">
        <v>0.35</v>
      </c>
      <c r="CS84" s="366"/>
      <c r="CT84" s="366">
        <v>0.35</v>
      </c>
      <c r="CU84" s="366">
        <v>0.35</v>
      </c>
      <c r="CV84" s="366">
        <v>0.35</v>
      </c>
      <c r="CW84" s="366">
        <v>0.35</v>
      </c>
      <c r="CX84" s="365"/>
      <c r="CY84" s="366">
        <v>0.35</v>
      </c>
      <c r="CZ84" s="367">
        <v>0.35</v>
      </c>
      <c r="DA84" s="367">
        <v>0.35</v>
      </c>
      <c r="DB84" s="367">
        <v>0.35</v>
      </c>
      <c r="DC84" s="368"/>
      <c r="DD84" s="367">
        <v>0.35</v>
      </c>
      <c r="DE84" s="367">
        <v>0.35</v>
      </c>
      <c r="DF84" s="367">
        <v>0.35</v>
      </c>
      <c r="DG84" s="367">
        <v>0.35</v>
      </c>
      <c r="DH84" s="368"/>
      <c r="DI84" s="367">
        <v>0.35</v>
      </c>
      <c r="DJ84" s="367">
        <v>0.35</v>
      </c>
      <c r="DK84" s="367">
        <v>0.35</v>
      </c>
      <c r="DL84" s="367">
        <v>0.35</v>
      </c>
      <c r="DM84" s="368"/>
      <c r="DN84" s="367">
        <v>0.35</v>
      </c>
      <c r="DO84" s="367">
        <v>0.35</v>
      </c>
      <c r="DP84" s="367">
        <v>0.35</v>
      </c>
      <c r="DQ84" s="367">
        <v>0.35</v>
      </c>
      <c r="DR84" s="368"/>
      <c r="DS84" s="367">
        <v>0.35</v>
      </c>
      <c r="DT84" s="367">
        <v>0.35</v>
      </c>
      <c r="DU84" s="367">
        <v>0.35</v>
      </c>
      <c r="DV84" s="367">
        <v>0.35</v>
      </c>
      <c r="DW84" s="368"/>
      <c r="DX84" s="367">
        <v>0.35</v>
      </c>
      <c r="DY84" s="367">
        <v>0.35</v>
      </c>
      <c r="DZ84" s="367">
        <v>0.35</v>
      </c>
      <c r="EA84" s="367">
        <v>0.35</v>
      </c>
      <c r="EB84" s="368"/>
      <c r="EC84" s="367">
        <v>0.35</v>
      </c>
      <c r="ED84" s="367">
        <v>0.35</v>
      </c>
      <c r="EE84" s="367">
        <v>0.35</v>
      </c>
      <c r="EF84" s="367">
        <v>0.35</v>
      </c>
      <c r="EG84" s="368"/>
      <c r="EH84" s="367">
        <v>0.35</v>
      </c>
      <c r="EI84" s="367">
        <v>0.35</v>
      </c>
      <c r="EJ84" s="367">
        <v>0.35</v>
      </c>
      <c r="EK84" s="367">
        <v>0.35</v>
      </c>
      <c r="EL84" s="367"/>
      <c r="EM84" s="367"/>
      <c r="EN84" s="367"/>
      <c r="EO84" s="367"/>
      <c r="EP84" s="367"/>
      <c r="EQ84" s="367"/>
      <c r="ER84" s="368"/>
      <c r="ES84" s="367">
        <v>0.35</v>
      </c>
      <c r="ET84" s="367">
        <v>0.35</v>
      </c>
      <c r="EU84" s="367">
        <v>0.35</v>
      </c>
      <c r="EV84" s="367">
        <v>0.35</v>
      </c>
      <c r="EW84" s="367">
        <v>0.35</v>
      </c>
      <c r="EX84" s="367">
        <v>0.35</v>
      </c>
      <c r="EY84" s="367">
        <v>0.35</v>
      </c>
      <c r="EZ84" s="367">
        <v>0.35</v>
      </c>
      <c r="FA84" s="367">
        <v>0.35</v>
      </c>
      <c r="FB84" s="367">
        <v>0.35</v>
      </c>
      <c r="FC84" s="367">
        <v>0.35</v>
      </c>
      <c r="FD84" s="367">
        <v>0.35</v>
      </c>
      <c r="FE84" s="367">
        <v>0.35</v>
      </c>
      <c r="FF84" s="367">
        <v>0.35</v>
      </c>
      <c r="FG84" s="367">
        <v>0.35</v>
      </c>
      <c r="FH84" s="367">
        <v>0.35</v>
      </c>
      <c r="FI84" s="367">
        <v>0.35</v>
      </c>
      <c r="FJ84" s="367">
        <v>0.35</v>
      </c>
      <c r="FK84" s="367">
        <v>0.35</v>
      </c>
      <c r="FL84" s="367">
        <v>0.35</v>
      </c>
      <c r="FM84" s="367">
        <v>0.35</v>
      </c>
      <c r="FN84" s="367">
        <v>0.35</v>
      </c>
      <c r="FO84" s="367">
        <v>0.35</v>
      </c>
      <c r="FP84" s="367">
        <v>0.35</v>
      </c>
      <c r="FQ84" s="367">
        <v>0.35</v>
      </c>
      <c r="FR84" s="367">
        <v>0.35</v>
      </c>
      <c r="FS84" s="367">
        <v>0.35</v>
      </c>
      <c r="FT84" s="367">
        <v>0.35</v>
      </c>
      <c r="FU84" s="367">
        <v>0.21</v>
      </c>
      <c r="FV84" s="367">
        <v>0.21</v>
      </c>
      <c r="FW84" s="367">
        <v>0.21</v>
      </c>
      <c r="FX84" s="367">
        <v>0.21</v>
      </c>
      <c r="FY84" s="367">
        <v>0.21</v>
      </c>
      <c r="FZ84" s="367"/>
      <c r="GA84" s="367"/>
      <c r="GB84" s="367"/>
      <c r="GC84" s="367"/>
      <c r="GD84" s="367"/>
    </row>
    <row r="86" spans="1:186" customFormat="1" x14ac:dyDescent="0.2"/>
    <row r="87" spans="1:186" x14ac:dyDescent="0.2">
      <c r="FL87" s="850"/>
    </row>
    <row r="91" spans="1:186" x14ac:dyDescent="0.2">
      <c r="EH91" s="239">
        <f>15*4.15</f>
        <v>62.250000000000007</v>
      </c>
    </row>
    <row r="92" spans="1:186" x14ac:dyDescent="0.2">
      <c r="EH92" s="239">
        <f>10.5*3</f>
        <v>31.5</v>
      </c>
    </row>
    <row r="96" spans="1:186" x14ac:dyDescent="0.2">
      <c r="EI96" s="239">
        <f>52.7/2.75</f>
        <v>19.163636363636364</v>
      </c>
      <c r="FU96" s="254">
        <f>49/FT37</f>
        <v>17.237982720932653</v>
      </c>
      <c r="FV96" s="254"/>
      <c r="FW96" s="254"/>
    </row>
  </sheetData>
  <phoneticPr fontId="10" type="noConversion"/>
  <pageMargins left="0" right="0" top="0" bottom="0" header="0" footer="0"/>
  <pageSetup paperSize="5" scale="75" orientation="landscape"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W226"/>
  <sheetViews>
    <sheetView showGridLines="0" zoomScale="85" zoomScaleNormal="85" workbookViewId="0">
      <pane ySplit="10350" topLeftCell="A167"/>
      <selection activeCell="DR177" sqref="DR177"/>
      <selection pane="bottomLeft" activeCell="DH173" sqref="DH173"/>
    </sheetView>
  </sheetViews>
  <sheetFormatPr defaultRowHeight="12.75" outlineLevelRow="3" outlineLevelCol="1" x14ac:dyDescent="0.2"/>
  <cols>
    <col min="1" max="1" width="7" style="239" customWidth="1"/>
    <col min="2" max="2" width="1.5703125" style="239" customWidth="1"/>
    <col min="3" max="3" width="1.5703125" style="239" hidden="1" customWidth="1" outlineLevel="1"/>
    <col min="4" max="4" width="7.85546875" style="239" hidden="1" customWidth="1" outlineLevel="1"/>
    <col min="5" max="5" width="7.140625" style="239" hidden="1" customWidth="1" outlineLevel="1"/>
    <col min="6" max="6" width="6.85546875" style="239" hidden="1" customWidth="1" outlineLevel="1"/>
    <col min="7" max="7" width="1.5703125" style="239" hidden="1" customWidth="1" outlineLevel="1"/>
    <col min="8" max="8" width="7.85546875" style="239" hidden="1" customWidth="1" outlineLevel="1"/>
    <col min="9" max="9" width="7.140625" style="239" hidden="1" customWidth="1" outlineLevel="1"/>
    <col min="10" max="10" width="6.85546875" style="239" hidden="1" customWidth="1" outlineLevel="1"/>
    <col min="11" max="11" width="1.5703125" style="239" hidden="1" customWidth="1" outlineLevel="1"/>
    <col min="12" max="12" width="7.85546875" style="239" hidden="1" customWidth="1" outlineLevel="1"/>
    <col min="13" max="13" width="7.140625" style="239" hidden="1" customWidth="1" outlineLevel="1"/>
    <col min="14" max="14" width="6.85546875" style="239" hidden="1" customWidth="1" outlineLevel="1"/>
    <col min="15" max="15" width="1.5703125" style="239" hidden="1" customWidth="1" outlineLevel="1"/>
    <col min="16" max="16" width="7.85546875" style="239" hidden="1" customWidth="1" outlineLevel="1"/>
    <col min="17" max="17" width="7.140625" style="239" hidden="1" customWidth="1" outlineLevel="1"/>
    <col min="18" max="18" width="6.85546875" style="239" hidden="1" customWidth="1" outlineLevel="1"/>
    <col min="19" max="19" width="1.5703125" style="239" hidden="1" customWidth="1" outlineLevel="1"/>
    <col min="20" max="20" width="7.85546875" style="239" hidden="1" customWidth="1" outlineLevel="1"/>
    <col min="21" max="21" width="7.140625" style="239" hidden="1" customWidth="1" outlineLevel="1"/>
    <col min="22" max="22" width="6.85546875" style="239" hidden="1" customWidth="1" outlineLevel="1"/>
    <col min="23" max="23" width="1.5703125" style="239" hidden="1" customWidth="1" outlineLevel="1"/>
    <col min="24" max="24" width="7.85546875" style="239" hidden="1" customWidth="1" outlineLevel="1"/>
    <col min="25" max="25" width="7.140625" style="239" hidden="1" customWidth="1" outlineLevel="1"/>
    <col min="26" max="26" width="6.85546875" style="239" hidden="1" customWidth="1" outlineLevel="1"/>
    <col min="27" max="27" width="1.5703125" style="239" hidden="1" customWidth="1" outlineLevel="1"/>
    <col min="28" max="28" width="7.85546875" style="239" hidden="1" customWidth="1" outlineLevel="1"/>
    <col min="29" max="29" width="7.140625" style="239" hidden="1" customWidth="1" outlineLevel="1"/>
    <col min="30" max="30" width="6.85546875" style="239" hidden="1" customWidth="1" outlineLevel="1"/>
    <col min="31" max="31" width="1.5703125" style="239" hidden="1" customWidth="1" outlineLevel="1"/>
    <col min="32" max="32" width="7.85546875" style="239" hidden="1" customWidth="1" outlineLevel="1"/>
    <col min="33" max="33" width="7.140625" style="239" hidden="1" customWidth="1" outlineLevel="1"/>
    <col min="34" max="34" width="6.85546875" style="239" hidden="1" customWidth="1" outlineLevel="1"/>
    <col min="35" max="35" width="1.5703125" style="239" hidden="1" customWidth="1" outlineLevel="1"/>
    <col min="36" max="36" width="7.85546875" style="239" hidden="1" customWidth="1" outlineLevel="1"/>
    <col min="37" max="37" width="7.140625" style="239" hidden="1" customWidth="1" outlineLevel="1"/>
    <col min="38" max="38" width="6.85546875" style="239" hidden="1" customWidth="1" outlineLevel="1"/>
    <col min="39" max="39" width="1.5703125" style="239" hidden="1" customWidth="1" outlineLevel="1"/>
    <col min="40" max="40" width="7.85546875" style="239" hidden="1" customWidth="1" outlineLevel="1"/>
    <col min="41" max="41" width="7.140625" style="239" hidden="1" customWidth="1" outlineLevel="1"/>
    <col min="42" max="42" width="6.85546875" style="239" hidden="1" customWidth="1" outlineLevel="1"/>
    <col min="43" max="43" width="1.5703125" style="239" hidden="1" customWidth="1" outlineLevel="1"/>
    <col min="44" max="44" width="7.85546875" style="239" hidden="1" customWidth="1" outlineLevel="1"/>
    <col min="45" max="45" width="7.140625" style="239" hidden="1" customWidth="1" outlineLevel="1"/>
    <col min="46" max="46" width="6.85546875" style="239" hidden="1" customWidth="1" outlineLevel="1"/>
    <col min="47" max="47" width="1.5703125" style="239" hidden="1" customWidth="1" outlineLevel="1"/>
    <col min="48" max="48" width="7.85546875" style="239" hidden="1" customWidth="1" outlineLevel="1"/>
    <col min="49" max="49" width="7.140625" style="239" hidden="1" customWidth="1" outlineLevel="1"/>
    <col min="50" max="50" width="6.85546875" style="239" hidden="1" customWidth="1" outlineLevel="1"/>
    <col min="51" max="51" width="1.5703125" style="239" hidden="1" customWidth="1" outlineLevel="1"/>
    <col min="52" max="52" width="7.85546875" style="239" hidden="1" customWidth="1" outlineLevel="1"/>
    <col min="53" max="53" width="7.140625" style="239" hidden="1" customWidth="1" outlineLevel="1"/>
    <col min="54" max="54" width="6.85546875" style="239" hidden="1" customWidth="1" outlineLevel="1"/>
    <col min="55" max="55" width="1.5703125" style="239" hidden="1" customWidth="1" outlineLevel="1"/>
    <col min="56" max="56" width="7.85546875" style="239" hidden="1" customWidth="1" outlineLevel="1"/>
    <col min="57" max="57" width="7.140625" style="239" hidden="1" customWidth="1" outlineLevel="1"/>
    <col min="58" max="58" width="6.85546875" style="239" hidden="1" customWidth="1" outlineLevel="1"/>
    <col min="59" max="59" width="1.5703125" style="239" hidden="1" customWidth="1" outlineLevel="1"/>
    <col min="60" max="60" width="7.85546875" style="239" hidden="1" customWidth="1" outlineLevel="1"/>
    <col min="61" max="61" width="7.140625" style="239" hidden="1" customWidth="1" outlineLevel="1"/>
    <col min="62" max="62" width="6.85546875" style="239" hidden="1" customWidth="1" outlineLevel="1"/>
    <col min="63" max="63" width="1.5703125" style="239" hidden="1" customWidth="1" outlineLevel="1"/>
    <col min="64" max="64" width="7.85546875" style="239" hidden="1" customWidth="1" outlineLevel="1"/>
    <col min="65" max="65" width="7.140625" style="239" hidden="1" customWidth="1" outlineLevel="1"/>
    <col min="66" max="66" width="6.85546875" style="239" hidden="1" customWidth="1" outlineLevel="1"/>
    <col min="67" max="67" width="1.5703125" style="239" hidden="1" customWidth="1" outlineLevel="1"/>
    <col min="68" max="68" width="7.85546875" style="239" hidden="1" customWidth="1" outlineLevel="1" collapsed="1"/>
    <col min="69" max="69" width="7.140625" style="239" hidden="1" customWidth="1" outlineLevel="1"/>
    <col min="70" max="70" width="6.85546875" style="239" hidden="1" customWidth="1" outlineLevel="1"/>
    <col min="71" max="71" width="1.5703125" style="239" hidden="1" customWidth="1" outlineLevel="1"/>
    <col min="72" max="72" width="7.85546875" style="239" hidden="1" customWidth="1" outlineLevel="1"/>
    <col min="73" max="73" width="7.140625" style="239" hidden="1" customWidth="1" outlineLevel="1"/>
    <col min="74" max="74" width="6.85546875" style="239" hidden="1" customWidth="1" outlineLevel="1"/>
    <col min="75" max="75" width="1.5703125" style="239" hidden="1" customWidth="1" outlineLevel="1"/>
    <col min="76" max="76" width="7.85546875" style="239" hidden="1" customWidth="1" outlineLevel="1"/>
    <col min="77" max="77" width="7.140625" style="239" hidden="1" customWidth="1" outlineLevel="1"/>
    <col min="78" max="78" width="6.85546875" style="239" hidden="1" customWidth="1" outlineLevel="1"/>
    <col min="79" max="79" width="1.5703125" style="239" hidden="1" customWidth="1" outlineLevel="1"/>
    <col min="80" max="80" width="7.85546875" style="239" hidden="1" customWidth="1" outlineLevel="1"/>
    <col min="81" max="81" width="7.140625" style="239" hidden="1" customWidth="1" outlineLevel="1"/>
    <col min="82" max="82" width="6.85546875" style="239" hidden="1" customWidth="1" outlineLevel="1"/>
    <col min="83" max="83" width="1.5703125" style="239" hidden="1" customWidth="1" outlineLevel="1"/>
    <col min="84" max="84" width="8.28515625" style="239" hidden="1" customWidth="1" outlineLevel="1"/>
    <col min="85" max="85" width="7" style="239" hidden="1" customWidth="1" outlineLevel="1"/>
    <col min="86" max="86" width="7.140625" style="239" hidden="1" customWidth="1" outlineLevel="1"/>
    <col min="87" max="87" width="1.5703125" style="239" hidden="1" customWidth="1" outlineLevel="1"/>
    <col min="88" max="88" width="8.28515625" style="239" hidden="1" customWidth="1" outlineLevel="1"/>
    <col min="89" max="89" width="6.5703125" style="239" hidden="1" customWidth="1" outlineLevel="1"/>
    <col min="90" max="90" width="7.7109375" style="239" hidden="1" customWidth="1" outlineLevel="1"/>
    <col min="91" max="91" width="1.5703125" style="239" hidden="1" customWidth="1" outlineLevel="1"/>
    <col min="92" max="92" width="10.85546875" style="239" hidden="1" customWidth="1" outlineLevel="1"/>
    <col min="93" max="93" width="7" style="239" hidden="1" customWidth="1" outlineLevel="1"/>
    <col min="94" max="94" width="8.85546875" style="239" hidden="1" customWidth="1" outlineLevel="1"/>
    <col min="95" max="95" width="1.5703125" style="239" customWidth="1" collapsed="1"/>
    <col min="96" max="96" width="8.42578125" style="239" customWidth="1"/>
    <col min="97" max="97" width="6.5703125" style="239" customWidth="1"/>
    <col min="98" max="98" width="7" style="239" customWidth="1"/>
    <col min="99" max="99" width="1.5703125" style="239" customWidth="1"/>
    <col min="100" max="100" width="8.42578125" style="239" bestFit="1" customWidth="1"/>
    <col min="101" max="101" width="7.5703125" style="239" customWidth="1"/>
    <col min="102" max="102" width="7.7109375" style="239" customWidth="1"/>
    <col min="103" max="103" width="1.7109375" style="239" customWidth="1"/>
    <col min="104" max="104" width="11.7109375" style="239" customWidth="1"/>
    <col min="105" max="105" width="8.85546875" style="239" bestFit="1" customWidth="1"/>
    <col min="106" max="106" width="10.5703125" style="239" customWidth="1"/>
    <col min="107" max="107" width="2.85546875" style="239" customWidth="1"/>
    <col min="108" max="108" width="10.140625" style="239" customWidth="1"/>
    <col min="109" max="109" width="7.42578125" style="239" customWidth="1"/>
    <col min="110" max="110" width="11.140625" style="239" bestFit="1" customWidth="1"/>
    <col min="111" max="111" width="2.85546875" style="239" customWidth="1"/>
    <col min="112" max="112" width="10.85546875" style="239" customWidth="1"/>
    <col min="113" max="113" width="9.28515625" style="239" customWidth="1"/>
    <col min="114" max="114" width="11.140625" style="239" bestFit="1" customWidth="1"/>
    <col min="115" max="115" width="2.85546875" style="239" customWidth="1"/>
    <col min="116" max="116" width="10.42578125" style="239" customWidth="1"/>
    <col min="117" max="117" width="9.28515625" style="239" customWidth="1"/>
    <col min="118" max="118" width="11.140625" style="239" bestFit="1" customWidth="1"/>
    <col min="119" max="119" width="11.140625" style="239" customWidth="1"/>
    <col min="120" max="120" width="8.85546875" style="239" hidden="1" customWidth="1" outlineLevel="1"/>
    <col min="121" max="121" width="14" style="239" hidden="1" customWidth="1" outlineLevel="1"/>
    <col min="122" max="122" width="9.140625" style="239" collapsed="1"/>
    <col min="123" max="123" width="9.140625" style="239"/>
    <col min="124" max="124" width="13.5703125" style="239" customWidth="1"/>
    <col min="125" max="16384" width="9.140625" style="239"/>
  </cols>
  <sheetData>
    <row r="1" spans="1:121" x14ac:dyDescent="0.2">
      <c r="A1" s="504" t="s">
        <v>298</v>
      </c>
      <c r="CP1" s="249"/>
      <c r="CQ1" s="249"/>
      <c r="CR1" s="249"/>
      <c r="CS1" s="249"/>
      <c r="CT1" s="249"/>
      <c r="CU1" s="249"/>
      <c r="CV1" s="249"/>
      <c r="CW1" s="249"/>
      <c r="CX1" s="249"/>
      <c r="CY1" s="249"/>
      <c r="CZ1" s="249"/>
      <c r="DA1" s="249"/>
      <c r="DB1" s="249"/>
      <c r="DD1" s="249"/>
      <c r="DE1" s="249"/>
      <c r="DF1" s="249"/>
      <c r="DH1" s="249"/>
      <c r="DI1" s="249"/>
      <c r="DJ1" s="249"/>
      <c r="DL1" s="249"/>
      <c r="DM1" s="249"/>
      <c r="DN1" s="249"/>
      <c r="DO1" s="249"/>
    </row>
    <row r="2" spans="1:121" x14ac:dyDescent="0.2">
      <c r="A2" s="505" t="s">
        <v>601</v>
      </c>
      <c r="B2" s="240"/>
      <c r="C2" s="240"/>
      <c r="D2" s="240"/>
      <c r="E2" s="240"/>
      <c r="F2" s="240"/>
      <c r="G2" s="240"/>
      <c r="H2" s="240"/>
      <c r="I2" s="240"/>
      <c r="J2" s="240"/>
      <c r="K2" s="240"/>
      <c r="L2" s="240"/>
      <c r="M2" s="240"/>
      <c r="N2" s="240"/>
      <c r="O2" s="240"/>
      <c r="P2" s="240"/>
      <c r="Q2" s="240"/>
      <c r="R2" s="240"/>
      <c r="S2" s="240"/>
      <c r="T2" s="240"/>
      <c r="U2" s="240"/>
      <c r="V2" s="240"/>
      <c r="W2" s="240"/>
      <c r="X2" s="240"/>
      <c r="Y2" s="240"/>
      <c r="Z2" s="240"/>
      <c r="AA2" s="240"/>
      <c r="AB2" s="240"/>
      <c r="AC2" s="240"/>
      <c r="AD2" s="240"/>
      <c r="AE2" s="240"/>
      <c r="AF2" s="240"/>
      <c r="AG2" s="240"/>
      <c r="AH2" s="240"/>
      <c r="AI2" s="240"/>
      <c r="AJ2" s="240"/>
      <c r="AK2" s="240"/>
      <c r="AL2" s="240"/>
      <c r="AM2" s="240"/>
      <c r="AN2" s="240"/>
      <c r="AO2" s="240"/>
      <c r="AP2" s="240"/>
      <c r="AQ2" s="240"/>
      <c r="AR2" s="240"/>
      <c r="AS2" s="240"/>
      <c r="AT2" s="240"/>
      <c r="AU2" s="240"/>
      <c r="AV2" s="240"/>
      <c r="AW2" s="240"/>
      <c r="AX2" s="240"/>
      <c r="AY2" s="240"/>
      <c r="AZ2" s="240"/>
      <c r="BA2" s="240"/>
      <c r="BB2" s="240"/>
      <c r="BC2" s="240"/>
      <c r="BD2" s="240"/>
      <c r="BE2" s="240"/>
      <c r="BF2" s="240"/>
      <c r="BG2" s="240"/>
      <c r="BH2" s="240"/>
      <c r="BI2" s="240"/>
      <c r="BJ2" s="240"/>
      <c r="BK2" s="240"/>
      <c r="BL2" s="240"/>
      <c r="BM2" s="240"/>
      <c r="BN2" s="240"/>
      <c r="BO2" s="240"/>
      <c r="BP2" s="240"/>
      <c r="BQ2" s="240"/>
      <c r="BR2" s="240"/>
      <c r="BS2" s="240"/>
      <c r="BT2" s="240"/>
      <c r="BU2" s="240"/>
      <c r="BV2" s="240"/>
      <c r="BW2" s="240"/>
      <c r="BX2" s="240"/>
      <c r="BY2" s="240"/>
      <c r="BZ2" s="240"/>
      <c r="CA2" s="240"/>
      <c r="CB2" s="240"/>
      <c r="CC2" s="240"/>
      <c r="CD2" s="240"/>
      <c r="CE2" s="240"/>
      <c r="CF2" s="240"/>
      <c r="CG2" s="240"/>
      <c r="CH2" s="240"/>
      <c r="CI2" s="240"/>
      <c r="CJ2" s="240"/>
      <c r="CK2" s="240"/>
      <c r="CL2" s="240"/>
      <c r="CM2" s="240"/>
      <c r="CN2" s="240"/>
      <c r="CO2" s="240"/>
      <c r="CP2" s="240"/>
      <c r="CQ2" s="240"/>
      <c r="CR2" s="240"/>
      <c r="CS2" s="240"/>
      <c r="CT2" s="240"/>
      <c r="CU2" s="240"/>
      <c r="CV2" s="240"/>
      <c r="CW2" s="240"/>
      <c r="CX2" s="240"/>
      <c r="CY2" s="240"/>
      <c r="CZ2" s="240"/>
      <c r="DA2" s="240"/>
      <c r="DB2" s="240"/>
      <c r="DD2" s="240"/>
      <c r="DE2" s="240"/>
      <c r="DF2" s="240"/>
      <c r="DH2" s="240"/>
      <c r="DI2" s="240"/>
      <c r="DJ2" s="240"/>
      <c r="DL2" s="240"/>
      <c r="DM2" s="240"/>
      <c r="DN2" s="240"/>
      <c r="DO2" s="249"/>
    </row>
    <row r="3" spans="1:121" x14ac:dyDescent="0.2">
      <c r="A3" s="506" t="s">
        <v>300</v>
      </c>
      <c r="CN3" s="507"/>
      <c r="CO3" s="508"/>
      <c r="CP3" s="509"/>
      <c r="CQ3" s="509"/>
      <c r="CR3" s="509"/>
      <c r="CS3" s="509"/>
      <c r="CT3" s="509"/>
      <c r="CU3" s="509"/>
      <c r="CV3" s="509"/>
      <c r="CW3" s="509"/>
      <c r="CX3" s="509"/>
      <c r="CY3" s="509"/>
      <c r="CZ3" s="509"/>
      <c r="DA3" s="509"/>
      <c r="DB3" s="509"/>
      <c r="DD3" s="509"/>
      <c r="DE3" s="509"/>
      <c r="DF3" s="509"/>
      <c r="DH3" s="509"/>
      <c r="DI3" s="509"/>
      <c r="DJ3" s="509"/>
      <c r="DL3" s="509"/>
      <c r="DM3" s="509"/>
      <c r="DN3" s="509"/>
      <c r="DO3" s="509"/>
    </row>
    <row r="4" spans="1:121" ht="12.75" customHeight="1" x14ac:dyDescent="0.2">
      <c r="A4" s="506" t="s">
        <v>85</v>
      </c>
      <c r="CN4" s="507"/>
      <c r="CP4" s="509"/>
      <c r="CQ4" s="509"/>
      <c r="CR4" s="509"/>
      <c r="CT4" s="509"/>
      <c r="CU4" s="509"/>
      <c r="CV4" s="509"/>
      <c r="CW4" s="510"/>
      <c r="CX4" s="509"/>
      <c r="CY4" s="509"/>
      <c r="CZ4" s="509"/>
      <c r="DB4" s="255"/>
      <c r="DD4" s="509"/>
      <c r="DF4" s="255"/>
      <c r="DH4" s="509"/>
      <c r="DJ4" s="255"/>
      <c r="DL4" s="509"/>
      <c r="DN4" s="255"/>
      <c r="DO4" s="255"/>
    </row>
    <row r="5" spans="1:121" x14ac:dyDescent="0.2">
      <c r="CP5" s="249"/>
      <c r="CQ5" s="249"/>
      <c r="CR5" s="249"/>
      <c r="CS5" s="249"/>
      <c r="CT5" s="249"/>
      <c r="CU5" s="249"/>
      <c r="CV5" s="249"/>
      <c r="CW5" s="249"/>
      <c r="CX5" s="249"/>
      <c r="CY5" s="249"/>
      <c r="CZ5" s="361"/>
      <c r="DA5" s="249"/>
      <c r="DB5" s="249"/>
      <c r="DD5" s="249"/>
      <c r="DE5" s="249"/>
      <c r="DF5" s="249"/>
      <c r="DH5" s="249"/>
      <c r="DI5" s="249"/>
      <c r="DJ5" s="249"/>
      <c r="DL5" s="249"/>
      <c r="DM5" s="249"/>
      <c r="DN5" s="249"/>
      <c r="DO5" s="249"/>
    </row>
    <row r="6" spans="1:121" x14ac:dyDescent="0.2">
      <c r="D6" s="511">
        <f>H6-1</f>
        <v>1990</v>
      </c>
      <c r="E6" s="512"/>
      <c r="F6" s="512"/>
      <c r="H6" s="511">
        <f>L6-1</f>
        <v>1991</v>
      </c>
      <c r="I6" s="512"/>
      <c r="J6" s="512"/>
      <c r="L6" s="511">
        <f>P6-1</f>
        <v>1992</v>
      </c>
      <c r="M6" s="512"/>
      <c r="N6" s="512"/>
      <c r="P6" s="511">
        <f>T6-1</f>
        <v>1993</v>
      </c>
      <c r="Q6" s="512"/>
      <c r="R6" s="512"/>
      <c r="T6" s="511">
        <f>X6-1</f>
        <v>1994</v>
      </c>
      <c r="U6" s="512"/>
      <c r="V6" s="512"/>
      <c r="X6" s="511">
        <f>AB6-1</f>
        <v>1995</v>
      </c>
      <c r="Y6" s="512"/>
      <c r="Z6" s="512"/>
      <c r="AB6" s="511">
        <f>AF6-1</f>
        <v>1996</v>
      </c>
      <c r="AC6" s="512"/>
      <c r="AD6" s="512"/>
      <c r="AF6" s="511">
        <f>AJ6-1</f>
        <v>1997</v>
      </c>
      <c r="AG6" s="512"/>
      <c r="AH6" s="512"/>
      <c r="AJ6" s="511">
        <f>AN6-1</f>
        <v>1998</v>
      </c>
      <c r="AK6" s="512"/>
      <c r="AL6" s="512"/>
      <c r="AN6" s="511">
        <f>AR6-1</f>
        <v>1999</v>
      </c>
      <c r="AO6" s="512"/>
      <c r="AP6" s="512"/>
      <c r="AR6" s="511">
        <f>AV6-1</f>
        <v>2000</v>
      </c>
      <c r="AS6" s="512"/>
      <c r="AT6" s="512"/>
      <c r="AV6" s="511">
        <f>AZ6-1</f>
        <v>2001</v>
      </c>
      <c r="AW6" s="512"/>
      <c r="AX6" s="512"/>
      <c r="AZ6" s="511">
        <f>BD6-1</f>
        <v>2002</v>
      </c>
      <c r="BA6" s="512"/>
      <c r="BB6" s="512"/>
      <c r="BD6" s="511">
        <f>BH6-1</f>
        <v>2003</v>
      </c>
      <c r="BE6" s="512"/>
      <c r="BF6" s="512"/>
      <c r="BH6" s="511">
        <f>BL6-1</f>
        <v>2004</v>
      </c>
      <c r="BI6" s="512"/>
      <c r="BJ6" s="512"/>
      <c r="BL6" s="511">
        <v>2005</v>
      </c>
      <c r="BM6" s="512"/>
      <c r="BN6" s="512"/>
      <c r="BP6" s="511">
        <f>BL6+1</f>
        <v>2006</v>
      </c>
      <c r="BQ6" s="512"/>
      <c r="BR6" s="512"/>
      <c r="BT6" s="511">
        <f>BP6+1</f>
        <v>2007</v>
      </c>
      <c r="BU6" s="512"/>
      <c r="BV6" s="512"/>
      <c r="BX6" s="511">
        <f>BT6+1</f>
        <v>2008</v>
      </c>
      <c r="BY6" s="512"/>
      <c r="BZ6" s="512"/>
      <c r="CB6" s="511">
        <f>BX6+1</f>
        <v>2009</v>
      </c>
      <c r="CC6" s="512"/>
      <c r="CD6" s="512"/>
      <c r="CF6" s="511">
        <f>CB6+1</f>
        <v>2010</v>
      </c>
      <c r="CG6" s="512"/>
      <c r="CH6" s="512"/>
      <c r="CJ6" s="511">
        <f>CF6+1</f>
        <v>2011</v>
      </c>
      <c r="CK6" s="512"/>
      <c r="CL6" s="512"/>
      <c r="CN6" s="511">
        <v>2012</v>
      </c>
      <c r="CO6" s="513"/>
      <c r="CP6" s="513"/>
      <c r="CQ6" s="239" t="s">
        <v>202</v>
      </c>
      <c r="CR6" s="514">
        <v>2013</v>
      </c>
      <c r="CS6" s="513"/>
      <c r="CT6" s="513"/>
      <c r="CU6" s="239" t="s">
        <v>202</v>
      </c>
      <c r="CV6" s="514">
        <v>2014</v>
      </c>
      <c r="CW6" s="513"/>
      <c r="CX6" s="513"/>
      <c r="CY6" s="239" t="s">
        <v>202</v>
      </c>
      <c r="CZ6" s="514">
        <v>2015</v>
      </c>
      <c r="DA6" s="513"/>
      <c r="DB6" s="513"/>
      <c r="DD6" s="514">
        <v>2016</v>
      </c>
      <c r="DE6" s="513"/>
      <c r="DF6" s="513"/>
      <c r="DH6" s="1229">
        <v>2017</v>
      </c>
      <c r="DI6" s="513"/>
      <c r="DJ6" s="513"/>
      <c r="DL6" s="1396">
        <v>2018</v>
      </c>
      <c r="DM6" s="1396"/>
      <c r="DN6" s="1396"/>
      <c r="DO6" s="1228"/>
    </row>
    <row r="7" spans="1:121" outlineLevel="2" x14ac:dyDescent="0.2">
      <c r="CP7" s="249"/>
      <c r="CR7" s="509"/>
      <c r="CT7" s="249"/>
      <c r="CV7" s="509"/>
      <c r="CX7" s="249"/>
      <c r="CZ7" s="509"/>
      <c r="DB7" s="249"/>
      <c r="DD7" s="509"/>
      <c r="DF7" s="249"/>
      <c r="DH7" s="509"/>
      <c r="DJ7" s="249"/>
      <c r="DL7" s="509"/>
      <c r="DN7" s="249"/>
      <c r="DO7" s="249"/>
    </row>
    <row r="8" spans="1:121" s="516" customFormat="1" ht="12.75" customHeight="1" outlineLevel="2" x14ac:dyDescent="0.2">
      <c r="A8" s="515" t="s">
        <v>249</v>
      </c>
      <c r="CG8" s="1397" t="str">
        <f>A8</f>
        <v>1. Retail Sales (Year-to-Year % Increase/Comps)</v>
      </c>
      <c r="CH8" s="1397"/>
      <c r="CI8" s="1397"/>
      <c r="CJ8" s="1397"/>
      <c r="CK8" s="1397"/>
      <c r="CL8" s="1397"/>
      <c r="CM8" s="1397"/>
      <c r="CN8" s="1397"/>
      <c r="CO8" s="1397"/>
      <c r="CP8" s="1397"/>
      <c r="CQ8" s="1397"/>
      <c r="CR8" s="1397"/>
      <c r="CS8" s="1397"/>
      <c r="CT8" s="1397"/>
      <c r="CU8" s="1397"/>
      <c r="CV8" s="1397"/>
      <c r="CW8" s="1397"/>
      <c r="CX8" s="1397"/>
      <c r="CY8" s="1397"/>
      <c r="CZ8" s="1397"/>
      <c r="DA8" s="1397"/>
      <c r="DB8" s="1397"/>
      <c r="DC8" s="1397"/>
      <c r="DD8" s="1397"/>
      <c r="DE8" s="1397"/>
      <c r="DF8" s="1397"/>
      <c r="DG8" s="846"/>
      <c r="DH8" s="846"/>
      <c r="DI8" s="846"/>
      <c r="DJ8" s="846"/>
      <c r="DK8" s="1222"/>
      <c r="DL8" s="1222"/>
      <c r="DM8" s="1222"/>
      <c r="DN8" s="1222"/>
      <c r="DO8" s="1222"/>
    </row>
    <row r="9" spans="1:121" outlineLevel="2" x14ac:dyDescent="0.2">
      <c r="CP9" s="249"/>
      <c r="CT9" s="249"/>
      <c r="CX9" s="249"/>
      <c r="CZ9" s="254"/>
      <c r="DB9" s="249"/>
      <c r="DD9" s="524"/>
      <c r="DF9" s="249"/>
      <c r="DH9" s="524"/>
      <c r="DI9" s="519"/>
      <c r="DJ9" s="249"/>
      <c r="DL9" s="254"/>
      <c r="DN9" s="249"/>
      <c r="DO9" s="249"/>
    </row>
    <row r="10" spans="1:121" outlineLevel="2" x14ac:dyDescent="0.2">
      <c r="A10" s="517" t="s">
        <v>78</v>
      </c>
      <c r="D10" s="518">
        <v>555</v>
      </c>
      <c r="E10" s="519" t="s">
        <v>83</v>
      </c>
      <c r="F10" s="520">
        <v>1.5</v>
      </c>
      <c r="H10" s="518">
        <v>610.60299999999995</v>
      </c>
      <c r="I10" s="519">
        <f>(H10/D10-1)*(100)</f>
        <v>10.018558558558555</v>
      </c>
      <c r="J10" s="520">
        <v>0.6</v>
      </c>
      <c r="L10" s="518">
        <v>663.80899999999997</v>
      </c>
      <c r="M10" s="519">
        <f>(L10/H10-1)*(100)</f>
        <v>8.7136813936387512</v>
      </c>
      <c r="N10" s="520">
        <v>0.8</v>
      </c>
      <c r="P10" s="518">
        <v>695.55899999999997</v>
      </c>
      <c r="Q10" s="519">
        <f>(P10/L10-1)*(100)</f>
        <v>4.7830023395283972</v>
      </c>
      <c r="R10" s="520">
        <v>0.3</v>
      </c>
      <c r="T10" s="518">
        <v>762.06200000000001</v>
      </c>
      <c r="U10" s="519">
        <f>(T10/P10-1)*(100)</f>
        <v>9.5610868380683769</v>
      </c>
      <c r="V10" s="520">
        <v>6.87</v>
      </c>
      <c r="X10" s="518">
        <v>815.59799999999996</v>
      </c>
      <c r="Y10" s="519">
        <f>(X10/T10-1)*(100)</f>
        <v>7.0251501846306352</v>
      </c>
      <c r="Z10" s="520">
        <v>-0.2</v>
      </c>
      <c r="AB10" s="518">
        <v>905.96199999999999</v>
      </c>
      <c r="AC10" s="519">
        <f>(AB10/X10-1)*(100)</f>
        <v>11.07947788003405</v>
      </c>
      <c r="AD10" s="520">
        <v>3.9</v>
      </c>
      <c r="AF10" s="518">
        <v>953.74699999999996</v>
      </c>
      <c r="AG10" s="519">
        <f>(AF10/AB10-1)*(100)</f>
        <v>5.2745037871345657</v>
      </c>
      <c r="AH10" s="520">
        <v>0.5</v>
      </c>
      <c r="AJ10" s="518">
        <v>1040.2149999999999</v>
      </c>
      <c r="AK10" s="519">
        <f>(AJ10/AF10-1)*(100)</f>
        <v>9.0661359878458256</v>
      </c>
      <c r="AL10" s="520">
        <v>11.178961632929596</v>
      </c>
      <c r="AN10" s="518">
        <v>1039.105</v>
      </c>
      <c r="AO10" s="519">
        <f>(AN10/AJ10-1)*(100)</f>
        <v>-0.10670870925720832</v>
      </c>
      <c r="AP10" s="520">
        <v>5.2266719484417523</v>
      </c>
      <c r="AR10" s="518">
        <v>1153.377</v>
      </c>
      <c r="AS10" s="519">
        <f>(AR10/AN10-1)*(100)</f>
        <v>10.997156206543135</v>
      </c>
      <c r="AT10" s="520">
        <v>5.3</v>
      </c>
      <c r="AV10" s="518">
        <v>1218.04</v>
      </c>
      <c r="AW10" s="519">
        <f>(AV10/AR10-1)*(100)</f>
        <v>5.6064062314403751</v>
      </c>
      <c r="AX10" s="520">
        <v>-0.8</v>
      </c>
      <c r="AZ10" s="518">
        <v>1245.761</v>
      </c>
      <c r="BA10" s="519">
        <f>(AZ10/AV10-1)*(100)</f>
        <v>2.2758694295753834</v>
      </c>
      <c r="BB10" s="520">
        <v>-2.6</v>
      </c>
      <c r="BD10" s="518">
        <v>1335.472</v>
      </c>
      <c r="BE10" s="519">
        <f>(BD10/AZ10-1)*(100)</f>
        <v>7.201301052127973</v>
      </c>
      <c r="BF10" s="520">
        <v>-1.5</v>
      </c>
      <c r="BH10" s="518">
        <v>1535.49</v>
      </c>
      <c r="BI10" s="519">
        <f>(BH10/BD10-1)*(100)</f>
        <v>14.977326368504929</v>
      </c>
      <c r="BJ10" s="520">
        <v>13.2</v>
      </c>
      <c r="BL10" s="518">
        <v>1654.4739999999999</v>
      </c>
      <c r="BM10" s="519">
        <f>(BL10/BH10-1)*(100)</f>
        <v>7.7489270526021059</v>
      </c>
      <c r="BN10" s="520">
        <v>6.2</v>
      </c>
      <c r="BP10" s="518">
        <v>1787.223</v>
      </c>
      <c r="BQ10" s="519">
        <f>(BP10/BL10-1)*(100)</f>
        <v>8.0236377241346801</v>
      </c>
      <c r="BR10" s="520">
        <v>5.4</v>
      </c>
      <c r="BT10" s="518">
        <v>1953.8720000000001</v>
      </c>
      <c r="BU10" s="519">
        <f>(BT10/BP10-1)*(100)</f>
        <v>9.3244659452122125</v>
      </c>
      <c r="BV10" s="520">
        <v>9.5</v>
      </c>
      <c r="BX10" s="518">
        <v>1879</v>
      </c>
      <c r="BY10" s="519">
        <f>(BX10/BT10-1)*(100)</f>
        <v>-3.8319808052932891</v>
      </c>
      <c r="BZ10" s="520">
        <v>-6.5</v>
      </c>
      <c r="CB10" s="518">
        <v>1706</v>
      </c>
      <c r="CC10" s="519">
        <f>(CB10/BX10-1)*(100)</f>
        <v>-9.207025013304948</v>
      </c>
      <c r="CD10" s="520">
        <v>-13.2</v>
      </c>
      <c r="CF10" s="518">
        <v>1990</v>
      </c>
      <c r="CG10" s="519">
        <f>(CF10/CB10-1)*(100)</f>
        <v>16.647127784290738</v>
      </c>
      <c r="CH10" s="520">
        <v>12</v>
      </c>
      <c r="CJ10" s="518">
        <v>2229</v>
      </c>
      <c r="CK10" s="519">
        <f>(CJ10/CF10-1)*(100)</f>
        <v>12.010050251256278</v>
      </c>
      <c r="CL10" s="520">
        <v>6.5</v>
      </c>
      <c r="CN10" s="518">
        <v>2535</v>
      </c>
      <c r="CO10" s="519">
        <f>(CN10/CJ10-1)*(100)</f>
        <v>13.728129205921945</v>
      </c>
      <c r="CP10" s="521">
        <v>8.5</v>
      </c>
      <c r="CR10" s="518">
        <f>qtrSales!R124</f>
        <v>2657</v>
      </c>
      <c r="CS10" s="519">
        <f t="shared" ref="CS10:CS16" si="0">(CR10/CN10-1)*(100)</f>
        <v>4.8126232741617425</v>
      </c>
      <c r="CT10" s="521">
        <f>qtrSales!E124</f>
        <v>2.7</v>
      </c>
      <c r="CV10" s="518">
        <v>2837</v>
      </c>
      <c r="CW10" s="519">
        <f t="shared" ref="CW10:CW16" si="1">(CV10/CR10-1)*(100)</f>
        <v>6.7745577719232175</v>
      </c>
      <c r="CX10" s="521">
        <v>3.9</v>
      </c>
      <c r="CZ10" s="518">
        <v>3115</v>
      </c>
      <c r="DA10" s="519">
        <f t="shared" ref="DA10:DA16" si="2">(CZ10/CV10-1)*(100)</f>
        <v>9.7990835389496045</v>
      </c>
      <c r="DB10" s="521">
        <v>4.4000000000000004</v>
      </c>
      <c r="DD10" s="518">
        <v>3192</v>
      </c>
      <c r="DE10" s="519">
        <f t="shared" ref="DE10:DE16" si="3">(DD10/CZ10-1)*(100)</f>
        <v>2.4719101123595433</v>
      </c>
      <c r="DF10" s="521">
        <v>-1.7</v>
      </c>
      <c r="DH10" s="518">
        <f>qtrSales!R152</f>
        <v>3279</v>
      </c>
      <c r="DI10" s="519">
        <f t="shared" ref="DI10:DI16" si="4">(DH10/DD10-1)*(100)</f>
        <v>2.7255639097744311</v>
      </c>
      <c r="DJ10" s="521">
        <f>qtrSales!E152</f>
        <v>-0.8</v>
      </c>
      <c r="DL10" s="518">
        <f>qtrSales!R160</f>
        <v>3412.2619230769233</v>
      </c>
      <c r="DM10" s="519">
        <f t="shared" ref="DM10:DM16" si="5">(DL10/DH10-1)*(100)</f>
        <v>4.0641025641025674</v>
      </c>
      <c r="DN10" s="1170">
        <f>qtrSales!E160</f>
        <v>0.5</v>
      </c>
      <c r="DO10" s="521"/>
      <c r="DP10" s="1093"/>
      <c r="DQ10" s="702"/>
    </row>
    <row r="11" spans="1:121" outlineLevel="2" x14ac:dyDescent="0.2">
      <c r="A11" s="517" t="s">
        <v>79</v>
      </c>
      <c r="D11" s="524">
        <v>801</v>
      </c>
      <c r="E11" s="519" t="s">
        <v>83</v>
      </c>
      <c r="F11" s="520">
        <v>3</v>
      </c>
      <c r="H11" s="524">
        <v>904.08399999999995</v>
      </c>
      <c r="I11" s="519">
        <f t="shared" ref="I11:I16" si="6">(H11/D11-1)*(100)</f>
        <v>12.869413233458161</v>
      </c>
      <c r="J11" s="520">
        <v>3.5</v>
      </c>
      <c r="L11" s="524">
        <v>951.61599999999999</v>
      </c>
      <c r="M11" s="519">
        <f t="shared" ref="M11:M16" si="7">(L11/H11-1)*(100)</f>
        <v>5.2574760752319483</v>
      </c>
      <c r="N11" s="520">
        <v>-1.5</v>
      </c>
      <c r="P11" s="524">
        <v>1017.582</v>
      </c>
      <c r="Q11" s="519">
        <f t="shared" ref="Q11:Q16" si="8">(P11/L11-1)*(100)</f>
        <v>6.9319977806173938</v>
      </c>
      <c r="R11" s="520">
        <v>2.6</v>
      </c>
      <c r="T11" s="524">
        <v>1079.501</v>
      </c>
      <c r="U11" s="519">
        <f t="shared" ref="U11:U16" si="9">(T11/P11-1)*(100)</f>
        <v>6.0849150240471994</v>
      </c>
      <c r="V11" s="520">
        <v>4</v>
      </c>
      <c r="X11" s="524">
        <v>1149.239</v>
      </c>
      <c r="Y11" s="519">
        <f t="shared" ref="Y11:Y16" si="10">(X11/T11-1)*(100)</f>
        <v>6.4602070771587972</v>
      </c>
      <c r="Z11" s="520">
        <v>0.4</v>
      </c>
      <c r="AB11" s="524">
        <v>1241.4639999999999</v>
      </c>
      <c r="AC11" s="519">
        <f t="shared" ref="AC11:AC16" si="11">(AB11/X11-1)*(100)</f>
        <v>8.0248755915871115</v>
      </c>
      <c r="AD11" s="520">
        <v>1.1000000000000001</v>
      </c>
      <c r="AF11" s="524">
        <v>1353.345</v>
      </c>
      <c r="AG11" s="519">
        <f t="shared" ref="AG11:AG16" si="12">(AF11/AB11-1)*(100)</f>
        <v>9.0120212909919228</v>
      </c>
      <c r="AH11" s="520">
        <v>5</v>
      </c>
      <c r="AJ11" s="524">
        <v>1447.2840000000001</v>
      </c>
      <c r="AK11" s="519">
        <f t="shared" ref="AK11:AK16" si="13">(AJ11/AF11-1)*(100)</f>
        <v>6.9412455803952389</v>
      </c>
      <c r="AL11" s="520">
        <v>11.568845900643133</v>
      </c>
      <c r="AN11" s="524">
        <v>1443.395</v>
      </c>
      <c r="AO11" s="519">
        <f t="shared" ref="AO11:AO16" si="14">(AN11/AJ11-1)*(100)</f>
        <v>-0.26871021858876354</v>
      </c>
      <c r="AP11" s="520">
        <v>4.4943225230541284</v>
      </c>
      <c r="AR11" s="524">
        <v>1457.0350000000001</v>
      </c>
      <c r="AS11" s="519">
        <f t="shared" ref="AS11:AS16" si="15">(AR11/AN11-1)*(100)</f>
        <v>0.9449942669885969</v>
      </c>
      <c r="AT11" s="520">
        <v>-4.5</v>
      </c>
      <c r="AV11" s="524">
        <v>1545.759</v>
      </c>
      <c r="AW11" s="519">
        <f t="shared" ref="AW11:AW16" si="16">(AV11/AR11-1)*(100)</f>
        <v>6.0893526922826124</v>
      </c>
      <c r="AX11" s="520">
        <v>2.2999999999999998</v>
      </c>
      <c r="AZ11" s="524">
        <v>1655.528</v>
      </c>
      <c r="BA11" s="519">
        <f t="shared" ref="BA11:BA16" si="17">(AZ11/AV11-1)*(100)</f>
        <v>7.1013010436943969</v>
      </c>
      <c r="BB11" s="520">
        <v>2.2000000000000002</v>
      </c>
      <c r="BD11" s="524">
        <v>1784.8</v>
      </c>
      <c r="BE11" s="519">
        <f t="shared" ref="BE11:BE16" si="18">(BD11/AZ11-1)*(100)</f>
        <v>7.8085058060026746</v>
      </c>
      <c r="BF11" s="520">
        <v>3.8</v>
      </c>
      <c r="BH11" s="524">
        <v>1953.48</v>
      </c>
      <c r="BI11" s="519">
        <f t="shared" ref="BI11:BI16" si="19">(BH11/BD11-1)*(100)</f>
        <v>9.4509188704616776</v>
      </c>
      <c r="BJ11" s="520">
        <v>6.8</v>
      </c>
      <c r="BL11" s="524">
        <v>2106.4380000000001</v>
      </c>
      <c r="BM11" s="519">
        <f t="shared" ref="BM11:BM16" si="20">(BL11/BH11-1)*(100)</f>
        <v>7.8300264143989162</v>
      </c>
      <c r="BN11" s="520">
        <v>6.2</v>
      </c>
      <c r="BP11" s="524">
        <v>2270.4679999999998</v>
      </c>
      <c r="BQ11" s="519">
        <f t="shared" ref="BQ11:BQ16" si="21">(BP11/BL11-1)*(100)</f>
        <v>7.7870794203294791</v>
      </c>
      <c r="BR11" s="520">
        <v>5.7</v>
      </c>
      <c r="BT11" s="524">
        <v>2389.498</v>
      </c>
      <c r="BU11" s="519">
        <f t="shared" ref="BU11:BU16" si="22">(BT11/BP11-1)*(100)</f>
        <v>5.2425314957092572</v>
      </c>
      <c r="BV11" s="520">
        <v>5.9</v>
      </c>
      <c r="BX11" s="524">
        <v>2287</v>
      </c>
      <c r="BY11" s="519">
        <f t="shared" ref="BY11:BY16" si="23">(BX11/BT11-1)*(100)</f>
        <v>-4.289520225587129</v>
      </c>
      <c r="BZ11" s="520">
        <v>-6</v>
      </c>
      <c r="CB11" s="524">
        <v>2145</v>
      </c>
      <c r="CC11" s="519">
        <f t="shared" ref="CC11:CC16" si="24">(CB11/BX11-1)*(100)</f>
        <v>-6.2090074333187584</v>
      </c>
      <c r="CD11" s="520">
        <v>-9.8000000000000007</v>
      </c>
      <c r="CF11" s="524">
        <v>2417</v>
      </c>
      <c r="CG11" s="519">
        <f t="shared" ref="CG11:CG16" si="25">(CF11/CB11-1)*(100)</f>
        <v>12.680652680652681</v>
      </c>
      <c r="CH11" s="520">
        <v>8.4</v>
      </c>
      <c r="CJ11" s="524">
        <v>2716</v>
      </c>
      <c r="CK11" s="519">
        <f t="shared" ref="CK11:CK16" si="26">(CJ11/CF11-1)*(100)</f>
        <v>12.370707488622257</v>
      </c>
      <c r="CL11" s="520">
        <v>7.3</v>
      </c>
      <c r="CN11" s="524">
        <v>2918</v>
      </c>
      <c r="CO11" s="519">
        <f t="shared" ref="CO11:CO16" si="27">(CN11/CJ11-1)*(100)</f>
        <v>7.4374079528718662</v>
      </c>
      <c r="CP11" s="521">
        <v>4.5</v>
      </c>
      <c r="CR11" s="524">
        <f>qtrSales!R125</f>
        <v>3104</v>
      </c>
      <c r="CS11" s="519">
        <f t="shared" si="0"/>
        <v>6.3742289239204997</v>
      </c>
      <c r="CT11" s="521">
        <f>qtrSales!E125</f>
        <v>4.4000000000000004</v>
      </c>
      <c r="CV11" s="524">
        <v>3296</v>
      </c>
      <c r="CW11" s="519">
        <f>(CV11/CR11-1)*(100)</f>
        <v>6.1855670103092786</v>
      </c>
      <c r="CX11" s="521">
        <v>3.3</v>
      </c>
      <c r="CZ11" s="524">
        <v>3598</v>
      </c>
      <c r="DA11" s="519">
        <f t="shared" si="2"/>
        <v>9.1626213592232997</v>
      </c>
      <c r="DB11" s="521">
        <v>4.9000000000000004</v>
      </c>
      <c r="DD11" s="524">
        <v>3592</v>
      </c>
      <c r="DE11" s="519">
        <f t="shared" si="3"/>
        <v>-0.16675931072818173</v>
      </c>
      <c r="DF11" s="521">
        <f>qtrSales!E146</f>
        <v>-1.2</v>
      </c>
      <c r="DH11" s="524">
        <f>qtrSales!R153</f>
        <v>3717</v>
      </c>
      <c r="DI11" s="519">
        <f t="shared" si="4"/>
        <v>3.4799554565701607</v>
      </c>
      <c r="DJ11" s="521">
        <f>qtrSales!E153</f>
        <v>1.7</v>
      </c>
      <c r="DL11" s="524">
        <f>qtrSales!R161</f>
        <v>4003.0092178217819</v>
      </c>
      <c r="DM11" s="519">
        <f t="shared" si="5"/>
        <v>7.6946251768033935</v>
      </c>
      <c r="DN11" s="1170">
        <f>qtrSales!E161</f>
        <v>4</v>
      </c>
      <c r="DO11" s="521"/>
      <c r="DP11" s="1093"/>
      <c r="DQ11" s="702"/>
    </row>
    <row r="12" spans="1:121" outlineLevel="2" x14ac:dyDescent="0.2">
      <c r="A12" s="517" t="s">
        <v>80</v>
      </c>
      <c r="D12" s="524">
        <v>634.9</v>
      </c>
      <c r="E12" s="519" t="s">
        <v>83</v>
      </c>
      <c r="F12" s="520">
        <v>-1.8</v>
      </c>
      <c r="H12" s="524">
        <v>687.077</v>
      </c>
      <c r="I12" s="519">
        <f t="shared" si="6"/>
        <v>8.2181445896991612</v>
      </c>
      <c r="J12" s="520">
        <v>2</v>
      </c>
      <c r="L12" s="524">
        <v>737.30100000000004</v>
      </c>
      <c r="M12" s="519">
        <f t="shared" si="7"/>
        <v>7.3098066155612873</v>
      </c>
      <c r="N12" s="520">
        <v>-0.9</v>
      </c>
      <c r="P12" s="524">
        <v>769.37300000000005</v>
      </c>
      <c r="Q12" s="519">
        <f t="shared" si="8"/>
        <v>4.3499195037033811</v>
      </c>
      <c r="R12" s="520">
        <v>4.0999999999999996</v>
      </c>
      <c r="T12" s="524">
        <v>861.96799999999996</v>
      </c>
      <c r="U12" s="519">
        <f t="shared" si="9"/>
        <v>12.035124705441946</v>
      </c>
      <c r="V12" s="520">
        <v>6.7</v>
      </c>
      <c r="X12" s="524">
        <v>906.84799999999996</v>
      </c>
      <c r="Y12" s="519">
        <f t="shared" si="10"/>
        <v>5.2066898075102452</v>
      </c>
      <c r="Z12" s="520">
        <v>-2</v>
      </c>
      <c r="AB12" s="524">
        <v>984.44</v>
      </c>
      <c r="AC12" s="519">
        <f t="shared" si="11"/>
        <v>8.5562299304845055</v>
      </c>
      <c r="AD12" s="520">
        <v>-0.3</v>
      </c>
      <c r="AF12" s="524">
        <v>1089.7840000000001</v>
      </c>
      <c r="AG12" s="519">
        <f t="shared" si="12"/>
        <v>10.700906098898866</v>
      </c>
      <c r="AH12" s="520">
        <v>4.7</v>
      </c>
      <c r="AJ12" s="524">
        <v>1446.0419999999999</v>
      </c>
      <c r="AK12" s="519">
        <f t="shared" si="13"/>
        <v>32.690698340221537</v>
      </c>
      <c r="AL12" s="520">
        <v>11.568845900643133</v>
      </c>
      <c r="AN12" s="524">
        <v>1110.114</v>
      </c>
      <c r="AO12" s="519">
        <f t="shared" si="14"/>
        <v>-23.23086051442489</v>
      </c>
      <c r="AP12" s="520">
        <v>4.4943225230541284</v>
      </c>
      <c r="AR12" s="524">
        <v>1262.3899999999999</v>
      </c>
      <c r="AS12" s="519">
        <f t="shared" si="15"/>
        <v>13.717149770203774</v>
      </c>
      <c r="AT12" s="520">
        <v>4.9000000000000004</v>
      </c>
      <c r="AV12" s="524">
        <v>1239.241</v>
      </c>
      <c r="AW12" s="519">
        <f t="shared" si="16"/>
        <v>-1.8337439301642</v>
      </c>
      <c r="AX12" s="520">
        <v>-9.3000000000000007</v>
      </c>
      <c r="AZ12" s="524">
        <v>1323.201</v>
      </c>
      <c r="BA12" s="519">
        <f t="shared" si="17"/>
        <v>6.7751147678296597</v>
      </c>
      <c r="BB12" s="520">
        <v>3.9</v>
      </c>
      <c r="BD12" s="524">
        <v>1409.1</v>
      </c>
      <c r="BE12" s="519">
        <f t="shared" si="18"/>
        <v>6.4917574880913653</v>
      </c>
      <c r="BF12" s="520">
        <v>5</v>
      </c>
      <c r="BH12" s="524">
        <v>1542.1</v>
      </c>
      <c r="BI12" s="519">
        <f t="shared" si="19"/>
        <v>9.4386487829110735</v>
      </c>
      <c r="BJ12" s="520">
        <v>9.4</v>
      </c>
      <c r="BL12" s="524">
        <v>1666</v>
      </c>
      <c r="BM12" s="519">
        <f t="shared" si="20"/>
        <v>8.0344984112573847</v>
      </c>
      <c r="BN12" s="520">
        <v>5.9</v>
      </c>
      <c r="BP12" s="524">
        <v>1872.1030000000001</v>
      </c>
      <c r="BQ12" s="519">
        <f t="shared" si="21"/>
        <v>12.371128451380553</v>
      </c>
      <c r="BR12" s="520">
        <v>10.7</v>
      </c>
      <c r="BT12" s="524">
        <v>1970.444</v>
      </c>
      <c r="BU12" s="519">
        <f t="shared" si="22"/>
        <v>5.2529695214419192</v>
      </c>
      <c r="BV12" s="520">
        <v>2.2000000000000002</v>
      </c>
      <c r="BX12" s="524">
        <v>1824</v>
      </c>
      <c r="BY12" s="519">
        <f t="shared" si="23"/>
        <v>-7.4320305474299131</v>
      </c>
      <c r="BZ12" s="520">
        <v>-11.1</v>
      </c>
      <c r="CB12" s="524">
        <v>1868</v>
      </c>
      <c r="CC12" s="519">
        <f t="shared" si="24"/>
        <v>2.4122807017543879</v>
      </c>
      <c r="CD12" s="520">
        <v>-1.2</v>
      </c>
      <c r="CF12" s="524">
        <v>2087</v>
      </c>
      <c r="CG12" s="519">
        <f t="shared" si="25"/>
        <v>11.723768736616712</v>
      </c>
      <c r="CH12" s="520">
        <v>5.8</v>
      </c>
      <c r="CJ12" s="524">
        <v>2383</v>
      </c>
      <c r="CK12" s="519">
        <f t="shared" si="26"/>
        <v>14.183037853378044</v>
      </c>
      <c r="CL12" s="520">
        <v>7.9</v>
      </c>
      <c r="CN12" s="524">
        <v>2713</v>
      </c>
      <c r="CO12" s="519">
        <f>(CN12/CJ12-1)*(100)</f>
        <v>13.84809064204784</v>
      </c>
      <c r="CP12" s="521">
        <v>10.7</v>
      </c>
      <c r="CR12" s="524">
        <f>qtrSales!R126</f>
        <v>2791</v>
      </c>
      <c r="CS12" s="519">
        <f>(CR12/CN12-1)*(100)</f>
        <v>2.8750460744563222</v>
      </c>
      <c r="CT12" s="521">
        <f>qtrSales!E126</f>
        <v>0.1</v>
      </c>
      <c r="CV12" s="524">
        <v>3040</v>
      </c>
      <c r="CW12" s="519">
        <f>(CV12/CR12-1)*(100)</f>
        <v>8.9215335005374374</v>
      </c>
      <c r="CX12" s="521">
        <v>4.3</v>
      </c>
      <c r="CZ12" s="524">
        <v>3239</v>
      </c>
      <c r="DA12" s="519">
        <f t="shared" si="2"/>
        <v>6.5460526315789469</v>
      </c>
      <c r="DB12" s="521">
        <v>0.9</v>
      </c>
      <c r="DD12" s="524">
        <f>qtrSales!R147</f>
        <v>3472</v>
      </c>
      <c r="DE12" s="519">
        <f t="shared" si="3"/>
        <v>7.1935782648965718</v>
      </c>
      <c r="DF12" s="521">
        <f>qtrSales!E147</f>
        <v>2.4</v>
      </c>
      <c r="DH12" s="1233">
        <f>qtrSales!R154</f>
        <v>3541</v>
      </c>
      <c r="DI12" s="519">
        <f t="shared" si="4"/>
        <v>1.9873271889401023</v>
      </c>
      <c r="DJ12" s="521">
        <f>qtrSales!E154</f>
        <v>-0.9</v>
      </c>
      <c r="DL12" s="1233">
        <f>qtrSales!R162</f>
        <v>3563.4263333333333</v>
      </c>
      <c r="DM12" s="519">
        <f t="shared" si="5"/>
        <v>0.6333333333333302</v>
      </c>
      <c r="DN12" s="1170">
        <f>qtrSales!E162</f>
        <v>-2</v>
      </c>
      <c r="DO12" s="521"/>
      <c r="DP12" s="1093"/>
      <c r="DQ12" s="702"/>
    </row>
    <row r="13" spans="1:121" outlineLevel="2" x14ac:dyDescent="0.2">
      <c r="A13" s="517" t="s">
        <v>81</v>
      </c>
      <c r="D13" s="526">
        <v>903.00400000000002</v>
      </c>
      <c r="E13" s="519" t="s">
        <v>83</v>
      </c>
      <c r="F13" s="520">
        <v>-2.6</v>
      </c>
      <c r="H13" s="526">
        <v>978.05600000000004</v>
      </c>
      <c r="I13" s="519">
        <f t="shared" si="6"/>
        <v>8.3113696063361822</v>
      </c>
      <c r="J13" s="520">
        <v>-0.7</v>
      </c>
      <c r="L13" s="526">
        <v>1069.2529999999999</v>
      </c>
      <c r="M13" s="519">
        <f t="shared" si="7"/>
        <v>9.3243127182901517</v>
      </c>
      <c r="N13" s="520">
        <v>4.5</v>
      </c>
      <c r="P13" s="526">
        <v>1107.424</v>
      </c>
      <c r="Q13" s="519">
        <f t="shared" si="8"/>
        <v>3.569875417698154</v>
      </c>
      <c r="R13" s="520">
        <v>3.14</v>
      </c>
      <c r="T13" s="526">
        <v>1190.9469999999999</v>
      </c>
      <c r="U13" s="519">
        <f t="shared" si="9"/>
        <v>7.5420976969977183</v>
      </c>
      <c r="V13" s="520">
        <v>1.5</v>
      </c>
      <c r="X13" s="526">
        <v>1241.8309999999999</v>
      </c>
      <c r="Y13" s="519">
        <f t="shared" si="10"/>
        <v>4.2725662854854241</v>
      </c>
      <c r="Z13" s="520">
        <v>-1</v>
      </c>
      <c r="AB13" s="526">
        <v>1321.1969999999999</v>
      </c>
      <c r="AC13" s="519">
        <f t="shared" si="11"/>
        <v>6.3910467688437445</v>
      </c>
      <c r="AD13" s="520">
        <v>-1.3</v>
      </c>
      <c r="AF13" s="526">
        <v>1454.748</v>
      </c>
      <c r="AG13" s="519">
        <f t="shared" si="12"/>
        <v>10.108333579322393</v>
      </c>
      <c r="AH13" s="520">
        <v>4.3</v>
      </c>
      <c r="AJ13" s="526">
        <v>1446.0419999999999</v>
      </c>
      <c r="AK13" s="519">
        <f t="shared" si="13"/>
        <v>-0.59845416525750039</v>
      </c>
      <c r="AL13" s="520">
        <v>8.8658273609437455</v>
      </c>
      <c r="AN13" s="526">
        <v>1556.3860000000004</v>
      </c>
      <c r="AO13" s="519">
        <f t="shared" si="14"/>
        <v>7.63076037902084</v>
      </c>
      <c r="AP13" s="520">
        <v>5.4988748825727018</v>
      </c>
      <c r="AR13" s="526">
        <v>1655.7349999999999</v>
      </c>
      <c r="AS13" s="519">
        <f t="shared" si="15"/>
        <v>6.3833136509837241</v>
      </c>
      <c r="AT13" s="520">
        <v>-1.7615026876849671</v>
      </c>
      <c r="AV13" s="526">
        <v>1631.09</v>
      </c>
      <c r="AW13" s="519">
        <f t="shared" si="16"/>
        <v>-1.4884628276867984</v>
      </c>
      <c r="AX13" s="520">
        <v>-4.5999999999999996</v>
      </c>
      <c r="AZ13" s="526">
        <v>1750.586</v>
      </c>
      <c r="BA13" s="519">
        <f t="shared" si="17"/>
        <v>7.326143866984669</v>
      </c>
      <c r="BB13" s="520">
        <v>1.5</v>
      </c>
      <c r="BD13" s="526">
        <v>1919.2</v>
      </c>
      <c r="BE13" s="519">
        <f t="shared" si="18"/>
        <v>9.6318604170260613</v>
      </c>
      <c r="BF13" s="520">
        <v>8.3000000000000007</v>
      </c>
      <c r="BH13" s="526">
        <v>2100.3429999999998</v>
      </c>
      <c r="BI13" s="519">
        <f t="shared" si="19"/>
        <v>9.438463943309694</v>
      </c>
      <c r="BJ13" s="520">
        <v>7.2</v>
      </c>
      <c r="BL13" s="526">
        <v>2295.6999999999998</v>
      </c>
      <c r="BM13" s="519">
        <f t="shared" si="20"/>
        <v>9.3011950905161669</v>
      </c>
      <c r="BN13" s="520">
        <v>5.8</v>
      </c>
      <c r="BP13" s="526">
        <v>2630.904</v>
      </c>
      <c r="BQ13" s="519">
        <f t="shared" si="21"/>
        <v>14.60138519841443</v>
      </c>
      <c r="BR13" s="520">
        <v>8.3000000000000007</v>
      </c>
      <c r="BT13" s="526">
        <v>2514</v>
      </c>
      <c r="BU13" s="519">
        <f t="shared" si="22"/>
        <v>-4.4434916667426823</v>
      </c>
      <c r="BV13" s="520">
        <v>-0.7</v>
      </c>
      <c r="BX13" s="526">
        <v>2301</v>
      </c>
      <c r="BY13" s="519">
        <f t="shared" si="23"/>
        <v>-8.4725536992840134</v>
      </c>
      <c r="BZ13" s="520">
        <v>-12.5</v>
      </c>
      <c r="CB13" s="526">
        <v>2539</v>
      </c>
      <c r="CC13" s="519">
        <f t="shared" si="24"/>
        <v>10.343328987396783</v>
      </c>
      <c r="CD13" s="520">
        <v>6.9</v>
      </c>
      <c r="CF13" s="526">
        <v>2816</v>
      </c>
      <c r="CG13" s="519">
        <f t="shared" si="25"/>
        <v>10.909807010634109</v>
      </c>
      <c r="CH13" s="520">
        <v>6.7</v>
      </c>
      <c r="CJ13" s="526">
        <v>3169</v>
      </c>
      <c r="CK13" s="519">
        <f t="shared" si="26"/>
        <v>12.535511363636353</v>
      </c>
      <c r="CL13" s="520">
        <v>7.1</v>
      </c>
      <c r="CN13" s="526">
        <v>3596</v>
      </c>
      <c r="CO13" s="519">
        <f>(CN13/CJ13-1)*(100)</f>
        <v>13.474282107920477</v>
      </c>
      <c r="CP13" s="521">
        <v>6.3</v>
      </c>
      <c r="CR13" s="526">
        <f>qtrSales!R127</f>
        <v>3614</v>
      </c>
      <c r="CS13" s="519">
        <f t="shared" si="0"/>
        <v>0.50055617352613435</v>
      </c>
      <c r="CT13" s="521">
        <f>qtrSales!E127</f>
        <v>2.2000000000000002</v>
      </c>
      <c r="CV13" s="526">
        <v>3938</v>
      </c>
      <c r="CW13" s="519">
        <f>(CV13/CR13-1)*(100)</f>
        <v>8.9651355838406221</v>
      </c>
      <c r="CX13" s="521">
        <v>4.7</v>
      </c>
      <c r="CZ13" s="526">
        <v>4143</v>
      </c>
      <c r="DA13" s="519">
        <f t="shared" si="2"/>
        <v>5.2056881665820232</v>
      </c>
      <c r="DB13" s="521">
        <v>1</v>
      </c>
      <c r="DD13" s="526">
        <f>qtrSales!R148</f>
        <v>4243</v>
      </c>
      <c r="DE13" s="519">
        <f t="shared" si="3"/>
        <v>2.4137098720733663</v>
      </c>
      <c r="DF13" s="521">
        <f>qtrSales!E148</f>
        <v>-0.9</v>
      </c>
      <c r="DH13" s="1311">
        <f>qtrSales!R155</f>
        <v>4600</v>
      </c>
      <c r="DI13" s="519">
        <f t="shared" si="4"/>
        <v>8.4138581192552344</v>
      </c>
      <c r="DJ13" s="521">
        <f>qtrSales!E155</f>
        <v>2.6</v>
      </c>
      <c r="DL13" s="1311">
        <f>qtrSales!R163</f>
        <v>4345.3409836065575</v>
      </c>
      <c r="DM13" s="519">
        <f t="shared" si="5"/>
        <v>-5.5360655737704878</v>
      </c>
      <c r="DN13" s="1170">
        <f>qtrSales!E163</f>
        <v>-0.5</v>
      </c>
      <c r="DO13" s="521"/>
      <c r="DP13" s="1093"/>
      <c r="DQ13" s="702"/>
    </row>
    <row r="14" spans="1:121" outlineLevel="2" x14ac:dyDescent="0.2">
      <c r="A14" s="517" t="s">
        <v>82</v>
      </c>
      <c r="D14" s="518">
        <v>2893.904</v>
      </c>
      <c r="E14" s="519" t="s">
        <v>83</v>
      </c>
      <c r="F14" s="520">
        <v>-1.4</v>
      </c>
      <c r="H14" s="518">
        <v>3179.82</v>
      </c>
      <c r="I14" s="519">
        <f t="shared" si="6"/>
        <v>9.8799407305840248</v>
      </c>
      <c r="J14" s="520">
        <v>1.4</v>
      </c>
      <c r="L14" s="518">
        <v>3421.9790000000003</v>
      </c>
      <c r="M14" s="519">
        <f t="shared" si="7"/>
        <v>7.6154939587775416</v>
      </c>
      <c r="N14" s="520">
        <v>1.4</v>
      </c>
      <c r="P14" s="518">
        <v>3589.9380000000001</v>
      </c>
      <c r="Q14" s="519">
        <f t="shared" si="8"/>
        <v>4.9082416928917461</v>
      </c>
      <c r="R14" s="520">
        <v>2.67</v>
      </c>
      <c r="T14" s="518">
        <v>3894.4780000000001</v>
      </c>
      <c r="U14" s="519">
        <f t="shared" si="9"/>
        <v>8.4831548622845254</v>
      </c>
      <c r="V14" s="520">
        <v>4.394677807911612</v>
      </c>
      <c r="X14" s="518">
        <v>4113.5159999999996</v>
      </c>
      <c r="Y14" s="519">
        <f t="shared" si="10"/>
        <v>5.6243224380776891</v>
      </c>
      <c r="Z14" s="520">
        <v>-0.67070384556666374</v>
      </c>
      <c r="AB14" s="518">
        <v>4453.0630000000001</v>
      </c>
      <c r="AC14" s="519">
        <f t="shared" si="11"/>
        <v>8.2544227371426526</v>
      </c>
      <c r="AD14" s="520">
        <v>0.64808741758201038</v>
      </c>
      <c r="AF14" s="518">
        <v>4851.6239999999998</v>
      </c>
      <c r="AG14" s="519">
        <f t="shared" si="12"/>
        <v>8.9502663672173419</v>
      </c>
      <c r="AH14" s="520">
        <v>3.8380962127320664</v>
      </c>
      <c r="AJ14" s="518">
        <v>5027.8900000000003</v>
      </c>
      <c r="AK14" s="519">
        <f t="shared" si="13"/>
        <v>3.6331339774063443</v>
      </c>
      <c r="AL14" s="520">
        <v>0</v>
      </c>
      <c r="AN14" s="518">
        <v>5149</v>
      </c>
      <c r="AO14" s="519">
        <f t="shared" si="14"/>
        <v>2.4087639148827833</v>
      </c>
      <c r="AP14" s="520">
        <v>0</v>
      </c>
      <c r="AR14" s="518">
        <v>5528.5370000000003</v>
      </c>
      <c r="AS14" s="519">
        <f t="shared" si="15"/>
        <v>7.3710817634492276</v>
      </c>
      <c r="AT14" s="520">
        <v>0.51341592674625014</v>
      </c>
      <c r="AV14" s="518">
        <v>5634.13</v>
      </c>
      <c r="AW14" s="519">
        <f t="shared" si="16"/>
        <v>1.9099627984763501</v>
      </c>
      <c r="AX14" s="520">
        <v>-5.9</v>
      </c>
      <c r="AZ14" s="518">
        <v>5944.6559999999999</v>
      </c>
      <c r="BA14" s="519">
        <f t="shared" si="17"/>
        <v>5.5115164186839927</v>
      </c>
      <c r="BB14" s="520">
        <v>1.3</v>
      </c>
      <c r="BD14" s="518">
        <v>6448.5719999999992</v>
      </c>
      <c r="BE14" s="519">
        <f t="shared" si="18"/>
        <v>8.476789910131032</v>
      </c>
      <c r="BF14" s="520">
        <v>4.0999999999999996</v>
      </c>
      <c r="BH14" s="518">
        <v>7131.4129999999996</v>
      </c>
      <c r="BI14" s="519">
        <f t="shared" si="19"/>
        <v>10.5890265317655</v>
      </c>
      <c r="BJ14" s="520">
        <v>8.5</v>
      </c>
      <c r="BL14" s="518">
        <v>7722.6120000000001</v>
      </c>
      <c r="BM14" s="519">
        <f t="shared" si="20"/>
        <v>8.2900681814389365</v>
      </c>
      <c r="BN14" s="520">
        <v>6</v>
      </c>
      <c r="BP14" s="518">
        <v>8560.6980000000003</v>
      </c>
      <c r="BQ14" s="519">
        <f t="shared" si="21"/>
        <v>10.852364459071628</v>
      </c>
      <c r="BR14" s="520">
        <v>7.5</v>
      </c>
      <c r="BT14" s="518">
        <v>8827.8140000000003</v>
      </c>
      <c r="BU14" s="519">
        <f t="shared" si="22"/>
        <v>3.1202595863094373</v>
      </c>
      <c r="BV14" s="520">
        <v>3.9</v>
      </c>
      <c r="BX14" s="518">
        <v>8291</v>
      </c>
      <c r="BY14" s="519">
        <f t="shared" si="23"/>
        <v>-6.080939177014832</v>
      </c>
      <c r="BZ14" s="520">
        <v>-9</v>
      </c>
      <c r="CB14" s="518">
        <v>8258</v>
      </c>
      <c r="CC14" s="519">
        <f t="shared" si="24"/>
        <v>-0.39802195151369402</v>
      </c>
      <c r="CD14" s="520">
        <v>-4.2</v>
      </c>
      <c r="CF14" s="518">
        <v>9310</v>
      </c>
      <c r="CG14" s="519">
        <f t="shared" si="25"/>
        <v>12.73916202470331</v>
      </c>
      <c r="CH14" s="520">
        <v>8.1</v>
      </c>
      <c r="CJ14" s="518">
        <v>10497</v>
      </c>
      <c r="CK14" s="519">
        <f t="shared" si="26"/>
        <v>12.749731471535974</v>
      </c>
      <c r="CL14" s="520">
        <v>7.2</v>
      </c>
      <c r="CN14" s="518">
        <f>qtrSales!R121</f>
        <v>11762</v>
      </c>
      <c r="CO14" s="519">
        <f>(CN14/CJ14-1)*(100)</f>
        <v>12.051062208249984</v>
      </c>
      <c r="CP14" s="521">
        <v>7.3</v>
      </c>
      <c r="CR14" s="518">
        <f>qtrSales!R128</f>
        <v>12166</v>
      </c>
      <c r="CS14" s="519">
        <f t="shared" si="0"/>
        <v>3.4347900017003941</v>
      </c>
      <c r="CT14" s="521">
        <v>2.5</v>
      </c>
      <c r="CV14" s="518">
        <f>qtrSales!$R135</f>
        <v>13111</v>
      </c>
      <c r="CW14" s="519">
        <f>(CV14/CR14-1)*(100)</f>
        <v>7.7675489067894121</v>
      </c>
      <c r="CX14" s="521">
        <v>4</v>
      </c>
      <c r="CZ14" s="518">
        <f>qtrSales!$R142</f>
        <v>14095</v>
      </c>
      <c r="DA14" s="519">
        <f t="shared" si="2"/>
        <v>7.5051483487148296</v>
      </c>
      <c r="DB14" s="521">
        <v>2.7</v>
      </c>
      <c r="DD14" s="518">
        <f>qtrSales!R149</f>
        <v>14499</v>
      </c>
      <c r="DE14" s="519">
        <f t="shared" si="3"/>
        <v>2.8662646328485364</v>
      </c>
      <c r="DF14" s="521">
        <f>qtrSales!E149</f>
        <v>-0.4</v>
      </c>
      <c r="DH14" s="1088">
        <f>qtrSales!R156</f>
        <v>15137</v>
      </c>
      <c r="DI14" s="519">
        <f t="shared" si="4"/>
        <v>4.4003034692047693</v>
      </c>
      <c r="DJ14" s="521">
        <f>qtrSales!E156</f>
        <v>0.8</v>
      </c>
      <c r="DL14" s="1088">
        <f>qtrSales!R164</f>
        <v>15324.038457838597</v>
      </c>
      <c r="DM14" s="519">
        <f t="shared" si="5"/>
        <v>1.2356375625196314</v>
      </c>
      <c r="DN14" s="1170">
        <f>SUMPRODUCT(DN10:DN13,DL10:DL13)/SUM(DL10:DL13)</f>
        <v>0.54937506829665472</v>
      </c>
      <c r="DO14" s="1170"/>
    </row>
    <row r="15" spans="1:121" hidden="1" outlineLevel="3" x14ac:dyDescent="0.2">
      <c r="A15" s="517" t="s">
        <v>281</v>
      </c>
      <c r="D15" s="524">
        <f>D10+D11</f>
        <v>1356</v>
      </c>
      <c r="E15" s="519" t="s">
        <v>83</v>
      </c>
      <c r="F15" s="520">
        <f>SUMPRODUCT(F10:F11,D10:D11)/D15</f>
        <v>2.3860619469026547</v>
      </c>
      <c r="H15" s="524">
        <f>H10+H11</f>
        <v>1514.6869999999999</v>
      </c>
      <c r="I15" s="519">
        <f t="shared" si="6"/>
        <v>11.702581120943956</v>
      </c>
      <c r="J15" s="520">
        <f>SUMPRODUCT(J10:J11,H10:H11)/H15</f>
        <v>2.3309474498691811</v>
      </c>
      <c r="L15" s="524">
        <f>L10+L11</f>
        <v>1615.425</v>
      </c>
      <c r="M15" s="519">
        <f t="shared" si="7"/>
        <v>6.6507469860109802</v>
      </c>
      <c r="N15" s="520">
        <f>SUMPRODUCT(N10:N11,L10:L11)/L15</f>
        <v>-0.55488605165823235</v>
      </c>
      <c r="P15" s="524">
        <f>P10+P11</f>
        <v>1713.1410000000001</v>
      </c>
      <c r="Q15" s="519">
        <f t="shared" si="8"/>
        <v>6.0489344909234521</v>
      </c>
      <c r="R15" s="520">
        <f>SUMPRODUCT(R10:R11,P10:P11)/P15</f>
        <v>1.666168108754621</v>
      </c>
      <c r="T15" s="524">
        <f>T10+T11</f>
        <v>1841.5630000000001</v>
      </c>
      <c r="U15" s="519">
        <f t="shared" si="9"/>
        <v>7.4962889802999255</v>
      </c>
      <c r="V15" s="520">
        <f>SUMPRODUCT(V10:V11,T10:T11)/T15</f>
        <v>5.187642203932203</v>
      </c>
      <c r="X15" s="524">
        <f>X10+X11</f>
        <v>1964.837</v>
      </c>
      <c r="Y15" s="519">
        <f t="shared" si="10"/>
        <v>6.6939876615679017</v>
      </c>
      <c r="Z15" s="520">
        <f>SUMPRODUCT(Z10:Z11,X10:X11)/X15</f>
        <v>0.15094178295705957</v>
      </c>
      <c r="AB15" s="524">
        <f>AB10+AB11</f>
        <v>2147.4259999999999</v>
      </c>
      <c r="AC15" s="519">
        <f t="shared" si="11"/>
        <v>9.2928319244802502</v>
      </c>
      <c r="AD15" s="520">
        <f>SUMPRODUCT(AD10:AD11,AB10:AB11)/AB15</f>
        <v>2.2812717178612907</v>
      </c>
      <c r="AF15" s="524">
        <f>AF10+AF11</f>
        <v>2307.0920000000001</v>
      </c>
      <c r="AG15" s="519">
        <f t="shared" si="12"/>
        <v>7.4352271044497042</v>
      </c>
      <c r="AH15" s="520">
        <f>SUMPRODUCT(AH10:AH11,AF10:AF11)/AF15</f>
        <v>3.1397094264121237</v>
      </c>
      <c r="AJ15" s="524">
        <f>AJ10+AJ11</f>
        <v>2487.4989999999998</v>
      </c>
      <c r="AK15" s="519">
        <f t="shared" si="13"/>
        <v>7.8196708237035839</v>
      </c>
      <c r="AL15" s="520">
        <f>SUMPRODUCT(AL10:AL11,AJ10:AJ11)/AJ15</f>
        <v>11.40580524674151</v>
      </c>
      <c r="AN15" s="524">
        <f>AN10+AN11</f>
        <v>2482.5</v>
      </c>
      <c r="AO15" s="519">
        <f t="shared" si="14"/>
        <v>-0.20096490491050556</v>
      </c>
      <c r="AP15" s="520">
        <f>SUMPRODUCT(AP10:AP11,AN10:AN11)/AN15</f>
        <v>4.8008634896875249</v>
      </c>
      <c r="AR15" s="524">
        <f>AR10+AR11</f>
        <v>2610.4120000000003</v>
      </c>
      <c r="AS15" s="519">
        <f t="shared" si="15"/>
        <v>5.1525478348439124</v>
      </c>
      <c r="AT15" s="520">
        <f>SUMPRODUCT(AT10:AT11,AR10:AR11)/AR15</f>
        <v>-0.16999592401506</v>
      </c>
      <c r="AV15" s="524">
        <f>AV10+AV11</f>
        <v>2763.799</v>
      </c>
      <c r="AW15" s="519">
        <f t="shared" si="16"/>
        <v>5.8759690041265467</v>
      </c>
      <c r="AX15" s="520">
        <f>SUMPRODUCT(AX10:AX11,AV10:AV11)/AV15</f>
        <v>0.93379211006299656</v>
      </c>
      <c r="AZ15" s="524">
        <f>AZ10+AZ11</f>
        <v>2901.2889999999998</v>
      </c>
      <c r="BA15" s="519">
        <f t="shared" si="17"/>
        <v>4.9746743522231407</v>
      </c>
      <c r="BB15" s="520">
        <f>SUMPRODUCT(BB10:BB11,AZ10:AZ11)/AZ15</f>
        <v>0.1389668523197794</v>
      </c>
      <c r="BD15" s="524">
        <f>BD10+BD11</f>
        <v>3120.2719999999999</v>
      </c>
      <c r="BE15" s="519">
        <f t="shared" si="18"/>
        <v>7.5477830715933614</v>
      </c>
      <c r="BF15" s="520">
        <f>SUMPRODUCT(BF10:BF11,BD10:BD11)/BD15</f>
        <v>1.531607500884538</v>
      </c>
      <c r="BH15" s="524">
        <f>BH10+BH11</f>
        <v>3488.9700000000003</v>
      </c>
      <c r="BI15" s="519">
        <f t="shared" si="19"/>
        <v>11.816213458313896</v>
      </c>
      <c r="BJ15" s="520">
        <f>SUMPRODUCT(BJ10:BJ11,BH10:BH11)/BH15</f>
        <v>9.6166295496951815</v>
      </c>
      <c r="BL15" s="524">
        <f>BL10+BL11</f>
        <v>3760.9120000000003</v>
      </c>
      <c r="BM15" s="519">
        <f t="shared" si="20"/>
        <v>7.7943347176960609</v>
      </c>
      <c r="BN15" s="520">
        <f>SUMPRODUCT(BN10:BN11,BL10:BL11)/BL15</f>
        <v>6.1999999999999993</v>
      </c>
      <c r="BP15" s="524">
        <f>BP10+BP11</f>
        <v>4057.6909999999998</v>
      </c>
      <c r="BQ15" s="519">
        <f t="shared" si="21"/>
        <v>7.8911444883581261</v>
      </c>
      <c r="BR15" s="520">
        <f>SUMPRODUCT(BR10:BR11,BP10:BP11)/BP15</f>
        <v>5.5678640389324867</v>
      </c>
      <c r="BT15" s="524">
        <f>BT10+BT11</f>
        <v>4343.37</v>
      </c>
      <c r="BU15" s="519">
        <f t="shared" si="22"/>
        <v>7.0404326007081464</v>
      </c>
      <c r="BV15" s="520">
        <f>SUMPRODUCT(BV10:BV11,BT10:BT11)/BT15</f>
        <v>7.5194658065050879</v>
      </c>
      <c r="BX15" s="524">
        <f>BX10+BX11</f>
        <v>4166</v>
      </c>
      <c r="BY15" s="519">
        <f t="shared" si="23"/>
        <v>-4.0836953793943369</v>
      </c>
      <c r="BZ15" s="520">
        <f>SUMPRODUCT(BZ10:BZ11,BX10:BX11)/BX15</f>
        <v>-6.2255160825732121</v>
      </c>
      <c r="CB15" s="524">
        <f>CB10+CB11</f>
        <v>3851</v>
      </c>
      <c r="CC15" s="519">
        <f t="shared" si="24"/>
        <v>-7.5612097935669702</v>
      </c>
      <c r="CD15" s="520">
        <f>SUMPRODUCT(CD10:CD11,CB10:CB11)/CB15</f>
        <v>-11.30620618021293</v>
      </c>
      <c r="CF15" s="524">
        <f>CF10+CF11</f>
        <v>4407</v>
      </c>
      <c r="CG15" s="519">
        <f t="shared" si="25"/>
        <v>14.437808361464555</v>
      </c>
      <c r="CH15" s="520">
        <f>SUMPRODUCT(CH10:CH11,CF10:CF11)/CF15</f>
        <v>10.025595643294759</v>
      </c>
      <c r="CJ15" s="524">
        <f>CJ10+CJ11</f>
        <v>4945</v>
      </c>
      <c r="CK15" s="519">
        <f t="shared" si="26"/>
        <v>12.207851145904236</v>
      </c>
      <c r="CL15" s="520">
        <f>SUMPRODUCT(CL10:CL11,CJ10:CJ11)/CJ15</f>
        <v>6.9393933265925183</v>
      </c>
      <c r="CN15" s="524">
        <f>CN10+CN11</f>
        <v>5453</v>
      </c>
      <c r="CO15" s="519">
        <f t="shared" si="27"/>
        <v>10.273003033367045</v>
      </c>
      <c r="CP15" s="521">
        <f>SUMPRODUCT(CP10:CP11,CN10:CN11)/CN15</f>
        <v>6.3595268659453508</v>
      </c>
      <c r="CR15" s="524">
        <f>CR10+CR11</f>
        <v>5761</v>
      </c>
      <c r="CS15" s="519">
        <f t="shared" si="0"/>
        <v>5.6482670089858855</v>
      </c>
      <c r="CT15" s="521">
        <f>SUMPRODUCT(CT10:CT11,CR10:CR11)/SUM(CR10:CR11)</f>
        <v>3.615952091650755</v>
      </c>
      <c r="CV15" s="524">
        <f>CV10+CV11</f>
        <v>6133</v>
      </c>
      <c r="CW15" s="519">
        <f t="shared" si="1"/>
        <v>6.4572122895330653</v>
      </c>
      <c r="CX15" s="521">
        <f>SUMPRODUCT(CX10:CX11,CV10:CV11)/SUM(CV10:CV11)</f>
        <v>3.5775476928093917</v>
      </c>
      <c r="CZ15" s="524">
        <f>CZ10+CZ11</f>
        <v>6713</v>
      </c>
      <c r="DA15" s="519">
        <f t="shared" si="2"/>
        <v>9.4570357084624135</v>
      </c>
      <c r="DB15" s="521">
        <f>SUMPRODUCT(DB10:DB11,CZ10:CZ11)/SUM(CZ10:CZ11)</f>
        <v>4.6679874869655897</v>
      </c>
      <c r="DD15" s="524">
        <f>DD10+DD11</f>
        <v>6784</v>
      </c>
      <c r="DE15" s="519">
        <f t="shared" si="3"/>
        <v>1.0576493371071027</v>
      </c>
      <c r="DF15" s="521">
        <f>SUMPRODUCT(DF10:DF11,DD10:DD11)/SUM(DD10:DD11)</f>
        <v>-1.435259433962264</v>
      </c>
      <c r="DH15" s="524">
        <f>DH10+DH11</f>
        <v>6996</v>
      </c>
      <c r="DI15" s="522">
        <f t="shared" si="4"/>
        <v>3.125</v>
      </c>
      <c r="DJ15" s="523">
        <f>SUMPRODUCT(DJ10:DJ11,DH10:DH11)/SUM(DH10:DH11)</f>
        <v>0.52825900514579749</v>
      </c>
      <c r="DL15" s="524">
        <f>DL10+DL11</f>
        <v>7415.2711408987052</v>
      </c>
      <c r="DM15" s="522">
        <f t="shared" si="5"/>
        <v>5.9930123055846884</v>
      </c>
      <c r="DN15" s="523">
        <f>SUMPRODUCT(DN10:DN11,DL10:DL11)/SUM(DL10:DL11)</f>
        <v>2.3894160437507894</v>
      </c>
      <c r="DO15" s="523"/>
    </row>
    <row r="16" spans="1:121" hidden="1" outlineLevel="3" x14ac:dyDescent="0.2">
      <c r="A16" s="517" t="s">
        <v>282</v>
      </c>
      <c r="D16" s="524">
        <f>D13+D12</f>
        <v>1537.904</v>
      </c>
      <c r="E16" s="519" t="s">
        <v>83</v>
      </c>
      <c r="F16" s="520">
        <f>SUMPRODUCT(F12:F13,D12:D13)/D16</f>
        <v>-2.2697323109895025</v>
      </c>
      <c r="H16" s="524">
        <f>H13+H12</f>
        <v>1665.133</v>
      </c>
      <c r="I16" s="519">
        <f t="shared" si="6"/>
        <v>8.2728830928328492</v>
      </c>
      <c r="J16" s="520">
        <f>SUMPRODUCT(J12:J13,H12:H13)/H16</f>
        <v>0.41408992554949065</v>
      </c>
      <c r="L16" s="524">
        <f>L13+L12</f>
        <v>1806.5540000000001</v>
      </c>
      <c r="M16" s="519">
        <f t="shared" si="7"/>
        <v>8.4930753279167437</v>
      </c>
      <c r="N16" s="520">
        <f>SUMPRODUCT(N12:N13,L12:L13)/L16</f>
        <v>2.2961215662526557</v>
      </c>
      <c r="P16" s="524">
        <f>P13+P12</f>
        <v>1876.797</v>
      </c>
      <c r="Q16" s="519">
        <f t="shared" si="8"/>
        <v>3.888231406312781</v>
      </c>
      <c r="R16" s="520">
        <f>SUMPRODUCT(R12:R13,P12:P13)/P16</f>
        <v>3.5335418055335763</v>
      </c>
      <c r="T16" s="524">
        <f>T13+T12</f>
        <v>2052.915</v>
      </c>
      <c r="U16" s="519">
        <f t="shared" si="9"/>
        <v>9.3839664065959116</v>
      </c>
      <c r="V16" s="520">
        <f>SUMPRODUCT(V12:V13,T12:T13)/T16</f>
        <v>3.6833507963067147</v>
      </c>
      <c r="X16" s="524">
        <f>X13+X12</f>
        <v>2148.6790000000001</v>
      </c>
      <c r="Y16" s="519">
        <f t="shared" si="10"/>
        <v>4.6647815423434436</v>
      </c>
      <c r="Z16" s="520">
        <f>SUMPRODUCT(Z12:Z13,X12:X13)/X16</f>
        <v>-1.4220490822500709</v>
      </c>
      <c r="AB16" s="524">
        <f>AB13+AB12</f>
        <v>2305.6369999999997</v>
      </c>
      <c r="AC16" s="519">
        <f t="shared" si="11"/>
        <v>7.3048603351175023</v>
      </c>
      <c r="AD16" s="520">
        <f>SUMPRODUCT(AD12:AD13,AB12:AB13)/AB16</f>
        <v>-0.8730290587807189</v>
      </c>
      <c r="AF16" s="524">
        <f>AF13+AF12</f>
        <v>2544.5320000000002</v>
      </c>
      <c r="AG16" s="519">
        <f t="shared" si="12"/>
        <v>10.361344825746666</v>
      </c>
      <c r="AH16" s="520">
        <f>SUMPRODUCT(AH12:AH13,AF12:AF13)/AF16</f>
        <v>4.4713138604662861</v>
      </c>
      <c r="AJ16" s="524">
        <f>AJ13+AJ12</f>
        <v>2892.0839999999998</v>
      </c>
      <c r="AK16" s="519">
        <f t="shared" si="13"/>
        <v>13.658778903153879</v>
      </c>
      <c r="AL16" s="520">
        <f>SUMPRODUCT(AL12:AL13,AJ12:AJ13)/AJ16</f>
        <v>10.217336630793438</v>
      </c>
      <c r="AN16" s="524">
        <f>AN13+AN12</f>
        <v>2666.5000000000005</v>
      </c>
      <c r="AO16" s="519">
        <f t="shared" si="14"/>
        <v>-7.8000500677020241</v>
      </c>
      <c r="AP16" s="520">
        <f>SUMPRODUCT(AP12:AP13,AN12:AN13)/AN16</f>
        <v>5.0806608799345616</v>
      </c>
      <c r="AR16" s="524">
        <f>AR13+AR12</f>
        <v>2918.125</v>
      </c>
      <c r="AS16" s="519">
        <f t="shared" si="15"/>
        <v>9.436527282955165</v>
      </c>
      <c r="AT16" s="520">
        <f>SUMPRODUCT(AT12:AT13,AR12:AR13)/AR16</f>
        <v>1.1202842055792441</v>
      </c>
      <c r="AV16" s="524">
        <f>AV13+AV12</f>
        <v>2870.3310000000001</v>
      </c>
      <c r="AW16" s="519">
        <f t="shared" si="16"/>
        <v>-1.6378325123152626</v>
      </c>
      <c r="AX16" s="520">
        <f>SUMPRODUCT(AX12:AX13,AV12:AV13)/AV16</f>
        <v>-6.6291850312733969</v>
      </c>
      <c r="AZ16" s="524">
        <f>AZ13+AZ12</f>
        <v>3073.7870000000003</v>
      </c>
      <c r="BA16" s="519">
        <f t="shared" si="17"/>
        <v>7.0882417393673514</v>
      </c>
      <c r="BB16" s="520">
        <f>SUMPRODUCT(BB12:BB13,AZ12:AZ13)/AZ16</f>
        <v>2.5331497920968498</v>
      </c>
      <c r="BD16" s="524">
        <f>BD13+BD12</f>
        <v>3328.3</v>
      </c>
      <c r="BE16" s="519">
        <f t="shared" si="18"/>
        <v>8.2801117969462332</v>
      </c>
      <c r="BF16" s="520">
        <f>SUMPRODUCT(BF12:BF13,BD12:BD13)/BD16</f>
        <v>6.9028813508397677</v>
      </c>
      <c r="BH16" s="524">
        <f>BH13+BH12</f>
        <v>3642.4429999999998</v>
      </c>
      <c r="BI16" s="519">
        <f t="shared" si="19"/>
        <v>9.4385421987200466</v>
      </c>
      <c r="BJ16" s="520">
        <f>SUMPRODUCT(BJ12:BJ13,BH12:BH13)/BH16</f>
        <v>8.1314133398930331</v>
      </c>
      <c r="BL16" s="524">
        <f>BL13+BL12</f>
        <v>3961.7</v>
      </c>
      <c r="BM16" s="519">
        <f t="shared" si="20"/>
        <v>8.7649140974889619</v>
      </c>
      <c r="BN16" s="520">
        <f>SUMPRODUCT(BN12:BN13,BL12:BL13)/BL16</f>
        <v>5.8420526541636164</v>
      </c>
      <c r="BP16" s="524">
        <f>BP13+BP12</f>
        <v>4503.0069999999996</v>
      </c>
      <c r="BQ16" s="519">
        <f t="shared" si="21"/>
        <v>13.663503041623537</v>
      </c>
      <c r="BR16" s="520">
        <f>SUMPRODUCT(BR12:BR13,BP12:BP13)/BP16</f>
        <v>9.2977881890923122</v>
      </c>
      <c r="BT16" s="524">
        <f>BT13+BT12</f>
        <v>4484.4439999999995</v>
      </c>
      <c r="BU16" s="519">
        <f t="shared" si="22"/>
        <v>-0.41223564609160768</v>
      </c>
      <c r="BV16" s="520">
        <f>SUMPRODUCT(BV12:BV13,BT12:BT13)/BT16</f>
        <v>0.57424661786388687</v>
      </c>
      <c r="BX16" s="524">
        <f>BX13+BX12</f>
        <v>4125</v>
      </c>
      <c r="BY16" s="519">
        <f t="shared" si="23"/>
        <v>-8.0153526278842975</v>
      </c>
      <c r="BZ16" s="520">
        <f>SUMPRODUCT(BZ12:BZ13,BX12:BX13)/BX16</f>
        <v>-11.880945454545452</v>
      </c>
      <c r="CB16" s="524">
        <f>CB13+CB12</f>
        <v>4407</v>
      </c>
      <c r="CC16" s="519">
        <f t="shared" si="24"/>
        <v>6.8363636363636404</v>
      </c>
      <c r="CD16" s="520">
        <f>SUMPRODUCT(CD12:CD13,CB12:CB13)/CB16</f>
        <v>3.4666439754935334</v>
      </c>
      <c r="CF16" s="524">
        <f>CF13+CF12</f>
        <v>4903</v>
      </c>
      <c r="CG16" s="519">
        <f t="shared" si="25"/>
        <v>11.254821874290899</v>
      </c>
      <c r="CH16" s="520">
        <f>SUMPRODUCT(CH12:CH13,CF12:CF13)/CF16</f>
        <v>6.3169080155007142</v>
      </c>
      <c r="CJ16" s="524">
        <f>CJ13+CJ12</f>
        <v>5552</v>
      </c>
      <c r="CK16" s="519">
        <f t="shared" si="26"/>
        <v>13.236793799714452</v>
      </c>
      <c r="CL16" s="520">
        <f>SUMPRODUCT(CL12:CL13,CJ12:CJ13)/CJ16</f>
        <v>7.443371757925072</v>
      </c>
      <c r="CN16" s="524">
        <f>CN13+CN12</f>
        <v>6309</v>
      </c>
      <c r="CO16" s="519">
        <f t="shared" si="27"/>
        <v>13.634726224783854</v>
      </c>
      <c r="CP16" s="521">
        <f>SUMPRODUCT(CP12:CP13,CN12:CN13)/CN16</f>
        <v>8.1920906641306068</v>
      </c>
      <c r="CR16" s="524">
        <f>CR13+CR12</f>
        <v>6405</v>
      </c>
      <c r="CS16" s="519">
        <f t="shared" si="0"/>
        <v>1.5216357584403317</v>
      </c>
      <c r="CT16" s="521">
        <f>SUMPRODUCT(CT12:CT13,CR12:CR13)/CR16</f>
        <v>1.2849180327868854</v>
      </c>
      <c r="CV16" s="524">
        <f>CV13+CV12</f>
        <v>6978</v>
      </c>
      <c r="CW16" s="519">
        <f t="shared" si="1"/>
        <v>8.9461358313817296</v>
      </c>
      <c r="CX16" s="521">
        <f>SUMPRODUCT(CX12:CX13,CV12:CV13)/CV16</f>
        <v>4.5257380338205797</v>
      </c>
      <c r="CZ16" s="524">
        <f>CZ13+CZ12</f>
        <v>7382</v>
      </c>
      <c r="DA16" s="519">
        <f t="shared" si="2"/>
        <v>5.7896245342504926</v>
      </c>
      <c r="DB16" s="521">
        <f>SUMPRODUCT(DB12:DB13,CZ12:CZ13)/CZ16</f>
        <v>0.95612300189650501</v>
      </c>
      <c r="DD16" s="524">
        <f>DD13+DD12</f>
        <v>7715</v>
      </c>
      <c r="DE16" s="519">
        <f t="shared" si="3"/>
        <v>4.5109726361419744</v>
      </c>
      <c r="DF16" s="521">
        <f>SUMPRODUCT(DF12:DF13,DD12:DD13)/DD16</f>
        <v>0.5851069345430977</v>
      </c>
      <c r="DH16" s="524">
        <f>DH13+DH12</f>
        <v>8141</v>
      </c>
      <c r="DI16" s="522">
        <f t="shared" si="4"/>
        <v>5.5217109526895625</v>
      </c>
      <c r="DJ16" s="523">
        <f>SUMPRODUCT(DJ12:DJ13,DH12:DH13)/DH16</f>
        <v>1.0776440240756664</v>
      </c>
      <c r="DL16" s="524">
        <f>DL13+DL12</f>
        <v>7908.7673169398913</v>
      </c>
      <c r="DM16" s="522">
        <f t="shared" si="5"/>
        <v>-2.8526309183160348</v>
      </c>
      <c r="DN16" s="523">
        <f>SUMPRODUCT(DN12:DN13,DL12:DL13)/DL16</f>
        <v>-1.1758498873207681</v>
      </c>
      <c r="DO16" s="523"/>
    </row>
    <row r="17" spans="1:120" outlineLevel="2" collapsed="1" x14ac:dyDescent="0.2">
      <c r="A17" s="517"/>
      <c r="D17" s="524"/>
      <c r="E17" s="519"/>
      <c r="F17" s="520"/>
      <c r="H17" s="524"/>
      <c r="I17" s="519"/>
      <c r="J17" s="520"/>
      <c r="L17" s="524"/>
      <c r="M17" s="519"/>
      <c r="N17" s="520"/>
      <c r="P17" s="524"/>
      <c r="Q17" s="519"/>
      <c r="R17" s="520"/>
      <c r="T17" s="524"/>
      <c r="U17" s="519"/>
      <c r="V17" s="520"/>
      <c r="X17" s="524"/>
      <c r="Y17" s="519"/>
      <c r="Z17" s="520"/>
      <c r="AB17" s="524"/>
      <c r="AC17" s="519"/>
      <c r="AD17" s="520"/>
      <c r="AF17" s="524"/>
      <c r="AG17" s="519"/>
      <c r="AH17" s="520"/>
      <c r="AJ17" s="524"/>
      <c r="AK17" s="519"/>
      <c r="AL17" s="520"/>
      <c r="AN17" s="524"/>
      <c r="AO17" s="519"/>
      <c r="AP17" s="520"/>
      <c r="AR17" s="524"/>
      <c r="AS17" s="519"/>
      <c r="AT17" s="520"/>
      <c r="AV17" s="524"/>
      <c r="AW17" s="519"/>
      <c r="AX17" s="520"/>
      <c r="AZ17" s="524"/>
      <c r="BA17" s="519"/>
      <c r="BB17" s="520"/>
      <c r="BD17" s="524"/>
      <c r="BE17" s="519"/>
      <c r="BF17" s="520"/>
      <c r="BH17" s="524"/>
      <c r="BI17" s="519"/>
      <c r="BJ17" s="520"/>
      <c r="BL17" s="524"/>
      <c r="BM17" s="519"/>
      <c r="BN17" s="520"/>
      <c r="BP17" s="524"/>
      <c r="BQ17" s="519"/>
      <c r="BR17" s="520"/>
      <c r="BT17" s="524"/>
      <c r="BU17" s="519"/>
      <c r="BV17" s="520"/>
      <c r="BX17" s="524"/>
      <c r="BY17" s="519"/>
      <c r="BZ17" s="520"/>
      <c r="CB17" s="524"/>
      <c r="CC17" s="519"/>
      <c r="CD17" s="520"/>
      <c r="CF17" s="524"/>
      <c r="CG17" s="519"/>
      <c r="CH17" s="520"/>
      <c r="CJ17" s="524"/>
      <c r="CK17" s="519"/>
      <c r="CL17" s="520"/>
      <c r="CN17" s="528"/>
      <c r="CO17" s="519"/>
      <c r="CP17" s="519"/>
      <c r="CR17" s="528"/>
      <c r="CS17" s="519"/>
      <c r="CT17" s="521"/>
      <c r="CV17" s="529"/>
      <c r="CW17" s="519"/>
      <c r="CX17" s="521"/>
      <c r="CZ17" s="528"/>
      <c r="DA17" s="519"/>
      <c r="DB17" s="521"/>
      <c r="DD17" s="528"/>
      <c r="DE17" s="519"/>
      <c r="DF17" s="521"/>
      <c r="DH17" s="529"/>
      <c r="DI17" s="519"/>
      <c r="DJ17" s="521"/>
      <c r="DL17" s="529"/>
      <c r="DM17" s="519"/>
      <c r="DN17" s="521"/>
      <c r="DO17" s="521"/>
    </row>
    <row r="18" spans="1:120" s="516" customFormat="1" ht="12.75" customHeight="1" outlineLevel="2" x14ac:dyDescent="0.2">
      <c r="A18" s="515" t="s">
        <v>310</v>
      </c>
      <c r="CG18" s="1397" t="str">
        <f>A18</f>
        <v>2. Credit Revenues (% Growth)</v>
      </c>
      <c r="CH18" s="1397"/>
      <c r="CI18" s="1397"/>
      <c r="CJ18" s="1397"/>
      <c r="CK18" s="1397"/>
      <c r="CL18" s="1397"/>
      <c r="CM18" s="1397"/>
      <c r="CN18" s="1397"/>
      <c r="CO18" s="1397"/>
      <c r="CP18" s="1397"/>
      <c r="CQ18" s="1397"/>
      <c r="CR18" s="1397"/>
      <c r="CS18" s="1397"/>
      <c r="CT18" s="1397"/>
      <c r="CU18" s="1397"/>
      <c r="CV18" s="1397"/>
      <c r="CW18" s="1397"/>
      <c r="CX18" s="1397"/>
      <c r="CY18" s="1397"/>
      <c r="CZ18" s="1397"/>
      <c r="DA18" s="1397"/>
      <c r="DB18" s="1397"/>
      <c r="DC18" s="1397"/>
      <c r="DD18" s="1397"/>
      <c r="DE18" s="1397"/>
      <c r="DF18" s="1397"/>
      <c r="DG18" s="846"/>
      <c r="DH18" s="846"/>
      <c r="DI18" s="846"/>
      <c r="DJ18" s="846"/>
      <c r="DK18" s="1222"/>
      <c r="DL18" s="1222"/>
      <c r="DM18" s="1222"/>
      <c r="DN18" s="1222"/>
      <c r="DO18" s="1222"/>
    </row>
    <row r="19" spans="1:120" outlineLevel="2" x14ac:dyDescent="0.2">
      <c r="CP19" s="249"/>
      <c r="CT19" s="249"/>
      <c r="CV19" s="362"/>
      <c r="CX19" s="249"/>
      <c r="CZ19" s="362"/>
      <c r="DA19" s="362"/>
      <c r="DB19" s="249"/>
      <c r="DD19" s="256"/>
      <c r="DF19" s="249"/>
      <c r="DH19" s="256"/>
      <c r="DI19" s="531"/>
      <c r="DJ19" s="249"/>
      <c r="DN19" s="249"/>
      <c r="DO19" s="249"/>
    </row>
    <row r="20" spans="1:120" outlineLevel="2" x14ac:dyDescent="0.2">
      <c r="A20" s="517" t="s">
        <v>78</v>
      </c>
      <c r="D20" s="530">
        <v>20.7</v>
      </c>
      <c r="E20" s="519"/>
      <c r="F20" s="521"/>
      <c r="G20" s="249"/>
      <c r="H20" s="530">
        <v>21.768999999999998</v>
      </c>
      <c r="I20" s="531">
        <f>(H20/D20-1)*100</f>
        <v>5.1642512077294533</v>
      </c>
      <c r="J20" s="521"/>
      <c r="K20" s="249"/>
      <c r="L20" s="530">
        <v>23.87</v>
      </c>
      <c r="M20" s="531">
        <f>(L20/H20-1)*100</f>
        <v>9.6513390601314022</v>
      </c>
      <c r="N20" s="521"/>
      <c r="O20" s="249"/>
      <c r="P20" s="530">
        <v>23.492999999999999</v>
      </c>
      <c r="Q20" s="531">
        <f>(P20/L20-1)*100</f>
        <v>-1.579388353581912</v>
      </c>
      <c r="R20" s="521"/>
      <c r="S20" s="249"/>
      <c r="T20" s="530">
        <v>23.652000000000001</v>
      </c>
      <c r="U20" s="531">
        <f>(T20/P20-1)*100</f>
        <v>0.67679734388967905</v>
      </c>
      <c r="V20" s="521"/>
      <c r="W20" s="249"/>
      <c r="X20" s="530">
        <v>31.276</v>
      </c>
      <c r="Y20" s="531">
        <f>(X20/T20-1)*100</f>
        <v>32.234060544562816</v>
      </c>
      <c r="Z20" s="521"/>
      <c r="AA20" s="249"/>
      <c r="AB20" s="530">
        <v>34.58</v>
      </c>
      <c r="AC20" s="531">
        <f>(AB20/X20-1)*100</f>
        <v>10.564010743061768</v>
      </c>
      <c r="AD20" s="521"/>
      <c r="AE20" s="249"/>
      <c r="AF20" s="530">
        <v>27.911000000000001</v>
      </c>
      <c r="AG20" s="531">
        <f>(AF20/AB20-1)*100</f>
        <v>-19.285714285714274</v>
      </c>
      <c r="AH20" s="521"/>
      <c r="AI20" s="249"/>
      <c r="AJ20" s="530">
        <v>30.417000000000002</v>
      </c>
      <c r="AK20" s="531">
        <f>(AJ20/AF20-1)*100</f>
        <v>8.9785389273046476</v>
      </c>
      <c r="AL20" s="521"/>
      <c r="AM20" s="249"/>
      <c r="AN20" s="530">
        <v>27.172000000000001</v>
      </c>
      <c r="AO20" s="531">
        <f>(AN20/AJ20-1)*100</f>
        <v>-10.668376236972744</v>
      </c>
      <c r="AP20" s="521"/>
      <c r="AQ20" s="249"/>
      <c r="AR20" s="530">
        <v>31.161999999999999</v>
      </c>
      <c r="AS20" s="531">
        <f>(AR20/AN20-1)*100</f>
        <v>14.684233770057409</v>
      </c>
      <c r="AT20" s="521"/>
      <c r="AU20" s="249"/>
      <c r="AV20" s="530">
        <v>37.155000000000001</v>
      </c>
      <c r="AW20" s="531">
        <f>(AV20/AR20-1)*100</f>
        <v>19.23175662666068</v>
      </c>
      <c r="AX20" s="521"/>
      <c r="AY20" s="249"/>
      <c r="AZ20" s="530">
        <v>33.304000000000002</v>
      </c>
      <c r="BA20" s="531">
        <f>(AZ20/AV20-1)*100</f>
        <v>-10.364688467231865</v>
      </c>
      <c r="BB20" s="521"/>
      <c r="BC20" s="249"/>
      <c r="BD20" s="530">
        <v>35.631999999999998</v>
      </c>
      <c r="BE20" s="531">
        <f>(BD20/AZ20-1)*100</f>
        <v>6.9901513331731779</v>
      </c>
      <c r="BF20" s="521"/>
      <c r="BG20" s="249"/>
      <c r="BH20" s="530">
        <v>39.487000000000002</v>
      </c>
      <c r="BI20" s="531">
        <f>(BH20/BD20-1)*100</f>
        <v>10.818926807364182</v>
      </c>
      <c r="BJ20" s="521"/>
      <c r="BK20" s="249"/>
      <c r="BL20" s="530">
        <v>42.731999999999999</v>
      </c>
      <c r="BM20" s="531">
        <f>(BL20/BH20-1)*100</f>
        <v>8.2178944969230283</v>
      </c>
      <c r="BN20" s="521"/>
      <c r="BO20" s="249"/>
      <c r="BP20" s="530">
        <v>53.838000000000001</v>
      </c>
      <c r="BQ20" s="531">
        <f>(BP20/BL20-1)*100</f>
        <v>25.989890480202192</v>
      </c>
      <c r="BR20" s="521"/>
      <c r="BS20" s="249"/>
      <c r="BT20" s="530">
        <v>55.850999999999999</v>
      </c>
      <c r="BU20" s="531">
        <f>(BT20/BP20-1)*100</f>
        <v>3.738994762063963</v>
      </c>
      <c r="BV20" s="521"/>
      <c r="BW20" s="249"/>
      <c r="BX20" s="530">
        <v>70</v>
      </c>
      <c r="BY20" s="531">
        <f>(BX20/BT20-1)*100</f>
        <v>25.333476571592286</v>
      </c>
      <c r="BZ20" s="521"/>
      <c r="CA20" s="249"/>
      <c r="CB20" s="530">
        <v>86</v>
      </c>
      <c r="CC20" s="531">
        <f>(CB20/BX20-1)*100</f>
        <v>22.857142857142865</v>
      </c>
      <c r="CD20" s="521"/>
      <c r="CE20" s="249"/>
      <c r="CF20" s="1164">
        <v>97</v>
      </c>
      <c r="CG20" s="531">
        <f>(CF20/CB20-1)*100</f>
        <v>12.790697674418606</v>
      </c>
      <c r="CH20" s="521"/>
      <c r="CI20" s="249"/>
      <c r="CJ20" s="1164">
        <v>94</v>
      </c>
      <c r="CK20" s="531">
        <f>(CJ20/CF20-1)*100</f>
        <v>-3.0927835051546393</v>
      </c>
      <c r="CL20" s="521"/>
      <c r="CM20" s="249"/>
      <c r="CN20" s="1164">
        <v>90</v>
      </c>
      <c r="CO20" s="531">
        <f>(CN20/CJ20-1)*100</f>
        <v>-4.2553191489361648</v>
      </c>
      <c r="CQ20" s="249"/>
      <c r="CR20" s="1164">
        <v>92</v>
      </c>
      <c r="CS20" s="531">
        <f t="shared" ref="CS20:CS26" si="28">(CR20/CN20-1)*100</f>
        <v>2.2222222222222143</v>
      </c>
      <c r="CU20" s="249"/>
      <c r="CV20" s="1164">
        <v>94</v>
      </c>
      <c r="CW20" s="531">
        <f t="shared" ref="CW20:CW26" si="29">(CV20/CR20-1)*100</f>
        <v>2.1739130434782705</v>
      </c>
      <c r="CY20" s="249"/>
      <c r="CZ20" s="1164">
        <v>100</v>
      </c>
      <c r="DA20" s="531">
        <f t="shared" ref="DA20:DA26" si="30">(CZ20/CV20-1)*100</f>
        <v>6.3829787234042534</v>
      </c>
      <c r="DD20" s="1164">
        <v>57</v>
      </c>
      <c r="DE20" s="531">
        <f t="shared" ref="DE20:DE26" si="31">(DD20/CZ20-1)*100</f>
        <v>-43.000000000000007</v>
      </c>
      <c r="DH20" s="1164">
        <v>75</v>
      </c>
      <c r="DI20" s="531">
        <f>(DH20/DD20-1)*100</f>
        <v>31.578947368421062</v>
      </c>
      <c r="DL20" s="518">
        <f>DH20*(1+DM20/100)</f>
        <v>82.5</v>
      </c>
      <c r="DM20" s="1234">
        <v>10</v>
      </c>
      <c r="DP20" s="532"/>
    </row>
    <row r="21" spans="1:120" outlineLevel="2" x14ac:dyDescent="0.2">
      <c r="A21" s="517" t="s">
        <v>79</v>
      </c>
      <c r="D21" s="533">
        <v>20.100000000000001</v>
      </c>
      <c r="E21" s="519"/>
      <c r="F21" s="521"/>
      <c r="G21" s="249"/>
      <c r="H21" s="533">
        <v>19.442</v>
      </c>
      <c r="I21" s="531">
        <f t="shared" ref="I21:I26" si="32">(H21/D21-1)*100</f>
        <v>-3.2736318407960208</v>
      </c>
      <c r="J21" s="521"/>
      <c r="K21" s="249"/>
      <c r="L21" s="533">
        <v>21.893000000000001</v>
      </c>
      <c r="M21" s="531">
        <f t="shared" ref="M21:M26" si="33">(L21/H21-1)*100</f>
        <v>12.606727702911225</v>
      </c>
      <c r="N21" s="521"/>
      <c r="O21" s="249"/>
      <c r="P21" s="533">
        <v>21.733000000000001</v>
      </c>
      <c r="Q21" s="531">
        <f t="shared" ref="Q21:Q26" si="34">(P21/L21-1)*100</f>
        <v>-0.7308272050427056</v>
      </c>
      <c r="R21" s="521"/>
      <c r="S21" s="249"/>
      <c r="T21" s="533">
        <v>23.184000000000001</v>
      </c>
      <c r="U21" s="531">
        <f t="shared" ref="U21:U26" si="35">(T21/P21-1)*100</f>
        <v>6.6764827681406125</v>
      </c>
      <c r="V21" s="521"/>
      <c r="W21" s="249"/>
      <c r="X21" s="533">
        <v>29.085999999999999</v>
      </c>
      <c r="Y21" s="531">
        <f t="shared" ref="Y21:Y26" si="36">(X21/T21-1)*100</f>
        <v>25.457211870255335</v>
      </c>
      <c r="Z21" s="521"/>
      <c r="AA21" s="249"/>
      <c r="AB21" s="533">
        <v>33.673999999999999</v>
      </c>
      <c r="AC21" s="531">
        <f t="shared" ref="AC21:AC26" si="37">(AB21/X21-1)*100</f>
        <v>15.773911847624289</v>
      </c>
      <c r="AD21" s="521"/>
      <c r="AE21" s="249"/>
      <c r="AF21" s="533">
        <v>26.460999999999999</v>
      </c>
      <c r="AG21" s="531">
        <f t="shared" ref="AG21:AG26" si="38">(AF21/AB21-1)*100</f>
        <v>-21.420086713785125</v>
      </c>
      <c r="AH21" s="521"/>
      <c r="AI21" s="249"/>
      <c r="AJ21" s="533">
        <v>27.585000000000001</v>
      </c>
      <c r="AK21" s="531">
        <f t="shared" ref="AK21:AK26" si="39">(AJ21/AF21-1)*100</f>
        <v>4.2477608555988144</v>
      </c>
      <c r="AL21" s="521"/>
      <c r="AM21" s="249"/>
      <c r="AN21" s="533">
        <v>22.024999999999999</v>
      </c>
      <c r="AO21" s="531">
        <f t="shared" ref="AO21:AO26" si="40">(AN21/AJ21-1)*100</f>
        <v>-20.155881819829624</v>
      </c>
      <c r="AP21" s="521"/>
      <c r="AQ21" s="249"/>
      <c r="AR21" s="533">
        <v>33.033000000000001</v>
      </c>
      <c r="AS21" s="531">
        <f t="shared" ref="AS21:AS26" si="41">(AR21/AN21-1)*100</f>
        <v>49.97956867196369</v>
      </c>
      <c r="AT21" s="521"/>
      <c r="AU21" s="249"/>
      <c r="AV21" s="533">
        <v>35.368000000000002</v>
      </c>
      <c r="AW21" s="531">
        <f t="shared" ref="AW21:AW26" si="42">(AV21/AR21-1)*100</f>
        <v>7.068688886870711</v>
      </c>
      <c r="AX21" s="521"/>
      <c r="AY21" s="249"/>
      <c r="AZ21" s="533">
        <v>35.341000000000001</v>
      </c>
      <c r="BA21" s="531">
        <f t="shared" ref="BA21:BA26" si="43">(AZ21/AV21-1)*100</f>
        <v>-7.6340194526125504E-2</v>
      </c>
      <c r="BB21" s="521"/>
      <c r="BC21" s="249"/>
      <c r="BD21" s="533">
        <v>36.081000000000003</v>
      </c>
      <c r="BE21" s="531">
        <f t="shared" ref="BE21:BE26" si="44">(BD21/AZ21-1)*100</f>
        <v>2.0938852890410642</v>
      </c>
      <c r="BF21" s="521"/>
      <c r="BG21" s="249"/>
      <c r="BH21" s="533">
        <v>43.002000000000002</v>
      </c>
      <c r="BI21" s="531">
        <f t="shared" ref="BI21:BI26" si="45">(BH21/BD21-1)*100</f>
        <v>19.181840858069332</v>
      </c>
      <c r="BJ21" s="521"/>
      <c r="BK21" s="249"/>
      <c r="BL21" s="533">
        <v>44.97</v>
      </c>
      <c r="BM21" s="531">
        <f t="shared" ref="BM21:BM26" si="46">(BL21/BH21-1)*100</f>
        <v>4.5765313241244554</v>
      </c>
      <c r="BN21" s="521"/>
      <c r="BO21" s="249"/>
      <c r="BP21" s="533">
        <v>60.850999999999999</v>
      </c>
      <c r="BQ21" s="531">
        <f t="shared" ref="BQ21:BQ26" si="47">(BP21/BL21-1)*100</f>
        <v>35.314654213920392</v>
      </c>
      <c r="BR21" s="521"/>
      <c r="BS21" s="249"/>
      <c r="BT21" s="533">
        <v>70.316000000000003</v>
      </c>
      <c r="BU21" s="531">
        <f t="shared" ref="BU21:BU26" si="48">(BT21/BP21-1)*100</f>
        <v>15.554386945161136</v>
      </c>
      <c r="BV21" s="521"/>
      <c r="BW21" s="249"/>
      <c r="BX21" s="533">
        <v>72</v>
      </c>
      <c r="BY21" s="531">
        <f t="shared" ref="BY21:BY26" si="49">(BX21/BT21-1)*100</f>
        <v>2.394903009272431</v>
      </c>
      <c r="BZ21" s="521"/>
      <c r="CA21" s="249"/>
      <c r="CB21" s="533">
        <v>87</v>
      </c>
      <c r="CC21" s="531">
        <f t="shared" ref="CC21:CC26" si="50">(CB21/BX21-1)*100</f>
        <v>20.833333333333325</v>
      </c>
      <c r="CD21" s="521"/>
      <c r="CE21" s="249"/>
      <c r="CF21" s="1165">
        <v>98</v>
      </c>
      <c r="CG21" s="531">
        <f t="shared" ref="CG21:CG26" si="51">(CF21/CB21-1)*100</f>
        <v>12.643678160919535</v>
      </c>
      <c r="CH21" s="521"/>
      <c r="CI21" s="249"/>
      <c r="CJ21" s="1165">
        <v>94</v>
      </c>
      <c r="CK21" s="531">
        <f t="shared" ref="CK21:CK26" si="52">(CJ21/CF21-1)*100</f>
        <v>-4.081632653061229</v>
      </c>
      <c r="CL21" s="521"/>
      <c r="CM21" s="249"/>
      <c r="CN21" s="1165">
        <v>88</v>
      </c>
      <c r="CO21" s="531">
        <f t="shared" ref="CO21:CO26" si="53">(CN21/CJ21-1)*100</f>
        <v>-6.3829787234042534</v>
      </c>
      <c r="CQ21" s="249"/>
      <c r="CR21" s="1165">
        <v>92</v>
      </c>
      <c r="CS21" s="531">
        <f t="shared" si="28"/>
        <v>4.5454545454545414</v>
      </c>
      <c r="CU21" s="249"/>
      <c r="CV21" s="1165">
        <v>96</v>
      </c>
      <c r="CW21" s="531">
        <f t="shared" si="29"/>
        <v>4.3478260869565188</v>
      </c>
      <c r="CY21" s="249"/>
      <c r="CZ21" s="1165">
        <v>103</v>
      </c>
      <c r="DA21" s="531">
        <f t="shared" si="30"/>
        <v>7.2916666666666741</v>
      </c>
      <c r="DD21" s="1165">
        <v>59</v>
      </c>
      <c r="DE21" s="531">
        <f t="shared" si="31"/>
        <v>-42.71844660194175</v>
      </c>
      <c r="DH21" s="1165">
        <v>76</v>
      </c>
      <c r="DI21" s="531">
        <f>(DH21/DD21-1)*100</f>
        <v>28.813559322033889</v>
      </c>
      <c r="DL21" s="524">
        <f>DH21*(1+DM21/100)</f>
        <v>83.600000000000009</v>
      </c>
      <c r="DM21" s="1234">
        <v>10</v>
      </c>
    </row>
    <row r="22" spans="1:120" outlineLevel="2" x14ac:dyDescent="0.2">
      <c r="A22" s="517" t="s">
        <v>80</v>
      </c>
      <c r="D22" s="533">
        <v>21.4</v>
      </c>
      <c r="E22" s="519"/>
      <c r="F22" s="521"/>
      <c r="G22" s="249"/>
      <c r="H22" s="533">
        <v>23.443000000000001</v>
      </c>
      <c r="I22" s="531">
        <f t="shared" si="32"/>
        <v>9.5467289719626258</v>
      </c>
      <c r="J22" s="521"/>
      <c r="K22" s="249"/>
      <c r="L22" s="533">
        <v>22.966999999999999</v>
      </c>
      <c r="M22" s="531">
        <f t="shared" si="33"/>
        <v>-2.0304568527918843</v>
      </c>
      <c r="N22" s="521"/>
      <c r="O22" s="249"/>
      <c r="P22" s="533">
        <v>22.658000000000001</v>
      </c>
      <c r="Q22" s="531">
        <f t="shared" si="34"/>
        <v>-1.3454086297731371</v>
      </c>
      <c r="R22" s="521"/>
      <c r="S22" s="249"/>
      <c r="T22" s="533">
        <v>24.434999999999999</v>
      </c>
      <c r="U22" s="531">
        <f t="shared" si="35"/>
        <v>7.8427045635095727</v>
      </c>
      <c r="V22" s="521"/>
      <c r="W22" s="249"/>
      <c r="X22" s="533">
        <v>32.378999999999998</v>
      </c>
      <c r="Y22" s="531">
        <f t="shared" si="36"/>
        <v>32.510742786985872</v>
      </c>
      <c r="Z22" s="521"/>
      <c r="AA22" s="249"/>
      <c r="AB22" s="533">
        <v>34.469000000000001</v>
      </c>
      <c r="AC22" s="531">
        <f t="shared" si="37"/>
        <v>6.45480095123383</v>
      </c>
      <c r="AD22" s="521"/>
      <c r="AE22" s="249"/>
      <c r="AF22" s="533">
        <v>27.794</v>
      </c>
      <c r="AG22" s="531">
        <f t="shared" si="38"/>
        <v>-19.365226725463458</v>
      </c>
      <c r="AH22" s="521"/>
      <c r="AI22" s="249"/>
      <c r="AJ22" s="533">
        <v>26.876000000000001</v>
      </c>
      <c r="AK22" s="531">
        <f t="shared" si="39"/>
        <v>-3.3028711232640062</v>
      </c>
      <c r="AL22" s="521"/>
      <c r="AM22" s="249"/>
      <c r="AN22" s="533">
        <v>27.038</v>
      </c>
      <c r="AO22" s="531">
        <f t="shared" si="40"/>
        <v>0.60276826908765013</v>
      </c>
      <c r="AP22" s="521"/>
      <c r="AQ22" s="249"/>
      <c r="AR22" s="533">
        <v>36.997999999999998</v>
      </c>
      <c r="AS22" s="531">
        <f t="shared" si="41"/>
        <v>36.837044160071009</v>
      </c>
      <c r="AT22" s="521"/>
      <c r="AU22" s="249"/>
      <c r="AV22" s="533">
        <v>32.317</v>
      </c>
      <c r="AW22" s="531">
        <f t="shared" si="42"/>
        <v>-12.652035245148385</v>
      </c>
      <c r="AX22" s="521"/>
      <c r="AY22" s="249"/>
      <c r="AZ22" s="533">
        <v>35.006</v>
      </c>
      <c r="BA22" s="531">
        <f t="shared" si="43"/>
        <v>8.3206980845994316</v>
      </c>
      <c r="BB22" s="521"/>
      <c r="BC22" s="249"/>
      <c r="BD22" s="533">
        <v>42.576000000000001</v>
      </c>
      <c r="BE22" s="531">
        <f t="shared" si="44"/>
        <v>21.62486430897561</v>
      </c>
      <c r="BF22" s="521"/>
      <c r="BG22" s="249"/>
      <c r="BH22" s="533">
        <v>45</v>
      </c>
      <c r="BI22" s="531">
        <f t="shared" si="45"/>
        <v>5.6933483652762185</v>
      </c>
      <c r="BJ22" s="521"/>
      <c r="BK22" s="249"/>
      <c r="BL22" s="533">
        <v>47.35</v>
      </c>
      <c r="BM22" s="531">
        <f t="shared" si="46"/>
        <v>5.222222222222217</v>
      </c>
      <c r="BN22" s="521"/>
      <c r="BO22" s="249"/>
      <c r="BP22" s="533">
        <v>58.819000000000003</v>
      </c>
      <c r="BQ22" s="531">
        <f t="shared" si="47"/>
        <v>24.221752903907067</v>
      </c>
      <c r="BR22" s="521"/>
      <c r="BS22" s="249"/>
      <c r="BT22" s="533">
        <v>68.778999999999996</v>
      </c>
      <c r="BU22" s="531">
        <f t="shared" si="48"/>
        <v>16.933303864397551</v>
      </c>
      <c r="BV22" s="521"/>
      <c r="BW22" s="249"/>
      <c r="BX22" s="533">
        <v>74</v>
      </c>
      <c r="BY22" s="531">
        <f t="shared" si="49"/>
        <v>7.590979804882303</v>
      </c>
      <c r="BZ22" s="521"/>
      <c r="CA22" s="249"/>
      <c r="CB22" s="533">
        <v>95</v>
      </c>
      <c r="CC22" s="531">
        <f t="shared" si="50"/>
        <v>28.378378378378379</v>
      </c>
      <c r="CD22" s="521"/>
      <c r="CE22" s="249"/>
      <c r="CF22" s="1165">
        <v>95</v>
      </c>
      <c r="CG22" s="531">
        <f t="shared" si="51"/>
        <v>0</v>
      </c>
      <c r="CH22" s="521"/>
      <c r="CI22" s="249"/>
      <c r="CJ22" s="1165">
        <v>95</v>
      </c>
      <c r="CK22" s="531">
        <f t="shared" si="52"/>
        <v>0</v>
      </c>
      <c r="CL22" s="521"/>
      <c r="CM22" s="249"/>
      <c r="CN22" s="1165">
        <v>92</v>
      </c>
      <c r="CO22" s="531">
        <f t="shared" si="53"/>
        <v>-3.157894736842104</v>
      </c>
      <c r="CQ22" s="249"/>
      <c r="CR22" s="1165">
        <v>93</v>
      </c>
      <c r="CS22" s="531">
        <f t="shared" si="28"/>
        <v>1.0869565217391353</v>
      </c>
      <c r="CU22" s="249"/>
      <c r="CV22" s="1165">
        <v>100</v>
      </c>
      <c r="CW22" s="531">
        <f t="shared" si="29"/>
        <v>7.5268817204301008</v>
      </c>
      <c r="CY22" s="249"/>
      <c r="CZ22" s="1165">
        <v>88</v>
      </c>
      <c r="DA22" s="531">
        <f t="shared" si="30"/>
        <v>-12</v>
      </c>
      <c r="DD22" s="1165">
        <v>70</v>
      </c>
      <c r="DE22" s="531">
        <f t="shared" si="31"/>
        <v>-20.45454545454546</v>
      </c>
      <c r="DH22" s="1165">
        <v>88</v>
      </c>
      <c r="DI22" s="531">
        <f>(DH22/DD22-1)*100</f>
        <v>25.714285714285712</v>
      </c>
      <c r="DJ22" s="706"/>
      <c r="DK22" s="706"/>
      <c r="DL22" s="1233">
        <f>DH22*(1+DM22/100)</f>
        <v>96.800000000000011</v>
      </c>
      <c r="DM22" s="1234">
        <v>10</v>
      </c>
    </row>
    <row r="23" spans="1:120" outlineLevel="2" x14ac:dyDescent="0.2">
      <c r="A23" s="517" t="s">
        <v>81</v>
      </c>
      <c r="D23" s="534">
        <v>22.46</v>
      </c>
      <c r="E23" s="519"/>
      <c r="F23" s="521"/>
      <c r="G23" s="249"/>
      <c r="H23" s="534">
        <v>22.789000000000001</v>
      </c>
      <c r="I23" s="531">
        <f t="shared" si="32"/>
        <v>1.4648263579697174</v>
      </c>
      <c r="J23" s="521"/>
      <c r="K23" s="249"/>
      <c r="L23" s="534">
        <v>24.01</v>
      </c>
      <c r="M23" s="531">
        <f t="shared" si="33"/>
        <v>5.3578480846022236</v>
      </c>
      <c r="N23" s="521"/>
      <c r="O23" s="249"/>
      <c r="P23" s="534">
        <v>20.625</v>
      </c>
      <c r="Q23" s="531">
        <f t="shared" si="34"/>
        <v>-14.098292378175771</v>
      </c>
      <c r="R23" s="521"/>
      <c r="S23" s="249"/>
      <c r="T23" s="534">
        <v>23.373000000000001</v>
      </c>
      <c r="U23" s="531">
        <f t="shared" si="35"/>
        <v>13.323636363636361</v>
      </c>
      <c r="V23" s="521"/>
      <c r="W23" s="249"/>
      <c r="X23" s="534">
        <v>32.389000000000003</v>
      </c>
      <c r="Y23" s="531">
        <f t="shared" si="36"/>
        <v>38.574423480083865</v>
      </c>
      <c r="Z23" s="521"/>
      <c r="AA23" s="249"/>
      <c r="AB23" s="534">
        <v>26.745999999999999</v>
      </c>
      <c r="AC23" s="531">
        <f t="shared" si="37"/>
        <v>-17.422581740714449</v>
      </c>
      <c r="AD23" s="521"/>
      <c r="AE23" s="249"/>
      <c r="AF23" s="534">
        <v>26.414999999999999</v>
      </c>
      <c r="AG23" s="531">
        <f t="shared" si="38"/>
        <v>-1.2375682345023509</v>
      </c>
      <c r="AH23" s="521"/>
      <c r="AI23" s="249"/>
      <c r="AJ23" s="534">
        <v>22.260999999999999</v>
      </c>
      <c r="AK23" s="531">
        <f t="shared" si="39"/>
        <v>-15.725913306833238</v>
      </c>
      <c r="AL23" s="521"/>
      <c r="AM23" s="249"/>
      <c r="AN23" s="534">
        <v>32.795000000000002</v>
      </c>
      <c r="AO23" s="531">
        <f t="shared" si="40"/>
        <v>47.320425856879766</v>
      </c>
      <c r="AP23" s="521"/>
      <c r="AQ23" s="249"/>
      <c r="AR23" s="534">
        <v>29.407</v>
      </c>
      <c r="AS23" s="531">
        <f t="shared" si="41"/>
        <v>-10.330843116328714</v>
      </c>
      <c r="AT23" s="521"/>
      <c r="AU23" s="249"/>
      <c r="AV23" s="534">
        <v>29.05</v>
      </c>
      <c r="AW23" s="531">
        <f t="shared" si="42"/>
        <v>-1.2139966674601266</v>
      </c>
      <c r="AX23" s="521"/>
      <c r="AY23" s="249"/>
      <c r="AZ23" s="534">
        <v>37.326000000000001</v>
      </c>
      <c r="BA23" s="531">
        <f t="shared" si="43"/>
        <v>28.488812392426844</v>
      </c>
      <c r="BB23" s="521"/>
      <c r="BC23" s="249"/>
      <c r="BD23" s="534">
        <v>40.801000000000002</v>
      </c>
      <c r="BE23" s="531">
        <f t="shared" si="44"/>
        <v>9.3098644376573993</v>
      </c>
      <c r="BF23" s="521"/>
      <c r="BG23" s="249"/>
      <c r="BH23" s="534">
        <v>45.453000000000003</v>
      </c>
      <c r="BI23" s="531">
        <f t="shared" si="45"/>
        <v>11.401681331339919</v>
      </c>
      <c r="BJ23" s="521"/>
      <c r="BK23" s="249"/>
      <c r="BL23" s="534">
        <v>61.302</v>
      </c>
      <c r="BM23" s="531">
        <f t="shared" si="46"/>
        <v>34.868985545508544</v>
      </c>
      <c r="BN23" s="521"/>
      <c r="BO23" s="249"/>
      <c r="BP23" s="534">
        <v>65.016999999999996</v>
      </c>
      <c r="BQ23" s="531">
        <f t="shared" si="47"/>
        <v>6.0601611692929991</v>
      </c>
      <c r="BR23" s="521"/>
      <c r="BS23" s="249"/>
      <c r="BT23" s="534">
        <v>76</v>
      </c>
      <c r="BU23" s="531">
        <f t="shared" si="48"/>
        <v>16.892505037144147</v>
      </c>
      <c r="BV23" s="521"/>
      <c r="BW23" s="249"/>
      <c r="BX23" s="534">
        <v>90</v>
      </c>
      <c r="BY23" s="531">
        <f t="shared" si="49"/>
        <v>18.421052631578938</v>
      </c>
      <c r="BZ23" s="521"/>
      <c r="CA23" s="249"/>
      <c r="CB23" s="534">
        <v>101</v>
      </c>
      <c r="CC23" s="531">
        <f t="shared" si="50"/>
        <v>12.222222222222223</v>
      </c>
      <c r="CD23" s="521"/>
      <c r="CE23" s="249"/>
      <c r="CF23" s="1166">
        <v>100</v>
      </c>
      <c r="CG23" s="531">
        <f t="shared" si="51"/>
        <v>-0.99009900990099098</v>
      </c>
      <c r="CH23" s="521"/>
      <c r="CI23" s="249"/>
      <c r="CJ23" s="1166">
        <v>97</v>
      </c>
      <c r="CK23" s="531">
        <f t="shared" si="52"/>
        <v>-3.0000000000000027</v>
      </c>
      <c r="CL23" s="521"/>
      <c r="CM23" s="249"/>
      <c r="CN23" s="1166">
        <v>102</v>
      </c>
      <c r="CO23" s="531">
        <f t="shared" si="53"/>
        <v>5.1546391752577359</v>
      </c>
      <c r="CQ23" s="249"/>
      <c r="CR23" s="1166">
        <v>97</v>
      </c>
      <c r="CS23" s="531">
        <f t="shared" si="28"/>
        <v>-4.9019607843137303</v>
      </c>
      <c r="CU23" s="249"/>
      <c r="CV23" s="1166">
        <v>105</v>
      </c>
      <c r="CW23" s="531">
        <f>(CV23/CR23-1)*100</f>
        <v>8.2474226804123631</v>
      </c>
      <c r="CX23" s="362"/>
      <c r="CY23" s="249"/>
      <c r="CZ23" s="1166">
        <v>51</v>
      </c>
      <c r="DA23" s="531">
        <f>(CZ23/CV23-1)*100</f>
        <v>-51.428571428571423</v>
      </c>
      <c r="DD23" s="1166">
        <v>73</v>
      </c>
      <c r="DE23" s="531">
        <f t="shared" si="31"/>
        <v>43.137254901960787</v>
      </c>
      <c r="DH23" s="1166">
        <v>102</v>
      </c>
      <c r="DI23" s="519">
        <v>15</v>
      </c>
      <c r="DJ23" s="706"/>
      <c r="DK23" s="706"/>
      <c r="DL23" s="1311">
        <f>DH23*(1+DM23/100)</f>
        <v>112.2</v>
      </c>
      <c r="DM23" s="1234">
        <v>10</v>
      </c>
    </row>
    <row r="24" spans="1:120" outlineLevel="2" x14ac:dyDescent="0.2">
      <c r="A24" s="517" t="s">
        <v>82</v>
      </c>
      <c r="D24" s="533">
        <v>84.66</v>
      </c>
      <c r="E24" s="519"/>
      <c r="F24" s="535"/>
      <c r="G24" s="249"/>
      <c r="H24" s="533">
        <v>87.442999999999998</v>
      </c>
      <c r="I24" s="531">
        <f t="shared" si="32"/>
        <v>3.2872667139144829</v>
      </c>
      <c r="J24" s="535"/>
      <c r="K24" s="249"/>
      <c r="L24" s="533">
        <v>92.74</v>
      </c>
      <c r="M24" s="531">
        <f t="shared" si="33"/>
        <v>6.057660418787103</v>
      </c>
      <c r="N24" s="535"/>
      <c r="O24" s="249"/>
      <c r="P24" s="533">
        <v>88.509</v>
      </c>
      <c r="Q24" s="531">
        <f t="shared" si="34"/>
        <v>-4.5622169506146175</v>
      </c>
      <c r="R24" s="535"/>
      <c r="S24" s="249"/>
      <c r="T24" s="533">
        <v>94.644000000000005</v>
      </c>
      <c r="U24" s="531">
        <f t="shared" si="35"/>
        <v>6.9314984916788225</v>
      </c>
      <c r="V24" s="535"/>
      <c r="W24" s="249"/>
      <c r="X24" s="533">
        <v>125.13</v>
      </c>
      <c r="Y24" s="531">
        <f t="shared" si="36"/>
        <v>32.211233675668808</v>
      </c>
      <c r="Z24" s="535"/>
      <c r="AA24" s="249"/>
      <c r="AB24" s="533">
        <v>129.46899999999999</v>
      </c>
      <c r="AC24" s="531">
        <f t="shared" si="37"/>
        <v>3.4675937025493431</v>
      </c>
      <c r="AD24" s="535"/>
      <c r="AE24" s="249"/>
      <c r="AF24" s="533">
        <v>108.58099999999999</v>
      </c>
      <c r="AG24" s="531">
        <f t="shared" si="38"/>
        <v>-16.133591825070106</v>
      </c>
      <c r="AH24" s="535"/>
      <c r="AI24" s="249"/>
      <c r="AJ24" s="533">
        <v>107.139</v>
      </c>
      <c r="AK24" s="531">
        <f t="shared" si="39"/>
        <v>-1.3280408174542457</v>
      </c>
      <c r="AL24" s="535"/>
      <c r="AM24" s="249"/>
      <c r="AN24" s="533">
        <v>116.783</v>
      </c>
      <c r="AO24" s="531">
        <f t="shared" si="40"/>
        <v>9.0013907167324714</v>
      </c>
      <c r="AP24" s="535"/>
      <c r="AQ24" s="249"/>
      <c r="AR24" s="533">
        <v>130.6</v>
      </c>
      <c r="AS24" s="531">
        <f t="shared" si="41"/>
        <v>11.831345315670937</v>
      </c>
      <c r="AT24" s="535"/>
      <c r="AU24" s="249"/>
      <c r="AV24" s="533">
        <v>133.88999999999999</v>
      </c>
      <c r="AW24" s="531">
        <f t="shared" si="42"/>
        <v>2.5191424196018275</v>
      </c>
      <c r="AX24" s="535"/>
      <c r="AY24" s="249"/>
      <c r="AZ24" s="533">
        <v>139.28899999999999</v>
      </c>
      <c r="BA24" s="531">
        <f t="shared" si="43"/>
        <v>4.0324146687579443</v>
      </c>
      <c r="BB24" s="535"/>
      <c r="BC24" s="249"/>
      <c r="BD24" s="533">
        <v>155.09</v>
      </c>
      <c r="BE24" s="531">
        <f t="shared" si="44"/>
        <v>11.344040089310736</v>
      </c>
      <c r="BF24" s="535"/>
      <c r="BG24" s="249"/>
      <c r="BH24" s="533">
        <v>172.94200000000001</v>
      </c>
      <c r="BI24" s="531">
        <f t="shared" si="45"/>
        <v>11.51073570185055</v>
      </c>
      <c r="BJ24" s="535"/>
      <c r="BK24" s="249"/>
      <c r="BL24" s="533">
        <v>196.35399999999998</v>
      </c>
      <c r="BM24" s="531">
        <f t="shared" si="46"/>
        <v>13.537486556186451</v>
      </c>
      <c r="BN24" s="535"/>
      <c r="BO24" s="249"/>
      <c r="BP24" s="533">
        <v>238.52500000000001</v>
      </c>
      <c r="BQ24" s="531">
        <f t="shared" si="47"/>
        <v>21.477026187396241</v>
      </c>
      <c r="BR24" s="535"/>
      <c r="BS24" s="249"/>
      <c r="BT24" s="533">
        <v>270.94600000000003</v>
      </c>
      <c r="BU24" s="531">
        <f t="shared" si="48"/>
        <v>13.592285923907355</v>
      </c>
      <c r="BV24" s="535"/>
      <c r="BW24" s="249"/>
      <c r="BX24" s="533">
        <v>306</v>
      </c>
      <c r="BY24" s="531">
        <f t="shared" si="49"/>
        <v>12.937633329150454</v>
      </c>
      <c r="BZ24" s="535"/>
      <c r="CA24" s="249"/>
      <c r="CB24" s="533">
        <v>369</v>
      </c>
      <c r="CC24" s="531">
        <f t="shared" si="50"/>
        <v>20.588235294117641</v>
      </c>
      <c r="CD24" s="535"/>
      <c r="CE24" s="249"/>
      <c r="CF24" s="524">
        <f>SUM(CF20:CF23)</f>
        <v>390</v>
      </c>
      <c r="CG24" s="531">
        <f t="shared" si="51"/>
        <v>5.6910569105691033</v>
      </c>
      <c r="CH24" s="535"/>
      <c r="CI24" s="249"/>
      <c r="CJ24" s="524">
        <f>SUM(CJ20:CJ23)</f>
        <v>380</v>
      </c>
      <c r="CK24" s="531">
        <f t="shared" si="52"/>
        <v>-2.5641025641025661</v>
      </c>
      <c r="CL24" s="535"/>
      <c r="CM24" s="249"/>
      <c r="CN24" s="524">
        <f>SUM(CN20:CN23)</f>
        <v>372</v>
      </c>
      <c r="CO24" s="531">
        <f t="shared" si="53"/>
        <v>-2.1052631578947323</v>
      </c>
      <c r="CQ24" s="249"/>
      <c r="CR24" s="524">
        <f>SUM(CR20:CR23)</f>
        <v>374</v>
      </c>
      <c r="CS24" s="531">
        <f t="shared" si="28"/>
        <v>0.53763440860215006</v>
      </c>
      <c r="CU24" s="249"/>
      <c r="CV24" s="524">
        <f>SUM(CV20:CV23)</f>
        <v>395</v>
      </c>
      <c r="CW24" s="531">
        <f t="shared" si="29"/>
        <v>5.6149732620320858</v>
      </c>
      <c r="CY24" s="249"/>
      <c r="CZ24" s="524">
        <f>SUM(CZ20:CZ23)</f>
        <v>342</v>
      </c>
      <c r="DA24" s="531">
        <f t="shared" si="30"/>
        <v>-13.417721518987346</v>
      </c>
      <c r="DD24" s="524">
        <f>SUM(DD20:DD23)</f>
        <v>259</v>
      </c>
      <c r="DE24" s="531">
        <f t="shared" si="31"/>
        <v>-24.269005847953217</v>
      </c>
      <c r="DF24" s="239">
        <f>DH24*1.1</f>
        <v>375.1</v>
      </c>
      <c r="DH24" s="1088">
        <f>SUM(DH20:DH23)</f>
        <v>341</v>
      </c>
      <c r="DI24" s="531">
        <f>(DH24/DD24-1)*100</f>
        <v>31.660231660231663</v>
      </c>
      <c r="DJ24" s="706"/>
      <c r="DK24" s="706"/>
      <c r="DL24" s="1088">
        <f>SUM(DL20:DL23)</f>
        <v>375.1</v>
      </c>
      <c r="DM24" s="531">
        <f>(DL24/DH24-1)*100</f>
        <v>10.000000000000009</v>
      </c>
    </row>
    <row r="25" spans="1:120" hidden="1" outlineLevel="3" x14ac:dyDescent="0.2">
      <c r="A25" s="517" t="s">
        <v>281</v>
      </c>
      <c r="D25" s="524">
        <f>D20+D21</f>
        <v>40.799999999999997</v>
      </c>
      <c r="E25" s="519"/>
      <c r="F25" s="521"/>
      <c r="G25" s="249"/>
      <c r="H25" s="524">
        <f>H20+H21</f>
        <v>41.210999999999999</v>
      </c>
      <c r="I25" s="531">
        <f t="shared" si="32"/>
        <v>1.0073529411764648</v>
      </c>
      <c r="J25" s="521"/>
      <c r="K25" s="249"/>
      <c r="L25" s="524">
        <f>L20+L21</f>
        <v>45.763000000000005</v>
      </c>
      <c r="M25" s="531">
        <f t="shared" si="33"/>
        <v>11.045594622794908</v>
      </c>
      <c r="N25" s="521"/>
      <c r="O25" s="249"/>
      <c r="P25" s="524">
        <f>P20+P21</f>
        <v>45.225999999999999</v>
      </c>
      <c r="Q25" s="531">
        <f t="shared" si="34"/>
        <v>-1.1734370561370722</v>
      </c>
      <c r="R25" s="521"/>
      <c r="S25" s="249"/>
      <c r="T25" s="524">
        <f>T20+T21</f>
        <v>46.835999999999999</v>
      </c>
      <c r="U25" s="531">
        <f t="shared" si="35"/>
        <v>3.5598991730420471</v>
      </c>
      <c r="V25" s="521"/>
      <c r="W25" s="249"/>
      <c r="X25" s="524">
        <f>X20+X21</f>
        <v>60.361999999999995</v>
      </c>
      <c r="Y25" s="531">
        <f t="shared" si="36"/>
        <v>28.879494406012451</v>
      </c>
      <c r="Z25" s="521"/>
      <c r="AA25" s="249"/>
      <c r="AB25" s="524">
        <f>AB20+AB21</f>
        <v>68.253999999999991</v>
      </c>
      <c r="AC25" s="531">
        <f t="shared" si="37"/>
        <v>13.074450813425663</v>
      </c>
      <c r="AD25" s="521"/>
      <c r="AE25" s="249"/>
      <c r="AF25" s="524">
        <f>AF20+AF21</f>
        <v>54.372</v>
      </c>
      <c r="AG25" s="531">
        <f t="shared" si="38"/>
        <v>-20.338734726169882</v>
      </c>
      <c r="AH25" s="521"/>
      <c r="AI25" s="249"/>
      <c r="AJ25" s="524">
        <f>AJ20+AJ21</f>
        <v>58.002000000000002</v>
      </c>
      <c r="AK25" s="531">
        <f t="shared" si="39"/>
        <v>6.6762304127124361</v>
      </c>
      <c r="AL25" s="521"/>
      <c r="AM25" s="249"/>
      <c r="AN25" s="524">
        <f>AN20+AN21</f>
        <v>49.197000000000003</v>
      </c>
      <c r="AO25" s="531">
        <f t="shared" si="40"/>
        <v>-15.180511016861487</v>
      </c>
      <c r="AP25" s="521"/>
      <c r="AQ25" s="249"/>
      <c r="AR25" s="524">
        <f>AR20+AR21</f>
        <v>64.194999999999993</v>
      </c>
      <c r="AS25" s="531">
        <f t="shared" si="41"/>
        <v>30.485598715368802</v>
      </c>
      <c r="AT25" s="521"/>
      <c r="AU25" s="249"/>
      <c r="AV25" s="524">
        <f>AV20+AV21</f>
        <v>72.522999999999996</v>
      </c>
      <c r="AW25" s="531">
        <f t="shared" si="42"/>
        <v>12.972972972972974</v>
      </c>
      <c r="AX25" s="521"/>
      <c r="AY25" s="249"/>
      <c r="AZ25" s="524">
        <f>AZ20+AZ21</f>
        <v>68.64500000000001</v>
      </c>
      <c r="BA25" s="531">
        <f t="shared" si="43"/>
        <v>-5.3472691422031478</v>
      </c>
      <c r="BB25" s="521"/>
      <c r="BC25" s="249"/>
      <c r="BD25" s="524">
        <f>BD20+BD21</f>
        <v>71.712999999999994</v>
      </c>
      <c r="BE25" s="531">
        <f t="shared" si="44"/>
        <v>4.4693714035981991</v>
      </c>
      <c r="BF25" s="521"/>
      <c r="BG25" s="249"/>
      <c r="BH25" s="524">
        <f>BH20+BH21</f>
        <v>82.489000000000004</v>
      </c>
      <c r="BI25" s="531">
        <f t="shared" si="45"/>
        <v>15.02656422127091</v>
      </c>
      <c r="BJ25" s="521"/>
      <c r="BK25" s="249"/>
      <c r="BL25" s="524">
        <f>BL20+BL21</f>
        <v>87.701999999999998</v>
      </c>
      <c r="BM25" s="531">
        <f t="shared" si="46"/>
        <v>6.3196304961873562</v>
      </c>
      <c r="BN25" s="521"/>
      <c r="BO25" s="249"/>
      <c r="BP25" s="524">
        <f>BP20+BP21</f>
        <v>114.68899999999999</v>
      </c>
      <c r="BQ25" s="531">
        <f t="shared" si="47"/>
        <v>30.771248090123372</v>
      </c>
      <c r="BR25" s="521"/>
      <c r="BS25" s="249"/>
      <c r="BT25" s="524">
        <f>BT20+BT21</f>
        <v>126.167</v>
      </c>
      <c r="BU25" s="531">
        <f t="shared" si="48"/>
        <v>10.007934501129157</v>
      </c>
      <c r="BV25" s="521"/>
      <c r="BW25" s="249"/>
      <c r="BX25" s="524">
        <f>BX20+BX21</f>
        <v>142</v>
      </c>
      <c r="BY25" s="531">
        <f t="shared" si="49"/>
        <v>12.549240292628028</v>
      </c>
      <c r="BZ25" s="521"/>
      <c r="CA25" s="249"/>
      <c r="CB25" s="524">
        <f>CB20+CB21</f>
        <v>173</v>
      </c>
      <c r="CC25" s="531">
        <f t="shared" si="50"/>
        <v>21.830985915492953</v>
      </c>
      <c r="CD25" s="521"/>
      <c r="CE25" s="249"/>
      <c r="CF25" s="524">
        <f>CF20+CF21</f>
        <v>195</v>
      </c>
      <c r="CG25" s="531">
        <f t="shared" si="51"/>
        <v>12.716763005780351</v>
      </c>
      <c r="CH25" s="521"/>
      <c r="CI25" s="249"/>
      <c r="CJ25" s="524">
        <f>CJ20+CJ21</f>
        <v>188</v>
      </c>
      <c r="CK25" s="531">
        <f t="shared" si="52"/>
        <v>-3.5897435897435881</v>
      </c>
      <c r="CL25" s="521"/>
      <c r="CM25" s="249"/>
      <c r="CN25" s="524">
        <f>CN20+CN21</f>
        <v>178</v>
      </c>
      <c r="CO25" s="531">
        <f t="shared" si="53"/>
        <v>-5.3191489361702153</v>
      </c>
      <c r="CQ25" s="249"/>
      <c r="CR25" s="524">
        <f>CR20+CR21</f>
        <v>184</v>
      </c>
      <c r="CS25" s="531">
        <f t="shared" si="28"/>
        <v>3.3707865168539408</v>
      </c>
      <c r="CU25" s="249"/>
      <c r="CV25" s="524">
        <f>CV20+CV21</f>
        <v>190</v>
      </c>
      <c r="CW25" s="531">
        <f t="shared" si="29"/>
        <v>3.2608695652173836</v>
      </c>
      <c r="CY25" s="249"/>
      <c r="CZ25" s="524">
        <f>CZ20+CZ21</f>
        <v>203</v>
      </c>
      <c r="DA25" s="531">
        <f t="shared" si="30"/>
        <v>6.8421052631578938</v>
      </c>
      <c r="DD25" s="524">
        <f>DD20+DD21</f>
        <v>116</v>
      </c>
      <c r="DE25" s="531">
        <f t="shared" si="31"/>
        <v>-42.857142857142861</v>
      </c>
      <c r="DH25" s="524">
        <f>DH20+DH21</f>
        <v>151</v>
      </c>
      <c r="DI25" s="531">
        <f>(DH25/DD25-1)*100</f>
        <v>30.172413793103448</v>
      </c>
      <c r="DL25" s="524">
        <f>DL20+DL21</f>
        <v>166.10000000000002</v>
      </c>
      <c r="DM25" s="531">
        <f>(DL25/DH25-1)*100</f>
        <v>10.000000000000009</v>
      </c>
    </row>
    <row r="26" spans="1:120" hidden="1" outlineLevel="3" x14ac:dyDescent="0.2">
      <c r="A26" s="517" t="s">
        <v>282</v>
      </c>
      <c r="D26" s="524">
        <f>D23+D22</f>
        <v>43.86</v>
      </c>
      <c r="E26" s="519"/>
      <c r="F26" s="521"/>
      <c r="G26" s="249"/>
      <c r="H26" s="524">
        <f>H23+H22</f>
        <v>46.231999999999999</v>
      </c>
      <c r="I26" s="531">
        <f t="shared" si="32"/>
        <v>5.4081167350661152</v>
      </c>
      <c r="J26" s="521"/>
      <c r="K26" s="249"/>
      <c r="L26" s="524">
        <f>L23+L22</f>
        <v>46.977000000000004</v>
      </c>
      <c r="M26" s="531">
        <f t="shared" si="33"/>
        <v>1.6114379650458588</v>
      </c>
      <c r="N26" s="521"/>
      <c r="O26" s="249"/>
      <c r="P26" s="524">
        <f>P23+P22</f>
        <v>43.283000000000001</v>
      </c>
      <c r="Q26" s="531">
        <f t="shared" si="34"/>
        <v>-7.863422525916941</v>
      </c>
      <c r="R26" s="521"/>
      <c r="S26" s="249"/>
      <c r="T26" s="524">
        <f>T23+T22</f>
        <v>47.808</v>
      </c>
      <c r="U26" s="531">
        <f t="shared" si="35"/>
        <v>10.454450939167792</v>
      </c>
      <c r="V26" s="521"/>
      <c r="W26" s="249"/>
      <c r="X26" s="524">
        <f>X23+X22</f>
        <v>64.768000000000001</v>
      </c>
      <c r="Y26" s="531">
        <f t="shared" si="36"/>
        <v>35.475234270414987</v>
      </c>
      <c r="Z26" s="521"/>
      <c r="AA26" s="249"/>
      <c r="AB26" s="524">
        <f>AB23+AB22</f>
        <v>61.215000000000003</v>
      </c>
      <c r="AC26" s="531">
        <f t="shared" si="37"/>
        <v>-5.4857336956521729</v>
      </c>
      <c r="AD26" s="521"/>
      <c r="AE26" s="249"/>
      <c r="AF26" s="524">
        <f>AF23+AF22</f>
        <v>54.209000000000003</v>
      </c>
      <c r="AG26" s="531">
        <f t="shared" si="38"/>
        <v>-11.444907293963901</v>
      </c>
      <c r="AH26" s="521"/>
      <c r="AI26" s="249"/>
      <c r="AJ26" s="524">
        <f>AJ23+AJ22</f>
        <v>49.137</v>
      </c>
      <c r="AK26" s="531">
        <f t="shared" si="39"/>
        <v>-9.3563799369108516</v>
      </c>
      <c r="AL26" s="521"/>
      <c r="AM26" s="249"/>
      <c r="AN26" s="524">
        <f>AN23+AN22</f>
        <v>59.832999999999998</v>
      </c>
      <c r="AO26" s="531">
        <f t="shared" si="40"/>
        <v>21.767710686448094</v>
      </c>
      <c r="AP26" s="521"/>
      <c r="AQ26" s="249"/>
      <c r="AR26" s="524">
        <f>AR23+AR22</f>
        <v>66.405000000000001</v>
      </c>
      <c r="AS26" s="531">
        <f t="shared" si="41"/>
        <v>10.983905202814515</v>
      </c>
      <c r="AT26" s="521"/>
      <c r="AU26" s="249"/>
      <c r="AV26" s="524">
        <f>AV23+AV22</f>
        <v>61.367000000000004</v>
      </c>
      <c r="AW26" s="531">
        <f t="shared" si="42"/>
        <v>-7.586778104058423</v>
      </c>
      <c r="AX26" s="521"/>
      <c r="AY26" s="249"/>
      <c r="AZ26" s="524">
        <f>AZ23+AZ22</f>
        <v>72.331999999999994</v>
      </c>
      <c r="BA26" s="531">
        <f t="shared" si="43"/>
        <v>17.867909462740549</v>
      </c>
      <c r="BB26" s="521"/>
      <c r="BC26" s="249"/>
      <c r="BD26" s="524">
        <f>BD23+BD22</f>
        <v>83.37700000000001</v>
      </c>
      <c r="BE26" s="531">
        <f t="shared" si="44"/>
        <v>15.269866725653959</v>
      </c>
      <c r="BF26" s="521"/>
      <c r="BG26" s="249"/>
      <c r="BH26" s="524">
        <f>BH23+BH22</f>
        <v>90.453000000000003</v>
      </c>
      <c r="BI26" s="531">
        <f t="shared" si="45"/>
        <v>8.4867529414586649</v>
      </c>
      <c r="BJ26" s="521"/>
      <c r="BK26" s="249"/>
      <c r="BL26" s="524">
        <f>BL23+BL22</f>
        <v>108.652</v>
      </c>
      <c r="BM26" s="531">
        <f t="shared" si="46"/>
        <v>20.119841243518731</v>
      </c>
      <c r="BN26" s="521"/>
      <c r="BO26" s="249"/>
      <c r="BP26" s="524">
        <f>BP23+BP22</f>
        <v>123.836</v>
      </c>
      <c r="BQ26" s="531">
        <f t="shared" si="47"/>
        <v>13.974892316754417</v>
      </c>
      <c r="BR26" s="521"/>
      <c r="BS26" s="249"/>
      <c r="BT26" s="524">
        <f>BT23+BT22</f>
        <v>144.779</v>
      </c>
      <c r="BU26" s="531">
        <f t="shared" si="48"/>
        <v>16.911883458768038</v>
      </c>
      <c r="BV26" s="521"/>
      <c r="BW26" s="249"/>
      <c r="BX26" s="524">
        <f>BX23+BX22</f>
        <v>164</v>
      </c>
      <c r="BY26" s="531">
        <f t="shared" si="49"/>
        <v>13.276096671478598</v>
      </c>
      <c r="BZ26" s="521"/>
      <c r="CA26" s="249"/>
      <c r="CB26" s="524">
        <f>CB23+CB22</f>
        <v>196</v>
      </c>
      <c r="CC26" s="531">
        <f t="shared" si="50"/>
        <v>19.512195121951216</v>
      </c>
      <c r="CD26" s="521"/>
      <c r="CE26" s="249"/>
      <c r="CF26" s="524">
        <f>CF23+CF22</f>
        <v>195</v>
      </c>
      <c r="CG26" s="531">
        <f t="shared" si="51"/>
        <v>-0.51020408163264808</v>
      </c>
      <c r="CH26" s="521"/>
      <c r="CI26" s="249"/>
      <c r="CJ26" s="524">
        <f>CJ23+CJ22</f>
        <v>192</v>
      </c>
      <c r="CK26" s="531">
        <f t="shared" si="52"/>
        <v>-1.538461538461533</v>
      </c>
      <c r="CL26" s="521"/>
      <c r="CM26" s="249"/>
      <c r="CN26" s="524">
        <f>CN23+CN22</f>
        <v>194</v>
      </c>
      <c r="CO26" s="531">
        <f t="shared" si="53"/>
        <v>1.0416666666666741</v>
      </c>
      <c r="CQ26" s="249"/>
      <c r="CR26" s="524">
        <f>CR23+CR22</f>
        <v>190</v>
      </c>
      <c r="CS26" s="531">
        <f t="shared" si="28"/>
        <v>-2.0618556701030966</v>
      </c>
      <c r="CU26" s="249"/>
      <c r="CV26" s="524">
        <f>CV23+CV22</f>
        <v>205</v>
      </c>
      <c r="CW26" s="531">
        <f t="shared" si="29"/>
        <v>7.8947368421052655</v>
      </c>
      <c r="CY26" s="249"/>
      <c r="CZ26" s="524">
        <f>CZ23+CZ22</f>
        <v>139</v>
      </c>
      <c r="DA26" s="531">
        <f t="shared" si="30"/>
        <v>-32.195121951219505</v>
      </c>
      <c r="DD26" s="524">
        <f>DD23+DD22</f>
        <v>143</v>
      </c>
      <c r="DE26" s="531">
        <f t="shared" si="31"/>
        <v>2.877697841726623</v>
      </c>
      <c r="DH26" s="524">
        <f>DH23+DH22</f>
        <v>190</v>
      </c>
      <c r="DI26" s="531">
        <f>(DH26/DD26-1)*100</f>
        <v>32.867132867132874</v>
      </c>
      <c r="DL26" s="524">
        <f>DL23+DL22</f>
        <v>209</v>
      </c>
      <c r="DM26" s="531">
        <f>(DL26/DH26-1)*100</f>
        <v>10.000000000000009</v>
      </c>
    </row>
    <row r="27" spans="1:120" outlineLevel="2" collapsed="1" x14ac:dyDescent="0.2">
      <c r="A27" s="517"/>
      <c r="D27" s="536"/>
      <c r="E27" s="531"/>
      <c r="F27" s="521"/>
      <c r="G27" s="249"/>
      <c r="H27" s="536"/>
      <c r="I27" s="531"/>
      <c r="J27" s="521"/>
      <c r="K27" s="249"/>
      <c r="L27" s="536"/>
      <c r="M27" s="531"/>
      <c r="N27" s="521"/>
      <c r="O27" s="249"/>
      <c r="P27" s="536"/>
      <c r="Q27" s="531"/>
      <c r="R27" s="521"/>
      <c r="S27" s="249"/>
      <c r="T27" s="536"/>
      <c r="U27" s="531"/>
      <c r="V27" s="521"/>
      <c r="W27" s="249"/>
      <c r="X27" s="536"/>
      <c r="Y27" s="531"/>
      <c r="Z27" s="521"/>
      <c r="AA27" s="249"/>
      <c r="AB27" s="536"/>
      <c r="AC27" s="531"/>
      <c r="AD27" s="521"/>
      <c r="AE27" s="249"/>
      <c r="AF27" s="536"/>
      <c r="AG27" s="531"/>
      <c r="AH27" s="521"/>
      <c r="AI27" s="249"/>
      <c r="AJ27" s="536"/>
      <c r="AK27" s="531"/>
      <c r="AL27" s="521"/>
      <c r="AM27" s="249"/>
      <c r="AN27" s="536"/>
      <c r="AO27" s="531"/>
      <c r="AP27" s="521"/>
      <c r="AQ27" s="249"/>
      <c r="AR27" s="536"/>
      <c r="AS27" s="531"/>
      <c r="AT27" s="521"/>
      <c r="AU27" s="249"/>
      <c r="AV27" s="536"/>
      <c r="AW27" s="531"/>
      <c r="AX27" s="521"/>
      <c r="AY27" s="249"/>
      <c r="AZ27" s="536"/>
      <c r="BA27" s="531"/>
      <c r="BB27" s="521"/>
      <c r="BC27" s="249"/>
      <c r="BD27" s="536"/>
      <c r="BE27" s="531"/>
      <c r="BF27" s="521"/>
      <c r="BG27" s="249"/>
      <c r="BH27" s="536"/>
      <c r="BI27" s="531"/>
      <c r="BJ27" s="521"/>
      <c r="BK27" s="249"/>
      <c r="BL27" s="536"/>
      <c r="BM27" s="531"/>
      <c r="BN27" s="521"/>
      <c r="BO27" s="249"/>
      <c r="BP27" s="536"/>
      <c r="BQ27" s="531"/>
      <c r="BR27" s="521"/>
      <c r="BS27" s="249"/>
      <c r="BT27" s="536"/>
      <c r="BU27" s="531"/>
      <c r="BV27" s="521"/>
      <c r="BW27" s="249"/>
      <c r="BX27" s="536"/>
      <c r="BY27" s="531"/>
      <c r="BZ27" s="521"/>
      <c r="CA27" s="249"/>
      <c r="CB27" s="536"/>
      <c r="CC27" s="531"/>
      <c r="CD27" s="521"/>
      <c r="CE27" s="249"/>
      <c r="CF27" s="536"/>
      <c r="CG27" s="531"/>
      <c r="CH27" s="521"/>
      <c r="CI27" s="249"/>
      <c r="CJ27" s="536"/>
      <c r="CK27" s="531"/>
      <c r="CL27" s="521"/>
      <c r="CM27" s="249"/>
      <c r="CN27" s="528"/>
      <c r="CO27" s="519"/>
      <c r="CP27" s="521"/>
      <c r="CQ27" s="249"/>
      <c r="CR27" s="528"/>
      <c r="CS27" s="519"/>
      <c r="CT27" s="521"/>
      <c r="CU27" s="249"/>
      <c r="CV27" s="528"/>
      <c r="CW27" s="519"/>
      <c r="CX27" s="521"/>
      <c r="CY27" s="249"/>
      <c r="CZ27" s="528"/>
      <c r="DA27" s="519"/>
      <c r="DB27" s="521"/>
      <c r="DD27" s="528"/>
      <c r="DE27" s="519"/>
      <c r="DF27" s="521"/>
      <c r="DH27" s="528"/>
      <c r="DI27" s="519"/>
      <c r="DJ27" s="521"/>
      <c r="DL27" s="528"/>
      <c r="DM27" s="519"/>
      <c r="DN27" s="521"/>
      <c r="DO27" s="521"/>
    </row>
    <row r="28" spans="1:120" s="516" customFormat="1" ht="12.75" customHeight="1" outlineLevel="2" x14ac:dyDescent="0.2">
      <c r="A28" s="515" t="s">
        <v>250</v>
      </c>
      <c r="CF28" s="1397" t="str">
        <f>A28</f>
        <v>3. Total Revenue (Year-to-Year % Increase)</v>
      </c>
      <c r="CG28" s="1397"/>
      <c r="CH28" s="1397"/>
      <c r="CI28" s="1397"/>
      <c r="CJ28" s="1397"/>
      <c r="CK28" s="1397"/>
      <c r="CL28" s="1397"/>
      <c r="CM28" s="1397"/>
      <c r="CN28" s="1397"/>
      <c r="CO28" s="1397"/>
      <c r="CP28" s="1397"/>
      <c r="CQ28" s="1397"/>
      <c r="CR28" s="1397"/>
      <c r="CS28" s="1397"/>
      <c r="CT28" s="1397"/>
      <c r="CU28" s="1397"/>
      <c r="CV28" s="1397"/>
      <c r="CW28" s="1397"/>
      <c r="CX28" s="1397"/>
      <c r="CY28" s="1397"/>
      <c r="CZ28" s="1397"/>
      <c r="DA28" s="1397"/>
      <c r="DB28" s="1397"/>
      <c r="DC28" s="1397"/>
      <c r="DD28" s="1397"/>
      <c r="DE28" s="1397"/>
      <c r="DF28" s="537"/>
      <c r="DG28" s="537"/>
      <c r="DH28" s="537"/>
      <c r="DI28" s="537"/>
      <c r="DJ28" s="537"/>
      <c r="DK28" s="537"/>
      <c r="DL28" s="537"/>
      <c r="DM28" s="537"/>
      <c r="DN28" s="537"/>
      <c r="DO28" s="537"/>
    </row>
    <row r="29" spans="1:120" outlineLevel="2" x14ac:dyDescent="0.2">
      <c r="CP29" s="249"/>
      <c r="CT29" s="249"/>
      <c r="CX29" s="249"/>
      <c r="DB29" s="249"/>
      <c r="DF29" s="249"/>
      <c r="DJ29" s="249"/>
      <c r="DN29" s="249"/>
      <c r="DO29" s="249"/>
    </row>
    <row r="30" spans="1:120" outlineLevel="2" x14ac:dyDescent="0.2">
      <c r="A30" s="517" t="s">
        <v>78</v>
      </c>
      <c r="D30" s="518">
        <f>D10+D20</f>
        <v>575.70000000000005</v>
      </c>
      <c r="E30" s="519"/>
      <c r="F30" s="521"/>
      <c r="G30" s="249"/>
      <c r="H30" s="518">
        <f>H10+H20</f>
        <v>632.37199999999996</v>
      </c>
      <c r="I30" s="531">
        <f>(H30/D30-1)*100</f>
        <v>9.8440159805454073</v>
      </c>
      <c r="J30" s="521"/>
      <c r="K30" s="249"/>
      <c r="L30" s="518">
        <f>L10+L20</f>
        <v>687.67899999999997</v>
      </c>
      <c r="M30" s="531">
        <f>(L30/H30-1)*100</f>
        <v>8.7459596566577869</v>
      </c>
      <c r="N30" s="521"/>
      <c r="O30" s="249"/>
      <c r="P30" s="518">
        <f>P10+P20</f>
        <v>719.05200000000002</v>
      </c>
      <c r="Q30" s="531">
        <f>(P30/L30-1)*100</f>
        <v>4.562157634594044</v>
      </c>
      <c r="R30" s="521"/>
      <c r="S30" s="249"/>
      <c r="T30" s="518">
        <f>T10+T20</f>
        <v>785.71400000000006</v>
      </c>
      <c r="U30" s="531">
        <f>(T30/P30-1)*100</f>
        <v>9.2708176877333024</v>
      </c>
      <c r="V30" s="521"/>
      <c r="W30" s="249"/>
      <c r="X30" s="518">
        <f>X10+X20</f>
        <v>846.87399999999991</v>
      </c>
      <c r="Y30" s="531">
        <f>(X30/T30-1)*100</f>
        <v>7.7840028305464548</v>
      </c>
      <c r="Z30" s="521"/>
      <c r="AA30" s="249"/>
      <c r="AB30" s="518">
        <f>AB10+AB20</f>
        <v>940.54200000000003</v>
      </c>
      <c r="AC30" s="531">
        <f>(AB30/X30-1)*100</f>
        <v>11.06044110457991</v>
      </c>
      <c r="AD30" s="521"/>
      <c r="AE30" s="249"/>
      <c r="AF30" s="518">
        <f>AF10+AF20</f>
        <v>981.6579999999999</v>
      </c>
      <c r="AG30" s="531">
        <f>(AF30/AB30-1)*100</f>
        <v>4.371521952236046</v>
      </c>
      <c r="AH30" s="521"/>
      <c r="AI30" s="249"/>
      <c r="AJ30" s="518">
        <f>AJ10+AJ20</f>
        <v>1070.6319999999998</v>
      </c>
      <c r="AK30" s="531">
        <f>(AJ30/AF30-1)*100</f>
        <v>9.0636453836264721</v>
      </c>
      <c r="AL30" s="521"/>
      <c r="AM30" s="249"/>
      <c r="AN30" s="518">
        <f>AN10+AN20</f>
        <v>1066.277</v>
      </c>
      <c r="AO30" s="531">
        <f>(AN30/AJ30-1)*100</f>
        <v>-0.40676908592306438</v>
      </c>
      <c r="AP30" s="521"/>
      <c r="AQ30" s="249"/>
      <c r="AR30" s="518">
        <f>AR10+AR20</f>
        <v>1184.539</v>
      </c>
      <c r="AS30" s="531">
        <f>(AR30/AN30-1)*100</f>
        <v>11.091114222664466</v>
      </c>
      <c r="AT30" s="521"/>
      <c r="AU30" s="249"/>
      <c r="AV30" s="518">
        <f>AV10+AV20</f>
        <v>1255.1949999999999</v>
      </c>
      <c r="AW30" s="531">
        <f>(AV30/AR30-1)*100</f>
        <v>5.9648521492327244</v>
      </c>
      <c r="AX30" s="521"/>
      <c r="AY30" s="249"/>
      <c r="AZ30" s="518">
        <f>AZ10+AZ20</f>
        <v>1279.0650000000001</v>
      </c>
      <c r="BA30" s="531">
        <f>(AZ30/AV30-1)*100</f>
        <v>1.9016965491417848</v>
      </c>
      <c r="BB30" s="521"/>
      <c r="BC30" s="249"/>
      <c r="BD30" s="518">
        <f>BD10+BD20</f>
        <v>1371.104</v>
      </c>
      <c r="BE30" s="531">
        <f>(BD30/AZ30-1)*100</f>
        <v>7.19580318435733</v>
      </c>
      <c r="BF30" s="521"/>
      <c r="BG30" s="249"/>
      <c r="BH30" s="518">
        <f>BH10+BH20</f>
        <v>1574.9770000000001</v>
      </c>
      <c r="BI30" s="531">
        <f>(BH30/BD30-1)*100</f>
        <v>14.869258641211758</v>
      </c>
      <c r="BJ30" s="521"/>
      <c r="BK30" s="249"/>
      <c r="BL30" s="518">
        <f>BL10+BL20</f>
        <v>1697.2059999999999</v>
      </c>
      <c r="BM30" s="531">
        <f>(BL30/BH30-1)*100</f>
        <v>7.7606847592059935</v>
      </c>
      <c r="BN30" s="521"/>
      <c r="BO30" s="249"/>
      <c r="BP30" s="518">
        <f>BP10+BP20</f>
        <v>1841.0609999999999</v>
      </c>
      <c r="BQ30" s="531">
        <f>(BP30/BL30-1)*100</f>
        <v>8.4759893613385771</v>
      </c>
      <c r="BR30" s="521"/>
      <c r="BS30" s="249"/>
      <c r="BT30" s="518">
        <f>BT10+BT20</f>
        <v>2009.723</v>
      </c>
      <c r="BU30" s="531">
        <f>(BT30/BP30-1)*100</f>
        <v>9.1611304568398388</v>
      </c>
      <c r="BV30" s="521"/>
      <c r="BW30" s="249"/>
      <c r="BX30" s="518">
        <f>BX10+BX20</f>
        <v>1949</v>
      </c>
      <c r="BY30" s="531">
        <f>(BX30/BT30-1)*100</f>
        <v>-3.0214611665388746</v>
      </c>
      <c r="BZ30" s="521"/>
      <c r="CA30" s="249"/>
      <c r="CB30" s="518">
        <f>CB10+CB20</f>
        <v>1792</v>
      </c>
      <c r="CC30" s="531">
        <f>(CB30/BX30-1)*100</f>
        <v>-8.0554130323242656</v>
      </c>
      <c r="CD30" s="521"/>
      <c r="CE30" s="249"/>
      <c r="CF30" s="518">
        <f>CF10+CF20</f>
        <v>2087</v>
      </c>
      <c r="CG30" s="531">
        <f>(CF30/CB30-1)*100</f>
        <v>16.46205357142858</v>
      </c>
      <c r="CH30" s="521"/>
      <c r="CI30" s="249"/>
      <c r="CJ30" s="518">
        <f>CJ10+CJ20</f>
        <v>2323</v>
      </c>
      <c r="CK30" s="531">
        <f>(CJ30/CF30-1)*100</f>
        <v>11.308097747963576</v>
      </c>
      <c r="CL30" s="521"/>
      <c r="CM30" s="249"/>
      <c r="CN30" s="518">
        <f>CN10+CN20</f>
        <v>2625</v>
      </c>
      <c r="CO30" s="531">
        <f>(CN30/CJ30-1)*100</f>
        <v>13.000430477830394</v>
      </c>
      <c r="CQ30" s="249"/>
      <c r="CR30" s="518">
        <f>CR10+CR20</f>
        <v>2749</v>
      </c>
      <c r="CS30" s="531">
        <f>(CR30/CN30-1)*100</f>
        <v>4.7238095238095301</v>
      </c>
      <c r="CU30" s="249"/>
      <c r="CV30" s="518">
        <f>CV10+CV20</f>
        <v>2931</v>
      </c>
      <c r="CW30" s="531">
        <f>(CV30/CR30-1)*100</f>
        <v>6.6205893052018849</v>
      </c>
      <c r="CY30" s="249"/>
      <c r="CZ30" s="518">
        <f>CZ10+CZ20</f>
        <v>3215</v>
      </c>
      <c r="DA30" s="531">
        <f>(CZ30/CV30-1)*100</f>
        <v>9.6895257591265818</v>
      </c>
      <c r="DD30" s="518">
        <f>DD10+DD20</f>
        <v>3249</v>
      </c>
      <c r="DE30" s="531">
        <f>(DD30/CZ30-1)*100</f>
        <v>1.0575427682737226</v>
      </c>
      <c r="DH30" s="518">
        <f>DH10+DH20</f>
        <v>3354</v>
      </c>
      <c r="DI30" s="531">
        <f>(DH30/DD30-1)*100</f>
        <v>3.2317636195752453</v>
      </c>
      <c r="DL30" s="518">
        <f>DL10+DL20</f>
        <v>3494.7619230769233</v>
      </c>
      <c r="DM30" s="531">
        <f>(DL30/DH30-1)*100</f>
        <v>4.1968373010412341</v>
      </c>
    </row>
    <row r="31" spans="1:120" outlineLevel="2" x14ac:dyDescent="0.2">
      <c r="A31" s="517" t="s">
        <v>79</v>
      </c>
      <c r="D31" s="524">
        <f>D11+D21</f>
        <v>821.1</v>
      </c>
      <c r="E31" s="519"/>
      <c r="F31" s="521"/>
      <c r="G31" s="249"/>
      <c r="H31" s="524">
        <f>H11+H21</f>
        <v>923.52599999999995</v>
      </c>
      <c r="I31" s="531">
        <f t="shared" ref="I31:I36" si="54">(H31/D31-1)*100</f>
        <v>12.474241870661306</v>
      </c>
      <c r="J31" s="521"/>
      <c r="K31" s="249"/>
      <c r="L31" s="524">
        <f>L11+L21</f>
        <v>973.50900000000001</v>
      </c>
      <c r="M31" s="531">
        <f t="shared" ref="M31:M36" si="55">(L31/H31-1)*100</f>
        <v>5.4121919686072717</v>
      </c>
      <c r="N31" s="521"/>
      <c r="O31" s="249"/>
      <c r="P31" s="524">
        <f>P11+P21</f>
        <v>1039.3150000000001</v>
      </c>
      <c r="Q31" s="531">
        <f t="shared" ref="Q31:Q36" si="56">(P31/L31-1)*100</f>
        <v>6.7596704293437559</v>
      </c>
      <c r="R31" s="521"/>
      <c r="S31" s="249"/>
      <c r="T31" s="524">
        <f>T11+T21</f>
        <v>1102.6849999999999</v>
      </c>
      <c r="U31" s="531">
        <f t="shared" ref="U31:U36" si="57">(T31/P31-1)*100</f>
        <v>6.0972852311378167</v>
      </c>
      <c r="V31" s="521"/>
      <c r="W31" s="249"/>
      <c r="X31" s="524">
        <f>X11+X21</f>
        <v>1178.325</v>
      </c>
      <c r="Y31" s="531">
        <f t="shared" ref="Y31:Y36" si="58">(X31/T31-1)*100</f>
        <v>6.8596199277218828</v>
      </c>
      <c r="Z31" s="521"/>
      <c r="AA31" s="249"/>
      <c r="AB31" s="524">
        <f>AB11+AB21</f>
        <v>1275.1379999999999</v>
      </c>
      <c r="AC31" s="531">
        <f t="shared" ref="AC31:AC36" si="59">(AB31/X31-1)*100</f>
        <v>8.2161542868054216</v>
      </c>
      <c r="AD31" s="521"/>
      <c r="AE31" s="249"/>
      <c r="AF31" s="524">
        <f>AF11+AF21</f>
        <v>1379.806</v>
      </c>
      <c r="AG31" s="531">
        <f t="shared" ref="AG31:AG36" si="60">(AF31/AB31-1)*100</f>
        <v>8.2083664670020049</v>
      </c>
      <c r="AH31" s="521"/>
      <c r="AI31" s="249"/>
      <c r="AJ31" s="524">
        <f>AJ11+AJ21</f>
        <v>1474.8690000000001</v>
      </c>
      <c r="AK31" s="531">
        <f t="shared" ref="AK31:AK36" si="61">(AJ31/AF31-1)*100</f>
        <v>6.8895917252135508</v>
      </c>
      <c r="AL31" s="521"/>
      <c r="AM31" s="249"/>
      <c r="AN31" s="524">
        <f>AN11+AN21</f>
        <v>1465.42</v>
      </c>
      <c r="AO31" s="531">
        <f t="shared" ref="AO31:AO36" si="62">(AN31/AJ31-1)*100</f>
        <v>-0.6406670694143024</v>
      </c>
      <c r="AP31" s="521"/>
      <c r="AQ31" s="249"/>
      <c r="AR31" s="524">
        <f>AR11+AR21</f>
        <v>1490.068</v>
      </c>
      <c r="AS31" s="531">
        <f t="shared" ref="AS31:AS36" si="63">(AR31/AN31-1)*100</f>
        <v>1.6819751334088417</v>
      </c>
      <c r="AT31" s="521"/>
      <c r="AU31" s="249"/>
      <c r="AV31" s="524">
        <f>AV11+AV21</f>
        <v>1581.127</v>
      </c>
      <c r="AW31" s="531">
        <f t="shared" ref="AW31:AW36" si="64">(AV31/AR31-1)*100</f>
        <v>6.1110633877111686</v>
      </c>
      <c r="AX31" s="521"/>
      <c r="AY31" s="249"/>
      <c r="AZ31" s="524">
        <f>AZ11+AZ21</f>
        <v>1690.8689999999999</v>
      </c>
      <c r="BA31" s="531">
        <f t="shared" ref="BA31:BA36" si="65">(AZ31/AV31-1)*100</f>
        <v>6.940745430316464</v>
      </c>
      <c r="BB31" s="521"/>
      <c r="BC31" s="249"/>
      <c r="BD31" s="524">
        <f>BD11+BD21</f>
        <v>1820.8809999999999</v>
      </c>
      <c r="BE31" s="531">
        <f t="shared" ref="BE31:BE36" si="66">(BD31/AZ31-1)*100</f>
        <v>7.6890640256578102</v>
      </c>
      <c r="BF31" s="521"/>
      <c r="BG31" s="249"/>
      <c r="BH31" s="524">
        <f>BH11+BH21</f>
        <v>1996.482</v>
      </c>
      <c r="BI31" s="531">
        <f t="shared" ref="BI31:BI36" si="67">(BH31/BD31-1)*100</f>
        <v>9.6437383881758478</v>
      </c>
      <c r="BJ31" s="521"/>
      <c r="BK31" s="249"/>
      <c r="BL31" s="524">
        <f>BL11+BL21</f>
        <v>2151.4079999999999</v>
      </c>
      <c r="BM31" s="531">
        <f t="shared" ref="BM31:BM36" si="68">(BL31/BH31-1)*100</f>
        <v>7.7599497516130933</v>
      </c>
      <c r="BN31" s="521"/>
      <c r="BO31" s="249"/>
      <c r="BP31" s="524">
        <f>BP11+BP21</f>
        <v>2331.319</v>
      </c>
      <c r="BQ31" s="531">
        <f t="shared" ref="BQ31:BQ36" si="69">(BP31/BL31-1)*100</f>
        <v>8.3624770382930702</v>
      </c>
      <c r="BR31" s="521"/>
      <c r="BS31" s="249"/>
      <c r="BT31" s="524">
        <f>BT11+BT21</f>
        <v>2459.8139999999999</v>
      </c>
      <c r="BU31" s="531">
        <f t="shared" ref="BU31:BU36" si="70">(BT31/BP31-1)*100</f>
        <v>5.5116867318457885</v>
      </c>
      <c r="BV31" s="521"/>
      <c r="BW31" s="249"/>
      <c r="BX31" s="524">
        <f>BX11+BX21</f>
        <v>2359</v>
      </c>
      <c r="BY31" s="531">
        <f t="shared" ref="BY31:BY36" si="71">(BX31/BT31-1)*100</f>
        <v>-4.0984399633468112</v>
      </c>
      <c r="BZ31" s="521"/>
      <c r="CA31" s="249"/>
      <c r="CB31" s="524">
        <f>CB11+CB21</f>
        <v>2232</v>
      </c>
      <c r="CC31" s="531">
        <f t="shared" ref="CC31:CC36" si="72">(CB31/BX31-1)*100</f>
        <v>-5.3836371343789713</v>
      </c>
      <c r="CD31" s="521"/>
      <c r="CE31" s="249"/>
      <c r="CF31" s="524">
        <f>CF11+CF21</f>
        <v>2515</v>
      </c>
      <c r="CG31" s="531">
        <f t="shared" ref="CG31:CG36" si="73">(CF31/CB31-1)*100</f>
        <v>12.679211469534057</v>
      </c>
      <c r="CH31" s="521"/>
      <c r="CI31" s="249"/>
      <c r="CJ31" s="524">
        <f>CJ11+CJ21</f>
        <v>2810</v>
      </c>
      <c r="CK31" s="531">
        <f t="shared" ref="CK31:CK36" si="74">(CJ31/CF31-1)*100</f>
        <v>11.729622266401595</v>
      </c>
      <c r="CL31" s="521"/>
      <c r="CM31" s="249"/>
      <c r="CN31" s="524">
        <f>CN11+CN21</f>
        <v>3006</v>
      </c>
      <c r="CO31" s="531">
        <f t="shared" ref="CO31:CO36" si="75">(CN31/CJ31-1)*100</f>
        <v>6.9750889679715211</v>
      </c>
      <c r="CQ31" s="249"/>
      <c r="CR31" s="524">
        <f>CR11+CR21</f>
        <v>3196</v>
      </c>
      <c r="CS31" s="531">
        <f t="shared" ref="CS31:CS36" si="76">(CR31/CN31-1)*100</f>
        <v>6.3206919494344538</v>
      </c>
      <c r="CU31" s="249"/>
      <c r="CV31" s="524">
        <f>CV11+CV21</f>
        <v>3392</v>
      </c>
      <c r="CW31" s="531">
        <f t="shared" ref="CW31:CW36" si="77">(CV31/CR31-1)*100</f>
        <v>6.1326658322903738</v>
      </c>
      <c r="CY31" s="249"/>
      <c r="CZ31" s="524">
        <f>CZ11+CZ21</f>
        <v>3701</v>
      </c>
      <c r="DA31" s="531">
        <f t="shared" ref="DA31:DA36" si="78">(CZ31/CV31-1)*100</f>
        <v>9.109669811320753</v>
      </c>
      <c r="DD31" s="524">
        <f>DD11+DD21</f>
        <v>3651</v>
      </c>
      <c r="DE31" s="531">
        <f t="shared" ref="DE31:DE36" si="79">(DD31/CZ31-1)*100</f>
        <v>-1.3509862199405531</v>
      </c>
      <c r="DH31" s="524">
        <f>DH11+DH21</f>
        <v>3793</v>
      </c>
      <c r="DI31" s="531">
        <f t="shared" ref="DI31:DI36" si="80">(DH31/DD31-1)*100</f>
        <v>3.8893453848260817</v>
      </c>
      <c r="DL31" s="524">
        <f>DL11+DL21</f>
        <v>4086.6092178217818</v>
      </c>
      <c r="DM31" s="531">
        <f t="shared" ref="DM31:DM36" si="81">(DL31/DH31-1)*100</f>
        <v>7.7408177648769172</v>
      </c>
    </row>
    <row r="32" spans="1:120" outlineLevel="2" x14ac:dyDescent="0.2">
      <c r="A32" s="517" t="s">
        <v>80</v>
      </c>
      <c r="D32" s="524">
        <f>D12+D22</f>
        <v>656.3</v>
      </c>
      <c r="E32" s="531"/>
      <c r="F32" s="521"/>
      <c r="G32" s="249"/>
      <c r="H32" s="524">
        <f>H12+H22</f>
        <v>710.52</v>
      </c>
      <c r="I32" s="531">
        <f t="shared" si="54"/>
        <v>8.2614657930824453</v>
      </c>
      <c r="J32" s="521"/>
      <c r="K32" s="249"/>
      <c r="L32" s="524">
        <f>L12+L22</f>
        <v>760.26800000000003</v>
      </c>
      <c r="M32" s="531">
        <f t="shared" si="55"/>
        <v>7.0016326071046686</v>
      </c>
      <c r="N32" s="521"/>
      <c r="O32" s="249"/>
      <c r="P32" s="524">
        <f>P12+P22</f>
        <v>792.03100000000006</v>
      </c>
      <c r="Q32" s="531">
        <f t="shared" si="56"/>
        <v>4.1778688567715605</v>
      </c>
      <c r="R32" s="521"/>
      <c r="S32" s="249"/>
      <c r="T32" s="524">
        <f>T12+T22</f>
        <v>886.40299999999991</v>
      </c>
      <c r="U32" s="531">
        <f t="shared" si="57"/>
        <v>11.915190188262814</v>
      </c>
      <c r="V32" s="521"/>
      <c r="W32" s="249"/>
      <c r="X32" s="524">
        <f>X12+X22</f>
        <v>939.22699999999998</v>
      </c>
      <c r="Y32" s="531">
        <f t="shared" si="58"/>
        <v>5.9593661122536945</v>
      </c>
      <c r="Z32" s="521"/>
      <c r="AA32" s="249"/>
      <c r="AB32" s="524">
        <f>AB12+AB22</f>
        <v>1018.9090000000001</v>
      </c>
      <c r="AC32" s="531">
        <f t="shared" si="59"/>
        <v>8.4837850700629538</v>
      </c>
      <c r="AD32" s="521"/>
      <c r="AE32" s="249"/>
      <c r="AF32" s="524">
        <f>AF12+AF22</f>
        <v>1117.5780000000002</v>
      </c>
      <c r="AG32" s="531">
        <f t="shared" si="60"/>
        <v>9.6837892294601389</v>
      </c>
      <c r="AH32" s="521"/>
      <c r="AI32" s="249"/>
      <c r="AJ32" s="524">
        <f>AJ12+AJ22</f>
        <v>1472.9179999999999</v>
      </c>
      <c r="AK32" s="531">
        <f t="shared" si="61"/>
        <v>31.795543577271523</v>
      </c>
      <c r="AL32" s="521"/>
      <c r="AM32" s="249"/>
      <c r="AN32" s="524">
        <f>AN12+AN22</f>
        <v>1137.152</v>
      </c>
      <c r="AO32" s="531">
        <f t="shared" si="62"/>
        <v>-22.795973706615026</v>
      </c>
      <c r="AP32" s="521"/>
      <c r="AQ32" s="249"/>
      <c r="AR32" s="524">
        <f>AR12+AR22</f>
        <v>1299.3879999999999</v>
      </c>
      <c r="AS32" s="531">
        <f t="shared" si="63"/>
        <v>14.266870216118853</v>
      </c>
      <c r="AT32" s="521"/>
      <c r="AU32" s="249"/>
      <c r="AV32" s="524">
        <f>AV12+AV22</f>
        <v>1271.558</v>
      </c>
      <c r="AW32" s="531">
        <f t="shared" si="64"/>
        <v>-2.1417775137218431</v>
      </c>
      <c r="AX32" s="521"/>
      <c r="AY32" s="249"/>
      <c r="AZ32" s="524">
        <f>AZ12+AZ22</f>
        <v>1358.2070000000001</v>
      </c>
      <c r="BA32" s="531">
        <f t="shared" si="65"/>
        <v>6.8143961974208134</v>
      </c>
      <c r="BB32" s="521"/>
      <c r="BC32" s="249"/>
      <c r="BD32" s="524">
        <f>BD12+BD22</f>
        <v>1451.6759999999999</v>
      </c>
      <c r="BE32" s="531">
        <f t="shared" si="66"/>
        <v>6.8817934232410671</v>
      </c>
      <c r="BF32" s="521"/>
      <c r="BG32" s="249"/>
      <c r="BH32" s="524">
        <f>BH12+BH22</f>
        <v>1587.1</v>
      </c>
      <c r="BI32" s="531">
        <f t="shared" si="67"/>
        <v>9.3288033969012307</v>
      </c>
      <c r="BJ32" s="521"/>
      <c r="BK32" s="249"/>
      <c r="BL32" s="524">
        <f>BL12+BL22</f>
        <v>1713.35</v>
      </c>
      <c r="BM32" s="531">
        <f t="shared" si="68"/>
        <v>7.9547602545523288</v>
      </c>
      <c r="BN32" s="521"/>
      <c r="BO32" s="249"/>
      <c r="BP32" s="524">
        <f>BP12+BP22</f>
        <v>1930.922</v>
      </c>
      <c r="BQ32" s="531">
        <f t="shared" si="69"/>
        <v>12.698631336271049</v>
      </c>
      <c r="BR32" s="521"/>
      <c r="BS32" s="249"/>
      <c r="BT32" s="524">
        <f>BT12+BT22</f>
        <v>2039.223</v>
      </c>
      <c r="BU32" s="531">
        <f t="shared" si="70"/>
        <v>5.6087713537884998</v>
      </c>
      <c r="BV32" s="521"/>
      <c r="BW32" s="249"/>
      <c r="BX32" s="524">
        <f>BX12+BX22</f>
        <v>1898</v>
      </c>
      <c r="BY32" s="531">
        <f t="shared" si="71"/>
        <v>-6.9253338158700606</v>
      </c>
      <c r="BZ32" s="521"/>
      <c r="CA32" s="249"/>
      <c r="CB32" s="524">
        <f>CB12+CB22</f>
        <v>1963</v>
      </c>
      <c r="CC32" s="531">
        <f t="shared" si="72"/>
        <v>3.4246575342465668</v>
      </c>
      <c r="CD32" s="521"/>
      <c r="CE32" s="249"/>
      <c r="CF32" s="524">
        <f>CF12+CF22</f>
        <v>2182</v>
      </c>
      <c r="CG32" s="531">
        <f t="shared" si="73"/>
        <v>11.156393275598564</v>
      </c>
      <c r="CH32" s="521"/>
      <c r="CI32" s="249"/>
      <c r="CJ32" s="524">
        <f>CJ12+CJ22</f>
        <v>2478</v>
      </c>
      <c r="CK32" s="531">
        <f t="shared" si="74"/>
        <v>13.565536205316221</v>
      </c>
      <c r="CL32" s="521"/>
      <c r="CM32" s="249"/>
      <c r="CN32" s="524">
        <f>CN12+CN22</f>
        <v>2805</v>
      </c>
      <c r="CO32" s="531">
        <f t="shared" si="75"/>
        <v>13.196125907990307</v>
      </c>
      <c r="CQ32" s="249"/>
      <c r="CR32" s="524">
        <f>CR12+CR22</f>
        <v>2884</v>
      </c>
      <c r="CS32" s="531">
        <f t="shared" si="76"/>
        <v>2.8163992869875143</v>
      </c>
      <c r="CT32" s="255"/>
      <c r="CU32" s="249"/>
      <c r="CV32" s="524">
        <f>CV12+CV22</f>
        <v>3140</v>
      </c>
      <c r="CW32" s="531">
        <f t="shared" si="77"/>
        <v>8.8765603328710085</v>
      </c>
      <c r="CY32" s="249"/>
      <c r="CZ32" s="524">
        <f>CZ12+CZ22</f>
        <v>3327</v>
      </c>
      <c r="DA32" s="531">
        <f t="shared" si="78"/>
        <v>5.9554140127388466</v>
      </c>
      <c r="DD32" s="524">
        <f>DD12+DD22</f>
        <v>3542</v>
      </c>
      <c r="DE32" s="531">
        <f t="shared" si="79"/>
        <v>6.4622783288247776</v>
      </c>
      <c r="DH32" s="524">
        <f>DH12+DH22</f>
        <v>3629</v>
      </c>
      <c r="DI32" s="531">
        <f t="shared" si="80"/>
        <v>2.4562394127611409</v>
      </c>
      <c r="DL32" s="524">
        <f>DL12+DL22</f>
        <v>3660.2263333333335</v>
      </c>
      <c r="DM32" s="531">
        <f t="shared" si="81"/>
        <v>0.86046661155507742</v>
      </c>
    </row>
    <row r="33" spans="1:121" outlineLevel="2" x14ac:dyDescent="0.2">
      <c r="A33" s="517" t="s">
        <v>81</v>
      </c>
      <c r="D33" s="526">
        <f>D13+D23</f>
        <v>925.46400000000006</v>
      </c>
      <c r="E33" s="531"/>
      <c r="F33" s="521"/>
      <c r="G33" s="249"/>
      <c r="H33" s="526">
        <f>H13+H23</f>
        <v>1000.845</v>
      </c>
      <c r="I33" s="531">
        <f t="shared" si="54"/>
        <v>8.1452114831046973</v>
      </c>
      <c r="J33" s="521"/>
      <c r="K33" s="249"/>
      <c r="L33" s="526">
        <f>L13+L23</f>
        <v>1093.2629999999999</v>
      </c>
      <c r="M33" s="531">
        <f t="shared" si="55"/>
        <v>9.2339972723048938</v>
      </c>
      <c r="N33" s="521"/>
      <c r="O33" s="249"/>
      <c r="P33" s="526">
        <f>P13+P23</f>
        <v>1128.049</v>
      </c>
      <c r="Q33" s="531">
        <f t="shared" si="56"/>
        <v>3.1818510276118372</v>
      </c>
      <c r="R33" s="521"/>
      <c r="S33" s="249"/>
      <c r="T33" s="526">
        <f>T13+T23</f>
        <v>1214.32</v>
      </c>
      <c r="U33" s="531">
        <f t="shared" si="57"/>
        <v>7.6478060793458313</v>
      </c>
      <c r="V33" s="521"/>
      <c r="W33" s="249"/>
      <c r="X33" s="526">
        <f>X13+X23</f>
        <v>1274.2199999999998</v>
      </c>
      <c r="Y33" s="531">
        <f t="shared" si="58"/>
        <v>4.9328018973581855</v>
      </c>
      <c r="Z33" s="521"/>
      <c r="AA33" s="249"/>
      <c r="AB33" s="526">
        <f>AB13+AB23</f>
        <v>1347.943</v>
      </c>
      <c r="AC33" s="531">
        <f t="shared" si="59"/>
        <v>5.7857355872612315</v>
      </c>
      <c r="AD33" s="521"/>
      <c r="AE33" s="249"/>
      <c r="AF33" s="526">
        <f>AF13+AF23</f>
        <v>1481.163</v>
      </c>
      <c r="AG33" s="531">
        <f t="shared" si="60"/>
        <v>9.8832072276053182</v>
      </c>
      <c r="AH33" s="521"/>
      <c r="AI33" s="249"/>
      <c r="AJ33" s="526">
        <f>AJ13+AJ23</f>
        <v>1468.3029999999999</v>
      </c>
      <c r="AK33" s="531">
        <f t="shared" si="61"/>
        <v>-0.86823664917365928</v>
      </c>
      <c r="AL33" s="521"/>
      <c r="AM33" s="249"/>
      <c r="AN33" s="526">
        <f>AN13+AN23</f>
        <v>1589.1810000000005</v>
      </c>
      <c r="AO33" s="531">
        <f t="shared" si="62"/>
        <v>8.2324969709930862</v>
      </c>
      <c r="AP33" s="521"/>
      <c r="AQ33" s="249"/>
      <c r="AR33" s="526">
        <f>AR13+AR23</f>
        <v>1685.1419999999998</v>
      </c>
      <c r="AS33" s="531">
        <f t="shared" si="63"/>
        <v>6.0383933611086071</v>
      </c>
      <c r="AT33" s="521"/>
      <c r="AU33" s="249"/>
      <c r="AV33" s="526">
        <f>AV13+AV23</f>
        <v>1660.1399999999999</v>
      </c>
      <c r="AW33" s="531">
        <f t="shared" si="64"/>
        <v>-1.4836731859985686</v>
      </c>
      <c r="AX33" s="521"/>
      <c r="AY33" s="249"/>
      <c r="AZ33" s="526">
        <f>AZ13+AZ23</f>
        <v>1787.912</v>
      </c>
      <c r="BA33" s="531">
        <f t="shared" si="65"/>
        <v>7.6964593347549126</v>
      </c>
      <c r="BB33" s="521"/>
      <c r="BC33" s="249"/>
      <c r="BD33" s="526">
        <f>BD13+BD23</f>
        <v>1960.001</v>
      </c>
      <c r="BE33" s="531">
        <f t="shared" si="66"/>
        <v>9.6251381499760527</v>
      </c>
      <c r="BF33" s="521"/>
      <c r="BG33" s="249"/>
      <c r="BH33" s="526">
        <f>BH13+BH23</f>
        <v>2145.7959999999998</v>
      </c>
      <c r="BI33" s="531">
        <f t="shared" si="67"/>
        <v>9.4793318983000354</v>
      </c>
      <c r="BJ33" s="521"/>
      <c r="BK33" s="249"/>
      <c r="BL33" s="526">
        <f>BL13+BL23</f>
        <v>2357.002</v>
      </c>
      <c r="BM33" s="531">
        <f t="shared" si="68"/>
        <v>9.8427809540142732</v>
      </c>
      <c r="BN33" s="521"/>
      <c r="BO33" s="249"/>
      <c r="BP33" s="526">
        <f>BP13+BP23</f>
        <v>2695.9209999999998</v>
      </c>
      <c r="BQ33" s="531">
        <f t="shared" si="69"/>
        <v>14.379241086770399</v>
      </c>
      <c r="BR33" s="521"/>
      <c r="BS33" s="249"/>
      <c r="BT33" s="526">
        <f>BT13+BT23</f>
        <v>2590</v>
      </c>
      <c r="BU33" s="531">
        <f t="shared" si="70"/>
        <v>-3.9289356030833167</v>
      </c>
      <c r="BV33" s="521"/>
      <c r="BW33" s="249"/>
      <c r="BX33" s="526">
        <f>BX13+BX23</f>
        <v>2391</v>
      </c>
      <c r="BY33" s="531">
        <f t="shared" si="71"/>
        <v>-7.6833976833976863</v>
      </c>
      <c r="BZ33" s="521"/>
      <c r="CA33" s="249"/>
      <c r="CB33" s="526">
        <f>CB13+CB23</f>
        <v>2640</v>
      </c>
      <c r="CC33" s="531">
        <f t="shared" si="72"/>
        <v>10.414052697616061</v>
      </c>
      <c r="CD33" s="521"/>
      <c r="CE33" s="249"/>
      <c r="CF33" s="526">
        <f>CF13+CF23</f>
        <v>2916</v>
      </c>
      <c r="CG33" s="531">
        <f t="shared" si="73"/>
        <v>10.45454545454545</v>
      </c>
      <c r="CH33" s="521"/>
      <c r="CI33" s="249"/>
      <c r="CJ33" s="526">
        <f>CJ13+CJ23</f>
        <v>3266</v>
      </c>
      <c r="CK33" s="531">
        <f t="shared" si="74"/>
        <v>12.002743484224965</v>
      </c>
      <c r="CL33" s="521"/>
      <c r="CM33" s="249"/>
      <c r="CN33" s="526">
        <f>CN13+CN23</f>
        <v>3698</v>
      </c>
      <c r="CO33" s="531">
        <f t="shared" si="75"/>
        <v>13.227189222290271</v>
      </c>
      <c r="CQ33" s="249"/>
      <c r="CR33" s="526">
        <f>CR13+CR23</f>
        <v>3711</v>
      </c>
      <c r="CS33" s="531">
        <f t="shared" si="76"/>
        <v>0.35154137371551375</v>
      </c>
      <c r="CT33" s="255"/>
      <c r="CU33" s="249"/>
      <c r="CV33" s="526">
        <f>CV13+CV23</f>
        <v>4043</v>
      </c>
      <c r="CW33" s="531">
        <f>(CV33/CR33-1)*100</f>
        <v>8.9463756399892134</v>
      </c>
      <c r="CY33" s="249"/>
      <c r="CZ33" s="526">
        <f>CZ13+CZ23</f>
        <v>4194</v>
      </c>
      <c r="DA33" s="531">
        <f t="shared" si="78"/>
        <v>3.7348503586445814</v>
      </c>
      <c r="DD33" s="526">
        <f>DD13+DD23</f>
        <v>4316</v>
      </c>
      <c r="DE33" s="531">
        <f t="shared" si="79"/>
        <v>2.9089175011921764</v>
      </c>
      <c r="DH33" s="526">
        <f>DH13+DH23</f>
        <v>4702</v>
      </c>
      <c r="DI33" s="531">
        <f t="shared" si="80"/>
        <v>8.9434661723818429</v>
      </c>
      <c r="DL33" s="526">
        <f>DL13+DL23</f>
        <v>4457.5409836065573</v>
      </c>
      <c r="DM33" s="531">
        <f t="shared" si="81"/>
        <v>-5.1990433090906567</v>
      </c>
    </row>
    <row r="34" spans="1:121" outlineLevel="2" x14ac:dyDescent="0.2">
      <c r="A34" s="517" t="s">
        <v>82</v>
      </c>
      <c r="D34" s="518">
        <f>D14+D24</f>
        <v>2978.5639999999999</v>
      </c>
      <c r="E34" s="531"/>
      <c r="F34" s="535"/>
      <c r="G34" s="249"/>
      <c r="H34" s="518">
        <f>H14+H24</f>
        <v>3267.2630000000004</v>
      </c>
      <c r="I34" s="531">
        <f t="shared" si="54"/>
        <v>9.6925565473832584</v>
      </c>
      <c r="J34" s="535"/>
      <c r="K34" s="249"/>
      <c r="L34" s="518">
        <f>L14+L24</f>
        <v>3514.7190000000001</v>
      </c>
      <c r="M34" s="531">
        <f t="shared" si="55"/>
        <v>7.5738010683559898</v>
      </c>
      <c r="N34" s="535"/>
      <c r="O34" s="249"/>
      <c r="P34" s="518">
        <f>P14+P24</f>
        <v>3678.4470000000001</v>
      </c>
      <c r="Q34" s="531">
        <f t="shared" si="56"/>
        <v>4.6583524884919791</v>
      </c>
      <c r="R34" s="535"/>
      <c r="S34" s="249"/>
      <c r="T34" s="518">
        <f>T14+T24</f>
        <v>3989.1220000000003</v>
      </c>
      <c r="U34" s="531">
        <f t="shared" si="57"/>
        <v>8.4458196624825668</v>
      </c>
      <c r="V34" s="535"/>
      <c r="W34" s="249"/>
      <c r="X34" s="518">
        <f>X14+X24</f>
        <v>4238.6459999999997</v>
      </c>
      <c r="Y34" s="531">
        <f t="shared" si="58"/>
        <v>6.2551107737492062</v>
      </c>
      <c r="Z34" s="535"/>
      <c r="AA34" s="249"/>
      <c r="AB34" s="518">
        <f>AB14+AB24</f>
        <v>4582.5320000000002</v>
      </c>
      <c r="AC34" s="531">
        <f t="shared" si="59"/>
        <v>8.1131097053162904</v>
      </c>
      <c r="AD34" s="535"/>
      <c r="AE34" s="249"/>
      <c r="AF34" s="518">
        <f>AF14+AF24</f>
        <v>4960.2049999999999</v>
      </c>
      <c r="AG34" s="531">
        <f t="shared" si="60"/>
        <v>8.241579109540309</v>
      </c>
      <c r="AH34" s="535"/>
      <c r="AI34" s="249"/>
      <c r="AJ34" s="518">
        <f>AJ14+AJ24</f>
        <v>5135.0290000000005</v>
      </c>
      <c r="AK34" s="531">
        <f t="shared" si="61"/>
        <v>3.5245317481838123</v>
      </c>
      <c r="AL34" s="535"/>
      <c r="AM34" s="249"/>
      <c r="AN34" s="518">
        <f>AN14+AN24</f>
        <v>5265.7830000000004</v>
      </c>
      <c r="AO34" s="531">
        <f t="shared" si="62"/>
        <v>2.5463147335682113</v>
      </c>
      <c r="AP34" s="535"/>
      <c r="AQ34" s="249"/>
      <c r="AR34" s="518">
        <f>AR14+AR24</f>
        <v>5659.1370000000006</v>
      </c>
      <c r="AS34" s="531">
        <f t="shared" si="63"/>
        <v>7.4700001880062317</v>
      </c>
      <c r="AT34" s="535"/>
      <c r="AU34" s="249"/>
      <c r="AV34" s="518">
        <f>AV14+AV24</f>
        <v>5768.02</v>
      </c>
      <c r="AW34" s="531">
        <f t="shared" si="64"/>
        <v>1.9240212774491949</v>
      </c>
      <c r="AX34" s="535"/>
      <c r="AY34" s="249"/>
      <c r="AZ34" s="518">
        <f>AZ14+AZ24</f>
        <v>6083.9449999999997</v>
      </c>
      <c r="BA34" s="531">
        <f t="shared" si="65"/>
        <v>5.4771828114326793</v>
      </c>
      <c r="BB34" s="535"/>
      <c r="BC34" s="249"/>
      <c r="BD34" s="518">
        <f>BD14+BD24</f>
        <v>6603.6619999999994</v>
      </c>
      <c r="BE34" s="531">
        <f t="shared" si="66"/>
        <v>8.5424342264764022</v>
      </c>
      <c r="BF34" s="535"/>
      <c r="BG34" s="249"/>
      <c r="BH34" s="518">
        <f>BH14+BH24</f>
        <v>7304.3549999999996</v>
      </c>
      <c r="BI34" s="531">
        <f t="shared" si="67"/>
        <v>10.610673290062401</v>
      </c>
      <c r="BJ34" s="535"/>
      <c r="BK34" s="249"/>
      <c r="BL34" s="518">
        <f>BL14+BL24</f>
        <v>7918.9660000000003</v>
      </c>
      <c r="BM34" s="531">
        <f t="shared" si="68"/>
        <v>8.4143089978512933</v>
      </c>
      <c r="BN34" s="535"/>
      <c r="BO34" s="249"/>
      <c r="BP34" s="518">
        <f>BP14+BP24</f>
        <v>8799.223</v>
      </c>
      <c r="BQ34" s="531">
        <f t="shared" si="69"/>
        <v>11.115807291002389</v>
      </c>
      <c r="BR34" s="535"/>
      <c r="BS34" s="249"/>
      <c r="BT34" s="518">
        <f>BT14+BT24</f>
        <v>9098.76</v>
      </c>
      <c r="BU34" s="531">
        <f t="shared" si="70"/>
        <v>3.4041301146703562</v>
      </c>
      <c r="BV34" s="535"/>
      <c r="BW34" s="249"/>
      <c r="BX34" s="518">
        <f>BX14+BX24</f>
        <v>8597</v>
      </c>
      <c r="BY34" s="531">
        <f t="shared" si="71"/>
        <v>-5.5145975935182445</v>
      </c>
      <c r="BZ34" s="535"/>
      <c r="CA34" s="249"/>
      <c r="CB34" s="518">
        <f>CB14+CB24</f>
        <v>8627</v>
      </c>
      <c r="CC34" s="531">
        <f t="shared" si="72"/>
        <v>0.3489589391648229</v>
      </c>
      <c r="CD34" s="535"/>
      <c r="CE34" s="249"/>
      <c r="CF34" s="518">
        <f>CF14+CF24</f>
        <v>9700</v>
      </c>
      <c r="CG34" s="531">
        <f t="shared" si="73"/>
        <v>12.437695606815801</v>
      </c>
      <c r="CH34" s="535"/>
      <c r="CI34" s="249"/>
      <c r="CJ34" s="518">
        <f>CJ14+CJ24</f>
        <v>10877</v>
      </c>
      <c r="CK34" s="531">
        <f t="shared" si="74"/>
        <v>12.134020618556708</v>
      </c>
      <c r="CL34" s="535"/>
      <c r="CM34" s="249"/>
      <c r="CN34" s="518">
        <f>CN14+CN24</f>
        <v>12134</v>
      </c>
      <c r="CO34" s="531">
        <f t="shared" si="75"/>
        <v>11.556495357175688</v>
      </c>
      <c r="CQ34" s="249"/>
      <c r="CR34" s="518">
        <f>CR14+CR24</f>
        <v>12540</v>
      </c>
      <c r="CS34" s="531">
        <f t="shared" si="76"/>
        <v>3.3459700016482685</v>
      </c>
      <c r="CU34" s="249"/>
      <c r="CV34" s="518">
        <f>CV14+CV24</f>
        <v>13506</v>
      </c>
      <c r="CW34" s="531">
        <f t="shared" si="77"/>
        <v>7.7033492822966565</v>
      </c>
      <c r="CY34" s="249"/>
      <c r="CZ34" s="518">
        <f>CZ14+CZ24</f>
        <v>14437</v>
      </c>
      <c r="DA34" s="531">
        <f t="shared" si="78"/>
        <v>6.8932326373463582</v>
      </c>
      <c r="DD34" s="518">
        <f>DD14+DD24</f>
        <v>14758</v>
      </c>
      <c r="DE34" s="531">
        <f t="shared" si="79"/>
        <v>2.2234536260996141</v>
      </c>
      <c r="DH34" s="518">
        <f>DH14+DH24</f>
        <v>15478</v>
      </c>
      <c r="DI34" s="531">
        <f t="shared" si="80"/>
        <v>4.8787098522835137</v>
      </c>
      <c r="DL34" s="518">
        <f>DL14+DL24</f>
        <v>15699.138457838597</v>
      </c>
      <c r="DM34" s="531">
        <f t="shared" si="81"/>
        <v>1.4287275994223858</v>
      </c>
    </row>
    <row r="35" spans="1:121" hidden="1" outlineLevel="3" x14ac:dyDescent="0.2">
      <c r="A35" s="517" t="s">
        <v>281</v>
      </c>
      <c r="D35" s="524">
        <f>D30+D31</f>
        <v>1396.8000000000002</v>
      </c>
      <c r="E35" s="531"/>
      <c r="F35" s="521"/>
      <c r="G35" s="249"/>
      <c r="H35" s="524">
        <f>H30+H31</f>
        <v>1555.8979999999999</v>
      </c>
      <c r="I35" s="531">
        <f t="shared" si="54"/>
        <v>11.390177548682679</v>
      </c>
      <c r="J35" s="521"/>
      <c r="K35" s="249"/>
      <c r="L35" s="524">
        <f>L30+L31</f>
        <v>1661.1880000000001</v>
      </c>
      <c r="M35" s="531">
        <f t="shared" si="55"/>
        <v>6.7671531167210253</v>
      </c>
      <c r="N35" s="521"/>
      <c r="O35" s="249"/>
      <c r="P35" s="524">
        <f>P30+P31</f>
        <v>1758.3670000000002</v>
      </c>
      <c r="Q35" s="531">
        <f t="shared" si="56"/>
        <v>5.8499700214545314</v>
      </c>
      <c r="R35" s="521"/>
      <c r="S35" s="249"/>
      <c r="T35" s="524">
        <f>T30+T31</f>
        <v>1888.3989999999999</v>
      </c>
      <c r="U35" s="531">
        <f t="shared" si="57"/>
        <v>7.3950432418260714</v>
      </c>
      <c r="V35" s="521"/>
      <c r="W35" s="249"/>
      <c r="X35" s="524">
        <f>X30+X31</f>
        <v>2025.1990000000001</v>
      </c>
      <c r="Y35" s="531">
        <f t="shared" si="58"/>
        <v>7.2442317539884504</v>
      </c>
      <c r="Z35" s="521"/>
      <c r="AA35" s="249"/>
      <c r="AB35" s="524">
        <f>AB30+AB31</f>
        <v>2215.6799999999998</v>
      </c>
      <c r="AC35" s="531">
        <f t="shared" si="59"/>
        <v>9.4055448378159277</v>
      </c>
      <c r="AD35" s="521"/>
      <c r="AE35" s="249"/>
      <c r="AF35" s="524">
        <f>AF30+AF31</f>
        <v>2361.4639999999999</v>
      </c>
      <c r="AG35" s="531">
        <f t="shared" si="60"/>
        <v>6.5796504910456521</v>
      </c>
      <c r="AH35" s="521"/>
      <c r="AI35" s="249"/>
      <c r="AJ35" s="524">
        <f>AJ30+AJ31</f>
        <v>2545.5010000000002</v>
      </c>
      <c r="AK35" s="531">
        <f t="shared" si="61"/>
        <v>7.7933434513505206</v>
      </c>
      <c r="AL35" s="521"/>
      <c r="AM35" s="249"/>
      <c r="AN35" s="524">
        <f>AN30+AN31</f>
        <v>2531.6970000000001</v>
      </c>
      <c r="AO35" s="531">
        <f t="shared" si="62"/>
        <v>-0.54229010320562265</v>
      </c>
      <c r="AP35" s="521"/>
      <c r="AQ35" s="249"/>
      <c r="AR35" s="524">
        <f>AR30+AR31</f>
        <v>2674.607</v>
      </c>
      <c r="AS35" s="531">
        <f t="shared" si="63"/>
        <v>5.6448303252719434</v>
      </c>
      <c r="AT35" s="521"/>
      <c r="AU35" s="249"/>
      <c r="AV35" s="524">
        <f>AV30+AV31</f>
        <v>2836.3220000000001</v>
      </c>
      <c r="AW35" s="531">
        <f t="shared" si="64"/>
        <v>6.0463088595819947</v>
      </c>
      <c r="AX35" s="521"/>
      <c r="AY35" s="249"/>
      <c r="AZ35" s="524">
        <f>AZ30+AZ31</f>
        <v>2969.9340000000002</v>
      </c>
      <c r="BA35" s="531">
        <f t="shared" si="65"/>
        <v>4.7107486385537412</v>
      </c>
      <c r="BB35" s="521"/>
      <c r="BC35" s="249"/>
      <c r="BD35" s="524">
        <f>BD30+BD31</f>
        <v>3191.9849999999997</v>
      </c>
      <c r="BE35" s="531">
        <f t="shared" si="66"/>
        <v>7.4766307938155974</v>
      </c>
      <c r="BF35" s="521"/>
      <c r="BG35" s="249"/>
      <c r="BH35" s="524">
        <f>BH30+BH31</f>
        <v>3571.4589999999998</v>
      </c>
      <c r="BI35" s="531">
        <f t="shared" si="67"/>
        <v>11.888339074275112</v>
      </c>
      <c r="BJ35" s="521"/>
      <c r="BK35" s="249"/>
      <c r="BL35" s="524">
        <f>BL30+BL31</f>
        <v>3848.6139999999996</v>
      </c>
      <c r="BM35" s="531">
        <f t="shared" si="68"/>
        <v>7.7602738824665174</v>
      </c>
      <c r="BN35" s="521"/>
      <c r="BO35" s="249"/>
      <c r="BP35" s="524">
        <f>BP30+BP31</f>
        <v>4172.38</v>
      </c>
      <c r="BQ35" s="531">
        <f t="shared" si="69"/>
        <v>8.4125350061087012</v>
      </c>
      <c r="BR35" s="521"/>
      <c r="BS35" s="249"/>
      <c r="BT35" s="524">
        <f>BT30+BT31</f>
        <v>4469.5370000000003</v>
      </c>
      <c r="BU35" s="531">
        <f t="shared" si="70"/>
        <v>7.1220023104319408</v>
      </c>
      <c r="BV35" s="521"/>
      <c r="BW35" s="249"/>
      <c r="BX35" s="524">
        <f>BX30+BX31</f>
        <v>4308</v>
      </c>
      <c r="BY35" s="531">
        <f t="shared" si="71"/>
        <v>-3.6141774863928888</v>
      </c>
      <c r="BZ35" s="521"/>
      <c r="CA35" s="249"/>
      <c r="CB35" s="524">
        <f>CB30+CB31</f>
        <v>4024</v>
      </c>
      <c r="CC35" s="531">
        <f t="shared" si="72"/>
        <v>-6.5923862581244164</v>
      </c>
      <c r="CD35" s="521"/>
      <c r="CE35" s="249"/>
      <c r="CF35" s="524">
        <f>CF30+CF31</f>
        <v>4602</v>
      </c>
      <c r="CG35" s="531">
        <f t="shared" si="73"/>
        <v>14.363817097415499</v>
      </c>
      <c r="CH35" s="521"/>
      <c r="CI35" s="249"/>
      <c r="CJ35" s="524">
        <f>CJ30+CJ31</f>
        <v>5133</v>
      </c>
      <c r="CK35" s="531">
        <f t="shared" si="74"/>
        <v>11.538461538461542</v>
      </c>
      <c r="CL35" s="521"/>
      <c r="CM35" s="249"/>
      <c r="CN35" s="524">
        <f>CN30+CN31</f>
        <v>5631</v>
      </c>
      <c r="CO35" s="531">
        <f t="shared" si="75"/>
        <v>9.7019286966686167</v>
      </c>
      <c r="CQ35" s="249"/>
      <c r="CR35" s="524">
        <f>CR30+CR31</f>
        <v>5945</v>
      </c>
      <c r="CS35" s="531">
        <f t="shared" si="76"/>
        <v>5.5762741964127116</v>
      </c>
      <c r="CU35" s="249"/>
      <c r="CV35" s="524">
        <f>CV30+CV31</f>
        <v>6323</v>
      </c>
      <c r="CW35" s="531">
        <f t="shared" si="77"/>
        <v>6.3582842724978939</v>
      </c>
      <c r="CY35" s="249"/>
      <c r="CZ35" s="524">
        <f>CZ30+CZ31</f>
        <v>6916</v>
      </c>
      <c r="DA35" s="531">
        <f t="shared" si="78"/>
        <v>9.3784595919658376</v>
      </c>
      <c r="DD35" s="524">
        <f>DD30+DD31</f>
        <v>6900</v>
      </c>
      <c r="DE35" s="531">
        <f t="shared" si="79"/>
        <v>-0.23134759976864983</v>
      </c>
      <c r="DH35" s="524">
        <f>DH30+DH31</f>
        <v>7147</v>
      </c>
      <c r="DI35" s="531">
        <f t="shared" si="80"/>
        <v>3.5797101449275281</v>
      </c>
      <c r="DL35" s="524">
        <f>DL30+DL31</f>
        <v>7581.3711408987056</v>
      </c>
      <c r="DM35" s="531">
        <f t="shared" si="81"/>
        <v>6.0776709234462878</v>
      </c>
    </row>
    <row r="36" spans="1:121" hidden="1" outlineLevel="3" x14ac:dyDescent="0.2">
      <c r="A36" s="517" t="s">
        <v>282</v>
      </c>
      <c r="D36" s="524">
        <f>D33+D32</f>
        <v>1581.7640000000001</v>
      </c>
      <c r="E36" s="531"/>
      <c r="F36" s="521"/>
      <c r="G36" s="249"/>
      <c r="H36" s="524">
        <f>H33+H32</f>
        <v>1711.365</v>
      </c>
      <c r="I36" s="531">
        <f t="shared" si="54"/>
        <v>8.1934473157816221</v>
      </c>
      <c r="J36" s="521"/>
      <c r="K36" s="249"/>
      <c r="L36" s="524">
        <f>L33+L32</f>
        <v>1853.5309999999999</v>
      </c>
      <c r="M36" s="531">
        <f t="shared" si="55"/>
        <v>8.3071700075670662</v>
      </c>
      <c r="N36" s="521"/>
      <c r="O36" s="249"/>
      <c r="P36" s="524">
        <f>P33+P32</f>
        <v>1920.08</v>
      </c>
      <c r="Q36" s="531">
        <f t="shared" si="56"/>
        <v>3.5903904493639338</v>
      </c>
      <c r="R36" s="521"/>
      <c r="S36" s="249"/>
      <c r="T36" s="524">
        <f>T33+T32</f>
        <v>2100.723</v>
      </c>
      <c r="U36" s="531">
        <f t="shared" si="57"/>
        <v>9.4080975792675261</v>
      </c>
      <c r="V36" s="521"/>
      <c r="W36" s="249"/>
      <c r="X36" s="524">
        <f>X33+X32</f>
        <v>2213.4469999999997</v>
      </c>
      <c r="Y36" s="531">
        <f t="shared" si="58"/>
        <v>5.3659620997151825</v>
      </c>
      <c r="Z36" s="521"/>
      <c r="AA36" s="249"/>
      <c r="AB36" s="524">
        <f>AB33+AB32</f>
        <v>2366.8519999999999</v>
      </c>
      <c r="AC36" s="531">
        <f t="shared" si="59"/>
        <v>6.9305928716612675</v>
      </c>
      <c r="AD36" s="521"/>
      <c r="AE36" s="249"/>
      <c r="AF36" s="524">
        <f>AF33+AF32</f>
        <v>2598.741</v>
      </c>
      <c r="AG36" s="531">
        <f t="shared" si="60"/>
        <v>9.7973595307184524</v>
      </c>
      <c r="AH36" s="521"/>
      <c r="AI36" s="249"/>
      <c r="AJ36" s="524">
        <f>AJ33+AJ32</f>
        <v>2941.2209999999995</v>
      </c>
      <c r="AK36" s="531">
        <f t="shared" si="61"/>
        <v>13.178689219125705</v>
      </c>
      <c r="AL36" s="521"/>
      <c r="AM36" s="249"/>
      <c r="AN36" s="524">
        <f>AN33+AN32</f>
        <v>2726.3330000000005</v>
      </c>
      <c r="AO36" s="531">
        <f t="shared" si="62"/>
        <v>-7.3060813859277873</v>
      </c>
      <c r="AP36" s="521"/>
      <c r="AQ36" s="249"/>
      <c r="AR36" s="524">
        <f>AR33+AR32</f>
        <v>2984.5299999999997</v>
      </c>
      <c r="AS36" s="531">
        <f t="shared" si="63"/>
        <v>9.470486547314616</v>
      </c>
      <c r="AT36" s="521"/>
      <c r="AU36" s="249"/>
      <c r="AV36" s="524">
        <f>AV33+AV32</f>
        <v>2931.6979999999999</v>
      </c>
      <c r="AW36" s="531">
        <f t="shared" si="64"/>
        <v>-1.7701949720726473</v>
      </c>
      <c r="AX36" s="521"/>
      <c r="AY36" s="249"/>
      <c r="AZ36" s="524">
        <f>AZ33+AZ32</f>
        <v>3146.1190000000001</v>
      </c>
      <c r="BA36" s="531">
        <f t="shared" si="65"/>
        <v>7.3138843086839156</v>
      </c>
      <c r="BB36" s="521"/>
      <c r="BC36" s="249"/>
      <c r="BD36" s="524">
        <f>BD33+BD32</f>
        <v>3411.6769999999997</v>
      </c>
      <c r="BE36" s="531">
        <f t="shared" si="66"/>
        <v>8.4408123151094916</v>
      </c>
      <c r="BF36" s="521"/>
      <c r="BG36" s="249"/>
      <c r="BH36" s="524">
        <f>BH33+BH32</f>
        <v>3732.8959999999997</v>
      </c>
      <c r="BI36" s="531">
        <f t="shared" si="67"/>
        <v>9.4152816928448892</v>
      </c>
      <c r="BJ36" s="521"/>
      <c r="BK36" s="249"/>
      <c r="BL36" s="524">
        <f>BL33+BL32</f>
        <v>4070.3519999999999</v>
      </c>
      <c r="BM36" s="531">
        <f t="shared" si="68"/>
        <v>9.0400589783374627</v>
      </c>
      <c r="BN36" s="521"/>
      <c r="BO36" s="249"/>
      <c r="BP36" s="524">
        <f>BP33+BP32</f>
        <v>4626.8429999999998</v>
      </c>
      <c r="BQ36" s="531">
        <f t="shared" si="69"/>
        <v>13.671815115744291</v>
      </c>
      <c r="BR36" s="521"/>
      <c r="BS36" s="249"/>
      <c r="BT36" s="524">
        <f>BT33+BT32</f>
        <v>4629.223</v>
      </c>
      <c r="BU36" s="531">
        <f t="shared" si="70"/>
        <v>5.1438961728345056E-2</v>
      </c>
      <c r="BV36" s="521"/>
      <c r="BW36" s="249"/>
      <c r="BX36" s="524">
        <f>BX33+BX32</f>
        <v>4289</v>
      </c>
      <c r="BY36" s="531">
        <f t="shared" si="71"/>
        <v>-7.349462317974309</v>
      </c>
      <c r="BZ36" s="521"/>
      <c r="CA36" s="249"/>
      <c r="CB36" s="524">
        <f>CB33+CB32</f>
        <v>4603</v>
      </c>
      <c r="CC36" s="531">
        <f t="shared" si="72"/>
        <v>7.3210538587083152</v>
      </c>
      <c r="CD36" s="521"/>
      <c r="CE36" s="249"/>
      <c r="CF36" s="524">
        <f>CF33+CF32</f>
        <v>5098</v>
      </c>
      <c r="CG36" s="531">
        <f t="shared" si="73"/>
        <v>10.753856180751686</v>
      </c>
      <c r="CH36" s="521"/>
      <c r="CI36" s="249"/>
      <c r="CJ36" s="524">
        <f>CJ33+CJ32</f>
        <v>5744</v>
      </c>
      <c r="CK36" s="531">
        <f t="shared" si="74"/>
        <v>12.671635935661051</v>
      </c>
      <c r="CL36" s="521"/>
      <c r="CM36" s="249"/>
      <c r="CN36" s="524">
        <f>CN33+CN32</f>
        <v>6503</v>
      </c>
      <c r="CO36" s="531">
        <f t="shared" si="75"/>
        <v>13.21378830083566</v>
      </c>
      <c r="CQ36" s="249"/>
      <c r="CR36" s="524">
        <f>CR33+CR32</f>
        <v>6595</v>
      </c>
      <c r="CS36" s="531">
        <f t="shared" si="76"/>
        <v>1.4147316623096984</v>
      </c>
      <c r="CU36" s="249"/>
      <c r="CV36" s="524">
        <f>CV33+CV32</f>
        <v>7183</v>
      </c>
      <c r="CW36" s="531">
        <f t="shared" si="77"/>
        <v>8.9158453373767941</v>
      </c>
      <c r="CY36" s="249"/>
      <c r="CZ36" s="524">
        <f>CZ33+CZ32</f>
        <v>7521</v>
      </c>
      <c r="DA36" s="531">
        <f t="shared" si="78"/>
        <v>4.7055547821244659</v>
      </c>
      <c r="DD36" s="524">
        <f>DD33+DD32</f>
        <v>7858</v>
      </c>
      <c r="DE36" s="531">
        <f t="shared" si="79"/>
        <v>4.4807871293710999</v>
      </c>
      <c r="DH36" s="524">
        <f>DH33+DH32</f>
        <v>8331</v>
      </c>
      <c r="DI36" s="531">
        <f t="shared" si="80"/>
        <v>6.0193433443624267</v>
      </c>
      <c r="DL36" s="524">
        <f>DL33+DL32</f>
        <v>8117.7673169398913</v>
      </c>
      <c r="DM36" s="531">
        <f t="shared" si="81"/>
        <v>-2.5595088592018755</v>
      </c>
    </row>
    <row r="37" spans="1:121" outlineLevel="2" collapsed="1" x14ac:dyDescent="0.2">
      <c r="D37" s="361"/>
      <c r="E37" s="249"/>
      <c r="H37" s="361"/>
      <c r="I37" s="249"/>
      <c r="L37" s="361"/>
      <c r="M37" s="249"/>
      <c r="P37" s="361"/>
      <c r="Q37" s="249"/>
      <c r="T37" s="361"/>
      <c r="U37" s="249"/>
      <c r="X37" s="361"/>
      <c r="Y37" s="249"/>
      <c r="AB37" s="361"/>
      <c r="AC37" s="249"/>
      <c r="AF37" s="361"/>
      <c r="AG37" s="249"/>
      <c r="AJ37" s="361"/>
      <c r="AK37" s="249"/>
      <c r="AN37" s="361"/>
      <c r="AO37" s="249"/>
      <c r="AR37" s="361"/>
      <c r="AS37" s="249"/>
      <c r="AV37" s="361"/>
      <c r="AW37" s="249"/>
      <c r="AZ37" s="361"/>
      <c r="BA37" s="249"/>
      <c r="BD37" s="361"/>
      <c r="BE37" s="249"/>
      <c r="BH37" s="361"/>
      <c r="BI37" s="249"/>
      <c r="BL37" s="361"/>
      <c r="BM37" s="249"/>
      <c r="BP37" s="362"/>
      <c r="BT37" s="362"/>
      <c r="BX37" s="362"/>
      <c r="CB37" s="362"/>
      <c r="CF37" s="362"/>
      <c r="CJ37" s="362"/>
      <c r="CP37" s="249"/>
      <c r="CT37" s="249"/>
      <c r="CX37" s="249"/>
      <c r="CZ37" s="254"/>
      <c r="DB37" s="249"/>
      <c r="DD37" s="254"/>
      <c r="DF37" s="249"/>
      <c r="DH37" s="254"/>
      <c r="DJ37" s="249"/>
      <c r="DL37" s="254"/>
      <c r="DN37" s="249"/>
      <c r="DO37" s="249"/>
    </row>
    <row r="38" spans="1:121" s="516" customFormat="1" ht="12.75" customHeight="1" outlineLevel="2" x14ac:dyDescent="0.2">
      <c r="A38" s="515" t="s">
        <v>251</v>
      </c>
      <c r="CG38" s="1397" t="str">
        <f>A38</f>
        <v>4. Cost of Goods Sold (% Gross Margin / bps Change)</v>
      </c>
      <c r="CH38" s="1397"/>
      <c r="CI38" s="1397"/>
      <c r="CJ38" s="1397"/>
      <c r="CK38" s="1397"/>
      <c r="CL38" s="1397"/>
      <c r="CM38" s="1397"/>
      <c r="CN38" s="1397"/>
      <c r="CO38" s="1397"/>
      <c r="CP38" s="1397"/>
      <c r="CQ38" s="1397"/>
      <c r="CR38" s="1397"/>
      <c r="CS38" s="1397"/>
      <c r="CT38" s="1397"/>
      <c r="CU38" s="1397"/>
      <c r="CV38" s="1397"/>
      <c r="CW38" s="1397"/>
      <c r="CX38" s="1397"/>
      <c r="CY38" s="1397"/>
      <c r="CZ38" s="1397"/>
      <c r="DA38" s="1397"/>
      <c r="DB38" s="1397"/>
      <c r="DC38" s="1397"/>
      <c r="DD38" s="1397"/>
      <c r="DE38" s="1397"/>
    </row>
    <row r="39" spans="1:121" ht="12" customHeight="1" outlineLevel="2" x14ac:dyDescent="0.2">
      <c r="D39" s="362"/>
      <c r="H39" s="362"/>
      <c r="L39" s="362"/>
      <c r="P39" s="362"/>
      <c r="T39" s="362"/>
      <c r="X39" s="362"/>
      <c r="AB39" s="362"/>
      <c r="AF39" s="362"/>
      <c r="AJ39" s="362"/>
      <c r="AN39" s="362"/>
      <c r="AR39" s="362"/>
      <c r="AV39" s="362"/>
      <c r="AZ39" s="362"/>
      <c r="BD39" s="362"/>
      <c r="BH39" s="362"/>
      <c r="BL39" s="362"/>
      <c r="BP39" s="362"/>
      <c r="BT39" s="362"/>
      <c r="BX39" s="362"/>
      <c r="CB39" s="362"/>
      <c r="CF39" s="362"/>
      <c r="CJ39" s="362"/>
      <c r="CP39" s="249"/>
      <c r="CT39" s="249"/>
      <c r="CV39" s="256"/>
      <c r="CX39" s="249"/>
      <c r="CZ39" s="256"/>
      <c r="DB39" s="249"/>
      <c r="DD39" s="256"/>
      <c r="DF39" s="249"/>
      <c r="DH39" s="256"/>
      <c r="DJ39" s="249"/>
      <c r="DL39" s="256"/>
      <c r="DN39" s="249"/>
      <c r="DO39" s="249"/>
    </row>
    <row r="40" spans="1:121" outlineLevel="2" x14ac:dyDescent="0.2">
      <c r="A40" s="517" t="s">
        <v>78</v>
      </c>
      <c r="D40" s="530">
        <v>380</v>
      </c>
      <c r="E40" s="531">
        <f>(1-D40/D10)*100</f>
        <v>31.531531531531531</v>
      </c>
      <c r="F40" s="538"/>
      <c r="H40" s="530">
        <v>410.32299999999998</v>
      </c>
      <c r="I40" s="531">
        <f>(1-H40/H10)*100</f>
        <v>32.800362919933249</v>
      </c>
      <c r="J40" s="539">
        <f t="shared" ref="J40:J46" si="82">(I40-E40)*100</f>
        <v>126.88313884017184</v>
      </c>
      <c r="L40" s="530">
        <v>451.88900000000001</v>
      </c>
      <c r="M40" s="531">
        <f>(1-L40/L10)*100</f>
        <v>31.924845851743488</v>
      </c>
      <c r="N40" s="539">
        <f t="shared" ref="N40:N46" si="83">(M40-I40)*100</f>
        <v>-87.551706818976172</v>
      </c>
      <c r="P40" s="530">
        <v>482.58800000000002</v>
      </c>
      <c r="Q40" s="531">
        <f>(1-P40/P10)*100</f>
        <v>30.618682239752481</v>
      </c>
      <c r="R40" s="539">
        <f t="shared" ref="R40:R46" si="84">(Q40-M40)*100</f>
        <v>-130.61636119910071</v>
      </c>
      <c r="T40" s="530">
        <v>510.13499999999999</v>
      </c>
      <c r="U40" s="531">
        <f>(1-T40/T10)*100</f>
        <v>33.058596282192262</v>
      </c>
      <c r="V40" s="539">
        <f t="shared" ref="V40:V46" si="85">(U40-Q40)*100</f>
        <v>243.99140424397814</v>
      </c>
      <c r="X40" s="530">
        <v>553.75300000000004</v>
      </c>
      <c r="Y40" s="531">
        <f>(1-X40/X10)*100</f>
        <v>32.104664307661366</v>
      </c>
      <c r="Z40" s="539">
        <f t="shared" ref="Z40:Z46" si="86">(Y40-U40)*100</f>
        <v>-95.393197453089584</v>
      </c>
      <c r="AB40" s="530">
        <v>617.11199999999997</v>
      </c>
      <c r="AC40" s="531">
        <f>(1-AB40/AB10)*100</f>
        <v>31.883235720703517</v>
      </c>
      <c r="AD40" s="539">
        <f t="shared" ref="AD40:AD46" si="87">(AC40-Y40)*100</f>
        <v>-22.142858695784895</v>
      </c>
      <c r="AF40" s="530">
        <v>646.51199999999994</v>
      </c>
      <c r="AG40" s="531">
        <f>(1-AF40/AF10)*100</f>
        <v>32.213469609865101</v>
      </c>
      <c r="AH40" s="539">
        <f t="shared" ref="AH40:AH46" si="88">(AG40-AC40)*100</f>
        <v>33.023388916158325</v>
      </c>
      <c r="AJ40" s="530">
        <v>698.3</v>
      </c>
      <c r="AK40" s="531">
        <f>(1-AJ40/AJ10)*100</f>
        <v>32.869647140254656</v>
      </c>
      <c r="AL40" s="539">
        <f t="shared" ref="AL40:AL46" si="89">(AK40-AG40)*100</f>
        <v>65.617753038955584</v>
      </c>
      <c r="AN40" s="530">
        <v>688.19600000000003</v>
      </c>
      <c r="AO40" s="531">
        <f>(1-AN40/AN10)*100</f>
        <v>33.770311951150269</v>
      </c>
      <c r="AP40" s="539">
        <f t="shared" ref="AP40:AP46" si="90">(AO40-AK40)*100</f>
        <v>90.066481089561279</v>
      </c>
      <c r="AR40" s="530">
        <v>745.65499999999997</v>
      </c>
      <c r="AS40" s="531">
        <f>(1-AR40/AR10)*100</f>
        <v>35.350280090551486</v>
      </c>
      <c r="AT40" s="539">
        <f t="shared" ref="AT40:AT46" si="91">(AS40-AO40)*100</f>
        <v>157.99681394012168</v>
      </c>
      <c r="AV40" s="530">
        <v>798.43</v>
      </c>
      <c r="AW40" s="531">
        <f>(1-AV40/AV10)*100</f>
        <v>34.449607566253981</v>
      </c>
      <c r="AX40" s="539">
        <f t="shared" ref="AX40:AX46" si="92">(AW40-AS40)*100</f>
        <v>-90.067252429750511</v>
      </c>
      <c r="AZ40" s="530">
        <v>823.08799999999997</v>
      </c>
      <c r="BA40" s="531">
        <f>(1-AZ40/AZ10)*100</f>
        <v>33.92889968461045</v>
      </c>
      <c r="BB40" s="539">
        <f t="shared" ref="BB40:BB46" si="93">(BA40-AW40)*100</f>
        <v>-52.070788164353132</v>
      </c>
      <c r="BD40" s="530">
        <v>886.09500000000003</v>
      </c>
      <c r="BE40" s="531">
        <f>(1-BD40/BD10)*100</f>
        <v>33.649301520361341</v>
      </c>
      <c r="BF40" s="539">
        <f t="shared" ref="BF40:BF46" si="94">(BE40-BA40)*100</f>
        <v>-27.959816424910855</v>
      </c>
      <c r="BH40" s="530">
        <v>972.93200000000002</v>
      </c>
      <c r="BI40" s="531">
        <f>(1-BH40/BH10)*100</f>
        <v>36.637034432005422</v>
      </c>
      <c r="BJ40" s="539">
        <f t="shared" ref="BJ40:BJ46" si="95">(BI40-BE40)*100</f>
        <v>298.77329116440808</v>
      </c>
      <c r="BL40" s="530">
        <v>1046.165</v>
      </c>
      <c r="BM40" s="531">
        <f>(1-BL40/BL10)*100</f>
        <v>36.76751644329255</v>
      </c>
      <c r="BN40" s="539">
        <f t="shared" ref="BN40:BN46" si="96">(BM40-BI40)*100</f>
        <v>13.048201128712833</v>
      </c>
      <c r="BP40" s="530">
        <v>1123.0029999999999</v>
      </c>
      <c r="BQ40" s="531">
        <f>(1-BP40/BP10)*100</f>
        <v>37.164920102303967</v>
      </c>
      <c r="BR40" s="539">
        <f t="shared" ref="BR40:BR46" si="97">(BQ40-BM40)*100</f>
        <v>39.740365901141672</v>
      </c>
      <c r="BT40" s="530">
        <v>1214.752</v>
      </c>
      <c r="BU40" s="531">
        <f>(1-BT40/BT10)*100</f>
        <v>37.828475969766707</v>
      </c>
      <c r="BV40" s="539">
        <f t="shared" ref="BV40:BV46" si="98">(BU40-BQ40)*100</f>
        <v>66.355586746274042</v>
      </c>
      <c r="BX40" s="530">
        <v>1179</v>
      </c>
      <c r="BY40" s="531">
        <f>(1-BX40/BX10)*100</f>
        <v>37.253858435337946</v>
      </c>
      <c r="BZ40" s="539">
        <f t="shared" ref="BZ40:BZ46" si="99">(BY40-BU40)*100</f>
        <v>-57.461753442876073</v>
      </c>
      <c r="CB40" s="530">
        <v>1107</v>
      </c>
      <c r="CC40" s="531">
        <f t="shared" ref="CC40:CC46" si="100">(1-CB40/CB10)*100</f>
        <v>35.111371629542788</v>
      </c>
      <c r="CD40" s="539">
        <f t="shared" ref="CD40:CD46" si="101">(CC40-BY40)*100</f>
        <v>-214.24868057951585</v>
      </c>
      <c r="CF40" s="1164">
        <v>1243</v>
      </c>
      <c r="CG40" s="531">
        <f>(1-CF40/CF10)*100</f>
        <v>37.537688442211056</v>
      </c>
      <c r="CH40" s="539">
        <f t="shared" ref="CH40:CH46" si="102">(CG40-CC40)*100</f>
        <v>242.63168126682686</v>
      </c>
      <c r="CJ40" s="1164">
        <v>1385</v>
      </c>
      <c r="CK40" s="531">
        <f>(1-CJ40/CJ10)*100</f>
        <v>37.864513234634366</v>
      </c>
      <c r="CL40" s="539">
        <f t="shared" ref="CL40:CL46" si="103">(CK40-CG40)*100</f>
        <v>32.682479242330942</v>
      </c>
      <c r="CN40" s="1164">
        <v>1584</v>
      </c>
      <c r="CO40" s="531">
        <f t="shared" ref="CO40:CO46" si="104">(1-CN40/CN10)*100</f>
        <v>37.514792899408292</v>
      </c>
      <c r="CP40" s="538">
        <f t="shared" ref="CP40:CP46" si="105">(CO40-CK40)*100</f>
        <v>-34.972033522607404</v>
      </c>
      <c r="CR40" s="1164">
        <v>1673</v>
      </c>
      <c r="CS40" s="531">
        <f t="shared" ref="CS40:CS46" si="106">(1-CR40/CR10)*100</f>
        <v>37.034249153180276</v>
      </c>
      <c r="CT40" s="538">
        <f>(CS40-CO40)*100</f>
        <v>-48.054374622801532</v>
      </c>
      <c r="CU40" s="256">
        <f>CR10-CR40</f>
        <v>984</v>
      </c>
      <c r="CV40" s="1164">
        <v>1822</v>
      </c>
      <c r="CW40" s="531">
        <f t="shared" ref="CW40:CW46" si="107">(1-CV40/CV10)*100</f>
        <v>35.777229467747617</v>
      </c>
      <c r="CX40" s="538">
        <f>(CW40-CS40)*100</f>
        <v>-125.70196854326596</v>
      </c>
      <c r="CY40" s="256"/>
      <c r="CZ40" s="1164">
        <v>1999</v>
      </c>
      <c r="DA40" s="531">
        <f t="shared" ref="DA40:DA46" si="108">(1-CZ40/CZ10)*100</f>
        <v>35.826645264847514</v>
      </c>
      <c r="DB40" s="538">
        <f t="shared" ref="DB40:DB46" si="109">(DA40-CW40)*100</f>
        <v>4.9415797099896963</v>
      </c>
      <c r="DD40" s="1164">
        <v>2100</v>
      </c>
      <c r="DE40" s="531">
        <f t="shared" ref="DE40:DE46" si="110">(1-DD40/DD10)*100</f>
        <v>34.210526315789465</v>
      </c>
      <c r="DF40" s="538">
        <f t="shared" ref="DF40:DF46" si="111">(DE40-DA40)*100</f>
        <v>-161.61189490580483</v>
      </c>
      <c r="DH40" s="1164">
        <v>2155</v>
      </c>
      <c r="DI40" s="531">
        <f t="shared" ref="DI40:DI46" si="112">(1-DH40/DH10)*100</f>
        <v>34.278743519365662</v>
      </c>
      <c r="DJ40" s="538">
        <f t="shared" ref="DJ40:DJ46" si="113">(DI40-DE40)*100</f>
        <v>6.8217203576196539</v>
      </c>
      <c r="DL40" s="1171">
        <f>(1-DM40%)*DL10</f>
        <v>2243.562214423077</v>
      </c>
      <c r="DM40" s="1173">
        <v>34.25</v>
      </c>
      <c r="DN40" s="538">
        <f t="shared" ref="DN40:DN46" si="114">(DM40-DI40)*100</f>
        <v>-2.8743519365661996</v>
      </c>
      <c r="DO40" s="538"/>
      <c r="DP40" s="856">
        <f t="shared" ref="DP40:DP46" si="115">DF40+DB40</f>
        <v>-156.67031519581514</v>
      </c>
    </row>
    <row r="41" spans="1:121" outlineLevel="2" x14ac:dyDescent="0.2">
      <c r="A41" s="517" t="s">
        <v>79</v>
      </c>
      <c r="D41" s="533">
        <v>552.6</v>
      </c>
      <c r="E41" s="531">
        <f t="shared" ref="E41:E46" si="116">(1-D41/D11)*100</f>
        <v>31.011235955056183</v>
      </c>
      <c r="F41" s="538"/>
      <c r="H41" s="533">
        <v>610.13099999999997</v>
      </c>
      <c r="I41" s="531">
        <f t="shared" ref="I41:I46" si="117">(1-H41/H11)*100</f>
        <v>32.51390357533149</v>
      </c>
      <c r="J41" s="539">
        <f t="shared" si="82"/>
        <v>150.26676202753072</v>
      </c>
      <c r="L41" s="533">
        <v>652.01800000000003</v>
      </c>
      <c r="M41" s="531">
        <f t="shared" ref="M41:M46" si="118">(1-L41/L11)*100</f>
        <v>31.483077207613153</v>
      </c>
      <c r="N41" s="539">
        <f t="shared" si="83"/>
        <v>-103.08263677183369</v>
      </c>
      <c r="P41" s="533">
        <v>711.01700000000005</v>
      </c>
      <c r="Q41" s="531">
        <f t="shared" ref="Q41:Q46" si="119">(1-P41/P11)*100</f>
        <v>30.126810419209448</v>
      </c>
      <c r="R41" s="539">
        <f t="shared" si="84"/>
        <v>-135.62667884037046</v>
      </c>
      <c r="T41" s="533">
        <v>723.66</v>
      </c>
      <c r="U41" s="531">
        <f t="shared" ref="U41:U46" si="120">(1-T41/T11)*100</f>
        <v>32.963471085251427</v>
      </c>
      <c r="V41" s="539">
        <f t="shared" si="85"/>
        <v>283.66606660419791</v>
      </c>
      <c r="X41" s="533">
        <v>779.78399999999999</v>
      </c>
      <c r="Y41" s="531">
        <f t="shared" ref="Y41:Y46" si="121">(1-X41/X11)*100</f>
        <v>32.147795193166964</v>
      </c>
      <c r="Z41" s="539">
        <f t="shared" si="86"/>
        <v>-81.567589208446378</v>
      </c>
      <c r="AB41" s="533">
        <v>861.88800000000003</v>
      </c>
      <c r="AC41" s="531">
        <f t="shared" ref="AC41:AC46" si="122">(1-AB41/AB11)*100</f>
        <v>30.574869670002503</v>
      </c>
      <c r="AD41" s="539">
        <f t="shared" si="87"/>
        <v>-157.29255231644606</v>
      </c>
      <c r="AF41" s="533">
        <v>924.35400000000004</v>
      </c>
      <c r="AG41" s="531">
        <f t="shared" ref="AG41:AG46" si="123">(1-AF41/AF11)*100</f>
        <v>31.69856910100528</v>
      </c>
      <c r="AH41" s="539">
        <f t="shared" si="88"/>
        <v>112.36994310027768</v>
      </c>
      <c r="AJ41" s="533">
        <v>971.24300000000005</v>
      </c>
      <c r="AK41" s="531">
        <f t="shared" ref="AK41:AK46" si="124">(1-AJ41/AJ11)*100</f>
        <v>32.892023956597328</v>
      </c>
      <c r="AL41" s="539">
        <f t="shared" si="89"/>
        <v>119.34548555920479</v>
      </c>
      <c r="AN41" s="533">
        <v>943.34799999999996</v>
      </c>
      <c r="AO41" s="531">
        <f t="shared" ref="AO41:AO46" si="125">(1-AN41/AN11)*100</f>
        <v>34.643808520883056</v>
      </c>
      <c r="AP41" s="539">
        <f t="shared" si="90"/>
        <v>175.17845642857282</v>
      </c>
      <c r="AR41" s="533">
        <v>954.31299999999999</v>
      </c>
      <c r="AS41" s="531">
        <f t="shared" ref="AS41:AS46" si="126">(1-AR41/AR11)*100</f>
        <v>34.503083316461172</v>
      </c>
      <c r="AT41" s="539">
        <f t="shared" si="91"/>
        <v>-14.072520442188363</v>
      </c>
      <c r="AV41" s="533">
        <v>1040.9079999999999</v>
      </c>
      <c r="AW41" s="531">
        <f t="shared" ref="AW41:AW46" si="127">(1-AV41/AV11)*100</f>
        <v>32.660395313887882</v>
      </c>
      <c r="AX41" s="539">
        <f t="shared" si="92"/>
        <v>-184.26880025732899</v>
      </c>
      <c r="AZ41" s="533">
        <v>1104.0350000000001</v>
      </c>
      <c r="BA41" s="531">
        <f t="shared" ref="BA41:BA46" si="128">(1-AZ41/AZ11)*100</f>
        <v>33.312212176417432</v>
      </c>
      <c r="BB41" s="539">
        <f t="shared" si="93"/>
        <v>65.181686252955018</v>
      </c>
      <c r="BD41" s="533">
        <v>1194.4000000000001</v>
      </c>
      <c r="BE41" s="531">
        <f t="shared" ref="BE41:BE46" si="129">(1-BD41/BD11)*100</f>
        <v>33.079336620349608</v>
      </c>
      <c r="BF41" s="539">
        <f t="shared" si="94"/>
        <v>-23.287555606782462</v>
      </c>
      <c r="BH41" s="533">
        <v>1270.8920000000001</v>
      </c>
      <c r="BI41" s="531">
        <f t="shared" ref="BI41:BI46" si="130">(1-BH41/BH11)*100</f>
        <v>34.94215451399554</v>
      </c>
      <c r="BJ41" s="539">
        <f t="shared" si="95"/>
        <v>186.28178936459321</v>
      </c>
      <c r="BL41" s="533">
        <v>1347.5150000000001</v>
      </c>
      <c r="BM41" s="531">
        <f t="shared" ref="BM41:BM46" si="131">(1-BL41/BL11)*100</f>
        <v>36.028736663504937</v>
      </c>
      <c r="BN41" s="539">
        <f t="shared" si="96"/>
        <v>108.65821495093968</v>
      </c>
      <c r="BP41" s="533">
        <v>1446.633</v>
      </c>
      <c r="BQ41" s="531">
        <f t="shared" ref="BQ41:BQ46" si="132">(1-BP41/BP11)*100</f>
        <v>36.284810003928705</v>
      </c>
      <c r="BR41" s="539">
        <f t="shared" si="97"/>
        <v>25.607334042376806</v>
      </c>
      <c r="BT41" s="533">
        <v>1513.92</v>
      </c>
      <c r="BU41" s="531">
        <f t="shared" ref="BU41:BU46" si="133">(1-BT41/BT11)*100</f>
        <v>36.642759274123684</v>
      </c>
      <c r="BV41" s="539">
        <f t="shared" si="98"/>
        <v>35.794927019497891</v>
      </c>
      <c r="BX41" s="533">
        <v>1488</v>
      </c>
      <c r="BY41" s="531">
        <f t="shared" ref="BY41:BY46" si="134">(1-BX41/BX11)*100</f>
        <v>34.93659816353302</v>
      </c>
      <c r="BZ41" s="539">
        <f t="shared" si="99"/>
        <v>-170.61611105906636</v>
      </c>
      <c r="CB41" s="533">
        <v>1418</v>
      </c>
      <c r="CC41" s="531">
        <f t="shared" si="100"/>
        <v>33.892773892773896</v>
      </c>
      <c r="CD41" s="539">
        <f t="shared" si="101"/>
        <v>-104.38242707591243</v>
      </c>
      <c r="CF41" s="1165">
        <v>1565</v>
      </c>
      <c r="CG41" s="531">
        <f t="shared" ref="CG41:CG46" si="135">(1-CF41/CF11)*100</f>
        <v>35.250310302027309</v>
      </c>
      <c r="CH41" s="539">
        <f t="shared" si="102"/>
        <v>135.7536409253413</v>
      </c>
      <c r="CJ41" s="1165">
        <v>1723</v>
      </c>
      <c r="CK41" s="531">
        <f t="shared" ref="CK41:CK46" si="136">(1-CJ41/CJ11)*100</f>
        <v>36.561119293078058</v>
      </c>
      <c r="CL41" s="539">
        <f t="shared" si="103"/>
        <v>131.08089910507488</v>
      </c>
      <c r="CN41" s="1165">
        <v>1879</v>
      </c>
      <c r="CO41" s="531">
        <f t="shared" si="104"/>
        <v>35.606579849211784</v>
      </c>
      <c r="CP41" s="538">
        <f t="shared" si="105"/>
        <v>-95.453944386627398</v>
      </c>
      <c r="CR41" s="1165">
        <v>2004</v>
      </c>
      <c r="CS41" s="531">
        <f t="shared" si="106"/>
        <v>35.4381443298969</v>
      </c>
      <c r="CT41" s="538">
        <f t="shared" ref="CT41:CT46" si="137">(CS41-CO41)*100</f>
        <v>-16.843551931488321</v>
      </c>
      <c r="CV41" s="1165">
        <v>2130</v>
      </c>
      <c r="CW41" s="531">
        <f t="shared" si="107"/>
        <v>35.376213592233007</v>
      </c>
      <c r="CX41" s="538">
        <f t="shared" ref="CX41:CX46" si="138">(CW41-CS41)*100</f>
        <v>-6.1930737663892899</v>
      </c>
      <c r="CZ41" s="1165">
        <v>2327</v>
      </c>
      <c r="DA41" s="531">
        <f t="shared" si="108"/>
        <v>35.325180655919951</v>
      </c>
      <c r="DB41" s="538">
        <f t="shared" si="109"/>
        <v>-5.1032936313056609</v>
      </c>
      <c r="DD41" s="1165">
        <v>2358</v>
      </c>
      <c r="DE41" s="531">
        <f t="shared" si="110"/>
        <v>34.354120267260576</v>
      </c>
      <c r="DF41" s="538">
        <f t="shared" si="111"/>
        <v>-97.10603886593745</v>
      </c>
      <c r="DH41" s="1165">
        <v>2451</v>
      </c>
      <c r="DI41" s="531">
        <f t="shared" si="112"/>
        <v>34.059725585149316</v>
      </c>
      <c r="DJ41" s="538">
        <f t="shared" si="113"/>
        <v>-29.439468211126041</v>
      </c>
      <c r="DL41" s="1171">
        <f>(1-DM41%)*DL11</f>
        <v>2637.9830745445543</v>
      </c>
      <c r="DM41" s="1173">
        <v>34.1</v>
      </c>
      <c r="DN41" s="538">
        <f t="shared" si="114"/>
        <v>4.0274414850685503</v>
      </c>
      <c r="DO41" s="538"/>
      <c r="DP41" s="856">
        <f t="shared" si="115"/>
        <v>-102.20933249724311</v>
      </c>
      <c r="DQ41" s="239">
        <v>-40</v>
      </c>
    </row>
    <row r="42" spans="1:121" outlineLevel="2" x14ac:dyDescent="0.2">
      <c r="A42" s="517" t="s">
        <v>80</v>
      </c>
      <c r="D42" s="533">
        <v>433.1</v>
      </c>
      <c r="E42" s="531">
        <f t="shared" si="116"/>
        <v>31.784532997322412</v>
      </c>
      <c r="F42" s="538"/>
      <c r="H42" s="533">
        <v>463.726</v>
      </c>
      <c r="I42" s="531">
        <f t="shared" si="117"/>
        <v>32.507419110230728</v>
      </c>
      <c r="J42" s="539">
        <f t="shared" si="82"/>
        <v>72.288611290831639</v>
      </c>
      <c r="L42" s="533">
        <v>498.19799999999998</v>
      </c>
      <c r="M42" s="531">
        <f t="shared" si="118"/>
        <v>32.429496230169228</v>
      </c>
      <c r="N42" s="539">
        <f t="shared" si="83"/>
        <v>-7.7922880061500166</v>
      </c>
      <c r="P42" s="533">
        <v>524.31600000000003</v>
      </c>
      <c r="Q42" s="531">
        <f t="shared" si="119"/>
        <v>31.851520653831113</v>
      </c>
      <c r="R42" s="539">
        <f t="shared" si="84"/>
        <v>-57.797557633811536</v>
      </c>
      <c r="T42" s="533">
        <v>569.31200000000001</v>
      </c>
      <c r="U42" s="531">
        <f t="shared" si="120"/>
        <v>33.952072466727302</v>
      </c>
      <c r="V42" s="539">
        <f t="shared" si="85"/>
        <v>210.05518128961887</v>
      </c>
      <c r="X42" s="533">
        <v>612.28399999999999</v>
      </c>
      <c r="Y42" s="531">
        <f t="shared" si="121"/>
        <v>32.482180034581319</v>
      </c>
      <c r="Z42" s="539">
        <f t="shared" si="86"/>
        <v>-146.98924321459828</v>
      </c>
      <c r="AB42" s="533">
        <v>665.37800000000004</v>
      </c>
      <c r="AC42" s="531">
        <f t="shared" si="122"/>
        <v>32.410507496647845</v>
      </c>
      <c r="AD42" s="539">
        <f t="shared" si="87"/>
        <v>-7.1672537933473279</v>
      </c>
      <c r="AF42" s="533">
        <v>724.08100000000002</v>
      </c>
      <c r="AG42" s="531">
        <f t="shared" si="123"/>
        <v>33.557383848542464</v>
      </c>
      <c r="AH42" s="539">
        <f t="shared" si="88"/>
        <v>114.6876351894619</v>
      </c>
      <c r="AJ42" s="533">
        <v>717.1</v>
      </c>
      <c r="AK42" s="531">
        <f t="shared" si="124"/>
        <v>50.40946251906928</v>
      </c>
      <c r="AL42" s="539">
        <f t="shared" si="89"/>
        <v>1685.2078670526814</v>
      </c>
      <c r="AN42" s="533">
        <v>717.84400000000005</v>
      </c>
      <c r="AO42" s="531">
        <f t="shared" si="125"/>
        <v>35.336010535854875</v>
      </c>
      <c r="AP42" s="539">
        <f t="shared" si="90"/>
        <v>-1507.3451983214404</v>
      </c>
      <c r="AR42" s="533">
        <v>823.86800000000005</v>
      </c>
      <c r="AS42" s="531">
        <f t="shared" si="126"/>
        <v>34.737442470235024</v>
      </c>
      <c r="AT42" s="539">
        <f t="shared" si="91"/>
        <v>-59.85680656198511</v>
      </c>
      <c r="AV42" s="533">
        <v>836.96100000000001</v>
      </c>
      <c r="AW42" s="531">
        <f t="shared" si="127"/>
        <v>32.461805250149077</v>
      </c>
      <c r="AX42" s="539">
        <f t="shared" si="92"/>
        <v>-227.56372200859474</v>
      </c>
      <c r="AZ42" s="533">
        <v>872.154</v>
      </c>
      <c r="BA42" s="531">
        <f t="shared" si="128"/>
        <v>34.087564927777414</v>
      </c>
      <c r="BB42" s="539">
        <f t="shared" si="93"/>
        <v>162.57596776283378</v>
      </c>
      <c r="BD42" s="533">
        <v>911.4</v>
      </c>
      <c r="BE42" s="531">
        <f t="shared" si="129"/>
        <v>35.320417287630399</v>
      </c>
      <c r="BF42" s="539">
        <f t="shared" si="94"/>
        <v>123.28523598529841</v>
      </c>
      <c r="BH42" s="533">
        <v>984.90800000000002</v>
      </c>
      <c r="BI42" s="531">
        <f t="shared" si="130"/>
        <v>36.132027754360927</v>
      </c>
      <c r="BJ42" s="539">
        <f t="shared" si="95"/>
        <v>81.161046673052795</v>
      </c>
      <c r="BL42" s="533">
        <v>1058.452</v>
      </c>
      <c r="BM42" s="531">
        <f t="shared" si="131"/>
        <v>36.467466986794719</v>
      </c>
      <c r="BN42" s="539">
        <f t="shared" si="96"/>
        <v>33.543923243379226</v>
      </c>
      <c r="BP42" s="533">
        <v>1160.123</v>
      </c>
      <c r="BQ42" s="531">
        <f t="shared" si="132"/>
        <v>38.031027138998233</v>
      </c>
      <c r="BR42" s="539">
        <f t="shared" si="97"/>
        <v>156.35601522035145</v>
      </c>
      <c r="BT42" s="533">
        <v>1228.5060000000001</v>
      </c>
      <c r="BU42" s="531">
        <f t="shared" si="133"/>
        <v>37.653341074397439</v>
      </c>
      <c r="BV42" s="539">
        <f t="shared" si="98"/>
        <v>-37.768606460079468</v>
      </c>
      <c r="BX42" s="533">
        <v>1197.4829999999999</v>
      </c>
      <c r="BY42" s="531">
        <f t="shared" si="134"/>
        <v>34.348519736842107</v>
      </c>
      <c r="BZ42" s="539">
        <f t="shared" si="99"/>
        <v>-330.48213375553314</v>
      </c>
      <c r="CB42" s="533">
        <v>1210</v>
      </c>
      <c r="CC42" s="531">
        <f t="shared" si="100"/>
        <v>35.224839400428266</v>
      </c>
      <c r="CD42" s="539">
        <f t="shared" si="101"/>
        <v>87.631966358615898</v>
      </c>
      <c r="CF42" s="1165">
        <v>1331</v>
      </c>
      <c r="CG42" s="531">
        <f t="shared" si="135"/>
        <v>36.224245328222324</v>
      </c>
      <c r="CH42" s="539">
        <f t="shared" si="102"/>
        <v>99.94059277940579</v>
      </c>
      <c r="CJ42" s="1165">
        <v>1511</v>
      </c>
      <c r="CK42" s="531">
        <f t="shared" si="136"/>
        <v>36.592530423835498</v>
      </c>
      <c r="CL42" s="539">
        <f t="shared" si="103"/>
        <v>36.828509561317446</v>
      </c>
      <c r="CN42" s="1165">
        <v>1730</v>
      </c>
      <c r="CO42" s="531">
        <f t="shared" si="104"/>
        <v>36.232952451161069</v>
      </c>
      <c r="CP42" s="538">
        <f>(CO42-CK42)*100</f>
        <v>-35.95779726744297</v>
      </c>
      <c r="CR42" s="1165">
        <v>1791</v>
      </c>
      <c r="CS42" s="531">
        <f t="shared" si="106"/>
        <v>35.829451809387315</v>
      </c>
      <c r="CT42" s="538">
        <f>(CS42-CO42)*100</f>
        <v>-40.350064177375344</v>
      </c>
      <c r="CV42" s="1165">
        <v>1961</v>
      </c>
      <c r="CW42" s="531">
        <f t="shared" si="107"/>
        <v>35.493421052631582</v>
      </c>
      <c r="CX42" s="538">
        <f t="shared" si="138"/>
        <v>-33.60307567557328</v>
      </c>
      <c r="CZ42" s="1165">
        <v>2142</v>
      </c>
      <c r="DA42" s="531">
        <f t="shared" si="108"/>
        <v>33.868477925285575</v>
      </c>
      <c r="DB42" s="538">
        <f>(DA42-CW42)*100</f>
        <v>-162.49431273460075</v>
      </c>
      <c r="DD42" s="1165">
        <v>2261</v>
      </c>
      <c r="DE42" s="531">
        <f t="shared" si="110"/>
        <v>34.879032258064512</v>
      </c>
      <c r="DF42" s="538">
        <f>(DE42-DA42)*100</f>
        <v>101.05543327789377</v>
      </c>
      <c r="DH42" s="1165">
        <v>2315</v>
      </c>
      <c r="DI42" s="531">
        <f t="shared" si="112"/>
        <v>34.622987856537705</v>
      </c>
      <c r="DJ42" s="538">
        <f t="shared" si="113"/>
        <v>-25.604440152680752</v>
      </c>
      <c r="DL42" s="1171">
        <f>(1-DM42%)*DL12</f>
        <v>2325.1356825000003</v>
      </c>
      <c r="DM42" s="1173">
        <v>34.75</v>
      </c>
      <c r="DN42" s="538">
        <f t="shared" si="114"/>
        <v>12.701214346229506</v>
      </c>
      <c r="DO42" s="538"/>
      <c r="DP42" s="856">
        <f t="shared" si="115"/>
        <v>-61.438879456706985</v>
      </c>
    </row>
    <row r="43" spans="1:121" outlineLevel="2" x14ac:dyDescent="0.2">
      <c r="A43" s="517" t="s">
        <v>81</v>
      </c>
      <c r="D43" s="534">
        <v>634.54999999999995</v>
      </c>
      <c r="E43" s="531">
        <f t="shared" si="116"/>
        <v>29.728993448534013</v>
      </c>
      <c r="F43" s="538"/>
      <c r="H43" s="534">
        <v>685.25699999999995</v>
      </c>
      <c r="I43" s="531">
        <f t="shared" si="117"/>
        <v>29.936833882722468</v>
      </c>
      <c r="J43" s="539">
        <f t="shared" si="82"/>
        <v>20.784043418845499</v>
      </c>
      <c r="L43" s="534">
        <v>736.98800000000006</v>
      </c>
      <c r="M43" s="531">
        <f t="shared" si="118"/>
        <v>31.074497803606803</v>
      </c>
      <c r="N43" s="539">
        <f t="shared" si="83"/>
        <v>113.76639208843358</v>
      </c>
      <c r="P43" s="534">
        <v>751.38300000000004</v>
      </c>
      <c r="Q43" s="531">
        <f t="shared" si="119"/>
        <v>32.150377813737094</v>
      </c>
      <c r="R43" s="539">
        <f t="shared" si="84"/>
        <v>107.5880010130291</v>
      </c>
      <c r="T43" s="534">
        <v>796.44600000000003</v>
      </c>
      <c r="U43" s="531">
        <f t="shared" si="120"/>
        <v>33.124983731433886</v>
      </c>
      <c r="V43" s="539">
        <f t="shared" si="85"/>
        <v>97.460591769679183</v>
      </c>
      <c r="X43" s="534">
        <v>860.447</v>
      </c>
      <c r="Y43" s="531">
        <f t="shared" si="121"/>
        <v>30.711425306664108</v>
      </c>
      <c r="Z43" s="539">
        <f t="shared" si="86"/>
        <v>-241.35584247697784</v>
      </c>
      <c r="AB43" s="534">
        <v>937.65899999999999</v>
      </c>
      <c r="AC43" s="531">
        <f t="shared" si="122"/>
        <v>29.029584535841359</v>
      </c>
      <c r="AD43" s="539">
        <f t="shared" si="87"/>
        <v>-168.18407708227488</v>
      </c>
      <c r="AF43" s="534">
        <v>1000.866</v>
      </c>
      <c r="AG43" s="531">
        <f t="shared" si="123"/>
        <v>31.200042894027014</v>
      </c>
      <c r="AH43" s="539">
        <f t="shared" si="88"/>
        <v>217.04583581856554</v>
      </c>
      <c r="AJ43" s="534">
        <v>958.30200000000002</v>
      </c>
      <c r="AK43" s="531">
        <f t="shared" si="124"/>
        <v>33.729310766907183</v>
      </c>
      <c r="AL43" s="539">
        <f t="shared" si="89"/>
        <v>252.9267872880169</v>
      </c>
      <c r="AN43" s="534">
        <v>1010.3720000000003</v>
      </c>
      <c r="AO43" s="531">
        <f t="shared" si="125"/>
        <v>35.082171132354055</v>
      </c>
      <c r="AP43" s="539">
        <f t="shared" si="90"/>
        <v>135.28603654468725</v>
      </c>
      <c r="AR43" s="534">
        <v>1125.68</v>
      </c>
      <c r="AS43" s="531">
        <f t="shared" si="126"/>
        <v>32.013275071191941</v>
      </c>
      <c r="AT43" s="539">
        <f t="shared" si="91"/>
        <v>-306.88960611621144</v>
      </c>
      <c r="AV43" s="534">
        <v>1089.56</v>
      </c>
      <c r="AW43" s="531">
        <f t="shared" si="127"/>
        <v>33.200497826606743</v>
      </c>
      <c r="AX43" s="539">
        <f t="shared" si="92"/>
        <v>118.72227554148012</v>
      </c>
      <c r="AZ43" s="534">
        <v>1168.963</v>
      </c>
      <c r="BA43" s="531">
        <f t="shared" si="128"/>
        <v>33.224474547380133</v>
      </c>
      <c r="BB43" s="539">
        <f t="shared" si="93"/>
        <v>2.3976720773390525</v>
      </c>
      <c r="BD43" s="534">
        <v>1223.5</v>
      </c>
      <c r="BE43" s="531">
        <f t="shared" si="129"/>
        <v>36.249478949562317</v>
      </c>
      <c r="BF43" s="539">
        <f t="shared" si="94"/>
        <v>302.50044021821839</v>
      </c>
      <c r="BH43" s="534">
        <v>1330.6559999999999</v>
      </c>
      <c r="BI43" s="531">
        <f t="shared" si="130"/>
        <v>36.645776427945343</v>
      </c>
      <c r="BJ43" s="539">
        <f t="shared" si="95"/>
        <v>39.62974783830262</v>
      </c>
      <c r="BL43" s="534">
        <v>1435.8910000000001</v>
      </c>
      <c r="BM43" s="531">
        <f t="shared" si="131"/>
        <v>37.45302086509561</v>
      </c>
      <c r="BN43" s="539">
        <f t="shared" si="96"/>
        <v>80.724443715026695</v>
      </c>
      <c r="BP43" s="534">
        <v>1624.19</v>
      </c>
      <c r="BQ43" s="531">
        <f t="shared" si="132"/>
        <v>38.264946193399688</v>
      </c>
      <c r="BR43" s="539">
        <f t="shared" si="97"/>
        <v>81.192532830407771</v>
      </c>
      <c r="BT43" s="534">
        <v>1569</v>
      </c>
      <c r="BU43" s="531">
        <f t="shared" si="133"/>
        <v>37.589498806682577</v>
      </c>
      <c r="BV43" s="539">
        <f t="shared" si="98"/>
        <v>-67.544738671711002</v>
      </c>
      <c r="BX43" s="534">
        <v>1565</v>
      </c>
      <c r="BY43" s="531">
        <f t="shared" si="134"/>
        <v>31.986093003042161</v>
      </c>
      <c r="BZ43" s="539">
        <f t="shared" si="99"/>
        <v>-560.34058036404167</v>
      </c>
      <c r="CB43" s="534">
        <v>1593</v>
      </c>
      <c r="CC43" s="531">
        <f t="shared" si="100"/>
        <v>37.258763292634903</v>
      </c>
      <c r="CD43" s="539">
        <f t="shared" si="101"/>
        <v>527.26702895927428</v>
      </c>
      <c r="CF43" s="1166">
        <v>1758</v>
      </c>
      <c r="CG43" s="531">
        <f t="shared" si="135"/>
        <v>37.571022727272727</v>
      </c>
      <c r="CH43" s="539">
        <f t="shared" si="102"/>
        <v>31.225943463782357</v>
      </c>
      <c r="CJ43" s="1166">
        <v>1973</v>
      </c>
      <c r="CK43" s="531">
        <f t="shared" si="136"/>
        <v>37.74061218049858</v>
      </c>
      <c r="CL43" s="539">
        <f t="shared" si="103"/>
        <v>16.95894532258535</v>
      </c>
      <c r="CN43" s="1166">
        <v>2239</v>
      </c>
      <c r="CO43" s="531">
        <f t="shared" si="104"/>
        <v>37.736373748609566</v>
      </c>
      <c r="CP43" s="538">
        <f>(CO43-CK43)*100</f>
        <v>-0.42384318890142936</v>
      </c>
      <c r="CR43" s="1166">
        <v>2269</v>
      </c>
      <c r="CS43" s="531">
        <f t="shared" si="106"/>
        <v>37.216380741560599</v>
      </c>
      <c r="CT43" s="538">
        <f t="shared" si="137"/>
        <v>-51.999300704896712</v>
      </c>
      <c r="CV43" s="1166">
        <v>2494</v>
      </c>
      <c r="CW43" s="531">
        <f t="shared" si="107"/>
        <v>36.668359573387512</v>
      </c>
      <c r="CX43" s="538">
        <f t="shared" si="138"/>
        <v>-54.802116817308644</v>
      </c>
      <c r="CZ43" s="1166">
        <v>2700</v>
      </c>
      <c r="DA43" s="531">
        <f t="shared" si="108"/>
        <v>34.829833454018825</v>
      </c>
      <c r="DB43" s="538">
        <f t="shared" si="109"/>
        <v>-183.85261193686873</v>
      </c>
      <c r="DD43" s="1166">
        <v>2720</v>
      </c>
      <c r="DE43" s="531">
        <f t="shared" si="110"/>
        <v>35.894414329483858</v>
      </c>
      <c r="DF43" s="538">
        <f t="shared" si="111"/>
        <v>106.45808754650332</v>
      </c>
      <c r="DH43" s="1166">
        <v>2969</v>
      </c>
      <c r="DI43" s="531">
        <f t="shared" si="112"/>
        <v>35.45652173913043</v>
      </c>
      <c r="DJ43" s="538">
        <f t="shared" si="113"/>
        <v>-43.789259035342809</v>
      </c>
      <c r="DL43" s="1172">
        <f>(1-DM43%)*DL13</f>
        <v>2796.2269229508197</v>
      </c>
      <c r="DM43" s="1173">
        <v>35.65</v>
      </c>
      <c r="DN43" s="538">
        <f t="shared" si="114"/>
        <v>19.347826086956843</v>
      </c>
      <c r="DO43" s="538"/>
      <c r="DP43" s="856">
        <f t="shared" si="115"/>
        <v>-77.394524390365405</v>
      </c>
      <c r="DQ43" s="239">
        <v>-40</v>
      </c>
    </row>
    <row r="44" spans="1:121" outlineLevel="2" x14ac:dyDescent="0.2">
      <c r="A44" s="517" t="s">
        <v>82</v>
      </c>
      <c r="D44" s="533">
        <v>2000.25</v>
      </c>
      <c r="E44" s="531">
        <f t="shared" si="116"/>
        <v>30.880568256583494</v>
      </c>
      <c r="F44" s="538"/>
      <c r="H44" s="533">
        <v>2169.4369999999999</v>
      </c>
      <c r="I44" s="531">
        <f t="shared" si="117"/>
        <v>31.774848890817729</v>
      </c>
      <c r="J44" s="539">
        <f t="shared" si="82"/>
        <v>89.428063423423509</v>
      </c>
      <c r="L44" s="533">
        <v>2339.0929999999998</v>
      </c>
      <c r="M44" s="531">
        <f t="shared" si="118"/>
        <v>31.64502178417812</v>
      </c>
      <c r="N44" s="539">
        <f t="shared" si="83"/>
        <v>-12.982710663960972</v>
      </c>
      <c r="P44" s="533">
        <v>2469.3040000000001</v>
      </c>
      <c r="Q44" s="531">
        <f t="shared" si="119"/>
        <v>31.215970860778096</v>
      </c>
      <c r="R44" s="539">
        <f t="shared" si="84"/>
        <v>-42.905092340002327</v>
      </c>
      <c r="T44" s="533">
        <v>2599.5529999999999</v>
      </c>
      <c r="U44" s="531">
        <f t="shared" si="120"/>
        <v>33.250284120233829</v>
      </c>
      <c r="V44" s="539">
        <f t="shared" si="85"/>
        <v>203.43132594557324</v>
      </c>
      <c r="X44" s="533">
        <v>2806.268</v>
      </c>
      <c r="Y44" s="531">
        <f t="shared" si="121"/>
        <v>31.77933427267573</v>
      </c>
      <c r="Z44" s="539">
        <f t="shared" si="86"/>
        <v>-147.09498475580995</v>
      </c>
      <c r="AB44" s="533">
        <v>3082.0370000000003</v>
      </c>
      <c r="AC44" s="531">
        <f t="shared" si="122"/>
        <v>30.788380941387985</v>
      </c>
      <c r="AD44" s="539">
        <f t="shared" si="87"/>
        <v>-99.095333128774499</v>
      </c>
      <c r="AF44" s="533">
        <v>3295.8130000000001</v>
      </c>
      <c r="AG44" s="531">
        <f t="shared" si="123"/>
        <v>32.067839552281875</v>
      </c>
      <c r="AH44" s="539">
        <f t="shared" si="88"/>
        <v>127.94586108938901</v>
      </c>
      <c r="AJ44" s="533">
        <v>3344.9450000000002</v>
      </c>
      <c r="AK44" s="531">
        <f t="shared" si="124"/>
        <v>33.472192112397046</v>
      </c>
      <c r="AL44" s="539">
        <f t="shared" si="89"/>
        <v>140.43525601151714</v>
      </c>
      <c r="AN44" s="533">
        <v>3359.76</v>
      </c>
      <c r="AO44" s="531">
        <f t="shared" si="125"/>
        <v>34.749271703243345</v>
      </c>
      <c r="AP44" s="539">
        <f t="shared" si="90"/>
        <v>127.70795908462986</v>
      </c>
      <c r="AR44" s="533">
        <v>3649.5159999999996</v>
      </c>
      <c r="AS44" s="531">
        <f t="shared" si="126"/>
        <v>33.987671602812831</v>
      </c>
      <c r="AT44" s="539">
        <f t="shared" si="91"/>
        <v>-76.160010043051329</v>
      </c>
      <c r="AV44" s="533">
        <v>3765.8589999999999</v>
      </c>
      <c r="AW44" s="531">
        <f t="shared" si="127"/>
        <v>33.159884489708261</v>
      </c>
      <c r="AX44" s="539">
        <f t="shared" si="92"/>
        <v>-82.778711310456998</v>
      </c>
      <c r="AZ44" s="533">
        <v>3970.0219999999999</v>
      </c>
      <c r="BA44" s="531">
        <f t="shared" si="128"/>
        <v>33.216959904828812</v>
      </c>
      <c r="BB44" s="539">
        <f t="shared" si="93"/>
        <v>5.7075415120550588</v>
      </c>
      <c r="BD44" s="533">
        <v>4215.3950000000004</v>
      </c>
      <c r="BE44" s="531">
        <f t="shared" si="129"/>
        <v>34.630566271106211</v>
      </c>
      <c r="BF44" s="539">
        <f t="shared" si="94"/>
        <v>141.36063662773992</v>
      </c>
      <c r="BH44" s="533">
        <v>4559.3879999999999</v>
      </c>
      <c r="BI44" s="531">
        <f t="shared" si="130"/>
        <v>36.06613443927592</v>
      </c>
      <c r="BJ44" s="539">
        <f t="shared" si="95"/>
        <v>143.55681681697092</v>
      </c>
      <c r="BL44" s="533">
        <v>4888.023000000001</v>
      </c>
      <c r="BM44" s="531">
        <f t="shared" si="131"/>
        <v>36.705055232607819</v>
      </c>
      <c r="BN44" s="539">
        <f t="shared" si="96"/>
        <v>63.892079333189855</v>
      </c>
      <c r="BP44" s="533">
        <v>5353.9490000000005</v>
      </c>
      <c r="BQ44" s="531">
        <f t="shared" si="132"/>
        <v>37.458966546886707</v>
      </c>
      <c r="BR44" s="539">
        <f t="shared" si="97"/>
        <v>75.39113142788878</v>
      </c>
      <c r="BT44" s="533">
        <v>5526.1779999999999</v>
      </c>
      <c r="BU44" s="531">
        <f t="shared" si="133"/>
        <v>37.400380207376372</v>
      </c>
      <c r="BV44" s="539">
        <f t="shared" si="98"/>
        <v>-5.858633951033454</v>
      </c>
      <c r="BX44" s="533">
        <v>5429.4830000000002</v>
      </c>
      <c r="BY44" s="531">
        <f t="shared" si="134"/>
        <v>34.513532746351459</v>
      </c>
      <c r="BZ44" s="539">
        <f t="shared" si="99"/>
        <v>-288.68474610249137</v>
      </c>
      <c r="CB44" s="533">
        <v>5328</v>
      </c>
      <c r="CC44" s="531">
        <f t="shared" si="100"/>
        <v>35.480745943327683</v>
      </c>
      <c r="CD44" s="539">
        <f t="shared" si="101"/>
        <v>96.721319697622476</v>
      </c>
      <c r="CF44" s="256">
        <f>SUM(CF40:CF43)</f>
        <v>5897</v>
      </c>
      <c r="CG44" s="531">
        <f t="shared" si="135"/>
        <v>36.659505907626212</v>
      </c>
      <c r="CH44" s="539">
        <f t="shared" si="102"/>
        <v>117.87599642985285</v>
      </c>
      <c r="CJ44" s="256">
        <f>SUM(CJ40:CJ43)</f>
        <v>6592</v>
      </c>
      <c r="CK44" s="531">
        <f t="shared" si="136"/>
        <v>37.20110507764123</v>
      </c>
      <c r="CL44" s="539">
        <f t="shared" si="103"/>
        <v>54.159917001501867</v>
      </c>
      <c r="CN44" s="256">
        <f>SUM(CN40:CN43)</f>
        <v>7432</v>
      </c>
      <c r="CO44" s="540">
        <f t="shared" si="104"/>
        <v>36.813467097432408</v>
      </c>
      <c r="CP44" s="538">
        <f t="shared" si="105"/>
        <v>-38.763798020882234</v>
      </c>
      <c r="CR44" s="256">
        <f>SUM(CR40:CR43)</f>
        <v>7737</v>
      </c>
      <c r="CS44" s="540">
        <f t="shared" si="106"/>
        <v>36.404734506000324</v>
      </c>
      <c r="CT44" s="538">
        <f t="shared" si="137"/>
        <v>-40.873259143208429</v>
      </c>
      <c r="CV44" s="256">
        <f>SUM(CV40:CV43)</f>
        <v>8407</v>
      </c>
      <c r="CW44" s="540">
        <f t="shared" si="107"/>
        <v>35.878270154831824</v>
      </c>
      <c r="CX44" s="538">
        <f t="shared" si="138"/>
        <v>-52.646435116849943</v>
      </c>
      <c r="CZ44" s="256">
        <f>SUM(CZ40:CZ43)</f>
        <v>9168</v>
      </c>
      <c r="DA44" s="540">
        <f t="shared" si="108"/>
        <v>34.955658034764106</v>
      </c>
      <c r="DB44" s="538">
        <f t="shared" si="109"/>
        <v>-92.261212006771842</v>
      </c>
      <c r="DD44" s="256">
        <f>SUM(DD40:DD43)</f>
        <v>9439</v>
      </c>
      <c r="DE44" s="540">
        <f t="shared" si="110"/>
        <v>34.898958548865444</v>
      </c>
      <c r="DF44" s="538">
        <f t="shared" si="111"/>
        <v>-5.6699485898661806</v>
      </c>
      <c r="DH44" s="256">
        <f>SUM(DH40:DH43)</f>
        <v>9890</v>
      </c>
      <c r="DI44" s="540">
        <f t="shared" si="112"/>
        <v>34.663407544427557</v>
      </c>
      <c r="DJ44" s="538">
        <f t="shared" si="113"/>
        <v>-23.555100443788746</v>
      </c>
      <c r="DL44" s="256">
        <f>SUM(DL40:DL43)</f>
        <v>10002.907894418451</v>
      </c>
      <c r="DM44" s="540">
        <f>(1-DL44/DL14)*100</f>
        <v>34.724074714771191</v>
      </c>
      <c r="DN44" s="538">
        <f t="shared" si="114"/>
        <v>6.066717034363478</v>
      </c>
      <c r="DO44" s="538"/>
      <c r="DP44" s="856">
        <f t="shared" si="115"/>
        <v>-97.931160596638023</v>
      </c>
    </row>
    <row r="45" spans="1:121" hidden="1" outlineLevel="3" x14ac:dyDescent="0.2">
      <c r="A45" s="517" t="s">
        <v>281</v>
      </c>
      <c r="D45" s="524">
        <f>D40+D41</f>
        <v>932.6</v>
      </c>
      <c r="E45" s="531">
        <f t="shared" si="116"/>
        <v>31.224188790560468</v>
      </c>
      <c r="F45" s="538"/>
      <c r="H45" s="524">
        <f>H40+H41</f>
        <v>1020.454</v>
      </c>
      <c r="I45" s="531">
        <f t="shared" si="117"/>
        <v>32.629381515785106</v>
      </c>
      <c r="J45" s="539">
        <f t="shared" si="82"/>
        <v>140.51927252246372</v>
      </c>
      <c r="L45" s="524">
        <f>L40+L41</f>
        <v>1103.9070000000002</v>
      </c>
      <c r="M45" s="531">
        <f t="shared" si="118"/>
        <v>31.66460838479037</v>
      </c>
      <c r="N45" s="539">
        <f t="shared" si="83"/>
        <v>-96.477313099473605</v>
      </c>
      <c r="P45" s="524">
        <f>P40+P41</f>
        <v>1193.605</v>
      </c>
      <c r="Q45" s="531">
        <f t="shared" si="119"/>
        <v>30.32651719852598</v>
      </c>
      <c r="R45" s="539">
        <f t="shared" si="84"/>
        <v>-133.80911862643893</v>
      </c>
      <c r="T45" s="524">
        <f>T40+T41</f>
        <v>1233.7950000000001</v>
      </c>
      <c r="U45" s="531">
        <f t="shared" si="120"/>
        <v>33.002835091712853</v>
      </c>
      <c r="V45" s="539">
        <f t="shared" si="85"/>
        <v>267.63178931868731</v>
      </c>
      <c r="X45" s="524">
        <f>X40+X41</f>
        <v>1333.537</v>
      </c>
      <c r="Y45" s="531">
        <f t="shared" si="121"/>
        <v>32.129891690761113</v>
      </c>
      <c r="Z45" s="539">
        <f t="shared" si="86"/>
        <v>-87.29434009517405</v>
      </c>
      <c r="AB45" s="524">
        <f>AB40+AB41</f>
        <v>1479</v>
      </c>
      <c r="AC45" s="531">
        <f t="shared" si="122"/>
        <v>31.126846745824999</v>
      </c>
      <c r="AD45" s="539">
        <f t="shared" si="87"/>
        <v>-100.30449449361143</v>
      </c>
      <c r="AF45" s="524">
        <f>AF40+AF41</f>
        <v>1570.866</v>
      </c>
      <c r="AG45" s="531">
        <f t="shared" si="123"/>
        <v>31.911427892775844</v>
      </c>
      <c r="AH45" s="539">
        <f t="shared" si="88"/>
        <v>78.458114695084546</v>
      </c>
      <c r="AJ45" s="524">
        <f>AJ40+AJ41</f>
        <v>1669.5430000000001</v>
      </c>
      <c r="AK45" s="531">
        <f t="shared" si="124"/>
        <v>32.882666485494049</v>
      </c>
      <c r="AL45" s="539">
        <f t="shared" si="89"/>
        <v>97.123859271820479</v>
      </c>
      <c r="AN45" s="524">
        <f>AN40+AN41</f>
        <v>1631.5439999999999</v>
      </c>
      <c r="AO45" s="531">
        <f t="shared" si="125"/>
        <v>34.278187311178257</v>
      </c>
      <c r="AP45" s="539">
        <f t="shared" si="90"/>
        <v>139.55208256842084</v>
      </c>
      <c r="AR45" s="524">
        <f>AR40+AR41</f>
        <v>1699.9679999999998</v>
      </c>
      <c r="AS45" s="531">
        <f t="shared" si="126"/>
        <v>34.87740632513183</v>
      </c>
      <c r="AT45" s="539">
        <f t="shared" si="91"/>
        <v>59.921901395357224</v>
      </c>
      <c r="AV45" s="524">
        <f>AV40+AV41</f>
        <v>1839.3379999999997</v>
      </c>
      <c r="AW45" s="531">
        <f t="shared" si="127"/>
        <v>33.44892302226031</v>
      </c>
      <c r="AX45" s="539">
        <f t="shared" si="92"/>
        <v>-142.84833028715198</v>
      </c>
      <c r="AZ45" s="524">
        <f>AZ40+AZ41</f>
        <v>1927.123</v>
      </c>
      <c r="BA45" s="531">
        <f t="shared" si="128"/>
        <v>33.577006633947867</v>
      </c>
      <c r="BB45" s="539">
        <f t="shared" si="93"/>
        <v>12.808361168755766</v>
      </c>
      <c r="BD45" s="524">
        <f>BD40+BD41</f>
        <v>2080.4949999999999</v>
      </c>
      <c r="BE45" s="531">
        <f t="shared" si="129"/>
        <v>33.323280790905407</v>
      </c>
      <c r="BF45" s="539">
        <f t="shared" si="94"/>
        <v>-25.372584304246004</v>
      </c>
      <c r="BH45" s="524">
        <f>BH40+BH41</f>
        <v>2243.8240000000001</v>
      </c>
      <c r="BI45" s="531">
        <f t="shared" si="130"/>
        <v>35.688068398409847</v>
      </c>
      <c r="BJ45" s="539">
        <f t="shared" si="95"/>
        <v>236.47876075044394</v>
      </c>
      <c r="BL45" s="524">
        <f>BL40+BL41</f>
        <v>2393.6800000000003</v>
      </c>
      <c r="BM45" s="531">
        <f t="shared" si="131"/>
        <v>36.353735476926872</v>
      </c>
      <c r="BN45" s="539">
        <f t="shared" si="96"/>
        <v>66.566707851702489</v>
      </c>
      <c r="BP45" s="524">
        <f>BP40+BP41</f>
        <v>2569.636</v>
      </c>
      <c r="BQ45" s="531">
        <f t="shared" si="132"/>
        <v>36.672457316242166</v>
      </c>
      <c r="BR45" s="539">
        <f t="shared" si="97"/>
        <v>31.872183931529463</v>
      </c>
      <c r="BT45" s="524">
        <f>BT40+BT41</f>
        <v>2728.672</v>
      </c>
      <c r="BU45" s="531">
        <f t="shared" si="133"/>
        <v>37.176155842122597</v>
      </c>
      <c r="BV45" s="539">
        <f t="shared" si="98"/>
        <v>50.369852588043074</v>
      </c>
      <c r="BX45" s="524">
        <f>BX40+BX41</f>
        <v>2667</v>
      </c>
      <c r="BY45" s="531">
        <f t="shared" si="134"/>
        <v>35.981757081132983</v>
      </c>
      <c r="BZ45" s="539">
        <f t="shared" si="99"/>
        <v>-119.43987609896141</v>
      </c>
      <c r="CB45" s="524">
        <f>CB40+CB41</f>
        <v>2525</v>
      </c>
      <c r="CC45" s="531">
        <f t="shared" si="100"/>
        <v>34.432614905219424</v>
      </c>
      <c r="CD45" s="539">
        <f t="shared" si="101"/>
        <v>-154.91421759135591</v>
      </c>
      <c r="CF45" s="524">
        <f>CF40+CF41</f>
        <v>2808</v>
      </c>
      <c r="CG45" s="531">
        <f t="shared" si="135"/>
        <v>36.283185840707965</v>
      </c>
      <c r="CH45" s="539">
        <f t="shared" si="102"/>
        <v>185.05709354885411</v>
      </c>
      <c r="CJ45" s="524">
        <f>CJ40+CJ41</f>
        <v>3108</v>
      </c>
      <c r="CK45" s="531">
        <f t="shared" si="136"/>
        <v>37.148634984833166</v>
      </c>
      <c r="CL45" s="539">
        <f t="shared" si="103"/>
        <v>86.544914412520058</v>
      </c>
      <c r="CN45" s="362">
        <f>CN40+CN41</f>
        <v>3463</v>
      </c>
      <c r="CO45" s="540">
        <f t="shared" si="104"/>
        <v>36.493673207408762</v>
      </c>
      <c r="CP45" s="538">
        <f t="shared" si="105"/>
        <v>-65.496177742440409</v>
      </c>
      <c r="CR45" s="362">
        <f>CR40+CR41</f>
        <v>3677</v>
      </c>
      <c r="CS45" s="540">
        <f t="shared" si="106"/>
        <v>36.17427529942718</v>
      </c>
      <c r="CT45" s="538">
        <f t="shared" si="137"/>
        <v>-31.939790798158185</v>
      </c>
      <c r="CV45" s="362">
        <f>CV40+CV41</f>
        <v>3952</v>
      </c>
      <c r="CW45" s="540">
        <f t="shared" si="107"/>
        <v>35.561715310614709</v>
      </c>
      <c r="CX45" s="538">
        <f t="shared" si="138"/>
        <v>-61.255998881247109</v>
      </c>
      <c r="CZ45" s="362">
        <f>CZ40+CZ41</f>
        <v>4326</v>
      </c>
      <c r="DA45" s="540">
        <f t="shared" si="108"/>
        <v>35.557872784150156</v>
      </c>
      <c r="DB45" s="538">
        <f t="shared" si="109"/>
        <v>-0.38425264645525203</v>
      </c>
      <c r="DD45" s="362">
        <f>DD40+DD41</f>
        <v>4458</v>
      </c>
      <c r="DE45" s="540">
        <f t="shared" si="110"/>
        <v>34.28655660377359</v>
      </c>
      <c r="DF45" s="538">
        <f t="shared" si="111"/>
        <v>-127.13161803765658</v>
      </c>
      <c r="DH45" s="362">
        <f>DH40+DH41</f>
        <v>4606</v>
      </c>
      <c r="DI45" s="540">
        <f t="shared" si="112"/>
        <v>34.162378502001147</v>
      </c>
      <c r="DJ45" s="538">
        <f t="shared" si="113"/>
        <v>-12.417810177244348</v>
      </c>
      <c r="DL45" s="362">
        <f>DL40+DL41</f>
        <v>4881.5452889676308</v>
      </c>
      <c r="DM45" s="540">
        <f>(1-DL45/DL15)*100</f>
        <v>34.169025026696396</v>
      </c>
      <c r="DN45" s="538">
        <f t="shared" si="114"/>
        <v>0.66465246952489565</v>
      </c>
      <c r="DO45" s="538"/>
      <c r="DP45" s="856">
        <f t="shared" si="115"/>
        <v>-127.51587068411183</v>
      </c>
    </row>
    <row r="46" spans="1:121" hidden="1" outlineLevel="3" x14ac:dyDescent="0.2">
      <c r="A46" s="517" t="s">
        <v>282</v>
      </c>
      <c r="D46" s="524">
        <f>D43+D42</f>
        <v>1067.6500000000001</v>
      </c>
      <c r="E46" s="531">
        <f t="shared" si="116"/>
        <v>30.577591319094033</v>
      </c>
      <c r="F46" s="538"/>
      <c r="H46" s="524">
        <f>H43+H42</f>
        <v>1148.9829999999999</v>
      </c>
      <c r="I46" s="531">
        <f t="shared" si="117"/>
        <v>30.997523921512581</v>
      </c>
      <c r="J46" s="539">
        <f t="shared" si="82"/>
        <v>41.993260241854813</v>
      </c>
      <c r="L46" s="524">
        <f>L43+L42</f>
        <v>1235.1860000000001</v>
      </c>
      <c r="M46" s="531">
        <f t="shared" si="118"/>
        <v>31.627507398062825</v>
      </c>
      <c r="N46" s="539">
        <f t="shared" si="83"/>
        <v>62.998347655024389</v>
      </c>
      <c r="P46" s="524">
        <f>P43+P42</f>
        <v>1275.6990000000001</v>
      </c>
      <c r="Q46" s="531">
        <f t="shared" si="119"/>
        <v>32.027864494668314</v>
      </c>
      <c r="R46" s="539">
        <f t="shared" si="84"/>
        <v>40.035709660548946</v>
      </c>
      <c r="T46" s="524">
        <f>T43+T42</f>
        <v>1365.758</v>
      </c>
      <c r="U46" s="531">
        <f t="shared" si="120"/>
        <v>33.472257740822201</v>
      </c>
      <c r="V46" s="539">
        <f t="shared" si="85"/>
        <v>144.43932461538864</v>
      </c>
      <c r="X46" s="524">
        <f>X43+X42</f>
        <v>1472.731</v>
      </c>
      <c r="Y46" s="531">
        <f t="shared" si="121"/>
        <v>31.458770714471552</v>
      </c>
      <c r="Z46" s="539">
        <f t="shared" si="86"/>
        <v>-201.34870263506491</v>
      </c>
      <c r="AB46" s="524">
        <f>AB43+AB42</f>
        <v>1603.037</v>
      </c>
      <c r="AC46" s="531">
        <f t="shared" si="122"/>
        <v>30.473140394606769</v>
      </c>
      <c r="AD46" s="539">
        <f t="shared" si="87"/>
        <v>-98.563031986478222</v>
      </c>
      <c r="AF46" s="524">
        <f>AF43+AF42</f>
        <v>1724.9470000000001</v>
      </c>
      <c r="AG46" s="531">
        <f t="shared" si="123"/>
        <v>32.209655842410314</v>
      </c>
      <c r="AH46" s="539">
        <f t="shared" si="88"/>
        <v>173.65154478035441</v>
      </c>
      <c r="AJ46" s="524">
        <f>AJ43+AJ42</f>
        <v>1675.402</v>
      </c>
      <c r="AK46" s="531">
        <f t="shared" si="124"/>
        <v>42.069386642988235</v>
      </c>
      <c r="AL46" s="539">
        <f t="shared" si="89"/>
        <v>985.97308005779212</v>
      </c>
      <c r="AN46" s="524">
        <f>AN43+AN42</f>
        <v>1728.2160000000003</v>
      </c>
      <c r="AO46" s="531">
        <f t="shared" si="125"/>
        <v>35.187849240577528</v>
      </c>
      <c r="AP46" s="539">
        <f t="shared" si="90"/>
        <v>-688.15374024107075</v>
      </c>
      <c r="AR46" s="524">
        <f>AR43+AR42</f>
        <v>1949.5480000000002</v>
      </c>
      <c r="AS46" s="531">
        <f t="shared" si="126"/>
        <v>33.19175840651102</v>
      </c>
      <c r="AT46" s="539">
        <f t="shared" si="91"/>
        <v>-199.60908340665071</v>
      </c>
      <c r="AV46" s="524">
        <f>AV43+AV42</f>
        <v>1926.521</v>
      </c>
      <c r="AW46" s="531">
        <f t="shared" si="127"/>
        <v>32.881573588551291</v>
      </c>
      <c r="AX46" s="539">
        <f t="shared" si="92"/>
        <v>-31.018481795972974</v>
      </c>
      <c r="AZ46" s="524">
        <f>AZ43+AZ42</f>
        <v>2041.117</v>
      </c>
      <c r="BA46" s="531">
        <f t="shared" si="128"/>
        <v>33.596016900325246</v>
      </c>
      <c r="BB46" s="539">
        <f t="shared" si="93"/>
        <v>71.444331177395526</v>
      </c>
      <c r="BD46" s="524">
        <f>BD43+BD42</f>
        <v>2134.9</v>
      </c>
      <c r="BE46" s="531">
        <f t="shared" si="129"/>
        <v>35.856142775591152</v>
      </c>
      <c r="BF46" s="539">
        <f t="shared" si="94"/>
        <v>226.01258752659064</v>
      </c>
      <c r="BH46" s="524">
        <f>BH43+BH42</f>
        <v>2315.5639999999999</v>
      </c>
      <c r="BI46" s="531">
        <f t="shared" si="130"/>
        <v>36.428270806159489</v>
      </c>
      <c r="BJ46" s="539">
        <f t="shared" si="95"/>
        <v>57.21280305683365</v>
      </c>
      <c r="BL46" s="524">
        <f>BL43+BL42</f>
        <v>2494.3429999999998</v>
      </c>
      <c r="BM46" s="531">
        <f t="shared" si="131"/>
        <v>37.03856930105762</v>
      </c>
      <c r="BN46" s="539">
        <f t="shared" si="96"/>
        <v>61.029849489813159</v>
      </c>
      <c r="BP46" s="524">
        <f>BP43+BP42</f>
        <v>2784.3130000000001</v>
      </c>
      <c r="BQ46" s="531">
        <f t="shared" si="132"/>
        <v>38.167695497697416</v>
      </c>
      <c r="BR46" s="539">
        <f t="shared" si="97"/>
        <v>112.91261966397954</v>
      </c>
      <c r="BT46" s="524">
        <f>BT43+BT42</f>
        <v>2797.5060000000003</v>
      </c>
      <c r="BU46" s="531">
        <f t="shared" si="133"/>
        <v>37.61755080451443</v>
      </c>
      <c r="BV46" s="539">
        <f t="shared" si="98"/>
        <v>-55.014469318298609</v>
      </c>
      <c r="BX46" s="524">
        <f>BX43+BX42</f>
        <v>2762.4830000000002</v>
      </c>
      <c r="BY46" s="531">
        <f t="shared" si="134"/>
        <v>33.030715151515146</v>
      </c>
      <c r="BZ46" s="539">
        <f t="shared" si="99"/>
        <v>-458.68356529992838</v>
      </c>
      <c r="CB46" s="524">
        <f>CB43+CB42</f>
        <v>2803</v>
      </c>
      <c r="CC46" s="531">
        <f t="shared" si="100"/>
        <v>36.396641706376222</v>
      </c>
      <c r="CD46" s="539">
        <f t="shared" si="101"/>
        <v>336.59265548610762</v>
      </c>
      <c r="CF46" s="524">
        <f>CF43+CF42</f>
        <v>3089</v>
      </c>
      <c r="CG46" s="531">
        <f t="shared" si="135"/>
        <v>36.997756475627163</v>
      </c>
      <c r="CH46" s="539">
        <f t="shared" si="102"/>
        <v>60.111476925094109</v>
      </c>
      <c r="CJ46" s="524">
        <f>CJ43+CJ42</f>
        <v>3484</v>
      </c>
      <c r="CK46" s="531">
        <f t="shared" si="136"/>
        <v>37.247838616714702</v>
      </c>
      <c r="CL46" s="539">
        <f t="shared" si="103"/>
        <v>25.00821410875389</v>
      </c>
      <c r="CN46" s="362">
        <f>CN43+CN42</f>
        <v>3969</v>
      </c>
      <c r="CO46" s="540">
        <f t="shared" si="104"/>
        <v>37.089871611982886</v>
      </c>
      <c r="CP46" s="538">
        <f t="shared" si="105"/>
        <v>-15.796700473181602</v>
      </c>
      <c r="CR46" s="362">
        <f>CR43+CR42</f>
        <v>4060</v>
      </c>
      <c r="CS46" s="540">
        <f t="shared" si="106"/>
        <v>36.612021857923494</v>
      </c>
      <c r="CT46" s="538">
        <f t="shared" si="137"/>
        <v>-47.784975405939178</v>
      </c>
      <c r="CV46" s="362">
        <f>CV43+CV42</f>
        <v>4455</v>
      </c>
      <c r="CW46" s="540">
        <f t="shared" si="107"/>
        <v>36.156491831470341</v>
      </c>
      <c r="CX46" s="538">
        <f t="shared" si="138"/>
        <v>-45.553002645315388</v>
      </c>
      <c r="CZ46" s="362">
        <f>CZ43+CZ42</f>
        <v>4842</v>
      </c>
      <c r="DA46" s="540">
        <f t="shared" si="108"/>
        <v>34.408019506908694</v>
      </c>
      <c r="DB46" s="538">
        <f t="shared" si="109"/>
        <v>-174.84723245616465</v>
      </c>
      <c r="DD46" s="362">
        <f>DD43+DD42</f>
        <v>4981</v>
      </c>
      <c r="DE46" s="540">
        <f t="shared" si="110"/>
        <v>35.43745949449125</v>
      </c>
      <c r="DF46" s="538">
        <f t="shared" si="111"/>
        <v>102.94399875825562</v>
      </c>
      <c r="DH46" s="362">
        <f>DH43+DH42</f>
        <v>5284</v>
      </c>
      <c r="DI46" s="540">
        <f t="shared" si="112"/>
        <v>35.093968799901731</v>
      </c>
      <c r="DJ46" s="538">
        <f t="shared" si="113"/>
        <v>-34.349069458951931</v>
      </c>
      <c r="DL46" s="362">
        <f>DL43+DL42</f>
        <v>5121.3626054508204</v>
      </c>
      <c r="DM46" s="540">
        <f>(1-DL46/DL16)*100</f>
        <v>35.244490067607536</v>
      </c>
      <c r="DN46" s="538">
        <f t="shared" si="114"/>
        <v>15.052126770580543</v>
      </c>
      <c r="DO46" s="538"/>
      <c r="DP46" s="856">
        <f t="shared" si="115"/>
        <v>-71.90323369790903</v>
      </c>
    </row>
    <row r="47" spans="1:121" outlineLevel="2" collapsed="1" x14ac:dyDescent="0.2">
      <c r="D47" s="361"/>
      <c r="E47" s="249"/>
      <c r="F47" s="249"/>
      <c r="H47" s="361"/>
      <c r="I47" s="249"/>
      <c r="J47" s="249"/>
      <c r="L47" s="361"/>
      <c r="M47" s="249"/>
      <c r="N47" s="249"/>
      <c r="P47" s="361"/>
      <c r="Q47" s="249"/>
      <c r="R47" s="249"/>
      <c r="T47" s="361"/>
      <c r="U47" s="249"/>
      <c r="V47" s="249"/>
      <c r="X47" s="361"/>
      <c r="Y47" s="249"/>
      <c r="Z47" s="249"/>
      <c r="AB47" s="361"/>
      <c r="AC47" s="249"/>
      <c r="AD47" s="249"/>
      <c r="AF47" s="361"/>
      <c r="AG47" s="249"/>
      <c r="AH47" s="249"/>
      <c r="AJ47" s="361"/>
      <c r="AK47" s="249"/>
      <c r="AL47" s="249"/>
      <c r="AN47" s="361"/>
      <c r="AO47" s="249"/>
      <c r="AP47" s="249"/>
      <c r="AR47" s="361"/>
      <c r="AS47" s="249"/>
      <c r="AT47" s="249"/>
      <c r="AV47" s="361"/>
      <c r="AW47" s="249"/>
      <c r="AX47" s="249"/>
      <c r="AZ47" s="361"/>
      <c r="BA47" s="249"/>
      <c r="BB47" s="249"/>
      <c r="BD47" s="361"/>
      <c r="BE47" s="249"/>
      <c r="BF47" s="249"/>
      <c r="BH47" s="361"/>
      <c r="BI47" s="249"/>
      <c r="BJ47" s="249"/>
      <c r="BL47" s="361"/>
      <c r="BM47" s="249"/>
      <c r="BN47" s="249"/>
      <c r="BP47" s="362"/>
      <c r="BT47" s="362"/>
      <c r="BX47" s="362"/>
      <c r="CB47" s="362"/>
      <c r="CF47" s="362"/>
      <c r="CJ47" s="524"/>
      <c r="CN47" s="541"/>
      <c r="CO47" s="541"/>
      <c r="CP47" s="249"/>
      <c r="CS47" s="542"/>
      <c r="CT47" s="249"/>
      <c r="CV47" s="541"/>
      <c r="CW47" s="542"/>
      <c r="CX47" s="249"/>
      <c r="CZ47" s="541"/>
      <c r="DB47" s="249"/>
      <c r="DD47" s="541"/>
      <c r="DF47" s="249"/>
      <c r="DH47" s="541"/>
      <c r="DJ47" s="249"/>
      <c r="DL47" s="541"/>
      <c r="DM47" s="765">
        <v>35.54</v>
      </c>
      <c r="DN47" s="249"/>
      <c r="DO47" s="249"/>
    </row>
    <row r="48" spans="1:121" s="516" customFormat="1" ht="12.75" customHeight="1" outlineLevel="2" x14ac:dyDescent="0.2">
      <c r="A48" s="515" t="s">
        <v>302</v>
      </c>
      <c r="CG48" s="516" t="str">
        <f>A48</f>
        <v>5. Total SG&amp;A (% of Sales / % growth)</v>
      </c>
      <c r="CS48" s="516" t="s">
        <v>302</v>
      </c>
      <c r="CW48" s="542"/>
    </row>
    <row r="49" spans="1:125" outlineLevel="1" x14ac:dyDescent="0.2">
      <c r="D49" s="361"/>
      <c r="E49" s="249"/>
      <c r="F49" s="249"/>
      <c r="H49" s="361"/>
      <c r="I49" s="249"/>
      <c r="J49" s="249"/>
      <c r="L49" s="361"/>
      <c r="M49" s="249"/>
      <c r="N49" s="249"/>
      <c r="P49" s="361"/>
      <c r="Q49" s="249"/>
      <c r="R49" s="249"/>
      <c r="T49" s="361"/>
      <c r="U49" s="249"/>
      <c r="V49" s="249"/>
      <c r="X49" s="361"/>
      <c r="Y49" s="249"/>
      <c r="Z49" s="249"/>
      <c r="AB49" s="361"/>
      <c r="AC49" s="249"/>
      <c r="AD49" s="249"/>
      <c r="AF49" s="361"/>
      <c r="AG49" s="249"/>
      <c r="AH49" s="249"/>
      <c r="AJ49" s="361"/>
      <c r="AK49" s="249"/>
      <c r="AL49" s="249"/>
      <c r="AN49" s="361"/>
      <c r="AO49" s="249"/>
      <c r="AP49" s="249"/>
      <c r="AR49" s="361"/>
      <c r="AS49" s="249"/>
      <c r="AT49" s="249"/>
      <c r="AV49" s="361"/>
      <c r="AW49" s="249"/>
      <c r="AX49" s="249"/>
      <c r="AZ49" s="361"/>
      <c r="BA49" s="249"/>
      <c r="BB49" s="249"/>
      <c r="BD49" s="361"/>
      <c r="BE49" s="249"/>
      <c r="BF49" s="249"/>
      <c r="BH49" s="361"/>
      <c r="BI49" s="249"/>
      <c r="BJ49" s="249"/>
      <c r="BL49" s="361"/>
      <c r="BM49" s="249"/>
      <c r="BN49" s="249"/>
      <c r="BP49" s="362"/>
      <c r="BT49" s="362"/>
      <c r="BX49" s="362"/>
      <c r="CB49" s="362"/>
      <c r="CF49" s="362"/>
      <c r="CJ49" s="362"/>
      <c r="CP49" s="249"/>
      <c r="CT49" s="249"/>
      <c r="CX49" s="249"/>
      <c r="DB49" s="249"/>
      <c r="DF49" s="249"/>
      <c r="DJ49" s="249"/>
      <c r="DN49" s="249"/>
      <c r="DO49" s="249"/>
    </row>
    <row r="50" spans="1:125" outlineLevel="1" x14ac:dyDescent="0.2">
      <c r="A50" s="517" t="s">
        <v>78</v>
      </c>
      <c r="D50" s="530">
        <v>163.19999999999999</v>
      </c>
      <c r="E50" s="531">
        <f t="shared" ref="E50:E56" si="139">(D50/D30)*100</f>
        <v>28.348097967691498</v>
      </c>
      <c r="F50" s="538"/>
      <c r="H50" s="530">
        <v>168.83</v>
      </c>
      <c r="I50" s="531">
        <f t="shared" ref="I50:I56" si="140">(H50/H30)*100</f>
        <v>26.697893012340838</v>
      </c>
      <c r="J50" s="539">
        <f t="shared" ref="J50:J56" si="141">(I50-E50)*100</f>
        <v>-165.02049553506595</v>
      </c>
      <c r="L50" s="530">
        <v>188.77600000000001</v>
      </c>
      <c r="M50" s="531">
        <f t="shared" ref="M50:M56" si="142">(L50/L30)*100</f>
        <v>27.451179983684248</v>
      </c>
      <c r="N50" s="539">
        <f t="shared" ref="N50:N56" si="143">(M50-I50)*100</f>
        <v>75.328697134341027</v>
      </c>
      <c r="P50" s="530">
        <v>208.19900000000001</v>
      </c>
      <c r="Q50" s="531">
        <f t="shared" ref="Q50:Q56" si="144">(P50/P30)*100</f>
        <v>28.954651402123911</v>
      </c>
      <c r="R50" s="539">
        <f t="shared" ref="R50:R56" si="145">(Q50-M50)*100</f>
        <v>150.34714184396626</v>
      </c>
      <c r="T50" s="530">
        <v>214.864</v>
      </c>
      <c r="U50" s="531">
        <f t="shared" ref="U50:U56" si="146">(T50/T30)*100</f>
        <v>27.346337216849896</v>
      </c>
      <c r="V50" s="539">
        <f t="shared" ref="V50:V56" si="147">(U50-Q50)*100</f>
        <v>-160.83141852740147</v>
      </c>
      <c r="X50" s="530">
        <v>239.77099999999999</v>
      </c>
      <c r="Y50" s="531">
        <f t="shared" ref="Y50:Y56" si="148">(X50/X30)*100</f>
        <v>28.312476236134305</v>
      </c>
      <c r="Z50" s="539">
        <f t="shared" ref="Z50:Z56" si="149">(Y50-U50)*100</f>
        <v>96.613901928440882</v>
      </c>
      <c r="AB50" s="530">
        <v>268.78699999999998</v>
      </c>
      <c r="AC50" s="531">
        <f t="shared" ref="AC50:AC56" si="150">(AB50/AB30)*100</f>
        <v>28.577883815927407</v>
      </c>
      <c r="AD50" s="539">
        <f t="shared" ref="AD50:AD56" si="151">(AC50-Y50)*100</f>
        <v>26.540757979310214</v>
      </c>
      <c r="AF50" s="530">
        <v>274.28699999999998</v>
      </c>
      <c r="AG50" s="531">
        <f t="shared" ref="AG50:AG56" si="152">(AF50/AF30)*100</f>
        <v>27.941197443508841</v>
      </c>
      <c r="AH50" s="539">
        <f t="shared" ref="AH50:AH56" si="153">(AG50-AC50)*100</f>
        <v>-63.668637241856629</v>
      </c>
      <c r="AJ50" s="530">
        <v>309.26299999999998</v>
      </c>
      <c r="AK50" s="531">
        <f t="shared" ref="AK50:AK56" si="154">(AJ50/AJ30)*100</f>
        <v>28.886022461499376</v>
      </c>
      <c r="AL50" s="539">
        <f t="shared" ref="AL50:AL56" si="155">(AK50-AG50)*100</f>
        <v>94.482501799053509</v>
      </c>
      <c r="AN50" s="530">
        <v>314.38400000000001</v>
      </c>
      <c r="AO50" s="531">
        <f t="shared" ref="AO50:AO56" si="156">(AN50/AN30)*100</f>
        <v>29.484270972739729</v>
      </c>
      <c r="AP50" s="539">
        <f t="shared" ref="AP50:AP56" si="157">(AO50-AK50)*100</f>
        <v>59.824851124035305</v>
      </c>
      <c r="AR50" s="530">
        <v>371.899</v>
      </c>
      <c r="AS50" s="531">
        <f t="shared" ref="AS50:AS56" si="158">(AR50/AR30)*100</f>
        <v>31.396095865142478</v>
      </c>
      <c r="AT50" s="539">
        <f t="shared" ref="AT50:AT56" si="159">(AS50-AO50)*100</f>
        <v>191.18248924027483</v>
      </c>
      <c r="AV50" s="530">
        <v>396.70600000000002</v>
      </c>
      <c r="AW50" s="531">
        <f t="shared" ref="AW50:AW56" si="160">(AV50/AV30)*100</f>
        <v>31.605129083528855</v>
      </c>
      <c r="AX50" s="539">
        <f t="shared" ref="AX50:AX56" si="161">(AW50-AS50)*100</f>
        <v>20.903321838637723</v>
      </c>
      <c r="AZ50" s="530">
        <v>386.084</v>
      </c>
      <c r="BA50" s="531">
        <f t="shared" ref="BA50:BA56" si="162">(AZ50/AZ30)*100</f>
        <v>30.184861598120499</v>
      </c>
      <c r="BB50" s="539">
        <f t="shared" ref="BB50:BB56" si="163">(BA50-AW50)*100</f>
        <v>-142.02674854083563</v>
      </c>
      <c r="BD50" s="530">
        <v>420.32600000000002</v>
      </c>
      <c r="BE50" s="531">
        <f t="shared" ref="BE50:BE56" si="164">(BD50/BD30)*100</f>
        <v>30.656026092841977</v>
      </c>
      <c r="BF50" s="539">
        <f t="shared" ref="BF50:BF56" si="165">(BE50-BA50)*100</f>
        <v>47.116449472147792</v>
      </c>
      <c r="BH50" s="530">
        <v>452.73399999999998</v>
      </c>
      <c r="BI50" s="531">
        <f t="shared" ref="BI50:BI56" si="166">(BH50/BH30)*100</f>
        <v>28.74543564763168</v>
      </c>
      <c r="BJ50" s="539">
        <f t="shared" ref="BJ50:BJ56" si="167">(BI50-BE50)*100</f>
        <v>-191.05904452102962</v>
      </c>
      <c r="BL50" s="530">
        <v>465.42200000000003</v>
      </c>
      <c r="BM50" s="531">
        <f t="shared" ref="BM50:BM56" si="168">(BL50/BL30)*100</f>
        <v>27.422834941662948</v>
      </c>
      <c r="BN50" s="539">
        <f t="shared" ref="BN50:BN56" si="169">(BM50-BI50)*100</f>
        <v>-132.26007059687319</v>
      </c>
      <c r="BP50" s="530">
        <v>494.22</v>
      </c>
      <c r="BQ50" s="531">
        <f t="shared" ref="BQ50:BQ56" si="170">(BP50/BP30)*100</f>
        <v>26.844303366374067</v>
      </c>
      <c r="BR50" s="539">
        <f t="shared" ref="BR50:BR56" si="171">(BQ50-BM50)*100</f>
        <v>-57.853157528888133</v>
      </c>
      <c r="BT50" s="543">
        <f>BT60+BT70</f>
        <v>534</v>
      </c>
      <c r="BU50" s="531">
        <f t="shared" ref="BU50:BU56" si="172">(BT50/BT30)*100</f>
        <v>26.570825929742558</v>
      </c>
      <c r="BV50" s="539">
        <f t="shared" ref="BV50:BV56" si="173">(BU50-BQ50)*100</f>
        <v>-27.347743663150936</v>
      </c>
      <c r="BX50" s="543">
        <f>BX60+BX70</f>
        <v>533</v>
      </c>
      <c r="BY50" s="531">
        <f t="shared" ref="BY50:BY56" si="174">(BX50/BX30)*100</f>
        <v>27.347357619291945</v>
      </c>
      <c r="BZ50" s="539">
        <f t="shared" ref="BZ50:BZ56" si="175">(BY50-BU50)*100</f>
        <v>77.653168954938678</v>
      </c>
      <c r="CB50" s="543">
        <f>CB60+CB70</f>
        <v>539</v>
      </c>
      <c r="CC50" s="531">
        <f t="shared" ref="CC50:CC56" si="176">(CB50/CB30)*100</f>
        <v>30.078125</v>
      </c>
      <c r="CD50" s="539">
        <f t="shared" ref="CD50:CD56" si="177">(CC50-BY50)*100</f>
        <v>273.07673807080556</v>
      </c>
      <c r="CF50" s="543">
        <f>CF60+CF70</f>
        <v>625</v>
      </c>
      <c r="CG50" s="531">
        <f t="shared" ref="CG50:CG56" si="178">(CF50/CF30)*100</f>
        <v>29.947292764734069</v>
      </c>
      <c r="CH50" s="539">
        <f t="shared" ref="CH50:CH56" si="179">(CG50-CC50)*100</f>
        <v>-13.083223526593102</v>
      </c>
      <c r="CJ50" s="543">
        <f>CJ60+CJ70</f>
        <v>666</v>
      </c>
      <c r="CK50" s="531">
        <f t="shared" ref="CK50:CK56" si="180">(CJ50/CJ30)*100</f>
        <v>28.669823504089543</v>
      </c>
      <c r="CL50" s="539">
        <f t="shared" ref="CL50:CL56" si="181">(CK50-CG50)*100</f>
        <v>-127.74692606445264</v>
      </c>
      <c r="CN50" s="1164">
        <v>761</v>
      </c>
      <c r="CO50" s="531">
        <f t="shared" ref="CO50:CO56" si="182">(CN50/CN30)*100</f>
        <v>28.990476190476187</v>
      </c>
      <c r="CP50" s="538">
        <f t="shared" ref="CP50:CP56" si="183">(CO50-CK50)*100</f>
        <v>32.065268638664435</v>
      </c>
      <c r="CR50" s="1164">
        <v>801</v>
      </c>
      <c r="CS50" s="531">
        <f t="shared" ref="CS50:CS56" si="184">(CR50/CR30)*100</f>
        <v>29.137868315751181</v>
      </c>
      <c r="CT50" s="538">
        <f t="shared" ref="CT50:CT56" si="185">(CS50-CO50)*100</f>
        <v>14.73921252749939</v>
      </c>
      <c r="CV50" s="1164">
        <v>844</v>
      </c>
      <c r="CW50" s="531">
        <f>(CV50/CV30)*100</f>
        <v>28.795632889798707</v>
      </c>
      <c r="CX50" s="544">
        <f t="shared" ref="CX50:CX56" si="186">CV50/CR50-1</f>
        <v>5.3682896379525502E-2</v>
      </c>
      <c r="CZ50" s="1164">
        <f>CZ60+CZ70</f>
        <v>971</v>
      </c>
      <c r="DA50" s="531">
        <f>(CZ50/CZ30)*100</f>
        <v>30.202177293934678</v>
      </c>
      <c r="DB50" s="544">
        <f t="shared" ref="DB50:DB56" si="187">CZ50/CV50-1</f>
        <v>0.15047393364928907</v>
      </c>
      <c r="DD50" s="545">
        <f>DD60+DD70</f>
        <v>1043</v>
      </c>
      <c r="DE50" s="531">
        <f>(DD50/DD30)*100</f>
        <v>32.102185287780856</v>
      </c>
      <c r="DF50" s="544">
        <f t="shared" ref="DF50:DF56" si="188">DD50/CZ50-1</f>
        <v>7.4150360453141051E-2</v>
      </c>
      <c r="DH50" s="545">
        <f>DH60+DH70</f>
        <v>1048</v>
      </c>
      <c r="DI50" s="531">
        <f>(DH50/DH30)*100</f>
        <v>31.246273106738222</v>
      </c>
      <c r="DJ50" s="544">
        <f t="shared" ref="DJ50:DJ56" si="189">DH50/DD50-1</f>
        <v>4.7938638542666112E-3</v>
      </c>
      <c r="DL50" s="545">
        <f>DL60+DL70</f>
        <v>1129.5115534615384</v>
      </c>
      <c r="DM50" s="531">
        <f>(DL50/DL30)*100</f>
        <v>32.320128761935031</v>
      </c>
      <c r="DN50" s="544">
        <f t="shared" ref="DN50:DN56" si="190">DL50/DH50-1</f>
        <v>7.7778199867880149E-2</v>
      </c>
      <c r="DO50" s="544"/>
    </row>
    <row r="51" spans="1:125" outlineLevel="1" x14ac:dyDescent="0.2">
      <c r="A51" s="517" t="s">
        <v>79</v>
      </c>
      <c r="D51" s="533">
        <v>200.7</v>
      </c>
      <c r="E51" s="531">
        <f t="shared" si="139"/>
        <v>24.442820606503467</v>
      </c>
      <c r="F51" s="538"/>
      <c r="H51" s="533">
        <v>221.18299999999999</v>
      </c>
      <c r="I51" s="531">
        <f t="shared" si="140"/>
        <v>23.94984006947287</v>
      </c>
      <c r="J51" s="539">
        <f t="shared" si="141"/>
        <v>-49.298053703059708</v>
      </c>
      <c r="L51" s="533">
        <v>242.172</v>
      </c>
      <c r="M51" s="531">
        <f t="shared" si="142"/>
        <v>24.876195289411807</v>
      </c>
      <c r="N51" s="539">
        <f t="shared" si="143"/>
        <v>92.635521993893732</v>
      </c>
      <c r="P51" s="533">
        <v>248.33099999999999</v>
      </c>
      <c r="Q51" s="531">
        <f t="shared" si="144"/>
        <v>23.893718458792566</v>
      </c>
      <c r="R51" s="539">
        <f t="shared" si="145"/>
        <v>-98.247683061924107</v>
      </c>
      <c r="T51" s="533">
        <v>267.596</v>
      </c>
      <c r="U51" s="531">
        <f t="shared" si="146"/>
        <v>24.267673905059016</v>
      </c>
      <c r="V51" s="539">
        <f t="shared" si="147"/>
        <v>37.395544626645005</v>
      </c>
      <c r="X51" s="533">
        <v>299.83800000000002</v>
      </c>
      <c r="Y51" s="531">
        <f t="shared" si="148"/>
        <v>25.446120552479158</v>
      </c>
      <c r="Z51" s="539">
        <f t="shared" si="149"/>
        <v>117.84466474201416</v>
      </c>
      <c r="AB51" s="533">
        <v>328.83600000000001</v>
      </c>
      <c r="AC51" s="531">
        <f t="shared" si="150"/>
        <v>25.788267622798479</v>
      </c>
      <c r="AD51" s="539">
        <f t="shared" si="151"/>
        <v>34.214707031932079</v>
      </c>
      <c r="AF51" s="533">
        <v>350.363</v>
      </c>
      <c r="AG51" s="531">
        <f t="shared" si="152"/>
        <v>25.392192815511745</v>
      </c>
      <c r="AH51" s="539">
        <f t="shared" si="153"/>
        <v>-39.607480728673394</v>
      </c>
      <c r="AJ51" s="533">
        <v>379.51</v>
      </c>
      <c r="AK51" s="531">
        <f t="shared" si="154"/>
        <v>25.731776856113996</v>
      </c>
      <c r="AL51" s="539">
        <f t="shared" si="155"/>
        <v>33.958404060225078</v>
      </c>
      <c r="AN51" s="533">
        <v>393.4</v>
      </c>
      <c r="AO51" s="531">
        <f t="shared" si="156"/>
        <v>26.845545986816067</v>
      </c>
      <c r="AP51" s="539">
        <f t="shared" si="157"/>
        <v>111.3769130702071</v>
      </c>
      <c r="AR51" s="533">
        <v>436.41800000000001</v>
      </c>
      <c r="AS51" s="531">
        <f t="shared" si="158"/>
        <v>29.288462003076372</v>
      </c>
      <c r="AT51" s="539">
        <f t="shared" si="159"/>
        <v>244.29160162603054</v>
      </c>
      <c r="AV51" s="533">
        <v>457.44099999999997</v>
      </c>
      <c r="AW51" s="531">
        <f t="shared" si="160"/>
        <v>28.931325567142927</v>
      </c>
      <c r="AX51" s="539">
        <f t="shared" si="161"/>
        <v>-35.713643593344457</v>
      </c>
      <c r="AZ51" s="533">
        <v>481.11500000000001</v>
      </c>
      <c r="BA51" s="531">
        <f t="shared" si="162"/>
        <v>28.453712262747739</v>
      </c>
      <c r="BB51" s="539">
        <f t="shared" si="163"/>
        <v>-47.761330439518801</v>
      </c>
      <c r="BD51" s="533">
        <v>492.3</v>
      </c>
      <c r="BE51" s="531">
        <f t="shared" si="164"/>
        <v>27.036363167060344</v>
      </c>
      <c r="BF51" s="539">
        <f t="shared" si="165"/>
        <v>-141.73490956873957</v>
      </c>
      <c r="BH51" s="533">
        <v>536.23299999999995</v>
      </c>
      <c r="BI51" s="531">
        <f t="shared" si="166"/>
        <v>26.858894795946064</v>
      </c>
      <c r="BJ51" s="539">
        <f t="shared" si="167"/>
        <v>-17.746837111427993</v>
      </c>
      <c r="BL51" s="533">
        <v>551.19600000000003</v>
      </c>
      <c r="BM51" s="531">
        <f t="shared" si="168"/>
        <v>25.620244974453943</v>
      </c>
      <c r="BN51" s="539">
        <f t="shared" si="169"/>
        <v>-123.86498214921211</v>
      </c>
      <c r="BP51" s="533">
        <v>579.55200000000002</v>
      </c>
      <c r="BQ51" s="531">
        <f t="shared" si="170"/>
        <v>24.859403625158119</v>
      </c>
      <c r="BR51" s="539">
        <f t="shared" si="171"/>
        <v>-76.084134929582348</v>
      </c>
      <c r="BT51" s="546">
        <f>BT61+BT71</f>
        <v>636</v>
      </c>
      <c r="BU51" s="531">
        <f t="shared" si="172"/>
        <v>25.855613473213829</v>
      </c>
      <c r="BV51" s="539">
        <f t="shared" si="173"/>
        <v>99.620984805570956</v>
      </c>
      <c r="BX51" s="546">
        <f>BX61+BX71</f>
        <v>602</v>
      </c>
      <c r="BY51" s="531">
        <f t="shared" si="174"/>
        <v>25.519287833827892</v>
      </c>
      <c r="BZ51" s="539">
        <f t="shared" si="175"/>
        <v>-33.632563938593663</v>
      </c>
      <c r="CB51" s="546">
        <f>CB61+CB71</f>
        <v>608</v>
      </c>
      <c r="CC51" s="531">
        <f t="shared" si="176"/>
        <v>27.24014336917563</v>
      </c>
      <c r="CD51" s="539">
        <f t="shared" si="177"/>
        <v>172.08555353477379</v>
      </c>
      <c r="CF51" s="546">
        <f>CF61+CF71</f>
        <v>678</v>
      </c>
      <c r="CG51" s="531">
        <f t="shared" si="178"/>
        <v>26.958250497017893</v>
      </c>
      <c r="CH51" s="539">
        <f t="shared" si="179"/>
        <v>-28.189287215773717</v>
      </c>
      <c r="CJ51" s="546">
        <f>CJ61+CJ71</f>
        <v>767</v>
      </c>
      <c r="CK51" s="531">
        <f t="shared" si="180"/>
        <v>27.295373665480426</v>
      </c>
      <c r="CL51" s="539">
        <f t="shared" si="181"/>
        <v>33.712316846253287</v>
      </c>
      <c r="CN51" s="1165">
        <v>837</v>
      </c>
      <c r="CO51" s="531">
        <f t="shared" si="182"/>
        <v>27.844311377245507</v>
      </c>
      <c r="CP51" s="538">
        <f t="shared" si="183"/>
        <v>54.89377117650811</v>
      </c>
      <c r="CR51" s="1165">
        <v>857</v>
      </c>
      <c r="CS51" s="531">
        <f t="shared" si="184"/>
        <v>26.814768460575721</v>
      </c>
      <c r="CT51" s="538">
        <f t="shared" si="185"/>
        <v>-102.95429166697865</v>
      </c>
      <c r="CV51" s="1165">
        <v>931</v>
      </c>
      <c r="CW51" s="531">
        <f t="shared" ref="CW51:CW56" si="191">(CV51/CV31)*100</f>
        <v>27.446933962264154</v>
      </c>
      <c r="CX51" s="544">
        <f t="shared" si="186"/>
        <v>8.6347724620770228E-2</v>
      </c>
      <c r="CZ51" s="1165">
        <f>1048</f>
        <v>1048</v>
      </c>
      <c r="DA51" s="531">
        <f t="shared" ref="DA51:DA56" si="192">(CZ51/CZ31)*100</f>
        <v>28.316671169954066</v>
      </c>
      <c r="DB51" s="544">
        <f t="shared" si="187"/>
        <v>0.12567132116004287</v>
      </c>
      <c r="DD51" s="547">
        <f>DD61+DD71</f>
        <v>1072</v>
      </c>
      <c r="DE51" s="531">
        <f t="shared" ref="DE51:DE56" si="193">(DD51/DD31)*100</f>
        <v>29.361818679813751</v>
      </c>
      <c r="DF51" s="544">
        <f t="shared" si="188"/>
        <v>2.2900763358778553E-2</v>
      </c>
      <c r="DH51" s="547">
        <v>1125</v>
      </c>
      <c r="DI51" s="531">
        <f t="shared" ref="DI51:DI56" si="194">(DH51/DH31)*100</f>
        <v>29.659899815449513</v>
      </c>
      <c r="DJ51" s="544">
        <f t="shared" si="189"/>
        <v>4.9440298507462677E-2</v>
      </c>
      <c r="DL51" s="547">
        <f>DL61+DL71</f>
        <v>1261.9178114356434</v>
      </c>
      <c r="DM51" s="531">
        <f t="shared" ref="DM51:DM56" si="195">(DL51/DL31)*100</f>
        <v>30.879336490809923</v>
      </c>
      <c r="DN51" s="544">
        <f t="shared" si="190"/>
        <v>0.12170472127612753</v>
      </c>
      <c r="DO51" s="544"/>
      <c r="DQ51" s="541">
        <f>DI51-DE51</f>
        <v>0.298081135635762</v>
      </c>
      <c r="DR51" s="239">
        <v>30</v>
      </c>
    </row>
    <row r="52" spans="1:125" outlineLevel="1" x14ac:dyDescent="0.2">
      <c r="A52" s="517" t="s">
        <v>80</v>
      </c>
      <c r="D52" s="533">
        <v>177.8</v>
      </c>
      <c r="E52" s="531">
        <f t="shared" si="139"/>
        <v>27.091269236629596</v>
      </c>
      <c r="F52" s="538"/>
      <c r="H52" s="533">
        <v>203.40100000000001</v>
      </c>
      <c r="I52" s="531">
        <f t="shared" si="140"/>
        <v>28.627061870179588</v>
      </c>
      <c r="J52" s="539">
        <f t="shared" si="141"/>
        <v>153.57926335499917</v>
      </c>
      <c r="L52" s="533">
        <v>213.428</v>
      </c>
      <c r="M52" s="531">
        <f t="shared" si="142"/>
        <v>28.072732247049725</v>
      </c>
      <c r="N52" s="539">
        <f t="shared" si="143"/>
        <v>-55.432962312986334</v>
      </c>
      <c r="P52" s="533">
        <v>216.33</v>
      </c>
      <c r="Q52" s="531">
        <f t="shared" si="144"/>
        <v>27.313324857234122</v>
      </c>
      <c r="R52" s="539">
        <f t="shared" si="145"/>
        <v>-75.94073898156033</v>
      </c>
      <c r="T52" s="533">
        <v>246.30699999999999</v>
      </c>
      <c r="U52" s="531">
        <f t="shared" si="146"/>
        <v>27.787248012472883</v>
      </c>
      <c r="V52" s="539">
        <f t="shared" si="147"/>
        <v>47.39231552387615</v>
      </c>
      <c r="X52" s="533">
        <v>267.55200000000002</v>
      </c>
      <c r="Y52" s="531">
        <f t="shared" si="148"/>
        <v>28.486404245193125</v>
      </c>
      <c r="Z52" s="539">
        <f t="shared" si="149"/>
        <v>69.915623272024163</v>
      </c>
      <c r="AB52" s="533">
        <v>288.64400000000001</v>
      </c>
      <c r="AC52" s="531">
        <f t="shared" si="150"/>
        <v>28.328732006489293</v>
      </c>
      <c r="AD52" s="539">
        <f t="shared" si="151"/>
        <v>-15.767223870383162</v>
      </c>
      <c r="AF52" s="533">
        <v>326.19299999999998</v>
      </c>
      <c r="AG52" s="531">
        <f t="shared" si="152"/>
        <v>29.187492953511963</v>
      </c>
      <c r="AH52" s="539">
        <f t="shared" si="153"/>
        <v>85.876094702267025</v>
      </c>
      <c r="AJ52" s="533">
        <v>328.23500000000001</v>
      </c>
      <c r="AK52" s="531">
        <f t="shared" si="154"/>
        <v>22.284675725328906</v>
      </c>
      <c r="AL52" s="539">
        <f t="shared" si="155"/>
        <v>-690.28172281830575</v>
      </c>
      <c r="AN52" s="533">
        <v>341.18400000000003</v>
      </c>
      <c r="AO52" s="531">
        <f t="shared" si="156"/>
        <v>30.003376857271501</v>
      </c>
      <c r="AP52" s="539">
        <f t="shared" si="157"/>
        <v>771.87011319425949</v>
      </c>
      <c r="AR52" s="533">
        <v>421.19</v>
      </c>
      <c r="AS52" s="531">
        <f t="shared" si="158"/>
        <v>32.414490513995823</v>
      </c>
      <c r="AT52" s="539">
        <f t="shared" si="159"/>
        <v>241.11136567243216</v>
      </c>
      <c r="AV52" s="533">
        <v>399.56799999999998</v>
      </c>
      <c r="AW52" s="531">
        <f t="shared" si="160"/>
        <v>31.423497787753291</v>
      </c>
      <c r="AX52" s="539">
        <f t="shared" si="161"/>
        <v>-99.099272624253132</v>
      </c>
      <c r="AZ52" s="533">
        <v>434.92099999999999</v>
      </c>
      <c r="BA52" s="531">
        <f t="shared" si="162"/>
        <v>32.021702141131655</v>
      </c>
      <c r="BB52" s="539">
        <f t="shared" si="163"/>
        <v>59.820435337836386</v>
      </c>
      <c r="BD52" s="533">
        <v>439</v>
      </c>
      <c r="BE52" s="531">
        <f t="shared" si="164"/>
        <v>30.240907750765324</v>
      </c>
      <c r="BF52" s="539">
        <f t="shared" si="165"/>
        <v>-178.07943903663315</v>
      </c>
      <c r="BH52" s="533">
        <v>465.76900000000001</v>
      </c>
      <c r="BI52" s="531">
        <f t="shared" si="166"/>
        <v>29.347174091109572</v>
      </c>
      <c r="BJ52" s="539">
        <f t="shared" si="167"/>
        <v>-89.373365965575147</v>
      </c>
      <c r="BL52" s="533">
        <v>481.76799999999997</v>
      </c>
      <c r="BM52" s="531">
        <f t="shared" si="168"/>
        <v>28.118481337730177</v>
      </c>
      <c r="BN52" s="539">
        <f t="shared" si="169"/>
        <v>-122.8692753379395</v>
      </c>
      <c r="BP52" s="533">
        <v>538.21</v>
      </c>
      <c r="BQ52" s="531">
        <f t="shared" si="170"/>
        <v>27.873212900365736</v>
      </c>
      <c r="BR52" s="539">
        <f t="shared" si="171"/>
        <v>-24.526843736444093</v>
      </c>
      <c r="BT52" s="546">
        <f>BT62+BT72</f>
        <v>553</v>
      </c>
      <c r="BU52" s="531">
        <f t="shared" si="172"/>
        <v>27.118171970402454</v>
      </c>
      <c r="BV52" s="539">
        <f t="shared" si="173"/>
        <v>-75.504092996328254</v>
      </c>
      <c r="BX52" s="546">
        <f>BX62+BX72</f>
        <v>572.96600000000001</v>
      </c>
      <c r="BY52" s="531">
        <f t="shared" si="174"/>
        <v>30.187881981032668</v>
      </c>
      <c r="BZ52" s="539">
        <f t="shared" si="175"/>
        <v>306.97100106302139</v>
      </c>
      <c r="CB52" s="546">
        <f>CB62+CB72</f>
        <v>581</v>
      </c>
      <c r="CC52" s="531">
        <f t="shared" si="176"/>
        <v>29.597554763117678</v>
      </c>
      <c r="CD52" s="539">
        <f t="shared" si="177"/>
        <v>-59.032721791498943</v>
      </c>
      <c r="CF52" s="546">
        <f>CF62+CF72</f>
        <v>630</v>
      </c>
      <c r="CG52" s="531">
        <f t="shared" si="178"/>
        <v>28.872593950504129</v>
      </c>
      <c r="CH52" s="539">
        <f t="shared" si="179"/>
        <v>-72.496081261354917</v>
      </c>
      <c r="CJ52" s="546">
        <f>CJ62+CJ72</f>
        <v>727</v>
      </c>
      <c r="CK52" s="531">
        <f t="shared" si="180"/>
        <v>29.338175948345441</v>
      </c>
      <c r="CL52" s="539">
        <f t="shared" si="181"/>
        <v>46.558199784131205</v>
      </c>
      <c r="CN52" s="1165">
        <v>798</v>
      </c>
      <c r="CO52" s="531">
        <f t="shared" si="182"/>
        <v>28.449197860962567</v>
      </c>
      <c r="CP52" s="538">
        <f t="shared" si="183"/>
        <v>-88.897808738287409</v>
      </c>
      <c r="CR52" s="1165">
        <v>840</v>
      </c>
      <c r="CS52" s="531">
        <f>(CR52/CR32)*100</f>
        <v>29.126213592233007</v>
      </c>
      <c r="CT52" s="538">
        <f t="shared" si="185"/>
        <v>67.701573127044057</v>
      </c>
      <c r="CV52" s="1165">
        <v>917</v>
      </c>
      <c r="CW52" s="531">
        <f>(CV52/CV32)*100</f>
        <v>29.203821656050955</v>
      </c>
      <c r="CX52" s="544">
        <f t="shared" si="186"/>
        <v>9.1666666666666563E-2</v>
      </c>
      <c r="CZ52" s="1165">
        <v>999</v>
      </c>
      <c r="DA52" s="531">
        <f>(CZ52/CZ32)*100</f>
        <v>30.027051397655548</v>
      </c>
      <c r="DB52" s="544">
        <f t="shared" si="187"/>
        <v>8.9422028353326022E-2</v>
      </c>
      <c r="DD52" s="547">
        <f>DD62+DD72</f>
        <v>1029</v>
      </c>
      <c r="DE52" s="531">
        <f t="shared" si="193"/>
        <v>29.051383399209485</v>
      </c>
      <c r="DF52" s="544">
        <f t="shared" si="188"/>
        <v>3.0030030030030019E-2</v>
      </c>
      <c r="DH52" s="547">
        <f>DH62+DH72-4</f>
        <v>1106</v>
      </c>
      <c r="DI52" s="531">
        <f t="shared" si="194"/>
        <v>30.476715348580875</v>
      </c>
      <c r="DJ52" s="544">
        <f t="shared" si="189"/>
        <v>7.4829931972789199E-2</v>
      </c>
      <c r="DL52" s="547">
        <f>DL62+DL72</f>
        <v>1137.5353106666669</v>
      </c>
      <c r="DM52" s="531">
        <f t="shared" si="195"/>
        <v>31.078277873344629</v>
      </c>
      <c r="DN52" s="544">
        <f t="shared" si="190"/>
        <v>2.8512939119951897E-2</v>
      </c>
      <c r="DO52" s="544"/>
    </row>
    <row r="53" spans="1:125" outlineLevel="1" x14ac:dyDescent="0.2">
      <c r="A53" s="517" t="s">
        <v>81</v>
      </c>
      <c r="D53" s="534">
        <v>206.07</v>
      </c>
      <c r="E53" s="531">
        <f t="shared" si="139"/>
        <v>22.266668395529159</v>
      </c>
      <c r="F53" s="538"/>
      <c r="H53" s="534">
        <v>238.09100000000001</v>
      </c>
      <c r="I53" s="531">
        <f t="shared" si="140"/>
        <v>23.788998296439509</v>
      </c>
      <c r="J53" s="539">
        <f t="shared" si="141"/>
        <v>152.23299009103499</v>
      </c>
      <c r="L53" s="534">
        <v>257.721</v>
      </c>
      <c r="M53" s="531">
        <f t="shared" si="142"/>
        <v>23.573559152738181</v>
      </c>
      <c r="N53" s="539">
        <f t="shared" si="143"/>
        <v>-21.543914370132811</v>
      </c>
      <c r="P53" s="534">
        <v>267.71899999999999</v>
      </c>
      <c r="Q53" s="531">
        <f t="shared" si="144"/>
        <v>23.732922949269046</v>
      </c>
      <c r="R53" s="539">
        <f t="shared" si="145"/>
        <v>15.936379653086519</v>
      </c>
      <c r="T53" s="534">
        <v>294.58</v>
      </c>
      <c r="U53" s="531">
        <f t="shared" si="146"/>
        <v>24.258844456156531</v>
      </c>
      <c r="V53" s="539">
        <f t="shared" si="147"/>
        <v>52.592150688748518</v>
      </c>
      <c r="X53" s="534">
        <v>313.97699999999998</v>
      </c>
      <c r="Y53" s="531">
        <f t="shared" si="148"/>
        <v>24.640721382492821</v>
      </c>
      <c r="Z53" s="539">
        <f t="shared" si="149"/>
        <v>38.187692633628956</v>
      </c>
      <c r="AB53" s="534">
        <v>331.32299999999998</v>
      </c>
      <c r="AC53" s="531">
        <f t="shared" si="150"/>
        <v>24.579896924424844</v>
      </c>
      <c r="AD53" s="539">
        <f t="shared" si="151"/>
        <v>-6.082445806797665</v>
      </c>
      <c r="AF53" s="534">
        <v>372.08600000000001</v>
      </c>
      <c r="AG53" s="531">
        <f t="shared" si="152"/>
        <v>25.121205431137561</v>
      </c>
      <c r="AH53" s="539">
        <f t="shared" si="153"/>
        <v>54.130850671271702</v>
      </c>
      <c r="AJ53" s="534">
        <v>388.262</v>
      </c>
      <c r="AK53" s="531">
        <f t="shared" si="154"/>
        <v>26.442907220103756</v>
      </c>
      <c r="AL53" s="539">
        <f t="shared" si="155"/>
        <v>132.17017889661946</v>
      </c>
      <c r="AN53" s="534">
        <v>474.86799999999999</v>
      </c>
      <c r="AO53" s="531">
        <f t="shared" si="156"/>
        <v>29.881303640051058</v>
      </c>
      <c r="AP53" s="539">
        <f t="shared" si="157"/>
        <v>343.8396419947303</v>
      </c>
      <c r="AR53" s="534">
        <v>494.34100000000001</v>
      </c>
      <c r="AS53" s="531">
        <f t="shared" si="158"/>
        <v>29.335272635777876</v>
      </c>
      <c r="AT53" s="539">
        <f t="shared" si="159"/>
        <v>-54.603100427318196</v>
      </c>
      <c r="AV53" s="534">
        <v>468.92</v>
      </c>
      <c r="AW53" s="531">
        <f t="shared" si="160"/>
        <v>28.245810594287228</v>
      </c>
      <c r="AX53" s="539">
        <f t="shared" si="161"/>
        <v>-108.94620414906484</v>
      </c>
      <c r="AZ53" s="534">
        <v>499.18</v>
      </c>
      <c r="BA53" s="531">
        <f t="shared" si="162"/>
        <v>27.919718643870617</v>
      </c>
      <c r="BB53" s="539">
        <f t="shared" si="163"/>
        <v>-32.60919504166111</v>
      </c>
      <c r="BD53" s="534">
        <v>547.5</v>
      </c>
      <c r="BE53" s="531">
        <f t="shared" si="164"/>
        <v>27.933659217520805</v>
      </c>
      <c r="BF53" s="539">
        <f t="shared" si="165"/>
        <v>1.3940573650188526</v>
      </c>
      <c r="BH53" s="534">
        <v>565.49699999999996</v>
      </c>
      <c r="BI53" s="531">
        <f t="shared" si="166"/>
        <v>26.35371675592647</v>
      </c>
      <c r="BJ53" s="539">
        <f t="shared" si="167"/>
        <v>-157.99424615943352</v>
      </c>
      <c r="BL53" s="534">
        <v>602.28</v>
      </c>
      <c r="BM53" s="531">
        <f t="shared" si="168"/>
        <v>25.552799700636658</v>
      </c>
      <c r="BN53" s="539">
        <f t="shared" si="169"/>
        <v>-80.091705528981194</v>
      </c>
      <c r="BP53" s="534">
        <v>684.88099999999997</v>
      </c>
      <c r="BQ53" s="531">
        <f t="shared" si="170"/>
        <v>25.404342337924589</v>
      </c>
      <c r="BR53" s="539">
        <f t="shared" si="171"/>
        <v>-14.845736271206889</v>
      </c>
      <c r="BT53" s="548">
        <f>BT63+BT73</f>
        <v>637</v>
      </c>
      <c r="BU53" s="531">
        <f t="shared" si="172"/>
        <v>24.594594594594597</v>
      </c>
      <c r="BV53" s="539">
        <f t="shared" si="173"/>
        <v>-80.974774332999289</v>
      </c>
      <c r="BX53" s="548">
        <f>BX63+BX73</f>
        <v>670</v>
      </c>
      <c r="BY53" s="531">
        <f t="shared" si="174"/>
        <v>28.021748222501046</v>
      </c>
      <c r="BZ53" s="539">
        <f t="shared" si="175"/>
        <v>342.71536279064492</v>
      </c>
      <c r="CB53" s="548">
        <f>CB63+CB73</f>
        <v>737</v>
      </c>
      <c r="CC53" s="531">
        <f t="shared" si="176"/>
        <v>27.916666666666668</v>
      </c>
      <c r="CD53" s="539">
        <f t="shared" si="177"/>
        <v>-10.508155583437784</v>
      </c>
      <c r="CF53" s="548">
        <f>CF63+CF73</f>
        <v>752</v>
      </c>
      <c r="CG53" s="531">
        <f t="shared" si="178"/>
        <v>25.788751714677637</v>
      </c>
      <c r="CH53" s="539">
        <f t="shared" si="179"/>
        <v>-212.79149519890302</v>
      </c>
      <c r="CJ53" s="548">
        <f>CJ63+CJ73</f>
        <v>876</v>
      </c>
      <c r="CK53" s="531">
        <f t="shared" si="180"/>
        <v>26.821800367421922</v>
      </c>
      <c r="CL53" s="539">
        <f t="shared" si="181"/>
        <v>103.30486527442844</v>
      </c>
      <c r="CN53" s="1166">
        <v>961</v>
      </c>
      <c r="CO53" s="531">
        <f t="shared" si="182"/>
        <v>25.987020010816657</v>
      </c>
      <c r="CP53" s="538">
        <f t="shared" si="183"/>
        <v>-83.478035660526473</v>
      </c>
      <c r="CR53" s="1166">
        <v>955</v>
      </c>
      <c r="CS53" s="531">
        <f t="shared" si="184"/>
        <v>25.734303422258154</v>
      </c>
      <c r="CT53" s="538">
        <f t="shared" si="185"/>
        <v>-25.271658855850276</v>
      </c>
      <c r="CV53" s="1166">
        <v>1084</v>
      </c>
      <c r="CW53" s="531">
        <f>(CV53/CV33)*100</f>
        <v>26.811773435567648</v>
      </c>
      <c r="CX53" s="544">
        <f t="shared" si="186"/>
        <v>0.13507853403141357</v>
      </c>
      <c r="CZ53" s="1166">
        <f>CZ63+CZ73</f>
        <v>1122</v>
      </c>
      <c r="DA53" s="531">
        <f t="shared" si="192"/>
        <v>26.752503576537912</v>
      </c>
      <c r="DB53" s="544">
        <f t="shared" si="187"/>
        <v>3.5055350553505615E-2</v>
      </c>
      <c r="DD53" s="549">
        <f>DD63+DD73</f>
        <v>1172</v>
      </c>
      <c r="DE53" s="531">
        <f t="shared" si="193"/>
        <v>27.15477293790547</v>
      </c>
      <c r="DF53" s="544">
        <f t="shared" si="188"/>
        <v>4.4563279857397609E-2</v>
      </c>
      <c r="DH53" s="549">
        <f>DH63+DH73</f>
        <v>1383</v>
      </c>
      <c r="DI53" s="531">
        <f t="shared" si="194"/>
        <v>29.413015737983837</v>
      </c>
      <c r="DJ53" s="544">
        <f t="shared" si="189"/>
        <v>0.18003412969283272</v>
      </c>
      <c r="DL53" s="549">
        <f>DL63+DL73</f>
        <v>1319.5302491803279</v>
      </c>
      <c r="DM53" s="531">
        <f t="shared" si="195"/>
        <v>29.602201169504617</v>
      </c>
      <c r="DN53" s="544">
        <f t="shared" si="190"/>
        <v>-4.5892806087976967E-2</v>
      </c>
      <c r="DO53" s="544"/>
      <c r="DS53" s="362"/>
    </row>
    <row r="54" spans="1:125" outlineLevel="1" x14ac:dyDescent="0.2">
      <c r="A54" s="517" t="s">
        <v>82</v>
      </c>
      <c r="D54" s="533">
        <v>747.77</v>
      </c>
      <c r="E54" s="531">
        <f t="shared" si="139"/>
        <v>25.105050621708987</v>
      </c>
      <c r="F54" s="538"/>
      <c r="H54" s="533">
        <v>831.505</v>
      </c>
      <c r="I54" s="531">
        <f t="shared" si="140"/>
        <v>25.449588845464838</v>
      </c>
      <c r="J54" s="539">
        <f t="shared" si="141"/>
        <v>34.453822375585119</v>
      </c>
      <c r="L54" s="533">
        <v>902.09699999999998</v>
      </c>
      <c r="M54" s="531">
        <f t="shared" si="142"/>
        <v>25.666262366920371</v>
      </c>
      <c r="N54" s="539">
        <f t="shared" si="143"/>
        <v>21.667352145553309</v>
      </c>
      <c r="P54" s="533">
        <v>940.57899999999995</v>
      </c>
      <c r="Q54" s="531">
        <f t="shared" si="144"/>
        <v>25.570002775627863</v>
      </c>
      <c r="R54" s="539">
        <f t="shared" si="145"/>
        <v>-9.6259591292508162</v>
      </c>
      <c r="T54" s="533">
        <v>1023.347</v>
      </c>
      <c r="U54" s="531">
        <f t="shared" si="146"/>
        <v>25.653439528798565</v>
      </c>
      <c r="V54" s="539">
        <f t="shared" si="147"/>
        <v>8.343675317070165</v>
      </c>
      <c r="X54" s="533">
        <v>1121.1379999999999</v>
      </c>
      <c r="Y54" s="531">
        <f t="shared" si="148"/>
        <v>26.450380616829055</v>
      </c>
      <c r="Z54" s="539">
        <f t="shared" si="149"/>
        <v>79.694108803048991</v>
      </c>
      <c r="AB54" s="533">
        <v>1217.5899999999999</v>
      </c>
      <c r="AC54" s="531">
        <f t="shared" si="150"/>
        <v>26.570245445094542</v>
      </c>
      <c r="AD54" s="539">
        <f t="shared" si="151"/>
        <v>11.986482826548794</v>
      </c>
      <c r="AF54" s="533">
        <v>1322.9290000000001</v>
      </c>
      <c r="AG54" s="531">
        <f t="shared" si="152"/>
        <v>26.670853321586506</v>
      </c>
      <c r="AH54" s="539">
        <f t="shared" si="153"/>
        <v>10.060787649196357</v>
      </c>
      <c r="AJ54" s="533">
        <v>1405.27</v>
      </c>
      <c r="AK54" s="531">
        <f t="shared" si="154"/>
        <v>27.366349829767266</v>
      </c>
      <c r="AL54" s="539">
        <f t="shared" si="155"/>
        <v>69.549650818076003</v>
      </c>
      <c r="AN54" s="533">
        <v>1523.836</v>
      </c>
      <c r="AO54" s="531">
        <f t="shared" si="156"/>
        <v>28.938450369109397</v>
      </c>
      <c r="AP54" s="539">
        <f t="shared" si="157"/>
        <v>157.21005393421308</v>
      </c>
      <c r="AR54" s="533">
        <v>1747.048</v>
      </c>
      <c r="AS54" s="531">
        <f t="shared" si="158"/>
        <v>30.87127949014134</v>
      </c>
      <c r="AT54" s="539">
        <f t="shared" si="159"/>
        <v>193.28291210319435</v>
      </c>
      <c r="AV54" s="533">
        <v>1722.635</v>
      </c>
      <c r="AW54" s="531">
        <f t="shared" si="160"/>
        <v>29.865274392252449</v>
      </c>
      <c r="AX54" s="539">
        <f t="shared" si="161"/>
        <v>-100.60050978888917</v>
      </c>
      <c r="AZ54" s="533">
        <v>1783.21</v>
      </c>
      <c r="BA54" s="531">
        <f t="shared" si="162"/>
        <v>29.310094026162304</v>
      </c>
      <c r="BB54" s="539">
        <f t="shared" si="163"/>
        <v>-55.518036609014487</v>
      </c>
      <c r="BD54" s="533">
        <v>1899.126</v>
      </c>
      <c r="BE54" s="531">
        <f t="shared" si="164"/>
        <v>28.758679653804208</v>
      </c>
      <c r="BF54" s="539">
        <f t="shared" si="165"/>
        <v>-55.141437235809576</v>
      </c>
      <c r="BH54" s="533">
        <v>2020.2329999999997</v>
      </c>
      <c r="BI54" s="531">
        <f t="shared" si="166"/>
        <v>27.657924621681175</v>
      </c>
      <c r="BJ54" s="539">
        <f t="shared" si="167"/>
        <v>-110.07550321230326</v>
      </c>
      <c r="BL54" s="533">
        <v>2100.6660000000002</v>
      </c>
      <c r="BM54" s="531">
        <f t="shared" si="168"/>
        <v>26.527023856397413</v>
      </c>
      <c r="BN54" s="539">
        <f t="shared" si="169"/>
        <v>-113.09007652837622</v>
      </c>
      <c r="BP54" s="533">
        <v>2296.8629999999998</v>
      </c>
      <c r="BQ54" s="531">
        <f t="shared" si="170"/>
        <v>26.10302068716749</v>
      </c>
      <c r="BR54" s="539">
        <f t="shared" si="171"/>
        <v>-42.400316922992332</v>
      </c>
      <c r="BT54" s="546">
        <f>BT64+BT74</f>
        <v>2360</v>
      </c>
      <c r="BU54" s="531">
        <f t="shared" si="172"/>
        <v>25.937600288390943</v>
      </c>
      <c r="BV54" s="539">
        <f t="shared" si="173"/>
        <v>-16.542039877654702</v>
      </c>
      <c r="BX54" s="546">
        <f>BX64+BX74</f>
        <v>2387.9659999999999</v>
      </c>
      <c r="BY54" s="531">
        <f t="shared" si="174"/>
        <v>27.776736070722347</v>
      </c>
      <c r="BZ54" s="539">
        <f t="shared" si="175"/>
        <v>183.91357823314038</v>
      </c>
      <c r="CB54" s="546">
        <f>CB64+CB74</f>
        <v>2465</v>
      </c>
      <c r="CC54" s="531">
        <f t="shared" si="176"/>
        <v>28.573084502144429</v>
      </c>
      <c r="CD54" s="539">
        <f t="shared" si="177"/>
        <v>79.634843142208211</v>
      </c>
      <c r="CF54" s="546">
        <f>CF64+CF74</f>
        <v>2685</v>
      </c>
      <c r="CG54" s="531">
        <f t="shared" si="178"/>
        <v>27.680412371134022</v>
      </c>
      <c r="CH54" s="539">
        <f t="shared" si="179"/>
        <v>-89.26721310104071</v>
      </c>
      <c r="CJ54" s="546">
        <f>CJ64+CJ74</f>
        <v>3036</v>
      </c>
      <c r="CK54" s="531">
        <f t="shared" si="180"/>
        <v>27.912108118047257</v>
      </c>
      <c r="CL54" s="539">
        <f t="shared" si="181"/>
        <v>23.169574691323547</v>
      </c>
      <c r="CN54" s="546">
        <f>SUM(CN50:CN53)</f>
        <v>3357</v>
      </c>
      <c r="CO54" s="531">
        <f t="shared" si="182"/>
        <v>27.666062304268994</v>
      </c>
      <c r="CP54" s="538">
        <f t="shared" si="183"/>
        <v>-24.604581377826307</v>
      </c>
      <c r="CR54" s="546">
        <f>SUM(CR50:CR53)</f>
        <v>3453</v>
      </c>
      <c r="CS54" s="531">
        <f t="shared" si="184"/>
        <v>27.535885167464112</v>
      </c>
      <c r="CT54" s="538">
        <f t="shared" si="185"/>
        <v>-13.017713680488185</v>
      </c>
      <c r="CV54" s="546">
        <f>SUM(CV50:CV53)</f>
        <v>3776</v>
      </c>
      <c r="CW54" s="531">
        <f t="shared" si="191"/>
        <v>27.957944617207168</v>
      </c>
      <c r="CX54" s="544">
        <f t="shared" si="186"/>
        <v>9.3541847668694E-2</v>
      </c>
      <c r="CZ54" s="546">
        <f>SUM(CZ50:CZ53)</f>
        <v>4140</v>
      </c>
      <c r="DA54" s="531">
        <f>(CZ54/CZ34)*100</f>
        <v>28.676317794555654</v>
      </c>
      <c r="DB54" s="544">
        <f t="shared" si="187"/>
        <v>9.6398305084745672E-2</v>
      </c>
      <c r="DD54" s="546">
        <f>SUM(DD50:DD53)</f>
        <v>4316</v>
      </c>
      <c r="DE54" s="531">
        <f t="shared" si="193"/>
        <v>29.245155170077247</v>
      </c>
      <c r="DF54" s="544">
        <f t="shared" si="188"/>
        <v>4.251207729468609E-2</v>
      </c>
      <c r="DH54" s="546">
        <f>SUM(DH50:DH53)</f>
        <v>4662</v>
      </c>
      <c r="DI54" s="531">
        <f t="shared" si="194"/>
        <v>30.120170564672438</v>
      </c>
      <c r="DJ54" s="544">
        <f t="shared" si="189"/>
        <v>8.0166821130676524E-2</v>
      </c>
      <c r="DL54" s="546">
        <f>SUM(DL50:DL53)</f>
        <v>4848.4949247441764</v>
      </c>
      <c r="DM54" s="531">
        <f t="shared" si="195"/>
        <v>30.883828037858457</v>
      </c>
      <c r="DN54" s="544">
        <f t="shared" si="190"/>
        <v>4.0003201360827134E-2</v>
      </c>
      <c r="DO54" s="544"/>
      <c r="DQ54" s="255"/>
    </row>
    <row r="55" spans="1:125" hidden="1" outlineLevel="2" x14ac:dyDescent="0.2">
      <c r="A55" s="517" t="s">
        <v>281</v>
      </c>
      <c r="D55" s="524">
        <f>D50+D51</f>
        <v>363.9</v>
      </c>
      <c r="E55" s="531">
        <f t="shared" si="139"/>
        <v>26.052405498281782</v>
      </c>
      <c r="F55" s="538"/>
      <c r="H55" s="524">
        <f>H50+H51</f>
        <v>390.01300000000003</v>
      </c>
      <c r="I55" s="531">
        <f t="shared" si="140"/>
        <v>25.066746020626034</v>
      </c>
      <c r="J55" s="539">
        <f t="shared" si="141"/>
        <v>-98.565947765574791</v>
      </c>
      <c r="L55" s="524">
        <f>L50+L51</f>
        <v>430.94799999999998</v>
      </c>
      <c r="M55" s="531">
        <f t="shared" si="142"/>
        <v>25.9421570586833</v>
      </c>
      <c r="N55" s="539">
        <f t="shared" si="143"/>
        <v>87.54110380572655</v>
      </c>
      <c r="P55" s="524">
        <f>P50+P51</f>
        <v>456.53</v>
      </c>
      <c r="Q55" s="531">
        <f t="shared" si="144"/>
        <v>25.963294352089179</v>
      </c>
      <c r="R55" s="539">
        <f t="shared" si="145"/>
        <v>2.1137293405878665</v>
      </c>
      <c r="T55" s="524">
        <f>T50+T51</f>
        <v>482.46000000000004</v>
      </c>
      <c r="U55" s="531">
        <f t="shared" si="146"/>
        <v>25.548626111324996</v>
      </c>
      <c r="V55" s="539">
        <f t="shared" si="147"/>
        <v>-41.466824076418263</v>
      </c>
      <c r="X55" s="524">
        <f>X50+X51</f>
        <v>539.60900000000004</v>
      </c>
      <c r="Y55" s="531">
        <f t="shared" si="148"/>
        <v>26.644739603367373</v>
      </c>
      <c r="Z55" s="539">
        <f t="shared" si="149"/>
        <v>109.61134920423774</v>
      </c>
      <c r="AB55" s="524">
        <f>AB50+AB51</f>
        <v>597.62300000000005</v>
      </c>
      <c r="AC55" s="531">
        <f t="shared" si="150"/>
        <v>26.972441868861935</v>
      </c>
      <c r="AD55" s="539">
        <f t="shared" si="151"/>
        <v>32.770226549456183</v>
      </c>
      <c r="AF55" s="524">
        <f>AF50+AF51</f>
        <v>624.65</v>
      </c>
      <c r="AG55" s="531">
        <f t="shared" si="152"/>
        <v>26.45181124929281</v>
      </c>
      <c r="AH55" s="539">
        <f t="shared" si="153"/>
        <v>-52.063061956912549</v>
      </c>
      <c r="AJ55" s="524">
        <f>AJ50+AJ51</f>
        <v>688.77299999999991</v>
      </c>
      <c r="AK55" s="531">
        <f t="shared" si="154"/>
        <v>27.058445469084468</v>
      </c>
      <c r="AL55" s="539">
        <f t="shared" si="155"/>
        <v>60.663421979165832</v>
      </c>
      <c r="AN55" s="524">
        <f>AN50+AN51</f>
        <v>707.78399999999999</v>
      </c>
      <c r="AO55" s="531">
        <f t="shared" si="156"/>
        <v>27.956900055575368</v>
      </c>
      <c r="AP55" s="539">
        <f t="shared" si="157"/>
        <v>89.845458649089949</v>
      </c>
      <c r="AR55" s="524">
        <f>AR50+AR51</f>
        <v>808.31700000000001</v>
      </c>
      <c r="AS55" s="531">
        <f t="shared" si="158"/>
        <v>30.221898020905503</v>
      </c>
      <c r="AT55" s="539">
        <f t="shared" si="159"/>
        <v>226.49979653301352</v>
      </c>
      <c r="AV55" s="524">
        <f>AV50+AV51</f>
        <v>854.14699999999993</v>
      </c>
      <c r="AW55" s="531">
        <f t="shared" si="160"/>
        <v>30.114599118153716</v>
      </c>
      <c r="AX55" s="539">
        <f t="shared" si="161"/>
        <v>-10.729890275178633</v>
      </c>
      <c r="AZ55" s="524">
        <f>AZ50+AZ51</f>
        <v>867.19900000000007</v>
      </c>
      <c r="BA55" s="531">
        <f t="shared" si="162"/>
        <v>29.199268401250666</v>
      </c>
      <c r="BB55" s="539">
        <f t="shared" si="163"/>
        <v>-91.533071690304979</v>
      </c>
      <c r="BD55" s="524">
        <f>BD50+BD51</f>
        <v>912.62599999999998</v>
      </c>
      <c r="BE55" s="531">
        <f t="shared" si="164"/>
        <v>28.591174457273453</v>
      </c>
      <c r="BF55" s="539">
        <f t="shared" si="165"/>
        <v>-60.809394397721306</v>
      </c>
      <c r="BH55" s="524">
        <f>BH50+BH51</f>
        <v>988.96699999999987</v>
      </c>
      <c r="BI55" s="531">
        <f t="shared" si="166"/>
        <v>27.690840074042566</v>
      </c>
      <c r="BJ55" s="539">
        <f t="shared" si="167"/>
        <v>-90.033438323088788</v>
      </c>
      <c r="BL55" s="524">
        <f>BL50+BL51</f>
        <v>1016.6180000000001</v>
      </c>
      <c r="BM55" s="531">
        <f t="shared" si="168"/>
        <v>26.415171799510169</v>
      </c>
      <c r="BN55" s="539">
        <f t="shared" si="169"/>
        <v>-127.56682745323964</v>
      </c>
      <c r="BP55" s="524">
        <f>BP50+BP51</f>
        <v>1073.7719999999999</v>
      </c>
      <c r="BQ55" s="531">
        <f t="shared" si="170"/>
        <v>25.735239839132579</v>
      </c>
      <c r="BR55" s="539">
        <f t="shared" si="171"/>
        <v>-67.993196037759063</v>
      </c>
      <c r="BT55" s="524">
        <f>BT50+BT51</f>
        <v>1170</v>
      </c>
      <c r="BU55" s="531">
        <f t="shared" si="172"/>
        <v>26.177208064280482</v>
      </c>
      <c r="BV55" s="539">
        <f t="shared" si="173"/>
        <v>44.196822514790313</v>
      </c>
      <c r="BX55" s="524">
        <f>BX50+BX51</f>
        <v>1135</v>
      </c>
      <c r="BY55" s="531">
        <f t="shared" si="174"/>
        <v>26.346332404828228</v>
      </c>
      <c r="BZ55" s="539">
        <f t="shared" si="175"/>
        <v>16.91243405477465</v>
      </c>
      <c r="CB55" s="524">
        <f>CB50+CB51</f>
        <v>1147</v>
      </c>
      <c r="CC55" s="531">
        <f t="shared" si="176"/>
        <v>28.503976143141152</v>
      </c>
      <c r="CD55" s="539">
        <f t="shared" si="177"/>
        <v>215.7643738312924</v>
      </c>
      <c r="CF55" s="524">
        <f>CF50+CF51</f>
        <v>1303</v>
      </c>
      <c r="CG55" s="531">
        <f t="shared" si="178"/>
        <v>28.313776618861365</v>
      </c>
      <c r="CH55" s="539">
        <f t="shared" si="179"/>
        <v>-19.019952427978737</v>
      </c>
      <c r="CJ55" s="524">
        <f>CJ50+CJ51</f>
        <v>1433</v>
      </c>
      <c r="CK55" s="531">
        <f t="shared" si="180"/>
        <v>27.917397233586595</v>
      </c>
      <c r="CL55" s="539">
        <f t="shared" si="181"/>
        <v>-39.63793852747699</v>
      </c>
      <c r="CN55" s="524">
        <f>CN50+CN51</f>
        <v>1598</v>
      </c>
      <c r="CO55" s="531">
        <f t="shared" si="182"/>
        <v>28.378618362635411</v>
      </c>
      <c r="CP55" s="538">
        <f t="shared" si="183"/>
        <v>46.122112904881618</v>
      </c>
      <c r="CR55" s="524">
        <f>CR50+CR51</f>
        <v>1658</v>
      </c>
      <c r="CS55" s="531">
        <f t="shared" si="184"/>
        <v>27.888982338099243</v>
      </c>
      <c r="CT55" s="538">
        <f t="shared" si="185"/>
        <v>-48.963602453616772</v>
      </c>
      <c r="CV55" s="524">
        <f>CV50+CV51</f>
        <v>1775</v>
      </c>
      <c r="CW55" s="531">
        <f t="shared" si="191"/>
        <v>28.072117665665029</v>
      </c>
      <c r="CX55" s="544">
        <f t="shared" si="186"/>
        <v>7.0566948130277529E-2</v>
      </c>
      <c r="CZ55" s="524">
        <f>CZ50+CZ51</f>
        <v>2019</v>
      </c>
      <c r="DA55" s="531">
        <f t="shared" si="192"/>
        <v>29.193175245806824</v>
      </c>
      <c r="DB55" s="544">
        <f t="shared" si="187"/>
        <v>0.13746478873239432</v>
      </c>
      <c r="DD55" s="524">
        <f>DD50+DD51</f>
        <v>2115</v>
      </c>
      <c r="DE55" s="531">
        <f t="shared" si="193"/>
        <v>30.65217391304348</v>
      </c>
      <c r="DF55" s="544">
        <f t="shared" si="188"/>
        <v>4.7548291233283857E-2</v>
      </c>
      <c r="DH55" s="524">
        <f>DH50+DH51</f>
        <v>2173</v>
      </c>
      <c r="DI55" s="531">
        <f t="shared" si="194"/>
        <v>30.404365468028544</v>
      </c>
      <c r="DJ55" s="544">
        <f t="shared" si="189"/>
        <v>2.7423167848699803E-2</v>
      </c>
      <c r="DL55" s="524">
        <f>DL50+DL51</f>
        <v>2391.4293648971816</v>
      </c>
      <c r="DM55" s="531">
        <f t="shared" si="195"/>
        <v>31.54349418400454</v>
      </c>
      <c r="DN55" s="544">
        <f t="shared" si="190"/>
        <v>0.10051972613768134</v>
      </c>
      <c r="DO55" s="544"/>
    </row>
    <row r="56" spans="1:125" hidden="1" outlineLevel="2" x14ac:dyDescent="0.2">
      <c r="A56" s="517" t="s">
        <v>282</v>
      </c>
      <c r="D56" s="524">
        <f>D53+D52</f>
        <v>383.87</v>
      </c>
      <c r="E56" s="531">
        <f t="shared" si="139"/>
        <v>24.268474943164719</v>
      </c>
      <c r="F56" s="538"/>
      <c r="H56" s="524">
        <f>H53+H52</f>
        <v>441.49200000000002</v>
      </c>
      <c r="I56" s="531">
        <f t="shared" si="140"/>
        <v>25.797652750874299</v>
      </c>
      <c r="J56" s="539">
        <f t="shared" si="141"/>
        <v>152.91778077095799</v>
      </c>
      <c r="L56" s="524">
        <f>L53+L52</f>
        <v>471.149</v>
      </c>
      <c r="M56" s="531">
        <f t="shared" si="142"/>
        <v>25.418997578136004</v>
      </c>
      <c r="N56" s="539">
        <f t="shared" si="143"/>
        <v>-37.865517273829497</v>
      </c>
      <c r="P56" s="524">
        <f>P53+P52</f>
        <v>484.04899999999998</v>
      </c>
      <c r="Q56" s="531">
        <f t="shared" si="144"/>
        <v>25.209835006874716</v>
      </c>
      <c r="R56" s="539">
        <f t="shared" si="145"/>
        <v>-20.916257126128812</v>
      </c>
      <c r="T56" s="524">
        <f>T53+T52</f>
        <v>540.88699999999994</v>
      </c>
      <c r="U56" s="531">
        <f t="shared" si="146"/>
        <v>25.747659258264889</v>
      </c>
      <c r="V56" s="539">
        <f t="shared" si="147"/>
        <v>53.78242513901732</v>
      </c>
      <c r="X56" s="524">
        <f>X53+X52</f>
        <v>581.529</v>
      </c>
      <c r="Y56" s="531">
        <f t="shared" si="148"/>
        <v>26.272551364455531</v>
      </c>
      <c r="Z56" s="539">
        <f t="shared" si="149"/>
        <v>52.489210619064153</v>
      </c>
      <c r="AB56" s="524">
        <f>AB53+AB52</f>
        <v>619.96699999999998</v>
      </c>
      <c r="AC56" s="531">
        <f t="shared" si="150"/>
        <v>26.193737504499648</v>
      </c>
      <c r="AD56" s="539">
        <f t="shared" si="151"/>
        <v>-7.8813859955882748</v>
      </c>
      <c r="AF56" s="524">
        <f>AF53+AF52</f>
        <v>698.279</v>
      </c>
      <c r="AG56" s="531">
        <f t="shared" si="152"/>
        <v>26.869895845719139</v>
      </c>
      <c r="AH56" s="539">
        <f t="shared" si="153"/>
        <v>67.615834121949092</v>
      </c>
      <c r="AJ56" s="524">
        <f>AJ53+AJ52</f>
        <v>716.49700000000007</v>
      </c>
      <c r="AK56" s="531">
        <f t="shared" si="154"/>
        <v>24.360529181588198</v>
      </c>
      <c r="AL56" s="539">
        <f t="shared" si="155"/>
        <v>-250.93666641309403</v>
      </c>
      <c r="AN56" s="524">
        <f>AN53+AN52</f>
        <v>816.05200000000002</v>
      </c>
      <c r="AO56" s="531">
        <f t="shared" si="156"/>
        <v>29.932220312045516</v>
      </c>
      <c r="AP56" s="539">
        <f t="shared" si="157"/>
        <v>557.16911304573171</v>
      </c>
      <c r="AR56" s="524">
        <f>AR53+AR52</f>
        <v>915.53099999999995</v>
      </c>
      <c r="AS56" s="531">
        <f t="shared" si="158"/>
        <v>30.675885315275774</v>
      </c>
      <c r="AT56" s="539">
        <f t="shared" si="159"/>
        <v>74.366500323025875</v>
      </c>
      <c r="AV56" s="524">
        <f>AV53+AV52</f>
        <v>868.48800000000006</v>
      </c>
      <c r="AW56" s="531">
        <f t="shared" si="160"/>
        <v>29.624060868479635</v>
      </c>
      <c r="AX56" s="539">
        <f t="shared" si="161"/>
        <v>-105.18244467961395</v>
      </c>
      <c r="AZ56" s="524">
        <f>AZ53+AZ52</f>
        <v>934.101</v>
      </c>
      <c r="BA56" s="531">
        <f t="shared" si="162"/>
        <v>29.690580680514628</v>
      </c>
      <c r="BB56" s="539">
        <f t="shared" si="163"/>
        <v>6.6519812034993464</v>
      </c>
      <c r="BD56" s="524">
        <f>BD53+BD52</f>
        <v>986.5</v>
      </c>
      <c r="BE56" s="531">
        <f t="shared" si="164"/>
        <v>28.915398497571726</v>
      </c>
      <c r="BF56" s="539">
        <f t="shared" si="165"/>
        <v>-77.518218294290264</v>
      </c>
      <c r="BH56" s="524">
        <f>BH53+BH52</f>
        <v>1031.2660000000001</v>
      </c>
      <c r="BI56" s="531">
        <f t="shared" si="166"/>
        <v>27.626432667826805</v>
      </c>
      <c r="BJ56" s="539">
        <f t="shared" si="167"/>
        <v>-128.89658297449211</v>
      </c>
      <c r="BL56" s="524">
        <f>BL53+BL52</f>
        <v>1084.048</v>
      </c>
      <c r="BM56" s="531">
        <f t="shared" si="168"/>
        <v>26.632782619291895</v>
      </c>
      <c r="BN56" s="539">
        <f t="shared" si="169"/>
        <v>-99.365004853491001</v>
      </c>
      <c r="BP56" s="524">
        <f>BP53+BP52</f>
        <v>1223.0909999999999</v>
      </c>
      <c r="BQ56" s="531">
        <f t="shared" si="170"/>
        <v>26.434676949271889</v>
      </c>
      <c r="BR56" s="539">
        <f t="shared" si="171"/>
        <v>-19.810567002000568</v>
      </c>
      <c r="BT56" s="524">
        <f>BT53+BT52</f>
        <v>1190</v>
      </c>
      <c r="BU56" s="531">
        <f t="shared" si="172"/>
        <v>25.706257832037906</v>
      </c>
      <c r="BV56" s="539">
        <f t="shared" si="173"/>
        <v>-72.841911723398312</v>
      </c>
      <c r="BX56" s="524">
        <f>BX53+BX52</f>
        <v>1242.9659999999999</v>
      </c>
      <c r="BY56" s="531">
        <f t="shared" si="174"/>
        <v>28.980321753322453</v>
      </c>
      <c r="BZ56" s="539">
        <f t="shared" si="175"/>
        <v>327.40639212845474</v>
      </c>
      <c r="CB56" s="524">
        <f>CB53+CB52</f>
        <v>1318</v>
      </c>
      <c r="CC56" s="531">
        <f t="shared" si="176"/>
        <v>28.633499891375191</v>
      </c>
      <c r="CD56" s="539">
        <f t="shared" si="177"/>
        <v>-34.682186194726228</v>
      </c>
      <c r="CF56" s="524">
        <f>CF53+CF52</f>
        <v>1382</v>
      </c>
      <c r="CG56" s="531">
        <f t="shared" si="178"/>
        <v>27.10867006669282</v>
      </c>
      <c r="CH56" s="539">
        <f t="shared" si="179"/>
        <v>-152.48298246823708</v>
      </c>
      <c r="CJ56" s="524">
        <f>CJ53+CJ52</f>
        <v>1603</v>
      </c>
      <c r="CK56" s="531">
        <f t="shared" si="180"/>
        <v>27.907381615598887</v>
      </c>
      <c r="CL56" s="539">
        <f t="shared" si="181"/>
        <v>79.871154890606633</v>
      </c>
      <c r="CN56" s="524">
        <f>CN53+CN52</f>
        <v>1759</v>
      </c>
      <c r="CO56" s="531">
        <f t="shared" si="182"/>
        <v>27.049054282638785</v>
      </c>
      <c r="CP56" s="538">
        <f t="shared" si="183"/>
        <v>-85.832733296010133</v>
      </c>
      <c r="CR56" s="524">
        <f>CR53+CR52</f>
        <v>1795</v>
      </c>
      <c r="CS56" s="531">
        <f t="shared" si="184"/>
        <v>27.217589082638362</v>
      </c>
      <c r="CT56" s="538">
        <f t="shared" si="185"/>
        <v>16.853479999957699</v>
      </c>
      <c r="CV56" s="524">
        <f>CV53+CV52</f>
        <v>2001</v>
      </c>
      <c r="CW56" s="531">
        <f t="shared" si="191"/>
        <v>27.857441180565225</v>
      </c>
      <c r="CX56" s="544">
        <f t="shared" si="186"/>
        <v>0.11476323119777154</v>
      </c>
      <c r="CZ56" s="524">
        <f>CZ53+CZ52</f>
        <v>2121</v>
      </c>
      <c r="DA56" s="531">
        <f t="shared" si="192"/>
        <v>28.201037096130833</v>
      </c>
      <c r="DB56" s="544">
        <f t="shared" si="187"/>
        <v>5.9970014992503762E-2</v>
      </c>
      <c r="DD56" s="524">
        <f>DD53+DD52</f>
        <v>2201</v>
      </c>
      <c r="DE56" s="531">
        <f t="shared" si="193"/>
        <v>28.00967167218122</v>
      </c>
      <c r="DF56" s="544">
        <f t="shared" si="188"/>
        <v>3.7718057520037762E-2</v>
      </c>
      <c r="DH56" s="524">
        <f>DH53+DH52</f>
        <v>2489</v>
      </c>
      <c r="DI56" s="531">
        <f t="shared" si="194"/>
        <v>29.876365382307046</v>
      </c>
      <c r="DJ56" s="544">
        <f t="shared" si="189"/>
        <v>0.13084961381190374</v>
      </c>
      <c r="DL56" s="524">
        <f>DL53+DL52</f>
        <v>2457.0655598469948</v>
      </c>
      <c r="DM56" s="531">
        <f t="shared" si="195"/>
        <v>30.267750526917307</v>
      </c>
      <c r="DN56" s="544">
        <f t="shared" si="190"/>
        <v>-1.2830229069106136E-2</v>
      </c>
      <c r="DO56" s="544"/>
    </row>
    <row r="57" spans="1:125" outlineLevel="1" collapsed="1" x14ac:dyDescent="0.2">
      <c r="D57" s="361"/>
      <c r="E57" s="550"/>
      <c r="F57" s="550"/>
      <c r="H57" s="361"/>
      <c r="I57" s="550"/>
      <c r="J57" s="550"/>
      <c r="L57" s="361"/>
      <c r="M57" s="550"/>
      <c r="N57" s="550"/>
      <c r="P57" s="361"/>
      <c r="Q57" s="550"/>
      <c r="R57" s="550"/>
      <c r="T57" s="361"/>
      <c r="U57" s="550"/>
      <c r="V57" s="550"/>
      <c r="X57" s="361"/>
      <c r="Y57" s="550"/>
      <c r="Z57" s="550"/>
      <c r="AB57" s="361"/>
      <c r="AC57" s="550"/>
      <c r="AD57" s="550"/>
      <c r="AF57" s="361"/>
      <c r="AG57" s="550"/>
      <c r="AH57" s="550"/>
      <c r="AJ57" s="361"/>
      <c r="AK57" s="550"/>
      <c r="AL57" s="550"/>
      <c r="AN57" s="361"/>
      <c r="AO57" s="550"/>
      <c r="AP57" s="550"/>
      <c r="AR57" s="361"/>
      <c r="AS57" s="550"/>
      <c r="AT57" s="550"/>
      <c r="AV57" s="361"/>
      <c r="AW57" s="550"/>
      <c r="AX57" s="550"/>
      <c r="AZ57" s="361"/>
      <c r="BA57" s="550"/>
      <c r="BB57" s="550"/>
      <c r="BD57" s="361"/>
      <c r="BE57" s="550"/>
      <c r="BF57" s="550"/>
      <c r="BH57" s="361"/>
      <c r="BI57" s="550"/>
      <c r="BJ57" s="550"/>
      <c r="BL57" s="361"/>
      <c r="BM57" s="550"/>
      <c r="BN57" s="550"/>
      <c r="BP57" s="362"/>
      <c r="BQ57" s="551"/>
      <c r="BR57" s="551"/>
      <c r="BT57" s="362"/>
      <c r="BU57" s="551"/>
      <c r="BV57" s="551"/>
      <c r="BX57" s="362"/>
      <c r="BY57" s="551"/>
      <c r="BZ57" s="551"/>
      <c r="CB57" s="362"/>
      <c r="CC57" s="551"/>
      <c r="CD57" s="551"/>
      <c r="CF57" s="362"/>
      <c r="CG57" s="551"/>
      <c r="CH57" s="551"/>
      <c r="CJ57" s="362"/>
      <c r="CK57" s="551"/>
      <c r="CL57" s="551"/>
      <c r="CN57" s="362"/>
      <c r="CP57" s="249"/>
      <c r="CS57" s="552"/>
      <c r="CT57" s="249"/>
      <c r="CV57" s="362"/>
      <c r="CW57" s="552"/>
      <c r="CX57" s="544"/>
      <c r="DB57" s="544"/>
      <c r="DF57" s="544"/>
      <c r="DJ57" s="544"/>
      <c r="DN57" s="544"/>
      <c r="DO57" s="544"/>
    </row>
    <row r="58" spans="1:125" s="516" customFormat="1" ht="12.75" customHeight="1" outlineLevel="1" x14ac:dyDescent="0.2">
      <c r="A58" s="515" t="s">
        <v>313</v>
      </c>
      <c r="CG58" s="1397" t="str">
        <f>A58</f>
        <v>5a. Retail SG&amp;A (% of Retail Sales / % growth)</v>
      </c>
      <c r="CH58" s="1397"/>
      <c r="CI58" s="1397"/>
      <c r="CJ58" s="1397"/>
      <c r="CK58" s="1397"/>
      <c r="CL58" s="1397"/>
      <c r="CM58" s="1397"/>
      <c r="CN58" s="1397"/>
      <c r="CO58" s="1397"/>
      <c r="CP58" s="1397"/>
      <c r="CQ58" s="1397"/>
      <c r="CR58" s="1397"/>
      <c r="CS58" s="1397"/>
      <c r="CT58" s="1397"/>
      <c r="CU58" s="1397"/>
      <c r="CV58" s="1397"/>
      <c r="CW58" s="1397"/>
      <c r="CX58" s="1397"/>
      <c r="CY58" s="1397"/>
      <c r="CZ58" s="1397"/>
      <c r="DA58" s="1397"/>
      <c r="DB58" s="1397"/>
      <c r="DC58" s="1397"/>
      <c r="DD58" s="1397"/>
      <c r="DE58" s="1397"/>
      <c r="DF58" s="1397"/>
      <c r="DG58" s="846"/>
      <c r="DH58" s="846"/>
      <c r="DI58" s="846"/>
      <c r="DJ58" s="846"/>
      <c r="DK58" s="1222"/>
      <c r="DL58" s="1222"/>
      <c r="DM58" s="1222"/>
      <c r="DN58" s="1222"/>
      <c r="DO58" s="1222"/>
    </row>
    <row r="59" spans="1:125" outlineLevel="1" x14ac:dyDescent="0.2">
      <c r="D59" s="361"/>
      <c r="E59" s="249"/>
      <c r="F59" s="249"/>
      <c r="H59" s="361"/>
      <c r="I59" s="249"/>
      <c r="J59" s="249"/>
      <c r="L59" s="361"/>
      <c r="M59" s="249"/>
      <c r="N59" s="249"/>
      <c r="P59" s="361"/>
      <c r="Q59" s="249"/>
      <c r="R59" s="249"/>
      <c r="T59" s="361"/>
      <c r="U59" s="249"/>
      <c r="V59" s="249"/>
      <c r="X59" s="361"/>
      <c r="Y59" s="249"/>
      <c r="Z59" s="249"/>
      <c r="AB59" s="361"/>
      <c r="AC59" s="249"/>
      <c r="AD59" s="249"/>
      <c r="AF59" s="361"/>
      <c r="AG59" s="249"/>
      <c r="AH59" s="249"/>
      <c r="AJ59" s="361"/>
      <c r="AK59" s="249"/>
      <c r="AL59" s="249"/>
      <c r="AN59" s="361"/>
      <c r="AO59" s="249"/>
      <c r="AP59" s="249"/>
      <c r="AR59" s="361"/>
      <c r="AS59" s="249"/>
      <c r="AT59" s="249"/>
      <c r="AV59" s="361"/>
      <c r="AW59" s="249"/>
      <c r="AX59" s="249"/>
      <c r="AZ59" s="361"/>
      <c r="BA59" s="249"/>
      <c r="BB59" s="249"/>
      <c r="BD59" s="361"/>
      <c r="BE59" s="249"/>
      <c r="BF59" s="249"/>
      <c r="BH59" s="361"/>
      <c r="BI59" s="249"/>
      <c r="BJ59" s="249"/>
      <c r="BL59" s="361"/>
      <c r="BM59" s="249"/>
      <c r="BN59" s="249"/>
      <c r="BP59" s="362"/>
      <c r="BT59" s="362"/>
      <c r="BX59" s="362"/>
      <c r="CB59" s="362"/>
      <c r="CC59" s="553"/>
      <c r="CF59" s="362"/>
      <c r="CG59" s="553"/>
      <c r="CJ59" s="362"/>
      <c r="CK59" s="553"/>
      <c r="CO59" s="553"/>
      <c r="CP59" s="249"/>
      <c r="CR59" s="554"/>
      <c r="CS59" s="553"/>
      <c r="CT59" s="249"/>
      <c r="CV59" s="530"/>
      <c r="CW59" s="553"/>
      <c r="CX59" s="249"/>
      <c r="CZ59" s="554"/>
      <c r="DA59" s="553"/>
      <c r="DB59" s="249"/>
      <c r="DD59" s="256"/>
      <c r="DE59" s="553"/>
      <c r="DF59" s="249"/>
      <c r="DH59" s="256"/>
      <c r="DI59" s="553"/>
      <c r="DJ59" s="544"/>
      <c r="DL59" s="554"/>
      <c r="DM59" s="553"/>
      <c r="DN59" s="249"/>
      <c r="DO59" s="249"/>
    </row>
    <row r="60" spans="1:125" outlineLevel="1" x14ac:dyDescent="0.2">
      <c r="A60" s="517" t="s">
        <v>78</v>
      </c>
      <c r="D60" s="530"/>
      <c r="E60" s="531"/>
      <c r="F60" s="538"/>
      <c r="H60" s="530"/>
      <c r="I60" s="531"/>
      <c r="J60" s="539"/>
      <c r="L60" s="530"/>
      <c r="M60" s="531"/>
      <c r="N60" s="539"/>
      <c r="P60" s="530"/>
      <c r="Q60" s="531"/>
      <c r="R60" s="539"/>
      <c r="T60" s="530"/>
      <c r="U60" s="531"/>
      <c r="V60" s="539"/>
      <c r="X60" s="530"/>
      <c r="Y60" s="531"/>
      <c r="Z60" s="539"/>
      <c r="AB60" s="530"/>
      <c r="AC60" s="531"/>
      <c r="AD60" s="539"/>
      <c r="AF60" s="530"/>
      <c r="AG60" s="531"/>
      <c r="AH60" s="539"/>
      <c r="AJ60" s="530"/>
      <c r="AK60" s="531"/>
      <c r="AL60" s="539"/>
      <c r="AN60" s="530"/>
      <c r="AO60" s="531"/>
      <c r="AP60" s="539"/>
      <c r="AR60" s="530"/>
      <c r="AS60" s="531"/>
      <c r="AT60" s="539"/>
      <c r="AV60" s="530"/>
      <c r="AW60" s="531"/>
      <c r="AX60" s="539"/>
      <c r="AZ60" s="530"/>
      <c r="BA60" s="531"/>
      <c r="BB60" s="539"/>
      <c r="BD60" s="530"/>
      <c r="BE60" s="531"/>
      <c r="BF60" s="539"/>
      <c r="BH60" s="530"/>
      <c r="BI60" s="531"/>
      <c r="BJ60" s="539"/>
      <c r="BL60" s="530"/>
      <c r="BM60" s="531"/>
      <c r="BN60" s="539"/>
      <c r="BP60" s="530"/>
      <c r="BQ60" s="531"/>
      <c r="BR60" s="539"/>
      <c r="BT60" s="530">
        <v>502</v>
      </c>
      <c r="BU60" s="531">
        <f>(BT60/BT10)*100</f>
        <v>25.692573515562945</v>
      </c>
      <c r="BV60" s="539"/>
      <c r="BX60" s="530">
        <v>493</v>
      </c>
      <c r="BY60" s="531">
        <f>(BX60/BX10)*100</f>
        <v>26.237360298030865</v>
      </c>
      <c r="BZ60" s="539">
        <f t="shared" ref="BZ60:BZ66" si="196">(BY60-BU60)*100</f>
        <v>54.478678246792001</v>
      </c>
      <c r="CB60" s="530">
        <v>447</v>
      </c>
      <c r="CC60" s="531">
        <f>(CB60/CB10)*100</f>
        <v>26.20164126611958</v>
      </c>
      <c r="CD60" s="539">
        <f t="shared" ref="CD60:CD66" si="197">(CC60-BY60)*100</f>
        <v>-3.571903191128456</v>
      </c>
      <c r="CF60" s="1164">
        <v>533</v>
      </c>
      <c r="CG60" s="531">
        <f>(CF60/CF10)*100</f>
        <v>26.783919597989954</v>
      </c>
      <c r="CH60" s="539">
        <f t="shared" ref="CH60:CH66" si="198">(CG60-CC60)*100</f>
        <v>58.227833187037348</v>
      </c>
      <c r="CJ60" s="1164">
        <v>611</v>
      </c>
      <c r="CK60" s="531">
        <f t="shared" ref="CK60:CK66" si="199">(CJ60/CJ10)*100</f>
        <v>27.411395244504259</v>
      </c>
      <c r="CL60" s="539">
        <f t="shared" ref="CL60:CL66" si="200">(CK60-CG60)*100</f>
        <v>62.747564651430565</v>
      </c>
      <c r="CN60" s="1164">
        <v>719</v>
      </c>
      <c r="CO60" s="531">
        <f t="shared" ref="CO60:CO66" si="201">(CN60/CN10)*100</f>
        <v>28.362919132149898</v>
      </c>
      <c r="CP60" s="538">
        <f t="shared" ref="CP60:CP65" si="202">(CO60-CK60)*100</f>
        <v>95.152388764563867</v>
      </c>
      <c r="CR60" s="1164">
        <v>754</v>
      </c>
      <c r="CS60" s="531">
        <f t="shared" ref="CS60:CS66" si="203">(CR60/CR10)*100</f>
        <v>28.377869777945051</v>
      </c>
      <c r="CT60" s="538">
        <f>(CS60-CO60)*100</f>
        <v>1.495064579515315</v>
      </c>
      <c r="CV60" s="1164">
        <v>793</v>
      </c>
      <c r="CW60" s="531">
        <f t="shared" ref="CW60:CW66" si="204">(CV60/CV10)*100</f>
        <v>27.952062037363412</v>
      </c>
      <c r="CX60" s="544">
        <f t="shared" ref="CX60:CX66" si="205">CV60/CR60-1</f>
        <v>5.1724137931034475E-2</v>
      </c>
      <c r="CY60" s="532"/>
      <c r="CZ60" s="1164">
        <f>921-2</f>
        <v>919</v>
      </c>
      <c r="DA60" s="531">
        <f t="shared" ref="DA60:DA66" si="206">(CZ60/CZ10)*100</f>
        <v>29.5024077046549</v>
      </c>
      <c r="DB60" s="544">
        <f t="shared" ref="DB60:DB66" si="207">CZ60/CV60-1</f>
        <v>0.15889029003783106</v>
      </c>
      <c r="DC60" s="532"/>
      <c r="DD60" s="1164">
        <f>1003</f>
        <v>1003</v>
      </c>
      <c r="DE60" s="531">
        <f t="shared" ref="DE60:DE66" si="208">(DD60/DD10)*100</f>
        <v>31.422305764411028</v>
      </c>
      <c r="DF60" s="544">
        <f t="shared" ref="DF60:DF66" si="209">DD60/CZ60-1</f>
        <v>9.1403699673558325E-2</v>
      </c>
      <c r="DG60" s="532"/>
      <c r="DH60" s="1164">
        <v>1010</v>
      </c>
      <c r="DI60" s="531">
        <f t="shared" ref="DI60:DI66" si="210">(DH60/DH10)*100</f>
        <v>30.802073802988716</v>
      </c>
      <c r="DJ60" s="544">
        <f t="shared" ref="DJ60:DJ66" si="211">DH60/DD60-1</f>
        <v>6.9790628115653508E-3</v>
      </c>
      <c r="DK60" s="532"/>
      <c r="DL60" s="1167">
        <f>DM60*DL10%</f>
        <v>1088.5115534615384</v>
      </c>
      <c r="DM60" s="1173">
        <v>31.9</v>
      </c>
      <c r="DN60" s="544">
        <f t="shared" ref="DN60:DN66" si="212">DL60/DH60-1</f>
        <v>7.7734211348057691E-2</v>
      </c>
      <c r="DO60" s="544"/>
      <c r="DP60" s="541"/>
      <c r="DQ60" s="541"/>
    </row>
    <row r="61" spans="1:125" outlineLevel="1" x14ac:dyDescent="0.2">
      <c r="A61" s="517" t="s">
        <v>79</v>
      </c>
      <c r="D61" s="533"/>
      <c r="E61" s="531"/>
      <c r="F61" s="538"/>
      <c r="H61" s="533"/>
      <c r="I61" s="531"/>
      <c r="J61" s="539"/>
      <c r="L61" s="533"/>
      <c r="M61" s="531"/>
      <c r="N61" s="539"/>
      <c r="P61" s="533"/>
      <c r="Q61" s="531"/>
      <c r="R61" s="539"/>
      <c r="T61" s="533"/>
      <c r="U61" s="531"/>
      <c r="V61" s="539"/>
      <c r="X61" s="533"/>
      <c r="Y61" s="531"/>
      <c r="Z61" s="539"/>
      <c r="AB61" s="533"/>
      <c r="AC61" s="531"/>
      <c r="AD61" s="539"/>
      <c r="AF61" s="533"/>
      <c r="AG61" s="531"/>
      <c r="AH61" s="539"/>
      <c r="AJ61" s="533"/>
      <c r="AK61" s="531"/>
      <c r="AL61" s="539"/>
      <c r="AN61" s="533"/>
      <c r="AO61" s="531"/>
      <c r="AP61" s="539"/>
      <c r="AR61" s="533"/>
      <c r="AS61" s="531"/>
      <c r="AT61" s="539"/>
      <c r="AV61" s="533"/>
      <c r="AW61" s="531"/>
      <c r="AX61" s="539"/>
      <c r="AZ61" s="533"/>
      <c r="BA61" s="531"/>
      <c r="BB61" s="539"/>
      <c r="BD61" s="533"/>
      <c r="BE61" s="531"/>
      <c r="BF61" s="531"/>
      <c r="BH61" s="533"/>
      <c r="BI61" s="531"/>
      <c r="BJ61" s="539"/>
      <c r="BL61" s="533"/>
      <c r="BM61" s="531"/>
      <c r="BN61" s="539"/>
      <c r="BP61" s="533"/>
      <c r="BQ61" s="531"/>
      <c r="BR61" s="539"/>
      <c r="BT61" s="533">
        <v>587</v>
      </c>
      <c r="BU61" s="531">
        <f t="shared" ref="BU61:BU66" si="213">(BT61/BT11)*100</f>
        <v>24.565829308080609</v>
      </c>
      <c r="BV61" s="539"/>
      <c r="BX61" s="533">
        <v>545</v>
      </c>
      <c r="BY61" s="531">
        <f t="shared" ref="BY61:BY66" si="214">(BX61/BX11)*100</f>
        <v>23.830345430695235</v>
      </c>
      <c r="BZ61" s="539">
        <f t="shared" si="196"/>
        <v>-73.548387738537357</v>
      </c>
      <c r="CB61" s="533">
        <v>531</v>
      </c>
      <c r="CC61" s="531">
        <f t="shared" ref="CC61:CC66" si="215">(CB61/CB11)*100</f>
        <v>24.755244755244753</v>
      </c>
      <c r="CD61" s="539">
        <f t="shared" si="197"/>
        <v>92.489932454951784</v>
      </c>
      <c r="CF61" s="1165">
        <v>613</v>
      </c>
      <c r="CG61" s="531">
        <f t="shared" ref="CG61:CG66" si="216">(CF61/CF11)*100</f>
        <v>25.362019031857674</v>
      </c>
      <c r="CH61" s="539">
        <f t="shared" si="198"/>
        <v>60.677427661292072</v>
      </c>
      <c r="CJ61" s="1165">
        <v>708</v>
      </c>
      <c r="CK61" s="531">
        <f t="shared" si="199"/>
        <v>26.067746686303391</v>
      </c>
      <c r="CL61" s="539">
        <f t="shared" si="200"/>
        <v>70.572765444571672</v>
      </c>
      <c r="CN61" s="1165">
        <v>778</v>
      </c>
      <c r="CO61" s="531">
        <f t="shared" si="201"/>
        <v>26.662097326936259</v>
      </c>
      <c r="CP61" s="538">
        <f t="shared" si="202"/>
        <v>59.435064063286802</v>
      </c>
      <c r="CR61" s="1165">
        <v>807</v>
      </c>
      <c r="CS61" s="531">
        <f t="shared" si="203"/>
        <v>25.998711340206189</v>
      </c>
      <c r="CT61" s="538">
        <f t="shared" ref="CT61:CT66" si="217">(CS61-CO61)*100</f>
        <v>-66.338598673006999</v>
      </c>
      <c r="CV61" s="1165">
        <v>889</v>
      </c>
      <c r="CW61" s="531">
        <f t="shared" si="204"/>
        <v>26.972087378640776</v>
      </c>
      <c r="CX61" s="544">
        <f t="shared" si="205"/>
        <v>0.10161090458488231</v>
      </c>
      <c r="CY61" s="532"/>
      <c r="CZ61" s="1165">
        <v>999</v>
      </c>
      <c r="DA61" s="531">
        <f t="shared" si="206"/>
        <v>27.765425236242358</v>
      </c>
      <c r="DB61" s="544">
        <f t="shared" si="207"/>
        <v>0.12373453318335215</v>
      </c>
      <c r="DC61" s="532"/>
      <c r="DD61" s="1165">
        <v>1030</v>
      </c>
      <c r="DE61" s="531">
        <f t="shared" si="208"/>
        <v>28.674832962138087</v>
      </c>
      <c r="DF61" s="544">
        <f t="shared" si="209"/>
        <v>3.1031031031031109E-2</v>
      </c>
      <c r="DG61" s="532"/>
      <c r="DH61" s="1165">
        <v>1091</v>
      </c>
      <c r="DI61" s="531">
        <f t="shared" si="210"/>
        <v>29.351627656712402</v>
      </c>
      <c r="DJ61" s="544">
        <f t="shared" si="211"/>
        <v>5.9223300970873805E-2</v>
      </c>
      <c r="DK61" s="532"/>
      <c r="DL61" s="1167">
        <f>DM61*DL11%</f>
        <v>1220.9178114356434</v>
      </c>
      <c r="DM61" s="1173">
        <v>30.5</v>
      </c>
      <c r="DN61" s="544">
        <f t="shared" si="212"/>
        <v>0.11908140369903153</v>
      </c>
      <c r="DO61" s="544"/>
      <c r="DP61" s="541"/>
      <c r="DQ61" s="541">
        <f>DI61-DE61</f>
        <v>0.67679469457431551</v>
      </c>
      <c r="DR61" s="239">
        <v>68</v>
      </c>
    </row>
    <row r="62" spans="1:125" outlineLevel="1" x14ac:dyDescent="0.2">
      <c r="A62" s="517" t="s">
        <v>80</v>
      </c>
      <c r="D62" s="533"/>
      <c r="E62" s="531"/>
      <c r="F62" s="538"/>
      <c r="H62" s="533"/>
      <c r="I62" s="531"/>
      <c r="J62" s="539"/>
      <c r="L62" s="533"/>
      <c r="M62" s="531"/>
      <c r="N62" s="539"/>
      <c r="P62" s="533"/>
      <c r="Q62" s="531"/>
      <c r="R62" s="539"/>
      <c r="T62" s="533"/>
      <c r="V62" s="539"/>
      <c r="X62" s="533"/>
      <c r="Y62" s="531"/>
      <c r="Z62" s="539"/>
      <c r="AB62" s="533"/>
      <c r="AC62" s="531"/>
      <c r="AD62" s="539"/>
      <c r="AF62" s="533"/>
      <c r="AG62" s="531"/>
      <c r="AH62" s="539"/>
      <c r="AJ62" s="533"/>
      <c r="AK62" s="531"/>
      <c r="AL62" s="539"/>
      <c r="AN62" s="533"/>
      <c r="AO62" s="531"/>
      <c r="AP62" s="539"/>
      <c r="AR62" s="533"/>
      <c r="AS62" s="531"/>
      <c r="AT62" s="539"/>
      <c r="AV62" s="533"/>
      <c r="AW62" s="531"/>
      <c r="AX62" s="539"/>
      <c r="AZ62" s="533"/>
      <c r="BA62" s="531"/>
      <c r="BB62" s="539"/>
      <c r="BD62" s="533"/>
      <c r="BE62" s="531"/>
      <c r="BF62" s="539"/>
      <c r="BH62" s="533"/>
      <c r="BI62" s="531"/>
      <c r="BJ62" s="539"/>
      <c r="BL62" s="533"/>
      <c r="BM62" s="531"/>
      <c r="BN62" s="539"/>
      <c r="BP62" s="533"/>
      <c r="BQ62" s="531"/>
      <c r="BR62" s="539"/>
      <c r="BT62" s="533">
        <v>509</v>
      </c>
      <c r="BU62" s="531">
        <f t="shared" si="213"/>
        <v>25.831741475525316</v>
      </c>
      <c r="BV62" s="539"/>
      <c r="BX62" s="533">
        <v>495.96600000000001</v>
      </c>
      <c r="BY62" s="531">
        <f t="shared" si="214"/>
        <v>27.191118421052636</v>
      </c>
      <c r="BZ62" s="539">
        <f t="shared" si="196"/>
        <v>135.93769455273195</v>
      </c>
      <c r="CB62" s="533">
        <v>500</v>
      </c>
      <c r="CC62" s="531">
        <f t="shared" si="215"/>
        <v>26.76659528907923</v>
      </c>
      <c r="CD62" s="539">
        <f t="shared" si="197"/>
        <v>-42.45231319734053</v>
      </c>
      <c r="CF62" s="1165">
        <v>569</v>
      </c>
      <c r="CG62" s="531">
        <f t="shared" si="216"/>
        <v>27.264015333013898</v>
      </c>
      <c r="CH62" s="539">
        <f t="shared" si="198"/>
        <v>49.742004393466743</v>
      </c>
      <c r="CJ62" s="1165">
        <v>670</v>
      </c>
      <c r="CK62" s="531">
        <f t="shared" si="199"/>
        <v>28.115820394460762</v>
      </c>
      <c r="CL62" s="539">
        <f t="shared" si="200"/>
        <v>85.180506144686419</v>
      </c>
      <c r="CN62" s="1165">
        <v>758</v>
      </c>
      <c r="CO62" s="531">
        <f t="shared" si="201"/>
        <v>27.939550313306306</v>
      </c>
      <c r="CP62" s="538">
        <f>(CO62-CK62)*100</f>
        <v>-17.627008115445619</v>
      </c>
      <c r="CR62" s="1165">
        <v>793</v>
      </c>
      <c r="CS62" s="531">
        <f t="shared" si="203"/>
        <v>28.412755284844142</v>
      </c>
      <c r="CT62" s="538">
        <f t="shared" si="217"/>
        <v>47.320497153783592</v>
      </c>
      <c r="CV62" s="1165">
        <v>875</v>
      </c>
      <c r="CW62" s="531">
        <f t="shared" si="204"/>
        <v>28.782894736842106</v>
      </c>
      <c r="CX62" s="544">
        <f t="shared" si="205"/>
        <v>0.10340479192938212</v>
      </c>
      <c r="CY62" s="532"/>
      <c r="CZ62" s="1165">
        <v>951</v>
      </c>
      <c r="DA62" s="531">
        <f t="shared" si="206"/>
        <v>29.360913862303178</v>
      </c>
      <c r="DB62" s="544">
        <f>CZ62/CV62-1</f>
        <v>8.6857142857142966E-2</v>
      </c>
      <c r="DC62" s="532"/>
      <c r="DD62" s="1165">
        <f>990+197-197</f>
        <v>990</v>
      </c>
      <c r="DE62" s="531">
        <f t="shared" si="208"/>
        <v>28.513824884792626</v>
      </c>
      <c r="DF62" s="544">
        <f>DD62/CZ62-1</f>
        <v>4.1009463722397443E-2</v>
      </c>
      <c r="DG62" s="532"/>
      <c r="DH62" s="1165">
        <v>1070</v>
      </c>
      <c r="DI62" s="531">
        <f t="shared" si="210"/>
        <v>30.217452696978253</v>
      </c>
      <c r="DJ62" s="544">
        <f t="shared" si="211"/>
        <v>8.0808080808080884E-2</v>
      </c>
      <c r="DK62" s="532"/>
      <c r="DL62" s="1167">
        <f>DM62*DL12%</f>
        <v>1097.5353106666669</v>
      </c>
      <c r="DM62" s="1173">
        <v>30.8</v>
      </c>
      <c r="DN62" s="544">
        <f t="shared" si="212"/>
        <v>2.5733935202492342E-2</v>
      </c>
      <c r="DO62" s="544"/>
      <c r="DP62" s="541"/>
      <c r="DQ62" s="541"/>
    </row>
    <row r="63" spans="1:125" outlineLevel="1" x14ac:dyDescent="0.2">
      <c r="A63" s="517" t="s">
        <v>81</v>
      </c>
      <c r="D63" s="534"/>
      <c r="E63" s="531"/>
      <c r="F63" s="538"/>
      <c r="H63" s="534"/>
      <c r="I63" s="531"/>
      <c r="J63" s="539"/>
      <c r="L63" s="534"/>
      <c r="M63" s="531"/>
      <c r="N63" s="539"/>
      <c r="P63" s="534"/>
      <c r="Q63" s="531"/>
      <c r="R63" s="539"/>
      <c r="T63" s="534"/>
      <c r="U63" s="531"/>
      <c r="V63" s="539"/>
      <c r="X63" s="534"/>
      <c r="Y63" s="531"/>
      <c r="Z63" s="539"/>
      <c r="AB63" s="534"/>
      <c r="AC63" s="531"/>
      <c r="AD63" s="539"/>
      <c r="AF63" s="534"/>
      <c r="AG63" s="531"/>
      <c r="AH63" s="539"/>
      <c r="AJ63" s="534"/>
      <c r="AK63" s="531"/>
      <c r="AL63" s="539"/>
      <c r="AN63" s="534"/>
      <c r="AO63" s="531"/>
      <c r="AP63" s="539"/>
      <c r="AR63" s="534"/>
      <c r="AS63" s="531"/>
      <c r="AT63" s="539"/>
      <c r="AV63" s="534"/>
      <c r="AW63" s="531"/>
      <c r="AX63" s="539"/>
      <c r="AZ63" s="534"/>
      <c r="BA63" s="531"/>
      <c r="BB63" s="539"/>
      <c r="BD63" s="534"/>
      <c r="BE63" s="531"/>
      <c r="BF63" s="539"/>
      <c r="BH63" s="534"/>
      <c r="BI63" s="531"/>
      <c r="BJ63" s="539"/>
      <c r="BL63" s="534"/>
      <c r="BM63" s="531"/>
      <c r="BN63" s="539"/>
      <c r="BP63" s="534"/>
      <c r="BQ63" s="531"/>
      <c r="BR63" s="539"/>
      <c r="BT63" s="534">
        <v>585</v>
      </c>
      <c r="BU63" s="531">
        <f t="shared" si="213"/>
        <v>23.269689737470166</v>
      </c>
      <c r="BV63" s="539"/>
      <c r="BX63" s="534">
        <v>580</v>
      </c>
      <c r="BY63" s="531">
        <f t="shared" si="214"/>
        <v>25.206431986093001</v>
      </c>
      <c r="BZ63" s="539">
        <f t="shared" si="196"/>
        <v>193.67422486228349</v>
      </c>
      <c r="CB63" s="534">
        <v>631</v>
      </c>
      <c r="CC63" s="531">
        <f t="shared" si="215"/>
        <v>24.852304056715241</v>
      </c>
      <c r="CD63" s="539">
        <f t="shared" si="197"/>
        <v>-35.412792937776061</v>
      </c>
      <c r="CF63" s="1166">
        <v>697</v>
      </c>
      <c r="CG63" s="531">
        <f t="shared" si="216"/>
        <v>24.751420454545457</v>
      </c>
      <c r="CH63" s="539">
        <f t="shared" si="198"/>
        <v>-10.088360216978387</v>
      </c>
      <c r="CJ63" s="1166">
        <v>818</v>
      </c>
      <c r="CK63" s="531">
        <f t="shared" si="199"/>
        <v>25.812559166929631</v>
      </c>
      <c r="CL63" s="539">
        <f t="shared" si="200"/>
        <v>106.11387123841745</v>
      </c>
      <c r="CN63" s="1166">
        <v>917</v>
      </c>
      <c r="CO63" s="531">
        <f t="shared" si="201"/>
        <v>25.500556173526139</v>
      </c>
      <c r="CP63" s="538">
        <f t="shared" si="202"/>
        <v>-31.200299340349247</v>
      </c>
      <c r="CR63" s="1166">
        <v>918</v>
      </c>
      <c r="CS63" s="531">
        <f t="shared" si="203"/>
        <v>25.401217487548422</v>
      </c>
      <c r="CT63" s="538">
        <f t="shared" si="217"/>
        <v>-9.9338685977716779</v>
      </c>
      <c r="CV63" s="1166">
        <v>1032</v>
      </c>
      <c r="CW63" s="531">
        <f t="shared" si="204"/>
        <v>26.206196038598272</v>
      </c>
      <c r="CX63" s="544">
        <f t="shared" si="205"/>
        <v>0.12418300653594772</v>
      </c>
      <c r="CY63" s="532"/>
      <c r="CZ63" s="1166">
        <f>1136-50</f>
        <v>1086</v>
      </c>
      <c r="DA63" s="531">
        <f t="shared" si="206"/>
        <v>26.212889210716874</v>
      </c>
      <c r="DB63" s="544">
        <f t="shared" si="207"/>
        <v>5.232558139534893E-2</v>
      </c>
      <c r="DC63" s="532"/>
      <c r="DD63" s="1166">
        <f>1134-4</f>
        <v>1130</v>
      </c>
      <c r="DE63" s="531">
        <f t="shared" si="208"/>
        <v>26.632099929295311</v>
      </c>
      <c r="DF63" s="544">
        <f t="shared" si="209"/>
        <v>4.051565377532218E-2</v>
      </c>
      <c r="DG63" s="532"/>
      <c r="DH63" s="1166">
        <v>1337</v>
      </c>
      <c r="DI63" s="531">
        <f t="shared" si="210"/>
        <v>29.065217391304348</v>
      </c>
      <c r="DJ63" s="544">
        <f t="shared" si="211"/>
        <v>0.18318584070796451</v>
      </c>
      <c r="DK63" s="532"/>
      <c r="DL63" s="1168">
        <f>DM63*DL13%</f>
        <v>1277.5302491803279</v>
      </c>
      <c r="DM63" s="1173">
        <v>29.4</v>
      </c>
      <c r="DN63" s="544">
        <f t="shared" si="212"/>
        <v>-4.4479993133636597E-2</v>
      </c>
      <c r="DO63" s="544"/>
      <c r="DP63" s="541"/>
      <c r="DQ63" s="541"/>
    </row>
    <row r="64" spans="1:125" outlineLevel="1" x14ac:dyDescent="0.2">
      <c r="A64" s="517" t="s">
        <v>82</v>
      </c>
      <c r="D64" s="533"/>
      <c r="E64" s="531"/>
      <c r="F64" s="538"/>
      <c r="H64" s="533"/>
      <c r="I64" s="531"/>
      <c r="J64" s="539"/>
      <c r="L64" s="533"/>
      <c r="M64" s="531"/>
      <c r="N64" s="539"/>
      <c r="P64" s="533"/>
      <c r="Q64" s="531"/>
      <c r="R64" s="539"/>
      <c r="T64" s="533"/>
      <c r="U64" s="531"/>
      <c r="V64" s="539"/>
      <c r="X64" s="533"/>
      <c r="Y64" s="531"/>
      <c r="Z64" s="539"/>
      <c r="AB64" s="533"/>
      <c r="AC64" s="531"/>
      <c r="AD64" s="539"/>
      <c r="AF64" s="533"/>
      <c r="AG64" s="531"/>
      <c r="AH64" s="539"/>
      <c r="AJ64" s="533"/>
      <c r="AK64" s="531"/>
      <c r="AL64" s="539"/>
      <c r="AN64" s="533"/>
      <c r="AO64" s="531"/>
      <c r="AP64" s="539"/>
      <c r="AR64" s="533"/>
      <c r="AS64" s="531"/>
      <c r="AT64" s="539"/>
      <c r="AV64" s="533"/>
      <c r="AW64" s="531"/>
      <c r="AX64" s="539"/>
      <c r="AZ64" s="533"/>
      <c r="BA64" s="531"/>
      <c r="BB64" s="539"/>
      <c r="BD64" s="533"/>
      <c r="BE64" s="531"/>
      <c r="BF64" s="539"/>
      <c r="BH64" s="533"/>
      <c r="BI64" s="531"/>
      <c r="BJ64" s="539"/>
      <c r="BL64" s="533"/>
      <c r="BM64" s="531"/>
      <c r="BN64" s="539"/>
      <c r="BP64" s="533"/>
      <c r="BQ64" s="531"/>
      <c r="BR64" s="539"/>
      <c r="BT64" s="533">
        <v>2183</v>
      </c>
      <c r="BU64" s="531">
        <f t="shared" si="213"/>
        <v>24.728658759688411</v>
      </c>
      <c r="BV64" s="539"/>
      <c r="BX64" s="533">
        <v>2113.9659999999999</v>
      </c>
      <c r="BY64" s="531">
        <f t="shared" si="214"/>
        <v>25.49711735616934</v>
      </c>
      <c r="BZ64" s="539">
        <f t="shared" si="196"/>
        <v>76.84585964809294</v>
      </c>
      <c r="CB64" s="533">
        <v>2109</v>
      </c>
      <c r="CC64" s="531">
        <f t="shared" si="215"/>
        <v>25.538871397432793</v>
      </c>
      <c r="CD64" s="539">
        <f t="shared" si="197"/>
        <v>4.175404126345228</v>
      </c>
      <c r="CF64" s="1088">
        <f>SUM(CF60:CF63)</f>
        <v>2412</v>
      </c>
      <c r="CG64" s="531">
        <f t="shared" si="216"/>
        <v>25.907626208378087</v>
      </c>
      <c r="CH64" s="539">
        <f t="shared" si="198"/>
        <v>36.875481094529405</v>
      </c>
      <c r="CI64" s="706"/>
      <c r="CJ64" s="1088">
        <f>SUM(CJ60:CJ63)</f>
        <v>2807</v>
      </c>
      <c r="CK64" s="531">
        <f t="shared" si="199"/>
        <v>26.74097361150805</v>
      </c>
      <c r="CL64" s="539">
        <f t="shared" si="200"/>
        <v>83.334740312996303</v>
      </c>
      <c r="CM64" s="706"/>
      <c r="CN64" s="1088">
        <f>SUM(CN60:CN63)</f>
        <v>3172</v>
      </c>
      <c r="CO64" s="531">
        <f t="shared" si="201"/>
        <v>26.968202686617921</v>
      </c>
      <c r="CP64" s="538">
        <f t="shared" si="202"/>
        <v>22.722907510987156</v>
      </c>
      <c r="CQ64" s="706"/>
      <c r="CR64" s="1088">
        <f>SUM(CR60:CR63)</f>
        <v>3272</v>
      </c>
      <c r="CS64" s="531">
        <f t="shared" si="203"/>
        <v>26.894624362978792</v>
      </c>
      <c r="CT64" s="538">
        <f t="shared" si="217"/>
        <v>-7.3578323639129195</v>
      </c>
      <c r="CU64" s="706"/>
      <c r="CV64" s="1088">
        <f>SUM(CV60:CV63)</f>
        <v>3589</v>
      </c>
      <c r="CW64" s="531">
        <f t="shared" si="204"/>
        <v>27.373960796277935</v>
      </c>
      <c r="CX64" s="1176">
        <f t="shared" si="205"/>
        <v>9.6882640586797075E-2</v>
      </c>
      <c r="CY64" s="1177"/>
      <c r="CZ64" s="1088">
        <f>SUM(CZ60:CZ63)</f>
        <v>3955</v>
      </c>
      <c r="DA64" s="531">
        <f t="shared" si="206"/>
        <v>28.059595601277049</v>
      </c>
      <c r="DB64" s="1176">
        <f t="shared" si="207"/>
        <v>0.10197826692672063</v>
      </c>
      <c r="DC64" s="1177"/>
      <c r="DD64" s="1088">
        <f>SUM(DD60:DD63)</f>
        <v>4153</v>
      </c>
      <c r="DE64" s="531">
        <f t="shared" si="208"/>
        <v>28.643354714118214</v>
      </c>
      <c r="DF64" s="1176">
        <f t="shared" si="209"/>
        <v>5.0063211125157991E-2</v>
      </c>
      <c r="DG64" s="1177"/>
      <c r="DH64" s="1169">
        <f>SUM(DH60:DH63)</f>
        <v>4508</v>
      </c>
      <c r="DI64" s="531">
        <f t="shared" si="210"/>
        <v>29.781330514633019</v>
      </c>
      <c r="DJ64" s="1176">
        <f t="shared" si="211"/>
        <v>8.5480375632073224E-2</v>
      </c>
      <c r="DK64" s="1177"/>
      <c r="DL64" s="1169">
        <f>SUM(DL60:DL63)</f>
        <v>4684.4949247441764</v>
      </c>
      <c r="DM64" s="531">
        <f>(DL64/DL14)*100</f>
        <v>30.569584758174173</v>
      </c>
      <c r="DN64" s="1176">
        <f t="shared" si="212"/>
        <v>3.9151491735620381E-2</v>
      </c>
      <c r="DO64" s="1176"/>
      <c r="DP64" s="541"/>
      <c r="DS64" s="553"/>
      <c r="DT64" s="553"/>
      <c r="DU64" s="255"/>
    </row>
    <row r="65" spans="1:127" hidden="1" outlineLevel="2" x14ac:dyDescent="0.2">
      <c r="A65" s="517" t="s">
        <v>281</v>
      </c>
      <c r="D65" s="524"/>
      <c r="E65" s="531"/>
      <c r="F65" s="538"/>
      <c r="H65" s="524"/>
      <c r="I65" s="531"/>
      <c r="J65" s="539"/>
      <c r="L65" s="524"/>
      <c r="M65" s="531"/>
      <c r="N65" s="539"/>
      <c r="P65" s="524"/>
      <c r="Q65" s="531"/>
      <c r="R65" s="539"/>
      <c r="T65" s="524"/>
      <c r="U65" s="531"/>
      <c r="V65" s="539"/>
      <c r="X65" s="524"/>
      <c r="Y65" s="531"/>
      <c r="Z65" s="539"/>
      <c r="AB65" s="524"/>
      <c r="AC65" s="531"/>
      <c r="AD65" s="539"/>
      <c r="AF65" s="524"/>
      <c r="AG65" s="531"/>
      <c r="AH65" s="539"/>
      <c r="AJ65" s="524"/>
      <c r="AK65" s="531"/>
      <c r="AL65" s="539"/>
      <c r="AN65" s="524"/>
      <c r="AO65" s="531"/>
      <c r="AP65" s="539"/>
      <c r="AR65" s="524"/>
      <c r="AS65" s="531"/>
      <c r="AT65" s="539"/>
      <c r="AV65" s="524"/>
      <c r="AW65" s="531"/>
      <c r="AX65" s="539"/>
      <c r="AZ65" s="524"/>
      <c r="BA65" s="531"/>
      <c r="BB65" s="539"/>
      <c r="BD65" s="524"/>
      <c r="BE65" s="531"/>
      <c r="BF65" s="539"/>
      <c r="BH65" s="524"/>
      <c r="BI65" s="531"/>
      <c r="BJ65" s="539"/>
      <c r="BL65" s="524"/>
      <c r="BM65" s="531"/>
      <c r="BN65" s="539"/>
      <c r="BP65" s="524"/>
      <c r="BQ65" s="531"/>
      <c r="BR65" s="539"/>
      <c r="BT65" s="524">
        <f>BT60+BT61</f>
        <v>1089</v>
      </c>
      <c r="BU65" s="531">
        <f t="shared" si="213"/>
        <v>25.072697007162642</v>
      </c>
      <c r="BV65" s="539"/>
      <c r="BX65" s="524">
        <f>BX60+BX61</f>
        <v>1038</v>
      </c>
      <c r="BY65" s="531">
        <f t="shared" si="214"/>
        <v>24.915986557849259</v>
      </c>
      <c r="BZ65" s="539">
        <f t="shared" si="196"/>
        <v>-15.671044931338329</v>
      </c>
      <c r="CB65" s="524">
        <f>CB60+CB61</f>
        <v>978</v>
      </c>
      <c r="CC65" s="531">
        <f t="shared" si="215"/>
        <v>25.396001038691253</v>
      </c>
      <c r="CD65" s="539">
        <f t="shared" si="197"/>
        <v>48.001448084199438</v>
      </c>
      <c r="CF65" s="524">
        <f>CF60+CF61</f>
        <v>1146</v>
      </c>
      <c r="CG65" s="531">
        <f t="shared" si="216"/>
        <v>26.004084411164058</v>
      </c>
      <c r="CH65" s="539">
        <f t="shared" si="198"/>
        <v>60.808337247280519</v>
      </c>
      <c r="CJ65" s="524">
        <f>CJ60+CJ61</f>
        <v>1319</v>
      </c>
      <c r="CK65" s="531">
        <f t="shared" si="199"/>
        <v>26.673407482305361</v>
      </c>
      <c r="CL65" s="539">
        <f t="shared" si="200"/>
        <v>66.932307114130296</v>
      </c>
      <c r="CN65" s="524">
        <f>CN60+CN61</f>
        <v>1497</v>
      </c>
      <c r="CO65" s="531">
        <f t="shared" si="201"/>
        <v>27.452778287181367</v>
      </c>
      <c r="CP65" s="538">
        <f t="shared" si="202"/>
        <v>77.937080487600596</v>
      </c>
      <c r="CR65" s="524">
        <f>CR60+CR61</f>
        <v>1561</v>
      </c>
      <c r="CS65" s="531">
        <f t="shared" si="203"/>
        <v>27.095990279465372</v>
      </c>
      <c r="CT65" s="538">
        <f t="shared" si="217"/>
        <v>-35.678800771599484</v>
      </c>
      <c r="CV65" s="524">
        <f>CV60+CV61</f>
        <v>1682</v>
      </c>
      <c r="CW65" s="531">
        <f t="shared" si="204"/>
        <v>27.425403554541006</v>
      </c>
      <c r="CX65" s="544">
        <f t="shared" si="205"/>
        <v>7.7514413837283858E-2</v>
      </c>
      <c r="CZ65" s="524">
        <f>CZ60+CZ61</f>
        <v>1918</v>
      </c>
      <c r="DA65" s="531">
        <f t="shared" si="206"/>
        <v>28.571428571428569</v>
      </c>
      <c r="DB65" s="544">
        <f t="shared" si="207"/>
        <v>0.14030915576694403</v>
      </c>
      <c r="DD65" s="524">
        <f>DD60+DD61</f>
        <v>2033</v>
      </c>
      <c r="DE65" s="531">
        <f t="shared" si="208"/>
        <v>29.967570754716981</v>
      </c>
      <c r="DF65" s="544">
        <f t="shared" si="209"/>
        <v>5.9958289885297278E-2</v>
      </c>
      <c r="DH65" s="524">
        <f>DH60+DH61</f>
        <v>2101</v>
      </c>
      <c r="DI65" s="531">
        <f t="shared" si="210"/>
        <v>30.031446540880502</v>
      </c>
      <c r="DJ65" s="544">
        <f t="shared" si="211"/>
        <v>3.3448106246925624E-2</v>
      </c>
      <c r="DL65" s="524">
        <f>DL60+DL61</f>
        <v>2309.4293648971816</v>
      </c>
      <c r="DM65" s="531">
        <f>(DL65/DL15)*100</f>
        <v>31.14423358249968</v>
      </c>
      <c r="DN65" s="544">
        <f t="shared" si="212"/>
        <v>9.9204838123361005E-2</v>
      </c>
      <c r="DO65" s="544"/>
      <c r="DP65" s="256"/>
      <c r="DQ65" s="254"/>
    </row>
    <row r="66" spans="1:127" hidden="1" outlineLevel="2" x14ac:dyDescent="0.2">
      <c r="A66" s="517" t="s">
        <v>282</v>
      </c>
      <c r="D66" s="524"/>
      <c r="E66" s="531"/>
      <c r="F66" s="538"/>
      <c r="H66" s="524"/>
      <c r="I66" s="531"/>
      <c r="J66" s="539"/>
      <c r="L66" s="524"/>
      <c r="M66" s="531"/>
      <c r="N66" s="539"/>
      <c r="P66" s="524"/>
      <c r="Q66" s="531"/>
      <c r="R66" s="539"/>
      <c r="T66" s="524"/>
      <c r="U66" s="531"/>
      <c r="V66" s="539"/>
      <c r="X66" s="524"/>
      <c r="Y66" s="531"/>
      <c r="Z66" s="539"/>
      <c r="AB66" s="524"/>
      <c r="AC66" s="531"/>
      <c r="AD66" s="539"/>
      <c r="AF66" s="524"/>
      <c r="AG66" s="531"/>
      <c r="AH66" s="539"/>
      <c r="AJ66" s="524"/>
      <c r="AK66" s="531"/>
      <c r="AL66" s="539"/>
      <c r="AN66" s="524"/>
      <c r="AO66" s="531"/>
      <c r="AP66" s="539"/>
      <c r="AR66" s="524"/>
      <c r="AS66" s="531"/>
      <c r="AT66" s="539"/>
      <c r="AV66" s="524"/>
      <c r="AW66" s="531"/>
      <c r="AX66" s="539"/>
      <c r="AZ66" s="524"/>
      <c r="BA66" s="531"/>
      <c r="BB66" s="539"/>
      <c r="BD66" s="524"/>
      <c r="BE66" s="531"/>
      <c r="BF66" s="539"/>
      <c r="BH66" s="524"/>
      <c r="BI66" s="531"/>
      <c r="BJ66" s="539"/>
      <c r="BL66" s="524"/>
      <c r="BM66" s="531"/>
      <c r="BN66" s="539"/>
      <c r="BP66" s="524"/>
      <c r="BQ66" s="531"/>
      <c r="BR66" s="539"/>
      <c r="BT66" s="524">
        <f>BT63+BT62</f>
        <v>1094</v>
      </c>
      <c r="BU66" s="531">
        <f t="shared" si="213"/>
        <v>24.395443448507777</v>
      </c>
      <c r="BV66" s="539"/>
      <c r="BX66" s="524">
        <f>BX63+BX62</f>
        <v>1075.9659999999999</v>
      </c>
      <c r="BY66" s="531">
        <f t="shared" si="214"/>
        <v>26.084024242424242</v>
      </c>
      <c r="BZ66" s="539">
        <f t="shared" si="196"/>
        <v>168.8580793916465</v>
      </c>
      <c r="CB66" s="524">
        <f>CB63+CB62</f>
        <v>1131</v>
      </c>
      <c r="CC66" s="531">
        <f t="shared" si="215"/>
        <v>25.663716814159294</v>
      </c>
      <c r="CD66" s="539">
        <f t="shared" si="197"/>
        <v>-42.030742826494816</v>
      </c>
      <c r="CF66" s="524">
        <f>CF63+CF62</f>
        <v>1266</v>
      </c>
      <c r="CG66" s="531">
        <f t="shared" si="216"/>
        <v>25.820925963695696</v>
      </c>
      <c r="CH66" s="539">
        <f t="shared" si="198"/>
        <v>15.720914953640275</v>
      </c>
      <c r="CJ66" s="524">
        <f>CJ63+CJ62</f>
        <v>1488</v>
      </c>
      <c r="CK66" s="531">
        <f t="shared" si="199"/>
        <v>26.801152737752158</v>
      </c>
      <c r="CL66" s="539">
        <f t="shared" si="200"/>
        <v>98.022677405646164</v>
      </c>
      <c r="CN66" s="524">
        <f>CN63+CN62</f>
        <v>1675</v>
      </c>
      <c r="CO66" s="531">
        <f t="shared" si="201"/>
        <v>26.549373910286896</v>
      </c>
      <c r="CP66" s="538">
        <f>(CO66-CK66)*100</f>
        <v>-25.177882746526237</v>
      </c>
      <c r="CR66" s="524">
        <f>CR63+CR62</f>
        <v>1711</v>
      </c>
      <c r="CS66" s="531">
        <f t="shared" si="203"/>
        <v>26.71350507416081</v>
      </c>
      <c r="CT66" s="538">
        <f t="shared" si="217"/>
        <v>16.413116387391469</v>
      </c>
      <c r="CV66" s="524">
        <f>CV63+CV62</f>
        <v>1907</v>
      </c>
      <c r="CW66" s="531">
        <f t="shared" si="204"/>
        <v>27.328747492118083</v>
      </c>
      <c r="CX66" s="544">
        <f t="shared" si="205"/>
        <v>0.11455289304500282</v>
      </c>
      <c r="CZ66" s="524">
        <f>CZ63+CZ62</f>
        <v>2037</v>
      </c>
      <c r="DA66" s="531">
        <f t="shared" si="206"/>
        <v>27.594147927390949</v>
      </c>
      <c r="DB66" s="544">
        <f t="shared" si="207"/>
        <v>6.8169900367068603E-2</v>
      </c>
      <c r="DD66" s="524">
        <f>DD63+DD62</f>
        <v>2120</v>
      </c>
      <c r="DE66" s="531">
        <f t="shared" si="208"/>
        <v>27.478937135450423</v>
      </c>
      <c r="DF66" s="544">
        <f t="shared" si="209"/>
        <v>4.074619538537072E-2</v>
      </c>
      <c r="DH66" s="524">
        <f>DH63+DH62</f>
        <v>2407</v>
      </c>
      <c r="DI66" s="531">
        <f t="shared" si="210"/>
        <v>29.566392335093965</v>
      </c>
      <c r="DJ66" s="544">
        <f t="shared" si="211"/>
        <v>0.13537735849056598</v>
      </c>
      <c r="DL66" s="524">
        <f>DL63+DL62</f>
        <v>2375.0655598469948</v>
      </c>
      <c r="DM66" s="531">
        <f>(DL66/DL16)*100</f>
        <v>30.030793228166054</v>
      </c>
      <c r="DN66" s="544">
        <f t="shared" si="212"/>
        <v>-1.3267320379312553E-2</v>
      </c>
      <c r="DO66" s="544"/>
      <c r="DP66" s="255"/>
      <c r="DQ66" s="255"/>
    </row>
    <row r="67" spans="1:127" outlineLevel="1" collapsed="1" x14ac:dyDescent="0.2">
      <c r="D67" s="361"/>
      <c r="E67" s="550"/>
      <c r="F67" s="550"/>
      <c r="H67" s="361"/>
      <c r="I67" s="550"/>
      <c r="J67" s="550"/>
      <c r="L67" s="361"/>
      <c r="M67" s="550"/>
      <c r="N67" s="550"/>
      <c r="P67" s="361"/>
      <c r="Q67" s="550"/>
      <c r="R67" s="550"/>
      <c r="T67" s="361"/>
      <c r="U67" s="550"/>
      <c r="V67" s="550"/>
      <c r="X67" s="361"/>
      <c r="Y67" s="550"/>
      <c r="Z67" s="550"/>
      <c r="AB67" s="361"/>
      <c r="AC67" s="550"/>
      <c r="AD67" s="550"/>
      <c r="AF67" s="361"/>
      <c r="AG67" s="550"/>
      <c r="AH67" s="550"/>
      <c r="AJ67" s="361"/>
      <c r="AK67" s="550"/>
      <c r="AL67" s="550"/>
      <c r="AN67" s="361"/>
      <c r="AO67" s="550"/>
      <c r="AP67" s="550"/>
      <c r="AR67" s="361"/>
      <c r="AS67" s="550"/>
      <c r="AT67" s="550"/>
      <c r="AV67" s="361"/>
      <c r="AW67" s="550"/>
      <c r="AX67" s="550"/>
      <c r="AZ67" s="361"/>
      <c r="BA67" s="550"/>
      <c r="BB67" s="550"/>
      <c r="BD67" s="361"/>
      <c r="BE67" s="550"/>
      <c r="BF67" s="550"/>
      <c r="BH67" s="361"/>
      <c r="BI67" s="550"/>
      <c r="BJ67" s="550"/>
      <c r="BL67" s="361"/>
      <c r="BM67" s="550"/>
      <c r="BN67" s="550"/>
      <c r="BP67" s="362"/>
      <c r="BQ67" s="551"/>
      <c r="BR67" s="551"/>
      <c r="BT67" s="362"/>
      <c r="BU67" s="551"/>
      <c r="BV67" s="551"/>
      <c r="BX67" s="362"/>
      <c r="BY67" s="551"/>
      <c r="BZ67" s="551"/>
      <c r="CB67" s="362"/>
      <c r="CC67" s="551"/>
      <c r="CD67" s="551"/>
      <c r="CF67" s="362"/>
      <c r="CG67" s="551"/>
      <c r="CH67" s="551"/>
      <c r="CJ67" s="362"/>
      <c r="CK67" s="551"/>
      <c r="CL67" s="551"/>
      <c r="CN67" s="362"/>
      <c r="CP67" s="249"/>
      <c r="CR67" s="362"/>
      <c r="CT67" s="249"/>
      <c r="CV67" s="362"/>
      <c r="CW67" s="255"/>
      <c r="CX67" s="249"/>
      <c r="CZ67" s="362"/>
      <c r="DA67" s="255"/>
      <c r="DB67" s="249"/>
    </row>
    <row r="68" spans="1:127" s="516" customFormat="1" ht="12.75" customHeight="1" outlineLevel="1" x14ac:dyDescent="0.2">
      <c r="A68" s="515" t="s">
        <v>329</v>
      </c>
      <c r="CG68" s="1397" t="str">
        <f>A68</f>
        <v>5b. Credit SG&amp;A (% of Credit Revenue / % growth)</v>
      </c>
      <c r="CH68" s="1397"/>
      <c r="CI68" s="1397"/>
      <c r="CJ68" s="1397"/>
      <c r="CK68" s="1397"/>
      <c r="CL68" s="1397"/>
      <c r="CM68" s="1397"/>
      <c r="CN68" s="1397"/>
      <c r="CO68" s="1397"/>
      <c r="CP68" s="1397"/>
      <c r="CQ68" s="1397"/>
      <c r="CR68" s="1397"/>
      <c r="CS68" s="1397"/>
      <c r="CT68" s="1397"/>
      <c r="CU68" s="1397"/>
      <c r="CV68" s="1397"/>
      <c r="CW68" s="1397"/>
      <c r="CX68" s="1397"/>
      <c r="CY68" s="1397"/>
      <c r="CZ68" s="1397"/>
      <c r="DA68" s="1397"/>
      <c r="DB68" s="1397"/>
      <c r="DC68" s="1397"/>
      <c r="DD68" s="1397"/>
      <c r="DE68" s="1397"/>
      <c r="DF68" s="1397"/>
      <c r="DG68" s="846"/>
      <c r="DH68" s="1324"/>
      <c r="DI68" s="846"/>
      <c r="DJ68" s="846"/>
      <c r="DK68" s="1222"/>
      <c r="DL68" s="1222"/>
      <c r="DM68" s="1222"/>
      <c r="DN68" s="1222"/>
      <c r="DO68" s="1222"/>
      <c r="DT68" s="1397" t="s">
        <v>542</v>
      </c>
      <c r="DU68" s="1397"/>
      <c r="DV68" s="1397"/>
    </row>
    <row r="69" spans="1:127" outlineLevel="1" x14ac:dyDescent="0.2">
      <c r="D69" s="361"/>
      <c r="E69" s="249"/>
      <c r="F69" s="249"/>
      <c r="H69" s="361"/>
      <c r="I69" s="249"/>
      <c r="J69" s="249"/>
      <c r="L69" s="361"/>
      <c r="M69" s="249"/>
      <c r="N69" s="249"/>
      <c r="P69" s="361"/>
      <c r="Q69" s="249"/>
      <c r="R69" s="249"/>
      <c r="T69" s="361"/>
      <c r="U69" s="249"/>
      <c r="V69" s="249"/>
      <c r="X69" s="361"/>
      <c r="Y69" s="249"/>
      <c r="Z69" s="249"/>
      <c r="AB69" s="361"/>
      <c r="AC69" s="249"/>
      <c r="AD69" s="249"/>
      <c r="AF69" s="361"/>
      <c r="AG69" s="249"/>
      <c r="AH69" s="249"/>
      <c r="AJ69" s="361"/>
      <c r="AK69" s="249"/>
      <c r="AL69" s="249"/>
      <c r="AN69" s="361"/>
      <c r="AO69" s="249"/>
      <c r="AP69" s="249"/>
      <c r="AR69" s="361"/>
      <c r="AS69" s="249"/>
      <c r="AT69" s="249"/>
      <c r="AV69" s="361"/>
      <c r="AW69" s="249"/>
      <c r="AX69" s="249"/>
      <c r="AZ69" s="361"/>
      <c r="BA69" s="249"/>
      <c r="BB69" s="249"/>
      <c r="BD69" s="361"/>
      <c r="BE69" s="249"/>
      <c r="BF69" s="249"/>
      <c r="BH69" s="361"/>
      <c r="BI69" s="249"/>
      <c r="BJ69" s="249"/>
      <c r="BL69" s="361"/>
      <c r="BM69" s="249"/>
      <c r="BN69" s="249"/>
      <c r="BP69" s="362"/>
      <c r="BT69" s="362"/>
      <c r="BX69" s="362"/>
      <c r="CB69" s="362"/>
      <c r="CF69" s="362"/>
      <c r="CJ69" s="362"/>
      <c r="CN69" s="555"/>
      <c r="CP69" s="249"/>
      <c r="CT69" s="249"/>
      <c r="CX69" s="249"/>
      <c r="DB69" s="249"/>
      <c r="DF69" s="249"/>
      <c r="DH69" s="362"/>
      <c r="DI69" s="1325"/>
      <c r="DJ69" s="249"/>
      <c r="DN69" s="249"/>
      <c r="DO69" s="249"/>
      <c r="DT69" s="677">
        <v>2014</v>
      </c>
      <c r="DU69" s="677">
        <v>2015</v>
      </c>
      <c r="DV69" s="677">
        <v>2016</v>
      </c>
      <c r="DW69" s="845">
        <v>2017</v>
      </c>
    </row>
    <row r="70" spans="1:127" outlineLevel="1" x14ac:dyDescent="0.2">
      <c r="A70" s="517" t="s">
        <v>78</v>
      </c>
      <c r="D70" s="530"/>
      <c r="E70" s="531"/>
      <c r="F70" s="538"/>
      <c r="H70" s="530"/>
      <c r="I70" s="531"/>
      <c r="J70" s="539"/>
      <c r="L70" s="530"/>
      <c r="M70" s="531"/>
      <c r="N70" s="539"/>
      <c r="P70" s="530"/>
      <c r="Q70" s="531"/>
      <c r="R70" s="539"/>
      <c r="T70" s="530"/>
      <c r="U70" s="531"/>
      <c r="V70" s="539"/>
      <c r="X70" s="530"/>
      <c r="Y70" s="531"/>
      <c r="Z70" s="539"/>
      <c r="AB70" s="530"/>
      <c r="AC70" s="531"/>
      <c r="AD70" s="539"/>
      <c r="AF70" s="530"/>
      <c r="AG70" s="531"/>
      <c r="AH70" s="539"/>
      <c r="AJ70" s="530"/>
      <c r="AK70" s="531"/>
      <c r="AL70" s="539"/>
      <c r="AN70" s="530"/>
      <c r="AO70" s="531"/>
      <c r="AP70" s="539"/>
      <c r="AR70" s="530"/>
      <c r="AS70" s="531"/>
      <c r="AT70" s="539"/>
      <c r="AV70" s="530"/>
      <c r="AW70" s="531"/>
      <c r="AX70" s="539"/>
      <c r="AZ70" s="530"/>
      <c r="BA70" s="531"/>
      <c r="BB70" s="539"/>
      <c r="BD70" s="530"/>
      <c r="BE70" s="531"/>
      <c r="BF70" s="539"/>
      <c r="BH70" s="530"/>
      <c r="BI70" s="531"/>
      <c r="BJ70" s="539"/>
      <c r="BL70" s="530"/>
      <c r="BM70" s="531"/>
      <c r="BN70" s="539"/>
      <c r="BP70" s="530"/>
      <c r="BQ70" s="531"/>
      <c r="BR70" s="539"/>
      <c r="BT70" s="530">
        <v>32</v>
      </c>
      <c r="BU70" s="531">
        <f>(BT70/BT20)*100</f>
        <v>57.295303575585045</v>
      </c>
      <c r="BV70" s="539"/>
      <c r="BX70" s="530">
        <v>40</v>
      </c>
      <c r="BY70" s="531">
        <f>(BX70/BX20)*100</f>
        <v>57.142857142857139</v>
      </c>
      <c r="BZ70" s="539">
        <f t="shared" ref="BZ70:BZ76" si="218">(BY70-BU70)*100</f>
        <v>-15.244643272790626</v>
      </c>
      <c r="CB70" s="530">
        <v>92</v>
      </c>
      <c r="CC70" s="531">
        <f>(CB70/CB20)*100</f>
        <v>106.9767441860465</v>
      </c>
      <c r="CD70" s="539">
        <f t="shared" ref="CD70:CD76" si="219">(CC70-BY70)*100</f>
        <v>4983.3887043189361</v>
      </c>
      <c r="CF70" s="1164">
        <v>92</v>
      </c>
      <c r="CG70" s="531">
        <f>(CF70/CF20)*100</f>
        <v>94.845360824742258</v>
      </c>
      <c r="CH70" s="539">
        <f t="shared" ref="CH70:CH76" si="220">(CG70-CC70)*100</f>
        <v>-1213.1383361304245</v>
      </c>
      <c r="CJ70" s="1164">
        <v>55</v>
      </c>
      <c r="CK70" s="531">
        <f>(CJ70/CJ20)*100</f>
        <v>58.51063829787234</v>
      </c>
      <c r="CL70" s="539">
        <f t="shared" ref="CL70:CL76" si="221">(CK70-CG70)*100</f>
        <v>-3633.4722526869919</v>
      </c>
      <c r="CN70" s="1164">
        <v>43</v>
      </c>
      <c r="CO70" s="531">
        <f>(CN70/CN20)*100</f>
        <v>47.777777777777779</v>
      </c>
      <c r="CP70" s="538">
        <f t="shared" ref="CP70:CP76" si="222">(CO70-CK70)*100</f>
        <v>-1073.2860520094562</v>
      </c>
      <c r="CR70" s="1164">
        <f>CR50-CR60</f>
        <v>47</v>
      </c>
      <c r="CS70" s="531">
        <f>(CR70/CR20)*100</f>
        <v>51.086956521739133</v>
      </c>
      <c r="CT70" s="538">
        <f>(CS70-CO70)*100</f>
        <v>330.9178743961354</v>
      </c>
      <c r="CV70" s="1164">
        <v>53</v>
      </c>
      <c r="CW70" s="531">
        <f t="shared" ref="CW70:CW76" si="223">(CV70/CV20)*100</f>
        <v>56.38297872340425</v>
      </c>
      <c r="CX70" s="544">
        <f t="shared" ref="CX70:CX76" si="224">CV70/CR70-1</f>
        <v>0.12765957446808507</v>
      </c>
      <c r="CZ70" s="1164">
        <v>52</v>
      </c>
      <c r="DA70" s="531">
        <f t="shared" ref="DA70:DA76" si="225">(CZ70/CZ20)*100</f>
        <v>52</v>
      </c>
      <c r="DB70" s="544">
        <f t="shared" ref="DB70:DB76" si="226">CZ70/CV70-1</f>
        <v>-1.8867924528301883E-2</v>
      </c>
      <c r="DD70" s="1164">
        <v>40</v>
      </c>
      <c r="DE70" s="531">
        <f t="shared" ref="DE70:DE75" si="227">(DD70/DD20)*100</f>
        <v>70.175438596491219</v>
      </c>
      <c r="DF70" s="544">
        <f t="shared" ref="DF70:DF75" si="228">DD70/CZ70-1</f>
        <v>-0.23076923076923073</v>
      </c>
      <c r="DH70" s="1164">
        <v>38</v>
      </c>
      <c r="DI70" s="540">
        <f t="shared" ref="DI70:DI76" si="229">(DH70/DH20)*100</f>
        <v>50.666666666666671</v>
      </c>
      <c r="DJ70" s="544">
        <f t="shared" ref="DJ70:DJ76" si="230">DH70/DD70-1</f>
        <v>-5.0000000000000044E-2</v>
      </c>
      <c r="DL70" s="1235">
        <v>41</v>
      </c>
      <c r="DM70" s="540">
        <f t="shared" ref="DM70:DM76" si="231">(DL70/DL20)*100</f>
        <v>49.696969696969695</v>
      </c>
      <c r="DN70" s="544">
        <f t="shared" ref="DN70:DN76" si="232">DL70/DH70-1</f>
        <v>7.8947368421052655E-2</v>
      </c>
      <c r="DO70" s="544"/>
      <c r="DS70" s="706" t="s">
        <v>92</v>
      </c>
      <c r="DT70" s="676">
        <f>CV20-CV70</f>
        <v>41</v>
      </c>
      <c r="DU70" s="676">
        <f>CZ20-CZ70</f>
        <v>48</v>
      </c>
      <c r="DV70" s="676">
        <f>DD20-DD70</f>
        <v>17</v>
      </c>
      <c r="DW70" s="676">
        <f>DH20-DH70</f>
        <v>37</v>
      </c>
    </row>
    <row r="71" spans="1:127" outlineLevel="1" x14ac:dyDescent="0.2">
      <c r="A71" s="517" t="s">
        <v>79</v>
      </c>
      <c r="D71" s="533"/>
      <c r="E71" s="531"/>
      <c r="F71" s="538"/>
      <c r="H71" s="533"/>
      <c r="I71" s="531"/>
      <c r="J71" s="539"/>
      <c r="L71" s="533"/>
      <c r="M71" s="531"/>
      <c r="N71" s="539"/>
      <c r="P71" s="533"/>
      <c r="Q71" s="531"/>
      <c r="R71" s="539"/>
      <c r="T71" s="533"/>
      <c r="U71" s="531"/>
      <c r="V71" s="539"/>
      <c r="X71" s="533"/>
      <c r="Y71" s="531"/>
      <c r="Z71" s="539"/>
      <c r="AB71" s="533"/>
      <c r="AC71" s="531"/>
      <c r="AD71" s="539"/>
      <c r="AF71" s="533"/>
      <c r="AG71" s="531"/>
      <c r="AH71" s="539"/>
      <c r="AJ71" s="533"/>
      <c r="AK71" s="531"/>
      <c r="AL71" s="539"/>
      <c r="AN71" s="533"/>
      <c r="AO71" s="531"/>
      <c r="AP71" s="539"/>
      <c r="AR71" s="533"/>
      <c r="AS71" s="531"/>
      <c r="AT71" s="539"/>
      <c r="AV71" s="533"/>
      <c r="AW71" s="531"/>
      <c r="AX71" s="539"/>
      <c r="AZ71" s="533"/>
      <c r="BA71" s="531"/>
      <c r="BB71" s="539"/>
      <c r="BD71" s="533"/>
      <c r="BE71" s="531"/>
      <c r="BF71" s="539"/>
      <c r="BH71" s="533"/>
      <c r="BI71" s="531"/>
      <c r="BJ71" s="539"/>
      <c r="BL71" s="533"/>
      <c r="BM71" s="531"/>
      <c r="BN71" s="539"/>
      <c r="BP71" s="533"/>
      <c r="BQ71" s="531"/>
      <c r="BR71" s="539"/>
      <c r="BT71" s="533">
        <v>49</v>
      </c>
      <c r="BU71" s="531">
        <f t="shared" ref="BU71:BU76" si="233">(BT71/BT21)*100</f>
        <v>69.685420103532621</v>
      </c>
      <c r="BV71" s="539"/>
      <c r="BX71" s="533">
        <v>57</v>
      </c>
      <c r="BY71" s="531">
        <f t="shared" ref="BY71:BY76" si="234">(BX71/BX21)*100</f>
        <v>79.166666666666657</v>
      </c>
      <c r="BZ71" s="539">
        <f t="shared" si="218"/>
        <v>948.12465631340365</v>
      </c>
      <c r="CB71" s="533">
        <v>77</v>
      </c>
      <c r="CC71" s="531">
        <f t="shared" ref="CC71:CC76" si="235">(CB71/CB21)*100</f>
        <v>88.505747126436788</v>
      </c>
      <c r="CD71" s="539">
        <f t="shared" si="219"/>
        <v>933.90804597701299</v>
      </c>
      <c r="CF71" s="1165">
        <v>65</v>
      </c>
      <c r="CG71" s="531">
        <f t="shared" ref="CG71:CG76" si="236">(CF71/CF21)*100</f>
        <v>66.326530612244895</v>
      </c>
      <c r="CH71" s="539">
        <f t="shared" si="220"/>
        <v>-2217.9216514191894</v>
      </c>
      <c r="CJ71" s="1165">
        <v>59</v>
      </c>
      <c r="CK71" s="531">
        <f t="shared" ref="CK71:CK76" si="237">(CJ71/CJ21)*100</f>
        <v>62.765957446808507</v>
      </c>
      <c r="CL71" s="539">
        <f t="shared" si="221"/>
        <v>-356.05731654363876</v>
      </c>
      <c r="CN71" s="1165">
        <v>60</v>
      </c>
      <c r="CO71" s="531">
        <f t="shared" ref="CO71:CO76" si="238">(CN71/CN21)*100</f>
        <v>68.181818181818173</v>
      </c>
      <c r="CP71" s="538">
        <f t="shared" si="222"/>
        <v>541.58607350096656</v>
      </c>
      <c r="CR71" s="1165">
        <v>52</v>
      </c>
      <c r="CS71" s="531">
        <f t="shared" ref="CS71:CS76" si="239">(CR71/CR21)*100</f>
        <v>56.521739130434781</v>
      </c>
      <c r="CT71" s="538">
        <f t="shared" ref="CT71:CT76" si="240">(CS71-CO71)*100</f>
        <v>-1166.0079051383391</v>
      </c>
      <c r="CV71" s="1165">
        <v>43</v>
      </c>
      <c r="CW71" s="531">
        <f t="shared" si="223"/>
        <v>44.791666666666671</v>
      </c>
      <c r="CX71" s="544">
        <f t="shared" si="224"/>
        <v>-0.17307692307692313</v>
      </c>
      <c r="CZ71" s="1165">
        <f>50</f>
        <v>50</v>
      </c>
      <c r="DA71" s="531">
        <f t="shared" si="225"/>
        <v>48.543689320388353</v>
      </c>
      <c r="DB71" s="544">
        <f t="shared" si="226"/>
        <v>0.16279069767441867</v>
      </c>
      <c r="DD71" s="1165">
        <v>42</v>
      </c>
      <c r="DE71" s="531">
        <f>(DD71/DD21)*100</f>
        <v>71.186440677966104</v>
      </c>
      <c r="DF71" s="544">
        <f>DD71/CZ71-1</f>
        <v>-0.16000000000000003</v>
      </c>
      <c r="DH71" s="1165">
        <v>36</v>
      </c>
      <c r="DI71" s="540">
        <f t="shared" si="229"/>
        <v>47.368421052631575</v>
      </c>
      <c r="DJ71" s="544">
        <f t="shared" si="230"/>
        <v>-0.1428571428571429</v>
      </c>
      <c r="DL71" s="1178">
        <v>41</v>
      </c>
      <c r="DM71" s="540">
        <f t="shared" si="231"/>
        <v>49.043062200956932</v>
      </c>
      <c r="DN71" s="544">
        <f t="shared" si="232"/>
        <v>0.13888888888888884</v>
      </c>
      <c r="DO71" s="544"/>
      <c r="DS71" s="706" t="s">
        <v>93</v>
      </c>
      <c r="DT71" s="676">
        <f>CV21-CV71</f>
        <v>53</v>
      </c>
      <c r="DU71" s="676">
        <f>CZ21-CZ71</f>
        <v>53</v>
      </c>
      <c r="DV71" s="676">
        <f>DD21-DD71</f>
        <v>17</v>
      </c>
      <c r="DW71" s="676">
        <f>DH21-DH71</f>
        <v>40</v>
      </c>
    </row>
    <row r="72" spans="1:127" outlineLevel="1" x14ac:dyDescent="0.2">
      <c r="A72" s="517" t="s">
        <v>80</v>
      </c>
      <c r="D72" s="533"/>
      <c r="E72" s="531"/>
      <c r="F72" s="538"/>
      <c r="H72" s="533"/>
      <c r="I72" s="531"/>
      <c r="J72" s="539"/>
      <c r="L72" s="533"/>
      <c r="M72" s="531"/>
      <c r="N72" s="539"/>
      <c r="P72" s="533"/>
      <c r="Q72" s="531"/>
      <c r="R72" s="539"/>
      <c r="T72" s="533"/>
      <c r="U72" s="531"/>
      <c r="V72" s="539"/>
      <c r="X72" s="533"/>
      <c r="Y72" s="531"/>
      <c r="Z72" s="539"/>
      <c r="AB72" s="533"/>
      <c r="AC72" s="531"/>
      <c r="AD72" s="539"/>
      <c r="AF72" s="533"/>
      <c r="AG72" s="531"/>
      <c r="AH72" s="539"/>
      <c r="AJ72" s="533"/>
      <c r="AK72" s="531"/>
      <c r="AL72" s="539"/>
      <c r="AN72" s="533"/>
      <c r="AO72" s="531"/>
      <c r="AP72" s="539"/>
      <c r="AR72" s="533"/>
      <c r="AS72" s="531"/>
      <c r="AT72" s="539"/>
      <c r="AV72" s="533"/>
      <c r="AW72" s="531"/>
      <c r="AX72" s="539"/>
      <c r="AZ72" s="533"/>
      <c r="BA72" s="531"/>
      <c r="BB72" s="539"/>
      <c r="BD72" s="533"/>
      <c r="BE72" s="531"/>
      <c r="BF72" s="539"/>
      <c r="BH72" s="533"/>
      <c r="BI72" s="531"/>
      <c r="BJ72" s="539"/>
      <c r="BL72" s="533"/>
      <c r="BM72" s="531"/>
      <c r="BN72" s="539"/>
      <c r="BP72" s="533"/>
      <c r="BQ72" s="531"/>
      <c r="BR72" s="539"/>
      <c r="BT72" s="533">
        <v>44</v>
      </c>
      <c r="BU72" s="531">
        <f t="shared" si="233"/>
        <v>63.973015019119202</v>
      </c>
      <c r="BV72" s="539"/>
      <c r="BX72" s="533">
        <v>77</v>
      </c>
      <c r="BY72" s="531">
        <f t="shared" si="234"/>
        <v>104.05405405405406</v>
      </c>
      <c r="BZ72" s="539">
        <f t="shared" si="218"/>
        <v>4008.1039034934861</v>
      </c>
      <c r="CB72" s="533">
        <v>81</v>
      </c>
      <c r="CC72" s="531">
        <f t="shared" si="235"/>
        <v>85.263157894736835</v>
      </c>
      <c r="CD72" s="539">
        <f t="shared" si="219"/>
        <v>-1879.0896159317228</v>
      </c>
      <c r="CF72" s="1165">
        <v>61</v>
      </c>
      <c r="CG72" s="531">
        <f t="shared" si="236"/>
        <v>64.21052631578948</v>
      </c>
      <c r="CH72" s="539">
        <f t="shared" si="220"/>
        <v>-2105.2631578947357</v>
      </c>
      <c r="CJ72" s="1165">
        <v>57</v>
      </c>
      <c r="CK72" s="531">
        <f t="shared" si="237"/>
        <v>60</v>
      </c>
      <c r="CL72" s="539">
        <f t="shared" si="221"/>
        <v>-421.05263157894797</v>
      </c>
      <c r="CN72" s="1165">
        <v>41</v>
      </c>
      <c r="CO72" s="531">
        <f t="shared" si="238"/>
        <v>44.565217391304344</v>
      </c>
      <c r="CP72" s="538">
        <f t="shared" si="222"/>
        <v>-1543.4782608695655</v>
      </c>
      <c r="CR72" s="1165">
        <v>45</v>
      </c>
      <c r="CS72" s="531">
        <f t="shared" si="239"/>
        <v>48.387096774193552</v>
      </c>
      <c r="CT72" s="538">
        <f t="shared" si="240"/>
        <v>382.18793828892075</v>
      </c>
      <c r="CV72" s="1165">
        <v>43</v>
      </c>
      <c r="CW72" s="531">
        <f t="shared" si="223"/>
        <v>43</v>
      </c>
      <c r="CX72" s="544">
        <f t="shared" si="224"/>
        <v>-4.4444444444444398E-2</v>
      </c>
      <c r="CZ72" s="1165">
        <f>50+32-32</f>
        <v>50</v>
      </c>
      <c r="DA72" s="531">
        <f t="shared" si="225"/>
        <v>56.81818181818182</v>
      </c>
      <c r="DB72" s="544">
        <f t="shared" si="226"/>
        <v>0.16279069767441867</v>
      </c>
      <c r="DD72" s="1165">
        <v>39</v>
      </c>
      <c r="DE72" s="531">
        <f>(DD72/DD22)*100</f>
        <v>55.714285714285715</v>
      </c>
      <c r="DF72" s="544">
        <f>DD72/CZ72-1</f>
        <v>-0.21999999999999997</v>
      </c>
      <c r="DH72" s="1165">
        <v>40</v>
      </c>
      <c r="DI72" s="540">
        <f t="shared" si="229"/>
        <v>45.454545454545453</v>
      </c>
      <c r="DJ72" s="544">
        <f t="shared" si="230"/>
        <v>2.564102564102555E-2</v>
      </c>
      <c r="DL72" s="1362">
        <v>40</v>
      </c>
      <c r="DM72" s="540">
        <f t="shared" si="231"/>
        <v>41.322314049586772</v>
      </c>
      <c r="DN72" s="544">
        <f t="shared" si="232"/>
        <v>0</v>
      </c>
      <c r="DO72" s="544"/>
      <c r="DS72" s="706" t="s">
        <v>94</v>
      </c>
      <c r="DT72" s="676">
        <f>CV22-CV72</f>
        <v>57</v>
      </c>
      <c r="DU72" s="676">
        <f>CZ22-CZ72</f>
        <v>38</v>
      </c>
      <c r="DV72" s="676">
        <f>DD22-DD72</f>
        <v>31</v>
      </c>
      <c r="DW72" s="676">
        <f>DH22-DH72</f>
        <v>48</v>
      </c>
    </row>
    <row r="73" spans="1:127" outlineLevel="1" x14ac:dyDescent="0.2">
      <c r="A73" s="517" t="s">
        <v>81</v>
      </c>
      <c r="D73" s="534"/>
      <c r="E73" s="531"/>
      <c r="F73" s="538"/>
      <c r="H73" s="534"/>
      <c r="I73" s="531"/>
      <c r="J73" s="539"/>
      <c r="L73" s="534"/>
      <c r="M73" s="531"/>
      <c r="N73" s="539"/>
      <c r="P73" s="534"/>
      <c r="Q73" s="531"/>
      <c r="R73" s="539"/>
      <c r="T73" s="534"/>
      <c r="U73" s="531"/>
      <c r="V73" s="539"/>
      <c r="X73" s="534"/>
      <c r="Y73" s="531"/>
      <c r="Z73" s="539"/>
      <c r="AB73" s="534"/>
      <c r="AC73" s="531"/>
      <c r="AD73" s="539"/>
      <c r="AF73" s="534"/>
      <c r="AG73" s="531"/>
      <c r="AH73" s="539"/>
      <c r="AJ73" s="534"/>
      <c r="AK73" s="531"/>
      <c r="AL73" s="539"/>
      <c r="AN73" s="534"/>
      <c r="AO73" s="531"/>
      <c r="AP73" s="539"/>
      <c r="AR73" s="534"/>
      <c r="AS73" s="531"/>
      <c r="AT73" s="539"/>
      <c r="AV73" s="534"/>
      <c r="AW73" s="531"/>
      <c r="AX73" s="539"/>
      <c r="AZ73" s="534"/>
      <c r="BA73" s="531"/>
      <c r="BB73" s="539"/>
      <c r="BD73" s="534"/>
      <c r="BE73" s="531"/>
      <c r="BF73" s="539"/>
      <c r="BH73" s="534"/>
      <c r="BI73" s="531"/>
      <c r="BJ73" s="539"/>
      <c r="BL73" s="534"/>
      <c r="BM73" s="531"/>
      <c r="BN73" s="539"/>
      <c r="BP73" s="534"/>
      <c r="BQ73" s="531"/>
      <c r="BR73" s="539"/>
      <c r="BT73" s="534">
        <v>52</v>
      </c>
      <c r="BU73" s="531">
        <f t="shared" si="233"/>
        <v>68.421052631578945</v>
      </c>
      <c r="BV73" s="539"/>
      <c r="BX73" s="534">
        <v>90</v>
      </c>
      <c r="BY73" s="531">
        <f t="shared" si="234"/>
        <v>100</v>
      </c>
      <c r="BZ73" s="539">
        <f t="shared" si="218"/>
        <v>3157.8947368421054</v>
      </c>
      <c r="CB73" s="534">
        <v>106</v>
      </c>
      <c r="CC73" s="531">
        <f t="shared" si="235"/>
        <v>104.95049504950495</v>
      </c>
      <c r="CD73" s="539">
        <f t="shared" si="219"/>
        <v>495.04950495049513</v>
      </c>
      <c r="CF73" s="1166">
        <v>55</v>
      </c>
      <c r="CG73" s="531">
        <f t="shared" si="236"/>
        <v>55.000000000000007</v>
      </c>
      <c r="CH73" s="539">
        <f t="shared" si="220"/>
        <v>-4995.0495049504943</v>
      </c>
      <c r="CJ73" s="1166">
        <v>58</v>
      </c>
      <c r="CK73" s="531">
        <f t="shared" si="237"/>
        <v>59.793814432989691</v>
      </c>
      <c r="CL73" s="539">
        <f t="shared" si="221"/>
        <v>479.38144329896841</v>
      </c>
      <c r="CN73" s="1166">
        <v>46</v>
      </c>
      <c r="CO73" s="540">
        <f t="shared" si="238"/>
        <v>45.098039215686278</v>
      </c>
      <c r="CP73" s="538">
        <f t="shared" si="222"/>
        <v>-1469.5775217303415</v>
      </c>
      <c r="CR73" s="1166">
        <v>38</v>
      </c>
      <c r="CS73" s="540">
        <f t="shared" si="239"/>
        <v>39.175257731958766</v>
      </c>
      <c r="CT73" s="538">
        <f t="shared" si="240"/>
        <v>-592.27814837275116</v>
      </c>
      <c r="CV73" s="1166">
        <v>54</v>
      </c>
      <c r="CW73" s="540">
        <f t="shared" si="223"/>
        <v>51.428571428571423</v>
      </c>
      <c r="CX73" s="544">
        <f t="shared" si="224"/>
        <v>0.42105263157894735</v>
      </c>
      <c r="CZ73" s="1166">
        <v>36</v>
      </c>
      <c r="DA73" s="540">
        <f t="shared" si="225"/>
        <v>70.588235294117652</v>
      </c>
      <c r="DB73" s="544">
        <f t="shared" si="226"/>
        <v>-0.33333333333333337</v>
      </c>
      <c r="DD73" s="1166">
        <v>42</v>
      </c>
      <c r="DE73" s="540">
        <f>(DD73/DD23)*100</f>
        <v>57.534246575342465</v>
      </c>
      <c r="DF73" s="544">
        <f t="shared" si="228"/>
        <v>0.16666666666666674</v>
      </c>
      <c r="DH73" s="1166">
        <f>52-6</f>
        <v>46</v>
      </c>
      <c r="DI73" s="540">
        <f t="shared" si="229"/>
        <v>45.098039215686278</v>
      </c>
      <c r="DJ73" s="544">
        <f t="shared" si="230"/>
        <v>9.5238095238095344E-2</v>
      </c>
      <c r="DL73" s="1179">
        <v>42</v>
      </c>
      <c r="DM73" s="540">
        <f t="shared" si="231"/>
        <v>37.433155080213901</v>
      </c>
      <c r="DN73" s="544">
        <f t="shared" si="232"/>
        <v>-8.6956521739130488E-2</v>
      </c>
      <c r="DO73" s="544"/>
      <c r="DS73" s="706" t="s">
        <v>95</v>
      </c>
      <c r="DT73" s="676">
        <f>CV23-CV73</f>
        <v>51</v>
      </c>
      <c r="DU73" s="676">
        <f>CZ23-CZ73</f>
        <v>15</v>
      </c>
      <c r="DV73" s="676">
        <f>DD23-DD73</f>
        <v>31</v>
      </c>
      <c r="DW73" s="676">
        <f>DH23-DH73</f>
        <v>56</v>
      </c>
    </row>
    <row r="74" spans="1:127" outlineLevel="1" x14ac:dyDescent="0.2">
      <c r="A74" s="517" t="s">
        <v>82</v>
      </c>
      <c r="D74" s="533"/>
      <c r="E74" s="531"/>
      <c r="F74" s="538"/>
      <c r="H74" s="533"/>
      <c r="I74" s="531"/>
      <c r="J74" s="539"/>
      <c r="L74" s="533"/>
      <c r="M74" s="531"/>
      <c r="N74" s="539"/>
      <c r="P74" s="533"/>
      <c r="Q74" s="531"/>
      <c r="R74" s="539"/>
      <c r="T74" s="533"/>
      <c r="U74" s="531"/>
      <c r="V74" s="539"/>
      <c r="X74" s="533"/>
      <c r="Y74" s="531"/>
      <c r="Z74" s="539"/>
      <c r="AB74" s="533"/>
      <c r="AC74" s="531"/>
      <c r="AD74" s="539"/>
      <c r="AF74" s="533"/>
      <c r="AG74" s="531"/>
      <c r="AH74" s="539"/>
      <c r="AJ74" s="533"/>
      <c r="AK74" s="531"/>
      <c r="AL74" s="539"/>
      <c r="AN74" s="533"/>
      <c r="AO74" s="531"/>
      <c r="AP74" s="539"/>
      <c r="AR74" s="533"/>
      <c r="AS74" s="531"/>
      <c r="AT74" s="539"/>
      <c r="AV74" s="533"/>
      <c r="AW74" s="531"/>
      <c r="AX74" s="539"/>
      <c r="AZ74" s="533"/>
      <c r="BA74" s="531"/>
      <c r="BB74" s="539"/>
      <c r="BD74" s="533"/>
      <c r="BE74" s="531"/>
      <c r="BF74" s="539"/>
      <c r="BH74" s="533"/>
      <c r="BI74" s="531"/>
      <c r="BJ74" s="539"/>
      <c r="BL74" s="533"/>
      <c r="BM74" s="531"/>
      <c r="BN74" s="539"/>
      <c r="BP74" s="533"/>
      <c r="BQ74" s="531"/>
      <c r="BR74" s="539"/>
      <c r="BT74" s="533">
        <v>177</v>
      </c>
      <c r="BU74" s="531">
        <f t="shared" si="233"/>
        <v>65.3266702590184</v>
      </c>
      <c r="BV74" s="539"/>
      <c r="BX74" s="533">
        <v>274</v>
      </c>
      <c r="BY74" s="531">
        <f t="shared" si="234"/>
        <v>89.542483660130728</v>
      </c>
      <c r="BZ74" s="539">
        <f t="shared" si="218"/>
        <v>2421.5813401112327</v>
      </c>
      <c r="CB74" s="533">
        <v>356</v>
      </c>
      <c r="CC74" s="531">
        <f t="shared" si="235"/>
        <v>96.476964769647694</v>
      </c>
      <c r="CD74" s="539">
        <f t="shared" si="219"/>
        <v>693.44811095169666</v>
      </c>
      <c r="CF74" s="1088">
        <f>SUM(CF70:CF73)</f>
        <v>273</v>
      </c>
      <c r="CG74" s="531">
        <f t="shared" si="236"/>
        <v>70</v>
      </c>
      <c r="CH74" s="539">
        <f t="shared" si="220"/>
        <v>-2647.6964769647693</v>
      </c>
      <c r="CI74" s="706"/>
      <c r="CJ74" s="1088">
        <f>SUM(CJ70:CJ73)</f>
        <v>229</v>
      </c>
      <c r="CK74" s="531">
        <f t="shared" si="237"/>
        <v>60.263157894736842</v>
      </c>
      <c r="CL74" s="539">
        <f t="shared" si="221"/>
        <v>-973.68421052631572</v>
      </c>
      <c r="CM74" s="706"/>
      <c r="CN74" s="1088">
        <f>SUM(CN70:CN73)</f>
        <v>190</v>
      </c>
      <c r="CO74" s="531">
        <f t="shared" si="238"/>
        <v>51.075268817204304</v>
      </c>
      <c r="CP74" s="538">
        <f t="shared" si="222"/>
        <v>-918.78890775325385</v>
      </c>
      <c r="CQ74" s="706"/>
      <c r="CR74" s="1088">
        <f>SUM(CR70:CR73)</f>
        <v>182</v>
      </c>
      <c r="CS74" s="531">
        <f t="shared" si="239"/>
        <v>48.663101604278076</v>
      </c>
      <c r="CT74" s="538">
        <f t="shared" si="240"/>
        <v>-241.21672129262279</v>
      </c>
      <c r="CU74" s="706"/>
      <c r="CV74" s="1088">
        <f>SUM(CV70:CV73)</f>
        <v>193</v>
      </c>
      <c r="CW74" s="531">
        <f t="shared" si="223"/>
        <v>48.860759493670884</v>
      </c>
      <c r="CX74" s="1176">
        <f t="shared" si="224"/>
        <v>6.0439560439560447E-2</v>
      </c>
      <c r="CY74" s="706"/>
      <c r="CZ74" s="1088">
        <f>SUM(CZ70:CZ73)</f>
        <v>188</v>
      </c>
      <c r="DA74" s="531">
        <f t="shared" si="225"/>
        <v>54.970760233918128</v>
      </c>
      <c r="DB74" s="1176">
        <f t="shared" si="226"/>
        <v>-2.5906735751295318E-2</v>
      </c>
      <c r="DC74" s="706"/>
      <c r="DD74" s="1088">
        <f>SUM(DD70:DD73)</f>
        <v>163</v>
      </c>
      <c r="DE74" s="531">
        <f t="shared" si="227"/>
        <v>62.93436293436293</v>
      </c>
      <c r="DF74" s="1176">
        <f t="shared" si="228"/>
        <v>-0.13297872340425532</v>
      </c>
      <c r="DG74" s="706"/>
      <c r="DH74" s="1088">
        <f>SUM(DH70:DH73)</f>
        <v>160</v>
      </c>
      <c r="DI74" s="531">
        <f t="shared" si="229"/>
        <v>46.920821114369502</v>
      </c>
      <c r="DJ74" s="544">
        <f t="shared" si="230"/>
        <v>-1.8404907975460127E-2</v>
      </c>
      <c r="DK74" s="706"/>
      <c r="DL74" s="1169">
        <f>SUM(DL70:DL73)</f>
        <v>164</v>
      </c>
      <c r="DM74" s="531">
        <f t="shared" si="231"/>
        <v>43.721674220207937</v>
      </c>
      <c r="DN74" s="544">
        <f t="shared" si="232"/>
        <v>2.4999999999999911E-2</v>
      </c>
      <c r="DO74" s="544"/>
      <c r="DP74" s="362">
        <f>DH24-DH74</f>
        <v>181</v>
      </c>
      <c r="DS74" s="706" t="s">
        <v>337</v>
      </c>
      <c r="DT74" s="676">
        <f>SUM(DT70:DT73)</f>
        <v>202</v>
      </c>
      <c r="DU74" s="676">
        <f>SUM(DU70:DU73)</f>
        <v>154</v>
      </c>
      <c r="DV74" s="676">
        <f>SUM(DV70:DV73)</f>
        <v>96</v>
      </c>
      <c r="DW74" s="676">
        <f>SUM(DW70:DW73)</f>
        <v>181</v>
      </c>
    </row>
    <row r="75" spans="1:127" hidden="1" outlineLevel="2" x14ac:dyDescent="0.2">
      <c r="A75" s="517" t="s">
        <v>281</v>
      </c>
      <c r="D75" s="524"/>
      <c r="E75" s="531"/>
      <c r="F75" s="538"/>
      <c r="H75" s="524"/>
      <c r="I75" s="531"/>
      <c r="J75" s="539"/>
      <c r="L75" s="524"/>
      <c r="M75" s="531"/>
      <c r="N75" s="539"/>
      <c r="P75" s="524"/>
      <c r="Q75" s="531"/>
      <c r="R75" s="539"/>
      <c r="T75" s="524"/>
      <c r="U75" s="531"/>
      <c r="V75" s="539"/>
      <c r="X75" s="524"/>
      <c r="Y75" s="531"/>
      <c r="Z75" s="539"/>
      <c r="AB75" s="524"/>
      <c r="AC75" s="531"/>
      <c r="AD75" s="539"/>
      <c r="AF75" s="524"/>
      <c r="AG75" s="531"/>
      <c r="AH75" s="539"/>
      <c r="AJ75" s="524"/>
      <c r="AK75" s="531"/>
      <c r="AL75" s="539"/>
      <c r="AN75" s="524"/>
      <c r="AO75" s="531"/>
      <c r="AP75" s="539"/>
      <c r="AR75" s="524"/>
      <c r="AS75" s="531"/>
      <c r="AT75" s="539"/>
      <c r="AV75" s="524"/>
      <c r="AW75" s="531"/>
      <c r="AX75" s="539"/>
      <c r="AZ75" s="524"/>
      <c r="BA75" s="531"/>
      <c r="BB75" s="539"/>
      <c r="BD75" s="524"/>
      <c r="BE75" s="531"/>
      <c r="BF75" s="539"/>
      <c r="BH75" s="524"/>
      <c r="BI75" s="531"/>
      <c r="BJ75" s="539"/>
      <c r="BL75" s="524"/>
      <c r="BM75" s="531"/>
      <c r="BN75" s="539"/>
      <c r="BP75" s="524"/>
      <c r="BQ75" s="531"/>
      <c r="BR75" s="539"/>
      <c r="BT75" s="524">
        <f>BT70+BT71</f>
        <v>81</v>
      </c>
      <c r="BU75" s="531">
        <f t="shared" si="233"/>
        <v>64.200622983823024</v>
      </c>
      <c r="BV75" s="539"/>
      <c r="BX75" s="524">
        <f>BX70+BX71</f>
        <v>97</v>
      </c>
      <c r="BY75" s="531">
        <f t="shared" si="234"/>
        <v>68.309859154929569</v>
      </c>
      <c r="BZ75" s="539">
        <f t="shared" si="218"/>
        <v>410.9236171106545</v>
      </c>
      <c r="CB75" s="524">
        <f>CB70+CB71</f>
        <v>169</v>
      </c>
      <c r="CC75" s="531">
        <f t="shared" si="235"/>
        <v>97.687861271676297</v>
      </c>
      <c r="CD75" s="539">
        <f t="shared" si="219"/>
        <v>2937.8002116746729</v>
      </c>
      <c r="CF75" s="524">
        <f>CF70+CF71</f>
        <v>157</v>
      </c>
      <c r="CG75" s="531">
        <f t="shared" si="236"/>
        <v>80.512820512820511</v>
      </c>
      <c r="CH75" s="539">
        <f t="shared" si="220"/>
        <v>-1717.5040758855787</v>
      </c>
      <c r="CJ75" s="524">
        <f>CJ70+CJ71</f>
        <v>114</v>
      </c>
      <c r="CK75" s="531">
        <f t="shared" si="237"/>
        <v>60.638297872340431</v>
      </c>
      <c r="CL75" s="539">
        <f t="shared" si="221"/>
        <v>-1987.4522640480081</v>
      </c>
      <c r="CN75" s="524">
        <f>CN70+CN71</f>
        <v>103</v>
      </c>
      <c r="CO75" s="531">
        <f t="shared" si="238"/>
        <v>57.865168539325836</v>
      </c>
      <c r="CP75" s="538">
        <f t="shared" si="222"/>
        <v>-277.31293330145945</v>
      </c>
      <c r="CR75" s="524">
        <f>CR70+CR71</f>
        <v>99</v>
      </c>
      <c r="CS75" s="531">
        <f t="shared" si="239"/>
        <v>53.804347826086953</v>
      </c>
      <c r="CT75" s="538">
        <f t="shared" si="240"/>
        <v>-406.08207132388827</v>
      </c>
      <c r="CV75" s="524">
        <f>CV70+CV71</f>
        <v>96</v>
      </c>
      <c r="CW75" s="531">
        <f t="shared" si="223"/>
        <v>50.526315789473685</v>
      </c>
      <c r="CX75" s="544">
        <f t="shared" si="224"/>
        <v>-3.0303030303030276E-2</v>
      </c>
      <c r="CZ75" s="524">
        <f>CZ70+CZ71</f>
        <v>102</v>
      </c>
      <c r="DA75" s="531">
        <f t="shared" si="225"/>
        <v>50.246305418719217</v>
      </c>
      <c r="DB75" s="544">
        <f t="shared" si="226"/>
        <v>6.25E-2</v>
      </c>
      <c r="DD75" s="524">
        <f>DD70+DD71</f>
        <v>82</v>
      </c>
      <c r="DE75" s="531">
        <f t="shared" si="227"/>
        <v>70.689655172413794</v>
      </c>
      <c r="DF75" s="544">
        <f t="shared" si="228"/>
        <v>-0.19607843137254899</v>
      </c>
      <c r="DH75" s="524">
        <f>DH70+DH71</f>
        <v>74</v>
      </c>
      <c r="DI75" s="531">
        <f t="shared" si="229"/>
        <v>49.006622516556291</v>
      </c>
      <c r="DJ75" s="544">
        <f t="shared" si="230"/>
        <v>-9.7560975609756073E-2</v>
      </c>
      <c r="DL75" s="524">
        <f>DL70+DL71</f>
        <v>82</v>
      </c>
      <c r="DM75" s="531">
        <f t="shared" si="231"/>
        <v>49.367850692353997</v>
      </c>
      <c r="DN75" s="544">
        <f t="shared" si="232"/>
        <v>0.10810810810810811</v>
      </c>
      <c r="DO75" s="544"/>
      <c r="DR75" s="362"/>
    </row>
    <row r="76" spans="1:127" hidden="1" outlineLevel="2" x14ac:dyDescent="0.2">
      <c r="A76" s="517" t="s">
        <v>282</v>
      </c>
      <c r="D76" s="524"/>
      <c r="E76" s="531"/>
      <c r="F76" s="538"/>
      <c r="H76" s="524"/>
      <c r="I76" s="531"/>
      <c r="J76" s="539"/>
      <c r="L76" s="524"/>
      <c r="M76" s="531"/>
      <c r="N76" s="539"/>
      <c r="P76" s="524"/>
      <c r="Q76" s="531"/>
      <c r="R76" s="539"/>
      <c r="T76" s="524"/>
      <c r="U76" s="531"/>
      <c r="V76" s="539"/>
      <c r="X76" s="524"/>
      <c r="Y76" s="531"/>
      <c r="Z76" s="539"/>
      <c r="AB76" s="524"/>
      <c r="AC76" s="531"/>
      <c r="AD76" s="539"/>
      <c r="AF76" s="524"/>
      <c r="AG76" s="531"/>
      <c r="AH76" s="539"/>
      <c r="AJ76" s="524"/>
      <c r="AK76" s="531"/>
      <c r="AL76" s="539"/>
      <c r="AN76" s="524"/>
      <c r="AO76" s="531"/>
      <c r="AP76" s="539"/>
      <c r="AR76" s="524"/>
      <c r="AS76" s="531"/>
      <c r="AT76" s="539"/>
      <c r="AV76" s="524"/>
      <c r="AW76" s="531"/>
      <c r="AX76" s="539"/>
      <c r="AZ76" s="524"/>
      <c r="BA76" s="531"/>
      <c r="BB76" s="539"/>
      <c r="BD76" s="524"/>
      <c r="BE76" s="531"/>
      <c r="BF76" s="539"/>
      <c r="BH76" s="524"/>
      <c r="BI76" s="531"/>
      <c r="BJ76" s="539"/>
      <c r="BL76" s="524"/>
      <c r="BM76" s="531"/>
      <c r="BN76" s="539"/>
      <c r="BP76" s="524"/>
      <c r="BQ76" s="531"/>
      <c r="BR76" s="539"/>
      <c r="BT76" s="524">
        <f>BT71+BT72</f>
        <v>93</v>
      </c>
      <c r="BU76" s="531">
        <f t="shared" si="233"/>
        <v>64.235835307606777</v>
      </c>
      <c r="BV76" s="539"/>
      <c r="BX76" s="524">
        <f>BX71+BX72</f>
        <v>134</v>
      </c>
      <c r="BY76" s="531">
        <f t="shared" si="234"/>
        <v>81.707317073170728</v>
      </c>
      <c r="BZ76" s="539">
        <f t="shared" si="218"/>
        <v>1747.1481765563951</v>
      </c>
      <c r="CB76" s="524">
        <f>CB71+CB72</f>
        <v>158</v>
      </c>
      <c r="CC76" s="531">
        <f t="shared" si="235"/>
        <v>80.612244897959187</v>
      </c>
      <c r="CD76" s="539">
        <f t="shared" si="219"/>
        <v>-109.50721752115413</v>
      </c>
      <c r="CF76" s="524">
        <f>CF71+CF72</f>
        <v>126</v>
      </c>
      <c r="CG76" s="531">
        <f t="shared" si="236"/>
        <v>64.615384615384613</v>
      </c>
      <c r="CH76" s="539">
        <f t="shared" si="220"/>
        <v>-1599.6860282574573</v>
      </c>
      <c r="CJ76" s="524">
        <f>CJ71+CJ72</f>
        <v>116</v>
      </c>
      <c r="CK76" s="531">
        <f t="shared" si="237"/>
        <v>60.416666666666664</v>
      </c>
      <c r="CL76" s="539">
        <f t="shared" si="221"/>
        <v>-419.87179487179492</v>
      </c>
      <c r="CN76" s="524">
        <f>CN71+CN72</f>
        <v>101</v>
      </c>
      <c r="CO76" s="531">
        <f t="shared" si="238"/>
        <v>52.0618556701031</v>
      </c>
      <c r="CP76" s="538">
        <f t="shared" si="222"/>
        <v>-835.48109965635649</v>
      </c>
      <c r="CR76" s="524">
        <f>CR71+CR72</f>
        <v>97</v>
      </c>
      <c r="CS76" s="531">
        <f t="shared" si="239"/>
        <v>51.05263157894737</v>
      </c>
      <c r="CT76" s="538">
        <f t="shared" si="240"/>
        <v>-100.92240911557298</v>
      </c>
      <c r="CV76" s="524">
        <f>CV71+CV72</f>
        <v>86</v>
      </c>
      <c r="CW76" s="531">
        <f t="shared" si="223"/>
        <v>41.951219512195124</v>
      </c>
      <c r="CX76" s="544">
        <f t="shared" si="224"/>
        <v>-0.11340206185567014</v>
      </c>
      <c r="CZ76" s="524">
        <f>CZ71+CZ72</f>
        <v>100</v>
      </c>
      <c r="DA76" s="531">
        <f t="shared" si="225"/>
        <v>71.942446043165461</v>
      </c>
      <c r="DB76" s="544">
        <f t="shared" si="226"/>
        <v>0.16279069767441867</v>
      </c>
      <c r="DD76" s="524">
        <f>DD71+DD72</f>
        <v>81</v>
      </c>
      <c r="DE76" s="531">
        <f>(DD76/DD26)*100</f>
        <v>56.643356643356647</v>
      </c>
      <c r="DF76" s="544">
        <f>DD76/CZ76-1</f>
        <v>-0.18999999999999995</v>
      </c>
      <c r="DH76" s="524">
        <f>DH71+DH72</f>
        <v>76</v>
      </c>
      <c r="DI76" s="531">
        <f t="shared" si="229"/>
        <v>40</v>
      </c>
      <c r="DJ76" s="544">
        <f t="shared" si="230"/>
        <v>-6.1728395061728447E-2</v>
      </c>
      <c r="DL76" s="524">
        <f>DL71+DL72</f>
        <v>81</v>
      </c>
      <c r="DM76" s="531">
        <f t="shared" si="231"/>
        <v>38.755980861244019</v>
      </c>
      <c r="DN76" s="544">
        <f t="shared" si="232"/>
        <v>6.578947368421062E-2</v>
      </c>
      <c r="DO76" s="544"/>
    </row>
    <row r="77" spans="1:127" outlineLevel="1" collapsed="1" x14ac:dyDescent="0.2">
      <c r="D77" s="361"/>
      <c r="E77" s="550"/>
      <c r="F77" s="550"/>
      <c r="H77" s="361"/>
      <c r="I77" s="550"/>
      <c r="J77" s="550"/>
      <c r="L77" s="361"/>
      <c r="M77" s="550"/>
      <c r="N77" s="550"/>
      <c r="P77" s="361"/>
      <c r="Q77" s="550"/>
      <c r="R77" s="550"/>
      <c r="T77" s="361"/>
      <c r="U77" s="550"/>
      <c r="V77" s="550"/>
      <c r="X77" s="361"/>
      <c r="Y77" s="550"/>
      <c r="Z77" s="550"/>
      <c r="AB77" s="361"/>
      <c r="AC77" s="550"/>
      <c r="AD77" s="550"/>
      <c r="AF77" s="361"/>
      <c r="AG77" s="550"/>
      <c r="AH77" s="550"/>
      <c r="AJ77" s="361"/>
      <c r="AK77" s="550"/>
      <c r="AL77" s="550"/>
      <c r="AN77" s="361"/>
      <c r="AO77" s="550"/>
      <c r="AP77" s="550"/>
      <c r="AR77" s="361"/>
      <c r="AS77" s="550"/>
      <c r="AT77" s="550"/>
      <c r="AV77" s="361"/>
      <c r="AW77" s="550"/>
      <c r="AX77" s="550"/>
      <c r="AZ77" s="361"/>
      <c r="BA77" s="550"/>
      <c r="BB77" s="550"/>
      <c r="BD77" s="361"/>
      <c r="BE77" s="550"/>
      <c r="BF77" s="550"/>
      <c r="BH77" s="361"/>
      <c r="BI77" s="550"/>
      <c r="BJ77" s="550"/>
      <c r="BL77" s="361"/>
      <c r="BM77" s="550"/>
      <c r="BN77" s="550"/>
      <c r="BP77" s="362"/>
      <c r="BQ77" s="551"/>
      <c r="BR77" s="551"/>
      <c r="BT77" s="362"/>
      <c r="BU77" s="551"/>
      <c r="BV77" s="551"/>
      <c r="BX77" s="362"/>
      <c r="BY77" s="551"/>
      <c r="BZ77" s="551"/>
      <c r="CB77" s="362"/>
      <c r="CC77" s="551"/>
      <c r="CD77" s="551"/>
      <c r="CF77" s="362"/>
      <c r="CG77" s="551"/>
      <c r="CH77" s="551"/>
      <c r="CJ77" s="362"/>
      <c r="CK77" s="551"/>
      <c r="CL77" s="551"/>
      <c r="CN77" s="362"/>
      <c r="CO77" s="239" t="s">
        <v>202</v>
      </c>
      <c r="CP77" s="249"/>
      <c r="CR77" s="362"/>
      <c r="CT77" s="249"/>
      <c r="CV77" s="362"/>
      <c r="CX77" s="249"/>
      <c r="CZ77" s="362"/>
      <c r="DB77" s="249"/>
      <c r="DD77" s="362"/>
      <c r="DF77" s="544"/>
      <c r="DH77" s="362"/>
      <c r="DJ77" s="544"/>
      <c r="DL77" s="362"/>
      <c r="DN77" s="544"/>
      <c r="DO77" s="544"/>
      <c r="DP77" s="255"/>
    </row>
    <row r="78" spans="1:127" s="516" customFormat="1" ht="12.75" customHeight="1" outlineLevel="1" x14ac:dyDescent="0.2">
      <c r="A78" s="515" t="s">
        <v>304</v>
      </c>
    </row>
    <row r="79" spans="1:127" outlineLevel="1" x14ac:dyDescent="0.2">
      <c r="D79" s="361"/>
      <c r="E79" s="249"/>
      <c r="F79" s="249"/>
      <c r="H79" s="361"/>
      <c r="I79" s="249"/>
      <c r="J79" s="249"/>
      <c r="L79" s="361"/>
      <c r="M79" s="249"/>
      <c r="N79" s="249"/>
      <c r="P79" s="361"/>
      <c r="Q79" s="249"/>
      <c r="R79" s="249"/>
      <c r="T79" s="361"/>
      <c r="U79" s="249"/>
      <c r="V79" s="249"/>
      <c r="X79" s="361"/>
      <c r="Y79" s="249"/>
      <c r="Z79" s="249"/>
      <c r="AB79" s="361"/>
      <c r="AC79" s="249"/>
      <c r="AD79" s="249"/>
      <c r="AF79" s="361"/>
      <c r="AG79" s="249"/>
      <c r="AH79" s="249"/>
      <c r="AJ79" s="361"/>
      <c r="AK79" s="249"/>
      <c r="AL79" s="249"/>
      <c r="AN79" s="361"/>
      <c r="AO79" s="249"/>
      <c r="AP79" s="249"/>
      <c r="AR79" s="361"/>
      <c r="AS79" s="249"/>
      <c r="AT79" s="249"/>
      <c r="AV79" s="361"/>
      <c r="AW79" s="249"/>
      <c r="AX79" s="249"/>
      <c r="AZ79" s="361"/>
      <c r="BA79" s="249"/>
      <c r="BB79" s="249"/>
      <c r="BD79" s="361"/>
      <c r="BE79" s="249"/>
      <c r="BF79" s="249"/>
      <c r="BH79" s="361"/>
      <c r="BI79" s="249"/>
      <c r="BJ79" s="249"/>
      <c r="BL79" s="361"/>
      <c r="BM79" s="249"/>
      <c r="BN79" s="249"/>
      <c r="BP79" s="362"/>
      <c r="BT79" s="362"/>
      <c r="BX79" s="362"/>
      <c r="CB79" s="362"/>
      <c r="CF79" s="362"/>
      <c r="CG79" s="1397" t="str">
        <f>A78</f>
        <v>6. Operating Income  (% of Sales / % Change)</v>
      </c>
      <c r="CH79" s="1397"/>
      <c r="CI79" s="1397"/>
      <c r="CJ79" s="1397"/>
      <c r="CK79" s="1397"/>
      <c r="CL79" s="1397"/>
      <c r="CM79" s="1397"/>
      <c r="CN79" s="1397"/>
      <c r="CO79" s="1397"/>
      <c r="CP79" s="1397"/>
      <c r="CQ79" s="1397"/>
      <c r="CR79" s="1397"/>
      <c r="CS79" s="1397"/>
      <c r="CT79" s="1397"/>
      <c r="CU79" s="1397"/>
      <c r="CV79" s="1397"/>
      <c r="CW79" s="1397"/>
      <c r="CX79" s="1397"/>
      <c r="CY79" s="1397"/>
      <c r="CZ79" s="1397"/>
      <c r="DA79" s="1397"/>
      <c r="DB79" s="1397"/>
      <c r="DC79" s="1397"/>
      <c r="DD79" s="1397"/>
      <c r="DE79" s="1397"/>
      <c r="DF79" s="1397"/>
      <c r="DG79" s="846"/>
      <c r="DH79" s="846"/>
      <c r="DI79" s="846"/>
      <c r="DJ79" s="846"/>
      <c r="DK79" s="1222"/>
      <c r="DL79" s="1222"/>
      <c r="DM79" s="1222"/>
      <c r="DN79" s="1222"/>
      <c r="DO79" s="1222"/>
    </row>
    <row r="80" spans="1:127" outlineLevel="1" x14ac:dyDescent="0.2">
      <c r="A80" s="517" t="s">
        <v>78</v>
      </c>
      <c r="D80" s="256">
        <f t="shared" ref="D80:D86" si="241">D30-D40-D50</f>
        <v>32.500000000000057</v>
      </c>
      <c r="E80" s="540">
        <f t="shared" ref="E80:E86" si="242">D80/D30*100</f>
        <v>5.6453013722424972</v>
      </c>
      <c r="F80" s="539"/>
      <c r="H80" s="256">
        <f t="shared" ref="H80:H86" si="243">H30-H40-H50</f>
        <v>53.218999999999966</v>
      </c>
      <c r="I80" s="540">
        <f t="shared" ref="I80:I86" si="244">H80/H30*100</f>
        <v>8.4157742594548726</v>
      </c>
      <c r="J80" s="539">
        <f t="shared" ref="J80:J86" si="245">(H80/D80-1)*100</f>
        <v>63.750769230768832</v>
      </c>
      <c r="L80" s="256">
        <f t="shared" ref="L80:L86" si="246">L30-L40-L50</f>
        <v>47.013999999999953</v>
      </c>
      <c r="M80" s="540">
        <f t="shared" ref="M80:M86" si="247">L80/L30*100</f>
        <v>6.8366199927582434</v>
      </c>
      <c r="N80" s="539">
        <f t="shared" ref="N80:N86" si="248">(L80/H80-1)*100</f>
        <v>-11.659369773952942</v>
      </c>
      <c r="P80" s="256">
        <f t="shared" ref="P80:P86" si="249">P30-P40-P50</f>
        <v>28.264999999999986</v>
      </c>
      <c r="Q80" s="540">
        <f t="shared" ref="Q80:Q86" si="250">P80/P30*100</f>
        <v>3.9308700900630251</v>
      </c>
      <c r="R80" s="539">
        <f t="shared" ref="R80:R86" si="251">(P80/L80-1)*100</f>
        <v>-39.87961032883819</v>
      </c>
      <c r="T80" s="256">
        <f t="shared" ref="T80:T86" si="252">T30-T40-T50</f>
        <v>60.71500000000006</v>
      </c>
      <c r="U80" s="540">
        <f t="shared" ref="U80:U86" si="253">T80/T30*100</f>
        <v>7.7273664463150791</v>
      </c>
      <c r="V80" s="539">
        <f t="shared" ref="V80:V86" si="254">(T80/P80-1)*100</f>
        <v>114.80629754112894</v>
      </c>
      <c r="X80" s="256">
        <f t="shared" ref="X80:X86" si="255">X30-X40-X50</f>
        <v>53.349999999999881</v>
      </c>
      <c r="Y80" s="540">
        <f t="shared" ref="Y80:Y86" si="256">X80/X30*100</f>
        <v>6.2996384349974015</v>
      </c>
      <c r="Z80" s="539">
        <f t="shared" ref="Z80:Z86" si="257">(X80/T80-1)*100</f>
        <v>-12.130445524170586</v>
      </c>
      <c r="AB80" s="256">
        <f t="shared" ref="AB80:AB86" si="258">AB30-AB40-AB50</f>
        <v>54.643000000000086</v>
      </c>
      <c r="AC80" s="540">
        <f t="shared" ref="AC80:AC86" si="259">AB80/AB30*100</f>
        <v>5.8097352377671694</v>
      </c>
      <c r="AD80" s="539">
        <f t="shared" ref="AD80:AD86" si="260">(AB80/X80-1)*100</f>
        <v>2.4236176194943004</v>
      </c>
      <c r="AF80" s="256">
        <f t="shared" ref="AF80:AF86" si="261">AF30-AF40-AF50</f>
        <v>60.85899999999998</v>
      </c>
      <c r="AG80" s="540">
        <f t="shared" ref="AG80:AG86" si="262">AF80/AF30*100</f>
        <v>6.199613307282168</v>
      </c>
      <c r="AH80" s="539">
        <f t="shared" ref="AH80:AH86" si="263">(AF80/AB80-1)*100</f>
        <v>11.375656534231071</v>
      </c>
      <c r="AJ80" s="256">
        <f t="shared" ref="AJ80:AJ86" si="264">AJ30-AJ40-AJ50</f>
        <v>63.068999999999903</v>
      </c>
      <c r="AK80" s="540">
        <f t="shared" ref="AK80:AK86" si="265">AJ80/AJ30*100</f>
        <v>5.89081962803278</v>
      </c>
      <c r="AL80" s="539">
        <f t="shared" ref="AL80:AL86" si="266">(AJ80/AF80-1)*100</f>
        <v>3.6313445833811242</v>
      </c>
      <c r="AN80" s="256">
        <f t="shared" ref="AN80:AN86" si="267">AN30-AN40-AN50</f>
        <v>63.697000000000003</v>
      </c>
      <c r="AO80" s="540">
        <f t="shared" ref="AO80:AO86" si="268">AN80/AN30*100</f>
        <v>5.9737760450614612</v>
      </c>
      <c r="AP80" s="539">
        <f t="shared" ref="AP80:AP86" si="269">(AN80/AJ80-1)*100</f>
        <v>0.9957348301068647</v>
      </c>
      <c r="AR80" s="256">
        <f t="shared" ref="AR80:AR86" si="270">AR30-AR40-AR50</f>
        <v>66.985000000000014</v>
      </c>
      <c r="AS80" s="540">
        <f t="shared" ref="AS80:AS86" si="271">AR80/AR30*100</f>
        <v>5.654942555711548</v>
      </c>
      <c r="AT80" s="539">
        <f t="shared" ref="AT80:AT86" si="272">(AR80/AN80-1)*100</f>
        <v>5.1619385528361095</v>
      </c>
      <c r="AV80" s="256">
        <f t="shared" ref="AV80:AV86" si="273">AV30-AV40-AV50</f>
        <v>60.058999999999969</v>
      </c>
      <c r="AW80" s="540">
        <f t="shared" ref="AW80:AW86" si="274">AV80/AV30*100</f>
        <v>4.7848342289445043</v>
      </c>
      <c r="AX80" s="539">
        <f t="shared" ref="AX80:AX86" si="275">(AV80/AR80-1)*100</f>
        <v>-10.339628274987</v>
      </c>
      <c r="AZ80" s="256">
        <f t="shared" ref="AZ80:AZ86" si="276">AZ30-AZ40-AZ50</f>
        <v>69.893000000000086</v>
      </c>
      <c r="BA80" s="540">
        <f t="shared" ref="BA80:BA86" si="277">AZ80/AZ30*100</f>
        <v>5.4643821854245154</v>
      </c>
      <c r="BB80" s="539">
        <f t="shared" ref="BB80:BB86" si="278">(AZ80/AV80-1)*100</f>
        <v>16.373898999317539</v>
      </c>
      <c r="BD80" s="256">
        <f t="shared" ref="BD80:BD86" si="279">BD30-BD40-BD50</f>
        <v>64.682999999999993</v>
      </c>
      <c r="BE80" s="540">
        <f t="shared" ref="BE80:BE86" si="280">BD80/BD30*100</f>
        <v>4.7175852451746909</v>
      </c>
      <c r="BF80" s="539">
        <f t="shared" ref="BF80:BF86" si="281">(BD80/AZ80-1)*100</f>
        <v>-7.4542514987196</v>
      </c>
      <c r="BH80" s="256">
        <f t="shared" ref="BH80:BH86" si="282">BH30-BH40-BH50</f>
        <v>149.31100000000009</v>
      </c>
      <c r="BI80" s="540">
        <f t="shared" ref="BI80:BI86" si="283">BH80/BH30*100</f>
        <v>9.4802019331075993</v>
      </c>
      <c r="BJ80" s="539">
        <f t="shared" ref="BJ80:BJ86" si="284">(BH80/BD80-1)*100</f>
        <v>130.83499528469628</v>
      </c>
      <c r="BL80" s="256">
        <f t="shared" ref="BL80:BL86" si="285">BL30-BL40-BL50</f>
        <v>185.61899999999991</v>
      </c>
      <c r="BM80" s="540">
        <f t="shared" ref="BM80:BM86" si="286">BL80/BL30*100</f>
        <v>10.936739559016402</v>
      </c>
      <c r="BN80" s="539">
        <f t="shared" ref="BN80:BN86" si="287">(BL80/BH80-1)*100</f>
        <v>24.317029555759319</v>
      </c>
      <c r="BP80" s="256">
        <f t="shared" ref="BP80:BP86" si="288">BP30-BP40-BP50</f>
        <v>223.83799999999997</v>
      </c>
      <c r="BQ80" s="540">
        <f t="shared" ref="BQ80:BQ86" si="289">BP80/BP30*100</f>
        <v>12.158097966335715</v>
      </c>
      <c r="BR80" s="539">
        <f t="shared" ref="BR80:BR86" si="290">(BP80/BL80-1)*100</f>
        <v>20.590025805547963</v>
      </c>
      <c r="BT80" s="256">
        <f t="shared" ref="BT80:BT86" si="291">BT30-BT40-BT50</f>
        <v>260.971</v>
      </c>
      <c r="BU80" s="540">
        <f t="shared" ref="BU80:BU86" si="292">BT80/BT30*100</f>
        <v>12.985421373990347</v>
      </c>
      <c r="BV80" s="539">
        <f t="shared" ref="BV80:BV86" si="293">(BT80/BP80-1)*100</f>
        <v>16.58922971077299</v>
      </c>
      <c r="BX80" s="256">
        <f t="shared" ref="BX80:BX86" si="294">BX30-BX40-BX50</f>
        <v>237</v>
      </c>
      <c r="BY80" s="540">
        <f t="shared" ref="BY80:BY86" si="295">BX80/BX30*100</f>
        <v>12.16008209338122</v>
      </c>
      <c r="BZ80" s="539">
        <f t="shared" ref="BZ80:BZ86" si="296">(BX80/BT80-1)*100</f>
        <v>-9.1853117779370113</v>
      </c>
      <c r="CB80" s="256">
        <f t="shared" ref="CB80:CB86" si="297">CB30-CB40-CB50</f>
        <v>146</v>
      </c>
      <c r="CC80" s="540">
        <f t="shared" ref="CC80:CC86" si="298">CB80/CB30*100</f>
        <v>8.1473214285714288</v>
      </c>
      <c r="CD80" s="539">
        <f>(CB80/BX80-1)*100</f>
        <v>-38.396624472573833</v>
      </c>
      <c r="CF80" s="256">
        <f t="shared" ref="CF80:CF86" si="299">CF30-CF40-CF50</f>
        <v>219</v>
      </c>
      <c r="CG80" s="540">
        <f t="shared" ref="CG80:CG86" si="300">CF80/CF30*100</f>
        <v>10.493531384762818</v>
      </c>
      <c r="CH80" s="539">
        <f t="shared" ref="CH80:CH86" si="301">(CF80/CB80-1)*100</f>
        <v>50</v>
      </c>
      <c r="CJ80" s="256">
        <f t="shared" ref="CJ80:CJ86" si="302">CJ30-CJ40-CJ50</f>
        <v>272</v>
      </c>
      <c r="CK80" s="540">
        <f t="shared" ref="CK80:CK86" si="303">CJ80/CJ30*100</f>
        <v>11.708996986655187</v>
      </c>
      <c r="CL80" s="539">
        <f t="shared" ref="CL80:CL86" si="304">(CJ80/CF80-1)*100</f>
        <v>24.200913242009126</v>
      </c>
      <c r="CN80" s="256">
        <f t="shared" ref="CN80:CN86" si="305">CN30-CN40-CN50</f>
        <v>280</v>
      </c>
      <c r="CO80" s="540">
        <f t="shared" ref="CO80:CO86" si="306">CN80/CN30*100</f>
        <v>10.666666666666668</v>
      </c>
      <c r="CP80" s="538">
        <f t="shared" ref="CP80:CP86" si="307">(CN80/CJ80-1)*100</f>
        <v>2.9411764705882248</v>
      </c>
      <c r="CR80" s="256">
        <f t="shared" ref="CR80:CR86" si="308">CR30-CR40-CR50</f>
        <v>275</v>
      </c>
      <c r="CS80" s="540">
        <f t="shared" ref="CS80:CS86" si="309">CR80/CR30*100</f>
        <v>10.00363768643143</v>
      </c>
      <c r="CT80" s="538">
        <f t="shared" ref="CT80:CT86" si="310">(CR80/CN80-1)*100</f>
        <v>-1.7857142857142905</v>
      </c>
      <c r="CV80" s="256">
        <f t="shared" ref="CV80:CV86" si="311">CV30-CV40-CV50</f>
        <v>265</v>
      </c>
      <c r="CW80" s="540">
        <f t="shared" ref="CW80:CW86" si="312">CV80/CV30*100</f>
        <v>9.0412828386216315</v>
      </c>
      <c r="CX80" s="544">
        <f t="shared" ref="CX80:CX86" si="313">CV80/CR80-1</f>
        <v>-3.6363636363636376E-2</v>
      </c>
      <c r="CZ80" s="256">
        <f t="shared" ref="CZ80:CZ86" si="314">CZ30-CZ40-CZ50</f>
        <v>245</v>
      </c>
      <c r="DA80" s="540">
        <f>CZ80/CZ30*100</f>
        <v>7.6205287713841372</v>
      </c>
      <c r="DB80" s="544">
        <f t="shared" ref="DB80:DB86" si="315">CZ80/CV80-1</f>
        <v>-7.547169811320753E-2</v>
      </c>
      <c r="DD80" s="256">
        <f t="shared" ref="DD80:DD86" si="316">DD30-DD40-DD50</f>
        <v>106</v>
      </c>
      <c r="DE80" s="540">
        <f>DD80/DD30*100</f>
        <v>3.2625423207140658</v>
      </c>
      <c r="DF80" s="544">
        <f t="shared" ref="DF80:DF86" si="317">DD80/CZ80-1</f>
        <v>-0.56734693877551012</v>
      </c>
      <c r="DH80" s="256">
        <f t="shared" ref="DH80:DH86" si="318">DH30-DH40-DH50</f>
        <v>151</v>
      </c>
      <c r="DI80" s="540">
        <f>DH80/DH30*100</f>
        <v>4.5020870602265948</v>
      </c>
      <c r="DJ80" s="544">
        <f t="shared" ref="DJ80:DJ86" si="319">DH80/DD80-1</f>
        <v>0.42452830188679247</v>
      </c>
      <c r="DL80" s="256">
        <f t="shared" ref="DL80:DL86" si="320">DL30-DL40-DL50</f>
        <v>121.68815519230793</v>
      </c>
      <c r="DM80" s="540">
        <f>DL80/DL30*100</f>
        <v>3.482015595648043</v>
      </c>
      <c r="DN80" s="544">
        <f t="shared" ref="DN80:DN86" si="321">DL80/DH80-1</f>
        <v>-0.19411817753438454</v>
      </c>
      <c r="DO80" s="544"/>
    </row>
    <row r="81" spans="1:126" outlineLevel="1" x14ac:dyDescent="0.2">
      <c r="A81" s="517" t="s">
        <v>79</v>
      </c>
      <c r="D81" s="362">
        <f t="shared" si="241"/>
        <v>67.800000000000011</v>
      </c>
      <c r="E81" s="540">
        <f t="shared" si="242"/>
        <v>8.2572159298502026</v>
      </c>
      <c r="F81" s="539"/>
      <c r="H81" s="362">
        <f t="shared" si="243"/>
        <v>92.211999999999989</v>
      </c>
      <c r="I81" s="540">
        <f t="shared" si="244"/>
        <v>9.9847757399358539</v>
      </c>
      <c r="J81" s="539">
        <f t="shared" si="245"/>
        <v>36.005899705014713</v>
      </c>
      <c r="L81" s="362">
        <f t="shared" si="246"/>
        <v>79.318999999999988</v>
      </c>
      <c r="M81" s="540">
        <f t="shared" si="247"/>
        <v>8.1477418287863781</v>
      </c>
      <c r="N81" s="539">
        <f t="shared" si="248"/>
        <v>-13.981911247993761</v>
      </c>
      <c r="P81" s="362">
        <f t="shared" si="249"/>
        <v>79.967000000000013</v>
      </c>
      <c r="Q81" s="540">
        <f t="shared" si="250"/>
        <v>7.6942024314091499</v>
      </c>
      <c r="R81" s="539">
        <f t="shared" si="251"/>
        <v>0.81695432368036336</v>
      </c>
      <c r="T81" s="362">
        <f t="shared" si="252"/>
        <v>111.42899999999997</v>
      </c>
      <c r="U81" s="540">
        <f t="shared" si="253"/>
        <v>10.105243111133277</v>
      </c>
      <c r="V81" s="539">
        <f t="shared" si="254"/>
        <v>39.343729288331389</v>
      </c>
      <c r="X81" s="362">
        <f t="shared" si="255"/>
        <v>98.703000000000031</v>
      </c>
      <c r="Y81" s="540">
        <f t="shared" si="256"/>
        <v>8.3765514607599787</v>
      </c>
      <c r="Z81" s="539">
        <f t="shared" si="257"/>
        <v>-11.420725304902623</v>
      </c>
      <c r="AB81" s="362">
        <f t="shared" si="258"/>
        <v>84.413999999999874</v>
      </c>
      <c r="AC81" s="540">
        <f t="shared" si="259"/>
        <v>6.6199893658568625</v>
      </c>
      <c r="AD81" s="539">
        <f t="shared" si="260"/>
        <v>-14.476763624206102</v>
      </c>
      <c r="AF81" s="362">
        <f t="shared" si="261"/>
        <v>105.089</v>
      </c>
      <c r="AG81" s="540">
        <f t="shared" si="262"/>
        <v>7.6162156129194969</v>
      </c>
      <c r="AH81" s="539">
        <f t="shared" si="263"/>
        <v>24.492382780107746</v>
      </c>
      <c r="AJ81" s="362">
        <f t="shared" si="264"/>
        <v>124.1160000000001</v>
      </c>
      <c r="AK81" s="540">
        <f t="shared" si="265"/>
        <v>8.4153914686660372</v>
      </c>
      <c r="AL81" s="539">
        <f t="shared" si="266"/>
        <v>18.10560572467157</v>
      </c>
      <c r="AN81" s="362">
        <f t="shared" si="267"/>
        <v>128.67200000000014</v>
      </c>
      <c r="AO81" s="540">
        <f t="shared" si="268"/>
        <v>8.7805543803141859</v>
      </c>
      <c r="AP81" s="539">
        <f t="shared" si="269"/>
        <v>3.6707596119759156</v>
      </c>
      <c r="AR81" s="362">
        <f t="shared" si="270"/>
        <v>99.336999999999989</v>
      </c>
      <c r="AS81" s="540">
        <f t="shared" si="271"/>
        <v>6.6666085037729816</v>
      </c>
      <c r="AT81" s="539">
        <f t="shared" si="272"/>
        <v>-22.798277791594224</v>
      </c>
      <c r="AV81" s="362">
        <f t="shared" si="273"/>
        <v>82.778000000000077</v>
      </c>
      <c r="AW81" s="540">
        <f t="shared" si="274"/>
        <v>5.2353795741898077</v>
      </c>
      <c r="AX81" s="539">
        <f t="shared" si="275"/>
        <v>-16.669518910375704</v>
      </c>
      <c r="AZ81" s="362">
        <f t="shared" si="276"/>
        <v>105.71899999999982</v>
      </c>
      <c r="BA81" s="540">
        <f t="shared" si="277"/>
        <v>6.2523471658655891</v>
      </c>
      <c r="BB81" s="539">
        <f t="shared" si="278"/>
        <v>27.713885331851131</v>
      </c>
      <c r="BD81" s="362">
        <f t="shared" si="279"/>
        <v>134.18099999999976</v>
      </c>
      <c r="BE81" s="540">
        <f t="shared" si="280"/>
        <v>7.3690153282943678</v>
      </c>
      <c r="BF81" s="539">
        <f t="shared" si="281"/>
        <v>26.922312923883098</v>
      </c>
      <c r="BH81" s="362">
        <f t="shared" si="282"/>
        <v>189.35699999999997</v>
      </c>
      <c r="BI81" s="540">
        <f t="shared" si="283"/>
        <v>9.4845332940642582</v>
      </c>
      <c r="BJ81" s="539">
        <f t="shared" si="284"/>
        <v>41.120575938471404</v>
      </c>
      <c r="BL81" s="362">
        <f t="shared" si="285"/>
        <v>252.69699999999978</v>
      </c>
      <c r="BM81" s="540">
        <f t="shared" si="286"/>
        <v>11.745656797780791</v>
      </c>
      <c r="BN81" s="539">
        <f t="shared" si="287"/>
        <v>33.450044096600507</v>
      </c>
      <c r="BP81" s="362">
        <f t="shared" si="288"/>
        <v>305.1339999999999</v>
      </c>
      <c r="BQ81" s="540">
        <f t="shared" si="289"/>
        <v>13.088470518191627</v>
      </c>
      <c r="BR81" s="539">
        <f t="shared" si="290"/>
        <v>20.750938871454807</v>
      </c>
      <c r="BT81" s="362">
        <f t="shared" si="291"/>
        <v>309.89399999999978</v>
      </c>
      <c r="BU81" s="540">
        <f t="shared" si="292"/>
        <v>12.598269625264342</v>
      </c>
      <c r="BV81" s="539">
        <f t="shared" si="293"/>
        <v>1.5599703736718595</v>
      </c>
      <c r="BX81" s="362">
        <f t="shared" si="294"/>
        <v>269</v>
      </c>
      <c r="BY81" s="540">
        <f t="shared" si="295"/>
        <v>11.403136922424755</v>
      </c>
      <c r="BZ81" s="539">
        <f t="shared" si="296"/>
        <v>-13.196125126656144</v>
      </c>
      <c r="CB81" s="362">
        <f t="shared" si="297"/>
        <v>206</v>
      </c>
      <c r="CC81" s="540">
        <f t="shared" si="298"/>
        <v>9.2293906810035846</v>
      </c>
      <c r="CD81" s="539">
        <f t="shared" ref="CD81:CD86" si="322">(CB81/BX81-1)*100</f>
        <v>-23.420074349442377</v>
      </c>
      <c r="CF81" s="362">
        <f t="shared" si="299"/>
        <v>272</v>
      </c>
      <c r="CG81" s="540">
        <f t="shared" si="300"/>
        <v>10.815109343936381</v>
      </c>
      <c r="CH81" s="539">
        <f t="shared" si="301"/>
        <v>32.038834951456316</v>
      </c>
      <c r="CJ81" s="362">
        <f t="shared" si="302"/>
        <v>320</v>
      </c>
      <c r="CK81" s="540">
        <f t="shared" si="303"/>
        <v>11.387900355871885</v>
      </c>
      <c r="CL81" s="539">
        <f t="shared" si="304"/>
        <v>17.647058823529417</v>
      </c>
      <c r="CN81" s="362">
        <f t="shared" si="305"/>
        <v>290</v>
      </c>
      <c r="CO81" s="540">
        <f t="shared" si="306"/>
        <v>9.6473719228210246</v>
      </c>
      <c r="CP81" s="538">
        <f t="shared" si="307"/>
        <v>-9.375</v>
      </c>
      <c r="CR81" s="362">
        <f t="shared" si="308"/>
        <v>335</v>
      </c>
      <c r="CS81" s="540">
        <f t="shared" si="309"/>
        <v>10.481852315394242</v>
      </c>
      <c r="CT81" s="538">
        <f t="shared" si="310"/>
        <v>15.517241379310342</v>
      </c>
      <c r="CV81" s="362">
        <f t="shared" si="311"/>
        <v>331</v>
      </c>
      <c r="CW81" s="540">
        <f t="shared" si="312"/>
        <v>9.7582547169811331</v>
      </c>
      <c r="CX81" s="544">
        <f t="shared" si="313"/>
        <v>-1.1940298507462699E-2</v>
      </c>
      <c r="CZ81" s="362">
        <f>CZ31-CZ41-CZ51</f>
        <v>326</v>
      </c>
      <c r="DA81" s="540">
        <f t="shared" ref="DA81:DA86" si="323">CZ81/CZ31*100</f>
        <v>8.808430154012429</v>
      </c>
      <c r="DB81" s="544">
        <f t="shared" si="315"/>
        <v>-1.5105740181268867E-2</v>
      </c>
      <c r="DD81" s="362">
        <f t="shared" si="316"/>
        <v>221</v>
      </c>
      <c r="DE81" s="540">
        <f t="shared" ref="DE81:DE86" si="324">DD81/DD31*100</f>
        <v>6.0531361270884689</v>
      </c>
      <c r="DF81" s="544">
        <f t="shared" si="317"/>
        <v>-0.32208588957055218</v>
      </c>
      <c r="DH81" s="362">
        <f t="shared" si="318"/>
        <v>217</v>
      </c>
      <c r="DI81" s="540">
        <f t="shared" ref="DI81:DI86" si="325">DH81/DH31*100</f>
        <v>5.7210651199578164</v>
      </c>
      <c r="DJ81" s="544">
        <f t="shared" si="319"/>
        <v>-1.8099547511312264E-2</v>
      </c>
      <c r="DL81" s="362">
        <f t="shared" si="320"/>
        <v>186.70833184158414</v>
      </c>
      <c r="DM81" s="540">
        <f t="shared" ref="DM81:DM86" si="326">DL81/DL31*100</f>
        <v>4.568783602487497</v>
      </c>
      <c r="DN81" s="544">
        <f t="shared" si="321"/>
        <v>-0.13959294082219287</v>
      </c>
      <c r="DO81" s="544"/>
    </row>
    <row r="82" spans="1:126" outlineLevel="1" x14ac:dyDescent="0.2">
      <c r="A82" s="517" t="s">
        <v>80</v>
      </c>
      <c r="D82" s="362">
        <f t="shared" si="241"/>
        <v>45.39999999999992</v>
      </c>
      <c r="E82" s="540">
        <f t="shared" si="242"/>
        <v>6.9175681852811106</v>
      </c>
      <c r="F82" s="539"/>
      <c r="H82" s="362">
        <f t="shared" si="243"/>
        <v>43.392999999999972</v>
      </c>
      <c r="I82" s="540">
        <f t="shared" si="244"/>
        <v>6.1072172493385093</v>
      </c>
      <c r="J82" s="539">
        <f t="shared" si="245"/>
        <v>-4.4207048458148712</v>
      </c>
      <c r="L82" s="362">
        <f t="shared" si="246"/>
        <v>48.642000000000053</v>
      </c>
      <c r="M82" s="540">
        <f t="shared" si="247"/>
        <v>6.3980070185776654</v>
      </c>
      <c r="N82" s="539">
        <f t="shared" si="248"/>
        <v>12.096421081741493</v>
      </c>
      <c r="P82" s="362">
        <f t="shared" si="249"/>
        <v>51.385000000000019</v>
      </c>
      <c r="Q82" s="540">
        <f t="shared" si="250"/>
        <v>6.4877511107519794</v>
      </c>
      <c r="R82" s="539">
        <f t="shared" si="251"/>
        <v>5.6391595740306055</v>
      </c>
      <c r="T82" s="362">
        <f t="shared" si="252"/>
        <v>70.783999999999907</v>
      </c>
      <c r="U82" s="540">
        <f t="shared" si="253"/>
        <v>7.9855325399394976</v>
      </c>
      <c r="V82" s="539">
        <f t="shared" si="254"/>
        <v>37.752262333365529</v>
      </c>
      <c r="X82" s="362">
        <f t="shared" si="255"/>
        <v>59.390999999999963</v>
      </c>
      <c r="Y82" s="540">
        <f t="shared" si="256"/>
        <v>6.3233914697937736</v>
      </c>
      <c r="Z82" s="539">
        <f t="shared" si="257"/>
        <v>-16.095445298372457</v>
      </c>
      <c r="AB82" s="362">
        <f t="shared" si="258"/>
        <v>64.887000000000057</v>
      </c>
      <c r="AC82" s="540">
        <f t="shared" si="259"/>
        <v>6.3682821527732161</v>
      </c>
      <c r="AD82" s="539">
        <f t="shared" si="260"/>
        <v>9.2539273627318952</v>
      </c>
      <c r="AF82" s="362">
        <f t="shared" si="261"/>
        <v>67.304000000000201</v>
      </c>
      <c r="AG82" s="540">
        <f t="shared" si="262"/>
        <v>6.0223089574061213</v>
      </c>
      <c r="AH82" s="539">
        <f t="shared" si="263"/>
        <v>3.7249371985145663</v>
      </c>
      <c r="AJ82" s="362">
        <f t="shared" si="264"/>
        <v>427.58299999999986</v>
      </c>
      <c r="AK82" s="540">
        <f t="shared" si="265"/>
        <v>29.029654060850628</v>
      </c>
      <c r="AL82" s="539">
        <f t="shared" si="266"/>
        <v>535.30102222750293</v>
      </c>
      <c r="AN82" s="362">
        <f t="shared" si="267"/>
        <v>78.123999999999967</v>
      </c>
      <c r="AO82" s="540">
        <f t="shared" si="268"/>
        <v>6.8701457676722173</v>
      </c>
      <c r="AP82" s="539">
        <f t="shared" si="269"/>
        <v>-81.728927483085158</v>
      </c>
      <c r="AR82" s="362">
        <f t="shared" si="270"/>
        <v>54.32999999999987</v>
      </c>
      <c r="AS82" s="540">
        <f t="shared" si="271"/>
        <v>4.1811991491378926</v>
      </c>
      <c r="AT82" s="539">
        <f t="shared" si="272"/>
        <v>-30.456709845886166</v>
      </c>
      <c r="AV82" s="362">
        <f t="shared" si="273"/>
        <v>35.028999999999996</v>
      </c>
      <c r="AW82" s="540">
        <f t="shared" si="274"/>
        <v>2.7548094542285915</v>
      </c>
      <c r="AX82" s="539">
        <f t="shared" si="275"/>
        <v>-35.525492361494429</v>
      </c>
      <c r="AZ82" s="362">
        <f t="shared" si="276"/>
        <v>51.132000000000119</v>
      </c>
      <c r="BA82" s="540">
        <f t="shared" si="277"/>
        <v>3.7646691557325291</v>
      </c>
      <c r="BB82" s="539">
        <f t="shared" si="278"/>
        <v>45.970481600959559</v>
      </c>
      <c r="BD82" s="362">
        <f t="shared" si="279"/>
        <v>101.27599999999995</v>
      </c>
      <c r="BE82" s="540">
        <f t="shared" si="280"/>
        <v>6.9764878664385135</v>
      </c>
      <c r="BF82" s="539">
        <f t="shared" si="281"/>
        <v>98.067746225455139</v>
      </c>
      <c r="BH82" s="362">
        <f t="shared" si="282"/>
        <v>136.42299999999989</v>
      </c>
      <c r="BI82" s="540">
        <f t="shared" si="283"/>
        <v>8.5957406590636936</v>
      </c>
      <c r="BJ82" s="539">
        <f t="shared" si="284"/>
        <v>34.70417473043954</v>
      </c>
      <c r="BL82" s="362">
        <f t="shared" si="285"/>
        <v>173.12999999999994</v>
      </c>
      <c r="BM82" s="540">
        <f t="shared" si="286"/>
        <v>10.104765517845154</v>
      </c>
      <c r="BN82" s="539">
        <f t="shared" si="287"/>
        <v>26.90675326008083</v>
      </c>
      <c r="BP82" s="362">
        <f t="shared" si="288"/>
        <v>232.58899999999994</v>
      </c>
      <c r="BQ82" s="540">
        <f t="shared" si="289"/>
        <v>12.045489149742968</v>
      </c>
      <c r="BR82" s="539">
        <f t="shared" si="290"/>
        <v>34.3435568647837</v>
      </c>
      <c r="BT82" s="362">
        <f t="shared" si="291"/>
        <v>257.71699999999987</v>
      </c>
      <c r="BU82" s="540">
        <f t="shared" si="292"/>
        <v>12.637999865635091</v>
      </c>
      <c r="BV82" s="539">
        <f t="shared" si="293"/>
        <v>10.803606361435802</v>
      </c>
      <c r="BX82" s="362">
        <f t="shared" si="294"/>
        <v>127.55100000000004</v>
      </c>
      <c r="BY82" s="540">
        <f t="shared" si="295"/>
        <v>6.7202845100105391</v>
      </c>
      <c r="BZ82" s="539">
        <f t="shared" si="296"/>
        <v>-50.507339445981401</v>
      </c>
      <c r="CB82" s="362">
        <f t="shared" si="297"/>
        <v>172</v>
      </c>
      <c r="CC82" s="540">
        <f t="shared" si="298"/>
        <v>8.7620988283239942</v>
      </c>
      <c r="CD82" s="539">
        <f t="shared" si="322"/>
        <v>34.848021575683404</v>
      </c>
      <c r="CF82" s="362">
        <f t="shared" si="299"/>
        <v>221</v>
      </c>
      <c r="CG82" s="540">
        <f t="shared" si="300"/>
        <v>10.128322639780018</v>
      </c>
      <c r="CH82" s="539">
        <f t="shared" si="301"/>
        <v>28.488372093023262</v>
      </c>
      <c r="CJ82" s="362">
        <f t="shared" si="302"/>
        <v>240</v>
      </c>
      <c r="CK82" s="540">
        <f t="shared" si="303"/>
        <v>9.6852300242130749</v>
      </c>
      <c r="CL82" s="539">
        <f t="shared" si="304"/>
        <v>8.5972850678732939</v>
      </c>
      <c r="CN82" s="362">
        <f>CN32-CN42-CN52</f>
        <v>277</v>
      </c>
      <c r="CO82" s="540">
        <f t="shared" si="306"/>
        <v>9.8752228163992868</v>
      </c>
      <c r="CP82" s="538">
        <f t="shared" si="307"/>
        <v>15.416666666666657</v>
      </c>
      <c r="CR82" s="362">
        <f>CR32-CR42-CR52</f>
        <v>253</v>
      </c>
      <c r="CS82" s="540">
        <f t="shared" si="309"/>
        <v>8.7725381414701804</v>
      </c>
      <c r="CT82" s="538">
        <f t="shared" si="310"/>
        <v>-8.6642599277978345</v>
      </c>
      <c r="CV82" s="362">
        <f>CV32-CV42-CV52</f>
        <v>262</v>
      </c>
      <c r="CW82" s="540">
        <f t="shared" si="312"/>
        <v>8.3439490445859867</v>
      </c>
      <c r="CX82" s="544">
        <f t="shared" si="313"/>
        <v>3.5573122529644285E-2</v>
      </c>
      <c r="CZ82" s="362">
        <f>CZ32-CZ42-CZ52</f>
        <v>186</v>
      </c>
      <c r="DA82" s="540">
        <f t="shared" si="323"/>
        <v>5.5906221821460775</v>
      </c>
      <c r="DB82" s="544">
        <f t="shared" si="315"/>
        <v>-0.29007633587786263</v>
      </c>
      <c r="DD82" s="362">
        <f>DD32-DD42-DD52</f>
        <v>252</v>
      </c>
      <c r="DE82" s="540">
        <f t="shared" si="324"/>
        <v>7.1146245059288544</v>
      </c>
      <c r="DF82" s="544">
        <f t="shared" si="317"/>
        <v>0.35483870967741926</v>
      </c>
      <c r="DH82" s="362">
        <f>DH32-DH42-DH52</f>
        <v>208</v>
      </c>
      <c r="DI82" s="540">
        <f t="shared" si="325"/>
        <v>5.7316065031689174</v>
      </c>
      <c r="DJ82" s="544">
        <f t="shared" si="319"/>
        <v>-0.17460317460317465</v>
      </c>
      <c r="DL82" s="362">
        <f>DL32-DL42-DL52</f>
        <v>197.55534016666638</v>
      </c>
      <c r="DM82" s="540">
        <f t="shared" si="326"/>
        <v>5.3973531190557447</v>
      </c>
      <c r="DN82" s="544">
        <f t="shared" si="321"/>
        <v>-5.0214710737180868E-2</v>
      </c>
      <c r="DO82" s="544"/>
    </row>
    <row r="83" spans="1:126" outlineLevel="1" x14ac:dyDescent="0.2">
      <c r="A83" s="517" t="s">
        <v>81</v>
      </c>
      <c r="D83" s="556">
        <f t="shared" si="241"/>
        <v>84.844000000000108</v>
      </c>
      <c r="E83" s="540">
        <f t="shared" si="242"/>
        <v>9.1677255949448178</v>
      </c>
      <c r="F83" s="539"/>
      <c r="H83" s="556">
        <f t="shared" si="243"/>
        <v>77.497000000000071</v>
      </c>
      <c r="I83" s="540">
        <f t="shared" si="244"/>
        <v>7.7431570323077068</v>
      </c>
      <c r="J83" s="539">
        <f t="shared" si="245"/>
        <v>-8.6594219980199227</v>
      </c>
      <c r="L83" s="556">
        <f t="shared" si="246"/>
        <v>98.55399999999986</v>
      </c>
      <c r="M83" s="540">
        <f t="shared" si="247"/>
        <v>9.0146652726745415</v>
      </c>
      <c r="N83" s="539">
        <f t="shared" si="248"/>
        <v>27.171374375781987</v>
      </c>
      <c r="P83" s="556">
        <f t="shared" si="249"/>
        <v>108.94699999999995</v>
      </c>
      <c r="Q83" s="540">
        <f t="shared" si="250"/>
        <v>9.6580024449292488</v>
      </c>
      <c r="R83" s="539">
        <f t="shared" si="251"/>
        <v>10.545487752907135</v>
      </c>
      <c r="T83" s="556">
        <f t="shared" si="252"/>
        <v>123.29399999999993</v>
      </c>
      <c r="U83" s="540">
        <f t="shared" si="253"/>
        <v>10.153336846959609</v>
      </c>
      <c r="V83" s="539">
        <f t="shared" si="254"/>
        <v>13.168788493487638</v>
      </c>
      <c r="X83" s="556">
        <f t="shared" si="255"/>
        <v>99.795999999999822</v>
      </c>
      <c r="Y83" s="540">
        <f t="shared" si="256"/>
        <v>7.8319285523692797</v>
      </c>
      <c r="Z83" s="539">
        <f t="shared" si="257"/>
        <v>-19.058510552013985</v>
      </c>
      <c r="AB83" s="556">
        <f t="shared" si="258"/>
        <v>78.961000000000013</v>
      </c>
      <c r="AC83" s="540">
        <f t="shared" si="259"/>
        <v>5.8578886495942344</v>
      </c>
      <c r="AD83" s="539">
        <f t="shared" si="260"/>
        <v>-20.877590284179568</v>
      </c>
      <c r="AF83" s="556">
        <f t="shared" si="261"/>
        <v>108.21100000000001</v>
      </c>
      <c r="AG83" s="540">
        <f t="shared" si="262"/>
        <v>7.3058130671641148</v>
      </c>
      <c r="AH83" s="539">
        <f t="shared" si="263"/>
        <v>37.043603804409763</v>
      </c>
      <c r="AJ83" s="556">
        <f t="shared" si="264"/>
        <v>121.73899999999986</v>
      </c>
      <c r="AK83" s="540">
        <f t="shared" si="265"/>
        <v>8.291136093844381</v>
      </c>
      <c r="AL83" s="539">
        <f t="shared" si="266"/>
        <v>12.501501695760918</v>
      </c>
      <c r="AN83" s="556">
        <f t="shared" si="267"/>
        <v>103.9410000000002</v>
      </c>
      <c r="AO83" s="540">
        <f t="shared" si="268"/>
        <v>6.5405388058377341</v>
      </c>
      <c r="AP83" s="539">
        <f t="shared" si="269"/>
        <v>-14.619801378358355</v>
      </c>
      <c r="AR83" s="556">
        <f t="shared" si="270"/>
        <v>65.120999999999754</v>
      </c>
      <c r="AS83" s="540">
        <f t="shared" si="271"/>
        <v>3.8644221080478531</v>
      </c>
      <c r="AT83" s="539">
        <f t="shared" si="272"/>
        <v>-37.348110947557146</v>
      </c>
      <c r="AV83" s="556">
        <f t="shared" si="273"/>
        <v>101.65999999999991</v>
      </c>
      <c r="AW83" s="540">
        <f t="shared" si="274"/>
        <v>6.1235799390412806</v>
      </c>
      <c r="AX83" s="539">
        <f t="shared" si="275"/>
        <v>56.109396354479045</v>
      </c>
      <c r="AZ83" s="556">
        <f t="shared" si="276"/>
        <v>119.76900000000006</v>
      </c>
      <c r="BA83" s="540">
        <f t="shared" si="277"/>
        <v>6.6988196287065618</v>
      </c>
      <c r="BB83" s="539">
        <f t="shared" si="278"/>
        <v>17.813299232736735</v>
      </c>
      <c r="BD83" s="556">
        <f t="shared" si="279"/>
        <v>189.00099999999998</v>
      </c>
      <c r="BE83" s="540">
        <f t="shared" si="280"/>
        <v>9.6429032434167112</v>
      </c>
      <c r="BF83" s="539">
        <f t="shared" si="281"/>
        <v>57.804607202197467</v>
      </c>
      <c r="BH83" s="556">
        <f t="shared" si="282"/>
        <v>249.64299999999992</v>
      </c>
      <c r="BI83" s="540">
        <f t="shared" si="283"/>
        <v>11.63405095358552</v>
      </c>
      <c r="BJ83" s="539">
        <f t="shared" si="284"/>
        <v>32.085544520928423</v>
      </c>
      <c r="BL83" s="556">
        <f t="shared" si="285"/>
        <v>318.8309999999999</v>
      </c>
      <c r="BM83" s="540">
        <f t="shared" si="286"/>
        <v>13.526971975416224</v>
      </c>
      <c r="BN83" s="539">
        <f t="shared" si="287"/>
        <v>27.714776701129207</v>
      </c>
      <c r="BP83" s="556">
        <f t="shared" si="288"/>
        <v>386.8499999999998</v>
      </c>
      <c r="BQ83" s="540">
        <f t="shared" si="289"/>
        <v>14.349456085693898</v>
      </c>
      <c r="BR83" s="539">
        <f t="shared" si="290"/>
        <v>21.333872804087406</v>
      </c>
      <c r="BT83" s="556">
        <f t="shared" si="291"/>
        <v>384</v>
      </c>
      <c r="BU83" s="540">
        <f t="shared" si="292"/>
        <v>14.826254826254825</v>
      </c>
      <c r="BV83" s="539">
        <f>(BT83/BP83-1)*100</f>
        <v>-0.7367196587824254</v>
      </c>
      <c r="BX83" s="556">
        <f t="shared" si="294"/>
        <v>156</v>
      </c>
      <c r="BY83" s="540">
        <f t="shared" si="295"/>
        <v>6.5244667503136764</v>
      </c>
      <c r="BZ83" s="539">
        <f t="shared" si="296"/>
        <v>-59.375</v>
      </c>
      <c r="CB83" s="556">
        <f t="shared" si="297"/>
        <v>310</v>
      </c>
      <c r="CC83" s="540">
        <f t="shared" si="298"/>
        <v>11.742424242424242</v>
      </c>
      <c r="CD83" s="539">
        <f t="shared" si="322"/>
        <v>98.71794871794873</v>
      </c>
      <c r="CF83" s="556">
        <f t="shared" si="299"/>
        <v>406</v>
      </c>
      <c r="CG83" s="540">
        <f t="shared" si="300"/>
        <v>13.923182441700959</v>
      </c>
      <c r="CH83" s="539">
        <f t="shared" si="301"/>
        <v>30.967741935483861</v>
      </c>
      <c r="CJ83" s="556">
        <f t="shared" si="302"/>
        <v>417</v>
      </c>
      <c r="CK83" s="540">
        <f t="shared" si="303"/>
        <v>12.767911818738517</v>
      </c>
      <c r="CL83" s="539">
        <f t="shared" si="304"/>
        <v>2.7093596059113212</v>
      </c>
      <c r="CN83" s="556">
        <f>CN33-CN43-CN53</f>
        <v>498</v>
      </c>
      <c r="CO83" s="540">
        <f t="shared" si="306"/>
        <v>13.466738777717685</v>
      </c>
      <c r="CP83" s="538">
        <f t="shared" si="307"/>
        <v>19.424460431654666</v>
      </c>
      <c r="CR83" s="556">
        <f>CR33-CR43-CR53</f>
        <v>487</v>
      </c>
      <c r="CS83" s="540">
        <f t="shared" si="309"/>
        <v>13.123147399622741</v>
      </c>
      <c r="CT83" s="538">
        <f t="shared" si="310"/>
        <v>-2.2088353413654671</v>
      </c>
      <c r="CV83" s="556">
        <f>CV33-CV43-CV53</f>
        <v>465</v>
      </c>
      <c r="CW83" s="540">
        <f>CV83/CV33*100</f>
        <v>11.501360375958447</v>
      </c>
      <c r="CX83" s="544">
        <f t="shared" si="313"/>
        <v>-4.5174537987679675E-2</v>
      </c>
      <c r="CZ83" s="556">
        <f>CZ33-CZ43-CZ53</f>
        <v>372</v>
      </c>
      <c r="DA83" s="540">
        <f t="shared" si="323"/>
        <v>8.8698140200286133</v>
      </c>
      <c r="DB83" s="544">
        <f t="shared" si="315"/>
        <v>-0.19999999999999996</v>
      </c>
      <c r="DD83" s="556">
        <f t="shared" si="316"/>
        <v>424</v>
      </c>
      <c r="DE83" s="540">
        <f t="shared" si="324"/>
        <v>9.823911028730306</v>
      </c>
      <c r="DF83" s="544">
        <f t="shared" si="317"/>
        <v>0.13978494623655924</v>
      </c>
      <c r="DH83" s="556">
        <f t="shared" si="318"/>
        <v>350</v>
      </c>
      <c r="DI83" s="540">
        <f t="shared" si="325"/>
        <v>7.4436410038281577</v>
      </c>
      <c r="DJ83" s="544">
        <f t="shared" si="319"/>
        <v>-0.17452830188679247</v>
      </c>
      <c r="DL83" s="556">
        <f t="shared" si="320"/>
        <v>341.78381147540972</v>
      </c>
      <c r="DM83" s="540">
        <f t="shared" si="326"/>
        <v>7.6675416498105973</v>
      </c>
      <c r="DN83" s="544">
        <f t="shared" si="321"/>
        <v>-2.3474824355972257E-2</v>
      </c>
      <c r="DO83" s="544"/>
    </row>
    <row r="84" spans="1:126" outlineLevel="1" x14ac:dyDescent="0.2">
      <c r="A84" s="517" t="s">
        <v>82</v>
      </c>
      <c r="D84" s="256">
        <f t="shared" si="241"/>
        <v>230.54399999999987</v>
      </c>
      <c r="E84" s="540">
        <f t="shared" si="242"/>
        <v>7.7401056347958246</v>
      </c>
      <c r="F84" s="539"/>
      <c r="H84" s="256">
        <f t="shared" si="243"/>
        <v>266.32100000000048</v>
      </c>
      <c r="I84" s="540">
        <f t="shared" si="244"/>
        <v>8.1511956643833212</v>
      </c>
      <c r="J84" s="539">
        <f t="shared" si="245"/>
        <v>15.51851273509639</v>
      </c>
      <c r="L84" s="256">
        <f t="shared" si="246"/>
        <v>273.52900000000022</v>
      </c>
      <c r="M84" s="540">
        <f t="shared" si="247"/>
        <v>7.7823860172036579</v>
      </c>
      <c r="N84" s="539">
        <f t="shared" si="248"/>
        <v>2.7065083113985589</v>
      </c>
      <c r="P84" s="256">
        <f t="shared" si="249"/>
        <v>268.56400000000008</v>
      </c>
      <c r="Q84" s="540">
        <f t="shared" si="250"/>
        <v>7.3010158906734306</v>
      </c>
      <c r="R84" s="539">
        <f t="shared" si="251"/>
        <v>-1.8151640228276089</v>
      </c>
      <c r="T84" s="256">
        <f t="shared" si="252"/>
        <v>366.22200000000043</v>
      </c>
      <c r="U84" s="540">
        <f t="shared" si="253"/>
        <v>9.1805164143889417</v>
      </c>
      <c r="V84" s="539">
        <f t="shared" si="254"/>
        <v>36.363027062450783</v>
      </c>
      <c r="X84" s="256">
        <f t="shared" si="255"/>
        <v>311.23999999999978</v>
      </c>
      <c r="Y84" s="540">
        <f t="shared" si="256"/>
        <v>7.3429109201381708</v>
      </c>
      <c r="Z84" s="539">
        <f t="shared" si="257"/>
        <v>-15.013297944962501</v>
      </c>
      <c r="AB84" s="256">
        <f t="shared" si="258"/>
        <v>282.90499999999997</v>
      </c>
      <c r="AC84" s="540">
        <f t="shared" si="259"/>
        <v>6.173552088670629</v>
      </c>
      <c r="AD84" s="539">
        <f t="shared" si="260"/>
        <v>-9.103906952833773</v>
      </c>
      <c r="AF84" s="256">
        <f t="shared" si="261"/>
        <v>341.46299999999974</v>
      </c>
      <c r="AG84" s="540">
        <f t="shared" si="262"/>
        <v>6.884050155185113</v>
      </c>
      <c r="AH84" s="539">
        <f t="shared" si="263"/>
        <v>20.698821159046243</v>
      </c>
      <c r="AJ84" s="256">
        <f t="shared" si="264"/>
        <v>384.81400000000031</v>
      </c>
      <c r="AK84" s="540">
        <f t="shared" si="265"/>
        <v>7.4939012028948673</v>
      </c>
      <c r="AL84" s="539">
        <f t="shared" si="266"/>
        <v>12.695665416165314</v>
      </c>
      <c r="AN84" s="256">
        <f t="shared" si="267"/>
        <v>382.18700000000013</v>
      </c>
      <c r="AO84" s="540">
        <f t="shared" si="268"/>
        <v>7.257932960777155</v>
      </c>
      <c r="AP84" s="539">
        <f t="shared" si="269"/>
        <v>-0.68266747051827226</v>
      </c>
      <c r="AR84" s="256">
        <f t="shared" si="270"/>
        <v>262.573000000001</v>
      </c>
      <c r="AS84" s="540">
        <f t="shared" si="271"/>
        <v>4.6398063874403634</v>
      </c>
      <c r="AT84" s="539">
        <f t="shared" si="272"/>
        <v>-31.297244542592782</v>
      </c>
      <c r="AV84" s="256">
        <f t="shared" si="273"/>
        <v>279.52600000000052</v>
      </c>
      <c r="AW84" s="540">
        <f t="shared" si="274"/>
        <v>4.8461343754009265</v>
      </c>
      <c r="AX84" s="539">
        <f t="shared" si="275"/>
        <v>6.4564901951074338</v>
      </c>
      <c r="AZ84" s="256">
        <f t="shared" si="276"/>
        <v>330.71299999999974</v>
      </c>
      <c r="BA84" s="540">
        <f t="shared" si="277"/>
        <v>5.4358315205019068</v>
      </c>
      <c r="BB84" s="539">
        <f t="shared" si="278"/>
        <v>18.31207114901623</v>
      </c>
      <c r="BD84" s="256">
        <f t="shared" si="279"/>
        <v>489.14099999999894</v>
      </c>
      <c r="BE84" s="540">
        <f t="shared" si="280"/>
        <v>7.4071174448358947</v>
      </c>
      <c r="BF84" s="539">
        <f t="shared" si="281"/>
        <v>47.904981056081652</v>
      </c>
      <c r="BH84" s="256">
        <f t="shared" si="282"/>
        <v>724.73399999999992</v>
      </c>
      <c r="BI84" s="540">
        <f t="shared" si="283"/>
        <v>9.9219438266623126</v>
      </c>
      <c r="BJ84" s="539">
        <f t="shared" si="284"/>
        <v>48.164639643783993</v>
      </c>
      <c r="BL84" s="256">
        <f t="shared" si="285"/>
        <v>930.27699999999913</v>
      </c>
      <c r="BM84" s="540">
        <f t="shared" si="286"/>
        <v>11.74745541273948</v>
      </c>
      <c r="BN84" s="539">
        <f t="shared" si="287"/>
        <v>28.361164234049909</v>
      </c>
      <c r="BP84" s="256">
        <f t="shared" si="288"/>
        <v>1148.4109999999996</v>
      </c>
      <c r="BQ84" s="540">
        <f t="shared" si="289"/>
        <v>13.051277368467643</v>
      </c>
      <c r="BR84" s="539">
        <f t="shared" si="290"/>
        <v>23.448284758195758</v>
      </c>
      <c r="BT84" s="256">
        <f t="shared" si="291"/>
        <v>1212.5820000000003</v>
      </c>
      <c r="BU84" s="540">
        <f t="shared" si="292"/>
        <v>13.326892895295625</v>
      </c>
      <c r="BV84" s="539">
        <f t="shared" si="293"/>
        <v>5.5878078492805017</v>
      </c>
      <c r="BX84" s="256">
        <f t="shared" si="294"/>
        <v>779.55099999999993</v>
      </c>
      <c r="BY84" s="540">
        <f t="shared" si="295"/>
        <v>9.0677096661626138</v>
      </c>
      <c r="BZ84" s="539">
        <f t="shared" si="296"/>
        <v>-35.711481780201282</v>
      </c>
      <c r="CB84" s="256">
        <f t="shared" si="297"/>
        <v>834</v>
      </c>
      <c r="CC84" s="540">
        <f t="shared" si="298"/>
        <v>9.6673235191839559</v>
      </c>
      <c r="CD84" s="539">
        <f t="shared" si="322"/>
        <v>6.9846616834562614</v>
      </c>
      <c r="CF84" s="256">
        <f t="shared" si="299"/>
        <v>1118</v>
      </c>
      <c r="CG84" s="540">
        <f t="shared" si="300"/>
        <v>11.525773195876289</v>
      </c>
      <c r="CH84" s="539">
        <f t="shared" si="301"/>
        <v>34.052757793764997</v>
      </c>
      <c r="CJ84" s="256">
        <f t="shared" si="302"/>
        <v>1249</v>
      </c>
      <c r="CK84" s="540">
        <f t="shared" si="303"/>
        <v>11.482945665165028</v>
      </c>
      <c r="CL84" s="539">
        <f t="shared" si="304"/>
        <v>11.717352415026827</v>
      </c>
      <c r="CN84" s="256">
        <f t="shared" si="305"/>
        <v>1345</v>
      </c>
      <c r="CO84" s="540">
        <f t="shared" si="306"/>
        <v>11.084555793637712</v>
      </c>
      <c r="CP84" s="538">
        <f t="shared" si="307"/>
        <v>7.686148919135305</v>
      </c>
      <c r="CR84" s="256">
        <f t="shared" si="308"/>
        <v>1350</v>
      </c>
      <c r="CS84" s="540">
        <f t="shared" si="309"/>
        <v>10.76555023923445</v>
      </c>
      <c r="CT84" s="538">
        <f t="shared" si="310"/>
        <v>0.37174721189590088</v>
      </c>
      <c r="CV84" s="256">
        <f t="shared" si="311"/>
        <v>1323</v>
      </c>
      <c r="CW84" s="540">
        <f t="shared" si="312"/>
        <v>9.7956463793869393</v>
      </c>
      <c r="CX84" s="544">
        <f t="shared" si="313"/>
        <v>-2.0000000000000018E-2</v>
      </c>
      <c r="CZ84" s="256">
        <f t="shared" si="314"/>
        <v>1129</v>
      </c>
      <c r="DA84" s="540">
        <f t="shared" si="323"/>
        <v>7.8201842488051536</v>
      </c>
      <c r="DB84" s="544">
        <f t="shared" si="315"/>
        <v>-0.1466364323507181</v>
      </c>
      <c r="DD84" s="256">
        <f>DD34-DD44-DD54</f>
        <v>1003</v>
      </c>
      <c r="DE84" s="540">
        <f t="shared" si="324"/>
        <v>6.7963138636671641</v>
      </c>
      <c r="DF84" s="544">
        <f t="shared" si="317"/>
        <v>-0.11160318866253327</v>
      </c>
      <c r="DH84" s="256">
        <f>DH34-DH44-DH54</f>
        <v>926</v>
      </c>
      <c r="DI84" s="540">
        <f t="shared" si="325"/>
        <v>5.9826851014342939</v>
      </c>
      <c r="DJ84" s="544">
        <f t="shared" si="319"/>
        <v>-7.6769690927218304E-2</v>
      </c>
      <c r="DL84" s="256">
        <f>DL34-DL44-DL54</f>
        <v>847.73563867596931</v>
      </c>
      <c r="DM84" s="540">
        <f t="shared" si="326"/>
        <v>5.3998863756290651</v>
      </c>
      <c r="DN84" s="544">
        <f t="shared" si="321"/>
        <v>-8.4518748730054716E-2</v>
      </c>
      <c r="DO84" s="544"/>
    </row>
    <row r="85" spans="1:126" outlineLevel="1" x14ac:dyDescent="0.2">
      <c r="A85" s="517" t="s">
        <v>281</v>
      </c>
      <c r="D85" s="362">
        <f t="shared" si="241"/>
        <v>100.30000000000018</v>
      </c>
      <c r="E85" s="540">
        <f t="shared" si="242"/>
        <v>7.1806987399771023</v>
      </c>
      <c r="F85" s="539"/>
      <c r="H85" s="362">
        <f t="shared" si="243"/>
        <v>145.43099999999993</v>
      </c>
      <c r="I85" s="540">
        <f t="shared" si="244"/>
        <v>9.3470780218240481</v>
      </c>
      <c r="J85" s="539">
        <f t="shared" si="245"/>
        <v>44.996011964107339</v>
      </c>
      <c r="L85" s="362">
        <f t="shared" si="246"/>
        <v>126.33299999999997</v>
      </c>
      <c r="M85" s="540">
        <f t="shared" si="247"/>
        <v>7.6049790872556242</v>
      </c>
      <c r="N85" s="539">
        <f t="shared" si="248"/>
        <v>-13.132000742620187</v>
      </c>
      <c r="P85" s="362">
        <f t="shared" si="249"/>
        <v>108.2320000000002</v>
      </c>
      <c r="Q85" s="540">
        <f t="shared" si="250"/>
        <v>6.1552565533816423</v>
      </c>
      <c r="R85" s="539">
        <f t="shared" si="251"/>
        <v>-14.328006142496241</v>
      </c>
      <c r="T85" s="362">
        <f t="shared" si="252"/>
        <v>172.14399999999978</v>
      </c>
      <c r="U85" s="540">
        <f t="shared" si="253"/>
        <v>9.1158701100773598</v>
      </c>
      <c r="V85" s="539">
        <f t="shared" si="254"/>
        <v>59.050927636927582</v>
      </c>
      <c r="X85" s="362">
        <f t="shared" si="255"/>
        <v>152.053</v>
      </c>
      <c r="Y85" s="540">
        <f t="shared" si="256"/>
        <v>7.508052295107789</v>
      </c>
      <c r="Z85" s="539">
        <f t="shared" si="257"/>
        <v>-11.6710428478482</v>
      </c>
      <c r="AB85" s="362">
        <f t="shared" si="258"/>
        <v>139.05699999999979</v>
      </c>
      <c r="AC85" s="540">
        <f t="shared" si="259"/>
        <v>6.2760416666666581</v>
      </c>
      <c r="AD85" s="539">
        <f t="shared" si="260"/>
        <v>-8.5470197891525999</v>
      </c>
      <c r="AF85" s="362">
        <f t="shared" si="261"/>
        <v>165.94799999999998</v>
      </c>
      <c r="AG85" s="540">
        <f t="shared" si="262"/>
        <v>7.0273355850438532</v>
      </c>
      <c r="AH85" s="539">
        <f t="shared" si="263"/>
        <v>19.338113147846016</v>
      </c>
      <c r="AJ85" s="362">
        <f t="shared" si="264"/>
        <v>187.18500000000017</v>
      </c>
      <c r="AK85" s="540">
        <f t="shared" si="265"/>
        <v>7.3535622260608084</v>
      </c>
      <c r="AL85" s="539">
        <f t="shared" si="266"/>
        <v>12.797382312531758</v>
      </c>
      <c r="AN85" s="362">
        <f t="shared" si="267"/>
        <v>192.36900000000026</v>
      </c>
      <c r="AO85" s="540">
        <f t="shared" si="268"/>
        <v>7.5984211380745901</v>
      </c>
      <c r="AP85" s="539">
        <f t="shared" si="269"/>
        <v>2.7694526805032815</v>
      </c>
      <c r="AR85" s="362">
        <f t="shared" si="270"/>
        <v>166.32200000000012</v>
      </c>
      <c r="AS85" s="540">
        <f t="shared" si="271"/>
        <v>6.2185584648511023</v>
      </c>
      <c r="AT85" s="539">
        <f t="shared" si="272"/>
        <v>-13.540123408657379</v>
      </c>
      <c r="AV85" s="362">
        <f t="shared" si="273"/>
        <v>142.83700000000044</v>
      </c>
      <c r="AW85" s="540">
        <f t="shared" si="274"/>
        <v>5.0359937976012752</v>
      </c>
      <c r="AX85" s="539">
        <f t="shared" si="275"/>
        <v>-14.120200574788456</v>
      </c>
      <c r="AZ85" s="362">
        <f t="shared" si="276"/>
        <v>175.61200000000008</v>
      </c>
      <c r="BA85" s="540">
        <f t="shared" si="277"/>
        <v>5.9129933527142375</v>
      </c>
      <c r="BB85" s="539">
        <f t="shared" si="278"/>
        <v>22.945735348683847</v>
      </c>
      <c r="BD85" s="362">
        <f t="shared" si="279"/>
        <v>198.86399999999981</v>
      </c>
      <c r="BE85" s="540">
        <f t="shared" si="280"/>
        <v>6.2301044647766144</v>
      </c>
      <c r="BF85" s="539">
        <f t="shared" si="281"/>
        <v>13.240553037377701</v>
      </c>
      <c r="BH85" s="362">
        <f t="shared" si="282"/>
        <v>338.66799999999989</v>
      </c>
      <c r="BI85" s="540">
        <f t="shared" si="283"/>
        <v>9.4826232080502635</v>
      </c>
      <c r="BJ85" s="539">
        <f t="shared" si="284"/>
        <v>70.301311449030607</v>
      </c>
      <c r="BL85" s="362">
        <f t="shared" si="285"/>
        <v>438.31599999999924</v>
      </c>
      <c r="BM85" s="540">
        <f t="shared" si="286"/>
        <v>11.388931184057411</v>
      </c>
      <c r="BN85" s="539">
        <f t="shared" si="287"/>
        <v>29.423506206668293</v>
      </c>
      <c r="BP85" s="362">
        <f t="shared" si="288"/>
        <v>528.97200000000021</v>
      </c>
      <c r="BQ85" s="540">
        <f t="shared" si="289"/>
        <v>12.677944003182839</v>
      </c>
      <c r="BR85" s="539">
        <f t="shared" si="290"/>
        <v>20.682795061097735</v>
      </c>
      <c r="BT85" s="362">
        <f t="shared" si="291"/>
        <v>570.86500000000024</v>
      </c>
      <c r="BU85" s="540">
        <f t="shared" si="292"/>
        <v>12.77235203556879</v>
      </c>
      <c r="BV85" s="539">
        <f t="shared" si="293"/>
        <v>7.9197008537313929</v>
      </c>
      <c r="BX85" s="362">
        <f t="shared" si="294"/>
        <v>506</v>
      </c>
      <c r="BY85" s="540">
        <f t="shared" si="295"/>
        <v>11.745589600742804</v>
      </c>
      <c r="BZ85" s="539">
        <f t="shared" si="296"/>
        <v>-11.362581345852385</v>
      </c>
      <c r="CB85" s="362">
        <f t="shared" si="297"/>
        <v>352</v>
      </c>
      <c r="CC85" s="540">
        <f t="shared" si="298"/>
        <v>8.7475149105367791</v>
      </c>
      <c r="CD85" s="539">
        <f t="shared" si="322"/>
        <v>-30.434782608695656</v>
      </c>
      <c r="CF85" s="362">
        <f t="shared" si="299"/>
        <v>491</v>
      </c>
      <c r="CG85" s="540">
        <f t="shared" si="300"/>
        <v>10.669274228596262</v>
      </c>
      <c r="CH85" s="539">
        <f t="shared" si="301"/>
        <v>39.488636363636353</v>
      </c>
      <c r="CJ85" s="362">
        <f t="shared" si="302"/>
        <v>592</v>
      </c>
      <c r="CK85" s="540">
        <f t="shared" si="303"/>
        <v>11.533216442626145</v>
      </c>
      <c r="CL85" s="539">
        <f t="shared" si="304"/>
        <v>20.570264765784117</v>
      </c>
      <c r="CN85" s="362">
        <f t="shared" si="305"/>
        <v>570</v>
      </c>
      <c r="CO85" s="540">
        <f t="shared" si="306"/>
        <v>10.122535961640915</v>
      </c>
      <c r="CP85" s="538">
        <f t="shared" si="307"/>
        <v>-3.7162162162162171</v>
      </c>
      <c r="CR85" s="362">
        <f t="shared" si="308"/>
        <v>610</v>
      </c>
      <c r="CS85" s="540">
        <f t="shared" si="309"/>
        <v>10.260723296888141</v>
      </c>
      <c r="CT85" s="538">
        <f t="shared" si="310"/>
        <v>7.0175438596491224</v>
      </c>
      <c r="CV85" s="362">
        <f t="shared" si="311"/>
        <v>596</v>
      </c>
      <c r="CW85" s="540">
        <f t="shared" si="312"/>
        <v>9.4259054246402023</v>
      </c>
      <c r="CX85" s="544">
        <f t="shared" si="313"/>
        <v>-2.2950819672131195E-2</v>
      </c>
      <c r="CZ85" s="362">
        <f t="shared" si="314"/>
        <v>571</v>
      </c>
      <c r="DA85" s="540">
        <f t="shared" si="323"/>
        <v>8.2562174667437827</v>
      </c>
      <c r="DB85" s="544">
        <f t="shared" si="315"/>
        <v>-4.1946308724832182E-2</v>
      </c>
      <c r="DD85" s="362">
        <f>DD35-DD45-DD55</f>
        <v>327</v>
      </c>
      <c r="DE85" s="540">
        <f t="shared" si="324"/>
        <v>4.7391304347826093</v>
      </c>
      <c r="DF85" s="544">
        <f t="shared" si="317"/>
        <v>-0.42732049036777586</v>
      </c>
      <c r="DH85" s="362">
        <f>DH35-DH45-DH55</f>
        <v>368</v>
      </c>
      <c r="DI85" s="540">
        <f t="shared" si="325"/>
        <v>5.1490135721281662</v>
      </c>
      <c r="DJ85" s="544">
        <f t="shared" si="319"/>
        <v>0.12538226299694188</v>
      </c>
      <c r="DL85" s="362">
        <f>DL35-DL45-DL55</f>
        <v>308.39648703389321</v>
      </c>
      <c r="DM85" s="540">
        <f t="shared" si="326"/>
        <v>4.0678194129055063</v>
      </c>
      <c r="DN85" s="544">
        <f t="shared" si="321"/>
        <v>-0.16196606784268153</v>
      </c>
      <c r="DO85" s="544"/>
    </row>
    <row r="86" spans="1:126" outlineLevel="1" x14ac:dyDescent="0.2">
      <c r="A86" s="517" t="s">
        <v>282</v>
      </c>
      <c r="D86" s="362">
        <f t="shared" si="241"/>
        <v>130.24400000000003</v>
      </c>
      <c r="E86" s="540">
        <f t="shared" si="242"/>
        <v>8.2340981334762979</v>
      </c>
      <c r="F86" s="539"/>
      <c r="H86" s="362">
        <f t="shared" si="243"/>
        <v>120.89000000000004</v>
      </c>
      <c r="I86" s="540">
        <f t="shared" si="244"/>
        <v>7.063951874673144</v>
      </c>
      <c r="J86" s="539">
        <f t="shared" si="245"/>
        <v>-7.1819047326556191</v>
      </c>
      <c r="L86" s="362">
        <f t="shared" si="246"/>
        <v>147.1959999999998</v>
      </c>
      <c r="M86" s="540">
        <f t="shared" si="247"/>
        <v>7.9413832301698655</v>
      </c>
      <c r="N86" s="539">
        <f t="shared" si="248"/>
        <v>21.760277938621677</v>
      </c>
      <c r="P86" s="362">
        <f t="shared" si="249"/>
        <v>160.33199999999988</v>
      </c>
      <c r="Q86" s="540">
        <f t="shared" si="250"/>
        <v>8.3502770717886694</v>
      </c>
      <c r="R86" s="539">
        <f t="shared" si="251"/>
        <v>8.9241555477051584</v>
      </c>
      <c r="T86" s="362">
        <f t="shared" si="252"/>
        <v>194.07799999999997</v>
      </c>
      <c r="U86" s="540">
        <f t="shared" si="253"/>
        <v>9.238628795895508</v>
      </c>
      <c r="V86" s="539">
        <f t="shared" si="254"/>
        <v>21.047576279220692</v>
      </c>
      <c r="X86" s="362">
        <f t="shared" si="255"/>
        <v>159.18699999999967</v>
      </c>
      <c r="Y86" s="540">
        <f t="shared" si="256"/>
        <v>7.1918143962787315</v>
      </c>
      <c r="Z86" s="539">
        <f t="shared" si="257"/>
        <v>-17.977823349375154</v>
      </c>
      <c r="AB86" s="362">
        <f t="shared" si="258"/>
        <v>143.84799999999984</v>
      </c>
      <c r="AC86" s="540">
        <f t="shared" si="259"/>
        <v>6.0776085703711029</v>
      </c>
      <c r="AD86" s="539">
        <f t="shared" si="260"/>
        <v>-9.6358370972503096</v>
      </c>
      <c r="AF86" s="362">
        <f t="shared" si="261"/>
        <v>175.51499999999987</v>
      </c>
      <c r="AG86" s="540">
        <f t="shared" si="262"/>
        <v>6.7538473437714606</v>
      </c>
      <c r="AH86" s="539">
        <f t="shared" si="263"/>
        <v>22.014209443301304</v>
      </c>
      <c r="AJ86" s="362">
        <f t="shared" si="264"/>
        <v>549.32199999999943</v>
      </c>
      <c r="AK86" s="540">
        <f t="shared" si="265"/>
        <v>18.676665235288318</v>
      </c>
      <c r="AL86" s="539">
        <f t="shared" si="266"/>
        <v>212.97723841267117</v>
      </c>
      <c r="AN86" s="362">
        <f t="shared" si="267"/>
        <v>182.06500000000017</v>
      </c>
      <c r="AO86" s="540">
        <f t="shared" si="268"/>
        <v>6.6780176889616971</v>
      </c>
      <c r="AP86" s="539">
        <f t="shared" si="269"/>
        <v>-66.856415727023432</v>
      </c>
      <c r="AR86" s="362">
        <f t="shared" si="270"/>
        <v>119.45099999999957</v>
      </c>
      <c r="AS86" s="540">
        <f t="shared" si="271"/>
        <v>4.002338726700672</v>
      </c>
      <c r="AT86" s="539">
        <f t="shared" si="272"/>
        <v>-34.391014198226209</v>
      </c>
      <c r="AV86" s="362">
        <f t="shared" si="273"/>
        <v>136.68899999999985</v>
      </c>
      <c r="AW86" s="540">
        <f t="shared" si="274"/>
        <v>4.6624515894884073</v>
      </c>
      <c r="AX86" s="539">
        <f t="shared" si="275"/>
        <v>14.431021925308585</v>
      </c>
      <c r="AZ86" s="362">
        <f t="shared" si="276"/>
        <v>170.90100000000018</v>
      </c>
      <c r="BA86" s="540">
        <f t="shared" si="277"/>
        <v>5.4321212897541438</v>
      </c>
      <c r="BB86" s="539">
        <f t="shared" si="278"/>
        <v>25.029080613656095</v>
      </c>
      <c r="BD86" s="362">
        <f t="shared" si="279"/>
        <v>290.27699999999959</v>
      </c>
      <c r="BE86" s="540">
        <f t="shared" si="280"/>
        <v>8.5083376884740147</v>
      </c>
      <c r="BF86" s="539">
        <f t="shared" si="281"/>
        <v>69.850966348938442</v>
      </c>
      <c r="BH86" s="362">
        <f t="shared" si="282"/>
        <v>386.0659999999998</v>
      </c>
      <c r="BI86" s="540">
        <f t="shared" si="283"/>
        <v>10.342265093910996</v>
      </c>
      <c r="BJ86" s="539">
        <f t="shared" si="284"/>
        <v>32.999169758541093</v>
      </c>
      <c r="BL86" s="362">
        <f t="shared" si="285"/>
        <v>491.96100000000001</v>
      </c>
      <c r="BM86" s="540">
        <f t="shared" si="286"/>
        <v>12.086448543025272</v>
      </c>
      <c r="BN86" s="539">
        <f t="shared" si="287"/>
        <v>27.429247848813489</v>
      </c>
      <c r="BP86" s="362">
        <f t="shared" si="288"/>
        <v>619.43899999999985</v>
      </c>
      <c r="BQ86" s="540">
        <f t="shared" si="289"/>
        <v>13.387940762200055</v>
      </c>
      <c r="BR86" s="539">
        <f t="shared" si="290"/>
        <v>25.91221661879699</v>
      </c>
      <c r="BT86" s="362">
        <f t="shared" si="291"/>
        <v>641.71699999999964</v>
      </c>
      <c r="BU86" s="540">
        <f t="shared" si="292"/>
        <v>13.862304753951141</v>
      </c>
      <c r="BV86" s="539">
        <f t="shared" si="293"/>
        <v>3.5964800408110786</v>
      </c>
      <c r="BX86" s="362">
        <f t="shared" si="294"/>
        <v>283.55099999999993</v>
      </c>
      <c r="BY86" s="540">
        <f t="shared" si="295"/>
        <v>6.6111214735369535</v>
      </c>
      <c r="BZ86" s="539">
        <f t="shared" si="296"/>
        <v>-55.813699808482539</v>
      </c>
      <c r="CB86" s="362">
        <f t="shared" si="297"/>
        <v>482</v>
      </c>
      <c r="CC86" s="540">
        <f t="shared" si="298"/>
        <v>10.47143167499457</v>
      </c>
      <c r="CD86" s="539">
        <f t="shared" si="322"/>
        <v>69.987057002091376</v>
      </c>
      <c r="CF86" s="362">
        <f t="shared" si="299"/>
        <v>627</v>
      </c>
      <c r="CG86" s="540">
        <f t="shared" si="300"/>
        <v>12.298940761082777</v>
      </c>
      <c r="CH86" s="539">
        <f t="shared" si="301"/>
        <v>30.082987551867223</v>
      </c>
      <c r="CJ86" s="362">
        <f t="shared" si="302"/>
        <v>657</v>
      </c>
      <c r="CK86" s="540">
        <f t="shared" si="303"/>
        <v>11.438022284122562</v>
      </c>
      <c r="CL86" s="539">
        <f t="shared" si="304"/>
        <v>4.7846889952153138</v>
      </c>
      <c r="CN86" s="362">
        <f t="shared" si="305"/>
        <v>775</v>
      </c>
      <c r="CO86" s="540">
        <f t="shared" si="306"/>
        <v>11.917576503152391</v>
      </c>
      <c r="CP86" s="538">
        <f t="shared" si="307"/>
        <v>17.960426179604273</v>
      </c>
      <c r="CR86" s="362">
        <f t="shared" si="308"/>
        <v>740</v>
      </c>
      <c r="CS86" s="540">
        <f t="shared" si="309"/>
        <v>11.220621683093253</v>
      </c>
      <c r="CT86" s="538">
        <f t="shared" si="310"/>
        <v>-4.5161290322580649</v>
      </c>
      <c r="CV86" s="362">
        <f t="shared" si="311"/>
        <v>727</v>
      </c>
      <c r="CW86" s="540">
        <f t="shared" si="312"/>
        <v>10.121119309480719</v>
      </c>
      <c r="CX86" s="544">
        <f t="shared" si="313"/>
        <v>-1.756756756756761E-2</v>
      </c>
      <c r="CZ86" s="362">
        <f t="shared" si="314"/>
        <v>558</v>
      </c>
      <c r="DA86" s="540">
        <f t="shared" si="323"/>
        <v>7.4192261667331474</v>
      </c>
      <c r="DB86" s="544">
        <f t="shared" si="315"/>
        <v>-0.23246217331499308</v>
      </c>
      <c r="DD86" s="362">
        <f t="shared" si="316"/>
        <v>676</v>
      </c>
      <c r="DE86" s="540">
        <f t="shared" si="324"/>
        <v>8.6026978875031812</v>
      </c>
      <c r="DF86" s="544">
        <f t="shared" si="317"/>
        <v>0.21146953405017932</v>
      </c>
      <c r="DH86" s="362">
        <f t="shared" si="318"/>
        <v>558</v>
      </c>
      <c r="DI86" s="540">
        <f t="shared" si="325"/>
        <v>6.6978754051134324</v>
      </c>
      <c r="DJ86" s="544">
        <f t="shared" si="319"/>
        <v>-0.17455621301775148</v>
      </c>
      <c r="DL86" s="362">
        <f t="shared" si="320"/>
        <v>539.3391516420761</v>
      </c>
      <c r="DM86" s="540">
        <f t="shared" si="326"/>
        <v>6.6439346015326262</v>
      </c>
      <c r="DN86" s="544">
        <f t="shared" si="321"/>
        <v>-3.3442380569756125E-2</v>
      </c>
      <c r="DO86" s="544"/>
      <c r="DQ86" s="255"/>
      <c r="DV86" s="239">
        <f>12.5*3.05</f>
        <v>38.125</v>
      </c>
    </row>
    <row r="87" spans="1:126" outlineLevel="1" x14ac:dyDescent="0.2">
      <c r="A87" s="517"/>
      <c r="D87" s="361"/>
      <c r="E87" s="557"/>
      <c r="F87" s="538"/>
      <c r="H87" s="361"/>
      <c r="I87" s="557"/>
      <c r="J87" s="538"/>
      <c r="L87" s="361"/>
      <c r="M87" s="557"/>
      <c r="N87" s="538"/>
      <c r="P87" s="361"/>
      <c r="Q87" s="557"/>
      <c r="R87" s="538"/>
      <c r="T87" s="361"/>
      <c r="U87" s="557"/>
      <c r="V87" s="538"/>
      <c r="X87" s="361"/>
      <c r="Y87" s="557"/>
      <c r="Z87" s="538"/>
      <c r="AB87" s="361"/>
      <c r="AC87" s="557"/>
      <c r="AD87" s="538"/>
      <c r="AF87" s="361"/>
      <c r="AG87" s="557"/>
      <c r="AH87" s="538"/>
      <c r="AJ87" s="361"/>
      <c r="AK87" s="557"/>
      <c r="AL87" s="538"/>
      <c r="AN87" s="361"/>
      <c r="AO87" s="557"/>
      <c r="AP87" s="538"/>
      <c r="AR87" s="361"/>
      <c r="AS87" s="557"/>
      <c r="AT87" s="538"/>
      <c r="AV87" s="361"/>
      <c r="AW87" s="557"/>
      <c r="AX87" s="538"/>
      <c r="AZ87" s="361"/>
      <c r="BA87" s="557"/>
      <c r="BB87" s="538"/>
      <c r="BD87" s="361"/>
      <c r="BE87" s="557"/>
      <c r="BF87" s="538"/>
      <c r="BH87" s="361"/>
      <c r="BI87" s="557"/>
      <c r="BJ87" s="538"/>
      <c r="BL87" s="361"/>
      <c r="BM87" s="557"/>
      <c r="BN87" s="538"/>
      <c r="BP87" s="362"/>
      <c r="BQ87" s="540"/>
      <c r="BR87" s="539"/>
      <c r="BT87" s="362"/>
      <c r="BU87" s="540"/>
      <c r="BV87" s="539"/>
      <c r="BX87" s="362"/>
      <c r="BY87" s="540"/>
      <c r="BZ87" s="539"/>
      <c r="CB87" s="362"/>
      <c r="CC87" s="540"/>
      <c r="CD87" s="539"/>
      <c r="CF87" s="362"/>
      <c r="CG87" s="540"/>
      <c r="CH87" s="539"/>
      <c r="CJ87" s="362"/>
      <c r="CK87" s="540"/>
      <c r="CL87" s="539"/>
      <c r="CN87" s="362"/>
      <c r="CO87" s="558"/>
      <c r="CP87" s="538"/>
      <c r="CR87" s="362"/>
      <c r="CS87" s="558"/>
      <c r="CT87" s="538"/>
      <c r="CV87" s="362"/>
      <c r="CW87" s="558"/>
      <c r="CX87" s="538"/>
      <c r="CZ87" s="362"/>
      <c r="DA87" s="558"/>
      <c r="DB87" s="538"/>
      <c r="DD87" s="362"/>
      <c r="DE87" s="558"/>
      <c r="DF87" s="538"/>
      <c r="DH87" s="362"/>
      <c r="DI87" s="558"/>
      <c r="DJ87" s="538"/>
      <c r="DL87" s="362"/>
      <c r="DM87" s="558"/>
      <c r="DN87" s="538"/>
      <c r="DO87" s="538"/>
    </row>
    <row r="88" spans="1:126" s="516" customFormat="1" ht="12.75" customHeight="1" outlineLevel="1" x14ac:dyDescent="0.2">
      <c r="A88" s="515" t="s">
        <v>305</v>
      </c>
      <c r="CG88" s="1397" t="str">
        <f>A88</f>
        <v>7. Interest Expense (Income)  (% of Sales)</v>
      </c>
      <c r="CH88" s="1397"/>
      <c r="CI88" s="1397"/>
      <c r="CJ88" s="1397"/>
      <c r="CK88" s="1397"/>
      <c r="CL88" s="1397"/>
      <c r="CM88" s="1397"/>
      <c r="CN88" s="1397"/>
      <c r="CO88" s="1397"/>
      <c r="CP88" s="1397"/>
      <c r="CQ88" s="1397"/>
      <c r="CR88" s="1397"/>
      <c r="CS88" s="1397"/>
      <c r="CT88" s="1397"/>
      <c r="CU88" s="1397"/>
      <c r="CV88" s="1397"/>
      <c r="CW88" s="1397"/>
      <c r="CX88" s="1397"/>
      <c r="CY88" s="1397"/>
      <c r="CZ88" s="1397"/>
      <c r="DA88" s="1397"/>
      <c r="DB88" s="1397"/>
      <c r="DC88" s="1397"/>
      <c r="DD88" s="1397"/>
      <c r="DE88" s="1397"/>
      <c r="DF88" s="1397"/>
      <c r="DG88" s="846"/>
      <c r="DH88" s="846"/>
      <c r="DI88" s="846"/>
      <c r="DJ88" s="846"/>
      <c r="DK88" s="1222"/>
      <c r="DL88" s="1222"/>
      <c r="DM88" s="1222"/>
      <c r="DN88" s="1222"/>
      <c r="DO88" s="1222"/>
    </row>
    <row r="89" spans="1:126" outlineLevel="1" x14ac:dyDescent="0.2">
      <c r="D89" s="361"/>
      <c r="E89" s="249"/>
      <c r="F89" s="249"/>
      <c r="H89" s="361"/>
      <c r="I89" s="249"/>
      <c r="J89" s="249"/>
      <c r="L89" s="361"/>
      <c r="M89" s="249"/>
      <c r="N89" s="249"/>
      <c r="P89" s="361"/>
      <c r="Q89" s="249"/>
      <c r="R89" s="249"/>
      <c r="T89" s="361"/>
      <c r="U89" s="249"/>
      <c r="V89" s="249"/>
      <c r="X89" s="361"/>
      <c r="Y89" s="249"/>
      <c r="Z89" s="249"/>
      <c r="AB89" s="361"/>
      <c r="AC89" s="249"/>
      <c r="AD89" s="249"/>
      <c r="AF89" s="361"/>
      <c r="AG89" s="249"/>
      <c r="AH89" s="249"/>
      <c r="AJ89" s="361"/>
      <c r="AK89" s="249"/>
      <c r="AL89" s="249"/>
      <c r="AN89" s="361"/>
      <c r="AO89" s="249"/>
      <c r="AP89" s="249"/>
      <c r="AR89" s="361"/>
      <c r="AS89" s="249"/>
      <c r="AT89" s="249"/>
      <c r="AV89" s="361"/>
      <c r="AW89" s="249"/>
      <c r="AX89" s="249"/>
      <c r="AZ89" s="361"/>
      <c r="BA89" s="249"/>
      <c r="BB89" s="249"/>
      <c r="BD89" s="361"/>
      <c r="BE89" s="249"/>
      <c r="BF89" s="249"/>
      <c r="BH89" s="361"/>
      <c r="BI89" s="249"/>
      <c r="BJ89" s="249"/>
      <c r="BL89" s="361"/>
      <c r="BM89" s="249"/>
      <c r="BN89" s="249"/>
      <c r="BP89" s="362"/>
      <c r="BT89" s="362"/>
      <c r="BX89" s="362"/>
      <c r="CB89" s="362"/>
      <c r="CF89" s="362"/>
      <c r="CJ89" s="362"/>
      <c r="CP89" s="249"/>
      <c r="CT89" s="249"/>
      <c r="CX89" s="249"/>
      <c r="DB89" s="249"/>
      <c r="DF89" s="249"/>
      <c r="DH89" s="530"/>
      <c r="DJ89" s="249"/>
      <c r="DL89" s="530"/>
      <c r="DN89" s="249"/>
      <c r="DO89" s="249"/>
    </row>
    <row r="90" spans="1:126" outlineLevel="1" x14ac:dyDescent="0.2">
      <c r="A90" s="517" t="s">
        <v>78</v>
      </c>
      <c r="D90" s="530">
        <v>11.9</v>
      </c>
      <c r="E90" s="531"/>
      <c r="F90" s="538"/>
      <c r="H90" s="530">
        <v>11.862</v>
      </c>
      <c r="I90" s="531"/>
      <c r="J90" s="539"/>
      <c r="L90" s="530">
        <v>11.731999999999999</v>
      </c>
      <c r="M90" s="531"/>
      <c r="N90" s="539"/>
      <c r="P90" s="530">
        <v>9.8699999999999992</v>
      </c>
      <c r="Q90" s="531"/>
      <c r="R90" s="539"/>
      <c r="T90" s="530">
        <v>7.9420000000000002</v>
      </c>
      <c r="U90" s="531"/>
      <c r="V90" s="539"/>
      <c r="X90" s="530">
        <v>7.673</v>
      </c>
      <c r="Y90" s="531"/>
      <c r="Z90" s="539"/>
      <c r="AB90" s="530">
        <v>9.3940000000000001</v>
      </c>
      <c r="AC90" s="531"/>
      <c r="AD90" s="539"/>
      <c r="AF90" s="530">
        <v>7.51</v>
      </c>
      <c r="AG90" s="531"/>
      <c r="AH90" s="539"/>
      <c r="AJ90" s="530">
        <v>10.231999999999999</v>
      </c>
      <c r="AK90" s="531"/>
      <c r="AL90" s="539"/>
      <c r="AN90" s="530">
        <v>12.009</v>
      </c>
      <c r="AO90" s="531"/>
      <c r="AP90" s="539"/>
      <c r="AR90" s="530">
        <v>13.295999999999999</v>
      </c>
      <c r="AS90" s="531"/>
      <c r="AT90" s="539"/>
      <c r="AV90" s="530">
        <v>19.504000000000001</v>
      </c>
      <c r="AW90" s="531"/>
      <c r="AX90" s="539"/>
      <c r="AZ90" s="530">
        <v>20.048999999999999</v>
      </c>
      <c r="BA90" s="531"/>
      <c r="BB90" s="539"/>
      <c r="BD90" s="530">
        <v>20.228000000000002</v>
      </c>
      <c r="BE90" s="531"/>
      <c r="BF90" s="539"/>
      <c r="BH90" s="530">
        <v>36.683999999999997</v>
      </c>
      <c r="BI90" s="531"/>
      <c r="BJ90" s="539"/>
      <c r="BL90" s="530">
        <v>12.638999999999999</v>
      </c>
      <c r="BM90" s="531"/>
      <c r="BN90" s="539"/>
      <c r="BP90" s="530">
        <v>10.750999999999999</v>
      </c>
      <c r="BQ90" s="531"/>
      <c r="BR90" s="539"/>
      <c r="BT90" s="530">
        <v>7.2119999999999997</v>
      </c>
      <c r="BU90" s="531"/>
      <c r="BV90" s="539"/>
      <c r="BX90" s="530">
        <v>31</v>
      </c>
      <c r="BY90" s="531"/>
      <c r="BZ90" s="539"/>
      <c r="CB90" s="530">
        <v>31</v>
      </c>
      <c r="CC90" s="531"/>
      <c r="CD90" s="539"/>
      <c r="CF90" s="1164">
        <v>31</v>
      </c>
      <c r="CG90" s="531"/>
      <c r="CH90" s="539"/>
      <c r="CJ90" s="1164">
        <v>31</v>
      </c>
      <c r="CK90" s="531"/>
      <c r="CL90" s="539"/>
      <c r="CN90" s="1164">
        <v>40</v>
      </c>
      <c r="CO90" s="531"/>
      <c r="CP90" s="538"/>
      <c r="CR90" s="1164">
        <v>39</v>
      </c>
      <c r="CS90" s="531"/>
      <c r="CT90" s="538"/>
      <c r="CV90" s="1164">
        <v>35</v>
      </c>
      <c r="CW90" s="531"/>
      <c r="CX90" s="538"/>
      <c r="CZ90" s="1164">
        <v>33</v>
      </c>
      <c r="DA90" s="531"/>
      <c r="DB90" s="538"/>
      <c r="DD90" s="1164">
        <v>31</v>
      </c>
      <c r="DE90" s="531"/>
      <c r="DF90" s="538"/>
      <c r="DH90" s="1164">
        <v>48</v>
      </c>
      <c r="DI90" s="531"/>
      <c r="DJ90" s="538"/>
      <c r="DL90" s="1174">
        <v>25</v>
      </c>
      <c r="DM90" s="531"/>
      <c r="DN90" s="538"/>
      <c r="DO90" s="538"/>
    </row>
    <row r="91" spans="1:126" outlineLevel="1" x14ac:dyDescent="0.2">
      <c r="A91" s="517" t="s">
        <v>79</v>
      </c>
      <c r="D91" s="533">
        <v>12.4</v>
      </c>
      <c r="E91" s="531"/>
      <c r="F91" s="538"/>
      <c r="H91" s="533">
        <v>11.743</v>
      </c>
      <c r="I91" s="531"/>
      <c r="J91" s="539"/>
      <c r="L91" s="533">
        <v>11.366</v>
      </c>
      <c r="M91" s="531"/>
      <c r="N91" s="539"/>
      <c r="P91" s="533">
        <v>9.8160000000000007</v>
      </c>
      <c r="Q91" s="531"/>
      <c r="R91" s="539"/>
      <c r="T91" s="533">
        <v>7.2060000000000004</v>
      </c>
      <c r="U91" s="531"/>
      <c r="V91" s="539"/>
      <c r="X91" s="533">
        <v>9.6389999999999993</v>
      </c>
      <c r="Y91" s="531"/>
      <c r="Z91" s="539"/>
      <c r="AB91" s="533">
        <v>10.333</v>
      </c>
      <c r="AC91" s="531"/>
      <c r="AD91" s="539"/>
      <c r="AF91" s="533">
        <v>8.4030000000000005</v>
      </c>
      <c r="AG91" s="531"/>
      <c r="AH91" s="539"/>
      <c r="AJ91" s="533">
        <v>11.054</v>
      </c>
      <c r="AK91" s="531"/>
      <c r="AL91" s="539"/>
      <c r="AN91" s="533">
        <v>12.483000000000001</v>
      </c>
      <c r="AO91" s="531"/>
      <c r="AP91" s="539"/>
      <c r="AR91" s="533">
        <v>14.295999999999999</v>
      </c>
      <c r="AS91" s="531"/>
      <c r="AT91" s="539"/>
      <c r="AV91" s="533">
        <v>19.279</v>
      </c>
      <c r="AW91" s="531"/>
      <c r="AX91" s="539"/>
      <c r="AZ91" s="533">
        <v>19.605</v>
      </c>
      <c r="BA91" s="531"/>
      <c r="BB91" s="539"/>
      <c r="BD91" s="533">
        <v>26.134</v>
      </c>
      <c r="BE91" s="531"/>
      <c r="BF91" s="539"/>
      <c r="BH91" s="533">
        <v>14.090999999999999</v>
      </c>
      <c r="BI91" s="531"/>
      <c r="BJ91" s="539"/>
      <c r="BL91" s="533">
        <v>10.904</v>
      </c>
      <c r="BM91" s="531"/>
      <c r="BN91" s="539"/>
      <c r="BP91" s="533">
        <v>12.782999999999999</v>
      </c>
      <c r="BQ91" s="531"/>
      <c r="BR91" s="539"/>
      <c r="BT91" s="533">
        <v>16.811</v>
      </c>
      <c r="BU91" s="531"/>
      <c r="BV91" s="539"/>
      <c r="BX91" s="533">
        <v>34</v>
      </c>
      <c r="BY91" s="531"/>
      <c r="BZ91" s="539"/>
      <c r="CB91" s="533">
        <v>36</v>
      </c>
      <c r="CC91" s="531"/>
      <c r="CD91" s="539"/>
      <c r="CF91" s="1165">
        <v>32</v>
      </c>
      <c r="CG91" s="531"/>
      <c r="CH91" s="539"/>
      <c r="CJ91" s="1165">
        <v>30</v>
      </c>
      <c r="CK91" s="531"/>
      <c r="CL91" s="539"/>
      <c r="CN91" s="1165">
        <v>40</v>
      </c>
      <c r="CO91" s="531"/>
      <c r="CP91" s="538"/>
      <c r="CR91" s="1165">
        <v>37</v>
      </c>
      <c r="CS91" s="531"/>
      <c r="CT91" s="538"/>
      <c r="CV91" s="1165">
        <v>35</v>
      </c>
      <c r="CW91" s="531"/>
      <c r="CX91" s="538"/>
      <c r="CZ91" s="1165">
        <v>32</v>
      </c>
      <c r="DA91" s="531"/>
      <c r="DB91" s="538"/>
      <c r="DD91" s="1165">
        <v>30</v>
      </c>
      <c r="DE91" s="531"/>
      <c r="DF91" s="538"/>
      <c r="DH91" s="1165">
        <v>29</v>
      </c>
      <c r="DI91" s="531"/>
      <c r="DJ91" s="538"/>
      <c r="DL91" s="1174">
        <v>25</v>
      </c>
      <c r="DM91" s="531"/>
      <c r="DN91" s="538"/>
      <c r="DO91" s="538"/>
    </row>
    <row r="92" spans="1:126" outlineLevel="1" x14ac:dyDescent="0.2">
      <c r="A92" s="517" t="s">
        <v>80</v>
      </c>
      <c r="D92" s="533">
        <v>13.9</v>
      </c>
      <c r="E92" s="531"/>
      <c r="F92" s="538"/>
      <c r="H92" s="533">
        <v>12.063000000000001</v>
      </c>
      <c r="I92" s="531"/>
      <c r="J92" s="539"/>
      <c r="L92" s="533">
        <v>10.913</v>
      </c>
      <c r="M92" s="531"/>
      <c r="N92" s="539"/>
      <c r="P92" s="533">
        <v>9.3290000000000006</v>
      </c>
      <c r="Q92" s="531"/>
      <c r="R92" s="539"/>
      <c r="T92" s="533">
        <v>7.7050000000000001</v>
      </c>
      <c r="U92" s="531"/>
      <c r="V92" s="539"/>
      <c r="X92" s="533">
        <v>10.849</v>
      </c>
      <c r="Y92" s="531"/>
      <c r="Z92" s="539"/>
      <c r="AB92" s="533">
        <v>9.1509999999999998</v>
      </c>
      <c r="AC92" s="531"/>
      <c r="AD92" s="539"/>
      <c r="AF92" s="533">
        <v>7.6589999999999998</v>
      </c>
      <c r="AG92" s="531"/>
      <c r="AH92" s="539"/>
      <c r="AJ92" s="533">
        <v>12.715</v>
      </c>
      <c r="AK92" s="531"/>
      <c r="AL92" s="539"/>
      <c r="AN92" s="533">
        <v>13.090999999999999</v>
      </c>
      <c r="AO92" s="531"/>
      <c r="AP92" s="539"/>
      <c r="AR92" s="533">
        <v>15.994999999999999</v>
      </c>
      <c r="AS92" s="531"/>
      <c r="AT92" s="539"/>
      <c r="AV92" s="533">
        <v>17.934000000000001</v>
      </c>
      <c r="AW92" s="531"/>
      <c r="AX92" s="539"/>
      <c r="AZ92" s="533">
        <v>20.832000000000001</v>
      </c>
      <c r="BA92" s="531"/>
      <c r="BB92" s="539"/>
      <c r="BD92" s="533">
        <v>26.681000000000001</v>
      </c>
      <c r="BE92" s="531"/>
      <c r="BF92" s="539"/>
      <c r="BH92" s="533">
        <v>13.484999999999999</v>
      </c>
      <c r="BI92" s="531"/>
      <c r="BJ92" s="539"/>
      <c r="BL92" s="533">
        <v>10.247999999999999</v>
      </c>
      <c r="BM92" s="531"/>
      <c r="BN92" s="539"/>
      <c r="BP92" s="533">
        <v>11.419</v>
      </c>
      <c r="BQ92" s="531"/>
      <c r="BR92" s="539"/>
      <c r="BT92" s="533">
        <v>20.408000000000001</v>
      </c>
      <c r="BU92" s="531"/>
      <c r="BV92" s="539"/>
      <c r="BX92" s="533">
        <v>33</v>
      </c>
      <c r="BY92" s="531"/>
      <c r="BZ92" s="539"/>
      <c r="CB92" s="533">
        <v>38</v>
      </c>
      <c r="CC92" s="531"/>
      <c r="CD92" s="539"/>
      <c r="CF92" s="1165">
        <v>31</v>
      </c>
      <c r="CG92" s="531"/>
      <c r="CH92" s="539"/>
      <c r="CJ92" s="1165">
        <v>31</v>
      </c>
      <c r="CK92" s="531"/>
      <c r="CL92" s="539"/>
      <c r="CN92" s="1165">
        <v>38</v>
      </c>
      <c r="CO92" s="531"/>
      <c r="CP92" s="538"/>
      <c r="CR92" s="1165">
        <v>35</v>
      </c>
      <c r="CS92" s="531"/>
      <c r="CT92" s="538"/>
      <c r="CV92" s="1165">
        <v>34</v>
      </c>
      <c r="CW92" s="531"/>
      <c r="CX92" s="538"/>
      <c r="CZ92" s="1165">
        <v>30</v>
      </c>
      <c r="DA92" s="531"/>
      <c r="DB92" s="538"/>
      <c r="DD92" s="1165">
        <v>30</v>
      </c>
      <c r="DE92" s="531"/>
      <c r="DF92" s="538"/>
      <c r="DH92" s="1165">
        <v>28</v>
      </c>
      <c r="DI92" s="531"/>
      <c r="DJ92" s="538"/>
      <c r="DL92" s="1174">
        <v>25</v>
      </c>
      <c r="DM92" s="531"/>
      <c r="DN92" s="538"/>
      <c r="DO92" s="538"/>
    </row>
    <row r="93" spans="1:126" outlineLevel="1" x14ac:dyDescent="0.2">
      <c r="A93" s="517" t="s">
        <v>81</v>
      </c>
      <c r="D93" s="534">
        <v>14.028</v>
      </c>
      <c r="E93" s="531"/>
      <c r="F93" s="538"/>
      <c r="H93" s="534">
        <v>13.438000000000001</v>
      </c>
      <c r="I93" s="531"/>
      <c r="J93" s="539"/>
      <c r="L93" s="534">
        <v>10.798999999999999</v>
      </c>
      <c r="M93" s="531"/>
      <c r="N93" s="539"/>
      <c r="P93" s="534">
        <v>8.6310000000000002</v>
      </c>
      <c r="Q93" s="531"/>
      <c r="R93" s="539"/>
      <c r="T93" s="534">
        <v>7.8109999999999999</v>
      </c>
      <c r="U93" s="531"/>
      <c r="V93" s="539"/>
      <c r="X93" s="534">
        <v>10.768000000000001</v>
      </c>
      <c r="Y93" s="531"/>
      <c r="Z93" s="539"/>
      <c r="AB93" s="534">
        <v>8.17</v>
      </c>
      <c r="AC93" s="531"/>
      <c r="AD93" s="539"/>
      <c r="AF93" s="534">
        <v>10.678000000000001</v>
      </c>
      <c r="AG93" s="531"/>
      <c r="AH93" s="539"/>
      <c r="AJ93" s="534">
        <v>13.09</v>
      </c>
      <c r="AK93" s="531"/>
      <c r="AL93" s="539"/>
      <c r="AN93" s="534">
        <v>12.813000000000001</v>
      </c>
      <c r="AO93" s="531"/>
      <c r="AP93" s="539"/>
      <c r="AR93" s="534">
        <v>19.111000000000001</v>
      </c>
      <c r="AS93" s="531"/>
      <c r="AT93" s="539"/>
      <c r="AV93" s="534">
        <v>18.321000000000002</v>
      </c>
      <c r="AW93" s="531"/>
      <c r="AX93" s="539"/>
      <c r="AZ93" s="534">
        <v>21.434999999999999</v>
      </c>
      <c r="BA93" s="531"/>
      <c r="BB93" s="539"/>
      <c r="BD93" s="534">
        <v>17.908999999999999</v>
      </c>
      <c r="BE93" s="531"/>
      <c r="BF93" s="539"/>
      <c r="BH93" s="534">
        <v>13.167999999999999</v>
      </c>
      <c r="BI93" s="531"/>
      <c r="BJ93" s="539"/>
      <c r="BL93" s="534">
        <v>11.509</v>
      </c>
      <c r="BM93" s="531"/>
      <c r="BN93" s="539"/>
      <c r="BP93" s="534">
        <v>7.8049999999999997</v>
      </c>
      <c r="BQ93" s="531"/>
      <c r="BR93" s="539"/>
      <c r="BT93" s="534">
        <v>30</v>
      </c>
      <c r="BU93" s="531"/>
      <c r="BV93" s="539"/>
      <c r="BX93" s="534">
        <v>33</v>
      </c>
      <c r="BY93" s="531"/>
      <c r="BZ93" s="539"/>
      <c r="CB93" s="534">
        <v>33</v>
      </c>
      <c r="CC93" s="531"/>
      <c r="CD93" s="539"/>
      <c r="CF93" s="1166">
        <v>33</v>
      </c>
      <c r="CG93" s="531"/>
      <c r="CH93" s="539"/>
      <c r="CJ93" s="1166">
        <v>38</v>
      </c>
      <c r="CK93" s="531"/>
      <c r="CL93" s="539"/>
      <c r="CN93" s="1166">
        <v>42</v>
      </c>
      <c r="CO93" s="544"/>
      <c r="CP93" s="538"/>
      <c r="CR93" s="1166">
        <v>50</v>
      </c>
      <c r="CS93" s="531"/>
      <c r="CT93" s="538"/>
      <c r="CV93" s="1166">
        <v>34</v>
      </c>
      <c r="CW93" s="531"/>
      <c r="CX93" s="538"/>
      <c r="CZ93" s="1166">
        <v>30</v>
      </c>
      <c r="DA93" s="531"/>
      <c r="DB93" s="538"/>
      <c r="DD93" s="1166">
        <v>31</v>
      </c>
      <c r="DE93" s="531"/>
      <c r="DF93" s="538"/>
      <c r="DH93" s="1166">
        <v>31</v>
      </c>
      <c r="DI93" s="531"/>
      <c r="DJ93" s="538"/>
      <c r="DL93" s="1175">
        <v>30</v>
      </c>
      <c r="DM93" s="531"/>
      <c r="DN93" s="538"/>
      <c r="DO93" s="538"/>
    </row>
    <row r="94" spans="1:126" outlineLevel="1" x14ac:dyDescent="0.2">
      <c r="A94" s="517" t="s">
        <v>82</v>
      </c>
      <c r="D94" s="533">
        <v>52.228000000000002</v>
      </c>
      <c r="E94" s="531"/>
      <c r="F94" s="538"/>
      <c r="H94" s="533">
        <v>49.106000000000002</v>
      </c>
      <c r="I94" s="531"/>
      <c r="J94" s="539"/>
      <c r="L94" s="533">
        <v>44.81</v>
      </c>
      <c r="M94" s="531"/>
      <c r="N94" s="539"/>
      <c r="P94" s="533">
        <v>37.646000000000001</v>
      </c>
      <c r="Q94" s="531"/>
      <c r="R94" s="539"/>
      <c r="T94" s="533">
        <v>30.664000000000001</v>
      </c>
      <c r="U94" s="531"/>
      <c r="V94" s="539"/>
      <c r="X94" s="533">
        <v>38.929000000000002</v>
      </c>
      <c r="Y94" s="531"/>
      <c r="Z94" s="539"/>
      <c r="AB94" s="533">
        <v>37.048000000000002</v>
      </c>
      <c r="AC94" s="531"/>
      <c r="AD94" s="539"/>
      <c r="AF94" s="533">
        <v>34.25</v>
      </c>
      <c r="AG94" s="531"/>
      <c r="AH94" s="539"/>
      <c r="AJ94" s="533">
        <v>47.091000000000008</v>
      </c>
      <c r="AK94" s="531"/>
      <c r="AL94" s="539"/>
      <c r="AN94" s="533">
        <v>50.396000000000001</v>
      </c>
      <c r="AO94" s="531"/>
      <c r="AP94" s="539"/>
      <c r="AR94" s="533">
        <v>62.697999999999993</v>
      </c>
      <c r="AS94" s="531"/>
      <c r="AT94" s="539"/>
      <c r="AV94" s="533">
        <v>75.037999999999997</v>
      </c>
      <c r="AW94" s="531"/>
      <c r="AX94" s="539"/>
      <c r="AZ94" s="533">
        <v>81.920999999999992</v>
      </c>
      <c r="BA94" s="531"/>
      <c r="BB94" s="539"/>
      <c r="BD94" s="533">
        <v>90.951999999999998</v>
      </c>
      <c r="BE94" s="531"/>
      <c r="BF94" s="539"/>
      <c r="BH94" s="533">
        <v>77.427999999999997</v>
      </c>
      <c r="BI94" s="531"/>
      <c r="BJ94" s="539"/>
      <c r="BL94" s="533">
        <v>45.3</v>
      </c>
      <c r="BM94" s="531"/>
      <c r="BN94" s="539"/>
      <c r="BP94" s="533">
        <v>42.758000000000003</v>
      </c>
      <c r="BQ94" s="531"/>
      <c r="BR94" s="539"/>
      <c r="BT94" s="533">
        <v>74.430999999999997</v>
      </c>
      <c r="BU94" s="531"/>
      <c r="BV94" s="539"/>
      <c r="BX94" s="533">
        <v>131</v>
      </c>
      <c r="BY94" s="531"/>
      <c r="BZ94" s="539"/>
      <c r="CB94" s="533">
        <v>138</v>
      </c>
      <c r="CC94" s="531"/>
      <c r="CD94" s="539"/>
      <c r="CF94" s="1165">
        <v>127</v>
      </c>
      <c r="CG94" s="531"/>
      <c r="CH94" s="539"/>
      <c r="CJ94" s="1165">
        <v>130</v>
      </c>
      <c r="CK94" s="531"/>
      <c r="CL94" s="539"/>
      <c r="CN94" s="1165">
        <f>SUM(CN90:CN93)</f>
        <v>160</v>
      </c>
      <c r="CO94" s="531"/>
      <c r="CP94" s="538"/>
      <c r="CR94" s="1165">
        <f>SUM(CR90:CR93)</f>
        <v>161</v>
      </c>
      <c r="CS94" s="559">
        <f>CR94/CN94-1</f>
        <v>6.2500000000000888E-3</v>
      </c>
      <c r="CT94" s="538"/>
      <c r="CV94" s="1165">
        <f>SUM(CV90:CV93)</f>
        <v>138</v>
      </c>
      <c r="CW94" s="559">
        <f>CV94/CR94-1</f>
        <v>-0.1428571428571429</v>
      </c>
      <c r="CX94" s="538"/>
      <c r="CZ94" s="1165">
        <f>SUM(CZ90:CZ93)</f>
        <v>125</v>
      </c>
      <c r="DA94" s="559"/>
      <c r="DB94" s="538"/>
      <c r="DD94" s="1165">
        <f>SUM(DD90:DD93)</f>
        <v>122</v>
      </c>
      <c r="DE94" s="559"/>
      <c r="DF94" s="538"/>
      <c r="DH94" s="1165">
        <f>SUM(DH90:DH93)</f>
        <v>136</v>
      </c>
      <c r="DI94" s="559"/>
      <c r="DJ94" s="538"/>
      <c r="DL94" s="1182">
        <f>SUM(DL90:DL93)</f>
        <v>105</v>
      </c>
      <c r="DM94" s="559"/>
      <c r="DN94" s="538"/>
      <c r="DO94" s="538"/>
    </row>
    <row r="95" spans="1:126" outlineLevel="1" x14ac:dyDescent="0.2">
      <c r="A95" s="517" t="s">
        <v>281</v>
      </c>
      <c r="D95" s="524">
        <f>D90+D91</f>
        <v>24.3</v>
      </c>
      <c r="E95" s="531"/>
      <c r="F95" s="538"/>
      <c r="H95" s="524">
        <f>H90+H91</f>
        <v>23.605</v>
      </c>
      <c r="I95" s="531"/>
      <c r="J95" s="539"/>
      <c r="L95" s="524">
        <f>L90+L91</f>
        <v>23.097999999999999</v>
      </c>
      <c r="M95" s="531"/>
      <c r="N95" s="539"/>
      <c r="P95" s="524">
        <f>P90+P91</f>
        <v>19.686</v>
      </c>
      <c r="Q95" s="531"/>
      <c r="R95" s="539"/>
      <c r="T95" s="524">
        <f>T90+T91</f>
        <v>15.148</v>
      </c>
      <c r="U95" s="531"/>
      <c r="V95" s="539"/>
      <c r="X95" s="524">
        <f>X90+X91</f>
        <v>17.311999999999998</v>
      </c>
      <c r="Y95" s="531"/>
      <c r="Z95" s="539"/>
      <c r="AB95" s="524">
        <f>AB90+AB91</f>
        <v>19.727</v>
      </c>
      <c r="AC95" s="531"/>
      <c r="AD95" s="539"/>
      <c r="AF95" s="524">
        <f>AF90+AF91</f>
        <v>15.913</v>
      </c>
      <c r="AG95" s="531"/>
      <c r="AH95" s="539"/>
      <c r="AJ95" s="524">
        <f>AJ90+AJ91</f>
        <v>21.286000000000001</v>
      </c>
      <c r="AK95" s="531"/>
      <c r="AL95" s="539"/>
      <c r="AN95" s="524">
        <f>AN90+AN91</f>
        <v>24.492000000000001</v>
      </c>
      <c r="AO95" s="531"/>
      <c r="AP95" s="539"/>
      <c r="AR95" s="524">
        <f>AR90+AR91</f>
        <v>27.591999999999999</v>
      </c>
      <c r="AS95" s="531"/>
      <c r="AT95" s="539"/>
      <c r="AV95" s="524">
        <f>AV90+AV91</f>
        <v>38.783000000000001</v>
      </c>
      <c r="AW95" s="531"/>
      <c r="AX95" s="539"/>
      <c r="AZ95" s="524">
        <f>AZ90+AZ91</f>
        <v>39.653999999999996</v>
      </c>
      <c r="BA95" s="531"/>
      <c r="BB95" s="539"/>
      <c r="BD95" s="524">
        <f>BD90+BD91</f>
        <v>46.362000000000002</v>
      </c>
      <c r="BE95" s="531"/>
      <c r="BF95" s="539"/>
      <c r="BH95" s="524">
        <f>BH90+BH91</f>
        <v>50.774999999999999</v>
      </c>
      <c r="BI95" s="531"/>
      <c r="BJ95" s="539"/>
      <c r="BL95" s="524">
        <f>BL90+BL91</f>
        <v>23.542999999999999</v>
      </c>
      <c r="BM95" s="531"/>
      <c r="BN95" s="539"/>
      <c r="BP95" s="524">
        <f>BP90+BP91</f>
        <v>23.533999999999999</v>
      </c>
      <c r="BQ95" s="531"/>
      <c r="BR95" s="539"/>
      <c r="BT95" s="524">
        <f>BT90+BT91</f>
        <v>24.023</v>
      </c>
      <c r="BU95" s="531"/>
      <c r="BV95" s="539"/>
      <c r="BX95" s="524">
        <f>BX90+BX91</f>
        <v>65</v>
      </c>
      <c r="BY95" s="531"/>
      <c r="BZ95" s="539"/>
      <c r="CB95" s="524">
        <f>CB90+CB91</f>
        <v>67</v>
      </c>
      <c r="CC95" s="531"/>
      <c r="CD95" s="539"/>
      <c r="CF95" s="524">
        <f>CF90+CF91</f>
        <v>63</v>
      </c>
      <c r="CG95" s="531"/>
      <c r="CH95" s="539"/>
      <c r="CJ95" s="524">
        <f>CJ90+CJ91</f>
        <v>61</v>
      </c>
      <c r="CK95" s="531"/>
      <c r="CL95" s="539"/>
      <c r="CN95" s="524">
        <f>CN90+CN91</f>
        <v>80</v>
      </c>
      <c r="CO95" s="531"/>
      <c r="CP95" s="538"/>
      <c r="CR95" s="524">
        <f>CR90+CR91</f>
        <v>76</v>
      </c>
      <c r="CS95" s="531"/>
      <c r="CT95" s="538"/>
      <c r="CV95" s="524">
        <f>CV90+CV91</f>
        <v>70</v>
      </c>
      <c r="CW95" s="531"/>
      <c r="CX95" s="538"/>
      <c r="CZ95" s="524">
        <f>CZ90+CZ91</f>
        <v>65</v>
      </c>
      <c r="DA95" s="531"/>
      <c r="DB95" s="538"/>
      <c r="DD95" s="524">
        <f>DD90+DD91</f>
        <v>61</v>
      </c>
      <c r="DE95" s="531"/>
      <c r="DF95" s="538"/>
      <c r="DH95" s="524">
        <f>DH90+DH91</f>
        <v>77</v>
      </c>
      <c r="DI95" s="531"/>
      <c r="DJ95" s="538"/>
      <c r="DL95" s="524">
        <f>DL90+DL91</f>
        <v>50</v>
      </c>
      <c r="DM95" s="531"/>
      <c r="DN95" s="538"/>
      <c r="DO95" s="538"/>
    </row>
    <row r="96" spans="1:126" outlineLevel="1" x14ac:dyDescent="0.2">
      <c r="A96" s="517" t="s">
        <v>282</v>
      </c>
      <c r="D96" s="524">
        <f>D93+D92</f>
        <v>27.928000000000001</v>
      </c>
      <c r="E96" s="531"/>
      <c r="F96" s="538"/>
      <c r="H96" s="524">
        <f>H93+H92</f>
        <v>25.501000000000001</v>
      </c>
      <c r="I96" s="531"/>
      <c r="J96" s="539"/>
      <c r="L96" s="524">
        <f>L93+L92</f>
        <v>21.712</v>
      </c>
      <c r="M96" s="531"/>
      <c r="N96" s="539"/>
      <c r="P96" s="524">
        <f>P93+P92</f>
        <v>17.96</v>
      </c>
      <c r="Q96" s="531"/>
      <c r="R96" s="539"/>
      <c r="T96" s="524">
        <f>T93+T92</f>
        <v>15.516</v>
      </c>
      <c r="U96" s="531"/>
      <c r="V96" s="539"/>
      <c r="X96" s="524">
        <f>X93+X92</f>
        <v>21.617000000000001</v>
      </c>
      <c r="Y96" s="531"/>
      <c r="Z96" s="539"/>
      <c r="AB96" s="524">
        <f>AB93+AB92</f>
        <v>17.320999999999998</v>
      </c>
      <c r="AC96" s="531"/>
      <c r="AD96" s="539"/>
      <c r="AF96" s="524">
        <f>AF93+AF92</f>
        <v>18.337</v>
      </c>
      <c r="AG96" s="531"/>
      <c r="AH96" s="539"/>
      <c r="AJ96" s="524">
        <f>AJ93+AJ92</f>
        <v>25.805</v>
      </c>
      <c r="AK96" s="531"/>
      <c r="AL96" s="539"/>
      <c r="AN96" s="524">
        <f>AN93+AN92</f>
        <v>25.904</v>
      </c>
      <c r="AO96" s="531"/>
      <c r="AP96" s="539"/>
      <c r="AR96" s="524">
        <f>AR93+AR92</f>
        <v>35.106000000000002</v>
      </c>
      <c r="AS96" s="531"/>
      <c r="AT96" s="539"/>
      <c r="AV96" s="524">
        <f>AV93+AV92</f>
        <v>36.255000000000003</v>
      </c>
      <c r="AW96" s="531"/>
      <c r="AX96" s="539"/>
      <c r="AZ96" s="524">
        <f>AZ93+AZ92</f>
        <v>42.266999999999996</v>
      </c>
      <c r="BA96" s="531"/>
      <c r="BB96" s="539"/>
      <c r="BD96" s="524">
        <f>BD93+BD92</f>
        <v>44.59</v>
      </c>
      <c r="BE96" s="531"/>
      <c r="BF96" s="539"/>
      <c r="BH96" s="524">
        <f>BH93+BH92</f>
        <v>26.652999999999999</v>
      </c>
      <c r="BI96" s="531"/>
      <c r="BJ96" s="539"/>
      <c r="BL96" s="524">
        <f>BL93+BL92</f>
        <v>21.756999999999998</v>
      </c>
      <c r="BM96" s="531"/>
      <c r="BN96" s="539"/>
      <c r="BP96" s="524">
        <f>BP93+BP92</f>
        <v>19.224</v>
      </c>
      <c r="BQ96" s="531"/>
      <c r="BR96" s="539"/>
      <c r="BT96" s="524">
        <f>BT93+BT92</f>
        <v>50.408000000000001</v>
      </c>
      <c r="BU96" s="531"/>
      <c r="BV96" s="539"/>
      <c r="BX96" s="524">
        <f>BX93+BX92</f>
        <v>66</v>
      </c>
      <c r="BY96" s="531"/>
      <c r="BZ96" s="539"/>
      <c r="CB96" s="524">
        <f>CB93+CB92</f>
        <v>71</v>
      </c>
      <c r="CC96" s="531"/>
      <c r="CD96" s="539"/>
      <c r="CF96" s="524">
        <f>CF93+CF92</f>
        <v>64</v>
      </c>
      <c r="CG96" s="531"/>
      <c r="CH96" s="539"/>
      <c r="CJ96" s="524">
        <f>CJ93+CJ92</f>
        <v>69</v>
      </c>
      <c r="CK96" s="531"/>
      <c r="CL96" s="539"/>
      <c r="CN96" s="524">
        <f>CN93+CN92</f>
        <v>80</v>
      </c>
      <c r="CO96" s="531"/>
      <c r="CP96" s="538"/>
      <c r="CR96" s="524">
        <f>CR93+CR92</f>
        <v>85</v>
      </c>
      <c r="CS96" s="531"/>
      <c r="CT96" s="538"/>
      <c r="CV96" s="524">
        <f>CV93+CV92</f>
        <v>68</v>
      </c>
      <c r="CW96" s="531"/>
      <c r="CX96" s="538"/>
      <c r="CZ96" s="524">
        <f>CZ93+CZ92</f>
        <v>60</v>
      </c>
      <c r="DA96" s="531"/>
      <c r="DB96" s="538"/>
      <c r="DD96" s="524">
        <f>DD93+DD92</f>
        <v>61</v>
      </c>
      <c r="DE96" s="531"/>
      <c r="DF96" s="538"/>
      <c r="DH96" s="524">
        <f>DH93+DH92</f>
        <v>59</v>
      </c>
      <c r="DI96" s="531"/>
      <c r="DJ96" s="538"/>
      <c r="DL96" s="524">
        <f>DL93+DL92</f>
        <v>55</v>
      </c>
      <c r="DM96" s="531"/>
      <c r="DN96" s="538"/>
      <c r="DO96" s="538"/>
    </row>
    <row r="97" spans="1:119" x14ac:dyDescent="0.2">
      <c r="D97" s="361"/>
      <c r="E97" s="249"/>
      <c r="F97" s="249"/>
      <c r="H97" s="361"/>
      <c r="I97" s="249"/>
      <c r="J97" s="249"/>
      <c r="L97" s="361"/>
      <c r="M97" s="249"/>
      <c r="N97" s="249"/>
      <c r="P97" s="361"/>
      <c r="Q97" s="249"/>
      <c r="R97" s="249"/>
      <c r="T97" s="361"/>
      <c r="U97" s="249"/>
      <c r="V97" s="249"/>
      <c r="X97" s="361"/>
      <c r="Y97" s="249"/>
      <c r="Z97" s="249"/>
      <c r="AB97" s="361"/>
      <c r="AC97" s="249"/>
      <c r="AD97" s="249"/>
      <c r="AF97" s="361"/>
      <c r="AG97" s="249"/>
      <c r="AH97" s="249"/>
      <c r="AJ97" s="361"/>
      <c r="AK97" s="249"/>
      <c r="AL97" s="249"/>
      <c r="AN97" s="361"/>
      <c r="AO97" s="249"/>
      <c r="AP97" s="249"/>
      <c r="AR97" s="361"/>
      <c r="AS97" s="249"/>
      <c r="AT97" s="249"/>
      <c r="AV97" s="361"/>
      <c r="AW97" s="249"/>
      <c r="AX97" s="249"/>
      <c r="AZ97" s="361"/>
      <c r="BA97" s="249"/>
      <c r="BB97" s="249"/>
      <c r="BD97" s="361"/>
      <c r="BE97" s="249"/>
      <c r="BF97" s="249"/>
      <c r="BH97" s="361"/>
      <c r="BI97" s="249"/>
      <c r="BJ97" s="249"/>
      <c r="BL97" s="361"/>
      <c r="BM97" s="249"/>
      <c r="BN97" s="249"/>
      <c r="BP97" s="362"/>
      <c r="BT97" s="362"/>
      <c r="BX97" s="362"/>
      <c r="CB97" s="362"/>
      <c r="CF97" s="362"/>
      <c r="CJ97" s="362"/>
      <c r="CP97" s="249"/>
      <c r="CT97" s="249"/>
      <c r="CX97" s="249"/>
      <c r="DB97" s="249"/>
      <c r="DF97" s="249"/>
      <c r="DJ97" s="249"/>
      <c r="DN97" s="249"/>
      <c r="DO97" s="249"/>
    </row>
    <row r="98" spans="1:119" s="516" customFormat="1" ht="12.75" customHeight="1" outlineLevel="2" x14ac:dyDescent="0.2">
      <c r="A98" s="515" t="s">
        <v>306</v>
      </c>
      <c r="CG98" s="1397" t="str">
        <f>A98</f>
        <v>8. Non-recurring Charges</v>
      </c>
      <c r="CH98" s="1397"/>
      <c r="CI98" s="1397"/>
      <c r="CJ98" s="1397"/>
      <c r="CK98" s="1397"/>
      <c r="CL98" s="1397"/>
      <c r="CM98" s="1397"/>
      <c r="CN98" s="1397"/>
      <c r="CO98" s="1397"/>
      <c r="CP98" s="1397"/>
      <c r="CQ98" s="1397"/>
      <c r="CR98" s="1397"/>
      <c r="CS98" s="1397"/>
      <c r="CT98" s="1397"/>
      <c r="CU98" s="1397"/>
      <c r="CV98" s="1397"/>
      <c r="CW98" s="1397"/>
      <c r="CX98" s="1397"/>
      <c r="CY98" s="1397"/>
      <c r="CZ98" s="1397"/>
      <c r="DA98" s="1397"/>
      <c r="DB98" s="1397"/>
      <c r="DC98" s="1397"/>
      <c r="DD98" s="1397"/>
      <c r="DE98" s="1397"/>
      <c r="DF98" s="1397"/>
      <c r="DG98" s="846"/>
      <c r="DH98" s="846"/>
      <c r="DI98" s="846"/>
      <c r="DJ98" s="846"/>
      <c r="DK98" s="1222"/>
      <c r="DL98" s="1222"/>
      <c r="DM98" s="1222"/>
      <c r="DN98" s="1222"/>
      <c r="DO98" s="1222"/>
    </row>
    <row r="99" spans="1:119" outlineLevel="2" x14ac:dyDescent="0.2">
      <c r="D99" s="361"/>
      <c r="E99" s="249"/>
      <c r="F99" s="249"/>
      <c r="H99" s="361"/>
      <c r="I99" s="249"/>
      <c r="J99" s="249"/>
      <c r="L99" s="361"/>
      <c r="M99" s="249"/>
      <c r="N99" s="249"/>
      <c r="P99" s="361"/>
      <c r="Q99" s="249"/>
      <c r="R99" s="249"/>
      <c r="T99" s="361"/>
      <c r="U99" s="249"/>
      <c r="V99" s="249"/>
      <c r="X99" s="361"/>
      <c r="Y99" s="249"/>
      <c r="Z99" s="249"/>
      <c r="AB99" s="361"/>
      <c r="AC99" s="249"/>
      <c r="AD99" s="249"/>
      <c r="AF99" s="361"/>
      <c r="AG99" s="249"/>
      <c r="AH99" s="249"/>
      <c r="AJ99" s="361"/>
      <c r="AK99" s="249"/>
      <c r="AL99" s="249"/>
      <c r="AN99" s="361"/>
      <c r="AO99" s="249"/>
      <c r="AP99" s="249"/>
      <c r="AR99" s="361"/>
      <c r="AS99" s="249"/>
      <c r="AT99" s="249"/>
      <c r="AV99" s="361"/>
      <c r="AW99" s="249"/>
      <c r="AX99" s="249"/>
      <c r="AZ99" s="361"/>
      <c r="BA99" s="249"/>
      <c r="BB99" s="249"/>
      <c r="BD99" s="361"/>
      <c r="BE99" s="249"/>
      <c r="BF99" s="249"/>
      <c r="BH99" s="361"/>
      <c r="BI99" s="249"/>
      <c r="BJ99" s="249"/>
      <c r="BL99" s="361"/>
      <c r="BM99" s="249"/>
      <c r="BN99" s="249"/>
      <c r="BP99" s="362"/>
      <c r="BT99" s="362"/>
      <c r="BX99" s="362"/>
      <c r="CB99" s="362"/>
      <c r="CF99" s="362"/>
      <c r="CJ99" s="362"/>
      <c r="CP99" s="249"/>
      <c r="CT99" s="249"/>
      <c r="CX99" s="249"/>
      <c r="DB99" s="249"/>
      <c r="DF99" s="249"/>
      <c r="DJ99" s="249"/>
      <c r="DN99" s="249"/>
      <c r="DO99" s="249"/>
    </row>
    <row r="100" spans="1:119" outlineLevel="2" x14ac:dyDescent="0.2">
      <c r="A100" s="517" t="s">
        <v>78</v>
      </c>
      <c r="D100" s="530">
        <v>0</v>
      </c>
      <c r="E100" s="531"/>
      <c r="F100" s="538"/>
      <c r="H100" s="530">
        <v>0</v>
      </c>
      <c r="I100" s="531"/>
      <c r="J100" s="539"/>
      <c r="L100" s="530">
        <v>0</v>
      </c>
      <c r="M100" s="531"/>
      <c r="N100" s="539"/>
      <c r="P100" s="530">
        <v>0</v>
      </c>
      <c r="Q100" s="531"/>
      <c r="R100" s="539"/>
      <c r="T100" s="530">
        <v>0</v>
      </c>
      <c r="U100" s="531"/>
      <c r="V100" s="539"/>
      <c r="X100" s="530">
        <v>0</v>
      </c>
      <c r="Y100" s="531"/>
      <c r="Z100" s="539"/>
      <c r="AB100" s="530">
        <v>0</v>
      </c>
      <c r="AC100" s="531"/>
      <c r="AD100" s="539"/>
      <c r="AF100" s="530">
        <v>0</v>
      </c>
      <c r="AG100" s="531"/>
      <c r="AH100" s="539"/>
      <c r="AJ100" s="530">
        <v>0</v>
      </c>
      <c r="AK100" s="531"/>
      <c r="AL100" s="539"/>
      <c r="AN100" s="530">
        <v>0</v>
      </c>
      <c r="AO100" s="531"/>
      <c r="AP100" s="539"/>
      <c r="AR100" s="530">
        <v>0</v>
      </c>
      <c r="AS100" s="531"/>
      <c r="AT100" s="539"/>
      <c r="AV100" s="530">
        <v>0</v>
      </c>
      <c r="AW100" s="531"/>
      <c r="AX100" s="539"/>
      <c r="AZ100" s="530">
        <v>0</v>
      </c>
      <c r="BA100" s="531"/>
      <c r="BB100" s="539"/>
      <c r="BD100" s="530">
        <v>0</v>
      </c>
      <c r="BE100" s="531"/>
      <c r="BF100" s="539"/>
      <c r="BH100" s="530">
        <v>0</v>
      </c>
      <c r="BI100" s="531"/>
      <c r="BJ100" s="539"/>
      <c r="BL100" s="530">
        <v>0</v>
      </c>
      <c r="BM100" s="531"/>
      <c r="BN100" s="539"/>
      <c r="BP100" s="530">
        <v>0</v>
      </c>
      <c r="BQ100" s="531"/>
      <c r="BR100" s="539"/>
      <c r="BT100" s="530">
        <v>0</v>
      </c>
      <c r="BU100" s="531"/>
      <c r="BV100" s="539"/>
      <c r="BX100" s="530">
        <v>0</v>
      </c>
      <c r="BY100" s="531"/>
      <c r="BZ100" s="539"/>
      <c r="CB100" s="530">
        <v>0</v>
      </c>
      <c r="CC100" s="531"/>
      <c r="CD100" s="539"/>
      <c r="CF100" s="530">
        <v>0</v>
      </c>
      <c r="CG100" s="531"/>
      <c r="CH100" s="539"/>
      <c r="CJ100" s="530">
        <v>0</v>
      </c>
      <c r="CK100" s="531"/>
      <c r="CL100" s="539"/>
      <c r="CN100" s="530">
        <v>0</v>
      </c>
      <c r="CO100" s="540"/>
      <c r="CP100" s="538"/>
      <c r="CR100" s="530">
        <v>0</v>
      </c>
      <c r="CS100" s="540"/>
      <c r="CT100" s="538"/>
      <c r="CV100" s="530">
        <v>0</v>
      </c>
      <c r="CW100" s="540"/>
      <c r="CX100" s="538"/>
      <c r="CZ100" s="530">
        <v>0</v>
      </c>
      <c r="DA100" s="540"/>
      <c r="DB100" s="538"/>
      <c r="DD100" s="530">
        <v>0</v>
      </c>
      <c r="DE100" s="540"/>
      <c r="DF100" s="538"/>
      <c r="DH100" s="849">
        <v>0</v>
      </c>
      <c r="DI100" s="540"/>
      <c r="DJ100" s="538"/>
      <c r="DL100" s="849">
        <v>0</v>
      </c>
      <c r="DM100" s="540"/>
      <c r="DN100" s="538"/>
      <c r="DO100" s="538"/>
    </row>
    <row r="101" spans="1:119" outlineLevel="2" x14ac:dyDescent="0.2">
      <c r="A101" s="517" t="s">
        <v>79</v>
      </c>
      <c r="D101" s="533">
        <v>0</v>
      </c>
      <c r="E101" s="531"/>
      <c r="F101" s="538"/>
      <c r="H101" s="533">
        <v>0</v>
      </c>
      <c r="I101" s="531"/>
      <c r="J101" s="539"/>
      <c r="L101" s="533">
        <v>0</v>
      </c>
      <c r="M101" s="531"/>
      <c r="N101" s="539"/>
      <c r="P101" s="533">
        <v>0</v>
      </c>
      <c r="Q101" s="531"/>
      <c r="R101" s="539"/>
      <c r="T101" s="533">
        <v>0</v>
      </c>
      <c r="U101" s="531"/>
      <c r="V101" s="539"/>
      <c r="X101" s="533">
        <v>0</v>
      </c>
      <c r="Y101" s="531"/>
      <c r="Z101" s="539"/>
      <c r="AB101" s="533">
        <v>0</v>
      </c>
      <c r="AC101" s="531"/>
      <c r="AD101" s="539"/>
      <c r="AF101" s="533">
        <v>0</v>
      </c>
      <c r="AG101" s="531"/>
      <c r="AH101" s="539"/>
      <c r="AJ101" s="533">
        <v>0</v>
      </c>
      <c r="AK101" s="531"/>
      <c r="AL101" s="539"/>
      <c r="AN101" s="533">
        <v>0</v>
      </c>
      <c r="AO101" s="531"/>
      <c r="AP101" s="539"/>
      <c r="AR101" s="533">
        <v>0</v>
      </c>
      <c r="AS101" s="531"/>
      <c r="AT101" s="539"/>
      <c r="AV101" s="533">
        <v>0</v>
      </c>
      <c r="AW101" s="531"/>
      <c r="AX101" s="539"/>
      <c r="AZ101" s="533">
        <v>0</v>
      </c>
      <c r="BA101" s="531"/>
      <c r="BB101" s="539"/>
      <c r="BD101" s="533">
        <v>0</v>
      </c>
      <c r="BE101" s="531"/>
      <c r="BF101" s="539"/>
      <c r="BH101" s="533">
        <v>0</v>
      </c>
      <c r="BI101" s="531"/>
      <c r="BJ101" s="539"/>
      <c r="BL101" s="533">
        <v>0</v>
      </c>
      <c r="BM101" s="531"/>
      <c r="BN101" s="539"/>
      <c r="BP101" s="533">
        <v>0</v>
      </c>
      <c r="BQ101" s="531"/>
      <c r="BR101" s="539"/>
      <c r="BT101" s="533">
        <v>0</v>
      </c>
      <c r="BU101" s="531"/>
      <c r="BV101" s="539"/>
      <c r="BX101" s="533">
        <v>0</v>
      </c>
      <c r="BY101" s="531"/>
      <c r="BZ101" s="539"/>
      <c r="CB101" s="533">
        <v>0</v>
      </c>
      <c r="CC101" s="531"/>
      <c r="CD101" s="539"/>
      <c r="CF101" s="533">
        <v>0</v>
      </c>
      <c r="CG101" s="531"/>
      <c r="CH101" s="539"/>
      <c r="CJ101" s="533">
        <v>0</v>
      </c>
      <c r="CK101" s="531"/>
      <c r="CL101" s="539"/>
      <c r="CN101" s="533">
        <v>0</v>
      </c>
      <c r="CO101" s="540"/>
      <c r="CP101" s="538"/>
      <c r="CR101" s="533">
        <v>0</v>
      </c>
      <c r="CS101" s="540"/>
      <c r="CT101" s="538"/>
      <c r="CV101" s="533">
        <v>0</v>
      </c>
      <c r="CW101" s="540"/>
      <c r="CX101" s="538"/>
      <c r="CZ101" s="533">
        <v>0</v>
      </c>
      <c r="DA101" s="540"/>
      <c r="DB101" s="538"/>
      <c r="DD101" s="533">
        <v>0</v>
      </c>
      <c r="DE101" s="540"/>
      <c r="DF101" s="538"/>
      <c r="DH101" s="525">
        <v>0</v>
      </c>
      <c r="DI101" s="540"/>
      <c r="DJ101" s="538"/>
      <c r="DL101" s="525">
        <v>0</v>
      </c>
      <c r="DM101" s="540"/>
      <c r="DN101" s="538"/>
      <c r="DO101" s="538"/>
    </row>
    <row r="102" spans="1:119" outlineLevel="2" x14ac:dyDescent="0.2">
      <c r="A102" s="517" t="s">
        <v>80</v>
      </c>
      <c r="D102" s="533">
        <v>0</v>
      </c>
      <c r="E102" s="531"/>
      <c r="F102" s="538"/>
      <c r="H102" s="533">
        <v>0</v>
      </c>
      <c r="I102" s="531"/>
      <c r="J102" s="539"/>
      <c r="L102" s="533">
        <v>0</v>
      </c>
      <c r="M102" s="531"/>
      <c r="N102" s="539"/>
      <c r="P102" s="533">
        <v>0</v>
      </c>
      <c r="Q102" s="531"/>
      <c r="R102" s="539"/>
      <c r="T102" s="533">
        <v>0</v>
      </c>
      <c r="U102" s="531"/>
      <c r="V102" s="539"/>
      <c r="X102" s="533">
        <v>0</v>
      </c>
      <c r="Y102" s="531"/>
      <c r="Z102" s="539"/>
      <c r="AB102" s="533">
        <v>0</v>
      </c>
      <c r="AC102" s="531"/>
      <c r="AD102" s="539"/>
      <c r="AF102" s="533">
        <v>0</v>
      </c>
      <c r="AG102" s="531"/>
      <c r="AH102" s="539"/>
      <c r="AJ102" s="533">
        <v>0</v>
      </c>
      <c r="AK102" s="531"/>
      <c r="AL102" s="539"/>
      <c r="AN102" s="533">
        <v>0</v>
      </c>
      <c r="AO102" s="531"/>
      <c r="AP102" s="539"/>
      <c r="AR102" s="533">
        <v>0</v>
      </c>
      <c r="AS102" s="531"/>
      <c r="AT102" s="539"/>
      <c r="AV102" s="533">
        <v>0</v>
      </c>
      <c r="AW102" s="531"/>
      <c r="AX102" s="539"/>
      <c r="AZ102" s="533">
        <v>0</v>
      </c>
      <c r="BA102" s="531"/>
      <c r="BB102" s="539"/>
      <c r="BD102" s="533">
        <v>0</v>
      </c>
      <c r="BE102" s="531"/>
      <c r="BF102" s="539"/>
      <c r="BH102" s="533">
        <v>0</v>
      </c>
      <c r="BI102" s="531"/>
      <c r="BJ102" s="539"/>
      <c r="BL102" s="533">
        <v>0</v>
      </c>
      <c r="BM102" s="531"/>
      <c r="BN102" s="539"/>
      <c r="BP102" s="533">
        <v>0</v>
      </c>
      <c r="BQ102" s="531"/>
      <c r="BR102" s="539"/>
      <c r="BT102" s="533">
        <v>0</v>
      </c>
      <c r="BU102" s="531"/>
      <c r="BV102" s="539"/>
      <c r="BX102" s="533">
        <v>0</v>
      </c>
      <c r="BY102" s="531"/>
      <c r="BZ102" s="539"/>
      <c r="CB102" s="533">
        <v>0</v>
      </c>
      <c r="CC102" s="531"/>
      <c r="CD102" s="539"/>
      <c r="CF102" s="533">
        <v>0</v>
      </c>
      <c r="CG102" s="531"/>
      <c r="CH102" s="539"/>
      <c r="CJ102" s="533">
        <v>0</v>
      </c>
      <c r="CK102" s="531"/>
      <c r="CL102" s="539"/>
      <c r="CN102" s="533">
        <v>0</v>
      </c>
      <c r="CO102" s="540"/>
      <c r="CP102" s="538"/>
      <c r="CR102" s="533">
        <v>0</v>
      </c>
      <c r="CS102" s="540"/>
      <c r="CT102" s="538"/>
      <c r="CV102" s="533">
        <v>0</v>
      </c>
      <c r="CW102" s="540"/>
      <c r="CX102" s="538"/>
      <c r="CZ102" s="533">
        <v>0</v>
      </c>
      <c r="DA102" s="540"/>
      <c r="DB102" s="538"/>
      <c r="DD102" s="533">
        <v>0</v>
      </c>
      <c r="DE102" s="540"/>
      <c r="DF102" s="538"/>
      <c r="DH102" s="525">
        <v>0</v>
      </c>
      <c r="DI102" s="540"/>
      <c r="DJ102" s="538"/>
      <c r="DL102" s="525">
        <v>0</v>
      </c>
      <c r="DM102" s="540"/>
      <c r="DN102" s="538"/>
      <c r="DO102" s="538"/>
    </row>
    <row r="103" spans="1:119" outlineLevel="2" x14ac:dyDescent="0.2">
      <c r="A103" s="517" t="s">
        <v>81</v>
      </c>
      <c r="D103" s="534">
        <v>0</v>
      </c>
      <c r="E103" s="531"/>
      <c r="F103" s="538"/>
      <c r="H103" s="534">
        <v>0</v>
      </c>
      <c r="I103" s="531"/>
      <c r="J103" s="539"/>
      <c r="L103" s="534">
        <v>0</v>
      </c>
      <c r="M103" s="531"/>
      <c r="N103" s="539"/>
      <c r="P103" s="534">
        <v>0</v>
      </c>
      <c r="Q103" s="531"/>
      <c r="R103" s="539"/>
      <c r="T103" s="534">
        <v>0</v>
      </c>
      <c r="U103" s="531"/>
      <c r="V103" s="539"/>
      <c r="X103" s="534">
        <v>0</v>
      </c>
      <c r="Y103" s="531"/>
      <c r="Z103" s="539"/>
      <c r="AB103" s="534">
        <v>0</v>
      </c>
      <c r="AC103" s="531"/>
      <c r="AD103" s="539"/>
      <c r="AF103" s="534">
        <v>0</v>
      </c>
      <c r="AG103" s="531"/>
      <c r="AH103" s="539"/>
      <c r="AJ103" s="534">
        <v>0</v>
      </c>
      <c r="AK103" s="531"/>
      <c r="AL103" s="539"/>
      <c r="AN103" s="534">
        <v>0</v>
      </c>
      <c r="AO103" s="531"/>
      <c r="AP103" s="539"/>
      <c r="AR103" s="534">
        <v>0</v>
      </c>
      <c r="AS103" s="531"/>
      <c r="AT103" s="539"/>
      <c r="AV103" s="534">
        <v>0</v>
      </c>
      <c r="AW103" s="531"/>
      <c r="AX103" s="539"/>
      <c r="AZ103" s="534">
        <v>0</v>
      </c>
      <c r="BA103" s="531"/>
      <c r="BB103" s="539"/>
      <c r="BD103" s="534">
        <v>0</v>
      </c>
      <c r="BE103" s="531"/>
      <c r="BF103" s="539"/>
      <c r="BH103" s="534">
        <v>0</v>
      </c>
      <c r="BI103" s="531"/>
      <c r="BJ103" s="539"/>
      <c r="BL103" s="534">
        <v>0</v>
      </c>
      <c r="BM103" s="531"/>
      <c r="BN103" s="539"/>
      <c r="BP103" s="534">
        <v>0</v>
      </c>
      <c r="BQ103" s="531"/>
      <c r="BR103" s="539"/>
      <c r="BT103" s="534">
        <v>0</v>
      </c>
      <c r="BU103" s="531"/>
      <c r="BV103" s="539"/>
      <c r="BX103" s="534">
        <v>0</v>
      </c>
      <c r="BY103" s="531"/>
      <c r="BZ103" s="539"/>
      <c r="CB103" s="534">
        <v>0</v>
      </c>
      <c r="CC103" s="531"/>
      <c r="CD103" s="539"/>
      <c r="CF103" s="534">
        <v>0</v>
      </c>
      <c r="CG103" s="531"/>
      <c r="CH103" s="539"/>
      <c r="CJ103" s="534">
        <v>0</v>
      </c>
      <c r="CK103" s="531"/>
      <c r="CL103" s="539"/>
      <c r="CN103" s="534">
        <v>0</v>
      </c>
      <c r="CO103" s="540"/>
      <c r="CP103" s="538"/>
      <c r="CR103" s="534">
        <v>0</v>
      </c>
      <c r="CS103" s="540"/>
      <c r="CT103" s="538"/>
      <c r="CV103" s="534">
        <v>0</v>
      </c>
      <c r="CW103" s="540"/>
      <c r="CX103" s="538"/>
      <c r="CZ103" s="534">
        <v>0</v>
      </c>
      <c r="DA103" s="540"/>
      <c r="DB103" s="538"/>
      <c r="DD103" s="534">
        <v>0</v>
      </c>
      <c r="DE103" s="540"/>
      <c r="DF103" s="538"/>
      <c r="DH103" s="527">
        <v>0</v>
      </c>
      <c r="DI103" s="540"/>
      <c r="DJ103" s="538"/>
      <c r="DL103" s="527">
        <v>0</v>
      </c>
      <c r="DM103" s="540"/>
      <c r="DN103" s="538"/>
      <c r="DO103" s="538"/>
    </row>
    <row r="104" spans="1:119" outlineLevel="2" x14ac:dyDescent="0.2">
      <c r="A104" s="517" t="s">
        <v>82</v>
      </c>
      <c r="D104" s="533">
        <v>0</v>
      </c>
      <c r="E104" s="531"/>
      <c r="F104" s="538"/>
      <c r="H104" s="533">
        <v>0</v>
      </c>
      <c r="I104" s="531"/>
      <c r="J104" s="539"/>
      <c r="L104" s="533">
        <v>0</v>
      </c>
      <c r="M104" s="531"/>
      <c r="N104" s="539"/>
      <c r="P104" s="533">
        <v>0</v>
      </c>
      <c r="Q104" s="531"/>
      <c r="R104" s="539"/>
      <c r="T104" s="533">
        <v>0</v>
      </c>
      <c r="U104" s="531"/>
      <c r="V104" s="539"/>
      <c r="X104" s="533">
        <v>0</v>
      </c>
      <c r="Y104" s="531"/>
      <c r="Z104" s="539"/>
      <c r="AB104" s="533">
        <v>0</v>
      </c>
      <c r="AC104" s="531"/>
      <c r="AD104" s="539"/>
      <c r="AF104" s="533">
        <v>0</v>
      </c>
      <c r="AG104" s="531"/>
      <c r="AH104" s="539"/>
      <c r="AJ104" s="533">
        <v>0</v>
      </c>
      <c r="AK104" s="531"/>
      <c r="AL104" s="539"/>
      <c r="AN104" s="533">
        <v>0</v>
      </c>
      <c r="AO104" s="531"/>
      <c r="AP104" s="539"/>
      <c r="AR104" s="533">
        <v>32.856999999999999</v>
      </c>
      <c r="AS104" s="531"/>
      <c r="AT104" s="539"/>
      <c r="AV104" s="533">
        <v>0</v>
      </c>
      <c r="AW104" s="531"/>
      <c r="AX104" s="539"/>
      <c r="AZ104" s="533">
        <v>16.100000000000001</v>
      </c>
      <c r="BA104" s="531"/>
      <c r="BB104" s="539"/>
      <c r="BD104" s="533">
        <v>0</v>
      </c>
      <c r="BE104" s="531"/>
      <c r="BF104" s="539"/>
      <c r="BH104" s="533">
        <v>0</v>
      </c>
      <c r="BI104" s="531"/>
      <c r="BJ104" s="539"/>
      <c r="BL104" s="533">
        <v>0</v>
      </c>
      <c r="BM104" s="531"/>
      <c r="BN104" s="539"/>
      <c r="BP104" s="533">
        <v>0</v>
      </c>
      <c r="BQ104" s="531"/>
      <c r="BR104" s="539"/>
      <c r="BT104" s="533">
        <v>0</v>
      </c>
      <c r="BU104" s="531"/>
      <c r="BV104" s="539"/>
      <c r="BX104" s="533">
        <v>0</v>
      </c>
      <c r="BY104" s="531"/>
      <c r="BZ104" s="539"/>
      <c r="CB104" s="533">
        <v>0</v>
      </c>
      <c r="CC104" s="531"/>
      <c r="CD104" s="539"/>
      <c r="CF104" s="533">
        <v>0</v>
      </c>
      <c r="CG104" s="531"/>
      <c r="CH104" s="539"/>
      <c r="CJ104" s="533">
        <v>0</v>
      </c>
      <c r="CK104" s="531"/>
      <c r="CL104" s="539"/>
      <c r="CN104" s="533">
        <v>0</v>
      </c>
      <c r="CO104" s="534"/>
      <c r="CP104" s="560"/>
      <c r="CR104" s="533">
        <v>0</v>
      </c>
      <c r="CS104" s="561"/>
      <c r="CT104" s="560"/>
      <c r="CV104" s="533">
        <v>0</v>
      </c>
      <c r="CW104" s="561"/>
      <c r="CX104" s="560"/>
      <c r="CZ104" s="533">
        <v>0</v>
      </c>
      <c r="DA104" s="561"/>
      <c r="DB104" s="560"/>
      <c r="DD104" s="533">
        <v>0</v>
      </c>
      <c r="DE104" s="561"/>
      <c r="DF104" s="560"/>
      <c r="DH104" s="525">
        <v>0</v>
      </c>
      <c r="DI104" s="561"/>
      <c r="DJ104" s="560"/>
      <c r="DL104" s="525">
        <v>0</v>
      </c>
      <c r="DM104" s="561"/>
      <c r="DN104" s="560"/>
      <c r="DO104" s="560"/>
    </row>
    <row r="105" spans="1:119" outlineLevel="2" x14ac:dyDescent="0.2">
      <c r="A105" s="517" t="s">
        <v>281</v>
      </c>
      <c r="D105" s="524">
        <f>D100+D101</f>
        <v>0</v>
      </c>
      <c r="E105" s="531"/>
      <c r="F105" s="538"/>
      <c r="H105" s="524">
        <f>H100+H101</f>
        <v>0</v>
      </c>
      <c r="I105" s="531"/>
      <c r="J105" s="539"/>
      <c r="L105" s="524">
        <f>L100+L101</f>
        <v>0</v>
      </c>
      <c r="M105" s="531"/>
      <c r="N105" s="539"/>
      <c r="P105" s="524">
        <f>P100+P101</f>
        <v>0</v>
      </c>
      <c r="Q105" s="531"/>
      <c r="R105" s="539"/>
      <c r="T105" s="524">
        <f>T100+T101</f>
        <v>0</v>
      </c>
      <c r="U105" s="531"/>
      <c r="V105" s="539"/>
      <c r="X105" s="524">
        <f>X100+X101</f>
        <v>0</v>
      </c>
      <c r="Y105" s="531"/>
      <c r="Z105" s="539"/>
      <c r="AB105" s="524">
        <f>AB100+AB101</f>
        <v>0</v>
      </c>
      <c r="AC105" s="531"/>
      <c r="AD105" s="539"/>
      <c r="AF105" s="524">
        <f>AF100+AF101</f>
        <v>0</v>
      </c>
      <c r="AG105" s="531"/>
      <c r="AH105" s="539"/>
      <c r="AJ105" s="524">
        <f>AJ100+AJ101</f>
        <v>0</v>
      </c>
      <c r="AK105" s="531"/>
      <c r="AL105" s="539"/>
      <c r="AN105" s="524">
        <f>AN100+AN101</f>
        <v>0</v>
      </c>
      <c r="AO105" s="531"/>
      <c r="AP105" s="539"/>
      <c r="AR105" s="524">
        <f>AR100+AR101</f>
        <v>0</v>
      </c>
      <c r="AS105" s="531"/>
      <c r="AT105" s="539"/>
      <c r="AV105" s="524">
        <f>AV100+AV101</f>
        <v>0</v>
      </c>
      <c r="AW105" s="531"/>
      <c r="AX105" s="539"/>
      <c r="AZ105" s="524">
        <f>AZ100+AZ101</f>
        <v>0</v>
      </c>
      <c r="BA105" s="531"/>
      <c r="BB105" s="539"/>
      <c r="BD105" s="524">
        <f>BD100+BD101</f>
        <v>0</v>
      </c>
      <c r="BE105" s="531"/>
      <c r="BF105" s="539"/>
      <c r="BH105" s="524">
        <f>BH100+BH101</f>
        <v>0</v>
      </c>
      <c r="BI105" s="531"/>
      <c r="BJ105" s="539"/>
      <c r="BL105" s="524">
        <f>BL100+BL101</f>
        <v>0</v>
      </c>
      <c r="BM105" s="531"/>
      <c r="BN105" s="539"/>
      <c r="BP105" s="524">
        <f>BP100+BP101</f>
        <v>0</v>
      </c>
      <c r="BQ105" s="531"/>
      <c r="BR105" s="539"/>
      <c r="BT105" s="524">
        <f>BT100+BT101</f>
        <v>0</v>
      </c>
      <c r="BU105" s="531"/>
      <c r="BV105" s="539"/>
      <c r="BX105" s="524">
        <f>BX100+BX101</f>
        <v>0</v>
      </c>
      <c r="BY105" s="531"/>
      <c r="BZ105" s="539"/>
      <c r="CB105" s="524">
        <f>CB100+CB101</f>
        <v>0</v>
      </c>
      <c r="CC105" s="531"/>
      <c r="CD105" s="539"/>
      <c r="CF105" s="524">
        <f>CF100+CF101</f>
        <v>0</v>
      </c>
      <c r="CG105" s="531"/>
      <c r="CH105" s="539"/>
      <c r="CJ105" s="524">
        <f>CJ100+CJ101</f>
        <v>0</v>
      </c>
      <c r="CK105" s="531"/>
      <c r="CL105" s="539"/>
      <c r="CN105" s="524">
        <f>CN100+CN101</f>
        <v>0</v>
      </c>
      <c r="CO105" s="533"/>
      <c r="CP105" s="538"/>
      <c r="CR105" s="524">
        <f>CR100+CR101</f>
        <v>0</v>
      </c>
      <c r="CS105" s="561"/>
      <c r="CT105" s="538"/>
      <c r="CV105" s="524">
        <f>CV100+CV101</f>
        <v>0</v>
      </c>
      <c r="CW105" s="561"/>
      <c r="CX105" s="538"/>
      <c r="CZ105" s="524">
        <f>CZ100+CZ101</f>
        <v>0</v>
      </c>
      <c r="DA105" s="561"/>
      <c r="DB105" s="538"/>
      <c r="DD105" s="524">
        <f>DD100+DD101</f>
        <v>0</v>
      </c>
      <c r="DE105" s="561"/>
      <c r="DF105" s="538"/>
      <c r="DH105" s="524">
        <f>DH100+DH101</f>
        <v>0</v>
      </c>
      <c r="DI105" s="561"/>
      <c r="DJ105" s="538"/>
      <c r="DL105" s="524">
        <f>DL100+DL101</f>
        <v>0</v>
      </c>
      <c r="DM105" s="561"/>
      <c r="DN105" s="538"/>
      <c r="DO105" s="538"/>
    </row>
    <row r="106" spans="1:119" outlineLevel="2" x14ac:dyDescent="0.2">
      <c r="A106" s="517" t="s">
        <v>282</v>
      </c>
      <c r="D106" s="524">
        <f>D103+D102</f>
        <v>0</v>
      </c>
      <c r="E106" s="531"/>
      <c r="F106" s="538"/>
      <c r="H106" s="524">
        <f>H103+H102</f>
        <v>0</v>
      </c>
      <c r="I106" s="531"/>
      <c r="J106" s="539"/>
      <c r="L106" s="524">
        <f>L103+L102</f>
        <v>0</v>
      </c>
      <c r="M106" s="531"/>
      <c r="N106" s="539"/>
      <c r="P106" s="524">
        <f>P103+P102</f>
        <v>0</v>
      </c>
      <c r="Q106" s="531"/>
      <c r="R106" s="539"/>
      <c r="T106" s="524">
        <f>T103+T102</f>
        <v>0</v>
      </c>
      <c r="U106" s="531"/>
      <c r="V106" s="539"/>
      <c r="X106" s="524">
        <f>X103+X102</f>
        <v>0</v>
      </c>
      <c r="Y106" s="531"/>
      <c r="Z106" s="539"/>
      <c r="AB106" s="524">
        <f>AB103+AB102</f>
        <v>0</v>
      </c>
      <c r="AC106" s="531"/>
      <c r="AD106" s="539"/>
      <c r="AF106" s="524">
        <f>AF103+AF102</f>
        <v>0</v>
      </c>
      <c r="AG106" s="531"/>
      <c r="AH106" s="539"/>
      <c r="AJ106" s="524">
        <f>AJ103+AJ102</f>
        <v>0</v>
      </c>
      <c r="AK106" s="531"/>
      <c r="AL106" s="539"/>
      <c r="AN106" s="524">
        <f>AN103+AN102</f>
        <v>0</v>
      </c>
      <c r="AO106" s="531"/>
      <c r="AP106" s="539"/>
      <c r="AR106" s="524">
        <f>AR103+AR102</f>
        <v>0</v>
      </c>
      <c r="AS106" s="531"/>
      <c r="AT106" s="539"/>
      <c r="AV106" s="524">
        <f>AV103+AV102</f>
        <v>0</v>
      </c>
      <c r="AW106" s="531"/>
      <c r="AX106" s="539"/>
      <c r="AZ106" s="524">
        <f>AZ103+AZ102</f>
        <v>0</v>
      </c>
      <c r="BA106" s="531"/>
      <c r="BB106" s="539"/>
      <c r="BD106" s="524">
        <f>BD103+BD102</f>
        <v>0</v>
      </c>
      <c r="BE106" s="531"/>
      <c r="BF106" s="539"/>
      <c r="BH106" s="524">
        <f>BH103+BH102</f>
        <v>0</v>
      </c>
      <c r="BI106" s="531"/>
      <c r="BJ106" s="539"/>
      <c r="BL106" s="524">
        <f>BL103+BL102</f>
        <v>0</v>
      </c>
      <c r="BM106" s="531"/>
      <c r="BN106" s="539"/>
      <c r="BP106" s="524">
        <f>BP103+BP102</f>
        <v>0</v>
      </c>
      <c r="BQ106" s="531"/>
      <c r="BR106" s="539"/>
      <c r="BT106" s="524">
        <f>BT103+BT102</f>
        <v>0</v>
      </c>
      <c r="BU106" s="531"/>
      <c r="BV106" s="539"/>
      <c r="BX106" s="524">
        <f>BX103+BX102</f>
        <v>0</v>
      </c>
      <c r="BY106" s="531"/>
      <c r="BZ106" s="539"/>
      <c r="CB106" s="524">
        <f>CB103+CB102</f>
        <v>0</v>
      </c>
      <c r="CC106" s="531"/>
      <c r="CD106" s="539"/>
      <c r="CF106" s="524">
        <f>CF103+CF102</f>
        <v>0</v>
      </c>
      <c r="CG106" s="531"/>
      <c r="CH106" s="539"/>
      <c r="CJ106" s="524">
        <f>CJ103+CJ102</f>
        <v>0</v>
      </c>
      <c r="CK106" s="531"/>
      <c r="CL106" s="539"/>
      <c r="CN106" s="524">
        <f>CN103+CN102</f>
        <v>0</v>
      </c>
      <c r="CO106" s="561"/>
      <c r="CP106" s="538"/>
      <c r="CR106" s="524">
        <f>CR103+CR102</f>
        <v>0</v>
      </c>
      <c r="CS106" s="561"/>
      <c r="CT106" s="538"/>
      <c r="CV106" s="524">
        <f>CV103+CV102</f>
        <v>0</v>
      </c>
      <c r="CW106" s="561"/>
      <c r="CX106" s="538"/>
      <c r="CZ106" s="524">
        <f>CZ103+CZ102</f>
        <v>0</v>
      </c>
      <c r="DA106" s="561"/>
      <c r="DB106" s="538"/>
      <c r="DD106" s="524">
        <f>DD103+DD102</f>
        <v>0</v>
      </c>
      <c r="DE106" s="561"/>
      <c r="DF106" s="538"/>
      <c r="DH106" s="524">
        <f>DH103+DH102</f>
        <v>0</v>
      </c>
      <c r="DI106" s="561"/>
      <c r="DJ106" s="538"/>
      <c r="DL106" s="524">
        <f>DL103+DL102</f>
        <v>0</v>
      </c>
      <c r="DM106" s="561"/>
      <c r="DN106" s="538"/>
      <c r="DO106" s="538"/>
    </row>
    <row r="107" spans="1:119" outlineLevel="1" x14ac:dyDescent="0.2">
      <c r="D107" s="361"/>
      <c r="E107" s="249"/>
      <c r="F107" s="249"/>
      <c r="H107" s="361"/>
      <c r="I107" s="249"/>
      <c r="J107" s="249"/>
      <c r="L107" s="361"/>
      <c r="M107" s="249"/>
      <c r="N107" s="249"/>
      <c r="P107" s="361"/>
      <c r="Q107" s="249"/>
      <c r="R107" s="249"/>
      <c r="T107" s="361"/>
      <c r="U107" s="249"/>
      <c r="V107" s="249"/>
      <c r="X107" s="361"/>
      <c r="Y107" s="249"/>
      <c r="Z107" s="249"/>
      <c r="AB107" s="361"/>
      <c r="AC107" s="249"/>
      <c r="AD107" s="249"/>
      <c r="AF107" s="361"/>
      <c r="AG107" s="249"/>
      <c r="AH107" s="249"/>
      <c r="AJ107" s="361"/>
      <c r="AK107" s="249"/>
      <c r="AL107" s="249"/>
      <c r="AN107" s="361"/>
      <c r="AO107" s="249"/>
      <c r="AP107" s="249"/>
      <c r="AR107" s="361"/>
      <c r="AS107" s="249"/>
      <c r="AT107" s="249"/>
      <c r="AV107" s="361"/>
      <c r="AW107" s="249"/>
      <c r="AX107" s="249"/>
      <c r="AZ107" s="361"/>
      <c r="BA107" s="249"/>
      <c r="BB107" s="249"/>
      <c r="BD107" s="361"/>
      <c r="BE107" s="249"/>
      <c r="BF107" s="249"/>
      <c r="BH107" s="361"/>
      <c r="BI107" s="249"/>
      <c r="BJ107" s="249"/>
      <c r="BL107" s="361"/>
      <c r="BM107" s="249"/>
      <c r="BN107" s="249"/>
      <c r="BP107" s="362"/>
      <c r="BT107" s="362"/>
      <c r="BX107" s="362"/>
      <c r="CB107" s="362"/>
      <c r="CF107" s="362"/>
      <c r="CJ107" s="362"/>
      <c r="CP107" s="249"/>
      <c r="CT107" s="249"/>
      <c r="CX107" s="249"/>
      <c r="DB107" s="249"/>
      <c r="DF107" s="249"/>
      <c r="DJ107" s="249"/>
      <c r="DN107" s="249"/>
      <c r="DO107" s="249"/>
    </row>
    <row r="108" spans="1:119" s="516" customFormat="1" ht="12.75" customHeight="1" outlineLevel="1" x14ac:dyDescent="0.2">
      <c r="A108" s="515" t="s">
        <v>443</v>
      </c>
      <c r="CG108" s="1397" t="str">
        <f>A108</f>
        <v>9. Pretax Income (Loss) (% Margin / % Change)</v>
      </c>
      <c r="CH108" s="1397"/>
      <c r="CI108" s="1397"/>
      <c r="CJ108" s="1397"/>
      <c r="CK108" s="1397"/>
      <c r="CL108" s="1397"/>
      <c r="CM108" s="1397"/>
      <c r="CN108" s="1397"/>
      <c r="CO108" s="1397"/>
      <c r="CP108" s="1397"/>
      <c r="CQ108" s="1397"/>
      <c r="CR108" s="1397"/>
      <c r="CS108" s="1397"/>
      <c r="CT108" s="1397"/>
      <c r="CU108" s="1397"/>
      <c r="CV108" s="1397"/>
      <c r="CW108" s="1397"/>
      <c r="CX108" s="1397"/>
      <c r="CY108" s="1397"/>
      <c r="CZ108" s="1397"/>
      <c r="DA108" s="1397"/>
      <c r="DB108" s="1397"/>
      <c r="DC108" s="1397"/>
      <c r="DD108" s="1397"/>
      <c r="DE108" s="1397"/>
      <c r="DF108" s="1397"/>
      <c r="DG108" s="846"/>
      <c r="DH108" s="846"/>
      <c r="DI108" s="846"/>
      <c r="DJ108" s="846"/>
      <c r="DK108" s="1222"/>
      <c r="DL108" s="1222"/>
      <c r="DM108" s="1222"/>
      <c r="DN108" s="1222"/>
      <c r="DO108" s="1222"/>
    </row>
    <row r="109" spans="1:119" outlineLevel="1" x14ac:dyDescent="0.2">
      <c r="D109" s="361"/>
      <c r="E109" s="249"/>
      <c r="F109" s="249"/>
      <c r="H109" s="361"/>
      <c r="I109" s="249"/>
      <c r="J109" s="249"/>
      <c r="L109" s="361"/>
      <c r="M109" s="249"/>
      <c r="N109" s="249"/>
      <c r="P109" s="361"/>
      <c r="Q109" s="249"/>
      <c r="R109" s="249"/>
      <c r="T109" s="361"/>
      <c r="U109" s="249"/>
      <c r="V109" s="249"/>
      <c r="X109" s="361"/>
      <c r="Y109" s="249"/>
      <c r="Z109" s="249"/>
      <c r="AB109" s="361"/>
      <c r="AC109" s="249"/>
      <c r="AD109" s="249"/>
      <c r="AF109" s="361"/>
      <c r="AG109" s="249"/>
      <c r="AH109" s="249"/>
      <c r="AJ109" s="361"/>
      <c r="AK109" s="249"/>
      <c r="AL109" s="249"/>
      <c r="AN109" s="361"/>
      <c r="AO109" s="249"/>
      <c r="AP109" s="249"/>
      <c r="AR109" s="361"/>
      <c r="AS109" s="249"/>
      <c r="AT109" s="249"/>
      <c r="AV109" s="361"/>
      <c r="AW109" s="249"/>
      <c r="AX109" s="249"/>
      <c r="AZ109" s="361"/>
      <c r="BA109" s="249"/>
      <c r="BB109" s="249"/>
      <c r="BD109" s="361"/>
      <c r="BE109" s="249"/>
      <c r="BF109" s="249"/>
      <c r="BH109" s="361"/>
      <c r="BI109" s="249"/>
      <c r="BJ109" s="249"/>
      <c r="BL109" s="361"/>
      <c r="BM109" s="249"/>
      <c r="BN109" s="249"/>
      <c r="BP109" s="362"/>
      <c r="BT109" s="362"/>
      <c r="BX109" s="362"/>
      <c r="CB109" s="362"/>
      <c r="CF109" s="362"/>
      <c r="CJ109" s="362"/>
      <c r="CP109" s="249"/>
      <c r="CT109" s="249"/>
      <c r="CX109" s="249"/>
      <c r="DB109" s="249"/>
      <c r="DF109" s="249"/>
      <c r="DJ109" s="249"/>
      <c r="DN109" s="249"/>
      <c r="DO109" s="249"/>
    </row>
    <row r="110" spans="1:119" outlineLevel="1" x14ac:dyDescent="0.2">
      <c r="A110" s="517" t="s">
        <v>78</v>
      </c>
      <c r="D110" s="256">
        <f>D80-D100-D90</f>
        <v>20.600000000000058</v>
      </c>
      <c r="E110" s="558">
        <f t="shared" ref="E110:E116" si="327">D110/D30*100</f>
        <v>3.5782525620983248</v>
      </c>
      <c r="F110" s="521"/>
      <c r="H110" s="256">
        <f>H80-H100-H90</f>
        <v>41.356999999999964</v>
      </c>
      <c r="I110" s="558">
        <f t="shared" ref="I110:I116" si="328">H110/H30*100</f>
        <v>6.5399796322417769</v>
      </c>
      <c r="J110" s="521"/>
      <c r="L110" s="256">
        <f>L80-L100-L90</f>
        <v>35.281999999999954</v>
      </c>
      <c r="M110" s="558">
        <f t="shared" ref="M110:M116" si="329">L110/L30*100</f>
        <v>5.130591453279794</v>
      </c>
      <c r="N110" s="521"/>
      <c r="P110" s="256">
        <f>P80-P100-P90</f>
        <v>18.394999999999989</v>
      </c>
      <c r="Q110" s="558">
        <f t="shared" ref="Q110:Q116" si="330">P110/P30*100</f>
        <v>2.558229446549066</v>
      </c>
      <c r="R110" s="521"/>
      <c r="T110" s="256">
        <f>T80-T100-T90</f>
        <v>52.77300000000006</v>
      </c>
      <c r="U110" s="558">
        <f t="shared" ref="U110:U116" si="331">T110/T30*100</f>
        <v>6.7165660787513088</v>
      </c>
      <c r="V110" s="521"/>
      <c r="X110" s="256">
        <f>X80-X100-X90</f>
        <v>45.676999999999879</v>
      </c>
      <c r="Y110" s="558">
        <f t="shared" ref="Y110:Y116" si="332">X110/X30*100</f>
        <v>5.3936004647680624</v>
      </c>
      <c r="Z110" s="521"/>
      <c r="AB110" s="256">
        <f>AB80-AB100-AB90</f>
        <v>45.249000000000088</v>
      </c>
      <c r="AC110" s="558">
        <f t="shared" ref="AC110:AC116" si="333">AB110/AB30*100</f>
        <v>4.8109494312853744</v>
      </c>
      <c r="AD110" s="521"/>
      <c r="AF110" s="256">
        <f>AF80-AF100-AF90</f>
        <v>53.348999999999982</v>
      </c>
      <c r="AG110" s="558">
        <f t="shared" ref="AG110:AG116" si="334">AF110/AF30*100</f>
        <v>5.4345810862846315</v>
      </c>
      <c r="AH110" s="521"/>
      <c r="AJ110" s="256">
        <f>AJ80-AJ100-AJ90</f>
        <v>52.836999999999904</v>
      </c>
      <c r="AK110" s="558">
        <f t="shared" ref="AK110:AK116" si="335">AJ110/AJ30*100</f>
        <v>4.9351224323577014</v>
      </c>
      <c r="AL110" s="521"/>
      <c r="AN110" s="256">
        <f>AN80-AN100-AN90</f>
        <v>51.688000000000002</v>
      </c>
      <c r="AO110" s="558">
        <f t="shared" ref="AO110:AO116" si="336">AN110/AN30*100</f>
        <v>4.8475208599641562</v>
      </c>
      <c r="AP110" s="521"/>
      <c r="AR110" s="256">
        <f>AR80-AR100-AR90</f>
        <v>53.689000000000014</v>
      </c>
      <c r="AS110" s="558">
        <f t="shared" ref="AS110:AS116" si="337">AR110/AR30*100</f>
        <v>4.5324805683898983</v>
      </c>
      <c r="AT110" s="521"/>
      <c r="AV110" s="256">
        <f>AV80-AV100-AV90</f>
        <v>40.554999999999964</v>
      </c>
      <c r="AW110" s="558">
        <f t="shared" ref="AW110:AW116" si="338">AV110/AV30*100</f>
        <v>3.2309720800353698</v>
      </c>
      <c r="AX110" s="521"/>
      <c r="AZ110" s="256">
        <f>AZ80-AZ100-AZ90</f>
        <v>49.844000000000086</v>
      </c>
      <c r="BA110" s="558">
        <f t="shared" ref="BA110:BA116" si="339">AZ110/AZ30*100</f>
        <v>3.8969090702974505</v>
      </c>
      <c r="BB110" s="521"/>
      <c r="BD110" s="256">
        <f>BD80-BD100-BD90</f>
        <v>44.454999999999991</v>
      </c>
      <c r="BE110" s="558">
        <f t="shared" ref="BE110:BE116" si="340">BD110/BD30*100</f>
        <v>3.2422777557355231</v>
      </c>
      <c r="BF110" s="521"/>
      <c r="BH110" s="256">
        <f>BH80-BH100-BH90</f>
        <v>112.62700000000009</v>
      </c>
      <c r="BI110" s="558">
        <f t="shared" ref="BI110:BI116" si="341">BH110/BH30*100</f>
        <v>7.1510250625882215</v>
      </c>
      <c r="BJ110" s="521"/>
      <c r="BL110" s="256">
        <f>BL80-BL100-BL90</f>
        <v>172.9799999999999</v>
      </c>
      <c r="BM110" s="558">
        <f t="shared" ref="BM110:BM116" si="342">BL110/BL30*100</f>
        <v>10.192045043441981</v>
      </c>
      <c r="BN110" s="521"/>
      <c r="BP110" s="256">
        <f>BP80-BP100-BP90</f>
        <v>213.08699999999996</v>
      </c>
      <c r="BQ110" s="558">
        <f t="shared" ref="BQ110:BQ116" si="343">BP110/BP30*100</f>
        <v>11.574141215310082</v>
      </c>
      <c r="BR110" s="520"/>
      <c r="BT110" s="256">
        <f>BT80-BT100-BT90</f>
        <v>253.75900000000001</v>
      </c>
      <c r="BU110" s="558">
        <f t="shared" ref="BU110:BU116" si="344">BT110/BT30*100</f>
        <v>12.626565949635845</v>
      </c>
      <c r="BV110" s="521"/>
      <c r="BX110" s="256">
        <f>BX80-BX100-BX90</f>
        <v>206</v>
      </c>
      <c r="BY110" s="558">
        <f t="shared" ref="BY110:BY116" si="345">BX110/BX30*100</f>
        <v>10.569522832221653</v>
      </c>
      <c r="BZ110" s="521"/>
      <c r="CB110" s="256">
        <f>CB80-CB100-CB90</f>
        <v>115</v>
      </c>
      <c r="CC110" s="558">
        <f t="shared" ref="CC110:CC116" si="346">CB110/CB30*100</f>
        <v>6.4174107142857135</v>
      </c>
      <c r="CD110" s="521"/>
      <c r="CF110" s="256">
        <f>CF80-CF100-CF90</f>
        <v>188</v>
      </c>
      <c r="CG110" s="558">
        <f t="shared" ref="CG110:CG116" si="347">CF110/CF30*100</f>
        <v>9.008145663632007</v>
      </c>
      <c r="CH110" s="521"/>
      <c r="CJ110" s="256">
        <f>CJ80-CJ100-CJ90</f>
        <v>241</v>
      </c>
      <c r="CK110" s="558">
        <f t="shared" ref="CK110:CK116" si="348">CJ110/CJ30*100</f>
        <v>10.374515712440809</v>
      </c>
      <c r="CL110" s="521"/>
      <c r="CN110" s="256">
        <f>CN80-CN100-CN90</f>
        <v>240</v>
      </c>
      <c r="CO110" s="558">
        <f t="shared" ref="CO110:CO116" si="349">CN110/CN30*100</f>
        <v>9.1428571428571423</v>
      </c>
      <c r="CP110" s="521"/>
      <c r="CR110" s="256">
        <f>CR80-CR100-CR90</f>
        <v>236</v>
      </c>
      <c r="CS110" s="558">
        <f t="shared" ref="CS110:CS116" si="350">CR110/CR30*100</f>
        <v>8.5849399781738818</v>
      </c>
      <c r="CT110" s="521"/>
      <c r="CV110" s="256">
        <f>CV80-CV100-CV90</f>
        <v>230</v>
      </c>
      <c r="CW110" s="558">
        <f t="shared" ref="CW110:CW116" si="351">CV110/CV30*100</f>
        <v>7.8471511429546226</v>
      </c>
      <c r="CX110" s="521"/>
      <c r="CZ110" s="256">
        <f t="shared" ref="CZ110:CZ116" si="352">CZ80-CZ100-CZ90</f>
        <v>212</v>
      </c>
      <c r="DA110" s="558">
        <f t="shared" ref="DA110:DA116" si="353">CZ110/CZ30*100</f>
        <v>6.594090202177294</v>
      </c>
      <c r="DB110" s="521"/>
      <c r="DD110" s="256">
        <f t="shared" ref="DD110:DD116" si="354">DD80-DD100-DD90</f>
        <v>75</v>
      </c>
      <c r="DE110" s="558">
        <f t="shared" ref="DE110:DE116" si="355">DD110/DD30*100</f>
        <v>2.3084025854108958</v>
      </c>
      <c r="DF110" s="521"/>
      <c r="DH110" s="256">
        <f t="shared" ref="DH110:DH116" si="356">DH80-DH100-DH90</f>
        <v>103</v>
      </c>
      <c r="DI110" s="558">
        <f t="shared" ref="DI110:DI116" si="357">DH110/DH30*100</f>
        <v>3.0709600477042338</v>
      </c>
      <c r="DJ110" s="521"/>
      <c r="DL110" s="256">
        <f t="shared" ref="DL110:DL116" si="358">DL80-DL100-DL90</f>
        <v>96.688155192307931</v>
      </c>
      <c r="DM110" s="558">
        <f t="shared" ref="DM110:DM116" si="359">DL110/DL30*100</f>
        <v>2.766659283822686</v>
      </c>
      <c r="DN110" s="521"/>
      <c r="DO110" s="521"/>
    </row>
    <row r="111" spans="1:119" outlineLevel="1" x14ac:dyDescent="0.2">
      <c r="A111" s="517" t="s">
        <v>79</v>
      </c>
      <c r="D111" s="362">
        <f t="shared" ref="D111:D116" si="360">D81-D101-D91</f>
        <v>55.400000000000013</v>
      </c>
      <c r="E111" s="558">
        <f t="shared" si="327"/>
        <v>6.7470466447448558</v>
      </c>
      <c r="F111" s="521"/>
      <c r="H111" s="362">
        <f t="shared" ref="H111:H116" si="361">H81-H101-H91</f>
        <v>80.468999999999994</v>
      </c>
      <c r="I111" s="558">
        <f t="shared" si="328"/>
        <v>8.713236010680804</v>
      </c>
      <c r="J111" s="521"/>
      <c r="L111" s="362">
        <f t="shared" ref="L111:L116" si="362">L81-L101-L91</f>
        <v>67.952999999999989</v>
      </c>
      <c r="M111" s="558">
        <f t="shared" si="329"/>
        <v>6.9802128177551506</v>
      </c>
      <c r="N111" s="521"/>
      <c r="P111" s="362">
        <f t="shared" ref="P111:P116" si="363">P81-P101-P91</f>
        <v>70.15100000000001</v>
      </c>
      <c r="Q111" s="558">
        <f t="shared" si="330"/>
        <v>6.7497341999297618</v>
      </c>
      <c r="R111" s="521"/>
      <c r="T111" s="362">
        <f t="shared" ref="T111:T116" si="364">T81-T101-T91</f>
        <v>104.22299999999997</v>
      </c>
      <c r="U111" s="558">
        <f t="shared" si="331"/>
        <v>9.4517473258455471</v>
      </c>
      <c r="V111" s="521"/>
      <c r="X111" s="362">
        <f t="shared" ref="X111:X116" si="365">X81-X101-X91</f>
        <v>89.064000000000036</v>
      </c>
      <c r="Y111" s="558">
        <f t="shared" si="332"/>
        <v>7.558525873591754</v>
      </c>
      <c r="Z111" s="521"/>
      <c r="AB111" s="362">
        <f t="shared" ref="AB111:AB116" si="366">AB81-AB101-AB91</f>
        <v>74.080999999999875</v>
      </c>
      <c r="AC111" s="558">
        <f t="shared" si="333"/>
        <v>5.8096457010927356</v>
      </c>
      <c r="AD111" s="521"/>
      <c r="AF111" s="362">
        <f t="shared" ref="AF111:AF116" si="367">AF81-AF101-AF91</f>
        <v>96.685999999999993</v>
      </c>
      <c r="AG111" s="558">
        <f t="shared" si="334"/>
        <v>7.0072169565866496</v>
      </c>
      <c r="AH111" s="521"/>
      <c r="AJ111" s="362">
        <f t="shared" ref="AJ111:AJ116" si="368">AJ81-AJ101-AJ91</f>
        <v>113.0620000000001</v>
      </c>
      <c r="AK111" s="558">
        <f t="shared" si="335"/>
        <v>7.6659011749518156</v>
      </c>
      <c r="AL111" s="521"/>
      <c r="AN111" s="362">
        <f t="shared" ref="AN111:AN116" si="369">AN81-AN101-AN91</f>
        <v>116.18900000000014</v>
      </c>
      <c r="AO111" s="558">
        <f t="shared" si="336"/>
        <v>7.928716681906903</v>
      </c>
      <c r="AP111" s="521"/>
      <c r="AR111" s="362">
        <f t="shared" ref="AR111:AR116" si="370">AR81-AR101-AR91</f>
        <v>85.040999999999997</v>
      </c>
      <c r="AS111" s="558">
        <f t="shared" si="337"/>
        <v>5.7071892021035273</v>
      </c>
      <c r="AT111" s="521"/>
      <c r="AV111" s="362">
        <f t="shared" ref="AV111:AV116" si="371">AV81-AV101-AV91</f>
        <v>63.49900000000008</v>
      </c>
      <c r="AW111" s="558">
        <f t="shared" si="338"/>
        <v>4.0160594310261022</v>
      </c>
      <c r="AX111" s="521"/>
      <c r="AZ111" s="362">
        <f t="shared" ref="AZ111:AZ116" si="372">AZ81-AZ101-AZ91</f>
        <v>86.11399999999982</v>
      </c>
      <c r="BA111" s="558">
        <f t="shared" si="339"/>
        <v>5.0928841915015193</v>
      </c>
      <c r="BB111" s="521"/>
      <c r="BD111" s="362">
        <f t="shared" ref="BD111:BD116" si="373">BD81-BD101-BD91</f>
        <v>108.04699999999976</v>
      </c>
      <c r="BE111" s="558">
        <f t="shared" si="340"/>
        <v>5.9337760128201547</v>
      </c>
      <c r="BF111" s="521"/>
      <c r="BH111" s="362">
        <f t="shared" ref="BH111:BH116" si="374">BH81-BH101-BH91</f>
        <v>175.26599999999996</v>
      </c>
      <c r="BI111" s="558">
        <f t="shared" si="341"/>
        <v>8.7787418068382266</v>
      </c>
      <c r="BJ111" s="521"/>
      <c r="BL111" s="362">
        <f t="shared" ref="BL111:BL116" si="375">BL81-BL101-BL91</f>
        <v>241.79299999999978</v>
      </c>
      <c r="BM111" s="558">
        <f t="shared" si="342"/>
        <v>11.238825922372687</v>
      </c>
      <c r="BN111" s="521"/>
      <c r="BP111" s="362">
        <f t="shared" ref="BP111:BP116" si="376">BP81-BP101-BP91</f>
        <v>292.35099999999989</v>
      </c>
      <c r="BQ111" s="558">
        <f t="shared" si="343"/>
        <v>12.540154307497167</v>
      </c>
      <c r="BR111" s="520"/>
      <c r="BT111" s="362">
        <f t="shared" ref="BT111:BT116" si="377">BT81-BT101-BT91</f>
        <v>293.0829999999998</v>
      </c>
      <c r="BU111" s="558">
        <f t="shared" si="344"/>
        <v>11.914843967877237</v>
      </c>
      <c r="BV111" s="521"/>
      <c r="BX111" s="362">
        <f t="shared" ref="BX111:BX116" si="378">BX81-BX101-BX91</f>
        <v>235</v>
      </c>
      <c r="BY111" s="558">
        <f t="shared" si="345"/>
        <v>9.9618482407799913</v>
      </c>
      <c r="BZ111" s="521"/>
      <c r="CB111" s="362">
        <f t="shared" ref="CB111:CB116" si="379">CB81-CB101-CB91</f>
        <v>170</v>
      </c>
      <c r="CC111" s="558">
        <f t="shared" si="346"/>
        <v>7.6164874551971327</v>
      </c>
      <c r="CD111" s="521"/>
      <c r="CF111" s="362">
        <f t="shared" ref="CF111:CF116" si="380">CF81-CF101-CF91</f>
        <v>240</v>
      </c>
      <c r="CG111" s="558">
        <f t="shared" si="347"/>
        <v>9.5427435387673949</v>
      </c>
      <c r="CH111" s="521"/>
      <c r="CJ111" s="362">
        <f t="shared" ref="CJ111:CJ116" si="381">CJ81-CJ101-CJ91</f>
        <v>290</v>
      </c>
      <c r="CK111" s="558">
        <f t="shared" si="348"/>
        <v>10.320284697508896</v>
      </c>
      <c r="CL111" s="521"/>
      <c r="CN111" s="362">
        <f t="shared" ref="CN111:CN116" si="382">CN81-CN101-CN91</f>
        <v>250</v>
      </c>
      <c r="CO111" s="558">
        <f t="shared" si="349"/>
        <v>8.3166999334664009</v>
      </c>
      <c r="CP111" s="521"/>
      <c r="CR111" s="362">
        <f t="shared" ref="CR111:CR116" si="383">CR81-CR101-CR91</f>
        <v>298</v>
      </c>
      <c r="CS111" s="558">
        <f t="shared" si="350"/>
        <v>9.3241551939924907</v>
      </c>
      <c r="CT111" s="521"/>
      <c r="CV111" s="362">
        <f t="shared" ref="CV111:CV116" si="384">CV81-CV101-CV91</f>
        <v>296</v>
      </c>
      <c r="CW111" s="558">
        <f t="shared" si="351"/>
        <v>8.7264150943396217</v>
      </c>
      <c r="CX111" s="521"/>
      <c r="CZ111" s="362">
        <f t="shared" si="352"/>
        <v>294</v>
      </c>
      <c r="DA111" s="558">
        <f t="shared" si="353"/>
        <v>7.9437989732504724</v>
      </c>
      <c r="DB111" s="521"/>
      <c r="DD111" s="362">
        <f t="shared" si="354"/>
        <v>191</v>
      </c>
      <c r="DE111" s="558">
        <f t="shared" si="355"/>
        <v>5.2314434401533827</v>
      </c>
      <c r="DF111" s="521"/>
      <c r="DH111" s="362">
        <f t="shared" si="356"/>
        <v>188</v>
      </c>
      <c r="DI111" s="558">
        <f t="shared" si="357"/>
        <v>4.9564988136040071</v>
      </c>
      <c r="DJ111" s="521"/>
      <c r="DL111" s="362">
        <f t="shared" si="358"/>
        <v>161.70833184158414</v>
      </c>
      <c r="DM111" s="558">
        <f t="shared" si="359"/>
        <v>3.9570294888087409</v>
      </c>
      <c r="DN111" s="521"/>
      <c r="DO111" s="521"/>
    </row>
    <row r="112" spans="1:119" outlineLevel="1" x14ac:dyDescent="0.2">
      <c r="A112" s="517" t="s">
        <v>80</v>
      </c>
      <c r="D112" s="362">
        <f t="shared" si="360"/>
        <v>31.499999999999922</v>
      </c>
      <c r="E112" s="558">
        <f t="shared" si="327"/>
        <v>4.7996343135760968</v>
      </c>
      <c r="F112" s="521"/>
      <c r="H112" s="362">
        <f t="shared" si="361"/>
        <v>31.32999999999997</v>
      </c>
      <c r="I112" s="558">
        <f t="shared" si="328"/>
        <v>4.4094466024883143</v>
      </c>
      <c r="J112" s="521"/>
      <c r="L112" s="362">
        <f t="shared" si="362"/>
        <v>37.729000000000056</v>
      </c>
      <c r="M112" s="558">
        <f t="shared" si="329"/>
        <v>4.9625921385616723</v>
      </c>
      <c r="N112" s="521"/>
      <c r="P112" s="362">
        <f t="shared" si="363"/>
        <v>42.056000000000019</v>
      </c>
      <c r="Q112" s="558">
        <f t="shared" si="330"/>
        <v>5.3098931733732666</v>
      </c>
      <c r="R112" s="521"/>
      <c r="T112" s="362">
        <f t="shared" si="364"/>
        <v>63.078999999999908</v>
      </c>
      <c r="U112" s="558">
        <f t="shared" si="331"/>
        <v>7.1162890919818551</v>
      </c>
      <c r="V112" s="521"/>
      <c r="X112" s="362">
        <f t="shared" si="365"/>
        <v>48.541999999999959</v>
      </c>
      <c r="Y112" s="558">
        <f t="shared" si="332"/>
        <v>5.1682926491678751</v>
      </c>
      <c r="Z112" s="521"/>
      <c r="AB112" s="362">
        <f t="shared" si="366"/>
        <v>55.736000000000061</v>
      </c>
      <c r="AC112" s="558">
        <f t="shared" si="333"/>
        <v>5.4701646565100575</v>
      </c>
      <c r="AD112" s="521"/>
      <c r="AF112" s="362">
        <f t="shared" si="367"/>
        <v>59.645000000000202</v>
      </c>
      <c r="AG112" s="558">
        <f t="shared" si="334"/>
        <v>5.3369876643957017</v>
      </c>
      <c r="AH112" s="521"/>
      <c r="AJ112" s="362">
        <f t="shared" si="368"/>
        <v>414.86799999999988</v>
      </c>
      <c r="AK112" s="558">
        <f t="shared" si="335"/>
        <v>28.166401659834417</v>
      </c>
      <c r="AL112" s="521"/>
      <c r="AN112" s="362">
        <f t="shared" si="369"/>
        <v>65.032999999999973</v>
      </c>
      <c r="AO112" s="558">
        <f t="shared" si="336"/>
        <v>5.7189364306618611</v>
      </c>
      <c r="AP112" s="521"/>
      <c r="AR112" s="362">
        <f t="shared" si="370"/>
        <v>38.334999999999873</v>
      </c>
      <c r="AS112" s="558">
        <f t="shared" si="337"/>
        <v>2.9502350337235588</v>
      </c>
      <c r="AT112" s="521"/>
      <c r="AV112" s="362">
        <f t="shared" si="371"/>
        <v>17.094999999999995</v>
      </c>
      <c r="AW112" s="558">
        <f t="shared" si="338"/>
        <v>1.3444137035038901</v>
      </c>
      <c r="AX112" s="521"/>
      <c r="AZ112" s="362">
        <f t="shared" si="372"/>
        <v>30.300000000000118</v>
      </c>
      <c r="BA112" s="558">
        <f t="shared" si="339"/>
        <v>2.2308823323690805</v>
      </c>
      <c r="BB112" s="521"/>
      <c r="BD112" s="362">
        <f t="shared" si="373"/>
        <v>74.594999999999956</v>
      </c>
      <c r="BE112" s="558">
        <f t="shared" si="340"/>
        <v>5.1385433113173988</v>
      </c>
      <c r="BF112" s="521"/>
      <c r="BH112" s="362">
        <f t="shared" si="374"/>
        <v>122.93799999999989</v>
      </c>
      <c r="BI112" s="558">
        <f t="shared" si="341"/>
        <v>7.7460777518744823</v>
      </c>
      <c r="BJ112" s="521"/>
      <c r="BL112" s="362">
        <f t="shared" si="375"/>
        <v>162.88199999999995</v>
      </c>
      <c r="BM112" s="558">
        <f t="shared" si="342"/>
        <v>9.5066390404762569</v>
      </c>
      <c r="BN112" s="521"/>
      <c r="BP112" s="362">
        <f t="shared" si="376"/>
        <v>221.16999999999993</v>
      </c>
      <c r="BQ112" s="558">
        <f t="shared" si="343"/>
        <v>11.454113630690413</v>
      </c>
      <c r="BR112" s="520"/>
      <c r="BT112" s="362">
        <f t="shared" si="377"/>
        <v>237.30899999999986</v>
      </c>
      <c r="BU112" s="558">
        <f t="shared" si="344"/>
        <v>11.637226531870221</v>
      </c>
      <c r="BV112" s="521"/>
      <c r="BX112" s="362">
        <f t="shared" si="378"/>
        <v>94.551000000000045</v>
      </c>
      <c r="BY112" s="558">
        <f t="shared" si="345"/>
        <v>4.9816122233930473</v>
      </c>
      <c r="BZ112" s="521"/>
      <c r="CB112" s="362">
        <f t="shared" si="379"/>
        <v>134</v>
      </c>
      <c r="CC112" s="558">
        <f t="shared" si="346"/>
        <v>6.8262862964849722</v>
      </c>
      <c r="CD112" s="521"/>
      <c r="CF112" s="362">
        <f t="shared" si="380"/>
        <v>190</v>
      </c>
      <c r="CG112" s="558">
        <f t="shared" si="347"/>
        <v>8.7076076993583875</v>
      </c>
      <c r="CH112" s="521"/>
      <c r="CJ112" s="362">
        <f t="shared" si="381"/>
        <v>209</v>
      </c>
      <c r="CK112" s="558">
        <f t="shared" si="348"/>
        <v>8.4342211460855534</v>
      </c>
      <c r="CL112" s="521"/>
      <c r="CN112" s="362">
        <f>CN82-CN102-CN92</f>
        <v>239</v>
      </c>
      <c r="CO112" s="558">
        <f t="shared" si="349"/>
        <v>8.520499108734402</v>
      </c>
      <c r="CP112" s="521"/>
      <c r="CR112" s="362">
        <f>CR82-CR102-CR92</f>
        <v>218</v>
      </c>
      <c r="CS112" s="558">
        <f t="shared" si="350"/>
        <v>7.5589459084604709</v>
      </c>
      <c r="CT112" s="521"/>
      <c r="CV112" s="362">
        <f>CV82-CV102-CV92</f>
        <v>228</v>
      </c>
      <c r="CW112" s="558">
        <f t="shared" si="351"/>
        <v>7.2611464968152868</v>
      </c>
      <c r="CX112" s="521"/>
      <c r="CZ112" s="362">
        <f t="shared" si="352"/>
        <v>156</v>
      </c>
      <c r="DA112" s="558">
        <f t="shared" si="353"/>
        <v>4.6889089269612265</v>
      </c>
      <c r="DB112" s="521"/>
      <c r="DD112" s="362">
        <f t="shared" si="354"/>
        <v>222</v>
      </c>
      <c r="DE112" s="558">
        <f t="shared" si="355"/>
        <v>6.2676453980801812</v>
      </c>
      <c r="DF112" s="521"/>
      <c r="DH112" s="362">
        <f t="shared" si="356"/>
        <v>180</v>
      </c>
      <c r="DI112" s="558">
        <f t="shared" si="357"/>
        <v>4.9600440892807933</v>
      </c>
      <c r="DJ112" s="521"/>
      <c r="DL112" s="362">
        <f t="shared" si="358"/>
        <v>172.55534016666638</v>
      </c>
      <c r="DM112" s="558">
        <f t="shared" si="359"/>
        <v>4.7143352473922526</v>
      </c>
      <c r="DN112" s="521"/>
      <c r="DO112" s="521"/>
    </row>
    <row r="113" spans="1:119" outlineLevel="1" x14ac:dyDescent="0.2">
      <c r="A113" s="517" t="s">
        <v>81</v>
      </c>
      <c r="D113" s="556">
        <f t="shared" si="360"/>
        <v>70.816000000000102</v>
      </c>
      <c r="E113" s="558">
        <f t="shared" si="327"/>
        <v>7.6519454025224212</v>
      </c>
      <c r="F113" s="521"/>
      <c r="H113" s="556">
        <f t="shared" si="361"/>
        <v>64.059000000000069</v>
      </c>
      <c r="I113" s="558">
        <f t="shared" si="328"/>
        <v>6.4004915846110109</v>
      </c>
      <c r="J113" s="521"/>
      <c r="L113" s="556">
        <f t="shared" si="362"/>
        <v>87.754999999999853</v>
      </c>
      <c r="M113" s="558">
        <f t="shared" si="329"/>
        <v>8.0268883150714743</v>
      </c>
      <c r="N113" s="521"/>
      <c r="P113" s="556">
        <f t="shared" si="363"/>
        <v>100.31599999999995</v>
      </c>
      <c r="Q113" s="558">
        <f t="shared" si="330"/>
        <v>8.8928761073322118</v>
      </c>
      <c r="R113" s="521"/>
      <c r="T113" s="556">
        <f t="shared" si="364"/>
        <v>115.48299999999992</v>
      </c>
      <c r="U113" s="558">
        <f t="shared" si="331"/>
        <v>9.5100961855194619</v>
      </c>
      <c r="V113" s="521"/>
      <c r="X113" s="556">
        <f t="shared" si="365"/>
        <v>89.027999999999821</v>
      </c>
      <c r="Y113" s="558">
        <f t="shared" si="332"/>
        <v>6.9868625512077838</v>
      </c>
      <c r="Z113" s="521"/>
      <c r="AB113" s="556">
        <f t="shared" si="366"/>
        <v>70.791000000000011</v>
      </c>
      <c r="AC113" s="558">
        <f t="shared" si="333"/>
        <v>5.2517799343147304</v>
      </c>
      <c r="AD113" s="521"/>
      <c r="AF113" s="556">
        <f t="shared" si="367"/>
        <v>97.533000000000015</v>
      </c>
      <c r="AG113" s="558">
        <f t="shared" si="334"/>
        <v>6.584893087391464</v>
      </c>
      <c r="AH113" s="521"/>
      <c r="AJ113" s="556">
        <f t="shared" si="368"/>
        <v>108.64899999999986</v>
      </c>
      <c r="AK113" s="558">
        <f t="shared" si="335"/>
        <v>7.3996307301694442</v>
      </c>
      <c r="AL113" s="521"/>
      <c r="AN113" s="556">
        <f t="shared" si="369"/>
        <v>91.128000000000199</v>
      </c>
      <c r="AO113" s="558">
        <f t="shared" si="336"/>
        <v>5.7342744470264977</v>
      </c>
      <c r="AP113" s="521"/>
      <c r="AR113" s="556">
        <f t="shared" si="370"/>
        <v>46.009999999999749</v>
      </c>
      <c r="AS113" s="558">
        <f t="shared" si="337"/>
        <v>2.730333704815366</v>
      </c>
      <c r="AT113" s="521"/>
      <c r="AV113" s="556">
        <f t="shared" si="371"/>
        <v>83.338999999999913</v>
      </c>
      <c r="AW113" s="558">
        <f t="shared" si="338"/>
        <v>5.0199983133952513</v>
      </c>
      <c r="AX113" s="521"/>
      <c r="AZ113" s="556">
        <f t="shared" si="372"/>
        <v>98.33400000000006</v>
      </c>
      <c r="BA113" s="558">
        <f t="shared" si="339"/>
        <v>5.4999351198493018</v>
      </c>
      <c r="BB113" s="521"/>
      <c r="BD113" s="556">
        <f t="shared" si="373"/>
        <v>171.09199999999998</v>
      </c>
      <c r="BE113" s="558">
        <f t="shared" si="340"/>
        <v>8.7291792198065199</v>
      </c>
      <c r="BF113" s="521"/>
      <c r="BH113" s="556">
        <f t="shared" si="374"/>
        <v>236.47499999999991</v>
      </c>
      <c r="BI113" s="558">
        <f t="shared" si="341"/>
        <v>11.020385908073271</v>
      </c>
      <c r="BJ113" s="521"/>
      <c r="BL113" s="556">
        <f t="shared" si="375"/>
        <v>307.32199999999989</v>
      </c>
      <c r="BM113" s="558">
        <f t="shared" si="342"/>
        <v>13.038682190341794</v>
      </c>
      <c r="BN113" s="521"/>
      <c r="BP113" s="556">
        <f t="shared" si="376"/>
        <v>379.04499999999979</v>
      </c>
      <c r="BQ113" s="558">
        <f t="shared" si="343"/>
        <v>14.059944634876164</v>
      </c>
      <c r="BR113" s="520"/>
      <c r="BT113" s="556">
        <f t="shared" si="377"/>
        <v>354</v>
      </c>
      <c r="BU113" s="558">
        <f t="shared" si="344"/>
        <v>13.667953667953666</v>
      </c>
      <c r="BV113" s="521"/>
      <c r="BX113" s="556">
        <f t="shared" si="378"/>
        <v>123</v>
      </c>
      <c r="BY113" s="558">
        <f t="shared" si="345"/>
        <v>5.144291091593475</v>
      </c>
      <c r="BZ113" s="521"/>
      <c r="CB113" s="556">
        <f t="shared" si="379"/>
        <v>277</v>
      </c>
      <c r="CC113" s="558">
        <f t="shared" si="346"/>
        <v>10.492424242424242</v>
      </c>
      <c r="CD113" s="521"/>
      <c r="CF113" s="556">
        <f t="shared" si="380"/>
        <v>373</v>
      </c>
      <c r="CG113" s="558">
        <f t="shared" si="347"/>
        <v>12.791495198902606</v>
      </c>
      <c r="CH113" s="521"/>
      <c r="CJ113" s="556">
        <f t="shared" si="381"/>
        <v>379</v>
      </c>
      <c r="CK113" s="558">
        <f t="shared" si="348"/>
        <v>11.604409063074096</v>
      </c>
      <c r="CL113" s="521"/>
      <c r="CN113" s="556">
        <f t="shared" si="382"/>
        <v>456</v>
      </c>
      <c r="CO113" s="558">
        <f t="shared" si="349"/>
        <v>12.330989724175231</v>
      </c>
      <c r="CP113" s="521"/>
      <c r="CR113" s="556">
        <f t="shared" si="383"/>
        <v>437</v>
      </c>
      <c r="CS113" s="558">
        <f t="shared" si="350"/>
        <v>11.775801670708704</v>
      </c>
      <c r="CT113" s="521"/>
      <c r="CV113" s="556">
        <f t="shared" si="384"/>
        <v>431</v>
      </c>
      <c r="CW113" s="558">
        <f t="shared" si="351"/>
        <v>10.660400692555033</v>
      </c>
      <c r="CX113" s="521"/>
      <c r="CZ113" s="556">
        <f t="shared" si="352"/>
        <v>342</v>
      </c>
      <c r="DA113" s="558">
        <f t="shared" si="353"/>
        <v>8.1545064377682408</v>
      </c>
      <c r="DB113" s="521"/>
      <c r="DD113" s="556">
        <f t="shared" si="354"/>
        <v>393</v>
      </c>
      <c r="DE113" s="558">
        <f t="shared" si="355"/>
        <v>9.1056533827618171</v>
      </c>
      <c r="DF113" s="521"/>
      <c r="DH113" s="556">
        <f t="shared" si="356"/>
        <v>319</v>
      </c>
      <c r="DI113" s="558">
        <f t="shared" si="357"/>
        <v>6.7843470863462363</v>
      </c>
      <c r="DJ113" s="521"/>
      <c r="DL113" s="556">
        <f t="shared" si="358"/>
        <v>311.78381147540972</v>
      </c>
      <c r="DM113" s="558">
        <f t="shared" si="359"/>
        <v>6.9945248427788584</v>
      </c>
      <c r="DN113" s="521"/>
      <c r="DO113" s="521"/>
    </row>
    <row r="114" spans="1:119" outlineLevel="1" x14ac:dyDescent="0.2">
      <c r="A114" s="517" t="s">
        <v>82</v>
      </c>
      <c r="D114" s="256">
        <f t="shared" si="360"/>
        <v>178.31599999999986</v>
      </c>
      <c r="E114" s="558">
        <f t="shared" si="327"/>
        <v>5.9866432280790294</v>
      </c>
      <c r="F114" s="521"/>
      <c r="H114" s="256">
        <f t="shared" si="361"/>
        <v>217.21500000000049</v>
      </c>
      <c r="I114" s="558">
        <f t="shared" si="328"/>
        <v>6.6482251352278796</v>
      </c>
      <c r="J114" s="521"/>
      <c r="L114" s="256">
        <f t="shared" si="362"/>
        <v>228.71900000000022</v>
      </c>
      <c r="M114" s="558">
        <f t="shared" si="329"/>
        <v>6.5074619052049458</v>
      </c>
      <c r="N114" s="521"/>
      <c r="P114" s="256">
        <f t="shared" si="363"/>
        <v>230.91800000000006</v>
      </c>
      <c r="Q114" s="558">
        <f t="shared" si="330"/>
        <v>6.2775948654418574</v>
      </c>
      <c r="R114" s="521"/>
      <c r="T114" s="256">
        <f t="shared" si="364"/>
        <v>335.55800000000045</v>
      </c>
      <c r="U114" s="558">
        <f t="shared" si="331"/>
        <v>8.4118259607001331</v>
      </c>
      <c r="V114" s="521"/>
      <c r="X114" s="256">
        <f t="shared" si="365"/>
        <v>272.31099999999981</v>
      </c>
      <c r="Y114" s="558">
        <f t="shared" si="332"/>
        <v>6.4244808365690327</v>
      </c>
      <c r="Z114" s="521"/>
      <c r="AB114" s="256">
        <f t="shared" si="366"/>
        <v>245.85699999999997</v>
      </c>
      <c r="AC114" s="558">
        <f t="shared" si="333"/>
        <v>5.365090740228327</v>
      </c>
      <c r="AD114" s="521"/>
      <c r="AF114" s="256">
        <f t="shared" si="367"/>
        <v>307.21299999999974</v>
      </c>
      <c r="AG114" s="558">
        <f t="shared" si="334"/>
        <v>6.1935545002676253</v>
      </c>
      <c r="AH114" s="521"/>
      <c r="AJ114" s="256">
        <f t="shared" si="368"/>
        <v>337.7230000000003</v>
      </c>
      <c r="AK114" s="558">
        <f t="shared" si="335"/>
        <v>6.5768469856742824</v>
      </c>
      <c r="AL114" s="521"/>
      <c r="AN114" s="256">
        <f t="shared" si="369"/>
        <v>331.79100000000011</v>
      </c>
      <c r="AO114" s="558">
        <f t="shared" si="336"/>
        <v>6.3008863069366914</v>
      </c>
      <c r="AP114" s="521"/>
      <c r="AR114" s="256">
        <f>AR84-AR104-AR94</f>
        <v>167.018000000001</v>
      </c>
      <c r="AS114" s="558">
        <f t="shared" si="337"/>
        <v>2.9512980512753266</v>
      </c>
      <c r="AT114" s="521"/>
      <c r="AV114" s="256">
        <f t="shared" si="371"/>
        <v>204.48800000000051</v>
      </c>
      <c r="AW114" s="558">
        <f t="shared" si="338"/>
        <v>3.5452026865371562</v>
      </c>
      <c r="AX114" s="521"/>
      <c r="AZ114" s="256">
        <f t="shared" si="372"/>
        <v>232.69199999999972</v>
      </c>
      <c r="BA114" s="558">
        <f t="shared" si="339"/>
        <v>3.824689407941718</v>
      </c>
      <c r="BB114" s="521"/>
      <c r="BD114" s="256">
        <f t="shared" si="373"/>
        <v>398.18899999999894</v>
      </c>
      <c r="BE114" s="558">
        <f t="shared" si="340"/>
        <v>6.0298210296044683</v>
      </c>
      <c r="BF114" s="521"/>
      <c r="BH114" s="256">
        <f t="shared" si="374"/>
        <v>647.30599999999993</v>
      </c>
      <c r="BI114" s="558">
        <f t="shared" si="341"/>
        <v>8.8619186772822509</v>
      </c>
      <c r="BJ114" s="521"/>
      <c r="BL114" s="256">
        <f t="shared" si="375"/>
        <v>884.97699999999918</v>
      </c>
      <c r="BM114" s="558">
        <f t="shared" si="342"/>
        <v>11.175411032197879</v>
      </c>
      <c r="BN114" s="521"/>
      <c r="BP114" s="256">
        <f t="shared" si="376"/>
        <v>1105.6529999999996</v>
      </c>
      <c r="BQ114" s="558">
        <f t="shared" si="343"/>
        <v>12.565348099485599</v>
      </c>
      <c r="BR114" s="520"/>
      <c r="BT114" s="256">
        <f t="shared" si="377"/>
        <v>1138.1510000000003</v>
      </c>
      <c r="BU114" s="558">
        <f t="shared" si="344"/>
        <v>12.508858349929003</v>
      </c>
      <c r="BV114" s="521"/>
      <c r="BX114" s="256">
        <f t="shared" si="378"/>
        <v>648.55099999999993</v>
      </c>
      <c r="BY114" s="558">
        <f t="shared" si="345"/>
        <v>7.543922298476212</v>
      </c>
      <c r="BZ114" s="521"/>
      <c r="CB114" s="256">
        <f t="shared" si="379"/>
        <v>696</v>
      </c>
      <c r="CC114" s="558">
        <f t="shared" si="346"/>
        <v>8.0676944476643104</v>
      </c>
      <c r="CD114" s="521"/>
      <c r="CF114" s="256">
        <f t="shared" si="380"/>
        <v>991</v>
      </c>
      <c r="CG114" s="558">
        <f t="shared" si="347"/>
        <v>10.216494845360826</v>
      </c>
      <c r="CH114" s="521"/>
      <c r="CJ114" s="256">
        <f t="shared" si="381"/>
        <v>1119</v>
      </c>
      <c r="CK114" s="558">
        <f t="shared" si="348"/>
        <v>10.287763169991726</v>
      </c>
      <c r="CL114" s="521"/>
      <c r="CN114" s="256">
        <f t="shared" si="382"/>
        <v>1185</v>
      </c>
      <c r="CO114" s="558">
        <f t="shared" si="349"/>
        <v>9.7659469259930773</v>
      </c>
      <c r="CP114" s="521"/>
      <c r="CR114" s="256">
        <f t="shared" si="383"/>
        <v>1189</v>
      </c>
      <c r="CS114" s="558">
        <f t="shared" si="350"/>
        <v>9.4816586921850075</v>
      </c>
      <c r="CT114" s="521"/>
      <c r="CV114" s="256">
        <f t="shared" si="384"/>
        <v>1185</v>
      </c>
      <c r="CW114" s="558">
        <f t="shared" si="351"/>
        <v>8.7738782763216356</v>
      </c>
      <c r="CX114" s="521"/>
      <c r="CZ114" s="256">
        <f t="shared" si="352"/>
        <v>1004</v>
      </c>
      <c r="DA114" s="558">
        <f t="shared" si="353"/>
        <v>6.9543533975202605</v>
      </c>
      <c r="DB114" s="521"/>
      <c r="DD114" s="256">
        <f t="shared" si="354"/>
        <v>881</v>
      </c>
      <c r="DE114" s="558">
        <f t="shared" si="355"/>
        <v>5.9696435831413472</v>
      </c>
      <c r="DF114" s="521"/>
      <c r="DH114" s="256">
        <f t="shared" si="356"/>
        <v>790</v>
      </c>
      <c r="DI114" s="558">
        <f t="shared" si="357"/>
        <v>5.104018607055175</v>
      </c>
      <c r="DJ114" s="521"/>
      <c r="DL114" s="256">
        <f t="shared" si="358"/>
        <v>742.73563867596931</v>
      </c>
      <c r="DM114" s="558">
        <f t="shared" si="359"/>
        <v>4.7310598646585005</v>
      </c>
      <c r="DN114" s="521"/>
      <c r="DO114" s="521"/>
    </row>
    <row r="115" spans="1:119" outlineLevel="1" x14ac:dyDescent="0.2">
      <c r="A115" s="517" t="s">
        <v>281</v>
      </c>
      <c r="D115" s="524">
        <f t="shared" si="360"/>
        <v>76.000000000000185</v>
      </c>
      <c r="E115" s="558">
        <f t="shared" si="327"/>
        <v>5.4410080183276186</v>
      </c>
      <c r="F115" s="521"/>
      <c r="G115" s="249"/>
      <c r="H115" s="524">
        <f t="shared" si="361"/>
        <v>121.82599999999992</v>
      </c>
      <c r="I115" s="558">
        <f t="shared" si="328"/>
        <v>7.8299477215087316</v>
      </c>
      <c r="J115" s="521"/>
      <c r="K115" s="249"/>
      <c r="L115" s="524">
        <f t="shared" si="362"/>
        <v>103.23499999999997</v>
      </c>
      <c r="M115" s="558">
        <f t="shared" si="329"/>
        <v>6.2145283977490786</v>
      </c>
      <c r="N115" s="521"/>
      <c r="O115" s="249"/>
      <c r="P115" s="524">
        <f t="shared" si="363"/>
        <v>88.546000000000191</v>
      </c>
      <c r="Q115" s="558">
        <f t="shared" si="330"/>
        <v>5.0356950511468979</v>
      </c>
      <c r="R115" s="521"/>
      <c r="S115" s="249"/>
      <c r="T115" s="524">
        <f t="shared" si="364"/>
        <v>156.99599999999978</v>
      </c>
      <c r="U115" s="558">
        <f t="shared" si="331"/>
        <v>8.3137091260903961</v>
      </c>
      <c r="V115" s="521"/>
      <c r="W115" s="249"/>
      <c r="X115" s="524">
        <f t="shared" si="365"/>
        <v>134.74099999999999</v>
      </c>
      <c r="Y115" s="558">
        <f t="shared" si="332"/>
        <v>6.653222720335136</v>
      </c>
      <c r="Z115" s="521"/>
      <c r="AA115" s="249"/>
      <c r="AB115" s="524">
        <f t="shared" si="366"/>
        <v>119.32999999999979</v>
      </c>
      <c r="AC115" s="558">
        <f t="shared" si="333"/>
        <v>5.3857055170421626</v>
      </c>
      <c r="AD115" s="521"/>
      <c r="AE115" s="249"/>
      <c r="AF115" s="524">
        <f t="shared" si="367"/>
        <v>150.03499999999997</v>
      </c>
      <c r="AG115" s="558">
        <f t="shared" si="334"/>
        <v>6.3534739466703698</v>
      </c>
      <c r="AH115" s="521"/>
      <c r="AI115" s="249"/>
      <c r="AJ115" s="524">
        <f t="shared" si="368"/>
        <v>165.89900000000017</v>
      </c>
      <c r="AK115" s="558">
        <f t="shared" si="335"/>
        <v>6.5173417727983667</v>
      </c>
      <c r="AL115" s="521"/>
      <c r="AM115" s="249"/>
      <c r="AN115" s="524">
        <f t="shared" si="369"/>
        <v>167.87700000000027</v>
      </c>
      <c r="AO115" s="558">
        <f t="shared" si="336"/>
        <v>6.6310067910970494</v>
      </c>
      <c r="AP115" s="521"/>
      <c r="AQ115" s="249"/>
      <c r="AR115" s="524">
        <f t="shared" si="370"/>
        <v>138.73000000000013</v>
      </c>
      <c r="AS115" s="558">
        <f t="shared" si="337"/>
        <v>5.1869302667644304</v>
      </c>
      <c r="AT115" s="521"/>
      <c r="AU115" s="249"/>
      <c r="AV115" s="524">
        <f t="shared" si="371"/>
        <v>104.05400000000044</v>
      </c>
      <c r="AW115" s="558">
        <f t="shared" si="338"/>
        <v>3.6686243663448801</v>
      </c>
      <c r="AX115" s="521"/>
      <c r="AY115" s="249"/>
      <c r="AZ115" s="524">
        <f t="shared" si="372"/>
        <v>135.95800000000008</v>
      </c>
      <c r="BA115" s="558">
        <f t="shared" si="339"/>
        <v>4.5778121668697036</v>
      </c>
      <c r="BB115" s="521"/>
      <c r="BC115" s="249"/>
      <c r="BD115" s="524">
        <f t="shared" si="373"/>
        <v>152.50199999999981</v>
      </c>
      <c r="BE115" s="558">
        <f t="shared" si="340"/>
        <v>4.7776540303290842</v>
      </c>
      <c r="BF115" s="521"/>
      <c r="BG115" s="249"/>
      <c r="BH115" s="524">
        <f t="shared" si="374"/>
        <v>287.89299999999992</v>
      </c>
      <c r="BI115" s="558">
        <f t="shared" si="341"/>
        <v>8.0609353208310637</v>
      </c>
      <c r="BJ115" s="521"/>
      <c r="BK115" s="249"/>
      <c r="BL115" s="524">
        <f t="shared" si="375"/>
        <v>414.77299999999923</v>
      </c>
      <c r="BM115" s="558">
        <f t="shared" si="342"/>
        <v>10.777204468933473</v>
      </c>
      <c r="BN115" s="521"/>
      <c r="BO115" s="249"/>
      <c r="BP115" s="524">
        <f t="shared" si="376"/>
        <v>505.43800000000022</v>
      </c>
      <c r="BQ115" s="558">
        <f t="shared" si="343"/>
        <v>12.11390141837513</v>
      </c>
      <c r="BR115" s="521"/>
      <c r="BS115" s="249"/>
      <c r="BT115" s="524">
        <f t="shared" si="377"/>
        <v>546.84200000000021</v>
      </c>
      <c r="BU115" s="558">
        <f t="shared" si="344"/>
        <v>12.234869070331003</v>
      </c>
      <c r="BV115" s="521"/>
      <c r="BW115" s="249"/>
      <c r="BX115" s="524">
        <f t="shared" si="378"/>
        <v>441</v>
      </c>
      <c r="BY115" s="558">
        <f t="shared" si="345"/>
        <v>10.236768802228411</v>
      </c>
      <c r="BZ115" s="521"/>
      <c r="CA115" s="249"/>
      <c r="CB115" s="524">
        <f t="shared" si="379"/>
        <v>285</v>
      </c>
      <c r="CC115" s="558">
        <f t="shared" si="346"/>
        <v>7.0825049701789267</v>
      </c>
      <c r="CD115" s="521"/>
      <c r="CE115" s="249"/>
      <c r="CF115" s="524">
        <f t="shared" si="380"/>
        <v>428</v>
      </c>
      <c r="CG115" s="558">
        <f t="shared" si="347"/>
        <v>9.3003042155584517</v>
      </c>
      <c r="CH115" s="521"/>
      <c r="CI115" s="249"/>
      <c r="CJ115" s="524">
        <f t="shared" si="381"/>
        <v>531</v>
      </c>
      <c r="CK115" s="558">
        <f t="shared" si="348"/>
        <v>10.344827586206897</v>
      </c>
      <c r="CL115" s="521"/>
      <c r="CM115" s="249"/>
      <c r="CN115" s="524">
        <f t="shared" si="382"/>
        <v>490</v>
      </c>
      <c r="CO115" s="558">
        <f t="shared" si="349"/>
        <v>8.7018291600071027</v>
      </c>
      <c r="CP115" s="521"/>
      <c r="CQ115" s="249"/>
      <c r="CR115" s="524">
        <f t="shared" si="383"/>
        <v>534</v>
      </c>
      <c r="CS115" s="558">
        <f t="shared" si="350"/>
        <v>8.9823380992430621</v>
      </c>
      <c r="CT115" s="521"/>
      <c r="CU115" s="249"/>
      <c r="CV115" s="524">
        <f t="shared" si="384"/>
        <v>526</v>
      </c>
      <c r="CW115" s="558">
        <f t="shared" si="351"/>
        <v>8.318835995571721</v>
      </c>
      <c r="CX115" s="521"/>
      <c r="CY115" s="249"/>
      <c r="CZ115" s="524">
        <f t="shared" si="352"/>
        <v>506</v>
      </c>
      <c r="DA115" s="558">
        <f t="shared" si="353"/>
        <v>7.3163678426836327</v>
      </c>
      <c r="DB115" s="521"/>
      <c r="DD115" s="524">
        <f t="shared" si="354"/>
        <v>266</v>
      </c>
      <c r="DE115" s="558">
        <f t="shared" si="355"/>
        <v>3.8550724637681157</v>
      </c>
      <c r="DF115" s="521"/>
      <c r="DH115" s="524">
        <f t="shared" si="356"/>
        <v>291</v>
      </c>
      <c r="DI115" s="558">
        <f t="shared" si="357"/>
        <v>4.0716384496991749</v>
      </c>
      <c r="DJ115" s="521"/>
      <c r="DL115" s="524">
        <f t="shared" si="358"/>
        <v>258.39648703389321</v>
      </c>
      <c r="DM115" s="558">
        <f t="shared" si="359"/>
        <v>3.4083081045846617</v>
      </c>
      <c r="DN115" s="521"/>
      <c r="DO115" s="521"/>
    </row>
    <row r="116" spans="1:119" outlineLevel="1" x14ac:dyDescent="0.2">
      <c r="A116" s="517" t="s">
        <v>282</v>
      </c>
      <c r="D116" s="524">
        <f t="shared" si="360"/>
        <v>102.31600000000003</v>
      </c>
      <c r="E116" s="558">
        <f t="shared" si="327"/>
        <v>6.4684744374002703</v>
      </c>
      <c r="F116" s="521"/>
      <c r="G116" s="249"/>
      <c r="H116" s="524">
        <f t="shared" si="361"/>
        <v>95.389000000000038</v>
      </c>
      <c r="I116" s="558">
        <f t="shared" si="328"/>
        <v>5.5738547884291219</v>
      </c>
      <c r="J116" s="521"/>
      <c r="K116" s="249"/>
      <c r="L116" s="524">
        <f t="shared" si="362"/>
        <v>125.4839999999998</v>
      </c>
      <c r="M116" s="558">
        <f t="shared" si="329"/>
        <v>6.7699973725823748</v>
      </c>
      <c r="N116" s="521"/>
      <c r="O116" s="249"/>
      <c r="P116" s="524">
        <f t="shared" si="363"/>
        <v>142.37199999999987</v>
      </c>
      <c r="Q116" s="558">
        <f t="shared" si="330"/>
        <v>7.4148993791925273</v>
      </c>
      <c r="R116" s="521"/>
      <c r="S116" s="249"/>
      <c r="T116" s="524">
        <f t="shared" si="364"/>
        <v>178.56199999999998</v>
      </c>
      <c r="U116" s="558">
        <f t="shared" si="331"/>
        <v>8.5000259434489926</v>
      </c>
      <c r="V116" s="521"/>
      <c r="W116" s="249"/>
      <c r="X116" s="524">
        <f t="shared" si="365"/>
        <v>137.56999999999968</v>
      </c>
      <c r="Y116" s="558">
        <f t="shared" si="332"/>
        <v>6.2151928643423453</v>
      </c>
      <c r="Z116" s="521"/>
      <c r="AA116" s="249"/>
      <c r="AB116" s="524">
        <f t="shared" si="366"/>
        <v>126.52699999999984</v>
      </c>
      <c r="AC116" s="558">
        <f t="shared" si="333"/>
        <v>5.3457926393369695</v>
      </c>
      <c r="AD116" s="521"/>
      <c r="AE116" s="249"/>
      <c r="AF116" s="524">
        <f t="shared" si="367"/>
        <v>157.17799999999988</v>
      </c>
      <c r="AG116" s="558">
        <f t="shared" si="334"/>
        <v>6.0482364344888495</v>
      </c>
      <c r="AH116" s="521"/>
      <c r="AI116" s="249"/>
      <c r="AJ116" s="524">
        <f t="shared" si="368"/>
        <v>523.51699999999948</v>
      </c>
      <c r="AK116" s="558">
        <f t="shared" si="335"/>
        <v>17.799308518469015</v>
      </c>
      <c r="AL116" s="521"/>
      <c r="AM116" s="249"/>
      <c r="AN116" s="524">
        <f t="shared" si="369"/>
        <v>156.16100000000017</v>
      </c>
      <c r="AO116" s="558">
        <f t="shared" si="336"/>
        <v>5.7278769688075579</v>
      </c>
      <c r="AP116" s="521"/>
      <c r="AQ116" s="249"/>
      <c r="AR116" s="524">
        <f t="shared" si="370"/>
        <v>84.344999999999573</v>
      </c>
      <c r="AS116" s="558">
        <f t="shared" si="337"/>
        <v>2.82607311704019</v>
      </c>
      <c r="AT116" s="521"/>
      <c r="AU116" s="249"/>
      <c r="AV116" s="524">
        <f t="shared" si="371"/>
        <v>100.43399999999986</v>
      </c>
      <c r="AW116" s="558">
        <f t="shared" si="338"/>
        <v>3.4257962450429704</v>
      </c>
      <c r="AX116" s="521"/>
      <c r="AY116" s="249"/>
      <c r="AZ116" s="524">
        <f t="shared" si="372"/>
        <v>128.63400000000019</v>
      </c>
      <c r="BA116" s="558">
        <f t="shared" si="339"/>
        <v>4.088656532063796</v>
      </c>
      <c r="BB116" s="521"/>
      <c r="BC116" s="249"/>
      <c r="BD116" s="524">
        <f t="shared" si="373"/>
        <v>245.68699999999959</v>
      </c>
      <c r="BE116" s="558">
        <f t="shared" si="340"/>
        <v>7.2013558141641081</v>
      </c>
      <c r="BF116" s="521"/>
      <c r="BG116" s="249"/>
      <c r="BH116" s="524">
        <f t="shared" si="374"/>
        <v>359.41299999999978</v>
      </c>
      <c r="BI116" s="558">
        <f t="shared" si="341"/>
        <v>9.6282618106692439</v>
      </c>
      <c r="BJ116" s="521"/>
      <c r="BK116" s="249"/>
      <c r="BL116" s="524">
        <f t="shared" si="375"/>
        <v>470.20400000000001</v>
      </c>
      <c r="BM116" s="558">
        <f t="shared" si="342"/>
        <v>11.551924747540262</v>
      </c>
      <c r="BN116" s="521"/>
      <c r="BO116" s="249"/>
      <c r="BP116" s="524">
        <f t="shared" si="376"/>
        <v>600.2149999999998</v>
      </c>
      <c r="BQ116" s="558">
        <f t="shared" si="343"/>
        <v>12.972452274693561</v>
      </c>
      <c r="BR116" s="521"/>
      <c r="BS116" s="249"/>
      <c r="BT116" s="524">
        <f t="shared" si="377"/>
        <v>591.30899999999963</v>
      </c>
      <c r="BU116" s="558">
        <f t="shared" si="344"/>
        <v>12.773396312944952</v>
      </c>
      <c r="BV116" s="521"/>
      <c r="BW116" s="249"/>
      <c r="BX116" s="524">
        <f t="shared" si="378"/>
        <v>217.55099999999993</v>
      </c>
      <c r="BY116" s="558">
        <f t="shared" si="345"/>
        <v>5.07230123571928</v>
      </c>
      <c r="BZ116" s="521"/>
      <c r="CA116" s="249"/>
      <c r="CB116" s="524">
        <f t="shared" si="379"/>
        <v>411</v>
      </c>
      <c r="CC116" s="558">
        <f t="shared" si="346"/>
        <v>8.9289593743210958</v>
      </c>
      <c r="CD116" s="521"/>
      <c r="CE116" s="249"/>
      <c r="CF116" s="524">
        <f t="shared" si="380"/>
        <v>563</v>
      </c>
      <c r="CG116" s="558">
        <f t="shared" si="347"/>
        <v>11.043546488819144</v>
      </c>
      <c r="CH116" s="521"/>
      <c r="CI116" s="249"/>
      <c r="CJ116" s="524">
        <f t="shared" si="381"/>
        <v>588</v>
      </c>
      <c r="CK116" s="558">
        <f t="shared" si="348"/>
        <v>10.236768802228411</v>
      </c>
      <c r="CL116" s="521"/>
      <c r="CM116" s="249"/>
      <c r="CN116" s="524">
        <f t="shared" si="382"/>
        <v>695</v>
      </c>
      <c r="CO116" s="558">
        <f t="shared" si="349"/>
        <v>10.687375057665694</v>
      </c>
      <c r="CP116" s="521"/>
      <c r="CQ116" s="249"/>
      <c r="CR116" s="524">
        <f t="shared" si="383"/>
        <v>655</v>
      </c>
      <c r="CS116" s="558">
        <f t="shared" si="350"/>
        <v>9.9317664897649731</v>
      </c>
      <c r="CT116" s="521"/>
      <c r="CU116" s="249"/>
      <c r="CV116" s="524">
        <f t="shared" si="384"/>
        <v>659</v>
      </c>
      <c r="CW116" s="558">
        <f t="shared" si="351"/>
        <v>9.1744396491716547</v>
      </c>
      <c r="CX116" s="521"/>
      <c r="CY116" s="249"/>
      <c r="CZ116" s="524">
        <f t="shared" si="352"/>
        <v>498</v>
      </c>
      <c r="DA116" s="558">
        <f t="shared" si="353"/>
        <v>6.6214599122457125</v>
      </c>
      <c r="DB116" s="521"/>
      <c r="DD116" s="524">
        <f t="shared" si="354"/>
        <v>615</v>
      </c>
      <c r="DE116" s="558">
        <f t="shared" si="355"/>
        <v>7.8264189361160597</v>
      </c>
      <c r="DF116" s="521"/>
      <c r="DH116" s="524">
        <f t="shared" si="356"/>
        <v>499</v>
      </c>
      <c r="DI116" s="558">
        <f t="shared" si="357"/>
        <v>5.9896771095906853</v>
      </c>
      <c r="DJ116" s="521"/>
      <c r="DL116" s="524">
        <f t="shared" si="358"/>
        <v>484.3391516420761</v>
      </c>
      <c r="DM116" s="558">
        <f t="shared" si="359"/>
        <v>5.9664084067964476</v>
      </c>
      <c r="DN116" s="521"/>
      <c r="DO116" s="521"/>
    </row>
    <row r="117" spans="1:119" outlineLevel="1" x14ac:dyDescent="0.2">
      <c r="D117" s="361"/>
      <c r="E117" s="550"/>
      <c r="F117" s="521"/>
      <c r="H117" s="361"/>
      <c r="I117" s="550"/>
      <c r="J117" s="521"/>
      <c r="L117" s="361"/>
      <c r="M117" s="550"/>
      <c r="N117" s="521"/>
      <c r="P117" s="361"/>
      <c r="Q117" s="550"/>
      <c r="R117" s="521"/>
      <c r="T117" s="361"/>
      <c r="U117" s="550"/>
      <c r="V117" s="521"/>
      <c r="X117" s="361"/>
      <c r="Y117" s="550"/>
      <c r="Z117" s="521"/>
      <c r="AB117" s="361"/>
      <c r="AC117" s="550"/>
      <c r="AD117" s="521"/>
      <c r="AF117" s="361"/>
      <c r="AG117" s="550"/>
      <c r="AH117" s="521"/>
      <c r="AJ117" s="361"/>
      <c r="AK117" s="550"/>
      <c r="AL117" s="521"/>
      <c r="AN117" s="361"/>
      <c r="AO117" s="550"/>
      <c r="AP117" s="521"/>
      <c r="AR117" s="361"/>
      <c r="AS117" s="550"/>
      <c r="AT117" s="521"/>
      <c r="AV117" s="361"/>
      <c r="AW117" s="550"/>
      <c r="AX117" s="521"/>
      <c r="AZ117" s="361"/>
      <c r="BA117" s="550"/>
      <c r="BB117" s="521"/>
      <c r="BD117" s="361"/>
      <c r="BE117" s="550"/>
      <c r="BF117" s="521"/>
      <c r="BH117" s="361"/>
      <c r="BI117" s="550"/>
      <c r="BJ117" s="521"/>
      <c r="BL117" s="361"/>
      <c r="BM117" s="550"/>
      <c r="BN117" s="521"/>
      <c r="BP117" s="362"/>
      <c r="BQ117" s="551"/>
      <c r="BR117" s="520"/>
      <c r="BT117" s="362"/>
      <c r="BU117" s="551"/>
      <c r="BV117" s="520"/>
      <c r="BX117" s="362"/>
      <c r="BY117" s="551"/>
      <c r="BZ117" s="520"/>
      <c r="CB117" s="362"/>
      <c r="CC117" s="551"/>
      <c r="CD117" s="520"/>
      <c r="CF117" s="362"/>
      <c r="CG117" s="551"/>
      <c r="CH117" s="520"/>
      <c r="CJ117" s="362"/>
      <c r="CK117" s="551"/>
      <c r="CL117" s="520"/>
      <c r="CN117" s="362"/>
      <c r="CO117" s="551"/>
      <c r="CP117" s="521"/>
      <c r="CR117" s="362"/>
      <c r="CS117" s="551"/>
      <c r="CT117" s="521"/>
      <c r="CV117" s="362"/>
      <c r="CW117" s="551"/>
      <c r="CX117" s="521"/>
      <c r="CZ117" s="362"/>
      <c r="DA117" s="551"/>
      <c r="DB117" s="521"/>
      <c r="DD117" s="362"/>
      <c r="DE117" s="551"/>
      <c r="DF117" s="521"/>
      <c r="DH117" s="362"/>
      <c r="DI117" s="551"/>
      <c r="DJ117" s="521"/>
      <c r="DL117" s="362"/>
      <c r="DM117" s="551"/>
      <c r="DN117" s="521"/>
      <c r="DO117" s="521"/>
    </row>
    <row r="118" spans="1:119" s="516" customFormat="1" ht="12.75" customHeight="1" outlineLevel="1" x14ac:dyDescent="0.2">
      <c r="A118" s="515" t="s">
        <v>444</v>
      </c>
      <c r="CG118" s="1397" t="str">
        <f>A118</f>
        <v>10. Income Taxes/(Credit) (% Tax Rate / % Change)</v>
      </c>
      <c r="CH118" s="1397"/>
      <c r="CI118" s="1397"/>
      <c r="CJ118" s="1397"/>
      <c r="CK118" s="1397"/>
      <c r="CL118" s="1397"/>
      <c r="CM118" s="1397"/>
      <c r="CN118" s="1397"/>
      <c r="CO118" s="1397"/>
      <c r="CP118" s="1397"/>
      <c r="CQ118" s="1397"/>
      <c r="CR118" s="1397"/>
      <c r="CS118" s="1397"/>
      <c r="CT118" s="1397"/>
      <c r="CU118" s="1397"/>
      <c r="CV118" s="1397"/>
      <c r="CW118" s="1397"/>
      <c r="CX118" s="1397"/>
      <c r="CY118" s="1397"/>
      <c r="CZ118" s="1397"/>
      <c r="DA118" s="1397"/>
      <c r="DB118" s="1397"/>
      <c r="DC118" s="1397"/>
      <c r="DD118" s="1397"/>
      <c r="DE118" s="1397"/>
      <c r="DF118" s="1397"/>
      <c r="DG118" s="846"/>
      <c r="DH118" s="846"/>
      <c r="DI118" s="846"/>
      <c r="DJ118" s="846"/>
      <c r="DK118" s="1222"/>
      <c r="DL118" s="1222"/>
      <c r="DM118" s="1222"/>
      <c r="DN118" s="1222"/>
      <c r="DO118" s="1222"/>
    </row>
    <row r="119" spans="1:119" outlineLevel="1" x14ac:dyDescent="0.2">
      <c r="D119" s="361"/>
      <c r="E119" s="550"/>
      <c r="F119" s="521"/>
      <c r="H119" s="361"/>
      <c r="I119" s="550"/>
      <c r="J119" s="521"/>
      <c r="L119" s="361"/>
      <c r="M119" s="550"/>
      <c r="N119" s="521"/>
      <c r="P119" s="361"/>
      <c r="Q119" s="550"/>
      <c r="R119" s="521"/>
      <c r="T119" s="361"/>
      <c r="U119" s="550"/>
      <c r="V119" s="521"/>
      <c r="X119" s="361"/>
      <c r="Y119" s="550"/>
      <c r="Z119" s="521"/>
      <c r="AB119" s="361"/>
      <c r="AC119" s="550"/>
      <c r="AD119" s="521"/>
      <c r="AF119" s="361"/>
      <c r="AG119" s="550"/>
      <c r="AH119" s="521"/>
      <c r="AJ119" s="361"/>
      <c r="AK119" s="550"/>
      <c r="AL119" s="521"/>
      <c r="AN119" s="361"/>
      <c r="AO119" s="550"/>
      <c r="AP119" s="521"/>
      <c r="AR119" s="361"/>
      <c r="AS119" s="550"/>
      <c r="AT119" s="521"/>
      <c r="AV119" s="361"/>
      <c r="AW119" s="550"/>
      <c r="AX119" s="521"/>
      <c r="AZ119" s="361"/>
      <c r="BA119" s="550"/>
      <c r="BB119" s="521"/>
      <c r="BD119" s="361"/>
      <c r="BE119" s="550"/>
      <c r="BF119" s="521"/>
      <c r="BH119" s="361"/>
      <c r="BI119" s="550"/>
      <c r="BJ119" s="521"/>
      <c r="BL119" s="361"/>
      <c r="BM119" s="550"/>
      <c r="BN119" s="521"/>
      <c r="BP119" s="362"/>
      <c r="BQ119" s="551"/>
      <c r="BR119" s="520"/>
      <c r="BT119" s="362"/>
      <c r="BU119" s="551"/>
      <c r="BV119" s="520"/>
      <c r="BX119" s="362"/>
      <c r="BY119" s="551"/>
      <c r="BZ119" s="520"/>
      <c r="CB119" s="362"/>
      <c r="CC119" s="551"/>
      <c r="CD119" s="520"/>
      <c r="CF119" s="362"/>
      <c r="CG119" s="551"/>
      <c r="CH119" s="520"/>
      <c r="CJ119" s="362"/>
      <c r="CK119" s="551"/>
      <c r="CL119" s="520"/>
      <c r="CN119" s="362"/>
      <c r="CO119" s="551"/>
      <c r="CP119" s="521"/>
      <c r="CR119" s="362"/>
      <c r="CS119" s="551"/>
      <c r="CT119" s="521"/>
      <c r="CV119" s="362"/>
      <c r="CW119" s="551"/>
      <c r="CX119" s="521"/>
      <c r="CZ119" s="362"/>
      <c r="DA119" s="551"/>
      <c r="DB119" s="521"/>
      <c r="DD119" s="362"/>
      <c r="DE119" s="551"/>
      <c r="DF119" s="521"/>
      <c r="DH119" s="362"/>
      <c r="DI119" s="551"/>
      <c r="DJ119" s="521"/>
      <c r="DL119" s="362"/>
      <c r="DM119" s="551"/>
      <c r="DN119" s="521"/>
      <c r="DO119" s="521"/>
    </row>
    <row r="120" spans="1:119" outlineLevel="1" x14ac:dyDescent="0.2">
      <c r="A120" s="517" t="s">
        <v>78</v>
      </c>
      <c r="D120" s="530">
        <v>7.4</v>
      </c>
      <c r="E120" s="558">
        <f>(D120/D110)*100</f>
        <v>35.922330097087283</v>
      </c>
      <c r="F120" s="521"/>
      <c r="H120" s="530">
        <v>15.7</v>
      </c>
      <c r="I120" s="558">
        <f>(H120/H110)*100</f>
        <v>37.962134584230029</v>
      </c>
      <c r="J120" s="521"/>
      <c r="L120" s="530">
        <v>13.7</v>
      </c>
      <c r="M120" s="558">
        <f>(L120/L110)*100</f>
        <v>38.829998299416182</v>
      </c>
      <c r="N120" s="521"/>
      <c r="P120" s="530">
        <v>7.1</v>
      </c>
      <c r="Q120" s="558">
        <f>(P120/P110)*100</f>
        <v>38.597444957869008</v>
      </c>
      <c r="R120" s="521"/>
      <c r="T120" s="530">
        <v>20.8</v>
      </c>
      <c r="U120" s="558">
        <f>(T120/T110)*100</f>
        <v>39.414094328539171</v>
      </c>
      <c r="V120" s="521"/>
      <c r="X120" s="530">
        <v>18</v>
      </c>
      <c r="Y120" s="558">
        <f>(X120/X110)*100</f>
        <v>39.407141449745055</v>
      </c>
      <c r="Z120" s="521"/>
      <c r="AB120" s="530">
        <v>17.899999999999999</v>
      </c>
      <c r="AC120" s="558">
        <f>(AB120/AB110)*100</f>
        <v>39.558885279232605</v>
      </c>
      <c r="AD120" s="521"/>
      <c r="AF120" s="530">
        <v>21</v>
      </c>
      <c r="AG120" s="558">
        <f>(AF120/AF110)*100</f>
        <v>39.363436990384088</v>
      </c>
      <c r="AH120" s="521"/>
      <c r="AJ120" s="530">
        <v>20.5</v>
      </c>
      <c r="AK120" s="558">
        <f>(AJ120/AJ110)*100</f>
        <v>38.798569184473074</v>
      </c>
      <c r="AL120" s="521"/>
      <c r="AN120" s="530">
        <v>20.149999999999999</v>
      </c>
      <c r="AO120" s="558">
        <f>(AN120/AN110)*100</f>
        <v>38.983903420523134</v>
      </c>
      <c r="AP120" s="521"/>
      <c r="AR120" s="530">
        <v>20.9</v>
      </c>
      <c r="AS120" s="558">
        <f>(AR120/AR110)*100</f>
        <v>38.927899569744255</v>
      </c>
      <c r="AT120" s="521"/>
      <c r="AV120" s="530">
        <v>15.8</v>
      </c>
      <c r="AW120" s="558">
        <f>(AV120/AV110)*100</f>
        <v>38.959437800517847</v>
      </c>
      <c r="AX120" s="521"/>
      <c r="AZ120" s="530">
        <v>19.010000000000002</v>
      </c>
      <c r="BA120" s="558">
        <f>(AZ120/AZ110)*100</f>
        <v>38.138993660219825</v>
      </c>
      <c r="BB120" s="521"/>
      <c r="BD120" s="530">
        <v>17.3</v>
      </c>
      <c r="BE120" s="558">
        <f>(BD120/BD110)*100</f>
        <v>38.915757507591955</v>
      </c>
      <c r="BF120" s="521"/>
      <c r="BH120" s="530">
        <v>43.9</v>
      </c>
      <c r="BI120" s="558">
        <f>(BH120/BH110)*100</f>
        <v>38.978220142594552</v>
      </c>
      <c r="BJ120" s="521"/>
      <c r="BL120" s="530">
        <v>68.441999999999965</v>
      </c>
      <c r="BM120" s="558">
        <f>(BL120/BL110)*100</f>
        <v>39.566423864030526</v>
      </c>
      <c r="BN120" s="521"/>
      <c r="BP120" s="530">
        <v>81.855999999999995</v>
      </c>
      <c r="BQ120" s="558">
        <f>(BP120/BP110)*100</f>
        <v>38.414356577360422</v>
      </c>
      <c r="BR120" s="520"/>
      <c r="BT120" s="530">
        <v>96.947999999999993</v>
      </c>
      <c r="BU120" s="558">
        <f>(BT120/BT110)*100</f>
        <v>38.204753328945962</v>
      </c>
      <c r="BV120" s="520">
        <f t="shared" ref="BV120:BV126" si="385">(BT120/BP120-1)*100</f>
        <v>18.437255668491016</v>
      </c>
      <c r="BX120" s="530">
        <v>77</v>
      </c>
      <c r="BY120" s="558">
        <f>(BX120/BX110)*100</f>
        <v>37.378640776699029</v>
      </c>
      <c r="BZ120" s="520">
        <f t="shared" ref="BZ120:BZ126" si="386">(BX120/BT120-1)*100</f>
        <v>-20.575978875273336</v>
      </c>
      <c r="CB120" s="530">
        <v>47</v>
      </c>
      <c r="CC120" s="558">
        <f>(CB120/CB110)*100</f>
        <v>40.869565217391305</v>
      </c>
      <c r="CD120" s="520">
        <f t="shared" ref="CD120:CD126" si="387">(CB120/BX120-1)*100</f>
        <v>-38.961038961038966</v>
      </c>
      <c r="CF120" s="1164">
        <v>72</v>
      </c>
      <c r="CG120" s="558">
        <f>(CF120/CF110)*100</f>
        <v>38.297872340425535</v>
      </c>
      <c r="CH120" s="520">
        <f t="shared" ref="CH120:CH126" si="388">(CF120/CB120-1)*100</f>
        <v>53.191489361702125</v>
      </c>
      <c r="CJ120" s="1164">
        <v>96</v>
      </c>
      <c r="CK120" s="558">
        <f>(CJ120/CJ110)*100</f>
        <v>39.834024896265561</v>
      </c>
      <c r="CL120" s="520">
        <f t="shared" ref="CL120:CL126" si="389">(CJ120/CF120-1)*100</f>
        <v>33.333333333333329</v>
      </c>
      <c r="CN120" s="1164">
        <v>91</v>
      </c>
      <c r="CO120" s="558">
        <f>(CN120/CN110)*100</f>
        <v>37.916666666666664</v>
      </c>
      <c r="CP120" s="521">
        <f t="shared" ref="CP120:CP126" si="390">(CN120/CJ120-1)*100</f>
        <v>-5.2083333333333375</v>
      </c>
      <c r="CR120" s="1164">
        <v>91</v>
      </c>
      <c r="CS120" s="558">
        <f>(CR120/CR110)*100</f>
        <v>38.559322033898304</v>
      </c>
      <c r="CT120" s="521">
        <f>(CR120/CN120-1)*100</f>
        <v>0</v>
      </c>
      <c r="CV120" s="1164">
        <v>90</v>
      </c>
      <c r="CW120" s="558">
        <f>(CV120/CV110)*100</f>
        <v>39.130434782608695</v>
      </c>
      <c r="CX120" s="521">
        <f>(CV120/CR120-1)*100</f>
        <v>-1.098901098901095</v>
      </c>
      <c r="CZ120" s="1164">
        <v>84</v>
      </c>
      <c r="DA120" s="558">
        <f>(CZ120/CZ110)*100</f>
        <v>39.622641509433961</v>
      </c>
      <c r="DB120" s="521">
        <f t="shared" ref="DB120:DB126" si="391">(CZ120/CV120-1)*100</f>
        <v>-6.6666666666666652</v>
      </c>
      <c r="DD120" s="1164">
        <f>29</f>
        <v>29</v>
      </c>
      <c r="DE120" s="558">
        <f>(DD120/DD110)*100</f>
        <v>38.666666666666664</v>
      </c>
      <c r="DF120" s="521">
        <f t="shared" ref="DF120:DF126" si="392">(DD120/CZ120-1)*100</f>
        <v>-65.476190476190482</v>
      </c>
      <c r="DH120" s="1164">
        <v>40</v>
      </c>
      <c r="DI120" s="558">
        <f>(DH120/DH110)*100</f>
        <v>38.834951456310677</v>
      </c>
      <c r="DJ120" s="521">
        <f t="shared" ref="DJ120:DJ126" si="393">(DH120/DD120-1)*100</f>
        <v>37.931034482758633</v>
      </c>
      <c r="DL120" s="1167">
        <f>DL110*DM120%</f>
        <v>26.589242677884684</v>
      </c>
      <c r="DM120" s="1181">
        <v>27.5</v>
      </c>
      <c r="DN120" s="521">
        <f t="shared" ref="DN120:DN126" si="394">(DL120/DH120-1)*100</f>
        <v>-33.526893305288283</v>
      </c>
      <c r="DO120" s="521"/>
    </row>
    <row r="121" spans="1:119" outlineLevel="1" x14ac:dyDescent="0.2">
      <c r="A121" s="517" t="s">
        <v>79</v>
      </c>
      <c r="D121" s="533">
        <v>20.2</v>
      </c>
      <c r="E121" s="558">
        <f>(D121/D111)*100</f>
        <v>36.462093862815877</v>
      </c>
      <c r="F121" s="521"/>
      <c r="H121" s="533">
        <v>30.6</v>
      </c>
      <c r="I121" s="558">
        <f>(H121/H111)*100</f>
        <v>38.027066323677445</v>
      </c>
      <c r="J121" s="521"/>
      <c r="L121" s="533">
        <v>26.3</v>
      </c>
      <c r="M121" s="558">
        <f>(L121/L111)*100</f>
        <v>38.703221344164355</v>
      </c>
      <c r="N121" s="521"/>
      <c r="P121" s="533">
        <v>27.5</v>
      </c>
      <c r="Q121" s="558">
        <f>(P121/P111)*100</f>
        <v>39.201151801114733</v>
      </c>
      <c r="R121" s="521"/>
      <c r="T121" s="533">
        <v>41.2</v>
      </c>
      <c r="U121" s="558">
        <f>(T121/T111)*100</f>
        <v>39.530621839709099</v>
      </c>
      <c r="V121" s="521"/>
      <c r="X121" s="533">
        <v>35.200000000000003</v>
      </c>
      <c r="Y121" s="558">
        <f>(X121/X111)*100</f>
        <v>39.522141381478477</v>
      </c>
      <c r="Z121" s="521"/>
      <c r="AB121" s="533">
        <v>29.3</v>
      </c>
      <c r="AC121" s="558">
        <f>(AB121/AB111)*100</f>
        <v>39.551301953267441</v>
      </c>
      <c r="AD121" s="521"/>
      <c r="AF121" s="533">
        <v>38.1</v>
      </c>
      <c r="AG121" s="558">
        <f>(AF121/AF111)*100</f>
        <v>39.405911921064067</v>
      </c>
      <c r="AH121" s="521"/>
      <c r="AJ121" s="533">
        <v>43.868056000000031</v>
      </c>
      <c r="AK121" s="558">
        <f>(AJ121/AJ111)*100</f>
        <v>38.799999999999997</v>
      </c>
      <c r="AL121" s="521"/>
      <c r="AN121" s="533">
        <v>45.35</v>
      </c>
      <c r="AO121" s="558">
        <f>(AN121/AN111)*100</f>
        <v>39.031233593541515</v>
      </c>
      <c r="AP121" s="521"/>
      <c r="AR121" s="533">
        <v>33.251031000000033</v>
      </c>
      <c r="AS121" s="558">
        <f>(AR121/AR111)*100</f>
        <v>39.100000000000037</v>
      </c>
      <c r="AT121" s="521"/>
      <c r="AV121" s="533">
        <v>24.8</v>
      </c>
      <c r="AW121" s="558">
        <f>(AV121/AV111)*100</f>
        <v>39.055733161152098</v>
      </c>
      <c r="AX121" s="521"/>
      <c r="AZ121" s="533">
        <v>28.1647</v>
      </c>
      <c r="BA121" s="558">
        <f>(AZ121/AZ111)*100</f>
        <v>32.706296304898224</v>
      </c>
      <c r="BB121" s="521"/>
      <c r="BD121" s="533">
        <v>42.2</v>
      </c>
      <c r="BE121" s="558">
        <f>(BD121/BD111)*100</f>
        <v>39.057077012781569</v>
      </c>
      <c r="BF121" s="521"/>
      <c r="BH121" s="533">
        <v>68.350999999999999</v>
      </c>
      <c r="BI121" s="558">
        <f>(BH121/BH111)*100</f>
        <v>38.998436661988073</v>
      </c>
      <c r="BJ121" s="521"/>
      <c r="BL121" s="533">
        <v>92.875</v>
      </c>
      <c r="BM121" s="558">
        <f>(BL121/BL111)*100</f>
        <v>38.410954824994967</v>
      </c>
      <c r="BN121" s="521"/>
      <c r="BP121" s="533">
        <v>113.59699999999991</v>
      </c>
      <c r="BQ121" s="558">
        <f>(BP121/BP111)*100</f>
        <v>38.856374700274657</v>
      </c>
      <c r="BR121" s="520"/>
      <c r="BT121" s="533">
        <v>112.51900000000001</v>
      </c>
      <c r="BU121" s="558">
        <f>(BT121/BT111)*100</f>
        <v>38.391513666777016</v>
      </c>
      <c r="BV121" s="520">
        <f t="shared" si="385"/>
        <v>-0.94896872276548638</v>
      </c>
      <c r="BX121" s="533">
        <v>92</v>
      </c>
      <c r="BY121" s="558">
        <f>(BX121/BX111)*100</f>
        <v>39.148936170212764</v>
      </c>
      <c r="BZ121" s="520">
        <f t="shared" si="386"/>
        <v>-18.236031248055884</v>
      </c>
      <c r="CB121" s="533">
        <v>65</v>
      </c>
      <c r="CC121" s="558">
        <f>(CB121/CB111)*100</f>
        <v>38.235294117647058</v>
      </c>
      <c r="CD121" s="520">
        <f t="shared" si="387"/>
        <v>-29.34782608695652</v>
      </c>
      <c r="CF121" s="1165">
        <v>94</v>
      </c>
      <c r="CG121" s="558">
        <f>(CF121/CF111)*100</f>
        <v>39.166666666666664</v>
      </c>
      <c r="CH121" s="520">
        <f t="shared" si="388"/>
        <v>44.615384615384613</v>
      </c>
      <c r="CJ121" s="1165">
        <v>115</v>
      </c>
      <c r="CK121" s="558">
        <f>(CJ121/CJ111)*100</f>
        <v>39.655172413793103</v>
      </c>
      <c r="CL121" s="520">
        <f t="shared" si="389"/>
        <v>22.340425531914889</v>
      </c>
      <c r="CN121" s="1165">
        <v>94</v>
      </c>
      <c r="CO121" s="558">
        <f>(CN121/CN111)*100</f>
        <v>37.6</v>
      </c>
      <c r="CP121" s="521">
        <f t="shared" si="390"/>
        <v>-18.260869565217387</v>
      </c>
      <c r="CR121" s="1165">
        <v>114</v>
      </c>
      <c r="CS121" s="558">
        <f>(CR121/CR111)*100</f>
        <v>38.255033557046978</v>
      </c>
      <c r="CT121" s="521">
        <f t="shared" ref="CT121:CT126" si="395">(CR121/CN121-1)*100</f>
        <v>21.276595744680861</v>
      </c>
      <c r="CV121" s="1165">
        <v>113</v>
      </c>
      <c r="CW121" s="558">
        <f>(CV121/CV111)*100</f>
        <v>38.175675675675677</v>
      </c>
      <c r="CX121" s="521">
        <f t="shared" ref="CX121:CX126" si="396">(CV121/CR121-1)*100</f>
        <v>-0.87719298245614308</v>
      </c>
      <c r="CZ121" s="1165">
        <f>134-(20.74)</f>
        <v>113.26</v>
      </c>
      <c r="DA121" s="558">
        <f>(CZ121/CZ111)*100</f>
        <v>38.523809523809526</v>
      </c>
      <c r="DB121" s="521">
        <f t="shared" si="391"/>
        <v>0.23008849557522026</v>
      </c>
      <c r="DD121" s="1165">
        <v>74</v>
      </c>
      <c r="DE121" s="558">
        <f>(DD121/DD111)*100</f>
        <v>38.7434554973822</v>
      </c>
      <c r="DF121" s="521">
        <f t="shared" si="392"/>
        <v>-34.66360586261699</v>
      </c>
      <c r="DH121" s="1165">
        <v>78</v>
      </c>
      <c r="DI121" s="558">
        <f>(DH121/DH111)*100</f>
        <v>41.48936170212766</v>
      </c>
      <c r="DJ121" s="521">
        <f t="shared" si="393"/>
        <v>5.4054054054053946</v>
      </c>
      <c r="DL121" s="1167">
        <f>DL111*DM121%</f>
        <v>45.278332915643567</v>
      </c>
      <c r="DM121" s="1181">
        <v>28</v>
      </c>
      <c r="DN121" s="521">
        <f t="shared" si="394"/>
        <v>-41.9508552363544</v>
      </c>
      <c r="DO121" s="521"/>
    </row>
    <row r="122" spans="1:119" outlineLevel="1" x14ac:dyDescent="0.2">
      <c r="A122" s="517" t="s">
        <v>80</v>
      </c>
      <c r="D122" s="533">
        <v>11.1</v>
      </c>
      <c r="E122" s="558">
        <f>(D122/D112)*100</f>
        <v>35.238095238095326</v>
      </c>
      <c r="F122" s="521"/>
      <c r="H122" s="533">
        <v>11.9</v>
      </c>
      <c r="I122" s="558">
        <f>(H122/H112)*100</f>
        <v>37.982764123842998</v>
      </c>
      <c r="J122" s="521"/>
      <c r="L122" s="533">
        <v>14.3</v>
      </c>
      <c r="M122" s="558">
        <f>(L122/L112)*100</f>
        <v>37.901879191073121</v>
      </c>
      <c r="N122" s="521"/>
      <c r="P122" s="533">
        <v>16.600000000000001</v>
      </c>
      <c r="Q122" s="558">
        <f>(P122/P112)*100</f>
        <v>39.471181282100041</v>
      </c>
      <c r="R122" s="521"/>
      <c r="T122" s="533">
        <v>25</v>
      </c>
      <c r="U122" s="558">
        <f>(T122/T112)*100</f>
        <v>39.63284135766267</v>
      </c>
      <c r="V122" s="521"/>
      <c r="X122" s="533">
        <v>19.100000000000001</v>
      </c>
      <c r="Y122" s="558">
        <f>(X122/X112)*100</f>
        <v>39.347369288451276</v>
      </c>
      <c r="Z122" s="521"/>
      <c r="AB122" s="533">
        <v>21.7</v>
      </c>
      <c r="AC122" s="558">
        <f>(AB122/AB112)*100</f>
        <v>38.93354384957653</v>
      </c>
      <c r="AD122" s="521"/>
      <c r="AF122" s="533">
        <v>23.5</v>
      </c>
      <c r="AG122" s="558">
        <f>(AF122/AF112)*100</f>
        <v>39.399782043758776</v>
      </c>
      <c r="AH122" s="521"/>
      <c r="AJ122" s="533">
        <v>24.511899999999962</v>
      </c>
      <c r="AK122" s="558">
        <f>(AJ122/AJ112)*100</f>
        <v>5.9083612136872379</v>
      </c>
      <c r="AL122" s="521"/>
      <c r="AN122" s="533">
        <v>25.362869999999983</v>
      </c>
      <c r="AO122" s="558">
        <f>(AN122/AN112)*100</f>
        <v>38.999999999999993</v>
      </c>
      <c r="AP122" s="521"/>
      <c r="AR122" s="533">
        <v>14.988985000000021</v>
      </c>
      <c r="AS122" s="558">
        <f>(AR122/AR112)*100</f>
        <v>39.100000000000186</v>
      </c>
      <c r="AT122" s="521"/>
      <c r="AV122" s="533">
        <v>6.6</v>
      </c>
      <c r="AW122" s="558">
        <f>(AV122/AV112)*100</f>
        <v>38.607780052646987</v>
      </c>
      <c r="AX122" s="521"/>
      <c r="AZ122" s="533">
        <v>11.872999999999999</v>
      </c>
      <c r="BA122" s="558">
        <f>(AZ122/AZ112)*100</f>
        <v>39.184818481848033</v>
      </c>
      <c r="BB122" s="521"/>
      <c r="BD122" s="533">
        <v>29.1</v>
      </c>
      <c r="BE122" s="558">
        <f>(BD122/BD112)*100</f>
        <v>39.010657550774205</v>
      </c>
      <c r="BF122" s="521"/>
      <c r="BH122" s="533">
        <v>45.085000000000001</v>
      </c>
      <c r="BI122" s="558">
        <f>(BH122/BH112)*100</f>
        <v>36.672957100327032</v>
      </c>
      <c r="BJ122" s="521"/>
      <c r="BL122" s="533">
        <v>55.514692403013285</v>
      </c>
      <c r="BM122" s="558">
        <f>(BL122/BL112)*100</f>
        <v>34.082766912865324</v>
      </c>
      <c r="BN122" s="521"/>
      <c r="BP122" s="533">
        <v>85.497</v>
      </c>
      <c r="BQ122" s="558">
        <f>(BP122/BP112)*100</f>
        <v>38.656689424424663</v>
      </c>
      <c r="BR122" s="520"/>
      <c r="BT122" s="533">
        <v>92.878</v>
      </c>
      <c r="BU122" s="558">
        <f>(BT122/BT112)*100</f>
        <v>39.138001508581659</v>
      </c>
      <c r="BV122" s="520">
        <f t="shared" si="385"/>
        <v>8.6330514520977388</v>
      </c>
      <c r="BX122" s="533">
        <v>30</v>
      </c>
      <c r="BY122" s="558">
        <f>(BX122/BX112)*100</f>
        <v>31.728908208268535</v>
      </c>
      <c r="BZ122" s="520">
        <f t="shared" si="386"/>
        <v>-67.69956286741747</v>
      </c>
      <c r="CB122" s="533">
        <v>51</v>
      </c>
      <c r="CC122" s="558">
        <f>(CB122/CB112)*100</f>
        <v>38.059701492537314</v>
      </c>
      <c r="CD122" s="520">
        <f t="shared" si="387"/>
        <v>70</v>
      </c>
      <c r="CF122" s="1165">
        <v>71</v>
      </c>
      <c r="CG122" s="558">
        <f>(CF122/CF112)*100</f>
        <v>37.368421052631575</v>
      </c>
      <c r="CH122" s="520">
        <f t="shared" si="388"/>
        <v>39.2156862745098</v>
      </c>
      <c r="CJ122" s="1165">
        <v>82</v>
      </c>
      <c r="CK122" s="558">
        <f>(CJ122/CJ112)*100</f>
        <v>39.23444976076555</v>
      </c>
      <c r="CL122" s="520">
        <f t="shared" si="389"/>
        <v>15.492957746478876</v>
      </c>
      <c r="CN122" s="1165">
        <v>93</v>
      </c>
      <c r="CO122" s="558">
        <f>(CN122/CN112)*100</f>
        <v>38.912133891213394</v>
      </c>
      <c r="CP122" s="521">
        <f>(CN122/CJ122-1)*100</f>
        <v>13.414634146341452</v>
      </c>
      <c r="CR122" s="1165">
        <v>81</v>
      </c>
      <c r="CS122" s="558">
        <f>(CR122/CR112)*100</f>
        <v>37.155963302752291</v>
      </c>
      <c r="CT122" s="521">
        <f>(CR122/CN122-1)*100</f>
        <v>-12.903225806451612</v>
      </c>
      <c r="CV122" s="1165">
        <v>86</v>
      </c>
      <c r="CW122" s="558">
        <f>(CV122/CV112)*100</f>
        <v>37.719298245614034</v>
      </c>
      <c r="CX122" s="521">
        <f t="shared" si="396"/>
        <v>6.1728395061728447</v>
      </c>
      <c r="CZ122" s="1165">
        <v>47</v>
      </c>
      <c r="DA122" s="558">
        <f>(CZ122/CZ112)*100</f>
        <v>30.128205128205128</v>
      </c>
      <c r="DB122" s="521">
        <f>(CZ122/CV122-1)*100</f>
        <v>-45.348837209302332</v>
      </c>
      <c r="DD122" s="1165">
        <f>35+39.04</f>
        <v>74.039999999999992</v>
      </c>
      <c r="DE122" s="558">
        <f>(DD122/DD112)*100</f>
        <v>33.351351351351347</v>
      </c>
      <c r="DF122" s="521">
        <f t="shared" si="392"/>
        <v>57.531914893617</v>
      </c>
      <c r="DH122" s="1165">
        <v>66</v>
      </c>
      <c r="DI122" s="558">
        <f>(DH122/DH112)*100</f>
        <v>36.666666666666664</v>
      </c>
      <c r="DJ122" s="521">
        <f t="shared" si="393"/>
        <v>-10.858995137763362</v>
      </c>
      <c r="DL122" s="1167">
        <f>DL112*DM122%</f>
        <v>46.589941844999927</v>
      </c>
      <c r="DM122" s="1181">
        <v>27</v>
      </c>
      <c r="DN122" s="521">
        <f t="shared" si="394"/>
        <v>-29.409179022727383</v>
      </c>
      <c r="DO122" s="521"/>
    </row>
    <row r="123" spans="1:119" outlineLevel="1" x14ac:dyDescent="0.2">
      <c r="A123" s="517" t="s">
        <v>81</v>
      </c>
      <c r="D123" s="534">
        <v>23.8</v>
      </c>
      <c r="E123" s="558">
        <f>(D123/D113)*100</f>
        <v>33.608224130140037</v>
      </c>
      <c r="F123" s="521"/>
      <c r="H123" s="534">
        <v>23.2</v>
      </c>
      <c r="I123" s="558">
        <f>(H123/H113)*100</f>
        <v>36.216612810065676</v>
      </c>
      <c r="J123" s="521"/>
      <c r="L123" s="534">
        <v>33.734400000000001</v>
      </c>
      <c r="M123" s="558">
        <f>(L123/L113)*100</f>
        <v>38.441570280895746</v>
      </c>
      <c r="N123" s="521"/>
      <c r="P123" s="534">
        <v>39.299999999999997</v>
      </c>
      <c r="Q123" s="558">
        <f>(P123/P113)*100</f>
        <v>39.176203197894672</v>
      </c>
      <c r="R123" s="521"/>
      <c r="T123" s="534">
        <v>45.6</v>
      </c>
      <c r="U123" s="558">
        <f>(T123/T113)*100</f>
        <v>39.486331321493232</v>
      </c>
      <c r="V123" s="521"/>
      <c r="X123" s="534">
        <v>34.9</v>
      </c>
      <c r="Y123" s="558">
        <f>(X123/X113)*100</f>
        <v>39.201150199937175</v>
      </c>
      <c r="Z123" s="521"/>
      <c r="AB123" s="534">
        <v>28</v>
      </c>
      <c r="AC123" s="558">
        <f>(AB123/AB113)*100</f>
        <v>39.553050529022045</v>
      </c>
      <c r="AD123" s="521"/>
      <c r="AF123" s="534">
        <v>38.428002000000021</v>
      </c>
      <c r="AG123" s="558">
        <f>(AF123/AF113)*100</f>
        <v>39.400000000000013</v>
      </c>
      <c r="AH123" s="521"/>
      <c r="AJ123" s="534">
        <v>42.047162999999955</v>
      </c>
      <c r="AK123" s="558">
        <f>(AJ123/AJ113)*100</f>
        <v>38.70000000000001</v>
      </c>
      <c r="AL123" s="521"/>
      <c r="AN123" s="534">
        <v>42.64</v>
      </c>
      <c r="AO123" s="558">
        <f>(AN123/AN113)*100</f>
        <v>46.79132648582204</v>
      </c>
      <c r="AP123" s="521"/>
      <c r="AR123" s="534">
        <v>18.31382</v>
      </c>
      <c r="AS123" s="558">
        <f>(AR123/AR113)*100</f>
        <v>39.803999130623993</v>
      </c>
      <c r="AT123" s="521"/>
      <c r="AV123" s="534">
        <v>32.6</v>
      </c>
      <c r="AW123" s="558">
        <f>(AV123/AV113)*100</f>
        <v>39.117340020878622</v>
      </c>
      <c r="AX123" s="521"/>
      <c r="AZ123" s="534">
        <v>38.299999999999997</v>
      </c>
      <c r="BA123" s="558">
        <f>(AZ123/AZ113)*100</f>
        <v>38.948888482111961</v>
      </c>
      <c r="BB123" s="521"/>
      <c r="BD123" s="534">
        <v>66.7</v>
      </c>
      <c r="BE123" s="558">
        <f>(BD123/BD113)*100</f>
        <v>38.984873635237186</v>
      </c>
      <c r="BF123" s="521"/>
      <c r="BH123" s="534">
        <v>96.495000000000005</v>
      </c>
      <c r="BI123" s="558">
        <f>(BH123/BH113)*100</f>
        <v>40.80558198541074</v>
      </c>
      <c r="BJ123" s="521"/>
      <c r="BL123" s="534">
        <v>116.96508983866762</v>
      </c>
      <c r="BM123" s="558">
        <f>(BL123/BL113)*100</f>
        <v>38.059458756180057</v>
      </c>
      <c r="BN123" s="521"/>
      <c r="BP123" s="534">
        <v>146.70400000000001</v>
      </c>
      <c r="BQ123" s="558">
        <f>(BP123/BP113)*100</f>
        <v>38.703584007175948</v>
      </c>
      <c r="BR123" s="520"/>
      <c r="BT123" s="534">
        <v>142</v>
      </c>
      <c r="BU123" s="558">
        <f>(BT123/BT113)*100</f>
        <v>40.112994350282491</v>
      </c>
      <c r="BV123" s="520">
        <f t="shared" si="385"/>
        <v>-3.2064565383357002</v>
      </c>
      <c r="BX123" s="534">
        <v>55</v>
      </c>
      <c r="BY123" s="558">
        <f>(BX123/BX113)*100</f>
        <v>44.715447154471541</v>
      </c>
      <c r="BZ123" s="520">
        <f t="shared" si="386"/>
        <v>-61.267605633802823</v>
      </c>
      <c r="CB123" s="534">
        <v>105</v>
      </c>
      <c r="CC123" s="558">
        <f>(CB123/CB113)*100</f>
        <v>37.906137184115522</v>
      </c>
      <c r="CD123" s="520">
        <f t="shared" si="387"/>
        <v>90.909090909090921</v>
      </c>
      <c r="CF123" s="1166">
        <v>141</v>
      </c>
      <c r="CG123" s="558">
        <f>(CF123/CF113)*100</f>
        <v>37.801608579088466</v>
      </c>
      <c r="CH123" s="520">
        <f t="shared" si="388"/>
        <v>34.285714285714278</v>
      </c>
      <c r="CJ123" s="1166">
        <v>143</v>
      </c>
      <c r="CK123" s="558">
        <f>(CJ123/CJ113)*100</f>
        <v>37.730870712401057</v>
      </c>
      <c r="CL123" s="520">
        <f t="shared" si="389"/>
        <v>1.4184397163120588</v>
      </c>
      <c r="CN123" s="1166">
        <v>172</v>
      </c>
      <c r="CO123" s="558">
        <f>(CN123/CN113)*100</f>
        <v>37.719298245614034</v>
      </c>
      <c r="CP123" s="521">
        <f t="shared" si="390"/>
        <v>20.279720279720269</v>
      </c>
      <c r="CR123" s="1166">
        <v>169</v>
      </c>
      <c r="CS123" s="558">
        <f>(CR123/CR113)*100</f>
        <v>38.672768878718536</v>
      </c>
      <c r="CT123" s="521">
        <f t="shared" si="395"/>
        <v>-1.744186046511631</v>
      </c>
      <c r="CV123" s="1166">
        <v>175.5</v>
      </c>
      <c r="CW123" s="558">
        <f>(CV123/CV113)*100</f>
        <v>40.719257540603252</v>
      </c>
      <c r="CX123" s="521">
        <f t="shared" si="396"/>
        <v>3.8461538461538547</v>
      </c>
      <c r="CZ123" s="1180">
        <v>130</v>
      </c>
      <c r="DA123" s="558">
        <v>38.9</v>
      </c>
      <c r="DB123" s="521">
        <f t="shared" si="391"/>
        <v>-25.925925925925931</v>
      </c>
      <c r="DD123" s="1180">
        <f>192-39</f>
        <v>153</v>
      </c>
      <c r="DE123" s="558">
        <f>(DD123/DD113)*100</f>
        <v>38.931297709923662</v>
      </c>
      <c r="DF123" s="521">
        <f t="shared" si="392"/>
        <v>17.692307692307697</v>
      </c>
      <c r="DH123" s="1180">
        <f>168-42.35</f>
        <v>125.65</v>
      </c>
      <c r="DI123" s="558">
        <f>(DH123/DH113)*100</f>
        <v>39.388714733542322</v>
      </c>
      <c r="DJ123" s="521">
        <f t="shared" si="393"/>
        <v>-17.875816993464046</v>
      </c>
      <c r="DL123" s="1168">
        <f>DL113*DM123%</f>
        <v>85.740548155737685</v>
      </c>
      <c r="DM123" s="1181">
        <v>27.5</v>
      </c>
      <c r="DN123" s="521">
        <f t="shared" si="394"/>
        <v>-31.762397010952903</v>
      </c>
      <c r="DO123" s="521"/>
    </row>
    <row r="124" spans="1:119" outlineLevel="1" x14ac:dyDescent="0.2">
      <c r="A124" s="517" t="s">
        <v>82</v>
      </c>
      <c r="D124" s="533">
        <v>62.5</v>
      </c>
      <c r="E124" s="558">
        <f>(D124/D114)*100</f>
        <v>35.05013571412551</v>
      </c>
      <c r="F124" s="521"/>
      <c r="H124" s="533">
        <v>81.400000000000006</v>
      </c>
      <c r="I124" s="558">
        <f>(H124/H114)*100</f>
        <v>37.474391731694325</v>
      </c>
      <c r="J124" s="521"/>
      <c r="L124" s="533">
        <v>88.034400000000005</v>
      </c>
      <c r="M124" s="558">
        <f>(L124/L114)*100</f>
        <v>38.490199764776833</v>
      </c>
      <c r="N124" s="521"/>
      <c r="P124" s="533">
        <v>90.5</v>
      </c>
      <c r="Q124" s="558">
        <f>(P124/P114)*100</f>
        <v>39.191401276643646</v>
      </c>
      <c r="R124" s="521"/>
      <c r="T124" s="533">
        <v>132.6</v>
      </c>
      <c r="U124" s="558">
        <f>(T124/T114)*100</f>
        <v>39.516268424534601</v>
      </c>
      <c r="V124" s="521"/>
      <c r="X124" s="533">
        <v>107.2</v>
      </c>
      <c r="Y124" s="558">
        <f>(X124/X114)*100</f>
        <v>39.3667534546897</v>
      </c>
      <c r="Z124" s="521"/>
      <c r="AB124" s="533">
        <v>96.9</v>
      </c>
      <c r="AC124" s="558">
        <f>(AB124/AB114)*100</f>
        <v>39.413154801368286</v>
      </c>
      <c r="AD124" s="521"/>
      <c r="AF124" s="533">
        <v>121.02800200000001</v>
      </c>
      <c r="AG124" s="558">
        <f>(AF124/AF114)*100</f>
        <v>39.395468941744042</v>
      </c>
      <c r="AH124" s="521"/>
      <c r="AJ124" s="533">
        <v>130.92711899999995</v>
      </c>
      <c r="AK124" s="558">
        <f>(AJ124/AJ114)*100</f>
        <v>38.767605108328375</v>
      </c>
      <c r="AL124" s="521"/>
      <c r="AN124" s="533">
        <v>129.5</v>
      </c>
      <c r="AO124" s="558">
        <f>(AN124/AN114)*100</f>
        <v>39.030594561033894</v>
      </c>
      <c r="AP124" s="521"/>
      <c r="AR124" s="533">
        <v>65.099999999999994</v>
      </c>
      <c r="AS124" s="558">
        <f>(AR124/AR114)*100</f>
        <v>38.977834724400729</v>
      </c>
      <c r="AT124" s="521"/>
      <c r="AV124" s="533">
        <v>79.8</v>
      </c>
      <c r="AW124" s="558">
        <f>(AV124/AV114)*100</f>
        <v>39.024294824146061</v>
      </c>
      <c r="AX124" s="521"/>
      <c r="AZ124" s="533">
        <v>89.283000000000001</v>
      </c>
      <c r="BA124" s="558">
        <f>(AZ124/AZ114)*100</f>
        <v>38.369604455675358</v>
      </c>
      <c r="BB124" s="521"/>
      <c r="BD124" s="533">
        <v>155.30000000000001</v>
      </c>
      <c r="BE124" s="558">
        <f>(BD124/BD114)*100</f>
        <v>39.001579651873961</v>
      </c>
      <c r="BF124" s="521"/>
      <c r="BH124" s="533">
        <v>253.83100000000002</v>
      </c>
      <c r="BI124" s="558">
        <f>(BH124/BH114)*100</f>
        <v>39.213447735692249</v>
      </c>
      <c r="BJ124" s="521"/>
      <c r="BL124" s="533">
        <v>333.79678224168083</v>
      </c>
      <c r="BM124" s="558">
        <f>(BL124/BL114)*100</f>
        <v>37.718130780989917</v>
      </c>
      <c r="BN124" s="521"/>
      <c r="BP124" s="533">
        <v>427.65399999999994</v>
      </c>
      <c r="BQ124" s="558">
        <f>(BP124/BP114)*100</f>
        <v>38.678862174660594</v>
      </c>
      <c r="BR124" s="520"/>
      <c r="BT124" s="533">
        <v>444.34500000000003</v>
      </c>
      <c r="BU124" s="558">
        <f>(BT124/BT114)*100</f>
        <v>39.040953265427866</v>
      </c>
      <c r="BV124" s="520">
        <f t="shared" si="385"/>
        <v>3.9029215206686008</v>
      </c>
      <c r="BX124" s="533">
        <v>254</v>
      </c>
      <c r="BY124" s="558">
        <f>(BX124/BX114)*100</f>
        <v>39.164229181668055</v>
      </c>
      <c r="BZ124" s="520">
        <f t="shared" si="386"/>
        <v>-42.837209825698508</v>
      </c>
      <c r="CB124" s="533">
        <v>268</v>
      </c>
      <c r="CC124" s="558">
        <f>(CB124/CB114)*100</f>
        <v>38.505747126436781</v>
      </c>
      <c r="CD124" s="520">
        <f t="shared" si="387"/>
        <v>5.5118110236220375</v>
      </c>
      <c r="CF124" s="1088">
        <f>SUM(CF120:CF123)</f>
        <v>378</v>
      </c>
      <c r="CG124" s="558">
        <f>(CF124/CF114)*100</f>
        <v>38.143289606458126</v>
      </c>
      <c r="CH124" s="520">
        <f t="shared" si="388"/>
        <v>41.044776119402982</v>
      </c>
      <c r="CI124" s="706"/>
      <c r="CJ124" s="1088">
        <f>SUM(CJ120:CJ123)</f>
        <v>436</v>
      </c>
      <c r="CK124" s="558">
        <f>(CJ124/CJ114)*100</f>
        <v>38.963360142984811</v>
      </c>
      <c r="CL124" s="520">
        <f t="shared" si="389"/>
        <v>15.343915343915349</v>
      </c>
      <c r="CM124" s="706"/>
      <c r="CN124" s="1088">
        <f>SUM(CN120:CN123)</f>
        <v>450</v>
      </c>
      <c r="CO124" s="558">
        <f>(CN124/CN114)*100</f>
        <v>37.974683544303801</v>
      </c>
      <c r="CP124" s="521">
        <f t="shared" si="390"/>
        <v>3.2110091743119185</v>
      </c>
      <c r="CQ124" s="706"/>
      <c r="CR124" s="1088">
        <f>SUM(CR120:CR123)</f>
        <v>455</v>
      </c>
      <c r="CS124" s="558">
        <f>(CR124/CR114)*100</f>
        <v>38.267451640033642</v>
      </c>
      <c r="CT124" s="521">
        <f t="shared" si="395"/>
        <v>1.1111111111111072</v>
      </c>
      <c r="CU124" s="706"/>
      <c r="CV124" s="1088">
        <f>SUM(CV120:CV123)</f>
        <v>464.5</v>
      </c>
      <c r="CW124" s="558">
        <f>(CV124/CV114)*100</f>
        <v>39.198312236286917</v>
      </c>
      <c r="CX124" s="521">
        <f t="shared" si="396"/>
        <v>2.0879120879120805</v>
      </c>
      <c r="CY124" s="706"/>
      <c r="CZ124" s="1088">
        <f>SUM(CZ120:CZ123)</f>
        <v>374.26</v>
      </c>
      <c r="DA124" s="558">
        <f>(CZ124/CZ114)*100</f>
        <v>37.276892430278885</v>
      </c>
      <c r="DB124" s="521">
        <f t="shared" si="391"/>
        <v>-19.42734122712595</v>
      </c>
      <c r="DC124" s="706"/>
      <c r="DD124" s="1088">
        <f>SUM(DD120:DD123)</f>
        <v>330.03999999999996</v>
      </c>
      <c r="DE124" s="558">
        <f>(DD124/DD114)*100</f>
        <v>37.461975028376841</v>
      </c>
      <c r="DF124" s="521">
        <f t="shared" si="392"/>
        <v>-11.815315556030569</v>
      </c>
      <c r="DG124" s="706"/>
      <c r="DH124" s="1169">
        <f>SUM(DH120:DH123)</f>
        <v>309.64999999999998</v>
      </c>
      <c r="DI124" s="558">
        <f>(DH124/DH114)*100</f>
        <v>39.196202531645568</v>
      </c>
      <c r="DJ124" s="521">
        <f t="shared" si="393"/>
        <v>-6.1780390255726569</v>
      </c>
      <c r="DK124" s="706"/>
      <c r="DL124" s="1169">
        <f>SUM(DL120:DL123)</f>
        <v>204.19806559426587</v>
      </c>
      <c r="DM124" s="558">
        <f>(DL124/DL114)*100</f>
        <v>27.492697934661869</v>
      </c>
      <c r="DN124" s="521">
        <f t="shared" si="394"/>
        <v>-34.05520245623579</v>
      </c>
      <c r="DO124" s="521"/>
    </row>
    <row r="125" spans="1:119" outlineLevel="1" x14ac:dyDescent="0.2">
      <c r="A125" s="517" t="s">
        <v>281</v>
      </c>
      <c r="D125" s="524">
        <f>D120+D121</f>
        <v>27.6</v>
      </c>
      <c r="E125" s="519">
        <f>SUMPRODUCT(E120:E121,D120:D121)/D125</f>
        <v>36.317374592294442</v>
      </c>
      <c r="F125" s="521"/>
      <c r="G125" s="249"/>
      <c r="H125" s="524">
        <f>H120+H121</f>
        <v>46.3</v>
      </c>
      <c r="I125" s="519">
        <f>SUMPRODUCT(I120:I121,H120:H121)/H125</f>
        <v>38.005048433627245</v>
      </c>
      <c r="J125" s="521"/>
      <c r="K125" s="249"/>
      <c r="L125" s="524">
        <f>L120+L121</f>
        <v>40</v>
      </c>
      <c r="M125" s="519">
        <f>SUMPRODUCT(M120:M121,L120:L121)/L125</f>
        <v>38.746642451338104</v>
      </c>
      <c r="N125" s="521"/>
      <c r="O125" s="249"/>
      <c r="P125" s="524">
        <f>P120+P121</f>
        <v>34.6</v>
      </c>
      <c r="Q125" s="519">
        <f>SUMPRODUCT(Q120:Q121,P120:P121)/P125</f>
        <v>39.077269761026741</v>
      </c>
      <c r="R125" s="521"/>
      <c r="S125" s="249"/>
      <c r="T125" s="524">
        <f>T120+T121</f>
        <v>62</v>
      </c>
      <c r="U125" s="519">
        <f>SUMPRODUCT(U120:U121,T120:T121)/T125</f>
        <v>39.491528739187579</v>
      </c>
      <c r="V125" s="521"/>
      <c r="W125" s="249"/>
      <c r="X125" s="524">
        <f>X120+X121</f>
        <v>53.2</v>
      </c>
      <c r="Y125" s="519">
        <f>SUMPRODUCT(Y120:Y121,X120:X121)/X125</f>
        <v>39.483231630140104</v>
      </c>
      <c r="Z125" s="521"/>
      <c r="AA125" s="249"/>
      <c r="AB125" s="524">
        <f>AB120+AB121</f>
        <v>47.2</v>
      </c>
      <c r="AC125" s="519">
        <f>SUMPRODUCT(AC120:AC121,AB120:AB121)/AB125</f>
        <v>39.554177833241518</v>
      </c>
      <c r="AD125" s="521"/>
      <c r="AE125" s="249"/>
      <c r="AF125" s="524">
        <f>AF120+AF121</f>
        <v>59.1</v>
      </c>
      <c r="AG125" s="519">
        <f>SUMPRODUCT(AG120:AG121,AF120:AF121)/AF125</f>
        <v>39.390819306101633</v>
      </c>
      <c r="AH125" s="521"/>
      <c r="AI125" s="249"/>
      <c r="AJ125" s="524">
        <f>AJ120+AJ121</f>
        <v>64.368056000000024</v>
      </c>
      <c r="AK125" s="519">
        <f>SUMPRODUCT(AK120:AK121,AJ120:AJ121)/AJ125</f>
        <v>38.799544312503365</v>
      </c>
      <c r="AL125" s="521"/>
      <c r="AM125" s="249"/>
      <c r="AN125" s="524">
        <f>AN120+AN121</f>
        <v>65.5</v>
      </c>
      <c r="AO125" s="519">
        <f>SUMPRODUCT(AO120:AO121,AN120:AN121)/AN125</f>
        <v>39.016673242605322</v>
      </c>
      <c r="AP125" s="521"/>
      <c r="AQ125" s="249"/>
      <c r="AR125" s="524">
        <f>AR120+AR121</f>
        <v>54.151031000000032</v>
      </c>
      <c r="AS125" s="519">
        <f>SUMPRODUCT(AS120:AS121,AR120:AR121)/AR125</f>
        <v>39.033576537215993</v>
      </c>
      <c r="AT125" s="521"/>
      <c r="AU125" s="249"/>
      <c r="AV125" s="524">
        <f>AV120+AV121</f>
        <v>40.6</v>
      </c>
      <c r="AW125" s="519">
        <f>SUMPRODUCT(AW120:AW121,AV120:AV121)/AV125</f>
        <v>39.018258611939757</v>
      </c>
      <c r="AX125" s="521"/>
      <c r="AY125" s="249"/>
      <c r="AZ125" s="524">
        <f>AZ120+AZ121</f>
        <v>47.174700000000001</v>
      </c>
      <c r="BA125" s="519">
        <f>SUMPRODUCT(BA120:BA121,AZ120:AZ121)/AZ125</f>
        <v>34.895511641183639</v>
      </c>
      <c r="BB125" s="521"/>
      <c r="BC125" s="249"/>
      <c r="BD125" s="524">
        <f>BD120+BD121</f>
        <v>59.5</v>
      </c>
      <c r="BE125" s="519">
        <f>SUMPRODUCT(BE120:BE121,BD120:BD121)/BD125</f>
        <v>39.015987475978541</v>
      </c>
      <c r="BF125" s="521"/>
      <c r="BG125" s="249"/>
      <c r="BH125" s="524">
        <f>BH120+BH121</f>
        <v>112.251</v>
      </c>
      <c r="BI125" s="519">
        <f>SUMPRODUCT(BI120:BI121,BH120:BH121)/BH125</f>
        <v>38.990530227289263</v>
      </c>
      <c r="BJ125" s="521"/>
      <c r="BK125" s="249"/>
      <c r="BL125" s="524">
        <f>BL120+BL121</f>
        <v>161.31699999999995</v>
      </c>
      <c r="BM125" s="519">
        <f>SUMPRODUCT(BM120:BM121,BL120:BL121)/BL125</f>
        <v>38.901185934981342</v>
      </c>
      <c r="BN125" s="521"/>
      <c r="BO125" s="249"/>
      <c r="BP125" s="524">
        <f>BP120+BP121</f>
        <v>195.45299999999992</v>
      </c>
      <c r="BQ125" s="519">
        <f>SUMPRODUCT(BQ120:BQ121,BP120:BP121)/BP125</f>
        <v>38.671256869035084</v>
      </c>
      <c r="BR125" s="521"/>
      <c r="BS125" s="249"/>
      <c r="BT125" s="524">
        <f>BT120+BT121</f>
        <v>209.46699999999998</v>
      </c>
      <c r="BU125" s="519">
        <f>SUMPRODUCT(BU120:BU121,BT120:BT121)/BT125</f>
        <v>38.305075033330958</v>
      </c>
      <c r="BV125" s="520">
        <f t="shared" si="385"/>
        <v>7.1700101814758943</v>
      </c>
      <c r="BW125" s="249"/>
      <c r="BX125" s="524">
        <f>BX120+BX121</f>
        <v>169</v>
      </c>
      <c r="BY125" s="519">
        <f>SUMPRODUCT(BY120:BY121,BX120:BX121)/BX125</f>
        <v>38.342351878493488</v>
      </c>
      <c r="BZ125" s="520">
        <f t="shared" si="386"/>
        <v>-19.319033547050367</v>
      </c>
      <c r="CA125" s="249"/>
      <c r="CB125" s="524">
        <f>CB120+CB121</f>
        <v>112</v>
      </c>
      <c r="CC125" s="519">
        <f>SUMPRODUCT(CC120:CC121,CB120:CB121)/CB125</f>
        <v>39.340747168432586</v>
      </c>
      <c r="CD125" s="520">
        <f t="shared" si="387"/>
        <v>-33.727810650887569</v>
      </c>
      <c r="CE125" s="249"/>
      <c r="CF125" s="524">
        <f>CF120+CF121</f>
        <v>166</v>
      </c>
      <c r="CG125" s="519">
        <f>SUMPRODUCT(CG120:CG121,CF120:CF121)/CF125</f>
        <v>38.789840211911475</v>
      </c>
      <c r="CH125" s="520">
        <f t="shared" si="388"/>
        <v>48.214285714285722</v>
      </c>
      <c r="CI125" s="249"/>
      <c r="CJ125" s="524">
        <f>CJ120+CJ121</f>
        <v>211</v>
      </c>
      <c r="CK125" s="519">
        <f>SUMPRODUCT(CK120:CK121,CJ120:CJ121)/CJ125</f>
        <v>39.736546055107588</v>
      </c>
      <c r="CL125" s="520">
        <f t="shared" si="389"/>
        <v>27.108433734939762</v>
      </c>
      <c r="CM125" s="249"/>
      <c r="CN125" s="524">
        <f>CN120+CN121</f>
        <v>185</v>
      </c>
      <c r="CO125" s="519">
        <f>SUMPRODUCT(CO120:CO121,CN120:CN121)/CN125</f>
        <v>37.755765765765766</v>
      </c>
      <c r="CP125" s="521">
        <f t="shared" si="390"/>
        <v>-12.322274881516593</v>
      </c>
      <c r="CQ125" s="249"/>
      <c r="CR125" s="524">
        <f>CR120+CR121</f>
        <v>205</v>
      </c>
      <c r="CS125" s="519">
        <f>SUMPRODUCT(CS120:CS121,CR120:CR121)/CR125</f>
        <v>38.3901079540883</v>
      </c>
      <c r="CT125" s="521">
        <f t="shared" si="395"/>
        <v>10.810810810810811</v>
      </c>
      <c r="CU125" s="249"/>
      <c r="CV125" s="524">
        <f>CV120+CV121</f>
        <v>203</v>
      </c>
      <c r="CW125" s="519">
        <f>SUMPRODUCT(CW120:CW121,CV120:CV121)/CV125</f>
        <v>38.598967890572091</v>
      </c>
      <c r="CX125" s="521">
        <f t="shared" si="396"/>
        <v>-0.97560975609756184</v>
      </c>
      <c r="CY125" s="249"/>
      <c r="CZ125" s="524">
        <f>CZ120+CZ121</f>
        <v>197.26</v>
      </c>
      <c r="DA125" s="519">
        <f>SUMPRODUCT(DA120:DA121,CZ120:CZ121)/CZ125</f>
        <v>38.991729460910072</v>
      </c>
      <c r="DB125" s="521">
        <f t="shared" si="391"/>
        <v>-2.8275862068965596</v>
      </c>
      <c r="DD125" s="524">
        <f>DD120+DD121</f>
        <v>103</v>
      </c>
      <c r="DE125" s="519">
        <f>SUMPRODUCT(DE120:DE121,DD120:DD121)/DD125</f>
        <v>38.721835341161317</v>
      </c>
      <c r="DF125" s="521">
        <f t="shared" si="392"/>
        <v>-47.784649700902357</v>
      </c>
      <c r="DH125" s="524">
        <f>DH120+DH121</f>
        <v>118</v>
      </c>
      <c r="DI125" s="519">
        <f>SUMPRODUCT(DI120:DI121,DH120:DH121)/DH125</f>
        <v>40.58956161879987</v>
      </c>
      <c r="DJ125" s="521">
        <f t="shared" si="393"/>
        <v>14.563106796116498</v>
      </c>
      <c r="DL125" s="524">
        <f>DL120+DL121</f>
        <v>71.867575593528244</v>
      </c>
      <c r="DM125" s="519">
        <f>SUMPRODUCT(DM120:DM121,DL120:DL121)/DL125</f>
        <v>27.815012246772671</v>
      </c>
      <c r="DN125" s="521">
        <f t="shared" si="394"/>
        <v>-39.095274920738774</v>
      </c>
      <c r="DO125" s="521"/>
    </row>
    <row r="126" spans="1:119" outlineLevel="1" x14ac:dyDescent="0.2">
      <c r="A126" s="517" t="s">
        <v>282</v>
      </c>
      <c r="D126" s="524">
        <f>D123+D122</f>
        <v>34.9</v>
      </c>
      <c r="E126" s="519">
        <f>SUMPRODUCT(E120:E122,D120:D122)/D126</f>
        <v>39.928435412326209</v>
      </c>
      <c r="F126" s="521"/>
      <c r="G126" s="249"/>
      <c r="H126" s="524">
        <f>H123+H122</f>
        <v>35.1</v>
      </c>
      <c r="I126" s="519">
        <f>SUMPRODUCT(I120:I122,H120:H122)/H126</f>
        <v>63.009362836201511</v>
      </c>
      <c r="J126" s="521"/>
      <c r="K126" s="249"/>
      <c r="L126" s="524">
        <f>L123+L122</f>
        <v>48.034400000000005</v>
      </c>
      <c r="M126" s="519">
        <f>SUMPRODUCT(M120:M122,L120:L122)/L126</f>
        <v>43.549259915516167</v>
      </c>
      <c r="N126" s="521"/>
      <c r="O126" s="249"/>
      <c r="P126" s="524">
        <f>P123+P122</f>
        <v>55.9</v>
      </c>
      <c r="Q126" s="519">
        <f>SUMPRODUCT(Q120:Q122,P120:P122)/P126</f>
        <v>35.908678765910302</v>
      </c>
      <c r="R126" s="521"/>
      <c r="S126" s="249"/>
      <c r="T126" s="524">
        <f>T123+T122</f>
        <v>70.599999999999994</v>
      </c>
      <c r="U126" s="519">
        <f>SUMPRODUCT(U120:U122,T120:T122)/T126</f>
        <v>48.715238183728005</v>
      </c>
      <c r="V126" s="521"/>
      <c r="W126" s="249"/>
      <c r="X126" s="524">
        <f>X123+X122</f>
        <v>54</v>
      </c>
      <c r="Y126" s="519">
        <f>SUMPRODUCT(Y120:Y122,X120:X122)/X126</f>
        <v>52.815605113571728</v>
      </c>
      <c r="Z126" s="521"/>
      <c r="AA126" s="249"/>
      <c r="AB126" s="524">
        <f>AB123+AB122</f>
        <v>49.7</v>
      </c>
      <c r="AC126" s="519">
        <f>SUMPRODUCT(AC120:AC122,AB120:AB122)/AB126</f>
        <v>54.563684009352315</v>
      </c>
      <c r="AD126" s="521"/>
      <c r="AE126" s="249"/>
      <c r="AF126" s="524">
        <f>AF123+AF122</f>
        <v>61.928002000000021</v>
      </c>
      <c r="AG126" s="519">
        <f>SUMPRODUCT(AG120:AG122,AF120:AF122)/AF126</f>
        <v>52.543150011830463</v>
      </c>
      <c r="AH126" s="521"/>
      <c r="AI126" s="249"/>
      <c r="AJ126" s="524">
        <f>AJ123+AJ122</f>
        <v>66.559062999999924</v>
      </c>
      <c r="AK126" s="519">
        <f>SUMPRODUCT(AK120:AK122,AJ120:AJ122)/AJ126</f>
        <v>39.698221117017262</v>
      </c>
      <c r="AL126" s="521"/>
      <c r="AM126" s="249"/>
      <c r="AN126" s="524">
        <f>AN123+AN122</f>
        <v>68.002869999999987</v>
      </c>
      <c r="AO126" s="519">
        <f>SUMPRODUCT(AO120:AO122,AN120:AN122)/AN126</f>
        <v>52.126388597873124</v>
      </c>
      <c r="AP126" s="521"/>
      <c r="AQ126" s="249"/>
      <c r="AR126" s="524">
        <f>AR123+AR122</f>
        <v>33.302805000000021</v>
      </c>
      <c r="AS126" s="519">
        <f>SUMPRODUCT(AS120:AS122,AR120:AR122)/AR126</f>
        <v>81.067577539118986</v>
      </c>
      <c r="AT126" s="521"/>
      <c r="AU126" s="249"/>
      <c r="AV126" s="524">
        <f>AV123+AV122</f>
        <v>39.200000000000003</v>
      </c>
      <c r="AW126" s="519">
        <f>SUMPRODUCT(AW120:AW122,AV120:AV122)/AV126</f>
        <v>46.912057346740411</v>
      </c>
      <c r="AX126" s="521"/>
      <c r="AY126" s="249"/>
      <c r="AZ126" s="524">
        <f>AZ123+AZ122</f>
        <v>50.172999999999995</v>
      </c>
      <c r="BA126" s="519">
        <f>SUMPRODUCT(BA120:BA122,AZ120:AZ122)/AZ126</f>
        <v>42.082925933357139</v>
      </c>
      <c r="BB126" s="521"/>
      <c r="BC126" s="249"/>
      <c r="BD126" s="524">
        <f>BD123+BD122</f>
        <v>95.800000000000011</v>
      </c>
      <c r="BE126" s="519">
        <f>SUMPRODUCT(BE120:BE122,BD120:BD122)/BD126</f>
        <v>36.082060433697826</v>
      </c>
      <c r="BF126" s="521"/>
      <c r="BG126" s="249"/>
      <c r="BH126" s="524">
        <f>BH123+BH122</f>
        <v>141.58000000000001</v>
      </c>
      <c r="BI126" s="519">
        <f>SUMPRODUCT(BI120:BI122,BH120:BH122)/BH126</f>
        <v>42.591653336712042</v>
      </c>
      <c r="BJ126" s="521"/>
      <c r="BK126" s="249"/>
      <c r="BL126" s="524">
        <f>BL123+BL122</f>
        <v>172.47978224168091</v>
      </c>
      <c r="BM126" s="519">
        <f>SUMPRODUCT(BM120:BM122,BL120:BL122)/BL126</f>
        <v>47.353474283961411</v>
      </c>
      <c r="BN126" s="521"/>
      <c r="BO126" s="249"/>
      <c r="BP126" s="524">
        <f>BP123+BP122</f>
        <v>232.20100000000002</v>
      </c>
      <c r="BQ126" s="519">
        <f>SUMPRODUCT(BQ120:BQ122,BP120:BP122)/BP126</f>
        <v>46.784657019321813</v>
      </c>
      <c r="BR126" s="521"/>
      <c r="BS126" s="249"/>
      <c r="BT126" s="524">
        <f>BT123+BT122</f>
        <v>234.87799999999999</v>
      </c>
      <c r="BU126" s="519">
        <f>SUMPRODUCT(BU120:BU122,BT120:BT122)/BT126</f>
        <v>49.637294493825664</v>
      </c>
      <c r="BV126" s="520">
        <f t="shared" si="385"/>
        <v>1.1528804785508884</v>
      </c>
      <c r="BW126" s="249"/>
      <c r="BX126" s="524">
        <f>BX123+BX122</f>
        <v>85</v>
      </c>
      <c r="BY126" s="519">
        <f>SUMPRODUCT(BY120:BY122,BX120:BX122)/BX126</f>
        <v>87.432055455452414</v>
      </c>
      <c r="BZ126" s="520">
        <f t="shared" si="386"/>
        <v>-63.810999753063292</v>
      </c>
      <c r="CA126" s="249"/>
      <c r="CB126" s="524">
        <f>CB123+CB122</f>
        <v>156</v>
      </c>
      <c r="CC126" s="519">
        <f>SUMPRODUCT(CC120:CC122,CB120:CB122)/CB126</f>
        <v>40.687233711434949</v>
      </c>
      <c r="CD126" s="520">
        <f t="shared" si="387"/>
        <v>83.52941176470587</v>
      </c>
      <c r="CE126" s="249"/>
      <c r="CF126" s="524">
        <f>CF123+CF122</f>
        <v>212</v>
      </c>
      <c r="CG126" s="519">
        <f>SUMPRODUCT(CG120:CG122,CF120:CF122)/CF126</f>
        <v>42.888072499595026</v>
      </c>
      <c r="CH126" s="520">
        <f t="shared" si="388"/>
        <v>35.897435897435905</v>
      </c>
      <c r="CI126" s="249"/>
      <c r="CJ126" s="524">
        <f>CJ123+CJ122</f>
        <v>225</v>
      </c>
      <c r="CK126" s="519">
        <f>SUMPRODUCT(CK120:CK122,CJ120:CJ122)/CJ126</f>
        <v>51.562827102268784</v>
      </c>
      <c r="CL126" s="520">
        <f t="shared" si="389"/>
        <v>6.1320754716981174</v>
      </c>
      <c r="CM126" s="249"/>
      <c r="CN126" s="524">
        <f>CN123+CN122</f>
        <v>265</v>
      </c>
      <c r="CO126" s="519">
        <f>SUMPRODUCT(CO120:CO122,CN120:CN122)/CN126</f>
        <v>40.01375516433778</v>
      </c>
      <c r="CP126" s="521">
        <f t="shared" si="390"/>
        <v>17.777777777777782</v>
      </c>
      <c r="CQ126" s="249"/>
      <c r="CR126" s="524">
        <f>CR123+CR122</f>
        <v>250</v>
      </c>
      <c r="CS126" s="519">
        <f>SUMPRODUCT(CS120:CS122,CR120:CR122)/CR126</f>
        <v>43.518420632444148</v>
      </c>
      <c r="CT126" s="521">
        <f t="shared" si="395"/>
        <v>-5.6603773584905648</v>
      </c>
      <c r="CU126" s="249"/>
      <c r="CV126" s="524">
        <f>CV123+CV122</f>
        <v>261.5</v>
      </c>
      <c r="CW126" s="519">
        <f>SUMPRODUCT(CW120:CW122,CV120:CV122)/CV126</f>
        <v>42.368834152615456</v>
      </c>
      <c r="CX126" s="521">
        <f t="shared" si="396"/>
        <v>4.6000000000000041</v>
      </c>
      <c r="CY126" s="249"/>
      <c r="CZ126" s="524">
        <f>CZ123+CZ122</f>
        <v>177</v>
      </c>
      <c r="DA126" s="519">
        <f>SUMPRODUCT(DA120:DA122,CZ120:CZ122)/CZ126</f>
        <v>51.454995449066445</v>
      </c>
      <c r="DB126" s="521">
        <f t="shared" si="391"/>
        <v>-32.313575525812624</v>
      </c>
      <c r="DD126" s="524">
        <f>DD123+DD122</f>
        <v>227.04</v>
      </c>
      <c r="DE126" s="519">
        <f>SUMPRODUCT(DE120:DE122,DD120:DD122)/DD126</f>
        <v>28.442931175976348</v>
      </c>
      <c r="DF126" s="521">
        <f t="shared" si="392"/>
        <v>28.271186440677965</v>
      </c>
      <c r="DH126" s="524">
        <f>DH123+DH122</f>
        <v>191.65</v>
      </c>
      <c r="DI126" s="519">
        <f>SUMPRODUCT(DI120:DI122,DH120:DH122)/DH126</f>
        <v>37.618409971397782</v>
      </c>
      <c r="DJ126" s="521">
        <f t="shared" si="393"/>
        <v>-15.587561663143056</v>
      </c>
      <c r="DL126" s="524">
        <f>DL123+DL122</f>
        <v>132.3304900007376</v>
      </c>
      <c r="DM126" s="519">
        <f>SUMPRODUCT(DM120:DM122,DL120:DL122)/DL126</f>
        <v>24.612059738286266</v>
      </c>
      <c r="DN126" s="521">
        <f t="shared" si="394"/>
        <v>-30.95200104318414</v>
      </c>
      <c r="DO126" s="521"/>
    </row>
    <row r="127" spans="1:119" outlineLevel="1" x14ac:dyDescent="0.2">
      <c r="D127" s="361"/>
      <c r="E127" s="249"/>
      <c r="F127" s="249"/>
      <c r="H127" s="361"/>
      <c r="I127" s="249"/>
      <c r="J127" s="249"/>
      <c r="L127" s="361"/>
      <c r="M127" s="249"/>
      <c r="N127" s="249"/>
      <c r="P127" s="361"/>
      <c r="Q127" s="249"/>
      <c r="R127" s="249"/>
      <c r="T127" s="361"/>
      <c r="U127" s="249"/>
      <c r="V127" s="249"/>
      <c r="X127" s="361"/>
      <c r="Y127" s="249"/>
      <c r="Z127" s="249"/>
      <c r="AB127" s="361"/>
      <c r="AC127" s="249"/>
      <c r="AD127" s="249"/>
      <c r="AF127" s="361"/>
      <c r="AG127" s="249"/>
      <c r="AH127" s="249"/>
      <c r="AJ127" s="361"/>
      <c r="AK127" s="249"/>
      <c r="AL127" s="249"/>
      <c r="AN127" s="361"/>
      <c r="AO127" s="249"/>
      <c r="AP127" s="249"/>
      <c r="AR127" s="361"/>
      <c r="AS127" s="249"/>
      <c r="AT127" s="249"/>
      <c r="AV127" s="361"/>
      <c r="AW127" s="249"/>
      <c r="AX127" s="249"/>
      <c r="AZ127" s="361"/>
      <c r="BA127" s="249"/>
      <c r="BB127" s="249"/>
      <c r="BD127" s="361"/>
      <c r="BE127" s="249"/>
      <c r="BF127" s="249"/>
      <c r="BH127" s="361"/>
      <c r="BI127" s="249"/>
      <c r="BJ127" s="249"/>
      <c r="BL127" s="361"/>
      <c r="BM127" s="249"/>
      <c r="BN127" s="249"/>
      <c r="BP127" s="362"/>
      <c r="BT127" s="362"/>
      <c r="BX127" s="362"/>
      <c r="CB127" s="362"/>
      <c r="CF127" s="362"/>
      <c r="CJ127" s="362"/>
      <c r="CP127" s="249"/>
      <c r="CT127" s="249"/>
      <c r="CX127" s="249"/>
      <c r="DB127" s="249"/>
      <c r="DF127" s="249"/>
      <c r="DJ127" s="249"/>
      <c r="DN127" s="249"/>
      <c r="DO127" s="249"/>
    </row>
    <row r="128" spans="1:119" s="516" customFormat="1" ht="12.75" customHeight="1" outlineLevel="1" x14ac:dyDescent="0.2">
      <c r="A128" s="515" t="s">
        <v>445</v>
      </c>
      <c r="CG128" s="1397" t="str">
        <f>A128</f>
        <v>11. Minority Interest</v>
      </c>
      <c r="CH128" s="1397"/>
      <c r="CI128" s="1397"/>
      <c r="CJ128" s="1397"/>
      <c r="CK128" s="1397"/>
      <c r="CL128" s="1397"/>
      <c r="CM128" s="1397"/>
      <c r="CN128" s="1397"/>
      <c r="CO128" s="1397"/>
      <c r="CP128" s="1397"/>
      <c r="CQ128" s="1397"/>
      <c r="CR128" s="1397"/>
      <c r="CS128" s="1397"/>
      <c r="CT128" s="1397"/>
      <c r="CU128" s="1397"/>
      <c r="CV128" s="1397"/>
      <c r="CW128" s="1397"/>
      <c r="CX128" s="1397"/>
      <c r="CY128" s="1397"/>
      <c r="CZ128" s="1397"/>
      <c r="DA128" s="1397"/>
      <c r="DB128" s="1397"/>
      <c r="DC128" s="1397"/>
      <c r="DD128" s="1397"/>
      <c r="DE128" s="1397"/>
      <c r="DF128" s="1397"/>
      <c r="DG128" s="846"/>
      <c r="DH128" s="846"/>
      <c r="DI128" s="846"/>
      <c r="DJ128" s="846"/>
      <c r="DK128" s="1222"/>
      <c r="DL128" s="1222"/>
      <c r="DM128" s="1222"/>
      <c r="DN128" s="1222"/>
      <c r="DO128" s="1222"/>
    </row>
    <row r="129" spans="1:122" outlineLevel="1" x14ac:dyDescent="0.2">
      <c r="D129" s="361"/>
      <c r="E129" s="249"/>
      <c r="F129" s="249"/>
      <c r="H129" s="361"/>
      <c r="I129" s="249"/>
      <c r="J129" s="249"/>
      <c r="L129" s="361"/>
      <c r="M129" s="249"/>
      <c r="N129" s="249"/>
      <c r="P129" s="361"/>
      <c r="Q129" s="249"/>
      <c r="R129" s="249"/>
      <c r="T129" s="361"/>
      <c r="U129" s="249"/>
      <c r="V129" s="249"/>
      <c r="X129" s="361"/>
      <c r="Y129" s="249"/>
      <c r="Z129" s="249"/>
      <c r="AB129" s="361"/>
      <c r="AC129" s="249"/>
      <c r="AD129" s="249"/>
      <c r="AF129" s="361"/>
      <c r="AG129" s="249"/>
      <c r="AH129" s="249"/>
      <c r="AJ129" s="361"/>
      <c r="AK129" s="249"/>
      <c r="AL129" s="249"/>
      <c r="AN129" s="361"/>
      <c r="AO129" s="249"/>
      <c r="AP129" s="249"/>
      <c r="AR129" s="361"/>
      <c r="AS129" s="249"/>
      <c r="AT129" s="249"/>
      <c r="AV129" s="361"/>
      <c r="AW129" s="249"/>
      <c r="AX129" s="249"/>
      <c r="AZ129" s="361"/>
      <c r="BA129" s="249"/>
      <c r="BB129" s="249"/>
      <c r="BD129" s="361"/>
      <c r="BE129" s="249"/>
      <c r="BF129" s="249"/>
      <c r="BH129" s="361"/>
      <c r="BI129" s="249"/>
      <c r="BJ129" s="249"/>
      <c r="BL129" s="361"/>
      <c r="BM129" s="249"/>
      <c r="BN129" s="249"/>
      <c r="BP129" s="362"/>
      <c r="BT129" s="362"/>
      <c r="BX129" s="362"/>
      <c r="CB129" s="362"/>
      <c r="CF129" s="362"/>
      <c r="CJ129" s="362"/>
      <c r="CP129" s="249"/>
      <c r="CT129" s="249"/>
      <c r="CX129" s="249"/>
      <c r="DB129" s="249"/>
      <c r="DF129" s="249"/>
      <c r="DJ129" s="249"/>
      <c r="DN129" s="249"/>
      <c r="DO129" s="249"/>
    </row>
    <row r="130" spans="1:122" outlineLevel="1" x14ac:dyDescent="0.2">
      <c r="A130" s="517" t="s">
        <v>78</v>
      </c>
      <c r="D130" s="530">
        <v>0</v>
      </c>
      <c r="E130" s="558"/>
      <c r="F130" s="521"/>
      <c r="H130" s="530">
        <v>0</v>
      </c>
      <c r="I130" s="558"/>
      <c r="J130" s="521"/>
      <c r="L130" s="530">
        <v>0</v>
      </c>
      <c r="M130" s="558"/>
      <c r="N130" s="521"/>
      <c r="P130" s="530">
        <v>0</v>
      </c>
      <c r="Q130" s="558"/>
      <c r="R130" s="521"/>
      <c r="T130" s="530">
        <v>0</v>
      </c>
      <c r="U130" s="558"/>
      <c r="V130" s="521"/>
      <c r="X130" s="530">
        <v>0</v>
      </c>
      <c r="Y130" s="558"/>
      <c r="Z130" s="521"/>
      <c r="AB130" s="530">
        <v>0</v>
      </c>
      <c r="AC130" s="558"/>
      <c r="AD130" s="521"/>
      <c r="AF130" s="530">
        <v>0</v>
      </c>
      <c r="AG130" s="558"/>
      <c r="AH130" s="521"/>
      <c r="AJ130" s="530">
        <v>0</v>
      </c>
      <c r="AK130" s="558"/>
      <c r="AL130" s="521"/>
      <c r="AN130" s="530">
        <v>0</v>
      </c>
      <c r="AO130" s="558"/>
      <c r="AP130" s="521"/>
      <c r="AR130" s="530">
        <v>0</v>
      </c>
      <c r="AS130" s="558"/>
      <c r="AT130" s="521"/>
      <c r="AV130" s="530">
        <v>0</v>
      </c>
      <c r="AW130" s="558"/>
      <c r="AX130" s="521"/>
      <c r="AZ130" s="530">
        <v>42.046999999999997</v>
      </c>
      <c r="BA130" s="558"/>
      <c r="BB130" s="521"/>
      <c r="BD130" s="530">
        <v>0</v>
      </c>
      <c r="BE130" s="558"/>
      <c r="BF130" s="521"/>
      <c r="BH130" s="530">
        <v>0</v>
      </c>
      <c r="BI130" s="558"/>
      <c r="BJ130" s="521"/>
      <c r="BL130" s="530">
        <v>0</v>
      </c>
      <c r="BM130" s="558"/>
      <c r="BN130" s="521"/>
      <c r="BP130" s="530">
        <v>0</v>
      </c>
      <c r="BQ130" s="558"/>
      <c r="BR130" s="520"/>
      <c r="BT130" s="530">
        <v>0</v>
      </c>
      <c r="BU130" s="558"/>
      <c r="BV130" s="520"/>
      <c r="BX130" s="530">
        <v>0</v>
      </c>
      <c r="BY130" s="558"/>
      <c r="BZ130" s="520"/>
      <c r="CB130" s="530">
        <v>0</v>
      </c>
      <c r="CC130" s="558"/>
      <c r="CD130" s="520"/>
      <c r="CF130" s="1164">
        <v>0</v>
      </c>
      <c r="CG130" s="558"/>
      <c r="CH130" s="520"/>
      <c r="CJ130" s="1164">
        <v>0</v>
      </c>
      <c r="CK130" s="558"/>
      <c r="CL130" s="520"/>
      <c r="CN130" s="1164">
        <v>0</v>
      </c>
      <c r="CO130" s="558"/>
      <c r="CP130" s="521"/>
      <c r="CR130" s="1164">
        <v>0</v>
      </c>
      <c r="CS130" s="558"/>
      <c r="CT130" s="521"/>
      <c r="CV130" s="1164">
        <v>0</v>
      </c>
      <c r="CW130" s="558"/>
      <c r="CX130" s="521"/>
      <c r="CZ130" s="1164">
        <v>0</v>
      </c>
      <c r="DA130" s="558"/>
      <c r="DB130" s="521"/>
      <c r="DD130" s="1164">
        <v>0</v>
      </c>
      <c r="DE130" s="558"/>
      <c r="DF130" s="521"/>
      <c r="DH130" s="1164">
        <v>0</v>
      </c>
      <c r="DI130" s="558"/>
      <c r="DJ130" s="521"/>
      <c r="DL130" s="1178">
        <v>0</v>
      </c>
      <c r="DM130" s="558"/>
      <c r="DN130" s="521"/>
      <c r="DO130" s="521"/>
    </row>
    <row r="131" spans="1:122" outlineLevel="1" x14ac:dyDescent="0.2">
      <c r="A131" s="517" t="s">
        <v>79</v>
      </c>
      <c r="D131" s="533">
        <v>0</v>
      </c>
      <c r="E131" s="558"/>
      <c r="F131" s="521"/>
      <c r="H131" s="533">
        <v>0</v>
      </c>
      <c r="I131" s="558"/>
      <c r="J131" s="521"/>
      <c r="L131" s="533">
        <v>0</v>
      </c>
      <c r="M131" s="558"/>
      <c r="N131" s="521"/>
      <c r="P131" s="533">
        <v>0</v>
      </c>
      <c r="Q131" s="558"/>
      <c r="R131" s="521"/>
      <c r="T131" s="533">
        <v>0</v>
      </c>
      <c r="U131" s="558"/>
      <c r="V131" s="521"/>
      <c r="X131" s="533">
        <v>0</v>
      </c>
      <c r="Y131" s="558"/>
      <c r="Z131" s="521"/>
      <c r="AB131" s="533">
        <v>0</v>
      </c>
      <c r="AC131" s="558"/>
      <c r="AD131" s="521"/>
      <c r="AF131" s="533">
        <v>0</v>
      </c>
      <c r="AG131" s="558"/>
      <c r="AH131" s="521"/>
      <c r="AJ131" s="533">
        <v>0</v>
      </c>
      <c r="AK131" s="558"/>
      <c r="AL131" s="521"/>
      <c r="AN131" s="533">
        <v>0</v>
      </c>
      <c r="AO131" s="558"/>
      <c r="AP131" s="521"/>
      <c r="AR131" s="533">
        <v>0</v>
      </c>
      <c r="AS131" s="558"/>
      <c r="AT131" s="521"/>
      <c r="AV131" s="533">
        <v>0</v>
      </c>
      <c r="AW131" s="558"/>
      <c r="AX131" s="521"/>
      <c r="AZ131" s="533">
        <v>11.121</v>
      </c>
      <c r="BA131" s="558"/>
      <c r="BB131" s="521"/>
      <c r="BD131" s="533">
        <v>0</v>
      </c>
      <c r="BE131" s="558"/>
      <c r="BF131" s="521"/>
      <c r="BH131" s="533">
        <v>0</v>
      </c>
      <c r="BI131" s="558"/>
      <c r="BJ131" s="521"/>
      <c r="BL131" s="533">
        <v>0</v>
      </c>
      <c r="BM131" s="558"/>
      <c r="BN131" s="521"/>
      <c r="BP131" s="533">
        <v>0</v>
      </c>
      <c r="BQ131" s="558"/>
      <c r="BR131" s="520"/>
      <c r="BT131" s="533">
        <v>0</v>
      </c>
      <c r="BU131" s="558"/>
      <c r="BV131" s="520"/>
      <c r="BX131" s="533">
        <v>0</v>
      </c>
      <c r="BY131" s="558"/>
      <c r="BZ131" s="520"/>
      <c r="CB131" s="533">
        <v>0</v>
      </c>
      <c r="CC131" s="558"/>
      <c r="CD131" s="520"/>
      <c r="CF131" s="1165">
        <v>0</v>
      </c>
      <c r="CG131" s="558"/>
      <c r="CH131" s="520"/>
      <c r="CJ131" s="1165">
        <v>0</v>
      </c>
      <c r="CK131" s="558"/>
      <c r="CL131" s="520"/>
      <c r="CN131" s="1165">
        <v>0</v>
      </c>
      <c r="CO131" s="558"/>
      <c r="CP131" s="521"/>
      <c r="CR131" s="1165">
        <v>0</v>
      </c>
      <c r="CS131" s="558"/>
      <c r="CT131" s="521"/>
      <c r="CV131" s="1165">
        <v>0</v>
      </c>
      <c r="CW131" s="558"/>
      <c r="CX131" s="521"/>
      <c r="CZ131" s="1165">
        <v>0</v>
      </c>
      <c r="DA131" s="558"/>
      <c r="DB131" s="521"/>
      <c r="DD131" s="1165">
        <v>0</v>
      </c>
      <c r="DE131" s="558"/>
      <c r="DF131" s="521"/>
      <c r="DH131" s="1165">
        <v>0</v>
      </c>
      <c r="DI131" s="558"/>
      <c r="DJ131" s="521"/>
      <c r="DL131" s="1178">
        <v>0</v>
      </c>
      <c r="DM131" s="558"/>
      <c r="DN131" s="521"/>
      <c r="DO131" s="521"/>
    </row>
    <row r="132" spans="1:122" outlineLevel="1" x14ac:dyDescent="0.2">
      <c r="A132" s="517" t="s">
        <v>80</v>
      </c>
      <c r="D132" s="533">
        <v>0</v>
      </c>
      <c r="E132" s="558"/>
      <c r="F132" s="521"/>
      <c r="H132" s="533">
        <v>0</v>
      </c>
      <c r="I132" s="558"/>
      <c r="J132" s="521"/>
      <c r="L132" s="533">
        <v>0</v>
      </c>
      <c r="M132" s="558"/>
      <c r="N132" s="521"/>
      <c r="P132" s="533">
        <v>0</v>
      </c>
      <c r="Q132" s="558"/>
      <c r="R132" s="521"/>
      <c r="T132" s="533">
        <v>0</v>
      </c>
      <c r="U132" s="558"/>
      <c r="V132" s="521"/>
      <c r="X132" s="533">
        <v>0</v>
      </c>
      <c r="Y132" s="558"/>
      <c r="Z132" s="521"/>
      <c r="AB132" s="533">
        <v>0</v>
      </c>
      <c r="AC132" s="558"/>
      <c r="AD132" s="521"/>
      <c r="AF132" s="533">
        <v>0</v>
      </c>
      <c r="AG132" s="558"/>
      <c r="AH132" s="521"/>
      <c r="AJ132" s="533">
        <v>0</v>
      </c>
      <c r="AK132" s="558"/>
      <c r="AL132" s="521"/>
      <c r="AN132" s="533">
        <v>0</v>
      </c>
      <c r="AO132" s="558"/>
      <c r="AP132" s="521"/>
      <c r="AR132" s="533">
        <v>0</v>
      </c>
      <c r="AS132" s="558"/>
      <c r="AT132" s="521"/>
      <c r="AV132" s="533">
        <v>0</v>
      </c>
      <c r="AW132" s="558"/>
      <c r="AX132" s="521"/>
      <c r="AZ132" s="533">
        <v>0</v>
      </c>
      <c r="BA132" s="558"/>
      <c r="BB132" s="521"/>
      <c r="BD132" s="533">
        <v>0</v>
      </c>
      <c r="BE132" s="558"/>
      <c r="BF132" s="521"/>
      <c r="BH132" s="533">
        <v>0</v>
      </c>
      <c r="BI132" s="558"/>
      <c r="BJ132" s="521"/>
      <c r="BL132" s="533">
        <v>0</v>
      </c>
      <c r="BM132" s="558"/>
      <c r="BN132" s="521"/>
      <c r="BP132" s="533">
        <v>0</v>
      </c>
      <c r="BQ132" s="558"/>
      <c r="BR132" s="520"/>
      <c r="BT132" s="533">
        <v>0</v>
      </c>
      <c r="BU132" s="558"/>
      <c r="BV132" s="520"/>
      <c r="BX132" s="533">
        <v>0</v>
      </c>
      <c r="BY132" s="558"/>
      <c r="BZ132" s="520"/>
      <c r="CB132" s="533">
        <v>0</v>
      </c>
      <c r="CC132" s="558"/>
      <c r="CD132" s="520"/>
      <c r="CF132" s="1165">
        <v>0</v>
      </c>
      <c r="CG132" s="558"/>
      <c r="CH132" s="520"/>
      <c r="CJ132" s="1165">
        <v>0</v>
      </c>
      <c r="CK132" s="558"/>
      <c r="CL132" s="520"/>
      <c r="CN132" s="1165">
        <v>0</v>
      </c>
      <c r="CO132" s="558"/>
      <c r="CP132" s="521"/>
      <c r="CR132" s="1165">
        <v>0</v>
      </c>
      <c r="CS132" s="558"/>
      <c r="CT132" s="521"/>
      <c r="CV132" s="1165">
        <v>0</v>
      </c>
      <c r="CW132" s="558"/>
      <c r="CX132" s="521"/>
      <c r="CZ132" s="1165">
        <v>0</v>
      </c>
      <c r="DA132" s="558"/>
      <c r="DB132" s="521"/>
      <c r="DD132" s="1165">
        <v>0</v>
      </c>
      <c r="DE132" s="558"/>
      <c r="DF132" s="521"/>
      <c r="DH132" s="1165">
        <v>0</v>
      </c>
      <c r="DI132" s="558"/>
      <c r="DJ132" s="521"/>
      <c r="DL132" s="1178">
        <v>0</v>
      </c>
      <c r="DM132" s="558"/>
      <c r="DN132" s="521"/>
      <c r="DO132" s="521"/>
    </row>
    <row r="133" spans="1:122" outlineLevel="1" x14ac:dyDescent="0.2">
      <c r="A133" s="517" t="s">
        <v>81</v>
      </c>
      <c r="D133" s="534">
        <v>0</v>
      </c>
      <c r="E133" s="558"/>
      <c r="F133" s="521"/>
      <c r="H133" s="534">
        <v>0</v>
      </c>
      <c r="I133" s="558"/>
      <c r="J133" s="521"/>
      <c r="L133" s="534">
        <v>0</v>
      </c>
      <c r="M133" s="558"/>
      <c r="N133" s="521"/>
      <c r="P133" s="534">
        <v>0</v>
      </c>
      <c r="Q133" s="558"/>
      <c r="R133" s="521"/>
      <c r="T133" s="534">
        <v>0</v>
      </c>
      <c r="U133" s="558"/>
      <c r="V133" s="521"/>
      <c r="X133" s="534">
        <v>0</v>
      </c>
      <c r="Y133" s="558"/>
      <c r="Z133" s="521"/>
      <c r="AB133" s="534">
        <v>0</v>
      </c>
      <c r="AC133" s="558"/>
      <c r="AD133" s="521"/>
      <c r="AF133" s="534">
        <v>0</v>
      </c>
      <c r="AG133" s="558"/>
      <c r="AH133" s="521"/>
      <c r="AJ133" s="534">
        <v>0</v>
      </c>
      <c r="AK133" s="558"/>
      <c r="AL133" s="521"/>
      <c r="AN133" s="534">
        <v>0</v>
      </c>
      <c r="AO133" s="558"/>
      <c r="AP133" s="521"/>
      <c r="AR133" s="534">
        <v>0</v>
      </c>
      <c r="AS133" s="558"/>
      <c r="AT133" s="521"/>
      <c r="AV133" s="534">
        <v>0</v>
      </c>
      <c r="AW133" s="558"/>
      <c r="AX133" s="521"/>
      <c r="AZ133" s="534">
        <v>0</v>
      </c>
      <c r="BA133" s="558"/>
      <c r="BB133" s="521"/>
      <c r="BD133" s="534">
        <v>0</v>
      </c>
      <c r="BE133" s="558"/>
      <c r="BF133" s="521"/>
      <c r="BH133" s="534">
        <v>0</v>
      </c>
      <c r="BI133" s="558"/>
      <c r="BJ133" s="521"/>
      <c r="BL133" s="534">
        <v>0</v>
      </c>
      <c r="BM133" s="558"/>
      <c r="BN133" s="521"/>
      <c r="BP133" s="534">
        <v>0</v>
      </c>
      <c r="BQ133" s="558"/>
      <c r="BR133" s="520"/>
      <c r="BT133" s="534">
        <v>0</v>
      </c>
      <c r="BU133" s="558"/>
      <c r="BV133" s="520"/>
      <c r="BX133" s="534">
        <v>0</v>
      </c>
      <c r="BY133" s="558"/>
      <c r="BZ133" s="520"/>
      <c r="CB133" s="534">
        <v>0</v>
      </c>
      <c r="CC133" s="558"/>
      <c r="CD133" s="520"/>
      <c r="CF133" s="1166">
        <v>0</v>
      </c>
      <c r="CG133" s="558"/>
      <c r="CH133" s="520"/>
      <c r="CJ133" s="1166">
        <v>0</v>
      </c>
      <c r="CK133" s="558"/>
      <c r="CL133" s="520"/>
      <c r="CN133" s="1166">
        <v>0</v>
      </c>
      <c r="CO133" s="558"/>
      <c r="CP133" s="521"/>
      <c r="CR133" s="1166">
        <v>0</v>
      </c>
      <c r="CS133" s="558"/>
      <c r="CT133" s="521"/>
      <c r="CV133" s="1166">
        <v>0</v>
      </c>
      <c r="CW133" s="558"/>
      <c r="CX133" s="521"/>
      <c r="CZ133" s="1166">
        <v>0</v>
      </c>
      <c r="DA133" s="558"/>
      <c r="DB133" s="521"/>
      <c r="DD133" s="1166">
        <v>0</v>
      </c>
      <c r="DE133" s="558"/>
      <c r="DF133" s="521"/>
      <c r="DH133" s="1166">
        <v>0</v>
      </c>
      <c r="DI133" s="558"/>
      <c r="DJ133" s="521"/>
      <c r="DL133" s="1179">
        <v>0</v>
      </c>
      <c r="DM133" s="558"/>
      <c r="DN133" s="521"/>
      <c r="DO133" s="521"/>
    </row>
    <row r="134" spans="1:122" outlineLevel="1" x14ac:dyDescent="0.2">
      <c r="A134" s="517" t="s">
        <v>82</v>
      </c>
      <c r="D134" s="533">
        <v>0</v>
      </c>
      <c r="E134" s="558"/>
      <c r="F134" s="521"/>
      <c r="H134" s="533">
        <v>0</v>
      </c>
      <c r="I134" s="558"/>
      <c r="J134" s="521"/>
      <c r="L134" s="533">
        <v>0</v>
      </c>
      <c r="M134" s="558"/>
      <c r="N134" s="521"/>
      <c r="P134" s="533">
        <v>0</v>
      </c>
      <c r="Q134" s="558"/>
      <c r="R134" s="521"/>
      <c r="T134" s="533">
        <v>0</v>
      </c>
      <c r="U134" s="558"/>
      <c r="V134" s="521"/>
      <c r="X134" s="533">
        <v>0</v>
      </c>
      <c r="Y134" s="558"/>
      <c r="Z134" s="521"/>
      <c r="AB134" s="533">
        <v>0</v>
      </c>
      <c r="AC134" s="558"/>
      <c r="AD134" s="521"/>
      <c r="AF134" s="533">
        <v>0</v>
      </c>
      <c r="AG134" s="558"/>
      <c r="AH134" s="521"/>
      <c r="AJ134" s="533">
        <v>0</v>
      </c>
      <c r="AK134" s="558"/>
      <c r="AL134" s="521"/>
      <c r="AN134" s="533">
        <v>0</v>
      </c>
      <c r="AO134" s="558"/>
      <c r="AP134" s="521"/>
      <c r="AR134" s="533">
        <v>0</v>
      </c>
      <c r="AS134" s="558"/>
      <c r="AT134" s="521"/>
      <c r="AV134" s="533">
        <v>0</v>
      </c>
      <c r="AW134" s="558"/>
      <c r="AX134" s="521"/>
      <c r="AZ134" s="533">
        <v>53.167999999999999</v>
      </c>
      <c r="BA134" s="558"/>
      <c r="BB134" s="521"/>
      <c r="BD134" s="533">
        <v>0</v>
      </c>
      <c r="BE134" s="558"/>
      <c r="BF134" s="521"/>
      <c r="BH134" s="533">
        <v>0</v>
      </c>
      <c r="BI134" s="558"/>
      <c r="BJ134" s="521"/>
      <c r="BL134" s="533">
        <v>0</v>
      </c>
      <c r="BM134" s="558"/>
      <c r="BN134" s="521"/>
      <c r="BP134" s="533">
        <v>0</v>
      </c>
      <c r="BQ134" s="558"/>
      <c r="BR134" s="520"/>
      <c r="BT134" s="533">
        <v>0</v>
      </c>
      <c r="BU134" s="558"/>
      <c r="BV134" s="520"/>
      <c r="BX134" s="533">
        <v>0</v>
      </c>
      <c r="BY134" s="558"/>
      <c r="BZ134" s="520"/>
      <c r="CB134" s="533">
        <v>0</v>
      </c>
      <c r="CC134" s="558"/>
      <c r="CD134" s="520"/>
      <c r="CF134" s="1088">
        <f>SUM(CF130:CF133)</f>
        <v>0</v>
      </c>
      <c r="CG134" s="558"/>
      <c r="CH134" s="520"/>
      <c r="CJ134" s="1088">
        <f>SUM(CJ130:CJ133)</f>
        <v>0</v>
      </c>
      <c r="CK134" s="558"/>
      <c r="CL134" s="520"/>
      <c r="CN134" s="1088">
        <f>SUM(CN130:CN133)</f>
        <v>0</v>
      </c>
      <c r="CO134" s="558"/>
      <c r="CP134" s="521"/>
      <c r="CR134" s="1088">
        <f>SUM(CR130:CR133)</f>
        <v>0</v>
      </c>
      <c r="CS134" s="558"/>
      <c r="CT134" s="521"/>
      <c r="CV134" s="1088">
        <f>SUM(CV130:CV133)</f>
        <v>0</v>
      </c>
      <c r="CW134" s="558"/>
      <c r="CX134" s="521"/>
      <c r="CZ134" s="1088">
        <f>SUM(CZ130:CZ133)</f>
        <v>0</v>
      </c>
      <c r="DA134" s="558"/>
      <c r="DB134" s="521"/>
      <c r="DD134" s="1088">
        <f>SUM(DD130:DD133)</f>
        <v>0</v>
      </c>
      <c r="DE134" s="558"/>
      <c r="DF134" s="521"/>
      <c r="DH134" s="1088">
        <f>SUM(DH130:DH133)</f>
        <v>0</v>
      </c>
      <c r="DI134" s="558"/>
      <c r="DJ134" s="521"/>
      <c r="DL134" s="1088">
        <f>SUM(DL130:DL133)</f>
        <v>0</v>
      </c>
      <c r="DM134" s="558"/>
      <c r="DN134" s="521"/>
      <c r="DO134" s="521"/>
    </row>
    <row r="135" spans="1:122" outlineLevel="1" x14ac:dyDescent="0.2">
      <c r="A135" s="517" t="s">
        <v>281</v>
      </c>
      <c r="D135" s="524">
        <f>D130+D131</f>
        <v>0</v>
      </c>
      <c r="E135" s="519"/>
      <c r="F135" s="521"/>
      <c r="G135" s="249"/>
      <c r="H135" s="524">
        <f>H130+H131</f>
        <v>0</v>
      </c>
      <c r="I135" s="519"/>
      <c r="J135" s="521"/>
      <c r="K135" s="249"/>
      <c r="L135" s="524">
        <f>L130+L131</f>
        <v>0</v>
      </c>
      <c r="M135" s="519"/>
      <c r="N135" s="521"/>
      <c r="O135" s="249"/>
      <c r="P135" s="524">
        <f>P130+P131</f>
        <v>0</v>
      </c>
      <c r="Q135" s="519"/>
      <c r="R135" s="521"/>
      <c r="S135" s="249"/>
      <c r="T135" s="524">
        <f>T130+T131</f>
        <v>0</v>
      </c>
      <c r="U135" s="519"/>
      <c r="V135" s="521"/>
      <c r="W135" s="249"/>
      <c r="X135" s="524">
        <f>X130+X131</f>
        <v>0</v>
      </c>
      <c r="Y135" s="519"/>
      <c r="Z135" s="521"/>
      <c r="AA135" s="249"/>
      <c r="AB135" s="524">
        <f>AB130+AB131</f>
        <v>0</v>
      </c>
      <c r="AC135" s="519"/>
      <c r="AD135" s="521"/>
      <c r="AE135" s="249"/>
      <c r="AF135" s="524">
        <f>AF130+AF131</f>
        <v>0</v>
      </c>
      <c r="AG135" s="519"/>
      <c r="AH135" s="521"/>
      <c r="AI135" s="249"/>
      <c r="AJ135" s="524">
        <f>AJ130+AJ131</f>
        <v>0</v>
      </c>
      <c r="AK135" s="519"/>
      <c r="AL135" s="521"/>
      <c r="AM135" s="249"/>
      <c r="AN135" s="524">
        <f>AN130+AN131</f>
        <v>0</v>
      </c>
      <c r="AO135" s="519"/>
      <c r="AP135" s="521"/>
      <c r="AQ135" s="249"/>
      <c r="AR135" s="524">
        <f>AR130+AR131</f>
        <v>0</v>
      </c>
      <c r="AS135" s="519"/>
      <c r="AT135" s="521"/>
      <c r="AU135" s="249"/>
      <c r="AV135" s="524">
        <f>AV130+AV131</f>
        <v>0</v>
      </c>
      <c r="AW135" s="519"/>
      <c r="AX135" s="521"/>
      <c r="AY135" s="249"/>
      <c r="AZ135" s="524">
        <f>AZ130+AZ131</f>
        <v>53.167999999999999</v>
      </c>
      <c r="BA135" s="519"/>
      <c r="BB135" s="521"/>
      <c r="BC135" s="249"/>
      <c r="BD135" s="524">
        <f>BD130+BD131</f>
        <v>0</v>
      </c>
      <c r="BE135" s="519"/>
      <c r="BF135" s="521"/>
      <c r="BG135" s="249"/>
      <c r="BH135" s="524">
        <f>BH130+BH131</f>
        <v>0</v>
      </c>
      <c r="BI135" s="519"/>
      <c r="BJ135" s="521"/>
      <c r="BK135" s="249"/>
      <c r="BL135" s="524">
        <f>BL130+BL131</f>
        <v>0</v>
      </c>
      <c r="BM135" s="519"/>
      <c r="BN135" s="521"/>
      <c r="BO135" s="249"/>
      <c r="BP135" s="524">
        <f>BP130+BP131</f>
        <v>0</v>
      </c>
      <c r="BQ135" s="519"/>
      <c r="BR135" s="521"/>
      <c r="BS135" s="249"/>
      <c r="BT135" s="524">
        <f>BT130+BT131</f>
        <v>0</v>
      </c>
      <c r="BU135" s="519"/>
      <c r="BV135" s="520"/>
      <c r="BW135" s="249"/>
      <c r="BX135" s="524">
        <f>BX130+BX131</f>
        <v>0</v>
      </c>
      <c r="BY135" s="519"/>
      <c r="BZ135" s="520"/>
      <c r="CA135" s="249"/>
      <c r="CB135" s="524">
        <f>CB130+CB131</f>
        <v>0</v>
      </c>
      <c r="CC135" s="519"/>
      <c r="CD135" s="520"/>
      <c r="CE135" s="249"/>
      <c r="CF135" s="524">
        <f>CF130+CF131</f>
        <v>0</v>
      </c>
      <c r="CG135" s="519"/>
      <c r="CH135" s="520"/>
      <c r="CI135" s="249"/>
      <c r="CJ135" s="524">
        <f>CJ130+CJ131</f>
        <v>0</v>
      </c>
      <c r="CK135" s="519"/>
      <c r="CL135" s="520"/>
      <c r="CM135" s="249"/>
      <c r="CN135" s="524">
        <f>CN130+CN131</f>
        <v>0</v>
      </c>
      <c r="CO135" s="519"/>
      <c r="CP135" s="521"/>
      <c r="CQ135" s="249"/>
      <c r="CR135" s="524">
        <f>CR130+CR131</f>
        <v>0</v>
      </c>
      <c r="CS135" s="519"/>
      <c r="CT135" s="521"/>
      <c r="CU135" s="249"/>
      <c r="CV135" s="524">
        <f>CV130+CV131</f>
        <v>0</v>
      </c>
      <c r="CW135" s="519"/>
      <c r="CX135" s="521"/>
      <c r="CY135" s="249"/>
      <c r="CZ135" s="524">
        <f>CZ130+CZ131</f>
        <v>0</v>
      </c>
      <c r="DA135" s="519"/>
      <c r="DB135" s="521"/>
      <c r="DD135" s="524">
        <f>DD130+DD131</f>
        <v>0</v>
      </c>
      <c r="DE135" s="519"/>
      <c r="DF135" s="521"/>
      <c r="DH135" s="524">
        <f>DH130+DH131</f>
        <v>0</v>
      </c>
      <c r="DI135" s="519"/>
      <c r="DJ135" s="521"/>
      <c r="DL135" s="524">
        <f>DL130+DL131</f>
        <v>0</v>
      </c>
      <c r="DM135" s="519"/>
      <c r="DN135" s="521"/>
      <c r="DO135" s="521"/>
    </row>
    <row r="136" spans="1:122" outlineLevel="1" x14ac:dyDescent="0.2">
      <c r="A136" s="517" t="s">
        <v>282</v>
      </c>
      <c r="D136" s="524">
        <f>D131+D132</f>
        <v>0</v>
      </c>
      <c r="E136" s="519"/>
      <c r="F136" s="521"/>
      <c r="G136" s="249"/>
      <c r="H136" s="524">
        <f>H131+H132</f>
        <v>0</v>
      </c>
      <c r="I136" s="519"/>
      <c r="J136" s="521"/>
      <c r="K136" s="249"/>
      <c r="L136" s="524">
        <f>L131+L132</f>
        <v>0</v>
      </c>
      <c r="M136" s="519"/>
      <c r="N136" s="521"/>
      <c r="O136" s="249"/>
      <c r="P136" s="524">
        <f>P131+P132</f>
        <v>0</v>
      </c>
      <c r="Q136" s="519"/>
      <c r="R136" s="521"/>
      <c r="S136" s="249"/>
      <c r="T136" s="524">
        <f>T131+T132</f>
        <v>0</v>
      </c>
      <c r="U136" s="519"/>
      <c r="V136" s="521"/>
      <c r="W136" s="249"/>
      <c r="X136" s="524">
        <f>X131+X132</f>
        <v>0</v>
      </c>
      <c r="Y136" s="519"/>
      <c r="Z136" s="521"/>
      <c r="AA136" s="249"/>
      <c r="AB136" s="524">
        <f>AB131+AB132</f>
        <v>0</v>
      </c>
      <c r="AC136" s="519"/>
      <c r="AD136" s="521"/>
      <c r="AE136" s="249"/>
      <c r="AF136" s="524">
        <f>AF131+AF132</f>
        <v>0</v>
      </c>
      <c r="AG136" s="519"/>
      <c r="AH136" s="521"/>
      <c r="AI136" s="249"/>
      <c r="AJ136" s="524">
        <f>AJ131+AJ132</f>
        <v>0</v>
      </c>
      <c r="AK136" s="519"/>
      <c r="AL136" s="521"/>
      <c r="AM136" s="249"/>
      <c r="AN136" s="524">
        <f>AN131+AN132</f>
        <v>0</v>
      </c>
      <c r="AO136" s="519"/>
      <c r="AP136" s="521"/>
      <c r="AQ136" s="249"/>
      <c r="AR136" s="524">
        <f>AR131+AR132</f>
        <v>0</v>
      </c>
      <c r="AS136" s="519"/>
      <c r="AT136" s="521"/>
      <c r="AU136" s="249"/>
      <c r="AV136" s="524">
        <f>AV131+AV132</f>
        <v>0</v>
      </c>
      <c r="AW136" s="519"/>
      <c r="AX136" s="521"/>
      <c r="AY136" s="249"/>
      <c r="AZ136" s="524">
        <f>AZ131+AZ132</f>
        <v>11.121</v>
      </c>
      <c r="BA136" s="519"/>
      <c r="BB136" s="521"/>
      <c r="BC136" s="249"/>
      <c r="BD136" s="524">
        <f>BD131+BD132</f>
        <v>0</v>
      </c>
      <c r="BE136" s="519"/>
      <c r="BF136" s="521"/>
      <c r="BG136" s="249"/>
      <c r="BH136" s="524">
        <f>BH131+BH132</f>
        <v>0</v>
      </c>
      <c r="BI136" s="519"/>
      <c r="BJ136" s="521"/>
      <c r="BK136" s="249"/>
      <c r="BL136" s="524">
        <f>BL131+BL132</f>
        <v>0</v>
      </c>
      <c r="BM136" s="519"/>
      <c r="BN136" s="521"/>
      <c r="BO136" s="249"/>
      <c r="BP136" s="524">
        <f>BP131+BP132</f>
        <v>0</v>
      </c>
      <c r="BQ136" s="519"/>
      <c r="BR136" s="521"/>
      <c r="BS136" s="249"/>
      <c r="BT136" s="524">
        <f>BT131+BT132</f>
        <v>0</v>
      </c>
      <c r="BU136" s="519"/>
      <c r="BV136" s="520"/>
      <c r="BW136" s="249"/>
      <c r="BX136" s="524">
        <f>BX131+BX132</f>
        <v>0</v>
      </c>
      <c r="BY136" s="519"/>
      <c r="BZ136" s="520"/>
      <c r="CA136" s="249"/>
      <c r="CB136" s="524">
        <f>CB131+CB132</f>
        <v>0</v>
      </c>
      <c r="CC136" s="519"/>
      <c r="CD136" s="520"/>
      <c r="CE136" s="249"/>
      <c r="CF136" s="524">
        <f>CF131+CF132</f>
        <v>0</v>
      </c>
      <c r="CG136" s="519"/>
      <c r="CH136" s="520"/>
      <c r="CI136" s="249"/>
      <c r="CJ136" s="524">
        <f>CJ131+CJ132</f>
        <v>0</v>
      </c>
      <c r="CK136" s="519"/>
      <c r="CL136" s="520"/>
      <c r="CM136" s="249"/>
      <c r="CN136" s="524">
        <f>CN131+CN132</f>
        <v>0</v>
      </c>
      <c r="CO136" s="519"/>
      <c r="CP136" s="521"/>
      <c r="CQ136" s="249"/>
      <c r="CR136" s="524">
        <f>CR131+CR132</f>
        <v>0</v>
      </c>
      <c r="CS136" s="519"/>
      <c r="CT136" s="521"/>
      <c r="CU136" s="249"/>
      <c r="CV136" s="524">
        <f>CV131+CV132</f>
        <v>0</v>
      </c>
      <c r="CW136" s="519"/>
      <c r="CX136" s="521"/>
      <c r="CY136" s="249"/>
      <c r="CZ136" s="524">
        <f>CZ131+CZ132</f>
        <v>0</v>
      </c>
      <c r="DA136" s="519"/>
      <c r="DB136" s="521"/>
      <c r="DD136" s="524">
        <f>DD131+DD132</f>
        <v>0</v>
      </c>
      <c r="DE136" s="519"/>
      <c r="DF136" s="521"/>
      <c r="DH136" s="524">
        <f>DH131+DH132</f>
        <v>0</v>
      </c>
      <c r="DI136" s="519"/>
      <c r="DJ136" s="521"/>
      <c r="DL136" s="524">
        <f>DL131+DL132</f>
        <v>0</v>
      </c>
      <c r="DM136" s="519"/>
      <c r="DN136" s="521"/>
      <c r="DO136" s="521"/>
    </row>
    <row r="137" spans="1:122" outlineLevel="1" x14ac:dyDescent="0.2">
      <c r="A137" s="517"/>
      <c r="D137" s="524"/>
      <c r="E137" s="519"/>
      <c r="F137" s="521"/>
      <c r="G137" s="249"/>
      <c r="H137" s="524"/>
      <c r="I137" s="519"/>
      <c r="J137" s="521"/>
      <c r="K137" s="249"/>
      <c r="L137" s="524"/>
      <c r="M137" s="519"/>
      <c r="N137" s="521"/>
      <c r="O137" s="249"/>
      <c r="P137" s="524"/>
      <c r="Q137" s="519"/>
      <c r="R137" s="521"/>
      <c r="S137" s="249"/>
      <c r="T137" s="524"/>
      <c r="U137" s="519"/>
      <c r="V137" s="521"/>
      <c r="W137" s="249"/>
      <c r="X137" s="524"/>
      <c r="Y137" s="519"/>
      <c r="Z137" s="521"/>
      <c r="AA137" s="249"/>
      <c r="AB137" s="524"/>
      <c r="AC137" s="519"/>
      <c r="AD137" s="521"/>
      <c r="AE137" s="249"/>
      <c r="AF137" s="524"/>
      <c r="AG137" s="519"/>
      <c r="AH137" s="521"/>
      <c r="AI137" s="249"/>
      <c r="AJ137" s="524"/>
      <c r="AK137" s="519"/>
      <c r="AL137" s="521"/>
      <c r="AM137" s="249"/>
      <c r="AN137" s="524"/>
      <c r="AO137" s="519"/>
      <c r="AP137" s="521"/>
      <c r="AQ137" s="249"/>
      <c r="AR137" s="524"/>
      <c r="AS137" s="519"/>
      <c r="AT137" s="521"/>
      <c r="AU137" s="249"/>
      <c r="AV137" s="524"/>
      <c r="AW137" s="519"/>
      <c r="AX137" s="521"/>
      <c r="AY137" s="249"/>
      <c r="AZ137" s="524"/>
      <c r="BA137" s="519"/>
      <c r="BB137" s="521"/>
      <c r="BC137" s="249"/>
      <c r="BD137" s="524"/>
      <c r="BE137" s="519"/>
      <c r="BF137" s="521"/>
      <c r="BG137" s="249"/>
      <c r="BH137" s="524"/>
      <c r="BI137" s="519"/>
      <c r="BJ137" s="521"/>
      <c r="BK137" s="249"/>
      <c r="BL137" s="524"/>
      <c r="BM137" s="519"/>
      <c r="BN137" s="521"/>
      <c r="BO137" s="249"/>
      <c r="BP137" s="524"/>
      <c r="BQ137" s="519"/>
      <c r="BR137" s="521"/>
      <c r="BS137" s="249"/>
      <c r="BT137" s="524"/>
      <c r="BU137" s="519"/>
      <c r="BV137" s="520"/>
      <c r="BW137" s="249"/>
      <c r="BX137" s="524"/>
      <c r="BY137" s="519"/>
      <c r="BZ137" s="520"/>
      <c r="CA137" s="249"/>
      <c r="CB137" s="524"/>
      <c r="CC137" s="519"/>
      <c r="CD137" s="520"/>
      <c r="CE137" s="249"/>
      <c r="CF137" s="524"/>
      <c r="CG137" s="519"/>
      <c r="CH137" s="520"/>
      <c r="CI137" s="249"/>
      <c r="CJ137" s="524"/>
      <c r="CK137" s="519"/>
      <c r="CL137" s="520"/>
      <c r="CM137" s="249"/>
      <c r="CN137" s="524"/>
      <c r="CO137" s="519"/>
      <c r="CP137" s="521"/>
      <c r="CQ137" s="249"/>
      <c r="CR137" s="524"/>
      <c r="CS137" s="519"/>
      <c r="CT137" s="521"/>
      <c r="CU137" s="249"/>
      <c r="CV137" s="524"/>
      <c r="CW137" s="519"/>
      <c r="CX137" s="521"/>
      <c r="CY137" s="249"/>
      <c r="CZ137" s="524"/>
      <c r="DA137" s="519"/>
      <c r="DB137" s="521"/>
      <c r="DD137" s="524"/>
      <c r="DE137" s="519"/>
      <c r="DF137" s="521"/>
      <c r="DH137" s="524"/>
      <c r="DI137" s="519"/>
      <c r="DJ137" s="521"/>
      <c r="DL137" s="524"/>
      <c r="DM137" s="519"/>
      <c r="DN137" s="521"/>
      <c r="DO137" s="521"/>
    </row>
    <row r="138" spans="1:122" s="516" customFormat="1" ht="12.75" customHeight="1" outlineLevel="1" x14ac:dyDescent="0.2">
      <c r="A138" s="515" t="s">
        <v>446</v>
      </c>
      <c r="CG138" s="1397" t="str">
        <f>A138</f>
        <v>12. Net Earnings (% Net Margin / % Change)</v>
      </c>
      <c r="CH138" s="1397"/>
      <c r="CI138" s="1397"/>
      <c r="CJ138" s="1397"/>
      <c r="CK138" s="1397"/>
      <c r="CL138" s="1397"/>
      <c r="CM138" s="1397"/>
      <c r="CN138" s="1397"/>
      <c r="CO138" s="1397"/>
      <c r="CP138" s="1397"/>
      <c r="CQ138" s="1397"/>
      <c r="CR138" s="1397"/>
      <c r="CS138" s="1397"/>
      <c r="CT138" s="1397"/>
      <c r="CU138" s="1397"/>
      <c r="CV138" s="1397"/>
      <c r="CW138" s="1397"/>
      <c r="CX138" s="1397"/>
      <c r="CY138" s="1397"/>
      <c r="CZ138" s="1397"/>
      <c r="DA138" s="1397"/>
      <c r="DB138" s="1397"/>
      <c r="DC138" s="1397"/>
      <c r="DD138" s="1397"/>
      <c r="DE138" s="1397"/>
      <c r="DF138" s="1397"/>
      <c r="DG138" s="846"/>
      <c r="DH138" s="846"/>
      <c r="DI138" s="846"/>
      <c r="DJ138" s="846"/>
      <c r="DK138" s="1222"/>
      <c r="DL138" s="1222"/>
      <c r="DM138" s="1222"/>
      <c r="DN138" s="1222"/>
      <c r="DO138" s="1222"/>
    </row>
    <row r="139" spans="1:122" outlineLevel="1" x14ac:dyDescent="0.2">
      <c r="D139" s="361"/>
      <c r="E139" s="249"/>
      <c r="F139" s="249"/>
      <c r="H139" s="361"/>
      <c r="I139" s="249"/>
      <c r="J139" s="249"/>
      <c r="L139" s="361"/>
      <c r="M139" s="249"/>
      <c r="N139" s="249"/>
      <c r="P139" s="361"/>
      <c r="Q139" s="249"/>
      <c r="R139" s="249"/>
      <c r="T139" s="361"/>
      <c r="U139" s="249"/>
      <c r="V139" s="249"/>
      <c r="X139" s="361"/>
      <c r="Y139" s="249"/>
      <c r="Z139" s="249"/>
      <c r="AB139" s="361"/>
      <c r="AC139" s="249"/>
      <c r="AD139" s="249"/>
      <c r="AF139" s="361"/>
      <c r="AG139" s="249"/>
      <c r="AH139" s="249"/>
      <c r="AJ139" s="361"/>
      <c r="AK139" s="249"/>
      <c r="AL139" s="249"/>
      <c r="AN139" s="361"/>
      <c r="AO139" s="249"/>
      <c r="AP139" s="249"/>
      <c r="AR139" s="361"/>
      <c r="AS139" s="249"/>
      <c r="AT139" s="249"/>
      <c r="AV139" s="361"/>
      <c r="AW139" s="249"/>
      <c r="AX139" s="249"/>
      <c r="AZ139" s="361"/>
      <c r="BA139" s="249"/>
      <c r="BB139" s="249"/>
      <c r="BD139" s="361"/>
      <c r="BE139" s="249"/>
      <c r="BF139" s="249"/>
      <c r="BH139" s="361"/>
      <c r="BI139" s="249"/>
      <c r="BJ139" s="249"/>
      <c r="BL139" s="361"/>
      <c r="BM139" s="249"/>
      <c r="BN139" s="249"/>
      <c r="BP139" s="362"/>
      <c r="BT139" s="362"/>
      <c r="BX139" s="362"/>
      <c r="CB139" s="362"/>
      <c r="CF139" s="362"/>
      <c r="CJ139" s="362"/>
      <c r="CP139" s="249"/>
      <c r="CT139" s="249"/>
      <c r="CX139" s="249"/>
      <c r="DB139" s="249"/>
      <c r="DF139" s="249"/>
      <c r="DJ139" s="249"/>
      <c r="DN139" s="249"/>
      <c r="DO139" s="249"/>
    </row>
    <row r="140" spans="1:122" outlineLevel="1" x14ac:dyDescent="0.2">
      <c r="A140" s="517" t="s">
        <v>78</v>
      </c>
      <c r="D140" s="256">
        <f>D110-D120</f>
        <v>13.200000000000058</v>
      </c>
      <c r="E140" s="558">
        <f>D140/D30*100</f>
        <v>2.2928608650338815</v>
      </c>
      <c r="F140" s="520"/>
      <c r="H140" s="256">
        <f>H110-H120</f>
        <v>25.656999999999965</v>
      </c>
      <c r="I140" s="558">
        <f>H140/H30*100</f>
        <v>4.0572637624689207</v>
      </c>
      <c r="J140" s="520">
        <f t="shared" ref="J140:J146" si="397">(H140/D140-1)*100</f>
        <v>94.371212121211002</v>
      </c>
      <c r="L140" s="256">
        <f>L110-L120</f>
        <v>21.581999999999955</v>
      </c>
      <c r="M140" s="558">
        <f>L140/L30*100</f>
        <v>3.1383828792212585</v>
      </c>
      <c r="N140" s="520">
        <f t="shared" ref="N140:N146" si="398">(L140/H140-1)*100</f>
        <v>-15.882605136999706</v>
      </c>
      <c r="P140" s="256">
        <f>P110-P120</f>
        <v>11.294999999999989</v>
      </c>
      <c r="Q140" s="558">
        <f>P140/P30*100</f>
        <v>1.5708182440212932</v>
      </c>
      <c r="R140" s="520">
        <f t="shared" ref="R140:R146" si="399">(P140/L140-1)*100</f>
        <v>-47.664720600500353</v>
      </c>
      <c r="T140" s="256">
        <f>T110-T120</f>
        <v>31.973000000000059</v>
      </c>
      <c r="U140" s="558">
        <f>T140/T30*100</f>
        <v>4.0692923888336026</v>
      </c>
      <c r="V140" s="520">
        <f t="shared" ref="V140:V146" si="400">(T140/P140-1)*100</f>
        <v>183.07215582116058</v>
      </c>
      <c r="X140" s="256">
        <f>X110-X120</f>
        <v>27.676999999999879</v>
      </c>
      <c r="Y140" s="558">
        <f>X140/X30*100</f>
        <v>3.2681367003828057</v>
      </c>
      <c r="Z140" s="520">
        <f t="shared" ref="Z140:Z146" si="401">(X140/T140-1)*100</f>
        <v>-13.436336909267732</v>
      </c>
      <c r="AB140" s="256">
        <f>AB110-AB120</f>
        <v>27.349000000000089</v>
      </c>
      <c r="AC140" s="558">
        <f>AB140/AB30*100</f>
        <v>2.9077914649212997</v>
      </c>
      <c r="AD140" s="520">
        <f t="shared" ref="AD140:AD146" si="402">(AB140/X140-1)*100</f>
        <v>-1.1850995411344822</v>
      </c>
      <c r="AF140" s="256">
        <f>AF110-AF120</f>
        <v>32.348999999999982</v>
      </c>
      <c r="AG140" s="558">
        <f>AF140/AF30*100</f>
        <v>3.2953431846936492</v>
      </c>
      <c r="AH140" s="520">
        <f t="shared" ref="AH140:AH146" si="403">(AF140/AB140-1)*100</f>
        <v>18.282204102526144</v>
      </c>
      <c r="AJ140" s="256">
        <f>AJ110-AJ120</f>
        <v>32.336999999999904</v>
      </c>
      <c r="AK140" s="558">
        <f>AJ140/AJ30*100</f>
        <v>3.0203655411009485</v>
      </c>
      <c r="AL140" s="520">
        <f t="shared" ref="AL140:AL146" si="404">(AJ140/AF140-1)*100</f>
        <v>-3.7095427988742546E-2</v>
      </c>
      <c r="AN140" s="256">
        <f>AN110-AN120</f>
        <v>31.538000000000004</v>
      </c>
      <c r="AO140" s="558">
        <f>AN140/AN30*100</f>
        <v>2.957768009626017</v>
      </c>
      <c r="AP140" s="520">
        <f t="shared" ref="AP140:AP146" si="405">(AN140/AJ140-1)*100</f>
        <v>-2.4708538207004471</v>
      </c>
      <c r="AR140" s="256">
        <f>AR110-AR120</f>
        <v>32.789000000000016</v>
      </c>
      <c r="AS140" s="558">
        <f>AR140/AR30*100</f>
        <v>2.7680810847089048</v>
      </c>
      <c r="AT140" s="520">
        <f t="shared" ref="AT140:AT146" si="406">(AR140/AN140-1)*100</f>
        <v>3.9666434142939133</v>
      </c>
      <c r="AV140" s="256">
        <f>AV110-AV120</f>
        <v>24.754999999999963</v>
      </c>
      <c r="AW140" s="558">
        <f>AV140/AV30*100</f>
        <v>1.9722035221618923</v>
      </c>
      <c r="AX140" s="520">
        <f t="shared" ref="AX140:AX146" si="407">(AV140/AR140-1)*100</f>
        <v>-24.502119613285089</v>
      </c>
      <c r="AZ140" s="256">
        <f>AZ110-AZ120-AZ130</f>
        <v>-11.212999999999912</v>
      </c>
      <c r="BA140" s="558">
        <f>AZ140/AZ30*100</f>
        <v>-0.87665599480870104</v>
      </c>
      <c r="BB140" s="520">
        <f t="shared" ref="BB140:BB146" si="408">(AZ140/AV140-1)*100</f>
        <v>-145.29589981821823</v>
      </c>
      <c r="BD140" s="256">
        <f>BD110-BD120</f>
        <v>27.15499999999999</v>
      </c>
      <c r="BE140" s="558">
        <f>BD140/BD30*100</f>
        <v>1.9805208065908926</v>
      </c>
      <c r="BF140" s="520">
        <f t="shared" ref="BF140:BF146" si="409">(BD140/AZ140-1)*100</f>
        <v>-342.17426201730319</v>
      </c>
      <c r="BH140" s="256">
        <f>BH110-BH120</f>
        <v>68.727000000000089</v>
      </c>
      <c r="BI140" s="558">
        <f>BH140/BH30*100</f>
        <v>4.363682771240474</v>
      </c>
      <c r="BJ140" s="520">
        <f t="shared" ref="BJ140:BJ146" si="410">(BH140/BD140-1)*100</f>
        <v>153.09151169213811</v>
      </c>
      <c r="BL140" s="256">
        <f>BL110-BL120</f>
        <v>104.53799999999994</v>
      </c>
      <c r="BM140" s="558">
        <f>BL140/BL30*100</f>
        <v>6.1594173011408131</v>
      </c>
      <c r="BN140" s="520">
        <f t="shared" ref="BN140:BN146" si="411">(BL140/BH140-1)*100</f>
        <v>52.106159151424912</v>
      </c>
      <c r="BP140" s="256">
        <f>BP110-BP120</f>
        <v>131.23099999999997</v>
      </c>
      <c r="BQ140" s="558">
        <f>BP140/BP30*100</f>
        <v>7.12800933809363</v>
      </c>
      <c r="BR140" s="520">
        <f t="shared" ref="BR140:BR146" si="412">(BP140/BL140-1)*100</f>
        <v>25.534255486043399</v>
      </c>
      <c r="BT140" s="256">
        <f>BT110-BT120</f>
        <v>156.81100000000004</v>
      </c>
      <c r="BU140" s="558">
        <f>BT140/BT30*100</f>
        <v>7.8026175746607889</v>
      </c>
      <c r="BV140" s="520">
        <f t="shared" ref="BV140:BV146" si="413">(BT140/BP140-1)*100</f>
        <v>19.492345558595204</v>
      </c>
      <c r="BX140" s="256">
        <f>BX110-BX120</f>
        <v>129</v>
      </c>
      <c r="BY140" s="558">
        <f>BX140/BX30*100</f>
        <v>6.6187788609543361</v>
      </c>
      <c r="BZ140" s="520">
        <f t="shared" ref="BZ140:BZ146" si="414">(BX140/BT140-1)*100</f>
        <v>-17.735362952854096</v>
      </c>
      <c r="CB140" s="256">
        <f>CB110-CB120</f>
        <v>68</v>
      </c>
      <c r="CC140" s="558">
        <f>CB140/CB30*100</f>
        <v>3.7946428571428568</v>
      </c>
      <c r="CD140" s="520">
        <f t="shared" ref="CD140:CD146" si="415">(CB140/BX140-1)*100</f>
        <v>-47.286821705426348</v>
      </c>
      <c r="CF140" s="256">
        <f>CF110-CF120</f>
        <v>116</v>
      </c>
      <c r="CG140" s="558">
        <f>CF140/CF30*100</f>
        <v>5.5582175371346434</v>
      </c>
      <c r="CH140" s="520">
        <f t="shared" ref="CH140:CH146" si="416">(CF140/CB140-1)*100</f>
        <v>70.588235294117638</v>
      </c>
      <c r="CI140" s="520">
        <f>(CG140/CC140-1)*100</f>
        <v>46.475379802136494</v>
      </c>
      <c r="CJ140" s="256">
        <f>CJ110-CJ120</f>
        <v>145</v>
      </c>
      <c r="CK140" s="558">
        <f>CJ140/CJ30*100</f>
        <v>6.2419285406801546</v>
      </c>
      <c r="CL140" s="520">
        <f t="shared" ref="CL140:CL146" si="417">(CJ140/CF140-1)*100</f>
        <v>25</v>
      </c>
      <c r="CN140" s="256">
        <f>CN110-CN120</f>
        <v>149</v>
      </c>
      <c r="CO140" s="558">
        <f>CN140/CN10*100</f>
        <v>5.8777120315581852</v>
      </c>
      <c r="CP140" s="521">
        <f t="shared" ref="CP140:CP146" si="418">(CN140/CJ140-1)*100</f>
        <v>2.7586206896551779</v>
      </c>
      <c r="CR140" s="256">
        <f>CR110-CR120</f>
        <v>145</v>
      </c>
      <c r="CS140" s="558">
        <f>CR140/CR10*100</f>
        <v>5.4572826496048172</v>
      </c>
      <c r="CT140" s="521">
        <f t="shared" ref="CT140:CT146" si="419">(CR140/CN140-1)*100</f>
        <v>-2.6845637583892579</v>
      </c>
      <c r="CV140" s="256">
        <f>CV110-CV120</f>
        <v>140</v>
      </c>
      <c r="CW140" s="558">
        <f>CV140/CV10*100</f>
        <v>4.9347902714134646</v>
      </c>
      <c r="CX140" s="521">
        <f t="shared" ref="CX140:CX146" si="420">(CV140/CR140-1)*100</f>
        <v>-3.4482758620689613</v>
      </c>
      <c r="CZ140" s="256">
        <f>CZ110-CZ120</f>
        <v>128</v>
      </c>
      <c r="DA140" s="558">
        <f>CZ140/CZ10*100</f>
        <v>4.1091492776886032</v>
      </c>
      <c r="DB140" s="521">
        <f t="shared" ref="DB140:DB146" si="421">(CZ140/CV140-1)*100</f>
        <v>-8.5714285714285747</v>
      </c>
      <c r="DD140" s="256">
        <f>DD110-DD120</f>
        <v>46</v>
      </c>
      <c r="DE140" s="558">
        <f>DD140/DD10*100</f>
        <v>1.4411027568922306</v>
      </c>
      <c r="DF140" s="521">
        <f t="shared" ref="DF140:DF146" si="422">(DD140/CZ140-1)*100</f>
        <v>-64.0625</v>
      </c>
      <c r="DH140" s="256">
        <f>DH110-DH120</f>
        <v>63</v>
      </c>
      <c r="DI140" s="558">
        <f>DH140/DH10*100</f>
        <v>1.9213174748398902</v>
      </c>
      <c r="DJ140" s="521">
        <f t="shared" ref="DJ140:DJ146" si="423">(DH140/DD140-1)*100</f>
        <v>36.956521739130444</v>
      </c>
      <c r="DL140" s="256">
        <f>DL110-DL120</f>
        <v>70.098912514423247</v>
      </c>
      <c r="DM140" s="558">
        <f>DL140/DL10*100</f>
        <v>2.0543239087348044</v>
      </c>
      <c r="DN140" s="521">
        <f t="shared" ref="DN140:DN146" si="424">(DL140/DH140-1)*100</f>
        <v>11.268115102259113</v>
      </c>
      <c r="DO140" s="521"/>
    </row>
    <row r="141" spans="1:122" outlineLevel="1" x14ac:dyDescent="0.2">
      <c r="A141" s="517" t="s">
        <v>79</v>
      </c>
      <c r="D141" s="362">
        <f>D111-D121</f>
        <v>35.200000000000017</v>
      </c>
      <c r="E141" s="558">
        <f t="shared" ref="E141:E146" si="425">D141/D31*100</f>
        <v>4.2869321641700182</v>
      </c>
      <c r="F141" s="520"/>
      <c r="H141" s="362">
        <f>H111-H121</f>
        <v>49.868999999999993</v>
      </c>
      <c r="I141" s="558">
        <f t="shared" ref="I141:I146" si="426">H141/H31*100</f>
        <v>5.399847973960668</v>
      </c>
      <c r="J141" s="520">
        <f t="shared" si="397"/>
        <v>41.673295454545368</v>
      </c>
      <c r="L141" s="362">
        <f>L111-L121</f>
        <v>41.652999999999992</v>
      </c>
      <c r="M141" s="558">
        <f t="shared" ref="M141:M146" si="427">L141/L31*100</f>
        <v>4.2786456006056435</v>
      </c>
      <c r="N141" s="520">
        <f t="shared" si="398"/>
        <v>-16.475164932122166</v>
      </c>
      <c r="P141" s="362">
        <f>P111-P121</f>
        <v>42.65100000000001</v>
      </c>
      <c r="Q141" s="558">
        <f t="shared" ref="Q141:Q146" si="428">P141/P31*100</f>
        <v>4.1037606500435393</v>
      </c>
      <c r="R141" s="520">
        <f t="shared" si="399"/>
        <v>2.3959858833698</v>
      </c>
      <c r="T141" s="362">
        <f>T111-T121</f>
        <v>63.022999999999968</v>
      </c>
      <c r="U141" s="558">
        <f t="shared" ref="U141:U146" si="429">T141/T31*100</f>
        <v>5.7154128332207268</v>
      </c>
      <c r="V141" s="520">
        <f t="shared" si="400"/>
        <v>47.764413495580293</v>
      </c>
      <c r="X141" s="362">
        <f>X111-X121</f>
        <v>53.864000000000033</v>
      </c>
      <c r="Y141" s="558">
        <f t="shared" ref="Y141:Y146" si="430">X141/X31*100</f>
        <v>4.5712345914751902</v>
      </c>
      <c r="Z141" s="520">
        <f t="shared" si="401"/>
        <v>-14.532789616489127</v>
      </c>
      <c r="AB141" s="362">
        <f>AB111-AB121</f>
        <v>44.780999999999878</v>
      </c>
      <c r="AC141" s="558">
        <f t="shared" ref="AC141:AC146" si="431">AB141/AB31*100</f>
        <v>3.5118551874385271</v>
      </c>
      <c r="AD141" s="520">
        <f t="shared" si="402"/>
        <v>-16.862839744542089</v>
      </c>
      <c r="AF141" s="362">
        <f>AF111-AF121</f>
        <v>58.585999999999991</v>
      </c>
      <c r="AG141" s="558">
        <f t="shared" ref="AG141:AG146" si="432">AF141/AF31*100</f>
        <v>4.2459592145562484</v>
      </c>
      <c r="AH141" s="520">
        <f t="shared" si="403"/>
        <v>30.827806435765503</v>
      </c>
      <c r="AJ141" s="362">
        <f>AJ111-AJ121</f>
        <v>69.193944000000073</v>
      </c>
      <c r="AK141" s="558">
        <f t="shared" ref="AK141:AK146" si="433">AJ141/AJ31*100</f>
        <v>4.6915315190705114</v>
      </c>
      <c r="AL141" s="520">
        <f t="shared" si="404"/>
        <v>18.106619328850048</v>
      </c>
      <c r="AN141" s="362">
        <f>AN111-AN121</f>
        <v>70.839000000000141</v>
      </c>
      <c r="AO141" s="558">
        <f t="shared" ref="AO141:AO146" si="434">AN141/AN31*100</f>
        <v>4.8340407528217266</v>
      </c>
      <c r="AP141" s="520">
        <f t="shared" si="405"/>
        <v>2.377456616723661</v>
      </c>
      <c r="AR141" s="362">
        <f>AR111-AR121</f>
        <v>51.789968999999964</v>
      </c>
      <c r="AS141" s="558">
        <f t="shared" ref="AS141:AS146" si="435">AR141/AR31*100</f>
        <v>3.475678224081046</v>
      </c>
      <c r="AT141" s="520">
        <f t="shared" si="406"/>
        <v>-26.890598399187084</v>
      </c>
      <c r="AV141" s="362">
        <f>AV111-AV121</f>
        <v>38.699000000000083</v>
      </c>
      <c r="AW141" s="558">
        <f t="shared" ref="AW141:AW146" si="436">AV141/AV31*100</f>
        <v>2.4475579760512649</v>
      </c>
      <c r="AX141" s="520">
        <f t="shared" si="407"/>
        <v>-25.277035790463376</v>
      </c>
      <c r="AZ141" s="362">
        <f>AZ111-AZ121-AZ131</f>
        <v>46.828299999999821</v>
      </c>
      <c r="BA141" s="558">
        <f t="shared" ref="BA141:BA146" si="437">AZ141/AZ31*100</f>
        <v>2.7694812549050116</v>
      </c>
      <c r="BB141" s="520">
        <f t="shared" si="408"/>
        <v>21.006485955708733</v>
      </c>
      <c r="BD141" s="362">
        <f>BD111-BD121</f>
        <v>65.846999999999753</v>
      </c>
      <c r="BE141" s="558">
        <f t="shared" ref="BE141:BE146" si="438">BD141/BD31*100</f>
        <v>3.6162165457270272</v>
      </c>
      <c r="BF141" s="520">
        <f t="shared" si="409"/>
        <v>40.613688730959694</v>
      </c>
      <c r="BH141" s="362">
        <f>BH111-BH121</f>
        <v>106.91499999999996</v>
      </c>
      <c r="BI141" s="558">
        <f t="shared" ref="BI141:BI146" si="439">BH141/BH31*100</f>
        <v>5.355169743578954</v>
      </c>
      <c r="BJ141" s="520">
        <f t="shared" si="410"/>
        <v>62.368824699683145</v>
      </c>
      <c r="BL141" s="362">
        <f>BL111-BL121</f>
        <v>148.91799999999978</v>
      </c>
      <c r="BM141" s="558">
        <f t="shared" ref="BM141:BM146" si="440">BL141/BL31*100</f>
        <v>6.9218855744702905</v>
      </c>
      <c r="BN141" s="520">
        <f t="shared" si="411"/>
        <v>39.286348968806827</v>
      </c>
      <c r="BP141" s="362">
        <f>BP111-BP121</f>
        <v>178.75399999999996</v>
      </c>
      <c r="BQ141" s="558">
        <f t="shared" ref="BQ141:BQ146" si="441">BP141/BP31*100</f>
        <v>7.6675049617834352</v>
      </c>
      <c r="BR141" s="520">
        <f t="shared" si="412"/>
        <v>20.035187149975297</v>
      </c>
      <c r="BT141" s="362">
        <f>BT111-BT121</f>
        <v>180.56399999999979</v>
      </c>
      <c r="BU141" s="558">
        <f t="shared" ref="BU141:BU146" si="442">BT141/BT31*100</f>
        <v>7.3405550175744922</v>
      </c>
      <c r="BV141" s="520">
        <f t="shared" si="413"/>
        <v>1.0125647537956306</v>
      </c>
      <c r="BX141" s="362">
        <f>BX111-BX121</f>
        <v>143</v>
      </c>
      <c r="BY141" s="558">
        <f t="shared" ref="BY141:BY146" si="443">BX141/BX31*100</f>
        <v>6.0618906316235694</v>
      </c>
      <c r="BZ141" s="520">
        <f t="shared" si="414"/>
        <v>-20.803703949845954</v>
      </c>
      <c r="CB141" s="362">
        <f>CB111-CB121</f>
        <v>105</v>
      </c>
      <c r="CC141" s="558">
        <f t="shared" ref="CC141:CC146" si="444">CB141/CB31*100</f>
        <v>4.704301075268817</v>
      </c>
      <c r="CD141" s="520">
        <f t="shared" si="415"/>
        <v>-26.573426573426573</v>
      </c>
      <c r="CF141" s="362">
        <f>CF111-CF121</f>
        <v>146</v>
      </c>
      <c r="CG141" s="558">
        <f t="shared" ref="CG141:CG146" si="445">CF141/CF31*100</f>
        <v>5.8051689860834994</v>
      </c>
      <c r="CH141" s="520">
        <f t="shared" si="416"/>
        <v>39.047619047619044</v>
      </c>
      <c r="CI141" s="520">
        <f>(CG141/CC141-1)*100</f>
        <v>23.401306447032113</v>
      </c>
      <c r="CJ141" s="362">
        <f>CJ111-CJ121</f>
        <v>175</v>
      </c>
      <c r="CK141" s="558">
        <f t="shared" ref="CK141:CK146" si="446">CJ141/CJ31*100</f>
        <v>6.2277580071174379</v>
      </c>
      <c r="CL141" s="520">
        <f t="shared" si="417"/>
        <v>19.863013698630127</v>
      </c>
      <c r="CN141" s="362">
        <f>CN111-CN121</f>
        <v>156</v>
      </c>
      <c r="CO141" s="558">
        <f>CN141/CN11*100</f>
        <v>5.3461274845784788</v>
      </c>
      <c r="CP141" s="521">
        <f t="shared" si="418"/>
        <v>-10.857142857142854</v>
      </c>
      <c r="CR141" s="362">
        <f>CR111-CR121</f>
        <v>184</v>
      </c>
      <c r="CS141" s="558">
        <f>CR141/CR11*100</f>
        <v>5.9278350515463911</v>
      </c>
      <c r="CT141" s="521">
        <f t="shared" si="419"/>
        <v>17.948717948717952</v>
      </c>
      <c r="CV141" s="362">
        <f>CV111-CV121</f>
        <v>183</v>
      </c>
      <c r="CW141" s="558">
        <f>CV141/CV11*100</f>
        <v>5.5521844660194182</v>
      </c>
      <c r="CX141" s="521">
        <f t="shared" si="420"/>
        <v>-0.54347826086956763</v>
      </c>
      <c r="CZ141" s="362">
        <f>CZ111-CZ121</f>
        <v>180.74</v>
      </c>
      <c r="DA141" s="558">
        <f>CZ141/CZ11*100</f>
        <v>5.0233463035019454</v>
      </c>
      <c r="DB141" s="521">
        <f t="shared" si="421"/>
        <v>-1.2349726775956249</v>
      </c>
      <c r="DD141" s="362">
        <f>DD111-DD121</f>
        <v>117</v>
      </c>
      <c r="DE141" s="558">
        <f>DD141/DD11*100</f>
        <v>3.2572383073496658</v>
      </c>
      <c r="DF141" s="521">
        <f t="shared" si="422"/>
        <v>-35.266128139869423</v>
      </c>
      <c r="DH141" s="362">
        <f>DH111-DH121</f>
        <v>110</v>
      </c>
      <c r="DI141" s="558">
        <f>DH141/DH11*100</f>
        <v>2.9593758407317727</v>
      </c>
      <c r="DJ141" s="521">
        <f t="shared" si="423"/>
        <v>-5.9829059829059839</v>
      </c>
      <c r="DL141" s="362">
        <f>DL111-DL121</f>
        <v>116.42999892594057</v>
      </c>
      <c r="DM141" s="558">
        <f>DL141/DL11*100</f>
        <v>2.9085618491104896</v>
      </c>
      <c r="DN141" s="521">
        <f t="shared" si="424"/>
        <v>5.8454535690368736</v>
      </c>
      <c r="DO141" s="521"/>
    </row>
    <row r="142" spans="1:122" outlineLevel="1" x14ac:dyDescent="0.2">
      <c r="A142" s="517" t="s">
        <v>80</v>
      </c>
      <c r="D142" s="362">
        <f>D112-D122</f>
        <v>20.39999999999992</v>
      </c>
      <c r="E142" s="558">
        <f t="shared" si="425"/>
        <v>3.1083346030778487</v>
      </c>
      <c r="F142" s="520"/>
      <c r="H142" s="362">
        <f>H112-H122</f>
        <v>19.429999999999971</v>
      </c>
      <c r="I142" s="558">
        <f t="shared" si="426"/>
        <v>2.7346169002983691</v>
      </c>
      <c r="J142" s="520">
        <f t="shared" si="397"/>
        <v>-4.7549019607840854</v>
      </c>
      <c r="L142" s="362">
        <f>L112-L122</f>
        <v>23.429000000000055</v>
      </c>
      <c r="M142" s="558">
        <f t="shared" si="427"/>
        <v>3.081676461458335</v>
      </c>
      <c r="N142" s="520">
        <f t="shared" si="398"/>
        <v>20.581574884200158</v>
      </c>
      <c r="P142" s="362">
        <f>P112-P122</f>
        <v>25.456000000000017</v>
      </c>
      <c r="Q142" s="558">
        <f t="shared" si="428"/>
        <v>3.21401561302525</v>
      </c>
      <c r="R142" s="520">
        <f t="shared" si="399"/>
        <v>8.6516710060180024</v>
      </c>
      <c r="T142" s="362">
        <f>T112-T122</f>
        <v>38.078999999999908</v>
      </c>
      <c r="U142" s="558">
        <f t="shared" si="429"/>
        <v>4.295901525604032</v>
      </c>
      <c r="V142" s="520">
        <f t="shared" si="400"/>
        <v>49.587523570081245</v>
      </c>
      <c r="X142" s="362">
        <f>X112-X122</f>
        <v>29.441999999999958</v>
      </c>
      <c r="Y142" s="558">
        <f t="shared" si="430"/>
        <v>3.1347054545919102</v>
      </c>
      <c r="Z142" s="520">
        <f t="shared" si="401"/>
        <v>-22.681793114314896</v>
      </c>
      <c r="AB142" s="362">
        <f>AB112-AB122</f>
        <v>34.036000000000058</v>
      </c>
      <c r="AC142" s="558">
        <f t="shared" si="431"/>
        <v>3.3404357013236763</v>
      </c>
      <c r="AD142" s="520">
        <f t="shared" si="402"/>
        <v>15.603559540792421</v>
      </c>
      <c r="AF142" s="362">
        <f>AF112-AF122</f>
        <v>36.145000000000202</v>
      </c>
      <c r="AG142" s="558">
        <f t="shared" si="432"/>
        <v>3.2342261569215034</v>
      </c>
      <c r="AH142" s="520">
        <f t="shared" si="403"/>
        <v>6.1963803032087705</v>
      </c>
      <c r="AJ142" s="362">
        <f>AJ112-AJ122</f>
        <v>390.35609999999991</v>
      </c>
      <c r="AK142" s="558">
        <f t="shared" si="433"/>
        <v>26.502228908873406</v>
      </c>
      <c r="AL142" s="520">
        <f t="shared" si="404"/>
        <v>979.97261031954008</v>
      </c>
      <c r="AN142" s="362">
        <f>AN112-AN122</f>
        <v>39.670129999999986</v>
      </c>
      <c r="AO142" s="558">
        <f t="shared" si="434"/>
        <v>3.4885512227037356</v>
      </c>
      <c r="AP142" s="520">
        <f t="shared" si="405"/>
        <v>-89.837450983858076</v>
      </c>
      <c r="AR142" s="362">
        <f>AR112-AR122</f>
        <v>23.346014999999852</v>
      </c>
      <c r="AS142" s="558">
        <f t="shared" si="435"/>
        <v>1.7966931355376419</v>
      </c>
      <c r="AT142" s="520">
        <f t="shared" si="406"/>
        <v>-41.149638279481657</v>
      </c>
      <c r="AV142" s="362">
        <f>AV112-AV122</f>
        <v>10.494999999999996</v>
      </c>
      <c r="AW142" s="558">
        <f t="shared" si="436"/>
        <v>0.82536541785746265</v>
      </c>
      <c r="AX142" s="520">
        <f t="shared" si="407"/>
        <v>-55.045861145895515</v>
      </c>
      <c r="AZ142" s="362">
        <f>AZ112-AZ122-AZ132</f>
        <v>18.42700000000012</v>
      </c>
      <c r="BA142" s="558">
        <f t="shared" si="437"/>
        <v>1.3567151398866388</v>
      </c>
      <c r="BB142" s="520">
        <f t="shared" si="408"/>
        <v>75.57884707003457</v>
      </c>
      <c r="BD142" s="362">
        <f>BD112-BD122</f>
        <v>45.494999999999955</v>
      </c>
      <c r="BE142" s="558">
        <f t="shared" si="438"/>
        <v>3.133963777041155</v>
      </c>
      <c r="BF142" s="520">
        <f t="shared" si="409"/>
        <v>146.89314592717025</v>
      </c>
      <c r="BH142" s="362">
        <f>BH112-BH122</f>
        <v>77.852999999999895</v>
      </c>
      <c r="BI142" s="558">
        <f t="shared" si="439"/>
        <v>4.9053619809715769</v>
      </c>
      <c r="BJ142" s="520">
        <f t="shared" si="410"/>
        <v>71.124299373557463</v>
      </c>
      <c r="BL142" s="362">
        <f>BL112-BL122</f>
        <v>107.36730759698666</v>
      </c>
      <c r="BM142" s="558">
        <f t="shared" si="440"/>
        <v>6.2665134150632777</v>
      </c>
      <c r="BN142" s="520">
        <f t="shared" si="411"/>
        <v>37.910302232395424</v>
      </c>
      <c r="BP142" s="362">
        <f>BP112-BP122</f>
        <v>135.67299999999994</v>
      </c>
      <c r="BQ142" s="558">
        <f t="shared" si="441"/>
        <v>7.0263324981537281</v>
      </c>
      <c r="BR142" s="520">
        <f t="shared" si="412"/>
        <v>26.363418284885533</v>
      </c>
      <c r="BT142" s="362">
        <f>BT112-BT122</f>
        <v>144.43099999999987</v>
      </c>
      <c r="BU142" s="558">
        <f t="shared" si="442"/>
        <v>7.0826486362697896</v>
      </c>
      <c r="BV142" s="520">
        <f t="shared" si="413"/>
        <v>6.4552269058692158</v>
      </c>
      <c r="BX142" s="362">
        <f>BX112-BX122</f>
        <v>64.551000000000045</v>
      </c>
      <c r="BY142" s="558">
        <f t="shared" si="443"/>
        <v>3.401001053740782</v>
      </c>
      <c r="BZ142" s="520">
        <f t="shared" si="414"/>
        <v>-55.306686237718971</v>
      </c>
      <c r="CB142" s="362">
        <f>CB112-CB122</f>
        <v>83</v>
      </c>
      <c r="CC142" s="558">
        <f t="shared" si="444"/>
        <v>4.2282221090168113</v>
      </c>
      <c r="CD142" s="520">
        <f t="shared" si="415"/>
        <v>28.580502238539985</v>
      </c>
      <c r="CF142" s="362">
        <f>CF112-CF122</f>
        <v>119</v>
      </c>
      <c r="CG142" s="558">
        <f t="shared" si="445"/>
        <v>5.4537121906507791</v>
      </c>
      <c r="CH142" s="520">
        <f t="shared" si="416"/>
        <v>43.373493975903621</v>
      </c>
      <c r="CI142" s="520">
        <f>(CG142/CC142-1)*100</f>
        <v>28.983578677680466</v>
      </c>
      <c r="CJ142" s="362">
        <f>CJ112-CJ122</f>
        <v>127</v>
      </c>
      <c r="CK142" s="558">
        <f t="shared" si="446"/>
        <v>5.125100887812752</v>
      </c>
      <c r="CL142" s="520">
        <f t="shared" si="417"/>
        <v>6.7226890756302504</v>
      </c>
      <c r="CN142" s="362">
        <f>CN112-CN122</f>
        <v>146</v>
      </c>
      <c r="CO142" s="558">
        <f>CN142/CN12*100</f>
        <v>5.3814964983413196</v>
      </c>
      <c r="CP142" s="521">
        <f t="shared" si="418"/>
        <v>14.960629921259837</v>
      </c>
      <c r="CR142" s="362">
        <f>CR112-CR122</f>
        <v>137</v>
      </c>
      <c r="CS142" s="558">
        <f>CR142/CR12*100</f>
        <v>4.9086348978860626</v>
      </c>
      <c r="CT142" s="521">
        <f t="shared" si="419"/>
        <v>-6.164383561643838</v>
      </c>
      <c r="CV142" s="362">
        <f>CV112-CV122</f>
        <v>142</v>
      </c>
      <c r="CW142" s="558">
        <f>CV142/CV12*100</f>
        <v>4.6710526315789469</v>
      </c>
      <c r="CX142" s="521">
        <f t="shared" si="420"/>
        <v>3.649635036496357</v>
      </c>
      <c r="CZ142" s="362">
        <f>CZ112-CZ122</f>
        <v>109</v>
      </c>
      <c r="DA142" s="558">
        <f>CZ142/CZ12*100</f>
        <v>3.3652361840074101</v>
      </c>
      <c r="DB142" s="521">
        <f t="shared" si="421"/>
        <v>-23.239436619718312</v>
      </c>
      <c r="DD142" s="362">
        <f>DD112-DD122</f>
        <v>147.96</v>
      </c>
      <c r="DE142" s="558">
        <f>DD142/DD12*100</f>
        <v>4.2615207373271895</v>
      </c>
      <c r="DF142" s="521">
        <f t="shared" si="422"/>
        <v>35.743119266055047</v>
      </c>
      <c r="DH142" s="362">
        <f>DH112-DH122</f>
        <v>114</v>
      </c>
      <c r="DI142" s="558">
        <f>DH142/DH12*100</f>
        <v>3.2194295396780572</v>
      </c>
      <c r="DJ142" s="521">
        <f t="shared" si="423"/>
        <v>-22.952149229521503</v>
      </c>
      <c r="DL142" s="362">
        <f>DL112-DL122</f>
        <v>125.96539832166646</v>
      </c>
      <c r="DM142" s="558">
        <f>DL142/DL12*100</f>
        <v>3.5349516599613473</v>
      </c>
      <c r="DN142" s="521">
        <f t="shared" si="424"/>
        <v>10.495963440058297</v>
      </c>
      <c r="DO142" s="521">
        <f>DL114-DL124</f>
        <v>538.53757308170339</v>
      </c>
      <c r="DR142" s="694">
        <f>SUM(DL140:DL143)</f>
        <v>538.53757308170225</v>
      </c>
    </row>
    <row r="143" spans="1:122" outlineLevel="1" x14ac:dyDescent="0.2">
      <c r="A143" s="517" t="s">
        <v>81</v>
      </c>
      <c r="D143" s="556">
        <f>D113-D123</f>
        <v>47.016000000000105</v>
      </c>
      <c r="E143" s="558">
        <f t="shared" si="425"/>
        <v>5.0802624413267408</v>
      </c>
      <c r="F143" s="520"/>
      <c r="H143" s="556">
        <f>H113-H123</f>
        <v>40.859000000000066</v>
      </c>
      <c r="I143" s="558">
        <f t="shared" si="426"/>
        <v>4.0824503294716026</v>
      </c>
      <c r="J143" s="520">
        <f t="shared" si="397"/>
        <v>-13.095541943168332</v>
      </c>
      <c r="L143" s="556">
        <f>L113-L123</f>
        <v>54.020599999999853</v>
      </c>
      <c r="M143" s="558">
        <f t="shared" si="427"/>
        <v>4.9412264020642658</v>
      </c>
      <c r="N143" s="520">
        <f t="shared" si="398"/>
        <v>32.21224210088296</v>
      </c>
      <c r="P143" s="556">
        <f>P113-P123</f>
        <v>61.015999999999948</v>
      </c>
      <c r="Q143" s="558">
        <f t="shared" si="428"/>
        <v>5.4089848933867186</v>
      </c>
      <c r="R143" s="520">
        <f t="shared" si="399"/>
        <v>12.949504448303273</v>
      </c>
      <c r="T143" s="556">
        <f>T113-T123</f>
        <v>69.882999999999925</v>
      </c>
      <c r="U143" s="558">
        <f t="shared" si="429"/>
        <v>5.7549080967125574</v>
      </c>
      <c r="V143" s="520">
        <f t="shared" si="400"/>
        <v>14.532253835059628</v>
      </c>
      <c r="X143" s="556">
        <f>X113-X123</f>
        <v>54.127999999999822</v>
      </c>
      <c r="Y143" s="558">
        <f t="shared" si="430"/>
        <v>4.2479320682456585</v>
      </c>
      <c r="Z143" s="520">
        <f t="shared" si="401"/>
        <v>-22.544824921654939</v>
      </c>
      <c r="AB143" s="556">
        <f>AB113-AB123</f>
        <v>42.791000000000011</v>
      </c>
      <c r="AC143" s="558">
        <f t="shared" si="431"/>
        <v>3.1745407632221849</v>
      </c>
      <c r="AD143" s="520">
        <f t="shared" si="402"/>
        <v>-20.944797516996474</v>
      </c>
      <c r="AF143" s="556">
        <f>AF113-AF123</f>
        <v>59.104997999999995</v>
      </c>
      <c r="AG143" s="558">
        <f t="shared" si="432"/>
        <v>3.9904452109592259</v>
      </c>
      <c r="AH143" s="520">
        <f t="shared" si="403"/>
        <v>38.124834661494191</v>
      </c>
      <c r="AJ143" s="556">
        <f>AJ113-AJ123</f>
        <v>66.601836999999904</v>
      </c>
      <c r="AK143" s="558">
        <f t="shared" si="433"/>
        <v>4.5359736375938695</v>
      </c>
      <c r="AL143" s="520">
        <f t="shared" si="404"/>
        <v>12.683934106553751</v>
      </c>
      <c r="AN143" s="556">
        <f>AN113-AN123</f>
        <v>48.488000000000198</v>
      </c>
      <c r="AO143" s="558">
        <f t="shared" si="434"/>
        <v>3.051131368925263</v>
      </c>
      <c r="AP143" s="520">
        <f t="shared" si="405"/>
        <v>-27.197203284347449</v>
      </c>
      <c r="AR143" s="556">
        <f>AR113-AR123</f>
        <v>27.69617999999975</v>
      </c>
      <c r="AS143" s="558">
        <f t="shared" si="435"/>
        <v>1.6435517006875238</v>
      </c>
      <c r="AT143" s="520">
        <f t="shared" si="406"/>
        <v>-42.880341527801448</v>
      </c>
      <c r="AV143" s="556">
        <f>AV113-AV123</f>
        <v>50.738999999999912</v>
      </c>
      <c r="AW143" s="558">
        <f t="shared" si="436"/>
        <v>3.0563085041020588</v>
      </c>
      <c r="AX143" s="520">
        <f t="shared" si="407"/>
        <v>83.19854940284317</v>
      </c>
      <c r="AZ143" s="556">
        <f>AZ113-AZ123-AZ133</f>
        <v>60.034000000000063</v>
      </c>
      <c r="BA143" s="558">
        <f t="shared" si="437"/>
        <v>3.3577715234306869</v>
      </c>
      <c r="BB143" s="520">
        <f t="shared" si="408"/>
        <v>18.319241609019031</v>
      </c>
      <c r="BD143" s="556">
        <f>BD113-BD123</f>
        <v>104.39199999999998</v>
      </c>
      <c r="BE143" s="558">
        <f t="shared" si="438"/>
        <v>5.3261197315715645</v>
      </c>
      <c r="BF143" s="520">
        <f t="shared" si="409"/>
        <v>73.888130059632658</v>
      </c>
      <c r="BH143" s="556">
        <f>BH113-BH123</f>
        <v>139.9799999999999</v>
      </c>
      <c r="BI143" s="558">
        <f t="shared" si="439"/>
        <v>6.5234533012457812</v>
      </c>
      <c r="BJ143" s="520">
        <f t="shared" si="410"/>
        <v>34.090734922216193</v>
      </c>
      <c r="BL143" s="556">
        <f>BL113-BL123</f>
        <v>190.35691016133228</v>
      </c>
      <c r="BM143" s="558">
        <f t="shared" si="440"/>
        <v>8.0762303197592651</v>
      </c>
      <c r="BN143" s="520">
        <f t="shared" si="411"/>
        <v>35.988648493593665</v>
      </c>
      <c r="BP143" s="556">
        <f>BP113-BP123</f>
        <v>232.34099999999978</v>
      </c>
      <c r="BQ143" s="558">
        <f t="shared" si="441"/>
        <v>8.6182421517544388</v>
      </c>
      <c r="BR143" s="520">
        <f t="shared" si="412"/>
        <v>22.055458771149894</v>
      </c>
      <c r="BT143" s="556">
        <f>BT113-BT123</f>
        <v>212</v>
      </c>
      <c r="BU143" s="558">
        <f t="shared" si="442"/>
        <v>8.185328185328185</v>
      </c>
      <c r="BV143" s="520">
        <f t="shared" si="413"/>
        <v>-8.7548043608316242</v>
      </c>
      <c r="BX143" s="556">
        <f>BX113-BX123</f>
        <v>68</v>
      </c>
      <c r="BY143" s="558">
        <f t="shared" si="443"/>
        <v>2.8439983270598077</v>
      </c>
      <c r="BZ143" s="520">
        <f t="shared" si="414"/>
        <v>-67.924528301886795</v>
      </c>
      <c r="CB143" s="556">
        <f>CB113-CB123</f>
        <v>172</v>
      </c>
      <c r="CC143" s="558">
        <f t="shared" si="444"/>
        <v>6.5151515151515156</v>
      </c>
      <c r="CD143" s="520">
        <f t="shared" si="415"/>
        <v>152.94117647058823</v>
      </c>
      <c r="CF143" s="556">
        <f>CF113-CF123</f>
        <v>232</v>
      </c>
      <c r="CG143" s="558">
        <f t="shared" si="445"/>
        <v>7.9561042524005492</v>
      </c>
      <c r="CH143" s="520">
        <f t="shared" si="416"/>
        <v>34.883720930232556</v>
      </c>
      <c r="CI143" s="520">
        <f>(CG143/CC143-1)*100</f>
        <v>22.116948990334006</v>
      </c>
      <c r="CJ143" s="556">
        <f>CJ113-CJ123</f>
        <v>236</v>
      </c>
      <c r="CK143" s="558">
        <f t="shared" si="446"/>
        <v>7.2259644825474592</v>
      </c>
      <c r="CL143" s="520">
        <f t="shared" si="417"/>
        <v>1.7241379310344751</v>
      </c>
      <c r="CN143" s="556">
        <f>CN113-CN123</f>
        <v>284</v>
      </c>
      <c r="CO143" s="558">
        <f>CN143/CN13*100</f>
        <v>7.8976640711902109</v>
      </c>
      <c r="CP143" s="521">
        <f t="shared" si="418"/>
        <v>20.338983050847446</v>
      </c>
      <c r="CR143" s="556">
        <f>CR113-CR123</f>
        <v>268</v>
      </c>
      <c r="CS143" s="558">
        <f>CR143/CR13*100</f>
        <v>7.4156059767570559</v>
      </c>
      <c r="CT143" s="521">
        <f t="shared" si="419"/>
        <v>-5.6338028169014116</v>
      </c>
      <c r="CV143" s="556">
        <f>CV113-CV123</f>
        <v>255.5</v>
      </c>
      <c r="CW143" s="558">
        <f>CV143/CV13*100</f>
        <v>6.4880650076180792</v>
      </c>
      <c r="CX143" s="521">
        <f t="shared" si="420"/>
        <v>-4.6641791044776166</v>
      </c>
      <c r="CZ143" s="556">
        <f>CZ113-CZ123</f>
        <v>212</v>
      </c>
      <c r="DA143" s="558">
        <f>CZ143/CZ13*100</f>
        <v>5.1170649287955587</v>
      </c>
      <c r="DB143" s="521">
        <f t="shared" si="421"/>
        <v>-17.025440313111552</v>
      </c>
      <c r="DD143" s="556">
        <f>DD113-DD123</f>
        <v>240</v>
      </c>
      <c r="DE143" s="558">
        <f>DD143/DD13*100</f>
        <v>5.6563752062220125</v>
      </c>
      <c r="DF143" s="521">
        <f t="shared" si="422"/>
        <v>13.207547169811317</v>
      </c>
      <c r="DH143" s="556">
        <f>DH113-DH123</f>
        <v>193.35</v>
      </c>
      <c r="DI143" s="558">
        <f>DH143/DH13*100</f>
        <v>4.2032608695652174</v>
      </c>
      <c r="DJ143" s="521">
        <f t="shared" si="423"/>
        <v>-19.437500000000007</v>
      </c>
      <c r="DL143" s="556">
        <f>DL113-DL123</f>
        <v>226.04326331967204</v>
      </c>
      <c r="DM143" s="558">
        <f>DL143/DL13*100</f>
        <v>5.2019683650248334</v>
      </c>
      <c r="DN143" s="521">
        <f t="shared" si="424"/>
        <v>16.908850954058472</v>
      </c>
      <c r="DO143" s="521"/>
    </row>
    <row r="144" spans="1:122" outlineLevel="1" x14ac:dyDescent="0.2">
      <c r="A144" s="517" t="s">
        <v>82</v>
      </c>
      <c r="D144" s="256">
        <f>SUM(D140:D143)</f>
        <v>115.8160000000001</v>
      </c>
      <c r="E144" s="558">
        <f t="shared" si="425"/>
        <v>3.8883166519168331</v>
      </c>
      <c r="F144" s="520"/>
      <c r="H144" s="256">
        <f>SUM(H140:H143)</f>
        <v>135.815</v>
      </c>
      <c r="I144" s="558">
        <f t="shared" si="426"/>
        <v>4.1568432048476041</v>
      </c>
      <c r="J144" s="520">
        <f t="shared" si="397"/>
        <v>17.267907715686846</v>
      </c>
      <c r="L144" s="256">
        <f>SUM(L140:L143)</f>
        <v>140.68459999999985</v>
      </c>
      <c r="M144" s="558">
        <f t="shared" si="427"/>
        <v>4.0027268182747999</v>
      </c>
      <c r="N144" s="520">
        <f t="shared" si="398"/>
        <v>3.5854655229539123</v>
      </c>
      <c r="P144" s="256">
        <f>SUM(P140:P143)</f>
        <v>140.41799999999995</v>
      </c>
      <c r="Q144" s="558">
        <f t="shared" si="428"/>
        <v>3.8173174712045586</v>
      </c>
      <c r="R144" s="520">
        <f t="shared" si="399"/>
        <v>-0.1895019071027626</v>
      </c>
      <c r="T144" s="256">
        <f>SUM(T140:T143)</f>
        <v>202.95799999999986</v>
      </c>
      <c r="U144" s="558">
        <f t="shared" si="429"/>
        <v>5.0877862346651685</v>
      </c>
      <c r="V144" s="520">
        <f t="shared" si="400"/>
        <v>44.538449486533004</v>
      </c>
      <c r="X144" s="256">
        <f>SUM(X140:X143)</f>
        <v>165.11099999999968</v>
      </c>
      <c r="Y144" s="558">
        <f t="shared" si="430"/>
        <v>3.8953713048931116</v>
      </c>
      <c r="Z144" s="520">
        <f t="shared" si="401"/>
        <v>-18.647700509465114</v>
      </c>
      <c r="AB144" s="256">
        <f>SUM(AB140:AB143)</f>
        <v>148.95700000000005</v>
      </c>
      <c r="AC144" s="558">
        <f t="shared" si="431"/>
        <v>3.2505392215482631</v>
      </c>
      <c r="AD144" s="520">
        <f t="shared" si="402"/>
        <v>-9.7837212541863732</v>
      </c>
      <c r="AF144" s="256">
        <f>SUM(AF140:AF143)</f>
        <v>186.18499800000018</v>
      </c>
      <c r="AG144" s="558">
        <f t="shared" si="432"/>
        <v>3.7535746607247114</v>
      </c>
      <c r="AH144" s="520">
        <f t="shared" si="403"/>
        <v>24.992446142175329</v>
      </c>
      <c r="AJ144" s="256">
        <f>SUM(AJ140:AJ143)</f>
        <v>558.48888099999976</v>
      </c>
      <c r="AK144" s="558">
        <f t="shared" si="433"/>
        <v>10.87606089469017</v>
      </c>
      <c r="AL144" s="520">
        <f t="shared" si="404"/>
        <v>199.96449069435727</v>
      </c>
      <c r="AN144" s="562">
        <f>AN114-AN124-0.24</f>
        <v>202.0510000000001</v>
      </c>
      <c r="AO144" s="558">
        <f t="shared" si="434"/>
        <v>3.8370551919818965</v>
      </c>
      <c r="AP144" s="520">
        <f t="shared" si="405"/>
        <v>-63.821840170171583</v>
      </c>
      <c r="AR144" s="256">
        <f>AR114-AR124</f>
        <v>101.918000000001</v>
      </c>
      <c r="AS144" s="558">
        <f t="shared" si="435"/>
        <v>1.8009459746247705</v>
      </c>
      <c r="AT144" s="520">
        <f t="shared" si="406"/>
        <v>-49.558279840237887</v>
      </c>
      <c r="AV144" s="256">
        <f>SUM(AV140:AV143)</f>
        <v>124.68799999999996</v>
      </c>
      <c r="AW144" s="558">
        <f t="shared" si="436"/>
        <v>2.1617123380293402</v>
      </c>
      <c r="AX144" s="520">
        <f t="shared" si="407"/>
        <v>22.341490217624703</v>
      </c>
      <c r="AZ144" s="256">
        <f>AZ114-AZ124-AZ134</f>
        <v>90.240999999999701</v>
      </c>
      <c r="BA144" s="558">
        <f t="shared" si="437"/>
        <v>1.4832645594264857</v>
      </c>
      <c r="BB144" s="520">
        <f t="shared" si="408"/>
        <v>-27.626555883485395</v>
      </c>
      <c r="BD144" s="256">
        <f>SUM(BD140:BD143)</f>
        <v>242.88899999999967</v>
      </c>
      <c r="BE144" s="558">
        <f t="shared" si="438"/>
        <v>3.6780955778778455</v>
      </c>
      <c r="BF144" s="520">
        <f t="shared" si="409"/>
        <v>169.15592690683889</v>
      </c>
      <c r="BH144" s="256">
        <f>SUM(BH140:BH143)</f>
        <v>393.47499999999985</v>
      </c>
      <c r="BI144" s="558">
        <f t="shared" si="439"/>
        <v>5.3868548283866255</v>
      </c>
      <c r="BJ144" s="520">
        <f t="shared" si="410"/>
        <v>61.997867338578686</v>
      </c>
      <c r="BL144" s="256">
        <f>SUM(BL140:BL143)</f>
        <v>551.18021775831869</v>
      </c>
      <c r="BM144" s="558">
        <f t="shared" si="440"/>
        <v>6.9602548837603129</v>
      </c>
      <c r="BN144" s="520">
        <f t="shared" si="411"/>
        <v>40.080111254417417</v>
      </c>
      <c r="BP144" s="256">
        <f>SUM(BP140:BP143)</f>
        <v>677.99899999999957</v>
      </c>
      <c r="BQ144" s="558">
        <f t="shared" si="441"/>
        <v>7.7052144263192277</v>
      </c>
      <c r="BR144" s="520">
        <f t="shared" si="412"/>
        <v>23.008587419457839</v>
      </c>
      <c r="BT144" s="256">
        <f>SUM(BT140:BT143)</f>
        <v>693.8059999999997</v>
      </c>
      <c r="BU144" s="558">
        <f t="shared" si="442"/>
        <v>7.6252808074946445</v>
      </c>
      <c r="BV144" s="520">
        <f t="shared" si="413"/>
        <v>2.3314193678751982</v>
      </c>
      <c r="BX144" s="256">
        <f>BX114-BX124</f>
        <v>394.55099999999993</v>
      </c>
      <c r="BY144" s="558">
        <f t="shared" si="443"/>
        <v>4.589403280214027</v>
      </c>
      <c r="BZ144" s="520">
        <f t="shared" si="414"/>
        <v>-43.132374179525677</v>
      </c>
      <c r="CB144" s="256">
        <f>SUM(CB140:CB143)</f>
        <v>428</v>
      </c>
      <c r="CC144" s="558">
        <f t="shared" si="444"/>
        <v>4.9611684247131107</v>
      </c>
      <c r="CD144" s="520">
        <f t="shared" si="415"/>
        <v>8.4777379857103661</v>
      </c>
      <c r="CF144" s="256">
        <f>SUM(CF140:CF143)</f>
        <v>613</v>
      </c>
      <c r="CG144" s="558">
        <f t="shared" si="445"/>
        <v>6.3195876288659791</v>
      </c>
      <c r="CH144" s="520">
        <f t="shared" si="416"/>
        <v>43.22429906542056</v>
      </c>
      <c r="CI144" s="520">
        <f>(CG144/CC144-1)*100</f>
        <v>27.381033818286895</v>
      </c>
      <c r="CJ144" s="256">
        <f>CJ114-CJ124</f>
        <v>683</v>
      </c>
      <c r="CK144" s="558">
        <f t="shared" si="446"/>
        <v>6.2793049554104989</v>
      </c>
      <c r="CL144" s="520">
        <f t="shared" si="417"/>
        <v>11.419249592169667</v>
      </c>
      <c r="CN144" s="256">
        <f>SUM(CN140:CN143)</f>
        <v>735</v>
      </c>
      <c r="CO144" s="558">
        <f>CN144/CN14*100</f>
        <v>6.248937255568781</v>
      </c>
      <c r="CP144" s="521">
        <f t="shared" si="418"/>
        <v>7.6134699853587007</v>
      </c>
      <c r="CR144" s="256">
        <f>SUM(CR140:CR143)</f>
        <v>734</v>
      </c>
      <c r="CS144" s="558">
        <f>CR144/CR14*100</f>
        <v>6.0332072990300842</v>
      </c>
      <c r="CT144" s="521">
        <f t="shared" si="419"/>
        <v>-0.13605442176870541</v>
      </c>
      <c r="CV144" s="256">
        <f>SUM(CV140:CV143)</f>
        <v>720.5</v>
      </c>
      <c r="CW144" s="558">
        <f>CV144/CV14*100</f>
        <v>5.4953855541148657</v>
      </c>
      <c r="CX144" s="521">
        <f t="shared" si="420"/>
        <v>-1.8392370572207106</v>
      </c>
      <c r="CZ144" s="256">
        <f>SUM(CZ140:CZ143)</f>
        <v>629.74</v>
      </c>
      <c r="DA144" s="558">
        <f>CZ144/CZ14*100</f>
        <v>4.4678254700248319</v>
      </c>
      <c r="DB144" s="521">
        <f t="shared" si="421"/>
        <v>-12.596807772380291</v>
      </c>
      <c r="DD144" s="256">
        <f>SUM(DD140:DD143)</f>
        <v>550.96</v>
      </c>
      <c r="DE144" s="558">
        <f>DD144/DD14*100</f>
        <v>3.7999862059452374</v>
      </c>
      <c r="DF144" s="521">
        <f t="shared" si="422"/>
        <v>-12.509924730841293</v>
      </c>
      <c r="DH144" s="694">
        <f>SUM(DH140:DH143)</f>
        <v>480.35</v>
      </c>
      <c r="DI144" s="558">
        <f>DH144/DH14*100</f>
        <v>3.1733500693664531</v>
      </c>
      <c r="DJ144" s="521">
        <f t="shared" si="423"/>
        <v>-12.815812400174242</v>
      </c>
      <c r="DL144" s="694">
        <f>SUM(DL140:DL143)</f>
        <v>538.53757308170225</v>
      </c>
      <c r="DM144" s="558">
        <f>DL144/DL14*100</f>
        <v>3.5143319077630477</v>
      </c>
      <c r="DN144" s="521">
        <f t="shared" si="424"/>
        <v>12.113578241220413</v>
      </c>
      <c r="DO144" s="521"/>
    </row>
    <row r="145" spans="1:119" outlineLevel="1" x14ac:dyDescent="0.2">
      <c r="A145" s="517" t="s">
        <v>281</v>
      </c>
      <c r="D145" s="362">
        <f>D140+D141</f>
        <v>48.400000000000077</v>
      </c>
      <c r="E145" s="558">
        <f t="shared" si="425"/>
        <v>3.4650630011454804</v>
      </c>
      <c r="F145" s="520"/>
      <c r="H145" s="362">
        <f>H140+H141</f>
        <v>75.525999999999954</v>
      </c>
      <c r="I145" s="558">
        <f t="shared" si="426"/>
        <v>4.854174245355412</v>
      </c>
      <c r="J145" s="520">
        <f t="shared" si="397"/>
        <v>56.045454545454199</v>
      </c>
      <c r="L145" s="362">
        <f>L140+L141</f>
        <v>63.234999999999943</v>
      </c>
      <c r="M145" s="558">
        <f t="shared" si="427"/>
        <v>3.8066130985776407</v>
      </c>
      <c r="N145" s="520">
        <f t="shared" si="398"/>
        <v>-16.273865953446521</v>
      </c>
      <c r="P145" s="362">
        <f>P140+P141</f>
        <v>53.945999999999998</v>
      </c>
      <c r="Q145" s="558">
        <f t="shared" si="428"/>
        <v>3.0679602153589092</v>
      </c>
      <c r="R145" s="520">
        <f t="shared" si="399"/>
        <v>-14.689649719300945</v>
      </c>
      <c r="T145" s="362">
        <f>T140+T141</f>
        <v>94.996000000000024</v>
      </c>
      <c r="U145" s="558">
        <f t="shared" si="429"/>
        <v>5.030504676183372</v>
      </c>
      <c r="V145" s="520">
        <f t="shared" si="400"/>
        <v>76.09461313165022</v>
      </c>
      <c r="X145" s="362">
        <f>X140+X141</f>
        <v>81.540999999999912</v>
      </c>
      <c r="Y145" s="558">
        <f t="shared" si="430"/>
        <v>4.0263203764173259</v>
      </c>
      <c r="Z145" s="520">
        <f t="shared" si="401"/>
        <v>-14.163754263337513</v>
      </c>
      <c r="AB145" s="362">
        <f>AB140+AB141</f>
        <v>72.129999999999967</v>
      </c>
      <c r="AC145" s="558">
        <f t="shared" si="431"/>
        <v>3.2554339976891957</v>
      </c>
      <c r="AD145" s="520">
        <f t="shared" si="402"/>
        <v>-11.541433144062442</v>
      </c>
      <c r="AF145" s="362">
        <f>AF140+AF141</f>
        <v>90.934999999999974</v>
      </c>
      <c r="AG145" s="558">
        <f t="shared" si="432"/>
        <v>3.8507891714631253</v>
      </c>
      <c r="AH145" s="520">
        <f t="shared" si="403"/>
        <v>26.070982947456002</v>
      </c>
      <c r="AJ145" s="362">
        <f>AJ140+AJ141</f>
        <v>101.53094399999998</v>
      </c>
      <c r="AK145" s="558">
        <f t="shared" si="433"/>
        <v>3.9886428644105805</v>
      </c>
      <c r="AL145" s="520">
        <f t="shared" si="404"/>
        <v>11.652217518007379</v>
      </c>
      <c r="AN145" s="362">
        <f>AN140+AN141</f>
        <v>102.37700000000015</v>
      </c>
      <c r="AO145" s="558">
        <f t="shared" si="434"/>
        <v>4.0438093500130607</v>
      </c>
      <c r="AP145" s="520">
        <f t="shared" si="405"/>
        <v>0.83329866410004616</v>
      </c>
      <c r="AR145" s="362">
        <f>AR140+AR141</f>
        <v>84.578968999999972</v>
      </c>
      <c r="AS145" s="558">
        <f t="shared" si="435"/>
        <v>3.1622952082305913</v>
      </c>
      <c r="AT145" s="520">
        <f t="shared" si="406"/>
        <v>-17.384794436250484</v>
      </c>
      <c r="AV145" s="362">
        <f>AV140+AV141</f>
        <v>63.45400000000005</v>
      </c>
      <c r="AW145" s="558">
        <f t="shared" si="436"/>
        <v>2.2371930972576473</v>
      </c>
      <c r="AX145" s="520">
        <f t="shared" si="407"/>
        <v>-24.976621552338774</v>
      </c>
      <c r="AZ145" s="362">
        <f>AZ140+AZ141</f>
        <v>35.615299999999905</v>
      </c>
      <c r="BA145" s="558">
        <f t="shared" si="437"/>
        <v>1.1991949989461013</v>
      </c>
      <c r="BB145" s="520">
        <f t="shared" si="408"/>
        <v>-43.872253916222967</v>
      </c>
      <c r="BD145" s="362">
        <f>BD140+BD141</f>
        <v>93.00199999999974</v>
      </c>
      <c r="BE145" s="558">
        <f t="shared" si="438"/>
        <v>2.9136101830052383</v>
      </c>
      <c r="BF145" s="520">
        <f t="shared" si="409"/>
        <v>161.12934609563862</v>
      </c>
      <c r="BH145" s="362">
        <f>BH140+BH141</f>
        <v>175.64200000000005</v>
      </c>
      <c r="BI145" s="558">
        <f t="shared" si="439"/>
        <v>4.9179340992014762</v>
      </c>
      <c r="BJ145" s="520">
        <f t="shared" si="410"/>
        <v>88.858304122492584</v>
      </c>
      <c r="BL145" s="362">
        <f>BL140+BL141</f>
        <v>253.45599999999973</v>
      </c>
      <c r="BM145" s="558">
        <f t="shared" si="440"/>
        <v>6.5856435589539446</v>
      </c>
      <c r="BN145" s="520">
        <f t="shared" si="411"/>
        <v>44.302615547533989</v>
      </c>
      <c r="BP145" s="362">
        <f>BP140+BP141</f>
        <v>309.9849999999999</v>
      </c>
      <c r="BQ145" s="558">
        <f t="shared" si="441"/>
        <v>7.4294527344105745</v>
      </c>
      <c r="BR145" s="520">
        <f t="shared" si="412"/>
        <v>22.303279464680358</v>
      </c>
      <c r="BT145" s="362">
        <f>BT140+BT141</f>
        <v>337.37499999999983</v>
      </c>
      <c r="BU145" s="558">
        <f t="shared" si="442"/>
        <v>7.5483210005868582</v>
      </c>
      <c r="BV145" s="520">
        <f t="shared" si="413"/>
        <v>8.8359114150684537</v>
      </c>
      <c r="BX145" s="362">
        <f>BX140+BX141</f>
        <v>272</v>
      </c>
      <c r="BY145" s="558">
        <f t="shared" si="443"/>
        <v>6.3138347260909926</v>
      </c>
      <c r="BZ145" s="520">
        <f t="shared" si="414"/>
        <v>-19.377547239718375</v>
      </c>
      <c r="CB145" s="362">
        <f>CB140+CB141</f>
        <v>173</v>
      </c>
      <c r="CC145" s="558">
        <f t="shared" si="444"/>
        <v>4.2992047713717696</v>
      </c>
      <c r="CD145" s="520">
        <f t="shared" si="415"/>
        <v>-36.397058823529413</v>
      </c>
      <c r="CF145" s="362">
        <f>CF140+CF141</f>
        <v>262</v>
      </c>
      <c r="CG145" s="558">
        <f t="shared" si="445"/>
        <v>5.6931768796175577</v>
      </c>
      <c r="CH145" s="520">
        <f t="shared" si="416"/>
        <v>51.445086705202314</v>
      </c>
      <c r="CJ145" s="362">
        <f>CJ140+CJ141</f>
        <v>320</v>
      </c>
      <c r="CK145" s="558">
        <f t="shared" si="446"/>
        <v>6.2341710500681868</v>
      </c>
      <c r="CL145" s="520">
        <f t="shared" si="417"/>
        <v>22.137404580152676</v>
      </c>
      <c r="CN145" s="362">
        <f>CN140+CN141</f>
        <v>305</v>
      </c>
      <c r="CO145" s="540">
        <f>(CN145/CN15)*100</f>
        <v>5.5932514212360163</v>
      </c>
      <c r="CP145" s="521">
        <f t="shared" si="418"/>
        <v>-4.6875</v>
      </c>
      <c r="CR145" s="362">
        <f>CR140+CR141</f>
        <v>329</v>
      </c>
      <c r="CS145" s="540">
        <f>(CR145/CR15)*100</f>
        <v>5.7108140947752126</v>
      </c>
      <c r="CT145" s="521">
        <f t="shared" si="419"/>
        <v>7.8688524590163844</v>
      </c>
      <c r="CV145" s="362">
        <f>CV140+CV141</f>
        <v>323</v>
      </c>
      <c r="CW145" s="540">
        <f>(CV145/CV15)*100</f>
        <v>5.2665905755747593</v>
      </c>
      <c r="CX145" s="521">
        <f t="shared" si="420"/>
        <v>-1.8237082066869248</v>
      </c>
      <c r="CZ145" s="362">
        <f>CZ140+CZ141</f>
        <v>308.74</v>
      </c>
      <c r="DA145" s="540">
        <f>(CZ145/CZ15)*100</f>
        <v>4.5991360047668701</v>
      </c>
      <c r="DB145" s="521">
        <f t="shared" si="421"/>
        <v>-4.4148606811145523</v>
      </c>
      <c r="DD145" s="362">
        <f>DD140+DD141</f>
        <v>163</v>
      </c>
      <c r="DE145" s="540">
        <f>(DD145/DD15)*100</f>
        <v>2.4027122641509435</v>
      </c>
      <c r="DF145" s="521">
        <f t="shared" si="422"/>
        <v>-47.204767765757595</v>
      </c>
      <c r="DH145" s="362">
        <f>DH140+DH141</f>
        <v>173</v>
      </c>
      <c r="DI145" s="540">
        <f>(DH145/DH15)*100</f>
        <v>2.4728416237850199</v>
      </c>
      <c r="DJ145" s="521">
        <f t="shared" si="423"/>
        <v>6.1349693251533832</v>
      </c>
      <c r="DL145" s="362">
        <f>DL140+DL141</f>
        <v>186.5289114403638</v>
      </c>
      <c r="DM145" s="540">
        <f>(DL145/DL15)*100</f>
        <v>2.51546987151379</v>
      </c>
      <c r="DN145" s="521">
        <f t="shared" si="424"/>
        <v>7.8201800233316687</v>
      </c>
      <c r="DO145" s="521"/>
    </row>
    <row r="146" spans="1:119" outlineLevel="1" x14ac:dyDescent="0.2">
      <c r="A146" s="517" t="s">
        <v>282</v>
      </c>
      <c r="D146" s="362">
        <f>D143+D142</f>
        <v>67.416000000000025</v>
      </c>
      <c r="E146" s="558">
        <f t="shared" si="425"/>
        <v>4.2620770228681408</v>
      </c>
      <c r="F146" s="520"/>
      <c r="H146" s="362">
        <f>H143+H142</f>
        <v>60.289000000000037</v>
      </c>
      <c r="I146" s="558">
        <f t="shared" si="426"/>
        <v>3.522860406751338</v>
      </c>
      <c r="J146" s="520">
        <f t="shared" si="397"/>
        <v>-10.571674379969121</v>
      </c>
      <c r="L146" s="362">
        <f>L143+L142</f>
        <v>77.449599999999904</v>
      </c>
      <c r="M146" s="558">
        <f t="shared" si="427"/>
        <v>4.1784895963434066</v>
      </c>
      <c r="N146" s="520">
        <f t="shared" si="398"/>
        <v>28.463898887027248</v>
      </c>
      <c r="P146" s="362">
        <f>P143+P142</f>
        <v>86.471999999999966</v>
      </c>
      <c r="Q146" s="558">
        <f t="shared" si="428"/>
        <v>4.5035623515686831</v>
      </c>
      <c r="R146" s="520">
        <f t="shared" si="399"/>
        <v>11.649382307978451</v>
      </c>
      <c r="T146" s="362">
        <f>T143+T142</f>
        <v>107.96199999999983</v>
      </c>
      <c r="U146" s="558">
        <f t="shared" si="429"/>
        <v>5.1392782389681955</v>
      </c>
      <c r="V146" s="520">
        <f t="shared" si="400"/>
        <v>24.851975205846834</v>
      </c>
      <c r="X146" s="362">
        <f>X143+X142</f>
        <v>83.56999999999978</v>
      </c>
      <c r="Y146" s="558">
        <f t="shared" si="430"/>
        <v>3.7755591166176461</v>
      </c>
      <c r="Z146" s="520">
        <f t="shared" si="401"/>
        <v>-22.593134621440957</v>
      </c>
      <c r="AB146" s="362">
        <f>AB143+AB142</f>
        <v>76.827000000000069</v>
      </c>
      <c r="AC146" s="558">
        <f t="shared" si="431"/>
        <v>3.2459570771641015</v>
      </c>
      <c r="AD146" s="520">
        <f t="shared" si="402"/>
        <v>-8.068684934784887</v>
      </c>
      <c r="AF146" s="362">
        <f>AF143+AF142</f>
        <v>95.249998000000204</v>
      </c>
      <c r="AG146" s="558">
        <f t="shared" si="432"/>
        <v>3.6652362817225801</v>
      </c>
      <c r="AH146" s="520">
        <f t="shared" si="403"/>
        <v>23.97984823043997</v>
      </c>
      <c r="AJ146" s="362">
        <f>AJ143+AJ142</f>
        <v>456.95793699999979</v>
      </c>
      <c r="AK146" s="558">
        <f t="shared" si="433"/>
        <v>15.536334637893578</v>
      </c>
      <c r="AL146" s="520">
        <f t="shared" si="404"/>
        <v>379.74587569020082</v>
      </c>
      <c r="AN146" s="362">
        <f>AN143+AN142</f>
        <v>88.158130000000185</v>
      </c>
      <c r="AO146" s="558">
        <f t="shared" si="434"/>
        <v>3.2335789501869425</v>
      </c>
      <c r="AP146" s="520">
        <f t="shared" si="405"/>
        <v>-80.707605041555453</v>
      </c>
      <c r="AR146" s="362">
        <f>AR143+AR142</f>
        <v>51.042194999999602</v>
      </c>
      <c r="AS146" s="558">
        <f t="shared" si="435"/>
        <v>1.7102255631539842</v>
      </c>
      <c r="AT146" s="520">
        <f t="shared" si="406"/>
        <v>-42.101545257369345</v>
      </c>
      <c r="AV146" s="362">
        <f>AV143+AV142</f>
        <v>61.233999999999909</v>
      </c>
      <c r="AW146" s="558">
        <f t="shared" si="436"/>
        <v>2.0886871703702057</v>
      </c>
      <c r="AX146" s="520">
        <f t="shared" si="407"/>
        <v>19.967411276102819</v>
      </c>
      <c r="AZ146" s="362">
        <f>AZ143+AZ142</f>
        <v>78.461000000000183</v>
      </c>
      <c r="BA146" s="558">
        <f t="shared" si="437"/>
        <v>2.4938980375503972</v>
      </c>
      <c r="BB146" s="520">
        <f t="shared" si="408"/>
        <v>28.133063330829767</v>
      </c>
      <c r="BD146" s="362">
        <f>BD143+BD142</f>
        <v>149.88699999999994</v>
      </c>
      <c r="BE146" s="558">
        <f t="shared" si="438"/>
        <v>4.393352594633078</v>
      </c>
      <c r="BF146" s="520">
        <f t="shared" si="409"/>
        <v>91.033761996405332</v>
      </c>
      <c r="BH146" s="362">
        <f>BH143+BH142</f>
        <v>217.8329999999998</v>
      </c>
      <c r="BI146" s="558">
        <f t="shared" si="439"/>
        <v>5.8354960866844348</v>
      </c>
      <c r="BJ146" s="520">
        <f t="shared" si="410"/>
        <v>45.331483050564671</v>
      </c>
      <c r="BL146" s="362">
        <f>BL143+BL142</f>
        <v>297.72421775831896</v>
      </c>
      <c r="BM146" s="558">
        <f t="shared" si="440"/>
        <v>7.3144587435759609</v>
      </c>
      <c r="BN146" s="520">
        <f t="shared" si="411"/>
        <v>36.675443003731864</v>
      </c>
      <c r="BP146" s="362">
        <f>BP143+BP142</f>
        <v>368.01399999999973</v>
      </c>
      <c r="BQ146" s="558">
        <f t="shared" si="441"/>
        <v>7.9538899418026441</v>
      </c>
      <c r="BR146" s="520">
        <f t="shared" si="412"/>
        <v>23.609024072989349</v>
      </c>
      <c r="BT146" s="362">
        <f>BT143+BT142</f>
        <v>356.43099999999987</v>
      </c>
      <c r="BU146" s="558">
        <f t="shared" si="442"/>
        <v>7.6995858700261337</v>
      </c>
      <c r="BV146" s="520">
        <f t="shared" si="413"/>
        <v>-3.1474346084659488</v>
      </c>
      <c r="BX146" s="362">
        <f>BX143+BX142</f>
        <v>132.55100000000004</v>
      </c>
      <c r="BY146" s="558">
        <f t="shared" si="443"/>
        <v>3.0904872930753098</v>
      </c>
      <c r="BZ146" s="520">
        <f t="shared" si="414"/>
        <v>-62.811596073293266</v>
      </c>
      <c r="CB146" s="362">
        <f>CB143+CB142</f>
        <v>255</v>
      </c>
      <c r="CC146" s="558">
        <f t="shared" si="444"/>
        <v>5.5398653052357156</v>
      </c>
      <c r="CD146" s="520">
        <f t="shared" si="415"/>
        <v>92.378782506355989</v>
      </c>
      <c r="CF146" s="362">
        <f>CF143+CF142</f>
        <v>351</v>
      </c>
      <c r="CG146" s="558">
        <f t="shared" si="445"/>
        <v>6.8850529619458616</v>
      </c>
      <c r="CH146" s="520">
        <f t="shared" si="416"/>
        <v>37.647058823529413</v>
      </c>
      <c r="CJ146" s="362">
        <f>CJ143+CJ142</f>
        <v>363</v>
      </c>
      <c r="CK146" s="558">
        <f t="shared" si="446"/>
        <v>6.3196378830083573</v>
      </c>
      <c r="CL146" s="520">
        <f t="shared" si="417"/>
        <v>3.4188034188034289</v>
      </c>
      <c r="CN146" s="362">
        <f>CN143+CN142</f>
        <v>430</v>
      </c>
      <c r="CO146" s="540">
        <f>(CN146/CN16)*100</f>
        <v>6.8156601680139488</v>
      </c>
      <c r="CP146" s="521">
        <f t="shared" si="418"/>
        <v>18.457300275482091</v>
      </c>
      <c r="CR146" s="362">
        <f>CR143+CR142</f>
        <v>405</v>
      </c>
      <c r="CS146" s="540">
        <f>(CR146/CR16)*100</f>
        <v>6.3231850117096018</v>
      </c>
      <c r="CT146" s="521">
        <f t="shared" si="419"/>
        <v>-5.8139534883720927</v>
      </c>
      <c r="CV146" s="362">
        <f>CV143+CV142</f>
        <v>397.5</v>
      </c>
      <c r="CW146" s="540">
        <f>(CV146/CV16)*100</f>
        <v>5.696474634565778</v>
      </c>
      <c r="CX146" s="521">
        <f t="shared" si="420"/>
        <v>-1.851851851851849</v>
      </c>
      <c r="CZ146" s="362">
        <f>CZ143+CZ142</f>
        <v>321</v>
      </c>
      <c r="DA146" s="540">
        <f>(CZ146/CZ16)*100</f>
        <v>4.3484150636683827</v>
      </c>
      <c r="DB146" s="521">
        <f t="shared" si="421"/>
        <v>-19.245283018867919</v>
      </c>
      <c r="DD146" s="362">
        <f>DD143+DD142</f>
        <v>387.96000000000004</v>
      </c>
      <c r="DE146" s="540">
        <f>(DD146/DD16)*100</f>
        <v>5.0286454957874271</v>
      </c>
      <c r="DF146" s="521">
        <f t="shared" si="422"/>
        <v>20.859813084112155</v>
      </c>
      <c r="DH146" s="362">
        <f>DH143+DH142</f>
        <v>307.35000000000002</v>
      </c>
      <c r="DI146" s="540">
        <f>(DH146/DH16)*100</f>
        <v>3.7753347254637024</v>
      </c>
      <c r="DJ146" s="521">
        <f t="shared" si="423"/>
        <v>-20.777915248994738</v>
      </c>
      <c r="DL146" s="362">
        <f>DL143+DL142</f>
        <v>352.00866164133851</v>
      </c>
      <c r="DM146" s="540">
        <f>(DL146/DL16)*100</f>
        <v>4.4508663301721691</v>
      </c>
      <c r="DN146" s="521">
        <f t="shared" si="424"/>
        <v>14.530229914214576</v>
      </c>
      <c r="DO146" s="521"/>
    </row>
    <row r="147" spans="1:119" x14ac:dyDescent="0.2">
      <c r="D147" s="361"/>
      <c r="E147" s="249"/>
      <c r="F147" s="249"/>
      <c r="H147" s="361"/>
      <c r="I147" s="249"/>
      <c r="J147" s="249"/>
      <c r="L147" s="361"/>
      <c r="M147" s="249"/>
      <c r="N147" s="249"/>
      <c r="P147" s="361"/>
      <c r="Q147" s="249"/>
      <c r="R147" s="249"/>
      <c r="T147" s="361"/>
      <c r="U147" s="249"/>
      <c r="V147" s="249"/>
      <c r="X147" s="361"/>
      <c r="Y147" s="249"/>
      <c r="Z147" s="249"/>
      <c r="AB147" s="361"/>
      <c r="AC147" s="249"/>
      <c r="AD147" s="249"/>
      <c r="AF147" s="361"/>
      <c r="AG147" s="249"/>
      <c r="AH147" s="249"/>
      <c r="AJ147" s="361"/>
      <c r="AK147" s="249"/>
      <c r="AL147" s="249"/>
      <c r="AN147" s="361"/>
      <c r="AO147" s="249"/>
      <c r="AP147" s="249"/>
      <c r="AR147" s="361"/>
      <c r="AS147" s="249"/>
      <c r="AT147" s="249"/>
      <c r="AV147" s="361"/>
      <c r="AW147" s="249"/>
      <c r="AX147" s="249"/>
      <c r="AZ147" s="361"/>
      <c r="BA147" s="249"/>
      <c r="BB147" s="249"/>
      <c r="BD147" s="361"/>
      <c r="BE147" s="249"/>
      <c r="BF147" s="249"/>
      <c r="BH147" s="361"/>
      <c r="BI147" s="249"/>
      <c r="BJ147" s="249"/>
      <c r="BL147" s="361"/>
      <c r="BM147" s="249"/>
      <c r="BN147" s="249"/>
      <c r="BP147" s="362"/>
      <c r="BT147" s="362"/>
      <c r="BX147" s="362"/>
      <c r="CB147" s="362"/>
      <c r="CF147" s="362"/>
      <c r="CJ147" s="362"/>
      <c r="CP147" s="249"/>
      <c r="CT147" s="249"/>
      <c r="CX147" s="249"/>
      <c r="DB147" s="249"/>
      <c r="DF147" s="249"/>
      <c r="DJ147" s="249"/>
      <c r="DN147" s="249"/>
      <c r="DO147" s="249"/>
    </row>
    <row r="148" spans="1:119" s="516" customFormat="1" ht="12.75" customHeight="1" x14ac:dyDescent="0.2">
      <c r="A148" s="515" t="s">
        <v>447</v>
      </c>
      <c r="CG148" s="1397" t="str">
        <f>A148</f>
        <v>13. Extraordinary/Discontinued Items (after-tax)</v>
      </c>
      <c r="CH148" s="1397"/>
      <c r="CI148" s="1397"/>
      <c r="CJ148" s="1397"/>
      <c r="CK148" s="1397"/>
      <c r="CL148" s="1397"/>
      <c r="CM148" s="1397"/>
      <c r="CN148" s="1397"/>
      <c r="CO148" s="1397"/>
      <c r="CP148" s="1397"/>
      <c r="CQ148" s="1397"/>
      <c r="CR148" s="1397"/>
      <c r="CS148" s="1397"/>
      <c r="CT148" s="1397"/>
      <c r="CU148" s="1397"/>
      <c r="CV148" s="1397"/>
      <c r="CW148" s="1397"/>
      <c r="CX148" s="1397"/>
      <c r="CY148" s="1397"/>
      <c r="CZ148" s="1397"/>
      <c r="DA148" s="1397"/>
      <c r="DB148" s="1397"/>
      <c r="DC148" s="1397"/>
      <c r="DD148" s="1397"/>
      <c r="DE148" s="1397"/>
      <c r="DF148" s="1397"/>
      <c r="DG148" s="846"/>
      <c r="DH148" s="846"/>
      <c r="DI148" s="846"/>
      <c r="DJ148" s="846"/>
      <c r="DK148" s="1222"/>
      <c r="DL148" s="1222"/>
      <c r="DM148" s="1222"/>
      <c r="DN148" s="1222"/>
      <c r="DO148" s="1222"/>
    </row>
    <row r="149" spans="1:119" x14ac:dyDescent="0.2">
      <c r="D149" s="361"/>
      <c r="E149" s="249"/>
      <c r="F149" s="249"/>
      <c r="H149" s="361"/>
      <c r="I149" s="249"/>
      <c r="J149" s="249"/>
      <c r="L149" s="361"/>
      <c r="M149" s="249"/>
      <c r="N149" s="249"/>
      <c r="P149" s="361"/>
      <c r="Q149" s="249"/>
      <c r="R149" s="249"/>
      <c r="T149" s="361"/>
      <c r="U149" s="249"/>
      <c r="V149" s="249"/>
      <c r="X149" s="361"/>
      <c r="Y149" s="249"/>
      <c r="Z149" s="249"/>
      <c r="AB149" s="361"/>
      <c r="AC149" s="249"/>
      <c r="AD149" s="249"/>
      <c r="AF149" s="361"/>
      <c r="AG149" s="249"/>
      <c r="AH149" s="249"/>
      <c r="AJ149" s="361"/>
      <c r="AK149" s="249"/>
      <c r="AL149" s="249"/>
      <c r="AN149" s="361"/>
      <c r="AO149" s="249"/>
      <c r="AP149" s="249"/>
      <c r="AR149" s="361"/>
      <c r="AS149" s="249"/>
      <c r="AT149" s="249"/>
      <c r="AV149" s="361"/>
      <c r="AW149" s="249"/>
      <c r="AX149" s="249"/>
      <c r="AZ149" s="361"/>
      <c r="BA149" s="249"/>
      <c r="BB149" s="249"/>
      <c r="BD149" s="361"/>
      <c r="BE149" s="249"/>
      <c r="BF149" s="249"/>
      <c r="BH149" s="361"/>
      <c r="BI149" s="249"/>
      <c r="BJ149" s="249"/>
      <c r="BL149" s="361"/>
      <c r="BM149" s="249"/>
      <c r="BN149" s="249"/>
      <c r="BP149" s="362"/>
      <c r="BT149" s="362"/>
      <c r="BX149" s="362"/>
      <c r="CB149" s="362"/>
      <c r="CF149" s="362"/>
      <c r="CJ149" s="362"/>
      <c r="CP149" s="249"/>
      <c r="CT149" s="249"/>
      <c r="CX149" s="249"/>
      <c r="DB149" s="249"/>
      <c r="DD149" s="254"/>
      <c r="DF149" s="249"/>
      <c r="DH149" s="254"/>
      <c r="DJ149" s="249"/>
      <c r="DL149" s="254"/>
      <c r="DN149" s="249"/>
      <c r="DO149" s="249"/>
    </row>
    <row r="150" spans="1:119" x14ac:dyDescent="0.2">
      <c r="A150" s="517" t="s">
        <v>78</v>
      </c>
      <c r="D150" s="530">
        <v>0</v>
      </c>
      <c r="E150" s="558"/>
      <c r="F150" s="521"/>
      <c r="H150" s="530">
        <v>0</v>
      </c>
      <c r="I150" s="558"/>
      <c r="J150" s="521"/>
      <c r="L150" s="530">
        <v>0</v>
      </c>
      <c r="M150" s="558"/>
      <c r="N150" s="521"/>
      <c r="P150" s="530">
        <v>0</v>
      </c>
      <c r="Q150" s="558"/>
      <c r="R150" s="521"/>
      <c r="T150" s="530">
        <v>0</v>
      </c>
      <c r="U150" s="558"/>
      <c r="V150" s="521"/>
      <c r="X150" s="530">
        <v>0</v>
      </c>
      <c r="Y150" s="558"/>
      <c r="Z150" s="521"/>
      <c r="AB150" s="530">
        <v>1.452</v>
      </c>
      <c r="AC150" s="558"/>
      <c r="AD150" s="521"/>
      <c r="AF150" s="530">
        <v>0</v>
      </c>
      <c r="AG150" s="558"/>
      <c r="AH150" s="521"/>
      <c r="AJ150" s="530">
        <v>0</v>
      </c>
      <c r="AK150" s="558"/>
      <c r="AL150" s="521"/>
      <c r="AN150" s="530">
        <v>0</v>
      </c>
      <c r="AO150" s="558"/>
      <c r="AP150" s="521"/>
      <c r="AR150" s="530">
        <v>0</v>
      </c>
      <c r="AS150" s="558"/>
      <c r="AT150" s="521"/>
      <c r="AV150" s="530">
        <v>0</v>
      </c>
      <c r="AW150" s="558"/>
      <c r="AX150" s="521"/>
      <c r="AZ150" s="530">
        <v>-13.359</v>
      </c>
      <c r="BA150" s="558"/>
      <c r="BB150" s="521"/>
      <c r="BD150" s="530">
        <v>0</v>
      </c>
      <c r="BE150" s="558"/>
      <c r="BF150" s="521"/>
      <c r="BH150" s="530">
        <v>0</v>
      </c>
      <c r="BI150" s="558"/>
      <c r="BJ150" s="521"/>
      <c r="BL150" s="530">
        <v>0</v>
      </c>
      <c r="BM150" s="558"/>
      <c r="BN150" s="521"/>
      <c r="BP150" s="530">
        <v>0</v>
      </c>
      <c r="BQ150" s="558"/>
      <c r="BR150" s="520"/>
      <c r="BT150" s="530">
        <v>0</v>
      </c>
      <c r="BU150" s="558"/>
      <c r="BV150" s="520"/>
      <c r="BX150" s="530">
        <v>0</v>
      </c>
      <c r="BY150" s="558"/>
      <c r="BZ150" s="520"/>
      <c r="CB150" s="530">
        <v>-13</v>
      </c>
      <c r="CC150" s="558"/>
      <c r="CD150" s="520"/>
      <c r="CF150" s="1164">
        <v>0</v>
      </c>
      <c r="CG150" s="558"/>
      <c r="CH150" s="520"/>
      <c r="CJ150" s="1164">
        <v>0</v>
      </c>
      <c r="CK150" s="558"/>
      <c r="CL150" s="520"/>
      <c r="CN150" s="1164">
        <v>0</v>
      </c>
      <c r="CO150" s="558"/>
      <c r="CP150" s="521"/>
      <c r="CR150" s="1164">
        <v>0</v>
      </c>
      <c r="CS150" s="558"/>
      <c r="CT150" s="521"/>
      <c r="CV150" s="1164">
        <v>0</v>
      </c>
      <c r="CW150" s="558"/>
      <c r="CX150" s="521"/>
      <c r="CZ150" s="1164">
        <v>0</v>
      </c>
      <c r="DA150" s="558"/>
      <c r="DB150" s="521"/>
      <c r="DD150" s="1164">
        <v>0</v>
      </c>
      <c r="DE150" s="558"/>
      <c r="DF150" s="521"/>
      <c r="DH150" s="1164">
        <v>0</v>
      </c>
      <c r="DI150" s="558"/>
      <c r="DJ150" s="521"/>
      <c r="DL150" s="1164">
        <v>0</v>
      </c>
      <c r="DM150" s="558"/>
      <c r="DN150" s="521"/>
      <c r="DO150" s="521"/>
    </row>
    <row r="151" spans="1:119" x14ac:dyDescent="0.2">
      <c r="A151" s="517" t="s">
        <v>79</v>
      </c>
      <c r="D151" s="533">
        <v>0</v>
      </c>
      <c r="E151" s="558"/>
      <c r="F151" s="521"/>
      <c r="H151" s="533">
        <v>0</v>
      </c>
      <c r="I151" s="558"/>
      <c r="J151" s="521"/>
      <c r="L151" s="533">
        <v>0</v>
      </c>
      <c r="M151" s="558"/>
      <c r="N151" s="521"/>
      <c r="P151" s="533">
        <v>0</v>
      </c>
      <c r="Q151" s="558"/>
      <c r="R151" s="521"/>
      <c r="T151" s="533">
        <v>0</v>
      </c>
      <c r="U151" s="558"/>
      <c r="V151" s="521"/>
      <c r="X151" s="533">
        <v>0</v>
      </c>
      <c r="Y151" s="558"/>
      <c r="Z151" s="521"/>
      <c r="AB151" s="533">
        <v>0</v>
      </c>
      <c r="AC151" s="558"/>
      <c r="AD151" s="521"/>
      <c r="AF151" s="533">
        <v>0</v>
      </c>
      <c r="AG151" s="558"/>
      <c r="AH151" s="521"/>
      <c r="AJ151" s="533">
        <v>0</v>
      </c>
      <c r="AK151" s="558"/>
      <c r="AL151" s="521"/>
      <c r="AN151" s="533">
        <v>0</v>
      </c>
      <c r="AO151" s="558"/>
      <c r="AP151" s="521"/>
      <c r="AR151" s="533">
        <v>6.4188599999999996</v>
      </c>
      <c r="AS151" s="558"/>
      <c r="AT151" s="521"/>
      <c r="AV151" s="533">
        <v>0</v>
      </c>
      <c r="AW151" s="558"/>
      <c r="AX151" s="521"/>
      <c r="AZ151" s="533">
        <f>16.1*(1-0.327)</f>
        <v>10.835300000000002</v>
      </c>
      <c r="BA151" s="558"/>
      <c r="BB151" s="521"/>
      <c r="BD151" s="533">
        <v>0</v>
      </c>
      <c r="BE151" s="558"/>
      <c r="BF151" s="521"/>
      <c r="BH151" s="533">
        <v>0</v>
      </c>
      <c r="BI151" s="558"/>
      <c r="BJ151" s="521"/>
      <c r="BL151" s="533">
        <v>0</v>
      </c>
      <c r="BM151" s="558"/>
      <c r="BN151" s="521"/>
      <c r="BP151" s="533">
        <v>0</v>
      </c>
      <c r="BQ151" s="558"/>
      <c r="BR151" s="520"/>
      <c r="BT151" s="533">
        <v>0</v>
      </c>
      <c r="BU151" s="558"/>
      <c r="BV151" s="520"/>
      <c r="BX151" s="533">
        <v>0</v>
      </c>
      <c r="BY151" s="558"/>
      <c r="BZ151" s="520"/>
      <c r="CB151" s="533">
        <v>0</v>
      </c>
      <c r="CC151" s="558"/>
      <c r="CD151" s="520"/>
      <c r="CF151" s="1165">
        <v>0</v>
      </c>
      <c r="CG151" s="558"/>
      <c r="CH151" s="520"/>
      <c r="CJ151" s="1165">
        <v>0</v>
      </c>
      <c r="CK151" s="558"/>
      <c r="CL151" s="520"/>
      <c r="CN151" s="1165">
        <v>0</v>
      </c>
      <c r="CO151" s="558"/>
      <c r="CP151" s="563"/>
      <c r="CR151" s="1165">
        <v>0</v>
      </c>
      <c r="CS151" s="558"/>
      <c r="CT151" s="563"/>
      <c r="CV151" s="1165">
        <v>0</v>
      </c>
      <c r="CW151" s="558"/>
      <c r="CX151" s="563"/>
      <c r="CZ151" s="1165">
        <v>0</v>
      </c>
      <c r="DA151" s="558"/>
      <c r="DB151" s="563"/>
      <c r="DD151" s="1165">
        <v>0</v>
      </c>
      <c r="DE151" s="558"/>
      <c r="DF151" s="563"/>
      <c r="DH151" s="1165">
        <v>0</v>
      </c>
      <c r="DI151" s="558"/>
      <c r="DJ151" s="563"/>
      <c r="DL151" s="1165">
        <v>0</v>
      </c>
      <c r="DM151" s="558"/>
      <c r="DN151" s="563"/>
      <c r="DO151" s="563"/>
    </row>
    <row r="152" spans="1:119" x14ac:dyDescent="0.2">
      <c r="A152" s="517" t="s">
        <v>80</v>
      </c>
      <c r="D152" s="533">
        <v>0</v>
      </c>
      <c r="E152" s="558"/>
      <c r="F152" s="521"/>
      <c r="H152" s="533">
        <v>0</v>
      </c>
      <c r="I152" s="558"/>
      <c r="J152" s="521"/>
      <c r="L152" s="533">
        <v>0</v>
      </c>
      <c r="M152" s="558"/>
      <c r="N152" s="521"/>
      <c r="P152" s="533">
        <v>0</v>
      </c>
      <c r="Q152" s="558"/>
      <c r="R152" s="521"/>
      <c r="T152" s="533">
        <v>0</v>
      </c>
      <c r="U152" s="558"/>
      <c r="V152" s="521"/>
      <c r="X152" s="533">
        <v>0</v>
      </c>
      <c r="Y152" s="558"/>
      <c r="Z152" s="521"/>
      <c r="AB152" s="533">
        <v>0</v>
      </c>
      <c r="AC152" s="558"/>
      <c r="AD152" s="521"/>
      <c r="AF152" s="533">
        <v>0</v>
      </c>
      <c r="AG152" s="558"/>
      <c r="AH152" s="521"/>
      <c r="AJ152" s="533">
        <v>0</v>
      </c>
      <c r="AK152" s="558"/>
      <c r="AL152" s="521"/>
      <c r="AN152" s="533">
        <v>6.1</v>
      </c>
      <c r="AO152" s="558"/>
      <c r="AP152" s="521"/>
      <c r="AR152" s="533">
        <v>43.9</v>
      </c>
      <c r="AS152" s="558"/>
      <c r="AT152" s="521"/>
      <c r="AV152" s="533">
        <v>0</v>
      </c>
      <c r="AW152" s="558"/>
      <c r="AX152" s="521"/>
      <c r="AZ152" s="533">
        <v>0</v>
      </c>
      <c r="BA152" s="558"/>
      <c r="BB152" s="521"/>
      <c r="BD152" s="533">
        <v>0</v>
      </c>
      <c r="BE152" s="558"/>
      <c r="BF152" s="521"/>
      <c r="BH152" s="533">
        <v>0</v>
      </c>
      <c r="BI152" s="558"/>
      <c r="BJ152" s="521"/>
      <c r="BL152" s="533">
        <v>0</v>
      </c>
      <c r="BM152" s="558"/>
      <c r="BN152" s="521"/>
      <c r="BP152" s="533">
        <v>0</v>
      </c>
      <c r="BQ152" s="558"/>
      <c r="BR152" s="520"/>
      <c r="BT152" s="533">
        <v>-20.925000000000001</v>
      </c>
      <c r="BU152" s="558"/>
      <c r="BV152" s="520"/>
      <c r="BX152" s="533">
        <v>-7.7659999999999982</v>
      </c>
      <c r="BY152" s="558"/>
      <c r="BZ152" s="520"/>
      <c r="CB152" s="533">
        <v>0</v>
      </c>
      <c r="CC152" s="558"/>
      <c r="CD152" s="520"/>
      <c r="CF152" s="1165">
        <v>0</v>
      </c>
      <c r="CG152" s="558"/>
      <c r="CH152" s="520"/>
      <c r="CJ152" s="1165">
        <v>0</v>
      </c>
      <c r="CK152" s="558"/>
      <c r="CL152" s="520"/>
      <c r="CN152" s="1165">
        <v>0</v>
      </c>
      <c r="CO152" s="558"/>
      <c r="CP152" s="563"/>
      <c r="CR152" s="1165">
        <v>0</v>
      </c>
      <c r="CS152" s="558"/>
      <c r="CT152" s="563"/>
      <c r="CV152" s="1165">
        <v>0</v>
      </c>
      <c r="CW152" s="558"/>
      <c r="CX152" s="563"/>
      <c r="CZ152" s="1165">
        <v>0</v>
      </c>
      <c r="DA152" s="558"/>
      <c r="DB152" s="563"/>
      <c r="DD152" s="1165">
        <f>197-39</f>
        <v>158</v>
      </c>
      <c r="DE152" s="558"/>
      <c r="DF152" s="563"/>
      <c r="DH152" s="1165">
        <v>0</v>
      </c>
      <c r="DI152" s="558"/>
      <c r="DJ152" s="563"/>
      <c r="DL152" s="1165">
        <v>0</v>
      </c>
      <c r="DM152" s="558"/>
      <c r="DN152" s="563"/>
      <c r="DO152" s="563"/>
    </row>
    <row r="153" spans="1:119" x14ac:dyDescent="0.2">
      <c r="A153" s="517" t="s">
        <v>81</v>
      </c>
      <c r="D153" s="534">
        <v>0</v>
      </c>
      <c r="E153" s="558"/>
      <c r="F153" s="521"/>
      <c r="H153" s="534">
        <v>0</v>
      </c>
      <c r="I153" s="558"/>
      <c r="J153" s="521"/>
      <c r="L153" s="534">
        <f>6.6*(1-0.384)</f>
        <v>4.0655999999999999</v>
      </c>
      <c r="M153" s="558"/>
      <c r="N153" s="521"/>
      <c r="P153" s="534">
        <v>0</v>
      </c>
      <c r="Q153" s="558"/>
      <c r="R153" s="521"/>
      <c r="T153" s="534">
        <v>0</v>
      </c>
      <c r="U153" s="558"/>
      <c r="V153" s="521"/>
      <c r="X153" s="534">
        <v>0</v>
      </c>
      <c r="Y153" s="558"/>
      <c r="Z153" s="521"/>
      <c r="AB153" s="534">
        <v>0</v>
      </c>
      <c r="AC153" s="558"/>
      <c r="AD153" s="521"/>
      <c r="AF153" s="534">
        <v>0</v>
      </c>
      <c r="AG153" s="558"/>
      <c r="AH153" s="521"/>
      <c r="AJ153" s="534">
        <v>0</v>
      </c>
      <c r="AK153" s="558"/>
      <c r="AL153" s="521"/>
      <c r="AN153" s="534">
        <v>0</v>
      </c>
      <c r="AO153" s="558"/>
      <c r="AP153" s="521"/>
      <c r="AR153" s="534">
        <f>(1.662*0.39)</f>
        <v>0.64817999999999998</v>
      </c>
      <c r="AS153" s="558"/>
      <c r="AT153" s="521"/>
      <c r="AV153" s="534">
        <v>0</v>
      </c>
      <c r="AW153" s="558"/>
      <c r="AX153" s="521"/>
      <c r="AZ153" s="534">
        <v>0</v>
      </c>
      <c r="BA153" s="558"/>
      <c r="BB153" s="521"/>
      <c r="BD153" s="534">
        <v>0</v>
      </c>
      <c r="BE153" s="558"/>
      <c r="BF153" s="521"/>
      <c r="BH153" s="534">
        <v>0</v>
      </c>
      <c r="BI153" s="558"/>
      <c r="BJ153" s="521"/>
      <c r="BL153" s="534">
        <v>0</v>
      </c>
      <c r="BM153" s="558"/>
      <c r="BN153" s="521"/>
      <c r="BP153" s="534">
        <v>0</v>
      </c>
      <c r="BQ153" s="558"/>
      <c r="BR153" s="520"/>
      <c r="BT153" s="534">
        <v>0</v>
      </c>
      <c r="BU153" s="558"/>
      <c r="BV153" s="520"/>
      <c r="BX153" s="534">
        <v>0</v>
      </c>
      <c r="BY153" s="558"/>
      <c r="BZ153" s="520"/>
      <c r="CB153" s="534">
        <v>0</v>
      </c>
      <c r="CC153" s="558"/>
      <c r="CD153" s="520"/>
      <c r="CF153" s="1166">
        <v>0</v>
      </c>
      <c r="CG153" s="558"/>
      <c r="CH153" s="520"/>
      <c r="CJ153" s="1166">
        <v>0</v>
      </c>
      <c r="CK153" s="558"/>
      <c r="CL153" s="520"/>
      <c r="CN153" s="1166">
        <v>0</v>
      </c>
      <c r="CO153" s="558"/>
      <c r="CP153" s="563"/>
      <c r="CR153" s="1166">
        <v>0</v>
      </c>
      <c r="CS153" s="558"/>
      <c r="CT153" s="563"/>
      <c r="CV153" s="1166">
        <v>0</v>
      </c>
      <c r="CW153" s="558"/>
      <c r="CX153" s="563"/>
      <c r="CZ153" s="1166">
        <v>0</v>
      </c>
      <c r="DA153" s="558"/>
      <c r="DB153" s="563"/>
      <c r="DD153" s="1166">
        <v>38.799999999999997</v>
      </c>
      <c r="DE153" s="558"/>
      <c r="DF153" s="563"/>
      <c r="DH153" s="1166">
        <v>43</v>
      </c>
      <c r="DI153" s="558"/>
      <c r="DJ153" s="563"/>
      <c r="DL153" s="1166">
        <v>0</v>
      </c>
      <c r="DM153" s="558"/>
      <c r="DN153" s="563"/>
      <c r="DO153" s="563"/>
    </row>
    <row r="154" spans="1:119" x14ac:dyDescent="0.2">
      <c r="A154" s="517" t="s">
        <v>82</v>
      </c>
      <c r="D154" s="533">
        <v>0</v>
      </c>
      <c r="E154" s="558"/>
      <c r="F154" s="521"/>
      <c r="H154" s="533">
        <v>0</v>
      </c>
      <c r="I154" s="558"/>
      <c r="J154" s="521"/>
      <c r="L154" s="533">
        <f>6.6*(1-0.384)</f>
        <v>4.0655999999999999</v>
      </c>
      <c r="M154" s="558"/>
      <c r="N154" s="521"/>
      <c r="P154" s="533">
        <v>0</v>
      </c>
      <c r="Q154" s="558"/>
      <c r="R154" s="521"/>
      <c r="T154" s="533">
        <v>0</v>
      </c>
      <c r="U154" s="558"/>
      <c r="V154" s="521"/>
      <c r="X154" s="533">
        <v>0</v>
      </c>
      <c r="Y154" s="558"/>
      <c r="Z154" s="521"/>
      <c r="AB154" s="533">
        <v>1.452</v>
      </c>
      <c r="AC154" s="558"/>
      <c r="AD154" s="521"/>
      <c r="AF154" s="533">
        <v>0</v>
      </c>
      <c r="AG154" s="558"/>
      <c r="AH154" s="521"/>
      <c r="AJ154" s="533">
        <v>0</v>
      </c>
      <c r="AK154" s="558"/>
      <c r="AL154" s="521"/>
      <c r="AN154" s="533">
        <v>0</v>
      </c>
      <c r="AO154" s="558"/>
      <c r="AP154" s="521"/>
      <c r="AR154" s="533">
        <v>0</v>
      </c>
      <c r="AS154" s="558"/>
      <c r="AT154" s="521"/>
      <c r="AV154" s="533">
        <v>0</v>
      </c>
      <c r="AW154" s="558"/>
      <c r="AX154" s="521"/>
      <c r="AZ154" s="533">
        <v>0</v>
      </c>
      <c r="BA154" s="558"/>
      <c r="BB154" s="521"/>
      <c r="BD154" s="533">
        <v>0</v>
      </c>
      <c r="BE154" s="558"/>
      <c r="BF154" s="521"/>
      <c r="BH154" s="533">
        <v>0</v>
      </c>
      <c r="BI154" s="558"/>
      <c r="BJ154" s="521"/>
      <c r="BL154" s="533">
        <v>0</v>
      </c>
      <c r="BM154" s="558"/>
      <c r="BN154" s="521"/>
      <c r="BP154" s="533">
        <v>0</v>
      </c>
      <c r="BQ154" s="558"/>
      <c r="BR154" s="520"/>
      <c r="BT154" s="533">
        <v>-20.925000000000001</v>
      </c>
      <c r="BU154" s="558"/>
      <c r="BV154" s="520"/>
      <c r="BX154" s="533">
        <v>-7.7659999999999982</v>
      </c>
      <c r="BY154" s="558"/>
      <c r="BZ154" s="520"/>
      <c r="CB154" s="533">
        <v>-13</v>
      </c>
      <c r="CC154" s="558"/>
      <c r="CD154" s="520"/>
      <c r="CF154" s="1088">
        <f>SUM(CF150:CF153)</f>
        <v>0</v>
      </c>
      <c r="CG154" s="558"/>
      <c r="CH154" s="520"/>
      <c r="CJ154" s="1088">
        <f>SUM(CJ150:CJ153)</f>
        <v>0</v>
      </c>
      <c r="CK154" s="558"/>
      <c r="CL154" s="520"/>
      <c r="CN154" s="1088">
        <f>SUM(CN150:CN153)</f>
        <v>0</v>
      </c>
      <c r="CO154" s="558"/>
      <c r="CP154" s="563"/>
      <c r="CR154" s="1088">
        <f>SUM(CR150:CR153)</f>
        <v>0</v>
      </c>
      <c r="CS154" s="558"/>
      <c r="CT154" s="563"/>
      <c r="CV154" s="1088">
        <f>SUM(CV150:CV153)</f>
        <v>0</v>
      </c>
      <c r="CW154" s="558"/>
      <c r="CX154" s="563"/>
      <c r="CZ154" s="1088">
        <f>SUM(CZ150:CZ153)</f>
        <v>0</v>
      </c>
      <c r="DA154" s="558"/>
      <c r="DB154" s="563"/>
      <c r="DD154" s="1088">
        <v>197</v>
      </c>
      <c r="DE154" s="558"/>
      <c r="DF154" s="563"/>
      <c r="DH154" s="1088">
        <f>SUM(DH150:DH153)</f>
        <v>43</v>
      </c>
      <c r="DI154" s="558"/>
      <c r="DJ154" s="563"/>
      <c r="DL154" s="1088">
        <v>0</v>
      </c>
      <c r="DM154" s="558"/>
      <c r="DN154" s="563"/>
      <c r="DO154" s="563"/>
    </row>
    <row r="155" spans="1:119" x14ac:dyDescent="0.2">
      <c r="A155" s="517" t="s">
        <v>281</v>
      </c>
      <c r="D155" s="524">
        <f>D150+D151</f>
        <v>0</v>
      </c>
      <c r="E155" s="519"/>
      <c r="F155" s="521"/>
      <c r="G155" s="249"/>
      <c r="H155" s="524">
        <f>H150+H151</f>
        <v>0</v>
      </c>
      <c r="I155" s="519"/>
      <c r="J155" s="521"/>
      <c r="K155" s="249"/>
      <c r="L155" s="524">
        <f>L150+L151</f>
        <v>0</v>
      </c>
      <c r="M155" s="519"/>
      <c r="N155" s="521"/>
      <c r="O155" s="249"/>
      <c r="P155" s="524">
        <f>P150+P151</f>
        <v>0</v>
      </c>
      <c r="Q155" s="519"/>
      <c r="R155" s="521"/>
      <c r="S155" s="249"/>
      <c r="T155" s="524">
        <f>T150+T151</f>
        <v>0</v>
      </c>
      <c r="U155" s="519"/>
      <c r="V155" s="521"/>
      <c r="W155" s="249"/>
      <c r="X155" s="524">
        <f>X150+X151</f>
        <v>0</v>
      </c>
      <c r="Y155" s="519"/>
      <c r="Z155" s="521"/>
      <c r="AA155" s="249"/>
      <c r="AB155" s="524">
        <f>AB150+AB151</f>
        <v>1.452</v>
      </c>
      <c r="AC155" s="519"/>
      <c r="AD155" s="521"/>
      <c r="AE155" s="249"/>
      <c r="AF155" s="524">
        <f>AF150+AF151</f>
        <v>0</v>
      </c>
      <c r="AG155" s="519"/>
      <c r="AH155" s="521"/>
      <c r="AI155" s="249"/>
      <c r="AJ155" s="524">
        <f>AJ150+AJ151</f>
        <v>0</v>
      </c>
      <c r="AK155" s="519"/>
      <c r="AL155" s="521"/>
      <c r="AM155" s="249"/>
      <c r="AN155" s="524">
        <f>AN150+AN151</f>
        <v>0</v>
      </c>
      <c r="AO155" s="519"/>
      <c r="AP155" s="521"/>
      <c r="AQ155" s="249"/>
      <c r="AR155" s="524">
        <f>AR150+AR151</f>
        <v>6.4188599999999996</v>
      </c>
      <c r="AS155" s="519"/>
      <c r="AT155" s="521"/>
      <c r="AU155" s="249"/>
      <c r="AV155" s="524">
        <f>AV150+AV151</f>
        <v>0</v>
      </c>
      <c r="AW155" s="519"/>
      <c r="AX155" s="521"/>
      <c r="AY155" s="249"/>
      <c r="AZ155" s="524">
        <f>AZ150+AZ151</f>
        <v>-2.5236999999999981</v>
      </c>
      <c r="BA155" s="519"/>
      <c r="BB155" s="521"/>
      <c r="BC155" s="249"/>
      <c r="BD155" s="524">
        <f>BD150+BD151</f>
        <v>0</v>
      </c>
      <c r="BE155" s="519"/>
      <c r="BF155" s="521"/>
      <c r="BG155" s="249"/>
      <c r="BH155" s="524">
        <f>BH150+BH151</f>
        <v>0</v>
      </c>
      <c r="BI155" s="519"/>
      <c r="BJ155" s="521"/>
      <c r="BK155" s="249"/>
      <c r="BL155" s="524">
        <f>BL150+BL151</f>
        <v>0</v>
      </c>
      <c r="BM155" s="519"/>
      <c r="BN155" s="521"/>
      <c r="BO155" s="249"/>
      <c r="BP155" s="524">
        <f>BP150+BP151</f>
        <v>0</v>
      </c>
      <c r="BQ155" s="519"/>
      <c r="BR155" s="521"/>
      <c r="BS155" s="249"/>
      <c r="BT155" s="524">
        <f>BT150+BT151</f>
        <v>0</v>
      </c>
      <c r="BU155" s="519"/>
      <c r="BV155" s="520"/>
      <c r="BW155" s="249"/>
      <c r="BX155" s="524">
        <f>BX150+BX151</f>
        <v>0</v>
      </c>
      <c r="BY155" s="519"/>
      <c r="BZ155" s="520"/>
      <c r="CA155" s="249"/>
      <c r="CB155" s="524">
        <f>CB150+CB151</f>
        <v>-13</v>
      </c>
      <c r="CC155" s="519"/>
      <c r="CD155" s="520"/>
      <c r="CE155" s="249"/>
      <c r="CF155" s="524">
        <f>CF150+CF151</f>
        <v>0</v>
      </c>
      <c r="CG155" s="519"/>
      <c r="CH155" s="520"/>
      <c r="CI155" s="249"/>
      <c r="CJ155" s="524">
        <f>CJ150+CJ151</f>
        <v>0</v>
      </c>
      <c r="CK155" s="519"/>
      <c r="CL155" s="520"/>
      <c r="CM155" s="249"/>
      <c r="CN155" s="524">
        <f>CN150+CN151</f>
        <v>0</v>
      </c>
      <c r="CO155" s="558"/>
      <c r="CP155" s="563"/>
      <c r="CQ155" s="249"/>
      <c r="CR155" s="524">
        <f>CR150+CR151</f>
        <v>0</v>
      </c>
      <c r="CS155" s="558"/>
      <c r="CT155" s="563"/>
      <c r="CU155" s="249"/>
      <c r="CV155" s="524">
        <f>CV150+CV151</f>
        <v>0</v>
      </c>
      <c r="CW155" s="558"/>
      <c r="CX155" s="563"/>
      <c r="CY155" s="249"/>
      <c r="CZ155" s="524">
        <f>CZ150+CZ151</f>
        <v>0</v>
      </c>
      <c r="DA155" s="558"/>
      <c r="DB155" s="563"/>
      <c r="DD155" s="524">
        <f>DD150+DD151</f>
        <v>0</v>
      </c>
      <c r="DE155" s="558"/>
      <c r="DF155" s="563"/>
      <c r="DH155" s="524">
        <f>DH150+DH151</f>
        <v>0</v>
      </c>
      <c r="DI155" s="558"/>
      <c r="DJ155" s="563"/>
      <c r="DL155" s="524">
        <f>DL150+DL151</f>
        <v>0</v>
      </c>
      <c r="DM155" s="558"/>
      <c r="DN155" s="563"/>
      <c r="DO155" s="563"/>
    </row>
    <row r="156" spans="1:119" x14ac:dyDescent="0.2">
      <c r="A156" s="517" t="s">
        <v>282</v>
      </c>
      <c r="D156" s="524">
        <f>D153+D152</f>
        <v>0</v>
      </c>
      <c r="E156" s="519"/>
      <c r="F156" s="521"/>
      <c r="G156" s="249"/>
      <c r="H156" s="524">
        <f>H153+H152</f>
        <v>0</v>
      </c>
      <c r="I156" s="519"/>
      <c r="J156" s="521"/>
      <c r="K156" s="249"/>
      <c r="L156" s="524">
        <f>L153+L152</f>
        <v>4.0655999999999999</v>
      </c>
      <c r="M156" s="519"/>
      <c r="N156" s="521"/>
      <c r="O156" s="249"/>
      <c r="P156" s="524">
        <f>P153+P152</f>
        <v>0</v>
      </c>
      <c r="Q156" s="519"/>
      <c r="R156" s="521"/>
      <c r="S156" s="249"/>
      <c r="T156" s="524">
        <f>T153+T152</f>
        <v>0</v>
      </c>
      <c r="U156" s="519"/>
      <c r="V156" s="521"/>
      <c r="W156" s="249"/>
      <c r="X156" s="524">
        <f>X153+X152</f>
        <v>0</v>
      </c>
      <c r="Y156" s="519"/>
      <c r="Z156" s="521"/>
      <c r="AA156" s="249"/>
      <c r="AB156" s="524">
        <f>AB153+AB152</f>
        <v>0</v>
      </c>
      <c r="AC156" s="519"/>
      <c r="AD156" s="521"/>
      <c r="AE156" s="249"/>
      <c r="AF156" s="524">
        <f>AF153+AF152</f>
        <v>0</v>
      </c>
      <c r="AG156" s="519"/>
      <c r="AH156" s="521"/>
      <c r="AI156" s="249"/>
      <c r="AJ156" s="524">
        <f>AJ153+AJ152</f>
        <v>0</v>
      </c>
      <c r="AK156" s="519"/>
      <c r="AL156" s="521"/>
      <c r="AM156" s="249"/>
      <c r="AN156" s="524">
        <f>AN153+AN152</f>
        <v>6.1</v>
      </c>
      <c r="AO156" s="519"/>
      <c r="AP156" s="521"/>
      <c r="AQ156" s="249"/>
      <c r="AR156" s="524">
        <f>AR153+AR152</f>
        <v>44.548180000000002</v>
      </c>
      <c r="AS156" s="519"/>
      <c r="AT156" s="521"/>
      <c r="AU156" s="249"/>
      <c r="AV156" s="524">
        <f>AV153+AV152</f>
        <v>0</v>
      </c>
      <c r="AW156" s="519"/>
      <c r="AX156" s="521"/>
      <c r="AY156" s="249"/>
      <c r="AZ156" s="524">
        <f>AZ153+AZ152</f>
        <v>0</v>
      </c>
      <c r="BA156" s="519"/>
      <c r="BB156" s="521"/>
      <c r="BC156" s="249"/>
      <c r="BD156" s="524">
        <f>BD153+BD152</f>
        <v>0</v>
      </c>
      <c r="BE156" s="519"/>
      <c r="BF156" s="521"/>
      <c r="BG156" s="249"/>
      <c r="BH156" s="524">
        <f>BH153+BH152</f>
        <v>0</v>
      </c>
      <c r="BI156" s="519"/>
      <c r="BJ156" s="521"/>
      <c r="BK156" s="249"/>
      <c r="BL156" s="524">
        <f>BL153+BL152</f>
        <v>0</v>
      </c>
      <c r="BM156" s="519"/>
      <c r="BN156" s="521"/>
      <c r="BO156" s="249"/>
      <c r="BP156" s="524">
        <f>BP153+BP152</f>
        <v>0</v>
      </c>
      <c r="BQ156" s="519"/>
      <c r="BR156" s="521"/>
      <c r="BS156" s="249"/>
      <c r="BT156" s="524">
        <f>BT153+BT152</f>
        <v>-20.925000000000001</v>
      </c>
      <c r="BU156" s="519"/>
      <c r="BV156" s="520"/>
      <c r="BW156" s="249"/>
      <c r="BX156" s="524">
        <f>BX153+BX152</f>
        <v>-7.7659999999999982</v>
      </c>
      <c r="BY156" s="519"/>
      <c r="BZ156" s="520"/>
      <c r="CA156" s="249"/>
      <c r="CB156" s="524">
        <f>CB153+CB152</f>
        <v>0</v>
      </c>
      <c r="CC156" s="519"/>
      <c r="CD156" s="520"/>
      <c r="CE156" s="249"/>
      <c r="CF156" s="524">
        <f>CF151+CF152</f>
        <v>0</v>
      </c>
      <c r="CG156" s="519"/>
      <c r="CH156" s="520"/>
      <c r="CI156" s="249"/>
      <c r="CJ156" s="524">
        <f>CJ151+CJ152</f>
        <v>0</v>
      </c>
      <c r="CK156" s="519"/>
      <c r="CL156" s="520"/>
      <c r="CM156" s="249"/>
      <c r="CN156" s="524">
        <f>CN151+CN152</f>
        <v>0</v>
      </c>
      <c r="CO156" s="519"/>
      <c r="CP156" s="521"/>
      <c r="CQ156" s="249"/>
      <c r="CR156" s="524">
        <f>CR151+CR152</f>
        <v>0</v>
      </c>
      <c r="CS156" s="519"/>
      <c r="CT156" s="521"/>
      <c r="CU156" s="249"/>
      <c r="CV156" s="524">
        <f>CV151+CV152</f>
        <v>0</v>
      </c>
      <c r="CW156" s="519"/>
      <c r="CX156" s="521"/>
      <c r="CY156" s="249"/>
      <c r="CZ156" s="524">
        <f>CZ151+CZ152</f>
        <v>0</v>
      </c>
      <c r="DA156" s="519"/>
      <c r="DB156" s="521"/>
      <c r="DD156" s="524">
        <f>DD153+DD152</f>
        <v>196.8</v>
      </c>
      <c r="DE156" s="519"/>
      <c r="DF156" s="521"/>
      <c r="DH156" s="524">
        <f>DH153+DH152</f>
        <v>43</v>
      </c>
      <c r="DI156" s="519"/>
      <c r="DJ156" s="521"/>
      <c r="DL156" s="524">
        <f>DL153+DL152</f>
        <v>0</v>
      </c>
      <c r="DM156" s="519"/>
      <c r="DN156" s="521"/>
      <c r="DO156" s="521"/>
    </row>
    <row r="157" spans="1:119" x14ac:dyDescent="0.2">
      <c r="A157" s="517"/>
      <c r="D157" s="524"/>
      <c r="E157" s="519"/>
      <c r="F157" s="521"/>
      <c r="G157" s="249"/>
      <c r="H157" s="524"/>
      <c r="I157" s="519"/>
      <c r="J157" s="521"/>
      <c r="K157" s="249"/>
      <c r="L157" s="524"/>
      <c r="M157" s="519"/>
      <c r="N157" s="521"/>
      <c r="O157" s="249"/>
      <c r="P157" s="524"/>
      <c r="Q157" s="519"/>
      <c r="R157" s="521"/>
      <c r="S157" s="249"/>
      <c r="T157" s="524"/>
      <c r="U157" s="519"/>
      <c r="V157" s="521"/>
      <c r="W157" s="249"/>
      <c r="X157" s="524"/>
      <c r="Y157" s="519"/>
      <c r="Z157" s="521"/>
      <c r="AA157" s="249"/>
      <c r="AB157" s="524"/>
      <c r="AC157" s="519"/>
      <c r="AD157" s="521"/>
      <c r="AE157" s="249"/>
      <c r="AF157" s="524"/>
      <c r="AG157" s="519"/>
      <c r="AH157" s="521"/>
      <c r="AI157" s="249"/>
      <c r="AJ157" s="524"/>
      <c r="AK157" s="519"/>
      <c r="AL157" s="521"/>
      <c r="AM157" s="249"/>
      <c r="AN157" s="524"/>
      <c r="AO157" s="519"/>
      <c r="AP157" s="521"/>
      <c r="AQ157" s="249"/>
      <c r="AR157" s="524"/>
      <c r="AS157" s="519"/>
      <c r="AT157" s="521"/>
      <c r="AU157" s="249"/>
      <c r="AV157" s="524"/>
      <c r="AW157" s="519"/>
      <c r="AX157" s="521"/>
      <c r="AY157" s="249"/>
      <c r="AZ157" s="524"/>
      <c r="BA157" s="519"/>
      <c r="BB157" s="521"/>
      <c r="BC157" s="249"/>
      <c r="BD157" s="524"/>
      <c r="BE157" s="519"/>
      <c r="BF157" s="521"/>
      <c r="BG157" s="249"/>
      <c r="BH157" s="524"/>
      <c r="BI157" s="519"/>
      <c r="BJ157" s="521"/>
      <c r="BK157" s="249"/>
      <c r="BL157" s="524"/>
      <c r="BM157" s="519"/>
      <c r="BN157" s="521"/>
      <c r="BO157" s="249"/>
      <c r="BP157" s="524"/>
      <c r="BQ157" s="519"/>
      <c r="BR157" s="521"/>
      <c r="BS157" s="249"/>
      <c r="BT157" s="524"/>
      <c r="BU157" s="519"/>
      <c r="BV157" s="520"/>
      <c r="BW157" s="249"/>
      <c r="BX157" s="524"/>
      <c r="BY157" s="519"/>
      <c r="BZ157" s="520"/>
      <c r="CA157" s="249"/>
      <c r="CB157" s="524"/>
      <c r="CC157" s="519"/>
      <c r="CD157" s="520"/>
      <c r="CE157" s="249"/>
      <c r="CF157" s="524"/>
      <c r="CG157" s="519"/>
      <c r="CH157" s="520"/>
      <c r="CI157" s="249"/>
      <c r="CJ157" s="524"/>
      <c r="CK157" s="519"/>
      <c r="CL157" s="520"/>
      <c r="CM157" s="249"/>
      <c r="CN157" s="524"/>
      <c r="CO157" s="519"/>
      <c r="CP157" s="521"/>
      <c r="CQ157" s="249"/>
      <c r="CR157" s="524"/>
      <c r="CS157" s="519"/>
      <c r="CT157" s="521"/>
      <c r="CU157" s="249"/>
      <c r="CV157" s="524"/>
      <c r="CW157" s="519"/>
      <c r="CX157" s="521"/>
      <c r="CY157" s="249"/>
      <c r="CZ157" s="524"/>
      <c r="DA157" s="519"/>
      <c r="DB157" s="521"/>
      <c r="DD157" s="524"/>
      <c r="DE157" s="519"/>
      <c r="DF157" s="521"/>
      <c r="DH157" s="524"/>
      <c r="DI157" s="519"/>
      <c r="DJ157" s="521"/>
      <c r="DL157" s="524"/>
      <c r="DM157" s="519"/>
      <c r="DN157" s="521"/>
      <c r="DO157" s="521"/>
    </row>
    <row r="158" spans="1:119" s="516" customFormat="1" ht="12.75" customHeight="1" x14ac:dyDescent="0.2">
      <c r="A158" s="515" t="s">
        <v>307</v>
      </c>
      <c r="CG158" s="1397" t="str">
        <f>A158</f>
        <v>14. Net Earnings (% Net Margin / % Change)</v>
      </c>
      <c r="CH158" s="1397"/>
      <c r="CI158" s="1397"/>
      <c r="CJ158" s="1397"/>
      <c r="CK158" s="1397"/>
      <c r="CL158" s="1397"/>
      <c r="CM158" s="1397"/>
      <c r="CN158" s="1397"/>
      <c r="CO158" s="1397"/>
      <c r="CP158" s="1397"/>
      <c r="CQ158" s="1397"/>
      <c r="CR158" s="1397"/>
      <c r="CS158" s="1397"/>
      <c r="CT158" s="1397"/>
      <c r="CU158" s="1397"/>
      <c r="CV158" s="1397"/>
      <c r="CW158" s="1397"/>
      <c r="CX158" s="1397"/>
      <c r="CY158" s="1397"/>
      <c r="CZ158" s="1397"/>
      <c r="DA158" s="1397"/>
      <c r="DB158" s="1397"/>
      <c r="DC158" s="1397"/>
      <c r="DD158" s="1397"/>
      <c r="DE158" s="1397"/>
      <c r="DF158" s="1397"/>
      <c r="DG158" s="846"/>
      <c r="DH158" s="846"/>
      <c r="DI158" s="846"/>
      <c r="DJ158" s="846"/>
      <c r="DK158" s="1222"/>
      <c r="DL158" s="1222"/>
      <c r="DM158" s="1222"/>
      <c r="DN158" s="1222"/>
      <c r="DO158" s="1222"/>
    </row>
    <row r="159" spans="1:119" x14ac:dyDescent="0.2">
      <c r="D159" s="361"/>
      <c r="E159" s="249"/>
      <c r="F159" s="249"/>
      <c r="H159" s="361"/>
      <c r="I159" s="249"/>
      <c r="J159" s="249"/>
      <c r="L159" s="361"/>
      <c r="M159" s="249"/>
      <c r="N159" s="249"/>
      <c r="P159" s="361"/>
      <c r="Q159" s="249"/>
      <c r="R159" s="249"/>
      <c r="T159" s="361"/>
      <c r="U159" s="249"/>
      <c r="V159" s="249"/>
      <c r="X159" s="361"/>
      <c r="Y159" s="249"/>
      <c r="Z159" s="249"/>
      <c r="AB159" s="361"/>
      <c r="AC159" s="249"/>
      <c r="AD159" s="249"/>
      <c r="AF159" s="361"/>
      <c r="AG159" s="249"/>
      <c r="AH159" s="249"/>
      <c r="AJ159" s="361"/>
      <c r="AK159" s="249"/>
      <c r="AL159" s="249"/>
      <c r="AN159" s="361"/>
      <c r="AO159" s="249"/>
      <c r="AP159" s="249"/>
      <c r="AR159" s="361"/>
      <c r="AS159" s="249"/>
      <c r="AT159" s="249"/>
      <c r="AV159" s="361"/>
      <c r="AW159" s="249"/>
      <c r="AX159" s="249"/>
      <c r="AZ159" s="361"/>
      <c r="BA159" s="249"/>
      <c r="BB159" s="249"/>
      <c r="BD159" s="361"/>
      <c r="BE159" s="249"/>
      <c r="BF159" s="249"/>
      <c r="BH159" s="361"/>
      <c r="BI159" s="249"/>
      <c r="BJ159" s="249"/>
      <c r="BL159" s="361"/>
      <c r="BM159" s="249"/>
      <c r="BN159" s="249"/>
      <c r="BP159" s="362"/>
      <c r="BT159" s="362"/>
      <c r="BX159" s="362"/>
      <c r="CB159" s="362"/>
      <c r="CF159" s="362"/>
      <c r="CJ159" s="362"/>
      <c r="CP159" s="249"/>
      <c r="CT159" s="249"/>
      <c r="CX159" s="249"/>
      <c r="DB159" s="249"/>
      <c r="DF159" s="249"/>
      <c r="DJ159" s="249"/>
      <c r="DN159" s="249"/>
      <c r="DO159" s="249"/>
    </row>
    <row r="160" spans="1:119" x14ac:dyDescent="0.2">
      <c r="A160" s="517" t="s">
        <v>78</v>
      </c>
      <c r="D160" s="256">
        <f>D140-D150</f>
        <v>13.200000000000058</v>
      </c>
      <c r="E160" s="558">
        <f t="shared" ref="E160:E166" si="447">D160/D30*100</f>
        <v>2.2928608650338815</v>
      </c>
      <c r="F160" s="520"/>
      <c r="H160" s="256">
        <f>H140-H150</f>
        <v>25.656999999999965</v>
      </c>
      <c r="I160" s="558">
        <f t="shared" ref="I160:I166" si="448">H160/H30*100</f>
        <v>4.0572637624689207</v>
      </c>
      <c r="J160" s="520">
        <f t="shared" ref="J160:J166" si="449">(H160/D160-1)*100</f>
        <v>94.371212121211002</v>
      </c>
      <c r="L160" s="256">
        <f>L140-L150</f>
        <v>21.581999999999955</v>
      </c>
      <c r="M160" s="558">
        <f t="shared" ref="M160:M166" si="450">L160/L30*100</f>
        <v>3.1383828792212585</v>
      </c>
      <c r="N160" s="520">
        <f t="shared" ref="N160:N166" si="451">(L160/H160-1)*100</f>
        <v>-15.882605136999706</v>
      </c>
      <c r="P160" s="256">
        <f>P140-P150</f>
        <v>11.294999999999989</v>
      </c>
      <c r="Q160" s="558">
        <f t="shared" ref="Q160:Q166" si="452">P160/P30*100</f>
        <v>1.5708182440212932</v>
      </c>
      <c r="R160" s="520">
        <f t="shared" ref="R160:R166" si="453">(P160/L160-1)*100</f>
        <v>-47.664720600500353</v>
      </c>
      <c r="T160" s="256">
        <f>T140-T150</f>
        <v>31.973000000000059</v>
      </c>
      <c r="U160" s="558">
        <f t="shared" ref="U160:U166" si="454">T160/T30*100</f>
        <v>4.0692923888336026</v>
      </c>
      <c r="V160" s="520">
        <f t="shared" ref="V160:V166" si="455">(T160/P160-1)*100</f>
        <v>183.07215582116058</v>
      </c>
      <c r="X160" s="256">
        <f>X140-X150</f>
        <v>27.676999999999879</v>
      </c>
      <c r="Y160" s="558">
        <f t="shared" ref="Y160:Y166" si="456">X160/X30*100</f>
        <v>3.2681367003828057</v>
      </c>
      <c r="Z160" s="520">
        <f t="shared" ref="Z160:Z166" si="457">(X160/T160-1)*100</f>
        <v>-13.436336909267732</v>
      </c>
      <c r="AB160" s="256">
        <f>AB140-AB150</f>
        <v>25.897000000000091</v>
      </c>
      <c r="AC160" s="558">
        <f t="shared" ref="AC160:AC166" si="458">AB160/AB30*100</f>
        <v>2.7534123941302027</v>
      </c>
      <c r="AD160" s="520">
        <f t="shared" ref="AD160:AD166" si="459">(AB160/X160-1)*100</f>
        <v>-6.4313328756722026</v>
      </c>
      <c r="AF160" s="256">
        <f>AF140-AF150</f>
        <v>32.348999999999982</v>
      </c>
      <c r="AG160" s="558">
        <f t="shared" ref="AG160:AG166" si="460">AF160/AF30*100</f>
        <v>3.2953431846936492</v>
      </c>
      <c r="AH160" s="520">
        <f t="shared" ref="AH160:AH166" si="461">(AF160/AB160-1)*100</f>
        <v>24.91408271228277</v>
      </c>
      <c r="AJ160" s="256">
        <f>AJ140-AJ150</f>
        <v>32.336999999999904</v>
      </c>
      <c r="AK160" s="558">
        <f t="shared" ref="AK160:AL163" si="462">AJ160/AJ30*100</f>
        <v>3.0203655411009485</v>
      </c>
      <c r="AL160" s="558">
        <f t="shared" si="462"/>
        <v>33.323959767416063</v>
      </c>
      <c r="AM160" s="520">
        <f t="shared" ref="AM160:AM166" si="463">(AK160/AG160-1)*100</f>
        <v>-8.3444311618264386</v>
      </c>
      <c r="AN160" s="256">
        <f>AN140-AN150</f>
        <v>31.538000000000004</v>
      </c>
      <c r="AO160" s="558">
        <f t="shared" ref="AO160:AO166" si="464">AN160/AN30*100</f>
        <v>2.957768009626017</v>
      </c>
      <c r="AP160" s="520">
        <f t="shared" ref="AP160:AP166" si="465">(AN160/AJ160-1)*100</f>
        <v>-2.4708538207004471</v>
      </c>
      <c r="AR160" s="256">
        <f>AR140-AR150</f>
        <v>32.789000000000016</v>
      </c>
      <c r="AS160" s="558">
        <f t="shared" ref="AS160:AS166" si="466">AR160/AR30*100</f>
        <v>2.7680810847089048</v>
      </c>
      <c r="AT160" s="520">
        <f t="shared" ref="AT160:AT166" si="467">(AR160/AN160-1)*100</f>
        <v>3.9666434142939133</v>
      </c>
      <c r="AV160" s="256">
        <f>AV140-AV150</f>
        <v>24.754999999999963</v>
      </c>
      <c r="AW160" s="558">
        <f t="shared" ref="AW160:AW166" si="468">AV160/AV30*100</f>
        <v>1.9722035221618923</v>
      </c>
      <c r="AX160" s="520">
        <f t="shared" ref="AX160:AX166" si="469">(AV160/AR160-1)*100</f>
        <v>-24.502119613285089</v>
      </c>
      <c r="AZ160" s="256">
        <f>AZ140-AZ150</f>
        <v>2.1460000000000878</v>
      </c>
      <c r="BA160" s="558">
        <f t="shared" ref="BA160:BA166" si="470">AZ160/AZ30*100</f>
        <v>0.16777880717556087</v>
      </c>
      <c r="BB160" s="520">
        <f t="shared" ref="BB160:BB166" si="471">(AZ160/AV160-1)*100</f>
        <v>-91.331044233487816</v>
      </c>
      <c r="BD160" s="256">
        <f>BD140-BD150</f>
        <v>27.15499999999999</v>
      </c>
      <c r="BE160" s="558">
        <f t="shared" ref="BE160:BE166" si="472">BD160/BD30*100</f>
        <v>1.9805208065908926</v>
      </c>
      <c r="BF160" s="520">
        <f t="shared" ref="BF160:BF166" si="473">(BD160/AZ160-1)*100</f>
        <v>1165.3774464118769</v>
      </c>
      <c r="BH160" s="256">
        <f>BH140-BH150</f>
        <v>68.727000000000089</v>
      </c>
      <c r="BI160" s="558">
        <f t="shared" ref="BI160:BI166" si="474">BH160/BH30*100</f>
        <v>4.363682771240474</v>
      </c>
      <c r="BJ160" s="520">
        <f t="shared" ref="BJ160:BJ166" si="475">(BH160/BD160-1)*100</f>
        <v>153.09151169213811</v>
      </c>
      <c r="BL160" s="256">
        <f>BL140-BL150</f>
        <v>104.53799999999994</v>
      </c>
      <c r="BM160" s="558">
        <f t="shared" ref="BM160:BM166" si="476">BL160/BL30*100</f>
        <v>6.1594173011408131</v>
      </c>
      <c r="BN160" s="520">
        <f t="shared" ref="BN160:BN166" si="477">(BL160/BH160-1)*100</f>
        <v>52.106159151424912</v>
      </c>
      <c r="BP160" s="256">
        <f>BP140-BP150</f>
        <v>131.23099999999997</v>
      </c>
      <c r="BQ160" s="558">
        <f t="shared" ref="BQ160:BQ166" si="478">BP160/BP30*100</f>
        <v>7.12800933809363</v>
      </c>
      <c r="BR160" s="520">
        <f t="shared" ref="BR160:BR166" si="479">(BP160/BL160-1)*100</f>
        <v>25.534255486043399</v>
      </c>
      <c r="BT160" s="256">
        <f>BT140-BT150</f>
        <v>156.81100000000004</v>
      </c>
      <c r="BU160" s="558">
        <f t="shared" ref="BU160:BU166" si="480">BT160/BT30*100</f>
        <v>7.8026175746607889</v>
      </c>
      <c r="BV160" s="520">
        <f t="shared" ref="BV160:BV166" si="481">(BT160/BP160-1)*100</f>
        <v>19.492345558595204</v>
      </c>
      <c r="BX160" s="256">
        <f>BX140-BX150</f>
        <v>129</v>
      </c>
      <c r="BY160" s="558">
        <f t="shared" ref="BY160:BY166" si="482">BX160/BX30*100</f>
        <v>6.6187788609543361</v>
      </c>
      <c r="BZ160" s="520">
        <f t="shared" ref="BZ160:BZ166" si="483">(BX160/BT160-1)*100</f>
        <v>-17.735362952854096</v>
      </c>
      <c r="CB160" s="256">
        <f>CB140-CB150</f>
        <v>81</v>
      </c>
      <c r="CC160" s="558">
        <f t="shared" ref="CC160:CC166" si="484">CB160/CB30*100</f>
        <v>4.5200892857142856</v>
      </c>
      <c r="CD160" s="520">
        <f t="shared" ref="CD160:CD166" si="485">(CB160/BX160-1)*100</f>
        <v>-37.209302325581397</v>
      </c>
      <c r="CF160" s="256">
        <f>CF140-CF150</f>
        <v>116</v>
      </c>
      <c r="CG160" s="558">
        <f t="shared" ref="CG160:CG166" si="486">CF160/CF30*100</f>
        <v>5.5582175371346434</v>
      </c>
      <c r="CH160" s="520">
        <f t="shared" ref="CH160:CH166" si="487">(CF160/CB160-1)*100</f>
        <v>43.209876543209866</v>
      </c>
      <c r="CJ160" s="256">
        <f>CJ140-CJ150</f>
        <v>145</v>
      </c>
      <c r="CK160" s="558">
        <f t="shared" ref="CK160:CK166" si="488">CJ160/CJ30*100</f>
        <v>6.2419285406801546</v>
      </c>
      <c r="CL160" s="520">
        <f t="shared" ref="CL160:CL166" si="489">(CJ160/CF160-1)*100</f>
        <v>25</v>
      </c>
      <c r="CN160" s="256">
        <f>CN140-CN150</f>
        <v>149</v>
      </c>
      <c r="CO160" s="558">
        <f t="shared" ref="CO160:CO166" si="490">CN160/CN30*100</f>
        <v>5.6761904761904765</v>
      </c>
      <c r="CP160" s="521">
        <f t="shared" ref="CP160:CP166" si="491">(CN160/CJ160-1)*100</f>
        <v>2.7586206896551779</v>
      </c>
      <c r="CR160" s="256">
        <f>CR140-CR150</f>
        <v>145</v>
      </c>
      <c r="CS160" s="558">
        <f t="shared" ref="CS160:CS166" si="492">CR160/CR30*100</f>
        <v>5.2746453255729353</v>
      </c>
      <c r="CT160" s="521">
        <f t="shared" ref="CT160:CT166" si="493">(CR160/CN160-1)*100</f>
        <v>-2.6845637583892579</v>
      </c>
      <c r="CV160" s="256">
        <f>CV140-CV150</f>
        <v>140</v>
      </c>
      <c r="CW160" s="558">
        <f t="shared" ref="CW160:CW166" si="494">CV160/CV30*100</f>
        <v>4.7765267826680313</v>
      </c>
      <c r="CX160" s="521">
        <f t="shared" ref="CX160:CX166" si="495">(CV160/CR160-1)*100</f>
        <v>-3.4482758620689613</v>
      </c>
      <c r="CZ160" s="256">
        <f>CZ140-CZ150</f>
        <v>128</v>
      </c>
      <c r="DA160" s="558">
        <f t="shared" ref="DA160:DA166" si="496">CZ160/CZ30*100</f>
        <v>3.9813374805598754</v>
      </c>
      <c r="DB160" s="521">
        <f t="shared" ref="DB160:DB166" si="497">(CZ160/CV160-1)*100</f>
        <v>-8.5714285714285747</v>
      </c>
      <c r="DD160" s="256">
        <f>DD140-DD150</f>
        <v>46</v>
      </c>
      <c r="DE160" s="558">
        <f t="shared" ref="DE160:DE166" si="498">DD160/DD30*100</f>
        <v>1.4158202523853494</v>
      </c>
      <c r="DF160" s="521">
        <f t="shared" ref="DF160:DF166" si="499">(DD160/CZ160-1)*100</f>
        <v>-64.0625</v>
      </c>
      <c r="DH160" s="256">
        <f>DH140-DH150</f>
        <v>63</v>
      </c>
      <c r="DI160" s="558">
        <f t="shared" ref="DI160:DI166" si="500">DH160/DH30*100</f>
        <v>1.8783542039355994</v>
      </c>
      <c r="DJ160" s="521">
        <f t="shared" ref="DJ160:DJ166" si="501">(DH160/DD160-1)*100</f>
        <v>36.956521739130444</v>
      </c>
      <c r="DL160" s="256">
        <f>DL140-DL150</f>
        <v>70.098912514423247</v>
      </c>
      <c r="DM160" s="558">
        <f t="shared" ref="DM160:DM166" si="502">DL160/DL30*100</f>
        <v>2.0058279807714472</v>
      </c>
      <c r="DN160" s="521">
        <f t="shared" ref="DN160:DN166" si="503">(DL160/DH160-1)*100</f>
        <v>11.268115102259113</v>
      </c>
      <c r="DO160" s="521"/>
    </row>
    <row r="161" spans="1:121" x14ac:dyDescent="0.2">
      <c r="A161" s="517" t="s">
        <v>79</v>
      </c>
      <c r="D161" s="362">
        <f>D141-D151</f>
        <v>35.200000000000017</v>
      </c>
      <c r="E161" s="558">
        <f t="shared" si="447"/>
        <v>4.2869321641700182</v>
      </c>
      <c r="F161" s="520"/>
      <c r="H161" s="362">
        <f>H141-H151</f>
        <v>49.868999999999993</v>
      </c>
      <c r="I161" s="558">
        <f t="shared" si="448"/>
        <v>5.399847973960668</v>
      </c>
      <c r="J161" s="520">
        <f t="shared" si="449"/>
        <v>41.673295454545368</v>
      </c>
      <c r="L161" s="362">
        <f>L141-L151</f>
        <v>41.652999999999992</v>
      </c>
      <c r="M161" s="558">
        <f t="shared" si="450"/>
        <v>4.2786456006056435</v>
      </c>
      <c r="N161" s="520">
        <f t="shared" si="451"/>
        <v>-16.475164932122166</v>
      </c>
      <c r="P161" s="362">
        <f>P141-P151</f>
        <v>42.65100000000001</v>
      </c>
      <c r="Q161" s="558">
        <f t="shared" si="452"/>
        <v>4.1037606500435393</v>
      </c>
      <c r="R161" s="520">
        <f t="shared" si="453"/>
        <v>2.3959858833698</v>
      </c>
      <c r="T161" s="362">
        <f>T141-T151</f>
        <v>63.022999999999968</v>
      </c>
      <c r="U161" s="558">
        <f t="shared" si="454"/>
        <v>5.7154128332207268</v>
      </c>
      <c r="V161" s="520">
        <f t="shared" si="455"/>
        <v>47.764413495580293</v>
      </c>
      <c r="X161" s="362">
        <f>X141-X151</f>
        <v>53.864000000000033</v>
      </c>
      <c r="Y161" s="558">
        <f t="shared" si="456"/>
        <v>4.5712345914751902</v>
      </c>
      <c r="Z161" s="520">
        <f t="shared" si="457"/>
        <v>-14.532789616489127</v>
      </c>
      <c r="AB161" s="362">
        <f>AB141-AB151</f>
        <v>44.780999999999878</v>
      </c>
      <c r="AC161" s="558">
        <f t="shared" si="458"/>
        <v>3.5118551874385271</v>
      </c>
      <c r="AD161" s="520">
        <f t="shared" si="459"/>
        <v>-16.862839744542089</v>
      </c>
      <c r="AF161" s="362">
        <f>AF141-AF151</f>
        <v>58.585999999999991</v>
      </c>
      <c r="AG161" s="558">
        <f t="shared" si="460"/>
        <v>4.2459592145562484</v>
      </c>
      <c r="AH161" s="520">
        <f t="shared" si="461"/>
        <v>30.827806435765503</v>
      </c>
      <c r="AJ161" s="362">
        <f>AJ141-AJ151</f>
        <v>69.193944000000073</v>
      </c>
      <c r="AK161" s="558">
        <f t="shared" si="462"/>
        <v>4.6915315190705114</v>
      </c>
      <c r="AL161" s="558">
        <f t="shared" si="462"/>
        <v>68.095929427880463</v>
      </c>
      <c r="AM161" s="520">
        <f t="shared" si="463"/>
        <v>10.494031666312885</v>
      </c>
      <c r="AN161" s="362">
        <f>AN141-AN151</f>
        <v>70.839000000000141</v>
      </c>
      <c r="AO161" s="558">
        <f t="shared" si="464"/>
        <v>4.8340407528217266</v>
      </c>
      <c r="AP161" s="520">
        <f t="shared" si="465"/>
        <v>2.377456616723661</v>
      </c>
      <c r="AR161" s="362">
        <f>AR141-AR151</f>
        <v>45.371108999999961</v>
      </c>
      <c r="AS161" s="558">
        <f t="shared" si="466"/>
        <v>3.0449019105168329</v>
      </c>
      <c r="AT161" s="520">
        <f t="shared" si="467"/>
        <v>-35.95179350357872</v>
      </c>
      <c r="AV161" s="362">
        <f>AV141-AV151</f>
        <v>38.699000000000083</v>
      </c>
      <c r="AW161" s="558">
        <f t="shared" si="468"/>
        <v>2.4475579760512649</v>
      </c>
      <c r="AX161" s="520">
        <f t="shared" si="469"/>
        <v>-14.705633490245706</v>
      </c>
      <c r="AZ161" s="362">
        <f>AZ141-AZ151</f>
        <v>35.992999999999817</v>
      </c>
      <c r="BA161" s="558">
        <f t="shared" si="470"/>
        <v>2.1286687496192678</v>
      </c>
      <c r="BB161" s="520">
        <f t="shared" si="471"/>
        <v>-6.9924287449294802</v>
      </c>
      <c r="BD161" s="362">
        <f>BD141-BD151</f>
        <v>65.846999999999753</v>
      </c>
      <c r="BE161" s="558">
        <f t="shared" si="472"/>
        <v>3.6162165457270272</v>
      </c>
      <c r="BF161" s="520">
        <f t="shared" si="473"/>
        <v>82.943905759453472</v>
      </c>
      <c r="BH161" s="362">
        <f>BH141-BH151</f>
        <v>106.91499999999996</v>
      </c>
      <c r="BI161" s="558">
        <f t="shared" si="474"/>
        <v>5.355169743578954</v>
      </c>
      <c r="BJ161" s="520">
        <f t="shared" si="475"/>
        <v>62.368824699683145</v>
      </c>
      <c r="BL161" s="362">
        <f>BL141-BL151</f>
        <v>148.91799999999978</v>
      </c>
      <c r="BM161" s="558">
        <f t="shared" si="476"/>
        <v>6.9218855744702905</v>
      </c>
      <c r="BN161" s="520">
        <f t="shared" si="477"/>
        <v>39.286348968806827</v>
      </c>
      <c r="BP161" s="362">
        <f>BP141-BP151</f>
        <v>178.75399999999996</v>
      </c>
      <c r="BQ161" s="558">
        <f t="shared" si="478"/>
        <v>7.6675049617834352</v>
      </c>
      <c r="BR161" s="520">
        <f t="shared" si="479"/>
        <v>20.035187149975297</v>
      </c>
      <c r="BT161" s="362">
        <f>BT141-BT151</f>
        <v>180.56399999999979</v>
      </c>
      <c r="BU161" s="558">
        <f t="shared" si="480"/>
        <v>7.3405550175744922</v>
      </c>
      <c r="BV161" s="520">
        <f t="shared" si="481"/>
        <v>1.0125647537956306</v>
      </c>
      <c r="BX161" s="362">
        <f>BX141-BX151</f>
        <v>143</v>
      </c>
      <c r="BY161" s="558">
        <f t="shared" si="482"/>
        <v>6.0618906316235694</v>
      </c>
      <c r="BZ161" s="520">
        <f t="shared" si="483"/>
        <v>-20.803703949845954</v>
      </c>
      <c r="CB161" s="362">
        <f>CB141-CB151</f>
        <v>105</v>
      </c>
      <c r="CC161" s="558">
        <f t="shared" si="484"/>
        <v>4.704301075268817</v>
      </c>
      <c r="CD161" s="520">
        <f t="shared" si="485"/>
        <v>-26.573426573426573</v>
      </c>
      <c r="CF161" s="362">
        <f>CF141-CF151</f>
        <v>146</v>
      </c>
      <c r="CG161" s="558">
        <f t="shared" si="486"/>
        <v>5.8051689860834994</v>
      </c>
      <c r="CH161" s="520">
        <f t="shared" si="487"/>
        <v>39.047619047619044</v>
      </c>
      <c r="CJ161" s="362">
        <f>CJ141-CJ151</f>
        <v>175</v>
      </c>
      <c r="CK161" s="558">
        <f t="shared" si="488"/>
        <v>6.2277580071174379</v>
      </c>
      <c r="CL161" s="520">
        <f t="shared" si="489"/>
        <v>19.863013698630127</v>
      </c>
      <c r="CN161" s="362">
        <f>CN141-CN151</f>
        <v>156</v>
      </c>
      <c r="CO161" s="558">
        <f t="shared" si="490"/>
        <v>5.1896207584830334</v>
      </c>
      <c r="CP161" s="521">
        <f t="shared" si="491"/>
        <v>-10.857142857142854</v>
      </c>
      <c r="CR161" s="362">
        <f>CR141-CR151</f>
        <v>184</v>
      </c>
      <c r="CS161" s="558">
        <f t="shared" si="492"/>
        <v>5.7571964956195245</v>
      </c>
      <c r="CT161" s="521">
        <f t="shared" si="493"/>
        <v>17.948717948717952</v>
      </c>
      <c r="CV161" s="362">
        <f>CV141-CV151</f>
        <v>183</v>
      </c>
      <c r="CW161" s="558">
        <f t="shared" si="494"/>
        <v>5.3950471698113205</v>
      </c>
      <c r="CX161" s="521">
        <f t="shared" si="495"/>
        <v>-0.54347826086956763</v>
      </c>
      <c r="CZ161" s="362">
        <f>CZ141-CZ151</f>
        <v>180.74</v>
      </c>
      <c r="DA161" s="558">
        <f t="shared" si="496"/>
        <v>4.8835449878411241</v>
      </c>
      <c r="DB161" s="521">
        <f t="shared" si="497"/>
        <v>-1.2349726775956249</v>
      </c>
      <c r="DD161" s="362">
        <f>DD141-DD151</f>
        <v>117</v>
      </c>
      <c r="DE161" s="558">
        <f t="shared" si="498"/>
        <v>3.2046014790468362</v>
      </c>
      <c r="DF161" s="521">
        <f t="shared" si="499"/>
        <v>-35.266128139869423</v>
      </c>
      <c r="DH161" s="362">
        <f>DH141-DH151</f>
        <v>110</v>
      </c>
      <c r="DI161" s="558">
        <f t="shared" si="500"/>
        <v>2.9000790930661746</v>
      </c>
      <c r="DJ161" s="521">
        <f t="shared" si="501"/>
        <v>-5.9829059829059839</v>
      </c>
      <c r="DL161" s="362">
        <f>DL141-DL151</f>
        <v>116.42999892594057</v>
      </c>
      <c r="DM161" s="558">
        <f t="shared" si="502"/>
        <v>2.8490612319422932</v>
      </c>
      <c r="DN161" s="521">
        <f t="shared" si="503"/>
        <v>5.8454535690368736</v>
      </c>
      <c r="DO161" s="521"/>
    </row>
    <row r="162" spans="1:121" x14ac:dyDescent="0.2">
      <c r="A162" s="517" t="s">
        <v>80</v>
      </c>
      <c r="D162" s="362">
        <f>D142-D152</f>
        <v>20.39999999999992</v>
      </c>
      <c r="E162" s="558">
        <f t="shared" si="447"/>
        <v>3.1083346030778487</v>
      </c>
      <c r="F162" s="520"/>
      <c r="H162" s="362">
        <f>H142-H152</f>
        <v>19.429999999999971</v>
      </c>
      <c r="I162" s="558">
        <f t="shared" si="448"/>
        <v>2.7346169002983691</v>
      </c>
      <c r="J162" s="520">
        <f t="shared" si="449"/>
        <v>-4.7549019607840854</v>
      </c>
      <c r="L162" s="362">
        <f>L142-L152</f>
        <v>23.429000000000055</v>
      </c>
      <c r="M162" s="558">
        <f t="shared" si="450"/>
        <v>3.081676461458335</v>
      </c>
      <c r="N162" s="520">
        <f t="shared" si="451"/>
        <v>20.581574884200158</v>
      </c>
      <c r="P162" s="362">
        <f>P142-P152</f>
        <v>25.456000000000017</v>
      </c>
      <c r="Q162" s="558">
        <f t="shared" si="452"/>
        <v>3.21401561302525</v>
      </c>
      <c r="R162" s="520">
        <f t="shared" si="453"/>
        <v>8.6516710060180024</v>
      </c>
      <c r="T162" s="362">
        <f>T142-T152</f>
        <v>38.078999999999908</v>
      </c>
      <c r="U162" s="558">
        <f t="shared" si="454"/>
        <v>4.295901525604032</v>
      </c>
      <c r="V162" s="520">
        <f t="shared" si="455"/>
        <v>49.587523570081245</v>
      </c>
      <c r="X162" s="362">
        <f>X142-X152</f>
        <v>29.441999999999958</v>
      </c>
      <c r="Y162" s="558">
        <f t="shared" si="456"/>
        <v>3.1347054545919102</v>
      </c>
      <c r="Z162" s="520">
        <f t="shared" si="457"/>
        <v>-22.681793114314896</v>
      </c>
      <c r="AB162" s="362">
        <f>AB142-AB152</f>
        <v>34.036000000000058</v>
      </c>
      <c r="AC162" s="558">
        <f t="shared" si="458"/>
        <v>3.3404357013236763</v>
      </c>
      <c r="AD162" s="520">
        <f t="shared" si="459"/>
        <v>15.603559540792421</v>
      </c>
      <c r="AF162" s="362">
        <f>AF142-AF152</f>
        <v>36.145000000000202</v>
      </c>
      <c r="AG162" s="558">
        <f t="shared" si="460"/>
        <v>3.2342261569215034</v>
      </c>
      <c r="AH162" s="520">
        <f t="shared" si="461"/>
        <v>6.1963803032087705</v>
      </c>
      <c r="AJ162" s="362">
        <f>AJ142-AJ152</f>
        <v>390.35609999999991</v>
      </c>
      <c r="AK162" s="558">
        <f t="shared" si="462"/>
        <v>26.502228908873406</v>
      </c>
      <c r="AL162" s="558">
        <f t="shared" si="462"/>
        <v>83.352023356562626</v>
      </c>
      <c r="AM162" s="520">
        <f t="shared" si="463"/>
        <v>719.43029407997676</v>
      </c>
      <c r="AN162" s="362">
        <f>AN142-AN152</f>
        <v>33.570129999999985</v>
      </c>
      <c r="AO162" s="558">
        <f t="shared" si="464"/>
        <v>2.9521233748874365</v>
      </c>
      <c r="AP162" s="520">
        <f t="shared" si="465"/>
        <v>-91.400126704821574</v>
      </c>
      <c r="AR162" s="362">
        <f>AR142-AR152</f>
        <v>-20.553985000000146</v>
      </c>
      <c r="AS162" s="558">
        <f t="shared" si="466"/>
        <v>-1.5818204416232988</v>
      </c>
      <c r="AT162" s="520">
        <f t="shared" si="467"/>
        <v>-161.22700448285471</v>
      </c>
      <c r="AV162" s="362">
        <f>AV142-AV152</f>
        <v>10.494999999999996</v>
      </c>
      <c r="AW162" s="558">
        <f t="shared" si="468"/>
        <v>0.82536541785746265</v>
      </c>
      <c r="AX162" s="520">
        <f t="shared" si="469"/>
        <v>-151.06065806703626</v>
      </c>
      <c r="AZ162" s="362">
        <f>AZ142-AZ152</f>
        <v>18.42700000000012</v>
      </c>
      <c r="BA162" s="558">
        <f t="shared" si="470"/>
        <v>1.3567151398866388</v>
      </c>
      <c r="BB162" s="520">
        <f t="shared" si="471"/>
        <v>75.57884707003457</v>
      </c>
      <c r="BD162" s="362">
        <f>BD142-BD152</f>
        <v>45.494999999999955</v>
      </c>
      <c r="BE162" s="558">
        <f t="shared" si="472"/>
        <v>3.133963777041155</v>
      </c>
      <c r="BF162" s="520">
        <f t="shared" si="473"/>
        <v>146.89314592717025</v>
      </c>
      <c r="BH162" s="362">
        <f>BH142-BH152</f>
        <v>77.852999999999895</v>
      </c>
      <c r="BI162" s="558">
        <f t="shared" si="474"/>
        <v>4.9053619809715769</v>
      </c>
      <c r="BJ162" s="520">
        <f t="shared" si="475"/>
        <v>71.124299373557463</v>
      </c>
      <c r="BL162" s="362">
        <f>BL142-BL152</f>
        <v>107.36730759698666</v>
      </c>
      <c r="BM162" s="558">
        <f t="shared" si="476"/>
        <v>6.2665134150632777</v>
      </c>
      <c r="BN162" s="520">
        <f t="shared" si="477"/>
        <v>37.910302232395424</v>
      </c>
      <c r="BP162" s="362">
        <f>BP142-BP152</f>
        <v>135.67299999999994</v>
      </c>
      <c r="BQ162" s="558">
        <f t="shared" si="478"/>
        <v>7.0263324981537281</v>
      </c>
      <c r="BR162" s="520">
        <f t="shared" si="479"/>
        <v>26.363418284885533</v>
      </c>
      <c r="BT162" s="362">
        <f>BT142-BT152</f>
        <v>165.35599999999988</v>
      </c>
      <c r="BU162" s="558">
        <f t="shared" si="480"/>
        <v>8.108774763721275</v>
      </c>
      <c r="BV162" s="520">
        <f t="shared" si="481"/>
        <v>21.87833983180143</v>
      </c>
      <c r="BX162" s="362">
        <f>BX142-BX152</f>
        <v>72.317000000000036</v>
      </c>
      <c r="BY162" s="558">
        <f t="shared" si="482"/>
        <v>3.8101685985247649</v>
      </c>
      <c r="BZ162" s="520">
        <f t="shared" si="483"/>
        <v>-56.265874839739659</v>
      </c>
      <c r="CB162" s="362">
        <f>CB142-CB152</f>
        <v>83</v>
      </c>
      <c r="CC162" s="558">
        <f t="shared" si="484"/>
        <v>4.2282221090168113</v>
      </c>
      <c r="CD162" s="520">
        <f t="shared" si="485"/>
        <v>14.77246014076905</v>
      </c>
      <c r="CF162" s="362">
        <f>CF142-CF152</f>
        <v>119</v>
      </c>
      <c r="CG162" s="558">
        <f t="shared" si="486"/>
        <v>5.4537121906507791</v>
      </c>
      <c r="CH162" s="520">
        <f t="shared" si="487"/>
        <v>43.373493975903621</v>
      </c>
      <c r="CJ162" s="362">
        <f>CJ142-CJ152</f>
        <v>127</v>
      </c>
      <c r="CK162" s="558">
        <f t="shared" si="488"/>
        <v>5.125100887812752</v>
      </c>
      <c r="CL162" s="520">
        <f t="shared" si="489"/>
        <v>6.7226890756302504</v>
      </c>
      <c r="CN162" s="362">
        <f>CN142-CN152</f>
        <v>146</v>
      </c>
      <c r="CO162" s="558">
        <f t="shared" si="490"/>
        <v>5.2049910873440286</v>
      </c>
      <c r="CP162" s="521">
        <f t="shared" si="491"/>
        <v>14.960629921259837</v>
      </c>
      <c r="CR162" s="362">
        <f>CR142-CR152</f>
        <v>137</v>
      </c>
      <c r="CS162" s="558">
        <f t="shared" si="492"/>
        <v>4.7503467406380029</v>
      </c>
      <c r="CT162" s="521">
        <f t="shared" si="493"/>
        <v>-6.164383561643838</v>
      </c>
      <c r="CV162" s="362">
        <f>CV142-CV152</f>
        <v>142</v>
      </c>
      <c r="CW162" s="558">
        <f t="shared" si="494"/>
        <v>4.5222929936305727</v>
      </c>
      <c r="CX162" s="521">
        <f t="shared" si="495"/>
        <v>3.649635036496357</v>
      </c>
      <c r="CZ162" s="362">
        <f>CZ142-CZ152</f>
        <v>109</v>
      </c>
      <c r="DA162" s="558">
        <f t="shared" si="496"/>
        <v>3.2762248271716263</v>
      </c>
      <c r="DB162" s="521">
        <f t="shared" si="497"/>
        <v>-23.239436619718312</v>
      </c>
      <c r="DD162" s="362">
        <f>DD142-DD152</f>
        <v>-10.039999999999992</v>
      </c>
      <c r="DE162" s="558">
        <f t="shared" si="498"/>
        <v>-0.28345567476002237</v>
      </c>
      <c r="DF162" s="521">
        <f t="shared" si="499"/>
        <v>-109.21100917431193</v>
      </c>
      <c r="DH162" s="362">
        <f>DH142-DH152</f>
        <v>114</v>
      </c>
      <c r="DI162" s="558">
        <f t="shared" si="500"/>
        <v>3.1413612565445024</v>
      </c>
      <c r="DJ162" s="521">
        <f t="shared" si="501"/>
        <v>-1235.4581673306782</v>
      </c>
      <c r="DL162" s="362">
        <f>DL142-DL152</f>
        <v>125.96539832166646</v>
      </c>
      <c r="DM162" s="558">
        <f t="shared" si="502"/>
        <v>3.4414647305963442</v>
      </c>
      <c r="DN162" s="521">
        <f t="shared" si="503"/>
        <v>10.495963440058297</v>
      </c>
      <c r="DO162" s="521"/>
    </row>
    <row r="163" spans="1:121" x14ac:dyDescent="0.2">
      <c r="A163" s="517" t="s">
        <v>81</v>
      </c>
      <c r="D163" s="556">
        <f>D143-D153</f>
        <v>47.016000000000105</v>
      </c>
      <c r="E163" s="558">
        <f t="shared" si="447"/>
        <v>5.0802624413267408</v>
      </c>
      <c r="F163" s="520"/>
      <c r="H163" s="556">
        <f>H143-H153</f>
        <v>40.859000000000066</v>
      </c>
      <c r="I163" s="558">
        <f t="shared" si="448"/>
        <v>4.0824503294716026</v>
      </c>
      <c r="J163" s="520">
        <f t="shared" si="449"/>
        <v>-13.095541943168332</v>
      </c>
      <c r="L163" s="556">
        <f>L143-L153</f>
        <v>49.954999999999856</v>
      </c>
      <c r="M163" s="558">
        <f t="shared" si="450"/>
        <v>4.5693488209149908</v>
      </c>
      <c r="N163" s="520">
        <f t="shared" si="451"/>
        <v>22.261925157247543</v>
      </c>
      <c r="P163" s="556">
        <f>P143-P153</f>
        <v>61.015999999999948</v>
      </c>
      <c r="Q163" s="558">
        <f t="shared" si="452"/>
        <v>5.4089848933867186</v>
      </c>
      <c r="R163" s="520">
        <f t="shared" si="453"/>
        <v>22.141927734961708</v>
      </c>
      <c r="T163" s="556">
        <f>T143-T153</f>
        <v>69.882999999999925</v>
      </c>
      <c r="U163" s="558">
        <f t="shared" si="454"/>
        <v>5.7549080967125574</v>
      </c>
      <c r="V163" s="520">
        <f t="shared" si="455"/>
        <v>14.532253835059628</v>
      </c>
      <c r="X163" s="556">
        <f>X143-X153</f>
        <v>54.127999999999822</v>
      </c>
      <c r="Y163" s="558">
        <f t="shared" si="456"/>
        <v>4.2479320682456585</v>
      </c>
      <c r="Z163" s="520">
        <f t="shared" si="457"/>
        <v>-22.544824921654939</v>
      </c>
      <c r="AB163" s="556">
        <f>AB143-AB153</f>
        <v>42.791000000000011</v>
      </c>
      <c r="AC163" s="558">
        <f t="shared" si="458"/>
        <v>3.1745407632221849</v>
      </c>
      <c r="AD163" s="520">
        <f t="shared" si="459"/>
        <v>-20.944797516996474</v>
      </c>
      <c r="AF163" s="556">
        <f>AF143-AF153</f>
        <v>59.104997999999995</v>
      </c>
      <c r="AG163" s="558">
        <f t="shared" si="460"/>
        <v>3.9904452109592259</v>
      </c>
      <c r="AH163" s="520">
        <f t="shared" si="461"/>
        <v>38.124834661494191</v>
      </c>
      <c r="AJ163" s="556">
        <f>AJ143-AJ153</f>
        <v>66.601836999999904</v>
      </c>
      <c r="AK163" s="558">
        <f t="shared" si="462"/>
        <v>4.5359736375938695</v>
      </c>
      <c r="AL163" s="558">
        <f t="shared" si="462"/>
        <v>-522.43517270446534</v>
      </c>
      <c r="AM163" s="520">
        <f t="shared" si="463"/>
        <v>13.67086622656597</v>
      </c>
      <c r="AN163" s="556">
        <f>AN143-AN153</f>
        <v>48.488000000000198</v>
      </c>
      <c r="AO163" s="558">
        <f t="shared" si="464"/>
        <v>3.051131368925263</v>
      </c>
      <c r="AP163" s="520">
        <f t="shared" si="465"/>
        <v>-27.197203284347449</v>
      </c>
      <c r="AR163" s="556">
        <f>AR143-AR153</f>
        <v>27.04799999999975</v>
      </c>
      <c r="AS163" s="558">
        <f t="shared" si="466"/>
        <v>1.6050872864126438</v>
      </c>
      <c r="AT163" s="520">
        <f t="shared" si="467"/>
        <v>-44.217125886818096</v>
      </c>
      <c r="AV163" s="556">
        <f>AV143-AV153</f>
        <v>50.738999999999912</v>
      </c>
      <c r="AW163" s="558">
        <f t="shared" si="468"/>
        <v>3.0563085041020588</v>
      </c>
      <c r="AX163" s="520">
        <f t="shared" si="469"/>
        <v>87.588731144633172</v>
      </c>
      <c r="AZ163" s="556">
        <f>AZ143-AZ153</f>
        <v>60.034000000000063</v>
      </c>
      <c r="BA163" s="558">
        <f t="shared" si="470"/>
        <v>3.3577715234306869</v>
      </c>
      <c r="BB163" s="520">
        <f t="shared" si="471"/>
        <v>18.319241609019031</v>
      </c>
      <c r="BD163" s="556">
        <f>BD143-BD153</f>
        <v>104.39199999999998</v>
      </c>
      <c r="BE163" s="558">
        <f t="shared" si="472"/>
        <v>5.3261197315715645</v>
      </c>
      <c r="BF163" s="520">
        <f t="shared" si="473"/>
        <v>73.888130059632658</v>
      </c>
      <c r="BH163" s="556">
        <f>BH143-BH153</f>
        <v>139.9799999999999</v>
      </c>
      <c r="BI163" s="558">
        <f t="shared" si="474"/>
        <v>6.5234533012457812</v>
      </c>
      <c r="BJ163" s="520">
        <f t="shared" si="475"/>
        <v>34.090734922216193</v>
      </c>
      <c r="BL163" s="556">
        <f>BL143-BL153</f>
        <v>190.35691016133228</v>
      </c>
      <c r="BM163" s="558">
        <f t="shared" si="476"/>
        <v>8.0762303197592651</v>
      </c>
      <c r="BN163" s="520">
        <f t="shared" si="477"/>
        <v>35.988648493593665</v>
      </c>
      <c r="BP163" s="556">
        <f>BP143-BP153</f>
        <v>232.34099999999978</v>
      </c>
      <c r="BQ163" s="558">
        <f t="shared" si="478"/>
        <v>8.6182421517544388</v>
      </c>
      <c r="BR163" s="520">
        <f t="shared" si="479"/>
        <v>22.055458771149894</v>
      </c>
      <c r="BT163" s="556">
        <f>BT143-BT153</f>
        <v>212</v>
      </c>
      <c r="BU163" s="558">
        <f t="shared" si="480"/>
        <v>8.185328185328185</v>
      </c>
      <c r="BV163" s="520">
        <f t="shared" si="481"/>
        <v>-8.7548043608316242</v>
      </c>
      <c r="BX163" s="556">
        <f>BX143-BX153</f>
        <v>68</v>
      </c>
      <c r="BY163" s="558">
        <f t="shared" si="482"/>
        <v>2.8439983270598077</v>
      </c>
      <c r="BZ163" s="520">
        <f t="shared" si="483"/>
        <v>-67.924528301886795</v>
      </c>
      <c r="CB163" s="556">
        <f>CB143-CB153</f>
        <v>172</v>
      </c>
      <c r="CC163" s="558">
        <f t="shared" si="484"/>
        <v>6.5151515151515156</v>
      </c>
      <c r="CD163" s="520">
        <f t="shared" si="485"/>
        <v>152.94117647058823</v>
      </c>
      <c r="CF163" s="556">
        <f>CF143-CF153</f>
        <v>232</v>
      </c>
      <c r="CG163" s="558">
        <f t="shared" si="486"/>
        <v>7.9561042524005492</v>
      </c>
      <c r="CH163" s="520">
        <f t="shared" si="487"/>
        <v>34.883720930232556</v>
      </c>
      <c r="CJ163" s="556">
        <f>CJ143-CJ153</f>
        <v>236</v>
      </c>
      <c r="CK163" s="558">
        <f t="shared" si="488"/>
        <v>7.2259644825474592</v>
      </c>
      <c r="CL163" s="520">
        <f t="shared" si="489"/>
        <v>1.7241379310344751</v>
      </c>
      <c r="CN163" s="556">
        <f>CN143-CN153</f>
        <v>284</v>
      </c>
      <c r="CO163" s="558">
        <f t="shared" si="490"/>
        <v>7.679826933477556</v>
      </c>
      <c r="CP163" s="521">
        <f t="shared" si="491"/>
        <v>20.338983050847446</v>
      </c>
      <c r="CR163" s="556">
        <f>CR143-CR153</f>
        <v>268</v>
      </c>
      <c r="CS163" s="558">
        <f t="shared" si="492"/>
        <v>7.221773106979251</v>
      </c>
      <c r="CT163" s="521">
        <f t="shared" si="493"/>
        <v>-5.6338028169014116</v>
      </c>
      <c r="CV163" s="556">
        <f>CV143-CV153</f>
        <v>255.5</v>
      </c>
      <c r="CW163" s="558">
        <f t="shared" si="494"/>
        <v>6.3195646796932969</v>
      </c>
      <c r="CX163" s="521">
        <f t="shared" si="495"/>
        <v>-4.6641791044776166</v>
      </c>
      <c r="CZ163" s="556">
        <f>CZ143-CZ153</f>
        <v>212</v>
      </c>
      <c r="DA163" s="558">
        <f t="shared" si="496"/>
        <v>5.0548402479732957</v>
      </c>
      <c r="DB163" s="521">
        <f t="shared" si="497"/>
        <v>-17.025440313111552</v>
      </c>
      <c r="DD163" s="556">
        <f>DD143-DD153</f>
        <v>201.2</v>
      </c>
      <c r="DE163" s="558">
        <f t="shared" si="498"/>
        <v>4.6617238183503238</v>
      </c>
      <c r="DF163" s="521">
        <f t="shared" si="499"/>
        <v>-5.0943396226415194</v>
      </c>
      <c r="DH163" s="556">
        <f>DH143-DH153</f>
        <v>150.35</v>
      </c>
      <c r="DI163" s="558">
        <f t="shared" si="500"/>
        <v>3.1975754997873245</v>
      </c>
      <c r="DJ163" s="521">
        <f t="shared" si="501"/>
        <v>-25.273359840954267</v>
      </c>
      <c r="DL163" s="556">
        <f>DL143-DL153</f>
        <v>226.04326331967204</v>
      </c>
      <c r="DM163" s="558">
        <f t="shared" si="502"/>
        <v>5.0710305110146718</v>
      </c>
      <c r="DN163" s="521">
        <f t="shared" si="503"/>
        <v>50.344704569120083</v>
      </c>
      <c r="DO163" s="521"/>
    </row>
    <row r="164" spans="1:121" x14ac:dyDescent="0.2">
      <c r="A164" s="517" t="s">
        <v>82</v>
      </c>
      <c r="D164" s="256">
        <f>D144-D154</f>
        <v>115.8160000000001</v>
      </c>
      <c r="E164" s="558">
        <f t="shared" si="447"/>
        <v>3.8883166519168331</v>
      </c>
      <c r="F164" s="520"/>
      <c r="H164" s="256">
        <f>H144-H154</f>
        <v>135.815</v>
      </c>
      <c r="I164" s="558">
        <f t="shared" si="448"/>
        <v>4.1568432048476041</v>
      </c>
      <c r="J164" s="520">
        <f t="shared" si="449"/>
        <v>17.267907715686846</v>
      </c>
      <c r="L164" s="256">
        <f>L144-L154</f>
        <v>136.61899999999986</v>
      </c>
      <c r="M164" s="558">
        <f t="shared" si="450"/>
        <v>3.8870532750982325</v>
      </c>
      <c r="N164" s="520">
        <f t="shared" si="451"/>
        <v>0.59198173986663161</v>
      </c>
      <c r="P164" s="256">
        <f>P144-P154</f>
        <v>140.41799999999995</v>
      </c>
      <c r="Q164" s="558">
        <f t="shared" si="452"/>
        <v>3.8173174712045586</v>
      </c>
      <c r="R164" s="520">
        <f t="shared" si="453"/>
        <v>2.7807259605180157</v>
      </c>
      <c r="T164" s="256">
        <f>T144-T154</f>
        <v>202.95799999999986</v>
      </c>
      <c r="U164" s="558">
        <f t="shared" si="454"/>
        <v>5.0877862346651685</v>
      </c>
      <c r="V164" s="520">
        <f t="shared" si="455"/>
        <v>44.538449486533004</v>
      </c>
      <c r="X164" s="256">
        <f>X144-X154</f>
        <v>165.11099999999968</v>
      </c>
      <c r="Y164" s="558">
        <f t="shared" si="456"/>
        <v>3.8953713048931116</v>
      </c>
      <c r="Z164" s="520">
        <f t="shared" si="457"/>
        <v>-18.647700509465114</v>
      </c>
      <c r="AB164" s="256">
        <f>AB144-AB154</f>
        <v>147.50500000000005</v>
      </c>
      <c r="AC164" s="558">
        <f t="shared" si="458"/>
        <v>3.2188536817637075</v>
      </c>
      <c r="AD164" s="520">
        <f t="shared" si="459"/>
        <v>-10.663129652173176</v>
      </c>
      <c r="AF164" s="256">
        <f>AF144-AF154</f>
        <v>186.18499800000018</v>
      </c>
      <c r="AG164" s="558">
        <f t="shared" si="460"/>
        <v>3.7535746607247114</v>
      </c>
      <c r="AH164" s="520">
        <f t="shared" si="461"/>
        <v>26.222838547845907</v>
      </c>
      <c r="AJ164" s="256">
        <f>AJ144-AJ154</f>
        <v>558.48888099999976</v>
      </c>
      <c r="AK164" s="558">
        <f>AJ164/AJ34*100</f>
        <v>10.87606089469017</v>
      </c>
      <c r="AL164" s="558">
        <f>AK164/AK14*100</f>
        <v>299.35755087277221</v>
      </c>
      <c r="AM164" s="520">
        <f t="shared" si="463"/>
        <v>189.75208641754588</v>
      </c>
      <c r="AN164" s="256">
        <f>AN144-AN154</f>
        <v>202.0510000000001</v>
      </c>
      <c r="AO164" s="558">
        <f t="shared" si="464"/>
        <v>3.8370551919818965</v>
      </c>
      <c r="AP164" s="520">
        <f t="shared" si="465"/>
        <v>-63.821840170171583</v>
      </c>
      <c r="AR164" s="256">
        <f>AR144-AR154</f>
        <v>101.918000000001</v>
      </c>
      <c r="AS164" s="558">
        <f t="shared" si="466"/>
        <v>1.8009459746247705</v>
      </c>
      <c r="AT164" s="520">
        <f t="shared" si="467"/>
        <v>-49.558279840237887</v>
      </c>
      <c r="AV164" s="256">
        <f>AV144-AV154</f>
        <v>124.68799999999996</v>
      </c>
      <c r="AW164" s="558">
        <f t="shared" si="468"/>
        <v>2.1617123380293402</v>
      </c>
      <c r="AX164" s="520">
        <f t="shared" si="469"/>
        <v>22.341490217624703</v>
      </c>
      <c r="AZ164" s="256">
        <f>AZ144-AZ154</f>
        <v>90.240999999999701</v>
      </c>
      <c r="BA164" s="558">
        <f t="shared" si="470"/>
        <v>1.4832645594264857</v>
      </c>
      <c r="BB164" s="520">
        <f t="shared" si="471"/>
        <v>-27.626555883485395</v>
      </c>
      <c r="BD164" s="256">
        <f>BD144-BD154</f>
        <v>242.88899999999967</v>
      </c>
      <c r="BE164" s="558">
        <f t="shared" si="472"/>
        <v>3.6780955778778455</v>
      </c>
      <c r="BF164" s="520">
        <f t="shared" si="473"/>
        <v>169.15592690683889</v>
      </c>
      <c r="BH164" s="256">
        <f>BH144-BH154</f>
        <v>393.47499999999985</v>
      </c>
      <c r="BI164" s="558">
        <f t="shared" si="474"/>
        <v>5.3868548283866255</v>
      </c>
      <c r="BJ164" s="520">
        <f t="shared" si="475"/>
        <v>61.997867338578686</v>
      </c>
      <c r="BL164" s="256">
        <f>BL144-BL154</f>
        <v>551.18021775831869</v>
      </c>
      <c r="BM164" s="558">
        <f t="shared" si="476"/>
        <v>6.9602548837603129</v>
      </c>
      <c r="BN164" s="520">
        <f t="shared" si="477"/>
        <v>40.080111254417417</v>
      </c>
      <c r="BP164" s="256">
        <f>BP144-BP154</f>
        <v>677.99899999999957</v>
      </c>
      <c r="BQ164" s="558">
        <f t="shared" si="478"/>
        <v>7.7052144263192277</v>
      </c>
      <c r="BR164" s="520">
        <f t="shared" si="479"/>
        <v>23.008587419457839</v>
      </c>
      <c r="BT164" s="256">
        <f>BT144-BT154</f>
        <v>714.73099999999965</v>
      </c>
      <c r="BU164" s="558">
        <f t="shared" si="480"/>
        <v>7.8552571998821774</v>
      </c>
      <c r="BV164" s="520">
        <f t="shared" si="481"/>
        <v>5.4177071057627035</v>
      </c>
      <c r="BX164" s="256">
        <f>BX144-BX154</f>
        <v>402.31699999999995</v>
      </c>
      <c r="BY164" s="558">
        <f t="shared" si="482"/>
        <v>4.6797371175991618</v>
      </c>
      <c r="BZ164" s="520">
        <f t="shared" si="483"/>
        <v>-43.710710742922842</v>
      </c>
      <c r="CB164" s="256">
        <f>CB144-CB154</f>
        <v>441</v>
      </c>
      <c r="CC164" s="558">
        <f t="shared" si="484"/>
        <v>5.1118581198562651</v>
      </c>
      <c r="CD164" s="520">
        <f t="shared" si="485"/>
        <v>9.6150547950994092</v>
      </c>
      <c r="CF164" s="256">
        <f>CF144-CF154</f>
        <v>613</v>
      </c>
      <c r="CG164" s="558">
        <f t="shared" si="486"/>
        <v>6.3195876288659791</v>
      </c>
      <c r="CH164" s="520">
        <f t="shared" si="487"/>
        <v>39.002267573696138</v>
      </c>
      <c r="CJ164" s="256">
        <f>CJ144-CJ154</f>
        <v>683</v>
      </c>
      <c r="CK164" s="558">
        <f t="shared" si="488"/>
        <v>6.2793049554104989</v>
      </c>
      <c r="CL164" s="520">
        <f t="shared" si="489"/>
        <v>11.419249592169667</v>
      </c>
      <c r="CN164" s="256">
        <f>CN144-CN154</f>
        <v>735</v>
      </c>
      <c r="CO164" s="558">
        <f t="shared" si="490"/>
        <v>6.0573594857425412</v>
      </c>
      <c r="CP164" s="521">
        <f t="shared" si="491"/>
        <v>7.6134699853587007</v>
      </c>
      <c r="CR164" s="256">
        <f>CR144-CR154</f>
        <v>734</v>
      </c>
      <c r="CS164" s="558">
        <f t="shared" si="492"/>
        <v>5.8532695374800641</v>
      </c>
      <c r="CT164" s="521">
        <f t="shared" si="493"/>
        <v>-0.13605442176870541</v>
      </c>
      <c r="CV164" s="256">
        <f>CV144-CV154</f>
        <v>720.5</v>
      </c>
      <c r="CW164" s="558">
        <f t="shared" si="494"/>
        <v>5.3346660743373322</v>
      </c>
      <c r="CX164" s="521">
        <f t="shared" si="495"/>
        <v>-1.8392370572207106</v>
      </c>
      <c r="CZ164" s="256">
        <f>CZ144-CZ154</f>
        <v>629.74</v>
      </c>
      <c r="DA164" s="558">
        <f t="shared" si="496"/>
        <v>4.3619865623051881</v>
      </c>
      <c r="DB164" s="521">
        <f t="shared" si="497"/>
        <v>-12.596807772380291</v>
      </c>
      <c r="DD164" s="256">
        <f>DD144-DD154</f>
        <v>353.96000000000004</v>
      </c>
      <c r="DE164" s="558">
        <f t="shared" si="498"/>
        <v>2.39842797126982</v>
      </c>
      <c r="DF164" s="521">
        <f t="shared" si="499"/>
        <v>-43.79267634261759</v>
      </c>
      <c r="DH164" s="256">
        <f>DH144-DH154</f>
        <v>437.35</v>
      </c>
      <c r="DI164" s="558">
        <f t="shared" si="500"/>
        <v>2.8256234655640267</v>
      </c>
      <c r="DJ164" s="521">
        <f t="shared" si="501"/>
        <v>23.559159227031291</v>
      </c>
      <c r="DL164" s="256">
        <f>DL144-DL154</f>
        <v>538.53757308170225</v>
      </c>
      <c r="DM164" s="558">
        <f t="shared" si="502"/>
        <v>3.430363866959909</v>
      </c>
      <c r="DN164" s="521">
        <f t="shared" si="503"/>
        <v>23.136520654327697</v>
      </c>
      <c r="DO164" s="521"/>
    </row>
    <row r="165" spans="1:121" x14ac:dyDescent="0.2">
      <c r="A165" s="517" t="s">
        <v>281</v>
      </c>
      <c r="D165" s="362">
        <f>D160+D161</f>
        <v>48.400000000000077</v>
      </c>
      <c r="E165" s="540">
        <f t="shared" si="447"/>
        <v>3.4650630011454804</v>
      </c>
      <c r="F165" s="520"/>
      <c r="H165" s="362">
        <f>H160+H161</f>
        <v>75.525999999999954</v>
      </c>
      <c r="I165" s="540">
        <f t="shared" si="448"/>
        <v>4.854174245355412</v>
      </c>
      <c r="J165" s="520">
        <f t="shared" si="449"/>
        <v>56.045454545454199</v>
      </c>
      <c r="L165" s="362">
        <f>L160+L161</f>
        <v>63.234999999999943</v>
      </c>
      <c r="M165" s="540">
        <f t="shared" si="450"/>
        <v>3.8066130985776407</v>
      </c>
      <c r="N165" s="520">
        <f t="shared" si="451"/>
        <v>-16.273865953446521</v>
      </c>
      <c r="P165" s="362">
        <f>P160+P161</f>
        <v>53.945999999999998</v>
      </c>
      <c r="Q165" s="540">
        <f t="shared" si="452"/>
        <v>3.0679602153589092</v>
      </c>
      <c r="R165" s="520">
        <f t="shared" si="453"/>
        <v>-14.689649719300945</v>
      </c>
      <c r="T165" s="362">
        <f>T160+T161</f>
        <v>94.996000000000024</v>
      </c>
      <c r="U165" s="540">
        <f t="shared" si="454"/>
        <v>5.030504676183372</v>
      </c>
      <c r="V165" s="520">
        <f t="shared" si="455"/>
        <v>76.09461313165022</v>
      </c>
      <c r="X165" s="362">
        <f>X160+X161</f>
        <v>81.540999999999912</v>
      </c>
      <c r="Y165" s="540">
        <f t="shared" si="456"/>
        <v>4.0263203764173259</v>
      </c>
      <c r="Z165" s="520">
        <f t="shared" si="457"/>
        <v>-14.163754263337513</v>
      </c>
      <c r="AB165" s="362">
        <f>AB160+AB161</f>
        <v>70.677999999999969</v>
      </c>
      <c r="AC165" s="540">
        <f t="shared" si="458"/>
        <v>3.1899010687463885</v>
      </c>
      <c r="AD165" s="520">
        <f t="shared" si="459"/>
        <v>-13.322132424179189</v>
      </c>
      <c r="AF165" s="362">
        <f>AF160+AF161</f>
        <v>90.934999999999974</v>
      </c>
      <c r="AG165" s="540">
        <f t="shared" si="460"/>
        <v>3.8507891714631253</v>
      </c>
      <c r="AH165" s="520">
        <f t="shared" si="461"/>
        <v>28.660969467160946</v>
      </c>
      <c r="AJ165" s="362">
        <f>AJ160+AJ161</f>
        <v>101.53094399999998</v>
      </c>
      <c r="AK165" s="540">
        <f>AJ165/AJ35*100</f>
        <v>3.9886428644105805</v>
      </c>
      <c r="AL165" s="540">
        <f>(AK165/AK15)*100</f>
        <v>51.007810358460368</v>
      </c>
      <c r="AM165" s="520">
        <f t="shared" si="463"/>
        <v>3.5798815985315757</v>
      </c>
      <c r="AN165" s="362">
        <f>AN160+AN161</f>
        <v>102.37700000000015</v>
      </c>
      <c r="AO165" s="540">
        <f t="shared" si="464"/>
        <v>4.0438093500130607</v>
      </c>
      <c r="AP165" s="520">
        <f t="shared" si="465"/>
        <v>0.83329866410004616</v>
      </c>
      <c r="AR165" s="362">
        <f>AR160+AR161</f>
        <v>78.160108999999977</v>
      </c>
      <c r="AS165" s="540">
        <f t="shared" si="466"/>
        <v>2.9223025663209579</v>
      </c>
      <c r="AT165" s="520">
        <f t="shared" si="467"/>
        <v>-23.654620666751459</v>
      </c>
      <c r="AV165" s="362">
        <f>AV160+AV161</f>
        <v>63.45400000000005</v>
      </c>
      <c r="AW165" s="540">
        <f t="shared" si="468"/>
        <v>2.2371930972576473</v>
      </c>
      <c r="AX165" s="520">
        <f t="shared" si="469"/>
        <v>-18.815363985738465</v>
      </c>
      <c r="AZ165" s="362">
        <f>AZ160+AZ161</f>
        <v>38.138999999999903</v>
      </c>
      <c r="BA165" s="540">
        <f t="shared" si="470"/>
        <v>1.2841699512514386</v>
      </c>
      <c r="BB165" s="520">
        <f t="shared" si="471"/>
        <v>-39.895042077725797</v>
      </c>
      <c r="BD165" s="362">
        <f>BD160+BD161</f>
        <v>93.00199999999974</v>
      </c>
      <c r="BE165" s="540">
        <f t="shared" si="472"/>
        <v>2.9136101830052383</v>
      </c>
      <c r="BF165" s="520">
        <f t="shared" si="473"/>
        <v>143.85012716641751</v>
      </c>
      <c r="BH165" s="362">
        <f>BH160+BH161</f>
        <v>175.64200000000005</v>
      </c>
      <c r="BI165" s="540">
        <f t="shared" si="474"/>
        <v>4.9179340992014762</v>
      </c>
      <c r="BJ165" s="520">
        <f t="shared" si="475"/>
        <v>88.858304122492584</v>
      </c>
      <c r="BL165" s="362">
        <f>BL160+BL161</f>
        <v>253.45599999999973</v>
      </c>
      <c r="BM165" s="540">
        <f t="shared" si="476"/>
        <v>6.5856435589539446</v>
      </c>
      <c r="BN165" s="520">
        <f t="shared" si="477"/>
        <v>44.302615547533989</v>
      </c>
      <c r="BP165" s="362">
        <f>BP160+BP161</f>
        <v>309.9849999999999</v>
      </c>
      <c r="BQ165" s="540">
        <f t="shared" si="478"/>
        <v>7.4294527344105745</v>
      </c>
      <c r="BR165" s="520">
        <f t="shared" si="479"/>
        <v>22.303279464680358</v>
      </c>
      <c r="BT165" s="362">
        <f>BT160+BT161</f>
        <v>337.37499999999983</v>
      </c>
      <c r="BU165" s="540">
        <f t="shared" si="480"/>
        <v>7.5483210005868582</v>
      </c>
      <c r="BV165" s="520">
        <f t="shared" si="481"/>
        <v>8.8359114150684537</v>
      </c>
      <c r="BX165" s="362">
        <f>BX160+BX161</f>
        <v>272</v>
      </c>
      <c r="BY165" s="540">
        <f t="shared" si="482"/>
        <v>6.3138347260909926</v>
      </c>
      <c r="BZ165" s="520">
        <f t="shared" si="483"/>
        <v>-19.377547239718375</v>
      </c>
      <c r="CB165" s="362">
        <f>CB160+CB161</f>
        <v>186</v>
      </c>
      <c r="CC165" s="540">
        <f t="shared" si="484"/>
        <v>4.6222664015904575</v>
      </c>
      <c r="CD165" s="520">
        <f t="shared" si="485"/>
        <v>-31.617647058823529</v>
      </c>
      <c r="CF165" s="362">
        <f>CF160+CF161</f>
        <v>262</v>
      </c>
      <c r="CG165" s="540">
        <f t="shared" si="486"/>
        <v>5.6931768796175577</v>
      </c>
      <c r="CH165" s="520">
        <f t="shared" si="487"/>
        <v>40.860215053763447</v>
      </c>
      <c r="CJ165" s="362">
        <f>CJ160+CJ161</f>
        <v>320</v>
      </c>
      <c r="CK165" s="540">
        <f t="shared" si="488"/>
        <v>6.2341710500681868</v>
      </c>
      <c r="CL165" s="520">
        <f t="shared" si="489"/>
        <v>22.137404580152676</v>
      </c>
      <c r="CN165" s="362">
        <f>CN160+CN161</f>
        <v>305</v>
      </c>
      <c r="CO165" s="540">
        <f t="shared" si="490"/>
        <v>5.4164446812289118</v>
      </c>
      <c r="CP165" s="521">
        <f t="shared" si="491"/>
        <v>-4.6875</v>
      </c>
      <c r="CR165" s="362">
        <f>CR160+CR161</f>
        <v>329</v>
      </c>
      <c r="CS165" s="540">
        <f t="shared" si="492"/>
        <v>5.534062237174096</v>
      </c>
      <c r="CT165" s="521">
        <f t="shared" si="493"/>
        <v>7.8688524590163844</v>
      </c>
      <c r="CV165" s="362">
        <f>CV160+CV161</f>
        <v>323</v>
      </c>
      <c r="CW165" s="540">
        <f t="shared" si="494"/>
        <v>5.1083346512731298</v>
      </c>
      <c r="CX165" s="521">
        <f t="shared" si="495"/>
        <v>-1.8237082066869248</v>
      </c>
      <c r="CZ165" s="362">
        <f>CZ160+CZ161</f>
        <v>308.74</v>
      </c>
      <c r="DA165" s="540">
        <f t="shared" si="496"/>
        <v>4.4641411220358593</v>
      </c>
      <c r="DB165" s="521">
        <f t="shared" si="497"/>
        <v>-4.4148606811145523</v>
      </c>
      <c r="DD165" s="362">
        <f>DD160+DD161</f>
        <v>163</v>
      </c>
      <c r="DE165" s="540">
        <f t="shared" si="498"/>
        <v>2.36231884057971</v>
      </c>
      <c r="DF165" s="521">
        <f t="shared" si="499"/>
        <v>-47.204767765757595</v>
      </c>
      <c r="DH165" s="362">
        <f>DH160+DH161</f>
        <v>173</v>
      </c>
      <c r="DI165" s="540">
        <f t="shared" si="500"/>
        <v>2.420596054288513</v>
      </c>
      <c r="DJ165" s="521">
        <f t="shared" si="501"/>
        <v>6.1349693251533832</v>
      </c>
      <c r="DL165" s="362">
        <f>DL160+DL161</f>
        <v>186.5289114403638</v>
      </c>
      <c r="DM165" s="540">
        <f t="shared" si="502"/>
        <v>2.4603585284739458</v>
      </c>
      <c r="DN165" s="521">
        <f t="shared" si="503"/>
        <v>7.8201800233316687</v>
      </c>
      <c r="DO165" s="521"/>
    </row>
    <row r="166" spans="1:121" x14ac:dyDescent="0.2">
      <c r="A166" s="517" t="s">
        <v>282</v>
      </c>
      <c r="D166" s="362">
        <f>D163+D162</f>
        <v>67.416000000000025</v>
      </c>
      <c r="E166" s="540">
        <f t="shared" si="447"/>
        <v>4.2620770228681408</v>
      </c>
      <c r="F166" s="520"/>
      <c r="H166" s="362">
        <f>H163+H162</f>
        <v>60.289000000000037</v>
      </c>
      <c r="I166" s="540">
        <f t="shared" si="448"/>
        <v>3.522860406751338</v>
      </c>
      <c r="J166" s="520">
        <f t="shared" si="449"/>
        <v>-10.571674379969121</v>
      </c>
      <c r="L166" s="362">
        <f>L163+L162</f>
        <v>73.383999999999915</v>
      </c>
      <c r="M166" s="540">
        <f t="shared" si="450"/>
        <v>3.9591460838798982</v>
      </c>
      <c r="N166" s="520">
        <f t="shared" si="451"/>
        <v>21.720380168853136</v>
      </c>
      <c r="P166" s="362">
        <f>P163+P162</f>
        <v>86.471999999999966</v>
      </c>
      <c r="Q166" s="540">
        <f t="shared" si="452"/>
        <v>4.5035623515686831</v>
      </c>
      <c r="R166" s="520">
        <f t="shared" si="453"/>
        <v>17.83495039790699</v>
      </c>
      <c r="T166" s="362">
        <f>T163+T162</f>
        <v>107.96199999999983</v>
      </c>
      <c r="U166" s="540">
        <f t="shared" si="454"/>
        <v>5.1392782389681955</v>
      </c>
      <c r="V166" s="520">
        <f t="shared" si="455"/>
        <v>24.851975205846834</v>
      </c>
      <c r="X166" s="362">
        <f>X163+X162</f>
        <v>83.56999999999978</v>
      </c>
      <c r="Y166" s="540">
        <f t="shared" si="456"/>
        <v>3.7755591166176461</v>
      </c>
      <c r="Z166" s="520">
        <f t="shared" si="457"/>
        <v>-22.593134621440957</v>
      </c>
      <c r="AB166" s="362">
        <f>AB163+AB162</f>
        <v>76.827000000000069</v>
      </c>
      <c r="AC166" s="540">
        <f t="shared" si="458"/>
        <v>3.2459570771641015</v>
      </c>
      <c r="AD166" s="520">
        <f t="shared" si="459"/>
        <v>-8.068684934784887</v>
      </c>
      <c r="AF166" s="362">
        <f>AF163+AF162</f>
        <v>95.249998000000204</v>
      </c>
      <c r="AG166" s="540">
        <f t="shared" si="460"/>
        <v>3.6652362817225801</v>
      </c>
      <c r="AH166" s="520">
        <f t="shared" si="461"/>
        <v>23.97984823043997</v>
      </c>
      <c r="AJ166" s="362">
        <f>AJ163+AJ162</f>
        <v>456.95793699999979</v>
      </c>
      <c r="AK166" s="540">
        <f>AJ166/AJ36*100</f>
        <v>15.536334637893578</v>
      </c>
      <c r="AL166" s="540">
        <f>(AK166/AK16)*100</f>
        <v>113.74614632868946</v>
      </c>
      <c r="AM166" s="520">
        <f t="shared" si="463"/>
        <v>323.88357649324161</v>
      </c>
      <c r="AN166" s="362">
        <f>AN163+AN162</f>
        <v>82.058130000000176</v>
      </c>
      <c r="AO166" s="540">
        <f t="shared" si="464"/>
        <v>3.0098351888782537</v>
      </c>
      <c r="AP166" s="520">
        <f t="shared" si="465"/>
        <v>-82.042520031772597</v>
      </c>
      <c r="AR166" s="362">
        <f>AR163+AR162</f>
        <v>6.4940149999996031</v>
      </c>
      <c r="AS166" s="540">
        <f t="shared" si="466"/>
        <v>0.2175892016498277</v>
      </c>
      <c r="AT166" s="520">
        <f t="shared" si="467"/>
        <v>-92.086079709591743</v>
      </c>
      <c r="AV166" s="362">
        <f>AV163+AV162</f>
        <v>61.233999999999909</v>
      </c>
      <c r="AW166" s="540">
        <f t="shared" si="468"/>
        <v>2.0886871703702057</v>
      </c>
      <c r="AX166" s="520">
        <f t="shared" si="469"/>
        <v>842.92975917061563</v>
      </c>
      <c r="AZ166" s="362">
        <f>AZ163+AZ162</f>
        <v>78.461000000000183</v>
      </c>
      <c r="BA166" s="540">
        <f t="shared" si="470"/>
        <v>2.4938980375503972</v>
      </c>
      <c r="BB166" s="520">
        <f t="shared" si="471"/>
        <v>28.133063330829767</v>
      </c>
      <c r="BD166" s="362">
        <f>BD163+BD162</f>
        <v>149.88699999999994</v>
      </c>
      <c r="BE166" s="540">
        <f t="shared" si="472"/>
        <v>4.393352594633078</v>
      </c>
      <c r="BF166" s="520">
        <f t="shared" si="473"/>
        <v>91.033761996405332</v>
      </c>
      <c r="BH166" s="362">
        <f>BH163+BH162</f>
        <v>217.8329999999998</v>
      </c>
      <c r="BI166" s="540">
        <f t="shared" si="474"/>
        <v>5.8354960866844348</v>
      </c>
      <c r="BJ166" s="520">
        <f t="shared" si="475"/>
        <v>45.331483050564671</v>
      </c>
      <c r="BL166" s="362">
        <f>BL163+BL162</f>
        <v>297.72421775831896</v>
      </c>
      <c r="BM166" s="540">
        <f t="shared" si="476"/>
        <v>7.3144587435759609</v>
      </c>
      <c r="BN166" s="520">
        <f t="shared" si="477"/>
        <v>36.675443003731864</v>
      </c>
      <c r="BP166" s="362">
        <f>BP163+BP162</f>
        <v>368.01399999999973</v>
      </c>
      <c r="BQ166" s="540">
        <f t="shared" si="478"/>
        <v>7.9538899418026441</v>
      </c>
      <c r="BR166" s="520">
        <f t="shared" si="479"/>
        <v>23.609024072989349</v>
      </c>
      <c r="BT166" s="362">
        <f>BT163+BT162</f>
        <v>377.35599999999988</v>
      </c>
      <c r="BU166" s="540">
        <f t="shared" si="480"/>
        <v>8.151605571820582</v>
      </c>
      <c r="BV166" s="520">
        <f t="shared" si="481"/>
        <v>2.538490383518055</v>
      </c>
      <c r="BX166" s="362">
        <f>BX163+BX162</f>
        <v>140.31700000000004</v>
      </c>
      <c r="BY166" s="540">
        <f t="shared" si="482"/>
        <v>3.2715551410585229</v>
      </c>
      <c r="BZ166" s="520">
        <f t="shared" si="483"/>
        <v>-62.81574958394723</v>
      </c>
      <c r="CB166" s="362">
        <f>CB163+CB162</f>
        <v>255</v>
      </c>
      <c r="CC166" s="540">
        <f t="shared" si="484"/>
        <v>5.5398653052357156</v>
      </c>
      <c r="CD166" s="520">
        <f t="shared" si="485"/>
        <v>81.731365408325402</v>
      </c>
      <c r="CF166" s="362">
        <f>CF163+CF162</f>
        <v>351</v>
      </c>
      <c r="CG166" s="540">
        <f t="shared" si="486"/>
        <v>6.8850529619458616</v>
      </c>
      <c r="CH166" s="520">
        <f t="shared" si="487"/>
        <v>37.647058823529413</v>
      </c>
      <c r="CJ166" s="362">
        <f>CJ163+CJ162</f>
        <v>363</v>
      </c>
      <c r="CK166" s="540">
        <f t="shared" si="488"/>
        <v>6.3196378830083573</v>
      </c>
      <c r="CL166" s="520">
        <f t="shared" si="489"/>
        <v>3.4188034188034289</v>
      </c>
      <c r="CN166" s="362">
        <f>CN163+CN162</f>
        <v>430</v>
      </c>
      <c r="CO166" s="540">
        <f t="shared" si="490"/>
        <v>6.6123327694910046</v>
      </c>
      <c r="CP166" s="521">
        <f t="shared" si="491"/>
        <v>18.457300275482091</v>
      </c>
      <c r="CR166" s="362">
        <f>CR163+CR162</f>
        <v>405</v>
      </c>
      <c r="CS166" s="540">
        <f t="shared" si="492"/>
        <v>6.1410159211523885</v>
      </c>
      <c r="CT166" s="521">
        <f t="shared" si="493"/>
        <v>-5.8139534883720927</v>
      </c>
      <c r="CV166" s="362">
        <f>CV163+CV162</f>
        <v>397.5</v>
      </c>
      <c r="CW166" s="540">
        <f t="shared" si="494"/>
        <v>5.5338994848948904</v>
      </c>
      <c r="CX166" s="521">
        <f t="shared" si="495"/>
        <v>-1.851851851851849</v>
      </c>
      <c r="CZ166" s="362">
        <f>CZ163+CZ162</f>
        <v>321</v>
      </c>
      <c r="DA166" s="540">
        <f t="shared" si="496"/>
        <v>4.2680494615077782</v>
      </c>
      <c r="DB166" s="521">
        <f t="shared" si="497"/>
        <v>-19.245283018867919</v>
      </c>
      <c r="DD166" s="362">
        <f>DD163+DD162</f>
        <v>191.16</v>
      </c>
      <c r="DE166" s="540">
        <f t="shared" si="498"/>
        <v>2.432680071264953</v>
      </c>
      <c r="DF166" s="521">
        <f t="shared" si="499"/>
        <v>-40.44859813084112</v>
      </c>
      <c r="DH166" s="362">
        <f>DH163+DH162</f>
        <v>264.35000000000002</v>
      </c>
      <c r="DI166" s="540">
        <f t="shared" si="500"/>
        <v>3.1730884647701361</v>
      </c>
      <c r="DJ166" s="521">
        <f t="shared" si="501"/>
        <v>38.287298598033082</v>
      </c>
      <c r="DL166" s="362">
        <f>DL163+DL162</f>
        <v>352.00866164133851</v>
      </c>
      <c r="DM166" s="540">
        <f t="shared" si="502"/>
        <v>4.3362743461096542</v>
      </c>
      <c r="DN166" s="521">
        <f t="shared" si="503"/>
        <v>33.160076278168525</v>
      </c>
      <c r="DO166" s="521"/>
    </row>
    <row r="167" spans="1:121" x14ac:dyDescent="0.2">
      <c r="D167" s="361"/>
      <c r="E167" s="550"/>
      <c r="F167" s="550"/>
      <c r="H167" s="361"/>
      <c r="I167" s="550"/>
      <c r="J167" s="550"/>
      <c r="L167" s="361"/>
      <c r="M167" s="550"/>
      <c r="N167" s="550"/>
      <c r="P167" s="361"/>
      <c r="Q167" s="550"/>
      <c r="R167" s="550"/>
      <c r="T167" s="361"/>
      <c r="U167" s="550"/>
      <c r="V167" s="550"/>
      <c r="X167" s="361"/>
      <c r="Y167" s="550"/>
      <c r="Z167" s="550"/>
      <c r="AB167" s="361"/>
      <c r="AC167" s="550"/>
      <c r="AD167" s="550"/>
      <c r="AF167" s="361"/>
      <c r="AG167" s="550"/>
      <c r="AH167" s="550"/>
      <c r="AJ167" s="361"/>
      <c r="AK167" s="550"/>
      <c r="AL167" s="550"/>
      <c r="AN167" s="361"/>
      <c r="AO167" s="550"/>
      <c r="AP167" s="550"/>
      <c r="AR167" s="361"/>
      <c r="AS167" s="550"/>
      <c r="AT167" s="550"/>
      <c r="AV167" s="361"/>
      <c r="AW167" s="550"/>
      <c r="AX167" s="550"/>
      <c r="AZ167" s="361"/>
      <c r="BA167" s="550"/>
      <c r="BB167" s="550"/>
      <c r="BD167" s="361"/>
      <c r="BE167" s="550"/>
      <c r="BF167" s="550"/>
      <c r="BH167" s="361"/>
      <c r="BI167" s="550"/>
      <c r="BJ167" s="550"/>
      <c r="BL167" s="361"/>
      <c r="BM167" s="550"/>
      <c r="BN167" s="550"/>
      <c r="BP167" s="362"/>
      <c r="BQ167" s="551"/>
      <c r="BR167" s="551"/>
      <c r="BT167" s="362"/>
      <c r="BU167" s="551"/>
      <c r="BV167" s="551"/>
      <c r="BX167" s="362"/>
      <c r="BY167" s="551"/>
      <c r="BZ167" s="551"/>
      <c r="CB167" s="362"/>
      <c r="CC167" s="551"/>
      <c r="CD167" s="551"/>
      <c r="CF167" s="362"/>
      <c r="CG167" s="551"/>
      <c r="CH167" s="551"/>
      <c r="CJ167" s="362"/>
      <c r="CK167" s="551"/>
      <c r="CL167" s="551"/>
      <c r="CO167" s="551"/>
      <c r="CP167" s="550"/>
      <c r="CS167" s="551"/>
      <c r="CT167" s="550"/>
      <c r="CW167" s="551"/>
      <c r="CX167" s="550"/>
      <c r="DA167" s="551"/>
      <c r="DB167" s="550"/>
      <c r="DE167" s="551"/>
      <c r="DF167" s="550"/>
      <c r="DI167" s="551"/>
      <c r="DJ167" s="550"/>
      <c r="DM167" s="551"/>
      <c r="DN167" s="550"/>
      <c r="DO167" s="550"/>
    </row>
    <row r="168" spans="1:121" s="516" customFormat="1" ht="12.75" customHeight="1" x14ac:dyDescent="0.2">
      <c r="A168" s="515" t="s">
        <v>448</v>
      </c>
      <c r="CG168" s="1397" t="str">
        <f>A168</f>
        <v>15. EPS Before Extraordinary/Discontinued - Fully Diluted</v>
      </c>
      <c r="CH168" s="1397"/>
      <c r="CI168" s="1397"/>
      <c r="CJ168" s="1397"/>
      <c r="CK168" s="1397"/>
      <c r="CL168" s="1397"/>
      <c r="CM168" s="1397"/>
      <c r="CN168" s="1397"/>
      <c r="CO168" s="1397"/>
      <c r="CP168" s="1397"/>
      <c r="CQ168" s="1397"/>
      <c r="CR168" s="1397"/>
      <c r="CS168" s="1397"/>
      <c r="CT168" s="1397"/>
      <c r="CU168" s="1397"/>
      <c r="CV168" s="1397"/>
      <c r="CW168" s="1397"/>
      <c r="CX168" s="1397"/>
      <c r="CY168" s="1397"/>
      <c r="CZ168" s="1397"/>
      <c r="DA168" s="1397"/>
      <c r="DB168" s="1397"/>
      <c r="DC168" s="1397"/>
      <c r="DD168" s="1397"/>
      <c r="DE168" s="1397"/>
      <c r="DF168" s="1397"/>
      <c r="DG168" s="846"/>
      <c r="DH168" s="846"/>
      <c r="DI168" s="846"/>
      <c r="DJ168" s="846"/>
      <c r="DK168" s="1222"/>
      <c r="DL168" s="1222"/>
      <c r="DM168" s="1222"/>
      <c r="DN168" s="1222"/>
      <c r="DO168" s="1222"/>
    </row>
    <row r="169" spans="1:121" x14ac:dyDescent="0.2">
      <c r="D169" s="361"/>
      <c r="E169" s="550"/>
      <c r="F169" s="550"/>
      <c r="H169" s="361"/>
      <c r="I169" s="550"/>
      <c r="J169" s="550"/>
      <c r="L169" s="361"/>
      <c r="M169" s="550"/>
      <c r="N169" s="550"/>
      <c r="P169" s="361"/>
      <c r="Q169" s="550"/>
      <c r="R169" s="550"/>
      <c r="T169" s="361"/>
      <c r="U169" s="550"/>
      <c r="V169" s="550"/>
      <c r="X169" s="361"/>
      <c r="Y169" s="550"/>
      <c r="Z169" s="550"/>
      <c r="AB169" s="361"/>
      <c r="AC169" s="550"/>
      <c r="AD169" s="550"/>
      <c r="AF169" s="361"/>
      <c r="AG169" s="550"/>
      <c r="AH169" s="550"/>
      <c r="AJ169" s="361"/>
      <c r="AK169" s="550"/>
      <c r="AL169" s="550"/>
      <c r="AN169" s="361"/>
      <c r="AO169" s="550"/>
      <c r="AP169" s="550"/>
      <c r="AR169" s="361"/>
      <c r="AS169" s="550"/>
      <c r="AT169" s="550"/>
      <c r="AV169" s="361"/>
      <c r="AW169" s="550"/>
      <c r="AX169" s="550"/>
      <c r="AZ169" s="361"/>
      <c r="BA169" s="550"/>
      <c r="BB169" s="550"/>
      <c r="BD169" s="361"/>
      <c r="BE169" s="550"/>
      <c r="BF169" s="550"/>
      <c r="BH169" s="361"/>
      <c r="BI169" s="550"/>
      <c r="BJ169" s="550"/>
      <c r="BL169" s="361"/>
      <c r="BM169" s="550"/>
      <c r="BN169" s="550"/>
      <c r="BP169" s="362"/>
      <c r="BQ169" s="551"/>
      <c r="BR169" s="551"/>
      <c r="BT169" s="362"/>
      <c r="BU169" s="551"/>
      <c r="BV169" s="551"/>
      <c r="BX169" s="362"/>
      <c r="BY169" s="551"/>
      <c r="BZ169" s="551"/>
      <c r="CB169" s="362"/>
      <c r="CC169" s="551"/>
      <c r="CD169" s="551"/>
      <c r="CF169" s="362"/>
      <c r="CG169" s="551"/>
      <c r="CH169" s="551"/>
      <c r="CJ169" s="362"/>
      <c r="CK169" s="551"/>
      <c r="CL169" s="551"/>
      <c r="CO169" s="551"/>
      <c r="CP169" s="550"/>
      <c r="CS169" s="551"/>
      <c r="CT169" s="550"/>
      <c r="CW169" s="551"/>
      <c r="CX169" s="550"/>
      <c r="DA169" s="551"/>
      <c r="DB169" s="550"/>
      <c r="DE169" s="551"/>
      <c r="DF169" s="550"/>
      <c r="DI169" s="551"/>
      <c r="DJ169" s="550"/>
      <c r="DM169" s="551"/>
      <c r="DN169" s="550"/>
      <c r="DO169" s="550"/>
    </row>
    <row r="170" spans="1:121" x14ac:dyDescent="0.2">
      <c r="A170" s="517" t="s">
        <v>78</v>
      </c>
      <c r="D170" s="254">
        <f>(D140)/D190</f>
        <v>8.0981595092024891E-2</v>
      </c>
      <c r="E170" s="558"/>
      <c r="F170" s="561"/>
      <c r="H170" s="254">
        <f>(H140)/H190</f>
        <v>0.15694301793379653</v>
      </c>
      <c r="I170" s="558">
        <f>(H170/D170-1)*100</f>
        <v>93.800847903096397</v>
      </c>
      <c r="J170" s="561"/>
      <c r="L170" s="254">
        <f>(L140)/L190</f>
        <v>0.13183083080764443</v>
      </c>
      <c r="M170" s="558">
        <f>(L170/H170-1)*100</f>
        <v>-16.000831038399689</v>
      </c>
      <c r="N170" s="561"/>
      <c r="P170" s="254">
        <f>(P140)/P190</f>
        <v>6.8935521539851163E-2</v>
      </c>
      <c r="Q170" s="558">
        <f>(P170/L170-1)*100</f>
        <v>-47.709104829631535</v>
      </c>
      <c r="R170" s="561"/>
      <c r="T170" s="254">
        <f>(T140)/T190</f>
        <v>0.19491615173273563</v>
      </c>
      <c r="U170" s="558">
        <f>(T170/P170-1)*100</f>
        <v>182.75139924785498</v>
      </c>
      <c r="V170" s="561"/>
      <c r="X170" s="254">
        <f>(X140)/X190</f>
        <v>0.16824327132078087</v>
      </c>
      <c r="Y170" s="558">
        <f>(X170/T170-1)*100</f>
        <v>-13.684284331925445</v>
      </c>
      <c r="Z170" s="561"/>
      <c r="AB170" s="254">
        <f>(AB140)/AB190</f>
        <v>0.16845815167265157</v>
      </c>
      <c r="AC170" s="558">
        <f>(AB170/X170-1)*100</f>
        <v>0.12772002718670628</v>
      </c>
      <c r="AD170" s="561"/>
      <c r="AF170" s="254">
        <f>(AF140)/AF190</f>
        <v>0.20583609892914695</v>
      </c>
      <c r="AG170" s="558">
        <f>(AF170/AB170-1)*100</f>
        <v>22.188268650322328</v>
      </c>
      <c r="AH170" s="561"/>
      <c r="AJ170" s="254">
        <f>(AJ140)/AJ190</f>
        <v>0.21449530581828852</v>
      </c>
      <c r="AK170" s="558">
        <f>(AJ170/AF170-1)*100</f>
        <v>4.2068456088075523</v>
      </c>
      <c r="AL170" s="561"/>
      <c r="AN170" s="254">
        <f>(AN140)/AN190</f>
        <v>0.22058247538048348</v>
      </c>
      <c r="AO170" s="558">
        <f>(AN170/AJ170-1)*100</f>
        <v>2.8379033932573572</v>
      </c>
      <c r="AP170" s="561"/>
      <c r="AR170" s="254">
        <f>(AR140)/AR190</f>
        <v>0.24910542669816993</v>
      </c>
      <c r="AS170" s="558">
        <f>(AR170/AN170-1)*100</f>
        <v>12.93074223982984</v>
      </c>
      <c r="AT170" s="561"/>
      <c r="AV170" s="254">
        <f>(AV140)/AV190</f>
        <v>9.2423201565089999E-2</v>
      </c>
      <c r="AW170" s="558">
        <f>(AV170/AR170-1)*100</f>
        <v>-62.897957386903848</v>
      </c>
      <c r="AX170" s="561"/>
      <c r="AZ170" s="254">
        <f>(AZ140)/AZ190</f>
        <v>-4.131387937069346E-2</v>
      </c>
      <c r="BA170" s="558">
        <f>(AZ170/AV170-1)*100</f>
        <v>-144.70076633473656</v>
      </c>
      <c r="BB170" s="561"/>
      <c r="BD170" s="254">
        <f>(BD140)/BD190</f>
        <v>9.9983063078984927E-2</v>
      </c>
      <c r="BE170" s="558">
        <f>(BD170/AZ170-1)*100</f>
        <v>-342.00841122150638</v>
      </c>
      <c r="BF170" s="561"/>
      <c r="BH170" s="254">
        <f>(BH140)/BH190</f>
        <v>0.24203909138932944</v>
      </c>
      <c r="BI170" s="558">
        <f>(BH170/BD170-1)*100</f>
        <v>142.08009230335611</v>
      </c>
      <c r="BJ170" s="561"/>
      <c r="BL170" s="254">
        <f>(BL140)/BL190</f>
        <v>0.37550378240910343</v>
      </c>
      <c r="BM170" s="558">
        <f>(BL170/BH170-1)*100</f>
        <v>55.141791457600029</v>
      </c>
      <c r="BN170" s="561"/>
      <c r="BP170" s="254">
        <f>(BP140)/BP190</f>
        <v>0.48099739399115188</v>
      </c>
      <c r="BQ170" s="558">
        <f>(BP170/BL170-1)*100</f>
        <v>28.093887871178723</v>
      </c>
      <c r="BR170" s="564"/>
      <c r="BT170" s="254">
        <f>(BT140)/BT190</f>
        <v>0.59685001008636229</v>
      </c>
      <c r="BU170" s="558">
        <f>(BT170/BP170-1)*100</f>
        <v>24.085913466995112</v>
      </c>
      <c r="BV170" s="564"/>
      <c r="BX170" s="254">
        <f>(BX140)/BX190</f>
        <v>0.58186738836265228</v>
      </c>
      <c r="BY170" s="558">
        <f>(BX170/BT170-1)*100</f>
        <v>-2.5102825618687818</v>
      </c>
      <c r="BZ170" s="564"/>
      <c r="CB170" s="254">
        <f>(CB140)/CB190</f>
        <v>0.31278748850045995</v>
      </c>
      <c r="CC170" s="558">
        <f>(CB170/BX170-1)*100</f>
        <v>-46.244196743758167</v>
      </c>
      <c r="CD170" s="564"/>
      <c r="CF170" s="254">
        <f>(CF140)/CF190</f>
        <v>0.52158273381294962</v>
      </c>
      <c r="CG170" s="558">
        <f>(CF170/CB170-1)*100</f>
        <v>66.75306813372832</v>
      </c>
      <c r="CH170" s="565"/>
      <c r="CJ170" s="254">
        <f>(CJ140)/CJ190</f>
        <v>0.64935064935064934</v>
      </c>
      <c r="CK170" s="558">
        <f>(CJ170/CF170-1)*100</f>
        <v>24.496193461710703</v>
      </c>
      <c r="CL170" s="565"/>
      <c r="CN170" s="254">
        <f>(CN140)/CN190</f>
        <v>0.70482497634815511</v>
      </c>
      <c r="CO170" s="558">
        <f>(CN170/CJ170-1)*100</f>
        <v>8.543046357615891</v>
      </c>
      <c r="CP170" s="544"/>
      <c r="CR170" s="254">
        <f>(CR140)/CR190</f>
        <v>0.72864321608040206</v>
      </c>
      <c r="CS170" s="558">
        <f>(CR170/CN170-1)*100</f>
        <v>3.3793126707362342</v>
      </c>
      <c r="CT170" s="544">
        <f>CR170/CN170-1</f>
        <v>3.3793126707362342E-2</v>
      </c>
      <c r="CV170" s="254">
        <f>(CV140)/CV190</f>
        <v>0.72651790347690715</v>
      </c>
      <c r="CW170" s="558">
        <f>(CV170/CR170-1)*100</f>
        <v>-0.29168083316930549</v>
      </c>
      <c r="CX170" s="544">
        <f>CV170/CR170-1</f>
        <v>-2.9168083316930549E-3</v>
      </c>
      <c r="CZ170" s="254">
        <f>(CZ140)/CZ190</f>
        <v>0.65674704976911236</v>
      </c>
      <c r="DA170" s="558">
        <f>(CZ170/CV170-1)*100</f>
        <v>-9.6034596496371805</v>
      </c>
      <c r="DB170" s="544">
        <f>CZ170/CV170-1</f>
        <v>-9.6034596496371805E-2</v>
      </c>
      <c r="DD170" s="254">
        <f>(DD140)/DD190</f>
        <v>0.2618099032441662</v>
      </c>
      <c r="DE170" s="558">
        <f>(DD170/CZ170-1)*100</f>
        <v>-60.135351451337506</v>
      </c>
      <c r="DF170" s="544">
        <f>DD170/CZ170-1</f>
        <v>-0.60135351451337504</v>
      </c>
      <c r="DH170" s="254">
        <f>(DH140)/DH190</f>
        <v>0.37256061502069782</v>
      </c>
      <c r="DI170" s="558">
        <f>(DH170/DD170-1)*100</f>
        <v>42.301956650296965</v>
      </c>
      <c r="DJ170" s="544">
        <f>DH170/DD170-1</f>
        <v>0.42301956650296968</v>
      </c>
      <c r="DL170" s="254">
        <f>(DL140)/DL190</f>
        <v>0.41875097081495366</v>
      </c>
      <c r="DM170" s="558">
        <f>(DL170/DH170-1)*100</f>
        <v>12.398078039378824</v>
      </c>
      <c r="DN170" s="544">
        <f>DL170/DH170-1</f>
        <v>0.12398078039378824</v>
      </c>
      <c r="DO170" s="544"/>
    </row>
    <row r="171" spans="1:121" x14ac:dyDescent="0.2">
      <c r="A171" s="517" t="s">
        <v>79</v>
      </c>
      <c r="D171" s="507">
        <f>(D141)/D191</f>
        <v>0.21595092024539889</v>
      </c>
      <c r="E171" s="558"/>
      <c r="F171" s="561"/>
      <c r="H171" s="507">
        <f>(H141)/H191</f>
        <v>0.30500120137532299</v>
      </c>
      <c r="I171" s="558">
        <f>(H171/D171-1)*100</f>
        <v>41.236351773231881</v>
      </c>
      <c r="J171" s="561"/>
      <c r="L171" s="507">
        <f>(L141)/L191</f>
        <v>0.25443191528268111</v>
      </c>
      <c r="M171" s="558">
        <f>(L171/H171-1)*100</f>
        <v>-16.580028493203613</v>
      </c>
      <c r="N171" s="561"/>
      <c r="P171" s="507">
        <f>(P141)/P191</f>
        <v>0.26038461538461544</v>
      </c>
      <c r="Q171" s="558">
        <f>(P171/L171-1)*100</f>
        <v>2.3396043280658141</v>
      </c>
      <c r="R171" s="561"/>
      <c r="T171" s="507">
        <f>(T141)/T191</f>
        <v>0.38373496167874566</v>
      </c>
      <c r="U171" s="558">
        <f>(T171/P171-1)*100</f>
        <v>47.372363421674812</v>
      </c>
      <c r="V171" s="561"/>
      <c r="X171" s="507">
        <f>(X141)/X191</f>
        <v>0.32742911321395329</v>
      </c>
      <c r="Y171" s="558">
        <f>(X171/T171-1)*100</f>
        <v>-14.673108808868541</v>
      </c>
      <c r="Z171" s="561"/>
      <c r="AB171" s="507">
        <f>(AB141)/AB191</f>
        <v>0.27583182164075343</v>
      </c>
      <c r="AC171" s="558">
        <f>(AB171/X171-1)*100</f>
        <v>-15.758309047944808</v>
      </c>
      <c r="AD171" s="561"/>
      <c r="AF171" s="507">
        <f>(AF141)/AF191</f>
        <v>0.38025079183758237</v>
      </c>
      <c r="AG171" s="558">
        <f>(AF171/AB171-1)*100</f>
        <v>37.856027479246194</v>
      </c>
      <c r="AH171" s="561"/>
      <c r="AJ171" s="507">
        <f>(AJ141)/AJ191</f>
        <v>0.46351026331683448</v>
      </c>
      <c r="AK171" s="558">
        <f>(AJ171/AF171-1)*100</f>
        <v>21.895936383694625</v>
      </c>
      <c r="AL171" s="561"/>
      <c r="AN171" s="507">
        <f>(AN141)/AN191</f>
        <v>0.50566417542882935</v>
      </c>
      <c r="AO171" s="558">
        <f>(AN171/AJ171-1)*100</f>
        <v>9.094493789705016</v>
      </c>
      <c r="AP171" s="561"/>
      <c r="AR171" s="507">
        <f>(AR141)/AR191</f>
        <v>0.39807816295157544</v>
      </c>
      <c r="AS171" s="558">
        <f>(AR171/AN171-1)*100</f>
        <v>-21.276178480711117</v>
      </c>
      <c r="AT171" s="561"/>
      <c r="AV171" s="507">
        <f>(AV141)/AV191</f>
        <v>0.14394593146955142</v>
      </c>
      <c r="AW171" s="558">
        <f>(AV171/AR171-1)*100</f>
        <v>-63.839782016110782</v>
      </c>
      <c r="AX171" s="561"/>
      <c r="AZ171" s="507">
        <f>(AZ141)/AZ191</f>
        <v>0.17239103224856361</v>
      </c>
      <c r="BA171" s="558">
        <f>(AZ171/AV171-1)*100</f>
        <v>19.760961972745395</v>
      </c>
      <c r="BB171" s="561"/>
      <c r="BD171" s="507">
        <f>(BD141)/BD191</f>
        <v>0.24148439906702371</v>
      </c>
      <c r="BE171" s="558">
        <f>(BD171/AZ171-1)*100</f>
        <v>40.079443760645958</v>
      </c>
      <c r="BF171" s="561"/>
      <c r="BH171" s="507">
        <f>(BH141)/BH191</f>
        <v>0.37253392056976786</v>
      </c>
      <c r="BI171" s="558">
        <f>(BH171/BD171-1)*100</f>
        <v>54.268317957207458</v>
      </c>
      <c r="BJ171" s="561"/>
      <c r="BL171" s="507">
        <f>(BL141)/BL191</f>
        <v>0.53343315339453801</v>
      </c>
      <c r="BM171" s="558">
        <f>(BL171/BH171-1)*100</f>
        <v>43.190491909752701</v>
      </c>
      <c r="BN171" s="561"/>
      <c r="BP171" s="507">
        <f>(BP141)/BP191</f>
        <v>0.67143704972466989</v>
      </c>
      <c r="BQ171" s="558">
        <f>(BP171/BL171-1)*100</f>
        <v>25.870888498762156</v>
      </c>
      <c r="BR171" s="564"/>
      <c r="BT171" s="507">
        <f>(BT141)/BT191</f>
        <v>0.7071124791465957</v>
      </c>
      <c r="BU171" s="558">
        <f>(BT171/BP171-1)*100</f>
        <v>5.3132947364991079</v>
      </c>
      <c r="BV171" s="564"/>
      <c r="BX171" s="507">
        <f>(BX141)/BX191</f>
        <v>0.65148063781321186</v>
      </c>
      <c r="BY171" s="558">
        <f>(BX171/BT171-1)*100</f>
        <v>-7.8674670542549503</v>
      </c>
      <c r="BZ171" s="564"/>
      <c r="CB171" s="507">
        <f>(CB141)/CB191</f>
        <v>0.479890310786106</v>
      </c>
      <c r="CC171" s="558">
        <f>(CB171/BX171-1)*100</f>
        <v>-26.33851523248233</v>
      </c>
      <c r="CD171" s="564"/>
      <c r="CF171" s="507">
        <f>(CF141)/CF191</f>
        <v>0.65529622980251345</v>
      </c>
      <c r="CG171" s="558">
        <f>(CF171/CB171-1)*100</f>
        <v>36.551252457895188</v>
      </c>
      <c r="CH171" s="565"/>
      <c r="CJ171" s="507">
        <f>(CJ141)/CJ191</f>
        <v>0.79509313948205362</v>
      </c>
      <c r="CK171" s="558">
        <f>(CJ171/CF171-1)*100</f>
        <v>21.333391422329839</v>
      </c>
      <c r="CL171" s="565"/>
      <c r="CN171" s="507">
        <f>(CN141)/CN191</f>
        <v>0.74748442740776233</v>
      </c>
      <c r="CO171" s="558">
        <f>(CN171/CJ171-1)*100</f>
        <v>-5.9878157300294337</v>
      </c>
      <c r="CP171" s="544"/>
      <c r="CR171" s="507">
        <f>(CR141)/CR191</f>
        <v>0.92555331991951706</v>
      </c>
      <c r="CS171" s="558">
        <f>(CR171/CN171-1)*100</f>
        <v>23.822421709745644</v>
      </c>
      <c r="CT171" s="544">
        <f>CR171/CN171-1</f>
        <v>0.23822421709745645</v>
      </c>
      <c r="CV171" s="507">
        <f>(CV141)/CV191</f>
        <v>0.94966268811624288</v>
      </c>
      <c r="CW171" s="558">
        <f>(CV171/CR171-1)*100</f>
        <v>2.6048599986462362</v>
      </c>
      <c r="CX171" s="544">
        <f>CV171/CR171-1</f>
        <v>2.6048599986462362E-2</v>
      </c>
      <c r="CZ171" s="507">
        <f>(CZ141)/CZ191</f>
        <v>0.93405684754521967</v>
      </c>
      <c r="DA171" s="558">
        <f>(CZ171/CV171-1)*100</f>
        <v>-1.6433035399104789</v>
      </c>
      <c r="DB171" s="544">
        <f>CZ171/CV171-1</f>
        <v>-1.6433035399104789E-2</v>
      </c>
      <c r="DD171" s="507">
        <f>(DD141)/DD191</f>
        <v>0.66933638443935928</v>
      </c>
      <c r="DE171" s="558">
        <f>(DD171/CZ171-1)*100</f>
        <v>-28.340937042704429</v>
      </c>
      <c r="DF171" s="544">
        <f>DD171/CZ171-1</f>
        <v>-0.28340937042704428</v>
      </c>
      <c r="DH171" s="1221">
        <f>(DH141)/DH191</f>
        <v>0.65281899109792285</v>
      </c>
      <c r="DI171" s="558">
        <f>(DH171/DD171-1)*100</f>
        <v>-2.4677268000710129</v>
      </c>
      <c r="DJ171" s="544">
        <f>DH171/DD171-1</f>
        <v>-2.4677268000710129E-2</v>
      </c>
      <c r="DL171" s="1221">
        <f>(DL141)/DL191</f>
        <v>0.70527303465451474</v>
      </c>
      <c r="DM171" s="558">
        <f>(DL171/DH171-1)*100</f>
        <v>8.0350057629870353</v>
      </c>
      <c r="DN171" s="544">
        <f>DL171/DH171-1</f>
        <v>8.0350057629870353E-2</v>
      </c>
      <c r="DO171" s="544"/>
    </row>
    <row r="172" spans="1:121" x14ac:dyDescent="0.2">
      <c r="A172" s="517" t="s">
        <v>80</v>
      </c>
      <c r="D172" s="507">
        <f>(D142)/D192</f>
        <v>0.12515337423312833</v>
      </c>
      <c r="E172" s="558"/>
      <c r="F172" s="561"/>
      <c r="H172" s="507">
        <f>(H142)/H192</f>
        <v>0.11874179700743276</v>
      </c>
      <c r="I172" s="558">
        <f>(H172/D172-1)*100</f>
        <v>-5.1229759205312924</v>
      </c>
      <c r="J172" s="561"/>
      <c r="L172" s="507">
        <f>(L142)/L192</f>
        <v>0.14304943965454325</v>
      </c>
      <c r="M172" s="558">
        <f>(L172/H172-1)*100</f>
        <v>20.471007900940673</v>
      </c>
      <c r="N172" s="561"/>
      <c r="P172" s="507">
        <f>(P142)/P192</f>
        <v>0.1554090354090355</v>
      </c>
      <c r="Q172" s="558">
        <f>(P172/L172-1)*100</f>
        <v>8.6400868009969258</v>
      </c>
      <c r="R172" s="561"/>
      <c r="T172" s="507">
        <f>(T142)/T192</f>
        <v>0.23173578875209114</v>
      </c>
      <c r="U172" s="558">
        <f>(T172/P172-1)*100</f>
        <v>49.1134592928681</v>
      </c>
      <c r="V172" s="561"/>
      <c r="X172" s="507">
        <f>(X142)/X192</f>
        <v>0.17947167809883716</v>
      </c>
      <c r="Y172" s="558">
        <f>(X172/T172-1)*100</f>
        <v>-22.55331855933813</v>
      </c>
      <c r="Z172" s="561"/>
      <c r="AB172" s="507">
        <f>(AB142)/AB192</f>
        <v>0.21068074106783577</v>
      </c>
      <c r="AC172" s="558">
        <f>(AB172/X172-1)*100</f>
        <v>17.38940834542786</v>
      </c>
      <c r="AD172" s="561"/>
      <c r="AF172" s="507">
        <f>(AF142)/AF192</f>
        <v>0.23394519164800584</v>
      </c>
      <c r="AG172" s="558">
        <f>(AF172/AB172-1)*100</f>
        <v>11.04251411982613</v>
      </c>
      <c r="AH172" s="561"/>
      <c r="AJ172" s="507">
        <f>(AJ142)/AJ192</f>
        <v>2.6929839327230201</v>
      </c>
      <c r="AK172" s="558">
        <f>(AJ172/AF172-1)*100</f>
        <v>1051.1174535165853</v>
      </c>
      <c r="AL172" s="561"/>
      <c r="AN172" s="507">
        <f>(AN142)/AN192</f>
        <v>0.28942145082331988</v>
      </c>
      <c r="AO172" s="558">
        <f>(AN172/AJ172-1)*100</f>
        <v>-89.252759836161715</v>
      </c>
      <c r="AP172" s="561"/>
      <c r="AR172" s="507">
        <f>(AR142)/AR192</f>
        <v>0.18050251664231093</v>
      </c>
      <c r="AS172" s="558">
        <f>(AR172/AN172-1)*100</f>
        <v>-37.633331555476026</v>
      </c>
      <c r="AT172" s="561"/>
      <c r="AV172" s="507">
        <f>(AV142)/AV192</f>
        <v>3.909946426841715E-2</v>
      </c>
      <c r="AW172" s="558">
        <f>(AV172/AR172-1)*100</f>
        <v>-78.338548960013782</v>
      </c>
      <c r="AX172" s="561"/>
      <c r="AZ172" s="507">
        <f>(AZ142)/AZ192</f>
        <v>6.7858089794956833E-2</v>
      </c>
      <c r="BA172" s="558">
        <f>(AZ172/AV172-1)*100</f>
        <v>73.552479719702063</v>
      </c>
      <c r="BB172" s="561"/>
      <c r="BD172" s="507">
        <f>(BD142)/BD192</f>
        <v>0.16471401779830977</v>
      </c>
      <c r="BE172" s="558">
        <f>(BD172/AZ172-1)*100</f>
        <v>142.73305997268318</v>
      </c>
      <c r="BF172" s="561"/>
      <c r="BH172" s="507">
        <f>(BH142)/BH192</f>
        <v>0.27192994711803747</v>
      </c>
      <c r="BI172" s="558">
        <f>(BH172/BD172-1)*100</f>
        <v>65.092170510352233</v>
      </c>
      <c r="BJ172" s="561"/>
      <c r="BL172" s="507">
        <f>(BL142)/BL192</f>
        <v>0.38719804537794555</v>
      </c>
      <c r="BM172" s="558">
        <f>(BL172/BH172-1)*100</f>
        <v>42.388894449302164</v>
      </c>
      <c r="BN172" s="561"/>
      <c r="BP172" s="507">
        <f>(BP142)/BP192</f>
        <v>0.51859595743379594</v>
      </c>
      <c r="BQ172" s="558">
        <f>(BP172/BL172-1)*100</f>
        <v>33.93558248146433</v>
      </c>
      <c r="BR172" s="564"/>
      <c r="BT172" s="507">
        <f>(BT142)/BT192</f>
        <v>0.58868772009912562</v>
      </c>
      <c r="BU172" s="558">
        <f>(BT172/BP172-1)*100</f>
        <v>13.515678566444977</v>
      </c>
      <c r="BV172" s="564"/>
      <c r="BX172" s="507">
        <f>(BX142)/BX192</f>
        <v>0.29596973865199472</v>
      </c>
      <c r="BY172" s="558">
        <f>(BX172/BT172-1)*100</f>
        <v>-49.723813059637436</v>
      </c>
      <c r="BZ172" s="564"/>
      <c r="CB172" s="507">
        <f>(CB142)/CB192</f>
        <v>0.37607612143180791</v>
      </c>
      <c r="CC172" s="558">
        <f>(CB172/BX172-1)*100</f>
        <v>27.065734201293921</v>
      </c>
      <c r="CD172" s="564"/>
      <c r="CF172" s="507">
        <f>(CF142)/CF192</f>
        <v>0.53483146067415732</v>
      </c>
      <c r="CG172" s="558">
        <f>(CF172/CB172-1)*100</f>
        <v>42.213618519019903</v>
      </c>
      <c r="CH172" s="565"/>
      <c r="CJ172" s="507">
        <f>(CJ142)/CJ192</f>
        <v>0.59069767441860466</v>
      </c>
      <c r="CK172" s="558">
        <f>(CJ172/CF172-1)*100</f>
        <v>10.445573578268519</v>
      </c>
      <c r="CL172" s="565"/>
      <c r="CN172" s="507">
        <f>(CN142)/CN192</f>
        <v>0.71323888617489017</v>
      </c>
      <c r="CO172" s="558">
        <f>(CN172/CJ172-1)*100</f>
        <v>20.74516576976486</v>
      </c>
      <c r="CP172" s="544"/>
      <c r="CR172" s="507">
        <f>(CR142)/CR192</f>
        <v>0.69437404967055238</v>
      </c>
      <c r="CS172" s="558">
        <f>(CR172/CN172-1)*100</f>
        <v>-2.6449534468753089</v>
      </c>
      <c r="CT172" s="544">
        <f>CR172/CN172-1</f>
        <v>-2.6449534468753089E-2</v>
      </c>
      <c r="CV172" s="507">
        <f>(CV142)/CV192</f>
        <v>0.72932717000513614</v>
      </c>
      <c r="CW172" s="558">
        <f>(CV172/CR172-1)*100</f>
        <v>5.033759592710485</v>
      </c>
      <c r="CX172" s="544">
        <f>CV172/CR172-1</f>
        <v>5.033759592710485E-2</v>
      </c>
      <c r="CZ172" s="507">
        <f>(CZ142)/CZ192</f>
        <v>0.56978567694720328</v>
      </c>
      <c r="DA172" s="558">
        <f>(CZ172/CV172-1)*100</f>
        <v>-21.875161055196845</v>
      </c>
      <c r="DB172" s="544">
        <f>CZ172/CV172-1</f>
        <v>-0.21875161055196846</v>
      </c>
      <c r="DD172" s="842">
        <f>(DD142)/DD192</f>
        <v>0.85328719723183388</v>
      </c>
      <c r="DE172" s="558">
        <f>(DD172/CZ172-1)*100</f>
        <v>49.755817275642045</v>
      </c>
      <c r="DF172" s="544">
        <f>DD172/CZ172-1</f>
        <v>0.49755817275642045</v>
      </c>
      <c r="DH172" s="1221">
        <f>(DH142)/DH192</f>
        <v>0.67479578548597141</v>
      </c>
      <c r="DI172" s="558">
        <f>(DH172/DD172-1)*100</f>
        <v>-20.9180932662426</v>
      </c>
      <c r="DJ172" s="544">
        <f>DH172/DD172-1</f>
        <v>-0.20918093266242599</v>
      </c>
      <c r="DL172" s="1221">
        <f>(DL142)/DL192</f>
        <v>0.78288003928941241</v>
      </c>
      <c r="DM172" s="558">
        <f>(DL172/DH172-1)*100</f>
        <v>16.017327927678359</v>
      </c>
      <c r="DN172" s="544">
        <f>DL172/DH172-1</f>
        <v>0.1601732792767836</v>
      </c>
      <c r="DO172" s="544"/>
    </row>
    <row r="173" spans="1:121" x14ac:dyDescent="0.2">
      <c r="A173" s="517" t="s">
        <v>81</v>
      </c>
      <c r="D173" s="566">
        <f>(D143)/D193</f>
        <v>0.28761214555210474</v>
      </c>
      <c r="E173" s="558"/>
      <c r="F173" s="561"/>
      <c r="H173" s="566">
        <f>(H143)/H193</f>
        <v>0.24964692364530031</v>
      </c>
      <c r="I173" s="558">
        <f>(H173/D173-1)*100</f>
        <v>-13.200145575885125</v>
      </c>
      <c r="J173" s="561"/>
      <c r="L173" s="566">
        <f>(L143)/L193</f>
        <v>0.32983125868804386</v>
      </c>
      <c r="M173" s="558">
        <f>(L173/H173-1)*100</f>
        <v>32.119095990411608</v>
      </c>
      <c r="N173" s="561"/>
      <c r="P173" s="566">
        <f>(P143)/P193</f>
        <v>0.37184540372546698</v>
      </c>
      <c r="Q173" s="558">
        <f>(P173/L173-1)*100</f>
        <v>12.738072553990509</v>
      </c>
      <c r="R173" s="561"/>
      <c r="T173" s="566">
        <f>(T143)/T193</f>
        <v>0.42499324953841394</v>
      </c>
      <c r="U173" s="558">
        <f>(T173/P173-1)*100</f>
        <v>14.292995228787596</v>
      </c>
      <c r="V173" s="561"/>
      <c r="X173" s="566">
        <f>(X143)/X193</f>
        <v>0.33331813548455941</v>
      </c>
      <c r="Y173" s="558">
        <f>(X173/T173-1)*100</f>
        <v>-21.570957692486424</v>
      </c>
      <c r="Z173" s="561"/>
      <c r="AB173" s="566">
        <f>(AB143)/AB193</f>
        <v>0.26711927687538856</v>
      </c>
      <c r="AC173" s="558">
        <f>(AB173/X173-1)*100</f>
        <v>-19.860563096254758</v>
      </c>
      <c r="AD173" s="561"/>
      <c r="AF173" s="566">
        <f>(AF143)/AF193</f>
        <v>0.38189473968779492</v>
      </c>
      <c r="AG173" s="558">
        <f>(AF173/AB173-1)*100</f>
        <v>42.967869692889749</v>
      </c>
      <c r="AH173" s="561"/>
      <c r="AJ173" s="566">
        <f>(AJ143)/AJ193</f>
        <v>0.46690294154760675</v>
      </c>
      <c r="AK173" s="558">
        <f>(AJ173/AF173-1)*100</f>
        <v>22.259589626530961</v>
      </c>
      <c r="AL173" s="561"/>
      <c r="AN173" s="566">
        <f>(AN143)/AN193</f>
        <v>0.36244038809406492</v>
      </c>
      <c r="AO173" s="558">
        <f>(AN173/AJ173-1)*100</f>
        <v>-22.37350510307088</v>
      </c>
      <c r="AP173" s="561"/>
      <c r="AR173" s="566">
        <f>(AR143)/AR193</f>
        <v>0.20671104974437249</v>
      </c>
      <c r="AS173" s="558">
        <f>(AR173/AN173-1)*100</f>
        <v>-42.966883235230299</v>
      </c>
      <c r="AT173" s="561"/>
      <c r="AV173" s="566">
        <f>(AV143)/AV193</f>
        <v>0.18803783066626115</v>
      </c>
      <c r="AW173" s="558">
        <f>(AV173/AR173-1)*100</f>
        <v>-9.0334885828326161</v>
      </c>
      <c r="AX173" s="561"/>
      <c r="AZ173" s="566">
        <f>(AZ143)/AZ193</f>
        <v>0.22097645725054868</v>
      </c>
      <c r="BA173" s="558">
        <f>(AZ173/AV173-1)*100</f>
        <v>17.517021158762791</v>
      </c>
      <c r="BB173" s="561"/>
      <c r="BD173" s="566">
        <f>(BD143)/BD193</f>
        <v>0.37100007107825711</v>
      </c>
      <c r="BE173" s="558">
        <f>(BD173/AZ173-1)*100</f>
        <v>67.891220492148577</v>
      </c>
      <c r="BF173" s="561"/>
      <c r="BH173" s="566">
        <f>(BH143)/BH193</f>
        <v>0.49878492884172687</v>
      </c>
      <c r="BI173" s="558">
        <f>(BH173/BD173-1)*100</f>
        <v>34.443351288877608</v>
      </c>
      <c r="BJ173" s="561"/>
      <c r="BL173" s="566">
        <f>(BL143)/BL193</f>
        <v>0.69054461681817692</v>
      </c>
      <c r="BM173" s="558">
        <f>(BL173/BH173-1)*100</f>
        <v>38.445365304391288</v>
      </c>
      <c r="BN173" s="561"/>
      <c r="BP173" s="566">
        <f>(BP143)/BP193</f>
        <v>0.88601990618922233</v>
      </c>
      <c r="BQ173" s="558">
        <f>(BP173/BL173-1)*100</f>
        <v>28.307409052254595</v>
      </c>
      <c r="BR173" s="564"/>
      <c r="BT173" s="566">
        <f>(BT143)/BT193</f>
        <v>0.91379310344827591</v>
      </c>
      <c r="BU173" s="558">
        <f>(BT173/BP173-1)*100</f>
        <v>3.1346019502548561</v>
      </c>
      <c r="BV173" s="564"/>
      <c r="BX173" s="566">
        <f>(BX143)/BX193</f>
        <v>0.31365313653136528</v>
      </c>
      <c r="BY173" s="558">
        <f>(BX173/BT173-1)*100</f>
        <v>-65.675694492793994</v>
      </c>
      <c r="BZ173" s="564"/>
      <c r="CB173" s="566">
        <f>(CB143)/CB193</f>
        <v>0.77582318448353638</v>
      </c>
      <c r="CC173" s="558">
        <f>(CB173/BX173-1)*100</f>
        <v>147.35068587651571</v>
      </c>
      <c r="CD173" s="564"/>
      <c r="CF173" s="566">
        <f>(CF143)/CF193</f>
        <v>1.0408254822790488</v>
      </c>
      <c r="CG173" s="558">
        <f>(CF173/CB173-1)*100</f>
        <v>34.157563617014588</v>
      </c>
      <c r="CH173" s="565"/>
      <c r="CJ173" s="566">
        <f>(CJ143)/CJ193</f>
        <v>1.1116344795101272</v>
      </c>
      <c r="CK173" s="558">
        <f>(CJ173/CF173-1)*100</f>
        <v>6.8031575356928276</v>
      </c>
      <c r="CL173" s="565"/>
      <c r="CN173" s="566">
        <f>(CN143)/CN193</f>
        <v>1.4031620553359683</v>
      </c>
      <c r="CO173" s="558">
        <f>(CN173/CJ173-1)*100</f>
        <v>26.225128960943245</v>
      </c>
      <c r="CP173" s="544"/>
      <c r="CR173" s="566">
        <f>(CR143)/CR193</f>
        <v>1.3687436159346271</v>
      </c>
      <c r="CS173" s="558">
        <f>(CR173/CN173-1)*100</f>
        <v>-2.4529197657857216</v>
      </c>
      <c r="CT173" s="544">
        <f>CR173/CN173-1</f>
        <v>-2.4529197657857216E-2</v>
      </c>
      <c r="CV173" s="566">
        <f>(CV143)/CV193</f>
        <v>1.315653964984552</v>
      </c>
      <c r="CW173" s="558">
        <f>(CV173/CR173-1)*100</f>
        <v>-3.8787140507554829</v>
      </c>
      <c r="CX173" s="544">
        <f>CV173/CR173-1</f>
        <v>-3.8787140507554829E-2</v>
      </c>
      <c r="CZ173" s="566">
        <f>(CZ143)/CZ193</f>
        <v>1.1732152739346984</v>
      </c>
      <c r="DA173" s="558">
        <f>(CZ173/CV173-1)*100</f>
        <v>-10.826455499757959</v>
      </c>
      <c r="DB173" s="544">
        <f>CZ173/CV173-1</f>
        <v>-0.10826455499757959</v>
      </c>
      <c r="DD173" s="566">
        <f>(DD143)/DD193</f>
        <v>1.3659647125782586</v>
      </c>
      <c r="DE173" s="558">
        <f>(DD173/CZ173-1)*100</f>
        <v>16.429162057967606</v>
      </c>
      <c r="DF173" s="544">
        <f>DD173/CZ173-1</f>
        <v>0.16429162057967606</v>
      </c>
      <c r="DH173" s="1340">
        <f>(DH143)/DH193</f>
        <v>1.1413813459268003</v>
      </c>
      <c r="DI173" s="558">
        <f>(DH173/DD173-1)*100</f>
        <v>-16.441373966942173</v>
      </c>
      <c r="DJ173" s="544">
        <f>DH173/DD173-1</f>
        <v>-0.16441373966942174</v>
      </c>
      <c r="DL173" s="1340">
        <f>(DL143)/DL193</f>
        <v>1.4136539294538588</v>
      </c>
      <c r="DM173" s="558">
        <f>(DL173/DH173-1)*100</f>
        <v>23.854655107051315</v>
      </c>
      <c r="DN173" s="544">
        <f>DL173/DH173-1</f>
        <v>0.23854655107051315</v>
      </c>
      <c r="DO173" s="544"/>
      <c r="DP173" s="254"/>
      <c r="DQ173" s="254">
        <f>SUM(DH170:DH173)</f>
        <v>2.8415567375313922</v>
      </c>
    </row>
    <row r="174" spans="1:121" x14ac:dyDescent="0.2">
      <c r="A174" s="517" t="s">
        <v>82</v>
      </c>
      <c r="D174" s="254">
        <f>(D144)/D194</f>
        <v>0.71001562511331995</v>
      </c>
      <c r="E174" s="558"/>
      <c r="F174" s="561"/>
      <c r="H174" s="254">
        <f>(H144)/H194</f>
        <v>0.8303128612931201</v>
      </c>
      <c r="I174" s="558">
        <f>(H174/D174-1)*100</f>
        <v>16.942899835563541</v>
      </c>
      <c r="J174" s="561"/>
      <c r="L174" s="254">
        <f>(L144)/L194</f>
        <v>0.85916268015108066</v>
      </c>
      <c r="M174" s="558">
        <f>(L174/H174-1)*100</f>
        <v>3.4745720803397218</v>
      </c>
      <c r="N174" s="561"/>
      <c r="P174" s="254">
        <f>(P144)/P194</f>
        <v>0.85678348306837582</v>
      </c>
      <c r="Q174" s="558">
        <f>(P174/L174-1)*100</f>
        <v>-0.2769204409910464</v>
      </c>
      <c r="R174" s="561"/>
      <c r="T174" s="254">
        <f>(T144)/T194</f>
        <v>1.2368722867659849</v>
      </c>
      <c r="U174" s="558">
        <f>(T174/P174-1)*100</f>
        <v>44.36229353259791</v>
      </c>
      <c r="V174" s="561"/>
      <c r="X174" s="254">
        <f>(X144)/X194</f>
        <v>1.0077621815285389</v>
      </c>
      <c r="Y174" s="558">
        <f>(X174/T174-1)*100</f>
        <v>-18.523343734743523</v>
      </c>
      <c r="Z174" s="561"/>
      <c r="AB174" s="254">
        <f>(AB144)/AB194</f>
        <v>0.92120514464350012</v>
      </c>
      <c r="AC174" s="558">
        <f>(AB174/X174-1)*100</f>
        <v>-8.5890340470756712</v>
      </c>
      <c r="AD174" s="561"/>
      <c r="AF174" s="254">
        <f>(AF144)/AF194</f>
        <v>1.2002240757809581</v>
      </c>
      <c r="AG174" s="558">
        <f>(AF174/AB174-1)*100</f>
        <v>30.288468617425757</v>
      </c>
      <c r="AH174" s="561"/>
      <c r="AJ174" s="254">
        <f>(AJ144)/AJ194</f>
        <v>3.8015716718092758</v>
      </c>
      <c r="AK174" s="558">
        <f>(AJ174/AF174-1)*100</f>
        <v>216.73849479612221</v>
      </c>
      <c r="AL174" s="561"/>
      <c r="AN174" s="254">
        <f>(AN144)/AN194</f>
        <v>1.4596424056348209</v>
      </c>
      <c r="AO174" s="558">
        <f>(AN174/AJ174-1)*100</f>
        <v>-61.604238150792625</v>
      </c>
      <c r="AP174" s="561"/>
      <c r="AR174" s="254">
        <f>(AR144)/AR194</f>
        <v>0.77644266937879192</v>
      </c>
      <c r="AS174" s="558">
        <f>(AR174/AN174-1)*100</f>
        <v>-46.805966558562332</v>
      </c>
      <c r="AT174" s="561"/>
      <c r="AV174" s="254">
        <f>(AV144)/AV194</f>
        <v>0.46398124546486297</v>
      </c>
      <c r="AW174" s="558">
        <f>(AV174/AR174-1)*100</f>
        <v>-40.242690959259079</v>
      </c>
      <c r="AX174" s="561"/>
      <c r="AZ174" s="254">
        <f>(AZ144)/AZ194</f>
        <v>0.33229431140094784</v>
      </c>
      <c r="BA174" s="558">
        <f>(AZ174/AV174-1)*100</f>
        <v>-28.38195193255666</v>
      </c>
      <c r="BB174" s="561"/>
      <c r="BD174" s="254">
        <f>(BD144)/BD194</f>
        <v>0.88174338254112483</v>
      </c>
      <c r="BE174" s="558">
        <f>(BD174/AZ174-1)*100</f>
        <v>165.35012857238152</v>
      </c>
      <c r="BF174" s="561"/>
      <c r="BH174" s="254">
        <f>(BH144)/BH194</f>
        <v>1.3831814139226841</v>
      </c>
      <c r="BI174" s="558">
        <f>(BH174/BD174-1)*100</f>
        <v>56.868930497266533</v>
      </c>
      <c r="BJ174" s="561"/>
      <c r="BL174" s="254">
        <f>(BL144)/BL194</f>
        <v>1.9842614832034398</v>
      </c>
      <c r="BM174" s="558">
        <f>(BL174/BH174-1)*100</f>
        <v>43.456343703759039</v>
      </c>
      <c r="BN174" s="561"/>
      <c r="BP174" s="254">
        <f>(BP144)/BP194</f>
        <v>2.5514990549466869</v>
      </c>
      <c r="BQ174" s="558">
        <f>(BP174/BL174-1)*100</f>
        <v>28.58683578474168</v>
      </c>
      <c r="BR174" s="564"/>
      <c r="BT174" s="254">
        <f>(BT144)/BT194</f>
        <v>2.7879678008175355</v>
      </c>
      <c r="BU174" s="558">
        <f>(BT174/BP174-1)*100</f>
        <v>9.2678359183554271</v>
      </c>
      <c r="BV174" s="564"/>
      <c r="BX174" s="254">
        <f>(BX144)/BX194</f>
        <v>1.8013971007875809</v>
      </c>
      <c r="BY174" s="558">
        <f>(BX174/BT174-1)*100</f>
        <v>-35.386732219097205</v>
      </c>
      <c r="BZ174" s="564"/>
      <c r="CB174" s="254">
        <f>(CB144)/CB194</f>
        <v>1.9485545185522422</v>
      </c>
      <c r="CC174" s="558">
        <f>(CB174/BX174-1)*100</f>
        <v>8.1690715334405297</v>
      </c>
      <c r="CD174" s="564"/>
      <c r="CF174" s="254">
        <f>(CF144)/CF194</f>
        <v>2.7532000898270828</v>
      </c>
      <c r="CG174" s="558">
        <f>(CF174/CB174-1)*100</f>
        <v>41.294485918345501</v>
      </c>
      <c r="CH174" s="564"/>
      <c r="CJ174" s="254">
        <f>(CJ144)/CJ194</f>
        <v>3.137705294590559</v>
      </c>
      <c r="CK174" s="558">
        <f>(CJ174/CF174-1)*100</f>
        <v>13.96575592831779</v>
      </c>
      <c r="CL174" s="564"/>
      <c r="CN174" s="254">
        <f>(CN144)/CN194</f>
        <v>3.5558780841799713</v>
      </c>
      <c r="CO174" s="558">
        <f>(CN174/CJ174-1)*100</f>
        <v>13.327344359278959</v>
      </c>
      <c r="CP174" s="544"/>
      <c r="CR174" s="254">
        <f>(CR144)/CR194</f>
        <v>3.7126960040465353</v>
      </c>
      <c r="CS174" s="558">
        <f>(CR174/CN174-1)*100</f>
        <v>4.4101039505331618</v>
      </c>
      <c r="CT174" s="544">
        <f>CR174/CN174-1</f>
        <v>4.4101039505331618E-2</v>
      </c>
      <c r="CV174" s="254">
        <f>(CV144)/CV194</f>
        <v>3.7215909090909092</v>
      </c>
      <c r="CW174" s="558">
        <f>(CV174/CR174-1)*100</f>
        <v>0.23958075303442961</v>
      </c>
      <c r="CX174" s="544">
        <f>CV174/CR174-1</f>
        <v>2.3958075303442961E-3</v>
      </c>
      <c r="CZ174" s="254">
        <f>(CZ144)/CZ194</f>
        <v>3.3179135932560588</v>
      </c>
      <c r="DA174" s="558">
        <f>(CZ174/CV174-1)*100</f>
        <v>-10.846901921669261</v>
      </c>
      <c r="DB174" s="544">
        <f>CZ174/CV174-1</f>
        <v>-0.10846901921669261</v>
      </c>
      <c r="DD174" s="254">
        <f>(DD144)/DD194</f>
        <v>3.1501429388221847</v>
      </c>
      <c r="DE174" s="558">
        <f>(DD174/CZ174-1)*100</f>
        <v>-5.0565106570250151</v>
      </c>
      <c r="DF174" s="544">
        <f>DD174/CZ174-1</f>
        <v>-5.0565106570250151E-2</v>
      </c>
      <c r="DH174" s="1341">
        <f>(DH144)/DH194</f>
        <v>2.8425599905317038</v>
      </c>
      <c r="DI174" s="558">
        <f>(DH174/DD174-1)*100</f>
        <v>-9.7640949716867098</v>
      </c>
      <c r="DJ174" s="544">
        <f>DH174/DD174-1</f>
        <v>-9.7640949716867098E-2</v>
      </c>
      <c r="DL174" s="1341">
        <f>(DL144)/DL194</f>
        <v>3.2974127560357411</v>
      </c>
      <c r="DM174" s="558">
        <f>(DL174/DH174-1)*100</f>
        <v>16.001518596585761</v>
      </c>
      <c r="DN174" s="544">
        <f>DL174/DH174-1</f>
        <v>0.16001518596585762</v>
      </c>
      <c r="DO174" s="544"/>
    </row>
    <row r="175" spans="1:121" x14ac:dyDescent="0.2">
      <c r="A175" s="517"/>
      <c r="D175" s="568"/>
      <c r="E175" s="563"/>
      <c r="F175" s="561"/>
      <c r="H175" s="568"/>
      <c r="I175" s="563"/>
      <c r="J175" s="561"/>
      <c r="L175" s="568"/>
      <c r="M175" s="563"/>
      <c r="N175" s="561"/>
      <c r="P175" s="568"/>
      <c r="Q175" s="563"/>
      <c r="R175" s="561"/>
      <c r="T175" s="568"/>
      <c r="U175" s="563"/>
      <c r="V175" s="561"/>
      <c r="X175" s="568"/>
      <c r="Y175" s="563"/>
      <c r="Z175" s="561"/>
      <c r="AB175" s="568"/>
      <c r="AC175" s="563"/>
      <c r="AD175" s="561"/>
      <c r="AF175" s="568"/>
      <c r="AG175" s="563"/>
      <c r="AH175" s="561"/>
      <c r="AJ175" s="507"/>
      <c r="AK175" s="558"/>
      <c r="AL175" s="561"/>
      <c r="AN175" s="507"/>
      <c r="AO175" s="558"/>
      <c r="AP175" s="561"/>
      <c r="AR175" s="507"/>
      <c r="AS175" s="558"/>
      <c r="AT175" s="561"/>
      <c r="AV175" s="507"/>
      <c r="AW175" s="558"/>
      <c r="AX175" s="561"/>
      <c r="AZ175" s="507"/>
      <c r="BA175" s="558"/>
      <c r="BB175" s="561"/>
      <c r="BD175" s="507"/>
      <c r="BE175" s="558"/>
      <c r="BF175" s="561"/>
      <c r="BH175" s="507"/>
      <c r="BI175" s="558"/>
      <c r="BJ175" s="561"/>
      <c r="BL175" s="507"/>
      <c r="BM175" s="558"/>
      <c r="BN175" s="561"/>
      <c r="BP175" s="507"/>
      <c r="BQ175" s="558"/>
      <c r="BR175" s="564"/>
      <c r="BT175" s="507"/>
      <c r="BU175" s="558"/>
      <c r="BV175" s="564"/>
      <c r="BX175" s="507"/>
      <c r="BY175" s="558"/>
      <c r="BZ175" s="564"/>
      <c r="CB175" s="507"/>
      <c r="CC175" s="558"/>
      <c r="CD175" s="564"/>
      <c r="CF175" s="541"/>
      <c r="CG175" s="558"/>
      <c r="CH175" s="564"/>
      <c r="CJ175" s="541"/>
      <c r="CK175" s="558"/>
      <c r="CL175" s="564"/>
      <c r="CN175" s="567"/>
      <c r="CO175" s="558"/>
      <c r="CP175" s="561"/>
      <c r="CR175" s="569"/>
      <c r="CS175" s="558"/>
      <c r="CT175" s="559"/>
      <c r="CV175" s="569"/>
      <c r="CW175" s="558"/>
      <c r="CX175" s="561"/>
      <c r="CZ175" s="570"/>
      <c r="DA175" s="558"/>
      <c r="DB175" s="561"/>
      <c r="DD175" s="681"/>
      <c r="DE175" s="558"/>
      <c r="DF175" s="561"/>
      <c r="DH175" s="681"/>
      <c r="DI175" s="558"/>
      <c r="DJ175" s="561"/>
      <c r="DL175" s="681"/>
      <c r="DM175" s="558"/>
      <c r="DN175" s="561"/>
      <c r="DO175" s="561"/>
    </row>
    <row r="176" spans="1:121" x14ac:dyDescent="0.2">
      <c r="A176" s="517"/>
      <c r="D176" s="568"/>
      <c r="E176" s="563"/>
      <c r="F176" s="561"/>
      <c r="H176" s="568"/>
      <c r="I176" s="563"/>
      <c r="J176" s="561"/>
      <c r="L176" s="568"/>
      <c r="M176" s="563"/>
      <c r="N176" s="561"/>
      <c r="P176" s="568"/>
      <c r="Q176" s="563"/>
      <c r="R176" s="561"/>
      <c r="T176" s="568"/>
      <c r="U176" s="563"/>
      <c r="V176" s="561"/>
      <c r="X176" s="568"/>
      <c r="Y176" s="563"/>
      <c r="Z176" s="561"/>
      <c r="AB176" s="568"/>
      <c r="AC176" s="563"/>
      <c r="AD176" s="561"/>
      <c r="AF176" s="568"/>
      <c r="AG176" s="563"/>
      <c r="AH176" s="561"/>
      <c r="AJ176" s="507"/>
      <c r="AK176" s="558"/>
      <c r="AL176" s="561"/>
      <c r="AN176" s="507"/>
      <c r="AO176" s="558"/>
      <c r="AP176" s="561"/>
      <c r="AR176" s="507"/>
      <c r="AS176" s="558"/>
      <c r="AT176" s="561"/>
      <c r="AV176" s="507"/>
      <c r="AW176" s="558"/>
      <c r="AX176" s="561"/>
      <c r="AZ176" s="507"/>
      <c r="BA176" s="558"/>
      <c r="BB176" s="561"/>
      <c r="BD176" s="507"/>
      <c r="BE176" s="558"/>
      <c r="BF176" s="561"/>
      <c r="BH176" s="507"/>
      <c r="BI176" s="558"/>
      <c r="BJ176" s="561"/>
      <c r="BL176" s="507"/>
      <c r="BM176" s="558"/>
      <c r="BN176" s="561"/>
      <c r="BP176" s="507"/>
      <c r="BQ176" s="558"/>
      <c r="BR176" s="564"/>
      <c r="BT176" s="507"/>
      <c r="BU176" s="558"/>
      <c r="BV176" s="564"/>
      <c r="BX176" s="507"/>
      <c r="BY176" s="558"/>
      <c r="BZ176" s="564"/>
      <c r="CB176" s="507"/>
      <c r="CC176" s="558"/>
      <c r="CD176" s="564"/>
      <c r="CF176" s="507"/>
      <c r="CG176" s="558"/>
      <c r="CH176" s="564"/>
      <c r="CJ176" s="507"/>
      <c r="CK176" s="558"/>
      <c r="CL176" s="564"/>
      <c r="CN176" s="567"/>
      <c r="CO176" s="558"/>
      <c r="CP176" s="561"/>
      <c r="CS176" s="558"/>
      <c r="CT176" s="561"/>
      <c r="CW176" s="558"/>
      <c r="CX176" s="561"/>
      <c r="CZ176" s="254"/>
      <c r="DA176" s="558"/>
      <c r="DB176" s="561"/>
      <c r="DD176" s="254"/>
      <c r="DE176" s="558"/>
      <c r="DF176" s="561"/>
      <c r="DH176" s="254"/>
      <c r="DI176" s="558"/>
      <c r="DJ176" s="561"/>
      <c r="DL176" s="254"/>
      <c r="DM176" s="558"/>
      <c r="DN176" s="561"/>
      <c r="DO176" s="561"/>
    </row>
    <row r="177" spans="1:120" x14ac:dyDescent="0.2">
      <c r="A177" s="517"/>
      <c r="D177" s="568"/>
      <c r="E177" s="563"/>
      <c r="F177" s="561"/>
      <c r="H177" s="568"/>
      <c r="I177" s="563"/>
      <c r="J177" s="561"/>
      <c r="L177" s="568"/>
      <c r="M177" s="563"/>
      <c r="N177" s="561"/>
      <c r="P177" s="568"/>
      <c r="Q177" s="563"/>
      <c r="R177" s="561"/>
      <c r="T177" s="568"/>
      <c r="U177" s="563"/>
      <c r="V177" s="561"/>
      <c r="X177" s="568"/>
      <c r="Y177" s="563"/>
      <c r="Z177" s="561"/>
      <c r="AB177" s="568"/>
      <c r="AC177" s="563"/>
      <c r="AD177" s="561"/>
      <c r="AF177" s="568"/>
      <c r="AG177" s="563"/>
      <c r="AH177" s="561"/>
      <c r="AJ177" s="507"/>
      <c r="AK177" s="558"/>
      <c r="AL177" s="561"/>
      <c r="AN177" s="507"/>
      <c r="AO177" s="558"/>
      <c r="AP177" s="561"/>
      <c r="AR177" s="507"/>
      <c r="AS177" s="558"/>
      <c r="AT177" s="561"/>
      <c r="AV177" s="507"/>
      <c r="AW177" s="558"/>
      <c r="AX177" s="561"/>
      <c r="AZ177" s="507"/>
      <c r="BA177" s="558"/>
      <c r="BB177" s="561"/>
      <c r="BD177" s="507"/>
      <c r="BE177" s="558"/>
      <c r="BF177" s="561"/>
      <c r="BH177" s="507"/>
      <c r="BI177" s="558"/>
      <c r="BJ177" s="561"/>
      <c r="BL177" s="507"/>
      <c r="BM177" s="558"/>
      <c r="BN177" s="561"/>
      <c r="BP177" s="507"/>
      <c r="BQ177" s="558"/>
      <c r="BR177" s="564"/>
      <c r="BT177" s="507"/>
      <c r="BU177" s="558"/>
      <c r="BV177" s="564"/>
      <c r="BX177" s="507"/>
      <c r="BY177" s="558"/>
      <c r="BZ177" s="564"/>
      <c r="CB177" s="507"/>
      <c r="CC177" s="558"/>
      <c r="CD177" s="564"/>
      <c r="CF177" s="507"/>
      <c r="CG177" s="558"/>
      <c r="CH177" s="564"/>
      <c r="CJ177" s="507"/>
      <c r="CK177" s="558"/>
      <c r="CL177" s="564"/>
      <c r="CN177" s="507"/>
      <c r="CO177" s="558"/>
      <c r="CP177" s="561"/>
      <c r="CR177" s="507"/>
      <c r="CS177" s="558"/>
      <c r="CT177" s="561"/>
      <c r="CV177" s="507"/>
      <c r="CW177" s="558"/>
      <c r="CX177" s="561"/>
      <c r="CZ177" s="507"/>
      <c r="DA177" s="558"/>
      <c r="DB177" s="561"/>
      <c r="DD177" s="507"/>
      <c r="DE177" s="558"/>
      <c r="DF177" s="561"/>
      <c r="DH177" s="507"/>
      <c r="DI177" s="558"/>
      <c r="DJ177" s="561"/>
      <c r="DL177" s="507"/>
      <c r="DM177" s="558"/>
      <c r="DN177" s="561"/>
      <c r="DO177" s="561"/>
    </row>
    <row r="178" spans="1:120" s="516" customFormat="1" ht="12.75" customHeight="1" x14ac:dyDescent="0.2">
      <c r="A178" s="515" t="s">
        <v>449</v>
      </c>
      <c r="CG178" s="1397" t="str">
        <f>A178</f>
        <v>16. Earnings Per Share - GAAP - Fully Diluted</v>
      </c>
      <c r="CH178" s="1397"/>
      <c r="CI178" s="1397"/>
      <c r="CJ178" s="1397"/>
      <c r="CK178" s="1397"/>
      <c r="CL178" s="1397"/>
      <c r="CM178" s="1397"/>
      <c r="CN178" s="1397"/>
      <c r="CO178" s="1397"/>
      <c r="CP178" s="1397"/>
      <c r="CQ178" s="1397"/>
      <c r="CR178" s="1397"/>
      <c r="CS178" s="1397"/>
      <c r="CT178" s="1397"/>
      <c r="CU178" s="1397"/>
      <c r="CV178" s="1397"/>
      <c r="CW178" s="1397"/>
      <c r="CX178" s="1397"/>
      <c r="CY178" s="1397"/>
      <c r="CZ178" s="1397"/>
      <c r="DA178" s="1397"/>
      <c r="DB178" s="1397"/>
      <c r="DC178" s="1397"/>
      <c r="DD178" s="1397"/>
      <c r="DE178" s="1397"/>
      <c r="DF178" s="1397"/>
      <c r="DG178" s="846"/>
      <c r="DH178" s="846"/>
      <c r="DI178" s="846"/>
      <c r="DJ178" s="846"/>
      <c r="DK178" s="1222"/>
      <c r="DL178" s="1222"/>
      <c r="DM178" s="1222"/>
      <c r="DN178" s="1222"/>
      <c r="DO178" s="1222"/>
    </row>
    <row r="179" spans="1:120" x14ac:dyDescent="0.2">
      <c r="D179" s="361"/>
      <c r="E179" s="249"/>
      <c r="F179" s="249"/>
      <c r="H179" s="361"/>
      <c r="I179" s="249"/>
      <c r="J179" s="249"/>
      <c r="L179" s="361"/>
      <c r="M179" s="249"/>
      <c r="N179" s="249"/>
      <c r="P179" s="361"/>
      <c r="Q179" s="249"/>
      <c r="R179" s="249"/>
      <c r="T179" s="361"/>
      <c r="U179" s="249"/>
      <c r="V179" s="249"/>
      <c r="X179" s="361"/>
      <c r="Y179" s="249"/>
      <c r="Z179" s="249"/>
      <c r="AB179" s="361"/>
      <c r="AC179" s="249"/>
      <c r="AD179" s="249"/>
      <c r="AF179" s="361"/>
      <c r="AG179" s="249"/>
      <c r="AH179" s="249"/>
      <c r="AJ179" s="361"/>
      <c r="AK179" s="249"/>
      <c r="AL179" s="249"/>
      <c r="AN179" s="361"/>
      <c r="AO179" s="249"/>
      <c r="AP179" s="249"/>
      <c r="AR179" s="361"/>
      <c r="AS179" s="249"/>
      <c r="AT179" s="249"/>
      <c r="AV179" s="361"/>
      <c r="AW179" s="249"/>
      <c r="AX179" s="249"/>
      <c r="AZ179" s="361"/>
      <c r="BA179" s="249"/>
      <c r="BB179" s="249"/>
      <c r="BD179" s="361"/>
      <c r="BE179" s="249"/>
      <c r="BF179" s="249"/>
      <c r="BH179" s="361"/>
      <c r="BI179" s="249"/>
      <c r="BJ179" s="249"/>
      <c r="BL179" s="361"/>
      <c r="BM179" s="249"/>
      <c r="BN179" s="249"/>
      <c r="BP179" s="362"/>
      <c r="BT179" s="362"/>
      <c r="BX179" s="362"/>
      <c r="CB179" s="362"/>
      <c r="CF179" s="362"/>
      <c r="CJ179" s="362"/>
      <c r="CP179" s="249"/>
      <c r="CT179" s="249"/>
      <c r="CX179" s="249"/>
      <c r="DB179" s="249"/>
      <c r="DF179" s="249"/>
      <c r="DJ179" s="249"/>
      <c r="DN179" s="249"/>
      <c r="DO179" s="249"/>
    </row>
    <row r="180" spans="1:120" x14ac:dyDescent="0.2">
      <c r="A180" s="517" t="s">
        <v>78</v>
      </c>
      <c r="D180" s="254">
        <f>(D160+0)/D190</f>
        <v>8.0981595092024891E-2</v>
      </c>
      <c r="E180" s="558"/>
      <c r="F180" s="249"/>
      <c r="H180" s="254">
        <f>(H160+0)/H190</f>
        <v>0.15694301793379653</v>
      </c>
      <c r="I180" s="558">
        <f>(H180/D180-1)*100</f>
        <v>93.800847903096397</v>
      </c>
      <c r="J180" s="249"/>
      <c r="L180" s="254">
        <f>(L160+0)/L190</f>
        <v>0.13183083080764443</v>
      </c>
      <c r="M180" s="558">
        <f>(L180/H180-1)*100</f>
        <v>-16.000831038399689</v>
      </c>
      <c r="N180" s="249"/>
      <c r="P180" s="254">
        <f>(P160+0)/P190</f>
        <v>6.8935521539851163E-2</v>
      </c>
      <c r="Q180" s="558">
        <f>(P180/L180-1)*100</f>
        <v>-47.709104829631535</v>
      </c>
      <c r="R180" s="249"/>
      <c r="T180" s="254">
        <f>(T160+0)/T190</f>
        <v>0.19491615173273563</v>
      </c>
      <c r="U180" s="558">
        <f>(T180/P180-1)*100</f>
        <v>182.75139924785498</v>
      </c>
      <c r="V180" s="249"/>
      <c r="X180" s="254">
        <f>(X160+0)/X190</f>
        <v>0.16824327132078087</v>
      </c>
      <c r="Y180" s="558">
        <f>(X180/T180-1)*100</f>
        <v>-13.684284331925445</v>
      </c>
      <c r="Z180" s="249"/>
      <c r="AB180" s="254">
        <f>(AB160+0)/AB190</f>
        <v>0.15951445222372515</v>
      </c>
      <c r="AC180" s="558">
        <f>(AB180/X180-1)*100</f>
        <v>-5.1882128946559298</v>
      </c>
      <c r="AD180" s="249"/>
      <c r="AF180" s="254">
        <f>(AF160+0)/AF190</f>
        <v>0.20583609892914695</v>
      </c>
      <c r="AG180" s="558">
        <f>(AF180/AB180-1)*100</f>
        <v>29.039153543563501</v>
      </c>
      <c r="AH180" s="249"/>
      <c r="AJ180" s="254">
        <f>(AJ160+0)/AJ190</f>
        <v>0.21449530581828852</v>
      </c>
      <c r="AK180" s="558">
        <f>(AJ180/AF180-1)*100</f>
        <v>4.2068456088075523</v>
      </c>
      <c r="AL180" s="249"/>
      <c r="AN180" s="254">
        <f>(AN160+0)/AN190</f>
        <v>0.22058247538048348</v>
      </c>
      <c r="AO180" s="558">
        <f>(AN180/AJ180-1)*100</f>
        <v>2.8379033932573572</v>
      </c>
      <c r="AP180" s="249"/>
      <c r="AR180" s="254">
        <f>(AR160+0)/AR190</f>
        <v>0.24910542669816993</v>
      </c>
      <c r="AS180" s="558">
        <f>(AR180/AN180-1)*100</f>
        <v>12.93074223982984</v>
      </c>
      <c r="AT180" s="249"/>
      <c r="AV180" s="254">
        <f>(AV160+0)/AV190</f>
        <v>9.2423201565089999E-2</v>
      </c>
      <c r="AW180" s="558">
        <f>(AV180/AR180-1)*100</f>
        <v>-62.897957386903848</v>
      </c>
      <c r="AX180" s="249"/>
      <c r="AZ180" s="254">
        <f>(AZ160+0)/AZ190</f>
        <v>7.9068567849382397E-3</v>
      </c>
      <c r="BA180" s="558">
        <f>(AZ180/AV180-1)*100</f>
        <v>-91.444943854958595</v>
      </c>
      <c r="BB180" s="249"/>
      <c r="BD180" s="254">
        <f>(BD160+0)/BD190</f>
        <v>9.9983063078984927E-2</v>
      </c>
      <c r="BE180" s="558">
        <f>(BD180/AZ180-1)*100</f>
        <v>1164.5108644112856</v>
      </c>
      <c r="BF180" s="249"/>
      <c r="BH180" s="254">
        <f>(BH160+0)/BH190</f>
        <v>0.24203909138932944</v>
      </c>
      <c r="BI180" s="558">
        <f>(BH180/BD180-1)*100</f>
        <v>142.08009230335611</v>
      </c>
      <c r="BJ180" s="249"/>
      <c r="BL180" s="254">
        <f>(BL160+0)/BL190</f>
        <v>0.37550378240910343</v>
      </c>
      <c r="BM180" s="558">
        <f>(BL180/BH180-1)*100</f>
        <v>55.141791457600029</v>
      </c>
      <c r="BN180" s="249"/>
      <c r="BP180" s="254">
        <f>(BP160+0)/BP190</f>
        <v>0.48099739399115188</v>
      </c>
      <c r="BQ180" s="558">
        <f>(BP180/BL180-1)*100</f>
        <v>28.093887871178723</v>
      </c>
      <c r="BT180" s="254">
        <f>(BT160+0)/BT190</f>
        <v>0.59685001008636229</v>
      </c>
      <c r="BU180" s="558">
        <f>(BT180/BP180-1)*100</f>
        <v>24.085913466995112</v>
      </c>
      <c r="BX180" s="254">
        <f>(BX160+0)/BX190</f>
        <v>0.58186738836265228</v>
      </c>
      <c r="BY180" s="558">
        <f>(BX180/BT180-1)*100</f>
        <v>-2.5102825618687818</v>
      </c>
      <c r="CB180" s="254">
        <f>(CB160+0)/CB190</f>
        <v>0.37258509659613614</v>
      </c>
      <c r="CC180" s="558">
        <f>(CB180/BX180-1)*100</f>
        <v>-35.967352003594279</v>
      </c>
      <c r="CF180" s="254">
        <f>(CF160+0)/CF190</f>
        <v>0.52158273381294962</v>
      </c>
      <c r="CG180" s="558">
        <f>(CF180/CB180-1)*100</f>
        <v>39.990230038191669</v>
      </c>
      <c r="CJ180" s="254">
        <f>(CJ160+0)/CJ190</f>
        <v>0.64935064935064934</v>
      </c>
      <c r="CK180" s="558">
        <f>(CJ180/CF180-1)*100</f>
        <v>24.496193461710703</v>
      </c>
      <c r="CN180" s="254">
        <f>(CN160+0)/CN190</f>
        <v>0.70482497634815511</v>
      </c>
      <c r="CO180" s="558">
        <f>(CN180/CJ180-1)*100</f>
        <v>8.543046357615891</v>
      </c>
      <c r="CP180" s="249"/>
      <c r="CR180" s="254">
        <f>(CR160+0)/CR190</f>
        <v>0.72864321608040206</v>
      </c>
      <c r="CS180" s="558">
        <f>(CR180/CN180-1)*100</f>
        <v>3.3793126707362342</v>
      </c>
      <c r="CT180" s="571"/>
      <c r="CV180" s="254">
        <f>(CV160+0)/CV190</f>
        <v>0.72651790347690715</v>
      </c>
      <c r="CW180" s="558">
        <f>(CV180/CR180-1)*100</f>
        <v>-0.29168083316930549</v>
      </c>
      <c r="CX180" s="571"/>
      <c r="CZ180" s="254">
        <f>(CZ160+0)/CZ190</f>
        <v>0.65674704976911236</v>
      </c>
      <c r="DA180" s="558">
        <f>(CZ180/CV180-1)*100</f>
        <v>-9.6034596496371805</v>
      </c>
      <c r="DB180" s="571"/>
      <c r="DD180" s="254">
        <f>(DD160+0)/DD190</f>
        <v>0.2618099032441662</v>
      </c>
      <c r="DE180" s="558">
        <f>(DD180/CZ180-1)*100</f>
        <v>-60.135351451337506</v>
      </c>
      <c r="DF180" s="571"/>
      <c r="DH180" s="254">
        <f>(DH160+0)/DH190</f>
        <v>0.37256061502069782</v>
      </c>
      <c r="DI180" s="558">
        <f>(DH180/DD180-1)*100</f>
        <v>42.301956650296965</v>
      </c>
      <c r="DJ180" s="571"/>
      <c r="DL180" s="254">
        <f>(DL160+0)/DL190</f>
        <v>0.41875097081495366</v>
      </c>
      <c r="DM180" s="558">
        <f>(DL180/DH180-1)*100</f>
        <v>12.398078039378824</v>
      </c>
      <c r="DN180" s="571"/>
      <c r="DO180" s="571"/>
    </row>
    <row r="181" spans="1:120" x14ac:dyDescent="0.2">
      <c r="A181" s="517" t="s">
        <v>79</v>
      </c>
      <c r="C181" s="572"/>
      <c r="D181" s="507">
        <f>(D161+0)/D191</f>
        <v>0.21595092024539889</v>
      </c>
      <c r="E181" s="558"/>
      <c r="F181" s="249"/>
      <c r="H181" s="507">
        <f>(H161+0)/H191</f>
        <v>0.30500120137532299</v>
      </c>
      <c r="I181" s="558">
        <f>(H181/D181-1)*100</f>
        <v>41.236351773231881</v>
      </c>
      <c r="J181" s="249"/>
      <c r="L181" s="507">
        <f>(L161+0)/L191</f>
        <v>0.25443191528268111</v>
      </c>
      <c r="M181" s="558">
        <f>(L181/H181-1)*100</f>
        <v>-16.580028493203613</v>
      </c>
      <c r="N181" s="249"/>
      <c r="P181" s="507">
        <f>(P161+0)/P191</f>
        <v>0.26038461538461544</v>
      </c>
      <c r="Q181" s="558">
        <f>(P181/L181-1)*100</f>
        <v>2.3396043280658141</v>
      </c>
      <c r="R181" s="249"/>
      <c r="T181" s="507">
        <f>(T161+0)/T191</f>
        <v>0.38373496167874566</v>
      </c>
      <c r="U181" s="558">
        <f>(T181/P181-1)*100</f>
        <v>47.372363421674812</v>
      </c>
      <c r="V181" s="249"/>
      <c r="X181" s="507">
        <f>(X161+0)/X191</f>
        <v>0.32742911321395329</v>
      </c>
      <c r="Y181" s="558">
        <f>(X181/T181-1)*100</f>
        <v>-14.673108808868541</v>
      </c>
      <c r="Z181" s="249"/>
      <c r="AB181" s="507">
        <f>(AB161+0)/AB191</f>
        <v>0.27583182164075343</v>
      </c>
      <c r="AC181" s="558">
        <f>(AB181/X181-1)*100</f>
        <v>-15.758309047944808</v>
      </c>
      <c r="AD181" s="249"/>
      <c r="AF181" s="507">
        <f>(AF161+0)/AF191</f>
        <v>0.38025079183758237</v>
      </c>
      <c r="AG181" s="558">
        <f>(AF181/AB181-1)*100</f>
        <v>37.856027479246194</v>
      </c>
      <c r="AH181" s="249"/>
      <c r="AJ181" s="507">
        <f>(AJ161+0)/AJ191</f>
        <v>0.46351026331683448</v>
      </c>
      <c r="AK181" s="558">
        <f>(AJ181/AF181-1)*100</f>
        <v>21.895936383694625</v>
      </c>
      <c r="AL181" s="249"/>
      <c r="AN181" s="507">
        <f>(AN161+0)/AN191</f>
        <v>0.50566417542882935</v>
      </c>
      <c r="AO181" s="558">
        <f>(AN181/AJ181-1)*100</f>
        <v>9.094493789705016</v>
      </c>
      <c r="AP181" s="249"/>
      <c r="AR181" s="507">
        <f>(AR161+0)/AR191</f>
        <v>0.34874026902382754</v>
      </c>
      <c r="AS181" s="558">
        <f>(AR181/AN181-1)*100</f>
        <v>-31.033226008530711</v>
      </c>
      <c r="AT181" s="249"/>
      <c r="AV181" s="507">
        <f>(AV161+0)/AV191</f>
        <v>0.14394593146955142</v>
      </c>
      <c r="AW181" s="558">
        <f>(AV181/AR181-1)*100</f>
        <v>-58.724029240306528</v>
      </c>
      <c r="AX181" s="249"/>
      <c r="AZ181" s="507">
        <f>(AZ161+0)/AZ191</f>
        <v>0.13250257694006706</v>
      </c>
      <c r="BA181" s="558">
        <f>(AZ181/AV181-1)*100</f>
        <v>-7.9497589217413562</v>
      </c>
      <c r="BB181" s="249"/>
      <c r="BD181" s="507">
        <f>(BD161+0)/BD191</f>
        <v>0.24148439906702371</v>
      </c>
      <c r="BE181" s="558">
        <f>(BD181/AZ181-1)*100</f>
        <v>82.248832168940211</v>
      </c>
      <c r="BF181" s="249"/>
      <c r="BH181" s="507">
        <f>(BH161+0)/BH191</f>
        <v>0.37253392056976786</v>
      </c>
      <c r="BI181" s="558">
        <f>(BH181/BD181-1)*100</f>
        <v>54.268317957207458</v>
      </c>
      <c r="BJ181" s="249"/>
      <c r="BL181" s="507">
        <f>(BL161+0)/BL191</f>
        <v>0.53343315339453801</v>
      </c>
      <c r="BM181" s="558">
        <f>(BL181/BH181-1)*100</f>
        <v>43.190491909752701</v>
      </c>
      <c r="BN181" s="249"/>
      <c r="BP181" s="507">
        <f>(BP161+0)/BP191</f>
        <v>0.67143704972466989</v>
      </c>
      <c r="BQ181" s="558">
        <f>(BP181/BL181-1)*100</f>
        <v>25.870888498762156</v>
      </c>
      <c r="BT181" s="507">
        <f>(BT161+0)/BT191</f>
        <v>0.7071124791465957</v>
      </c>
      <c r="BU181" s="558">
        <f>(BT181/BP181-1)*100</f>
        <v>5.3132947364991079</v>
      </c>
      <c r="BX181" s="507">
        <f>(BX161+0)/BX191</f>
        <v>0.65148063781321186</v>
      </c>
      <c r="BY181" s="558">
        <f>(BX181/BT181-1)*100</f>
        <v>-7.8674670542549503</v>
      </c>
      <c r="CB181" s="507">
        <f>(CB161+0)/CB191</f>
        <v>0.479890310786106</v>
      </c>
      <c r="CC181" s="558">
        <f>(CB181/BX181-1)*100</f>
        <v>-26.33851523248233</v>
      </c>
      <c r="CF181" s="507">
        <f>(CF161+0)/CF191</f>
        <v>0.65529622980251345</v>
      </c>
      <c r="CG181" s="558">
        <f>(CF181/CB181-1)*100</f>
        <v>36.551252457895188</v>
      </c>
      <c r="CJ181" s="507">
        <f>(CJ161+0)/CJ191</f>
        <v>0.79509313948205362</v>
      </c>
      <c r="CK181" s="558">
        <f>(CJ181/CF181-1)*100</f>
        <v>21.333391422329839</v>
      </c>
      <c r="CN181" s="507">
        <f>(CN161+0)/CN191</f>
        <v>0.74748442740776233</v>
      </c>
      <c r="CO181" s="558">
        <f>(CN181/CJ181-1)*100</f>
        <v>-5.9878157300294337</v>
      </c>
      <c r="CP181" s="249"/>
      <c r="CR181" s="507">
        <f>(CR161+0)/CR191</f>
        <v>0.92555331991951706</v>
      </c>
      <c r="CS181" s="558">
        <f>(CR181/CN181-1)*100</f>
        <v>23.822421709745644</v>
      </c>
      <c r="CT181" s="573"/>
      <c r="CV181" s="507">
        <f>(CV161+0)/CV191</f>
        <v>0.94966268811624288</v>
      </c>
      <c r="CW181" s="558">
        <f>(CV181/CR181-1)*100</f>
        <v>2.6048599986462362</v>
      </c>
      <c r="CX181" s="573"/>
      <c r="CZ181" s="507">
        <f>(CZ161+0)/CZ191</f>
        <v>0.93405684754521967</v>
      </c>
      <c r="DA181" s="558">
        <f>(CZ181/CV181-1)*100</f>
        <v>-1.6433035399104789</v>
      </c>
      <c r="DB181" s="573"/>
      <c r="DD181" s="507">
        <f>(DD161+0)/DD191</f>
        <v>0.66933638443935928</v>
      </c>
      <c r="DE181" s="558">
        <f>(DD181/CZ181-1)*100</f>
        <v>-28.340937042704429</v>
      </c>
      <c r="DF181" s="573"/>
      <c r="DH181" s="507">
        <f>(DH161+0)/DH191</f>
        <v>0.65281899109792285</v>
      </c>
      <c r="DI181" s="558">
        <f>(DH181/DD181-1)*100</f>
        <v>-2.4677268000710129</v>
      </c>
      <c r="DJ181" s="573"/>
      <c r="DL181" s="507">
        <f>(DL161+0)/DL191</f>
        <v>0.70527303465451474</v>
      </c>
      <c r="DM181" s="558">
        <f>(DL181/DH181-1)*100</f>
        <v>8.0350057629870353</v>
      </c>
      <c r="DN181" s="573"/>
      <c r="DO181" s="573"/>
    </row>
    <row r="182" spans="1:120" x14ac:dyDescent="0.2">
      <c r="A182" s="517" t="s">
        <v>80</v>
      </c>
      <c r="C182" s="572"/>
      <c r="D182" s="507">
        <f>(D162+0)/D192</f>
        <v>0.12515337423312833</v>
      </c>
      <c r="E182" s="558"/>
      <c r="F182" s="249"/>
      <c r="H182" s="507">
        <f>(H162+0)/H192</f>
        <v>0.11874179700743276</v>
      </c>
      <c r="I182" s="558">
        <f>(H182/D182-1)*100</f>
        <v>-5.1229759205312924</v>
      </c>
      <c r="J182" s="249"/>
      <c r="L182" s="507">
        <f>(L162+0)/L192</f>
        <v>0.14304943965454325</v>
      </c>
      <c r="M182" s="558">
        <f>(L182/H182-1)*100</f>
        <v>20.471007900940673</v>
      </c>
      <c r="N182" s="249"/>
      <c r="P182" s="507">
        <f>(P162+0)/P192</f>
        <v>0.1554090354090355</v>
      </c>
      <c r="Q182" s="558">
        <f>(P182/L182-1)*100</f>
        <v>8.6400868009969258</v>
      </c>
      <c r="R182" s="249"/>
      <c r="T182" s="507">
        <f>(T162+0)/T192</f>
        <v>0.23173578875209114</v>
      </c>
      <c r="U182" s="558">
        <f>(T182/P182-1)*100</f>
        <v>49.1134592928681</v>
      </c>
      <c r="V182" s="249"/>
      <c r="X182" s="507">
        <f>(X162+0)/X192</f>
        <v>0.17947167809883716</v>
      </c>
      <c r="Y182" s="558">
        <f>(X182/T182-1)*100</f>
        <v>-22.55331855933813</v>
      </c>
      <c r="Z182" s="249"/>
      <c r="AB182" s="507">
        <f>(AB162+0)/AB192</f>
        <v>0.21068074106783577</v>
      </c>
      <c r="AC182" s="558">
        <f>(AB182/X182-1)*100</f>
        <v>17.38940834542786</v>
      </c>
      <c r="AD182" s="249"/>
      <c r="AF182" s="507">
        <f>(AF162+0)/AF192</f>
        <v>0.23394519164800584</v>
      </c>
      <c r="AG182" s="558">
        <f>(AF182/AB182-1)*100</f>
        <v>11.04251411982613</v>
      </c>
      <c r="AH182" s="249"/>
      <c r="AJ182" s="507">
        <f>(AJ162+0)/AJ192</f>
        <v>2.6929839327230201</v>
      </c>
      <c r="AK182" s="558">
        <f>(AJ182/AF182-1)*100</f>
        <v>1051.1174535165853</v>
      </c>
      <c r="AL182" s="249"/>
      <c r="AN182" s="507">
        <f>(AN162+0)/AN192</f>
        <v>0.24491766800178003</v>
      </c>
      <c r="AO182" s="558">
        <f>(AN182/AJ182-1)*100</f>
        <v>-90.905342396375517</v>
      </c>
      <c r="AP182" s="249"/>
      <c r="AR182" s="507">
        <f>(AR162+0)/AR192</f>
        <v>-0.15891560163601193</v>
      </c>
      <c r="AS182" s="558">
        <f>(AR182/AN182-1)*100</f>
        <v>-164.88531551543963</v>
      </c>
      <c r="AT182" s="249"/>
      <c r="AV182" s="507">
        <f>(AV162+0)/AV192</f>
        <v>3.909946426841715E-2</v>
      </c>
      <c r="AW182" s="558">
        <f>(AV182/AR182-1)*100</f>
        <v>-124.60391797022703</v>
      </c>
      <c r="AX182" s="249"/>
      <c r="AZ182" s="507">
        <f>(AZ162+0)/AZ192</f>
        <v>6.7858089794956833E-2</v>
      </c>
      <c r="BA182" s="558">
        <f>(AZ182/AV182-1)*100</f>
        <v>73.552479719702063</v>
      </c>
      <c r="BB182" s="249"/>
      <c r="BD182" s="507">
        <f>(BD162+0)/BD192</f>
        <v>0.16471401779830977</v>
      </c>
      <c r="BE182" s="558">
        <f>(BD182/AZ182-1)*100</f>
        <v>142.73305997268318</v>
      </c>
      <c r="BF182" s="249"/>
      <c r="BH182" s="507">
        <f>(BH162+0)/BH192</f>
        <v>0.27192994711803747</v>
      </c>
      <c r="BI182" s="558">
        <f>(BH182/BD182-1)*100</f>
        <v>65.092170510352233</v>
      </c>
      <c r="BJ182" s="249"/>
      <c r="BL182" s="507">
        <f>(BL162+0)/BL192</f>
        <v>0.38719804537794555</v>
      </c>
      <c r="BM182" s="558">
        <f>(BL182/BH182-1)*100</f>
        <v>42.388894449302164</v>
      </c>
      <c r="BN182" s="249"/>
      <c r="BP182" s="507">
        <f>(BP162+0)/BP192</f>
        <v>0.51859595743379594</v>
      </c>
      <c r="BQ182" s="558">
        <f>(BP182/BL182-1)*100</f>
        <v>33.93558248146433</v>
      </c>
      <c r="BT182" s="507">
        <f>(BT162+0)/BT192</f>
        <v>0.6739761314725442</v>
      </c>
      <c r="BU182" s="558">
        <f>(BT182/BP182-1)*100</f>
        <v>29.961701747083925</v>
      </c>
      <c r="BX182" s="507">
        <f>(BX162+0)/BX192</f>
        <v>0.33157725813846878</v>
      </c>
      <c r="BY182" s="558">
        <f>(BX182/BT182-1)*100</f>
        <v>-50.80281887519984</v>
      </c>
      <c r="CB182" s="507">
        <f>(CB162+0)/CB192</f>
        <v>0.37607612143180791</v>
      </c>
      <c r="CC182" s="558">
        <f>(CB182/BX182-1)*100</f>
        <v>13.420360474407488</v>
      </c>
      <c r="CF182" s="507">
        <f>(CF162+0)/CF192</f>
        <v>0.53483146067415732</v>
      </c>
      <c r="CG182" s="558">
        <f>(CF182/CB182-1)*100</f>
        <v>42.213618519019903</v>
      </c>
      <c r="CJ182" s="507">
        <f>(CJ162+0)/CJ192</f>
        <v>0.59069767441860466</v>
      </c>
      <c r="CK182" s="558">
        <f>(CJ182/CF182-1)*100</f>
        <v>10.445573578268519</v>
      </c>
      <c r="CN182" s="507">
        <f>(CN162+0)/CN192</f>
        <v>0.71323888617489017</v>
      </c>
      <c r="CO182" s="680">
        <f>(CN182/CJ182-1)*100</f>
        <v>20.74516576976486</v>
      </c>
      <c r="CP182" s="249"/>
      <c r="CR182" s="507">
        <f>(CR162+0)/CR192</f>
        <v>0.69437404967055238</v>
      </c>
      <c r="CS182" s="558">
        <f>(CR182/CN182-1)*100</f>
        <v>-2.6449534468753089</v>
      </c>
      <c r="CT182" s="573"/>
      <c r="CV182" s="507">
        <f>(CV162+0)/CV192</f>
        <v>0.72932717000513614</v>
      </c>
      <c r="CW182" s="558">
        <f>(CV182/CR182-1)*100</f>
        <v>5.033759592710485</v>
      </c>
      <c r="CX182" s="573"/>
      <c r="CZ182" s="507">
        <f>(CZ162+0)/CZ192</f>
        <v>0.56978567694720328</v>
      </c>
      <c r="DA182" s="558">
        <f>(CZ182/CV182-1)*100</f>
        <v>-21.875161055196845</v>
      </c>
      <c r="DB182" s="573"/>
      <c r="DD182" s="507">
        <f>(DD162+0)/DD192</f>
        <v>-5.7900807381776193E-2</v>
      </c>
      <c r="DE182" s="680">
        <f>(DD182/CZ182-1)*100</f>
        <v>-110.16185729553558</v>
      </c>
      <c r="DF182" s="573"/>
      <c r="DH182" s="507">
        <f>(DH162+0)/DH192</f>
        <v>0.67479578548597141</v>
      </c>
      <c r="DI182" s="1328">
        <f>(DH182/DD182-1)*100</f>
        <v>-1265.4341554110313</v>
      </c>
      <c r="DJ182" s="573"/>
      <c r="DL182" s="507">
        <f>(DL162+0)/DL192</f>
        <v>0.78288003928941241</v>
      </c>
      <c r="DM182" s="680">
        <f>(DL182/DH182-1)*100</f>
        <v>16.017327927678359</v>
      </c>
      <c r="DN182" s="573"/>
      <c r="DO182" s="573"/>
    </row>
    <row r="183" spans="1:120" x14ac:dyDescent="0.2">
      <c r="A183" s="517" t="s">
        <v>81</v>
      </c>
      <c r="C183" s="572"/>
      <c r="D183" s="566">
        <f>(D163+0)/D193</f>
        <v>0.28761214555210474</v>
      </c>
      <c r="E183" s="558"/>
      <c r="F183" s="249"/>
      <c r="H183" s="566">
        <f>(H163+0)/H193</f>
        <v>0.24964692364530031</v>
      </c>
      <c r="I183" s="558">
        <f>(H183/D183-1)*100</f>
        <v>-13.200145575885125</v>
      </c>
      <c r="J183" s="249"/>
      <c r="L183" s="566">
        <f>(L163+0)/L193</f>
        <v>0.3050080992762248</v>
      </c>
      <c r="M183" s="558">
        <f>(L183/H183-1)*100</f>
        <v>22.175789239679133</v>
      </c>
      <c r="N183" s="249"/>
      <c r="P183" s="566">
        <f>(P163+0)/P193</f>
        <v>0.37184540372546698</v>
      </c>
      <c r="Q183" s="558">
        <f>(P183/L183-1)*100</f>
        <v>21.913288403765385</v>
      </c>
      <c r="R183" s="249"/>
      <c r="T183" s="566">
        <f>(T163+0)/T193</f>
        <v>0.42499324953841394</v>
      </c>
      <c r="U183" s="558">
        <f>(T183/P183-1)*100</f>
        <v>14.292995228787596</v>
      </c>
      <c r="V183" s="249"/>
      <c r="X183" s="566">
        <f>(X163+0)/X193</f>
        <v>0.33331813548455941</v>
      </c>
      <c r="Y183" s="558">
        <f>(X183/T183-1)*100</f>
        <v>-21.570957692486424</v>
      </c>
      <c r="Z183" s="249"/>
      <c r="AB183" s="566">
        <f>(AB163+0)/AB193</f>
        <v>0.26711927687538856</v>
      </c>
      <c r="AC183" s="558">
        <f>(AB183/X183-1)*100</f>
        <v>-19.860563096254758</v>
      </c>
      <c r="AD183" s="249"/>
      <c r="AF183" s="566">
        <f>(AF163+0)/AF193</f>
        <v>0.38189473968779492</v>
      </c>
      <c r="AG183" s="558">
        <f>(AF183/AB183-1)*100</f>
        <v>42.967869692889749</v>
      </c>
      <c r="AH183" s="249"/>
      <c r="AJ183" s="566">
        <f>(AJ163+0)/AJ193</f>
        <v>0.46690294154760675</v>
      </c>
      <c r="AK183" s="558">
        <f>(AJ183/AF183-1)*100</f>
        <v>22.259589626530961</v>
      </c>
      <c r="AL183" s="249"/>
      <c r="AN183" s="566">
        <f>(AN163+0)/AN193</f>
        <v>0.36244038809406492</v>
      </c>
      <c r="AO183" s="558">
        <f>(AN183/AJ183-1)*100</f>
        <v>-22.37350510307088</v>
      </c>
      <c r="AP183" s="249"/>
      <c r="AR183" s="566">
        <f>(AR163+0)/AR193</f>
        <v>0.20187334403104637</v>
      </c>
      <c r="AS183" s="558">
        <f>(AR183/AN183-1)*100</f>
        <v>-44.301642238984208</v>
      </c>
      <c r="AT183" s="249"/>
      <c r="AV183" s="566">
        <f>(AV163+0)/AV193</f>
        <v>0.18803783066626115</v>
      </c>
      <c r="AW183" s="558">
        <f>(AV183/AR183-1)*100</f>
        <v>-6.853561291706467</v>
      </c>
      <c r="AX183" s="249"/>
      <c r="AZ183" s="566">
        <f>(AZ163+0)/AZ193</f>
        <v>0.22097645725054868</v>
      </c>
      <c r="BA183" s="558">
        <f>(AZ183/AV183-1)*100</f>
        <v>17.517021158762791</v>
      </c>
      <c r="BB183" s="249"/>
      <c r="BD183" s="566">
        <f>(BD163+0)/BD193</f>
        <v>0.37100007107825711</v>
      </c>
      <c r="BE183" s="558">
        <f>(BD183/AZ183-1)*100</f>
        <v>67.891220492148577</v>
      </c>
      <c r="BF183" s="249"/>
      <c r="BH183" s="566">
        <f>(BH163+0)/BH193</f>
        <v>0.49878492884172687</v>
      </c>
      <c r="BI183" s="558">
        <f>(BH183/BD183-1)*100</f>
        <v>34.443351288877608</v>
      </c>
      <c r="BJ183" s="249"/>
      <c r="BL183" s="566">
        <f>(BL163+0)/BL193</f>
        <v>0.69054461681817692</v>
      </c>
      <c r="BM183" s="558">
        <f>(BL183/BH183-1)*100</f>
        <v>38.445365304391288</v>
      </c>
      <c r="BN183" s="249"/>
      <c r="BP183" s="566">
        <f>(BP163+0)/BP193</f>
        <v>0.88601990618922233</v>
      </c>
      <c r="BQ183" s="558">
        <f>(BP183/BL183-1)*100</f>
        <v>28.307409052254595</v>
      </c>
      <c r="BT183" s="566">
        <f>(BT163+0)/BT193</f>
        <v>0.91379310344827591</v>
      </c>
      <c r="BU183" s="558">
        <f>(BT183/BP183-1)*100</f>
        <v>3.1346019502548561</v>
      </c>
      <c r="BX183" s="566">
        <f>(BX163+0)/BX193</f>
        <v>0.31365313653136528</v>
      </c>
      <c r="BY183" s="558">
        <f>(BX183/BT183-1)*100</f>
        <v>-65.675694492793994</v>
      </c>
      <c r="CB183" s="566">
        <f>(CB163+0)/CB193</f>
        <v>0.77582318448353638</v>
      </c>
      <c r="CC183" s="558">
        <f>(CB183/BX183-1)*100</f>
        <v>147.35068587651571</v>
      </c>
      <c r="CF183" s="566">
        <f>(CF163+0)/CF193</f>
        <v>1.0408254822790488</v>
      </c>
      <c r="CG183" s="558">
        <f>(CF183/CB183-1)*100</f>
        <v>34.157563617014588</v>
      </c>
      <c r="CJ183" s="566">
        <f>(CJ163+0)/CJ193</f>
        <v>1.1116344795101272</v>
      </c>
      <c r="CK183" s="558">
        <f>(CJ183/CF183-1)*100</f>
        <v>6.8031575356928276</v>
      </c>
      <c r="CN183" s="566">
        <f>(CN163+0)/CN193</f>
        <v>1.4031620553359683</v>
      </c>
      <c r="CO183" s="558">
        <f>(CN183/CJ183-1)*100</f>
        <v>26.225128960943245</v>
      </c>
      <c r="CP183" s="249"/>
      <c r="CR183" s="566">
        <f>(CR163+0)/CR193</f>
        <v>1.3687436159346271</v>
      </c>
      <c r="CS183" s="558">
        <f>(CR183/CN183-1)*100</f>
        <v>-2.4529197657857216</v>
      </c>
      <c r="CT183" s="573"/>
      <c r="CV183" s="566">
        <f>(CV163+0)/CV193</f>
        <v>1.315653964984552</v>
      </c>
      <c r="CW183" s="558">
        <f>(CV183/CR183-1)*100</f>
        <v>-3.8787140507554829</v>
      </c>
      <c r="CX183" s="573"/>
      <c r="CZ183" s="566">
        <f>(CZ163+0)/CZ193</f>
        <v>1.1732152739346984</v>
      </c>
      <c r="DA183" s="558">
        <f>(CZ183/CV183-1)*100</f>
        <v>-10.826455499757959</v>
      </c>
      <c r="DB183" s="573"/>
      <c r="DD183" s="566">
        <f>(DD163+0)/DD193</f>
        <v>1.1451337507114399</v>
      </c>
      <c r="DE183" s="558">
        <f>(DD183/CZ183-1)*100</f>
        <v>-2.3935524747371817</v>
      </c>
      <c r="DF183" s="573"/>
      <c r="DH183" s="566">
        <f>(DH163+0)/DH193</f>
        <v>0.88754427390791024</v>
      </c>
      <c r="DI183" s="558">
        <f>(DH183/DD183-1)*100</f>
        <v>-22.494269917683972</v>
      </c>
      <c r="DJ183" s="573"/>
      <c r="DL183" s="566">
        <f>(DL163+0)/DL193</f>
        <v>1.4136539294538588</v>
      </c>
      <c r="DM183" s="558">
        <f>(DL183/DH183-1)*100</f>
        <v>59.277004090112207</v>
      </c>
      <c r="DN183" s="573"/>
      <c r="DO183" s="573"/>
      <c r="DP183" s="510"/>
    </row>
    <row r="184" spans="1:120" x14ac:dyDescent="0.2">
      <c r="A184" s="517" t="s">
        <v>82</v>
      </c>
      <c r="C184" s="572"/>
      <c r="D184" s="254">
        <f>(D164+0)/D194</f>
        <v>0.71001562511331995</v>
      </c>
      <c r="E184" s="558"/>
      <c r="F184" s="249"/>
      <c r="H184" s="254">
        <f>(H164+0)/H194</f>
        <v>0.8303128612931201</v>
      </c>
      <c r="I184" s="558">
        <f>(H184/D184-1)*100</f>
        <v>16.942899835563541</v>
      </c>
      <c r="J184" s="249"/>
      <c r="L184" s="254">
        <f>(L164+0)/L194</f>
        <v>0.83433400812569747</v>
      </c>
      <c r="M184" s="558">
        <f>(L184/H184-1)*100</f>
        <v>0.48429297196659338</v>
      </c>
      <c r="N184" s="249"/>
      <c r="P184" s="254">
        <f>(P164+0)/P194</f>
        <v>0.85678348306837582</v>
      </c>
      <c r="Q184" s="558">
        <f>(P184/L184-1)*100</f>
        <v>2.6907059671594125</v>
      </c>
      <c r="R184" s="249"/>
      <c r="T184" s="254">
        <f>(T164+0)/T194</f>
        <v>1.2368722867659849</v>
      </c>
      <c r="U184" s="558">
        <f>(T184/P184-1)*100</f>
        <v>44.36229353259791</v>
      </c>
      <c r="V184" s="249"/>
      <c r="X184" s="254">
        <f>(X164+0)/X194</f>
        <v>1.0077621815285389</v>
      </c>
      <c r="Y184" s="558">
        <f>(X184/T184-1)*100</f>
        <v>-18.523343734743523</v>
      </c>
      <c r="Z184" s="249"/>
      <c r="AB184" s="254">
        <f>(AB164+0)/AB194</f>
        <v>0.91222543996347594</v>
      </c>
      <c r="AC184" s="558">
        <f>(AB184/X184-1)*100</f>
        <v>-9.4800879926012058</v>
      </c>
      <c r="AD184" s="249"/>
      <c r="AF184" s="254">
        <f>(AF164+0)/AF194</f>
        <v>1.2002240757809581</v>
      </c>
      <c r="AG184" s="558">
        <f>(AF184/AB184-1)*100</f>
        <v>31.570993660187028</v>
      </c>
      <c r="AH184" s="249"/>
      <c r="AJ184" s="254">
        <f>(AJ164+0)/AJ194</f>
        <v>3.8015716718092758</v>
      </c>
      <c r="AK184" s="558">
        <f>(AJ184/AF184-1)*100</f>
        <v>216.73849479612221</v>
      </c>
      <c r="AL184" s="249"/>
      <c r="AN184" s="254">
        <f>(AN164+0)/AN194</f>
        <v>1.4596424056348209</v>
      </c>
      <c r="AO184" s="558">
        <f>(AN184/AJ184-1)*100</f>
        <v>-61.604238150792625</v>
      </c>
      <c r="AP184" s="249"/>
      <c r="AR184" s="254">
        <f>(AR164+0)/AR194</f>
        <v>0.77644266937879192</v>
      </c>
      <c r="AS184" s="558">
        <f>(AR184/AN184-1)*100</f>
        <v>-46.805966558562332</v>
      </c>
      <c r="AT184" s="249"/>
      <c r="AV184" s="254">
        <f>(AV164+0)/AV194</f>
        <v>0.46398124546486297</v>
      </c>
      <c r="AW184" s="558">
        <f>(AV184/AR184-1)*100</f>
        <v>-40.242690959259079</v>
      </c>
      <c r="AX184" s="249"/>
      <c r="AZ184" s="254">
        <f>(AZ164+0)/AZ194</f>
        <v>0.33229431140094784</v>
      </c>
      <c r="BA184" s="558">
        <f>(AZ184/AV184-1)*100</f>
        <v>-28.38195193255666</v>
      </c>
      <c r="BB184" s="249"/>
      <c r="BD184" s="254">
        <f>(BD164+0)/BD194</f>
        <v>0.88174338254112483</v>
      </c>
      <c r="BE184" s="558">
        <f>(BD184/AZ184-1)*100</f>
        <v>165.35012857238152</v>
      </c>
      <c r="BF184" s="249"/>
      <c r="BH184" s="254">
        <f>(BH164+0)/BH194</f>
        <v>1.3831814139226841</v>
      </c>
      <c r="BI184" s="558">
        <f>(BH184/BD184-1)*100</f>
        <v>56.868930497266533</v>
      </c>
      <c r="BJ184" s="249"/>
      <c r="BL184" s="254">
        <f>(BL164+0)/BL194</f>
        <v>1.9842614832034398</v>
      </c>
      <c r="BM184" s="558">
        <f>(BL184/BH184-1)*100</f>
        <v>43.456343703759039</v>
      </c>
      <c r="BN184" s="249"/>
      <c r="BP184" s="254">
        <f>(BP164+0)/BP194</f>
        <v>2.5514990549466869</v>
      </c>
      <c r="BQ184" s="558">
        <f>(BP184/BL184-1)*100</f>
        <v>28.58683578474168</v>
      </c>
      <c r="BT184" s="254">
        <f>(BT164+0)/BT194</f>
        <v>2.8720521503793823</v>
      </c>
      <c r="BU184" s="558">
        <f>(BT184/BP184-1)*100</f>
        <v>12.563324090253026</v>
      </c>
      <c r="BX184" s="254">
        <f>(BX164+0)/BX194</f>
        <v>1.8368542403835175</v>
      </c>
      <c r="BY184" s="558">
        <f>(BX184/BT184-1)*100</f>
        <v>-36.043840981756581</v>
      </c>
      <c r="CB184" s="254">
        <f>(CB164+0)/CB194</f>
        <v>2.0077395857045297</v>
      </c>
      <c r="CC184" s="558">
        <f>(CB184/BX184-1)*100</f>
        <v>9.3031521807268156</v>
      </c>
      <c r="CF184" s="254">
        <f>(CF164+0)/CF194</f>
        <v>2.7532000898270828</v>
      </c>
      <c r="CG184" s="558">
        <f>(CF184/CB184-1)*100</f>
        <v>37.129342342521277</v>
      </c>
      <c r="CJ184" s="254">
        <f>(CJ164+0)/CJ194</f>
        <v>3.137705294590559</v>
      </c>
      <c r="CK184" s="558">
        <f>(CJ184/CF184-1)*100</f>
        <v>13.96575592831779</v>
      </c>
      <c r="CN184" s="254">
        <f>(CN164+0)/CN194</f>
        <v>3.5558780841799713</v>
      </c>
      <c r="CO184" s="558">
        <f>(CN184/CJ184-1)*100</f>
        <v>13.327344359278959</v>
      </c>
      <c r="CP184" s="249"/>
      <c r="CR184" s="254">
        <f>(CR164+0)/CR194</f>
        <v>3.7126960040465353</v>
      </c>
      <c r="CS184" s="558">
        <f>(CR184/CN184-1)*100</f>
        <v>4.4101039505331618</v>
      </c>
      <c r="CT184" s="574"/>
      <c r="CV184" s="254">
        <f>(CV164+0)/CV194</f>
        <v>3.7215909090909092</v>
      </c>
      <c r="CW184" s="558">
        <f>(CV184/CR184-1)*100</f>
        <v>0.23958075303442961</v>
      </c>
      <c r="CX184" s="574"/>
      <c r="CZ184" s="254">
        <f>(CZ164+0)/CZ194</f>
        <v>3.3179135932560588</v>
      </c>
      <c r="DA184" s="558">
        <f>(CZ184/CV184-1)*100</f>
        <v>-10.846901921669261</v>
      </c>
      <c r="DB184" s="574"/>
      <c r="DD184" s="254">
        <f>(DD164+0)/DD194</f>
        <v>2.0237850200114358</v>
      </c>
      <c r="DE184" s="558">
        <f>(DD184/CZ184-1)*100</f>
        <v>-39.004287992160172</v>
      </c>
      <c r="DF184" s="574"/>
      <c r="DH184" s="254">
        <f>(DH164+0)/DH194</f>
        <v>2.5880995354617271</v>
      </c>
      <c r="DI184" s="558">
        <f>(DH184/DD184-1)*100</f>
        <v>27.884113671673603</v>
      </c>
      <c r="DJ184" s="574"/>
      <c r="DL184" s="254">
        <f>(DL164+0)/DL194</f>
        <v>3.2974127560357411</v>
      </c>
      <c r="DM184" s="558">
        <f>(DL184/DH184-1)*100</f>
        <v>27.406721065210871</v>
      </c>
      <c r="DN184" s="574"/>
      <c r="DO184" s="574"/>
    </row>
    <row r="185" spans="1:120" x14ac:dyDescent="0.2">
      <c r="D185" s="361"/>
      <c r="E185" s="249"/>
      <c r="F185" s="249"/>
      <c r="H185" s="361"/>
      <c r="I185" s="249"/>
      <c r="J185" s="249"/>
      <c r="L185" s="361"/>
      <c r="M185" s="249"/>
      <c r="N185" s="249"/>
      <c r="P185" s="361"/>
      <c r="Q185" s="249"/>
      <c r="R185" s="249"/>
      <c r="T185" s="361"/>
      <c r="U185" s="249"/>
      <c r="V185" s="249"/>
      <c r="X185" s="361"/>
      <c r="Y185" s="249"/>
      <c r="Z185" s="249"/>
      <c r="AB185" s="361"/>
      <c r="AC185" s="249"/>
      <c r="AD185" s="249"/>
      <c r="AF185" s="361"/>
      <c r="AG185" s="249"/>
      <c r="AH185" s="249"/>
      <c r="AJ185" s="361"/>
      <c r="AK185" s="249"/>
      <c r="AL185" s="249"/>
      <c r="AN185" s="361"/>
      <c r="AO185" s="249"/>
      <c r="AP185" s="249"/>
      <c r="AR185" s="361"/>
      <c r="AS185" s="249"/>
      <c r="AT185" s="249"/>
      <c r="AV185" s="361"/>
      <c r="AW185" s="249"/>
      <c r="AX185" s="249"/>
      <c r="AZ185" s="361"/>
      <c r="BA185" s="249"/>
      <c r="BB185" s="249"/>
      <c r="BD185" s="361"/>
      <c r="BE185" s="249"/>
      <c r="BF185" s="249"/>
      <c r="BH185" s="361"/>
      <c r="BI185" s="249"/>
      <c r="BJ185" s="249"/>
      <c r="BL185" s="361"/>
      <c r="BM185" s="249"/>
      <c r="BN185" s="249"/>
      <c r="BP185" s="362"/>
      <c r="BT185" s="362"/>
      <c r="BX185" s="362"/>
      <c r="CB185" s="362"/>
      <c r="CF185" s="362"/>
      <c r="CJ185" s="362"/>
      <c r="CP185" s="249"/>
      <c r="CR185" s="568"/>
      <c r="CS185" s="575"/>
      <c r="CT185" s="249"/>
      <c r="CV185" s="568"/>
      <c r="CW185" s="575"/>
      <c r="CX185" s="249"/>
      <c r="CZ185" s="568"/>
      <c r="DA185" s="575"/>
      <c r="DB185" s="249"/>
      <c r="DD185" s="568"/>
      <c r="DE185" s="575"/>
      <c r="DF185" s="249"/>
      <c r="DH185" s="568"/>
      <c r="DI185" s="575"/>
      <c r="DJ185" s="249"/>
      <c r="DL185" s="568"/>
      <c r="DM185" s="575"/>
      <c r="DN185" s="249"/>
      <c r="DO185" s="843">
        <f>0.25*DH193</f>
        <v>42.35</v>
      </c>
    </row>
    <row r="186" spans="1:120" x14ac:dyDescent="0.2">
      <c r="D186" s="361"/>
      <c r="E186" s="249"/>
      <c r="F186" s="249"/>
      <c r="H186" s="361"/>
      <c r="I186" s="249"/>
      <c r="J186" s="249"/>
      <c r="L186" s="361"/>
      <c r="M186" s="249"/>
      <c r="N186" s="249"/>
      <c r="P186" s="361"/>
      <c r="Q186" s="249"/>
      <c r="R186" s="249"/>
      <c r="T186" s="361"/>
      <c r="U186" s="249"/>
      <c r="V186" s="249"/>
      <c r="X186" s="361"/>
      <c r="Y186" s="249"/>
      <c r="Z186" s="249"/>
      <c r="AB186" s="361"/>
      <c r="AC186" s="249"/>
      <c r="AD186" s="249"/>
      <c r="AF186" s="361"/>
      <c r="AG186" s="249"/>
      <c r="AH186" s="249"/>
      <c r="AJ186" s="361"/>
      <c r="AK186" s="249"/>
      <c r="AL186" s="249"/>
      <c r="AN186" s="361"/>
      <c r="AO186" s="249"/>
      <c r="AP186" s="249"/>
      <c r="AR186" s="361"/>
      <c r="AS186" s="249"/>
      <c r="AT186" s="249"/>
      <c r="AV186" s="361"/>
      <c r="AW186" s="249"/>
      <c r="AX186" s="249"/>
      <c r="AZ186" s="361"/>
      <c r="BA186" s="249"/>
      <c r="BB186" s="249"/>
      <c r="BD186" s="361"/>
      <c r="BE186" s="249"/>
      <c r="BF186" s="249"/>
      <c r="BH186" s="361"/>
      <c r="BI186" s="249"/>
      <c r="BJ186" s="249"/>
      <c r="BL186" s="361"/>
      <c r="BM186" s="249"/>
      <c r="BN186" s="249"/>
      <c r="BP186" s="362"/>
      <c r="BT186" s="362"/>
      <c r="BX186" s="362"/>
      <c r="CB186" s="362"/>
      <c r="CF186" s="362"/>
      <c r="CJ186" s="362"/>
      <c r="CP186" s="249"/>
      <c r="CR186" s="568"/>
      <c r="CT186" s="249"/>
      <c r="CV186" s="568"/>
      <c r="CX186" s="249"/>
      <c r="CZ186" s="568"/>
      <c r="DB186" s="249"/>
      <c r="DD186" s="568"/>
      <c r="DF186" s="249"/>
      <c r="DH186" s="568"/>
      <c r="DJ186" s="249"/>
      <c r="DL186" s="568"/>
      <c r="DN186" s="249"/>
      <c r="DO186" s="249"/>
    </row>
    <row r="187" spans="1:120" x14ac:dyDescent="0.2">
      <c r="D187" s="361"/>
      <c r="E187" s="249"/>
      <c r="F187" s="249"/>
      <c r="H187" s="361"/>
      <c r="I187" s="249"/>
      <c r="J187" s="249"/>
      <c r="L187" s="361"/>
      <c r="M187" s="249"/>
      <c r="N187" s="249"/>
      <c r="P187" s="361"/>
      <c r="Q187" s="249"/>
      <c r="R187" s="249"/>
      <c r="T187" s="361"/>
      <c r="U187" s="249"/>
      <c r="V187" s="249"/>
      <c r="X187" s="361"/>
      <c r="Y187" s="249"/>
      <c r="Z187" s="249"/>
      <c r="AB187" s="361"/>
      <c r="AC187" s="249"/>
      <c r="AD187" s="249"/>
      <c r="AF187" s="361"/>
      <c r="AG187" s="249"/>
      <c r="AH187" s="249"/>
      <c r="AJ187" s="361"/>
      <c r="AK187" s="249"/>
      <c r="AL187" s="249"/>
      <c r="AN187" s="361"/>
      <c r="AO187" s="249"/>
      <c r="AP187" s="249"/>
      <c r="AR187" s="361"/>
      <c r="AS187" s="249"/>
      <c r="AT187" s="249"/>
      <c r="AV187" s="361"/>
      <c r="AW187" s="249"/>
      <c r="AX187" s="249"/>
      <c r="AZ187" s="361"/>
      <c r="BA187" s="249"/>
      <c r="BB187" s="249"/>
      <c r="BD187" s="361"/>
      <c r="BE187" s="249"/>
      <c r="BF187" s="249"/>
      <c r="BH187" s="361"/>
      <c r="BI187" s="249"/>
      <c r="BJ187" s="249"/>
      <c r="BL187" s="361"/>
      <c r="BM187" s="249"/>
      <c r="BN187" s="249"/>
      <c r="BP187" s="362"/>
      <c r="BT187" s="362"/>
      <c r="BX187" s="362"/>
      <c r="CB187" s="362"/>
      <c r="CF187" s="362"/>
      <c r="CJ187" s="362"/>
      <c r="CP187" s="249"/>
      <c r="CT187" s="249"/>
      <c r="CX187" s="249"/>
      <c r="DB187" s="249"/>
      <c r="DF187" s="249"/>
      <c r="DJ187" s="249"/>
      <c r="DN187" s="249"/>
      <c r="DO187" s="249"/>
    </row>
    <row r="188" spans="1:120" s="516" customFormat="1" ht="12.75" customHeight="1" x14ac:dyDescent="0.2">
      <c r="A188" s="515" t="s">
        <v>450</v>
      </c>
      <c r="CG188" s="1397" t="str">
        <f>A188</f>
        <v>17. Average Diluted Shares</v>
      </c>
      <c r="CH188" s="1397"/>
      <c r="CI188" s="1397"/>
      <c r="CJ188" s="1397"/>
      <c r="CK188" s="1397"/>
      <c r="CL188" s="1397"/>
      <c r="CM188" s="1397"/>
      <c r="CN188" s="1397"/>
      <c r="CO188" s="1397"/>
      <c r="CP188" s="1397"/>
      <c r="CQ188" s="1397"/>
      <c r="CR188" s="1397"/>
      <c r="CS188" s="1397"/>
      <c r="CT188" s="1397"/>
      <c r="CU188" s="1397"/>
      <c r="CV188" s="1397"/>
      <c r="CW188" s="1397"/>
      <c r="CX188" s="1397"/>
      <c r="CY188" s="1397"/>
      <c r="CZ188" s="1397"/>
      <c r="DA188" s="1397"/>
      <c r="DB188" s="1397"/>
      <c r="DC188" s="1397"/>
      <c r="DD188" s="1397"/>
      <c r="DE188" s="1397"/>
      <c r="DF188" s="1397"/>
      <c r="DG188" s="846"/>
      <c r="DH188" s="846"/>
      <c r="DI188" s="846"/>
      <c r="DJ188" s="846"/>
      <c r="DK188" s="1222"/>
      <c r="DL188" s="1222"/>
      <c r="DM188" s="1222"/>
      <c r="DN188" s="1222"/>
      <c r="DO188" s="1222"/>
    </row>
    <row r="189" spans="1:120" x14ac:dyDescent="0.2">
      <c r="A189" s="576"/>
      <c r="D189" s="361"/>
      <c r="E189" s="249"/>
      <c r="F189" s="249"/>
      <c r="H189" s="361"/>
      <c r="I189" s="249"/>
      <c r="J189" s="249"/>
      <c r="L189" s="361"/>
      <c r="M189" s="249"/>
      <c r="N189" s="249"/>
      <c r="P189" s="361"/>
      <c r="Q189" s="249"/>
      <c r="R189" s="249"/>
      <c r="T189" s="361"/>
      <c r="U189" s="249"/>
      <c r="V189" s="249"/>
      <c r="X189" s="361"/>
      <c r="Y189" s="249"/>
      <c r="Z189" s="249"/>
      <c r="AB189" s="361"/>
      <c r="AC189" s="249"/>
      <c r="AD189" s="249"/>
      <c r="AF189" s="361"/>
      <c r="AG189" s="249"/>
      <c r="AH189" s="249"/>
      <c r="AJ189" s="361"/>
      <c r="AK189" s="249"/>
      <c r="AL189" s="249"/>
      <c r="AN189" s="361"/>
      <c r="AO189" s="249"/>
      <c r="AP189" s="249"/>
      <c r="AR189" s="361"/>
      <c r="AS189" s="249"/>
      <c r="AT189" s="249"/>
      <c r="AV189" s="361"/>
      <c r="AW189" s="249"/>
      <c r="AX189" s="249"/>
      <c r="AZ189" s="361"/>
      <c r="BA189" s="249"/>
      <c r="BB189" s="249"/>
      <c r="BD189" s="361"/>
      <c r="BE189" s="249"/>
      <c r="BF189" s="249"/>
      <c r="BH189" s="361"/>
      <c r="BI189" s="249"/>
      <c r="BJ189" s="249"/>
      <c r="BL189" s="361"/>
      <c r="BM189" s="249"/>
      <c r="BN189" s="249"/>
      <c r="BP189" s="362"/>
      <c r="BT189" s="362"/>
      <c r="BX189" s="362"/>
      <c r="CB189" s="362"/>
      <c r="CF189" s="362"/>
      <c r="CJ189" s="362"/>
      <c r="CP189" s="249"/>
      <c r="CT189" s="249"/>
      <c r="CX189" s="249"/>
      <c r="DB189" s="249"/>
      <c r="DF189" s="249"/>
      <c r="DJ189" s="249"/>
      <c r="DN189" s="249"/>
      <c r="DO189" s="249"/>
    </row>
    <row r="190" spans="1:120" s="706" customFormat="1" x14ac:dyDescent="0.2">
      <c r="A190" s="1342" t="s">
        <v>78</v>
      </c>
      <c r="D190" s="533">
        <v>163</v>
      </c>
      <c r="E190" s="577"/>
      <c r="F190" s="578"/>
      <c r="G190" s="884"/>
      <c r="H190" s="533">
        <v>163.479716</v>
      </c>
      <c r="I190" s="577"/>
      <c r="J190" s="579"/>
      <c r="K190" s="884"/>
      <c r="L190" s="533">
        <v>163.70980800000001</v>
      </c>
      <c r="M190" s="577"/>
      <c r="N190" s="579"/>
      <c r="O190" s="884"/>
      <c r="P190" s="533">
        <v>163.84876399999999</v>
      </c>
      <c r="Q190" s="577"/>
      <c r="R190" s="579"/>
      <c r="S190" s="884"/>
      <c r="T190" s="533">
        <v>164.03463600000001</v>
      </c>
      <c r="U190" s="577"/>
      <c r="V190" s="579"/>
      <c r="W190" s="884"/>
      <c r="X190" s="533">
        <v>164.50583599999999</v>
      </c>
      <c r="Y190" s="577"/>
      <c r="Z190" s="579"/>
      <c r="AA190" s="884"/>
      <c r="AB190" s="533">
        <v>162.34892600000001</v>
      </c>
      <c r="AC190" s="577"/>
      <c r="AD190" s="579"/>
      <c r="AE190" s="884"/>
      <c r="AF190" s="533">
        <v>157.15902199999999</v>
      </c>
      <c r="AG190" s="577"/>
      <c r="AH190" s="579"/>
      <c r="AI190" s="884"/>
      <c r="AJ190" s="533">
        <v>150.758544</v>
      </c>
      <c r="AK190" s="577"/>
      <c r="AL190" s="579"/>
      <c r="AM190" s="884"/>
      <c r="AN190" s="533">
        <v>142.976</v>
      </c>
      <c r="AO190" s="577"/>
      <c r="AP190" s="579"/>
      <c r="AQ190" s="884"/>
      <c r="AR190" s="533">
        <v>131.62700000000001</v>
      </c>
      <c r="AS190" s="577"/>
      <c r="AT190" s="579"/>
      <c r="AU190" s="884"/>
      <c r="AV190" s="533">
        <v>267.84399999999999</v>
      </c>
      <c r="AW190" s="577"/>
      <c r="AX190" s="579"/>
      <c r="AY190" s="884"/>
      <c r="AZ190" s="533">
        <v>271.41000000000003</v>
      </c>
      <c r="BA190" s="577"/>
      <c r="BB190" s="579"/>
      <c r="BC190" s="884"/>
      <c r="BD190" s="533">
        <v>271.596</v>
      </c>
      <c r="BE190" s="577"/>
      <c r="BF190" s="579"/>
      <c r="BG190" s="884"/>
      <c r="BH190" s="533">
        <v>283.95</v>
      </c>
      <c r="BI190" s="577"/>
      <c r="BJ190" s="579"/>
      <c r="BK190" s="884"/>
      <c r="BL190" s="533">
        <v>278.39400000000001</v>
      </c>
      <c r="BM190" s="577"/>
      <c r="BN190" s="579"/>
      <c r="BO190" s="884"/>
      <c r="BP190" s="533">
        <v>272.83100000000002</v>
      </c>
      <c r="BQ190" s="577"/>
      <c r="BR190" s="579"/>
      <c r="BS190" s="884"/>
      <c r="BT190" s="533">
        <v>262.73099999999999</v>
      </c>
      <c r="BU190" s="577"/>
      <c r="BV190" s="579"/>
      <c r="BW190" s="884"/>
      <c r="BX190" s="533">
        <v>221.7</v>
      </c>
      <c r="BY190" s="577"/>
      <c r="BZ190" s="579"/>
      <c r="CA190" s="884"/>
      <c r="CB190" s="533">
        <v>217.4</v>
      </c>
      <c r="CC190" s="577"/>
      <c r="CD190" s="579"/>
      <c r="CE190" s="884"/>
      <c r="CF190" s="1165">
        <v>222.4</v>
      </c>
      <c r="CG190" s="577"/>
      <c r="CH190" s="579"/>
      <c r="CI190" s="884"/>
      <c r="CJ190" s="1165">
        <v>223.3</v>
      </c>
      <c r="CK190" s="577"/>
      <c r="CL190" s="579"/>
      <c r="CM190" s="884"/>
      <c r="CN190" s="1165">
        <v>211.4</v>
      </c>
      <c r="CO190" s="540"/>
      <c r="CP190" s="538"/>
      <c r="CQ190" s="884"/>
      <c r="CR190" s="1165">
        <v>199</v>
      </c>
      <c r="CS190" s="525"/>
      <c r="CT190" s="538"/>
      <c r="CU190" s="884"/>
      <c r="CV190" s="1165">
        <v>192.7</v>
      </c>
      <c r="CW190" s="525"/>
      <c r="CX190" s="538"/>
      <c r="CY190" s="884"/>
      <c r="CZ190" s="1165">
        <v>194.9</v>
      </c>
      <c r="DA190" s="525"/>
      <c r="DB190" s="538"/>
      <c r="DD190" s="1165">
        <v>175.7</v>
      </c>
      <c r="DE190" s="699"/>
      <c r="DF190" s="679"/>
      <c r="DH190" s="1165">
        <v>169.1</v>
      </c>
      <c r="DI190" s="699"/>
      <c r="DJ190" s="679"/>
      <c r="DL190" s="1174">
        <f>DH193-(DH203-DL200)</f>
        <v>167.4</v>
      </c>
      <c r="DM190" s="699"/>
      <c r="DN190" s="679"/>
      <c r="DO190" s="679"/>
    </row>
    <row r="191" spans="1:120" s="706" customFormat="1" x14ac:dyDescent="0.2">
      <c r="A191" s="1342" t="s">
        <v>79</v>
      </c>
      <c r="D191" s="533">
        <v>163</v>
      </c>
      <c r="E191" s="577"/>
      <c r="F191" s="578"/>
      <c r="G191" s="884"/>
      <c r="H191" s="533">
        <v>163.50427400000001</v>
      </c>
      <c r="I191" s="577"/>
      <c r="J191" s="579"/>
      <c r="K191" s="884"/>
      <c r="L191" s="533">
        <v>163.70980800000001</v>
      </c>
      <c r="M191" s="577"/>
      <c r="N191" s="579"/>
      <c r="O191" s="884"/>
      <c r="P191" s="533">
        <v>163.80000000000001</v>
      </c>
      <c r="Q191" s="577"/>
      <c r="R191" s="579"/>
      <c r="S191" s="884"/>
      <c r="T191" s="533">
        <v>164.23575199999999</v>
      </c>
      <c r="U191" s="577"/>
      <c r="V191" s="579"/>
      <c r="W191" s="884"/>
      <c r="X191" s="533">
        <v>164.50583599999999</v>
      </c>
      <c r="Y191" s="577"/>
      <c r="Z191" s="579"/>
      <c r="AA191" s="884"/>
      <c r="AB191" s="533">
        <v>162.34892600000001</v>
      </c>
      <c r="AC191" s="577"/>
      <c r="AD191" s="579"/>
      <c r="AE191" s="884"/>
      <c r="AF191" s="533">
        <v>154.072</v>
      </c>
      <c r="AG191" s="577"/>
      <c r="AH191" s="579"/>
      <c r="AI191" s="884"/>
      <c r="AJ191" s="533">
        <v>149.282442</v>
      </c>
      <c r="AK191" s="577"/>
      <c r="AL191" s="579"/>
      <c r="AM191" s="884"/>
      <c r="AN191" s="533">
        <v>140.09100000000001</v>
      </c>
      <c r="AO191" s="577"/>
      <c r="AP191" s="579"/>
      <c r="AQ191" s="884"/>
      <c r="AR191" s="533">
        <v>130.1</v>
      </c>
      <c r="AS191" s="577"/>
      <c r="AT191" s="579"/>
      <c r="AU191" s="884"/>
      <c r="AV191" s="533">
        <v>268.84399999999999</v>
      </c>
      <c r="AW191" s="577"/>
      <c r="AX191" s="579"/>
      <c r="AY191" s="884"/>
      <c r="AZ191" s="533">
        <v>271.64</v>
      </c>
      <c r="BA191" s="577"/>
      <c r="BB191" s="579"/>
      <c r="BC191" s="884"/>
      <c r="BD191" s="533">
        <v>272.67599999999999</v>
      </c>
      <c r="BE191" s="577"/>
      <c r="BF191" s="579"/>
      <c r="BG191" s="884"/>
      <c r="BH191" s="533">
        <v>286.99400000000003</v>
      </c>
      <c r="BI191" s="577"/>
      <c r="BJ191" s="579"/>
      <c r="BK191" s="884"/>
      <c r="BL191" s="533">
        <v>279.16899999999998</v>
      </c>
      <c r="BM191" s="577"/>
      <c r="BN191" s="579"/>
      <c r="BO191" s="884"/>
      <c r="BP191" s="533">
        <v>266.226</v>
      </c>
      <c r="BQ191" s="577"/>
      <c r="BR191" s="579"/>
      <c r="BS191" s="884"/>
      <c r="BT191" s="533">
        <v>255.35400000000001</v>
      </c>
      <c r="BU191" s="577"/>
      <c r="BV191" s="579"/>
      <c r="BW191" s="884"/>
      <c r="BX191" s="533">
        <v>219.5</v>
      </c>
      <c r="BY191" s="577"/>
      <c r="BZ191" s="579"/>
      <c r="CA191" s="884"/>
      <c r="CB191" s="533">
        <v>218.8</v>
      </c>
      <c r="CC191" s="577"/>
      <c r="CD191" s="579"/>
      <c r="CE191" s="884"/>
      <c r="CF191" s="1165">
        <v>222.8</v>
      </c>
      <c r="CG191" s="577"/>
      <c r="CH191" s="579"/>
      <c r="CI191" s="884"/>
      <c r="CJ191" s="1165">
        <v>220.1</v>
      </c>
      <c r="CK191" s="577"/>
      <c r="CL191" s="579"/>
      <c r="CM191" s="884"/>
      <c r="CN191" s="1165">
        <v>208.7</v>
      </c>
      <c r="CO191" s="540"/>
      <c r="CP191" s="538"/>
      <c r="CQ191" s="884"/>
      <c r="CR191" s="1165">
        <v>198.8</v>
      </c>
      <c r="CS191" s="540"/>
      <c r="CT191" s="538"/>
      <c r="CU191" s="884"/>
      <c r="CV191" s="1165">
        <v>192.7</v>
      </c>
      <c r="CW191" s="540"/>
      <c r="CX191" s="538"/>
      <c r="CY191" s="884"/>
      <c r="CZ191" s="1165">
        <v>193.5</v>
      </c>
      <c r="DA191" s="540"/>
      <c r="DB191" s="538"/>
      <c r="DD191" s="1165">
        <v>174.8</v>
      </c>
      <c r="DE191" s="540"/>
      <c r="DF191" s="538"/>
      <c r="DH191" s="1165">
        <v>168.5</v>
      </c>
      <c r="DI191" s="540"/>
      <c r="DJ191" s="538"/>
      <c r="DL191" s="1174">
        <f>DH194-(DH204-DL201)</f>
        <v>165.08500000000001</v>
      </c>
      <c r="DM191" s="540"/>
      <c r="DN191" s="538"/>
      <c r="DO191" s="538"/>
    </row>
    <row r="192" spans="1:120" s="706" customFormat="1" x14ac:dyDescent="0.2">
      <c r="A192" s="1342" t="s">
        <v>80</v>
      </c>
      <c r="D192" s="533">
        <v>163</v>
      </c>
      <c r="E192" s="577"/>
      <c r="F192" s="578"/>
      <c r="G192" s="884"/>
      <c r="H192" s="533">
        <v>163.63235599999999</v>
      </c>
      <c r="I192" s="577"/>
      <c r="J192" s="579"/>
      <c r="K192" s="884"/>
      <c r="L192" s="533">
        <v>163.78253599999999</v>
      </c>
      <c r="M192" s="577"/>
      <c r="N192" s="579"/>
      <c r="O192" s="884"/>
      <c r="P192" s="533">
        <v>163.80000000000001</v>
      </c>
      <c r="Q192" s="577"/>
      <c r="R192" s="579"/>
      <c r="S192" s="884"/>
      <c r="T192" s="533">
        <v>164.32075599999999</v>
      </c>
      <c r="U192" s="577"/>
      <c r="V192" s="579"/>
      <c r="W192" s="884"/>
      <c r="X192" s="533">
        <v>164.048168</v>
      </c>
      <c r="Y192" s="577"/>
      <c r="Z192" s="579"/>
      <c r="AA192" s="884"/>
      <c r="AB192" s="533">
        <v>161.55249800000001</v>
      </c>
      <c r="AC192" s="577"/>
      <c r="AD192" s="579"/>
      <c r="AE192" s="884"/>
      <c r="AF192" s="533">
        <v>154.50200000000001</v>
      </c>
      <c r="AG192" s="577"/>
      <c r="AH192" s="579"/>
      <c r="AI192" s="884"/>
      <c r="AJ192" s="533">
        <v>144.953</v>
      </c>
      <c r="AK192" s="577"/>
      <c r="AL192" s="579"/>
      <c r="AM192" s="884"/>
      <c r="AN192" s="533">
        <v>137.06700000000001</v>
      </c>
      <c r="AO192" s="577"/>
      <c r="AP192" s="579"/>
      <c r="AQ192" s="884"/>
      <c r="AR192" s="533">
        <v>129.339</v>
      </c>
      <c r="AS192" s="577"/>
      <c r="AT192" s="579"/>
      <c r="AU192" s="884"/>
      <c r="AV192" s="533">
        <v>268.41800000000001</v>
      </c>
      <c r="AW192" s="577"/>
      <c r="AX192" s="579"/>
      <c r="AY192" s="884"/>
      <c r="AZ192" s="533">
        <v>271.55200000000002</v>
      </c>
      <c r="BA192" s="577"/>
      <c r="BB192" s="579"/>
      <c r="BC192" s="884"/>
      <c r="BD192" s="533">
        <v>276.20600000000002</v>
      </c>
      <c r="BE192" s="577"/>
      <c r="BF192" s="579"/>
      <c r="BG192" s="884"/>
      <c r="BH192" s="533">
        <v>286.298</v>
      </c>
      <c r="BI192" s="577"/>
      <c r="BJ192" s="579"/>
      <c r="BK192" s="884"/>
      <c r="BL192" s="533">
        <v>277.29300000000001</v>
      </c>
      <c r="BM192" s="577"/>
      <c r="BN192" s="579"/>
      <c r="BO192" s="884"/>
      <c r="BP192" s="533">
        <v>261.61599999999999</v>
      </c>
      <c r="BQ192" s="577"/>
      <c r="BR192" s="579"/>
      <c r="BS192" s="884"/>
      <c r="BT192" s="533">
        <v>245.34399999999999</v>
      </c>
      <c r="BU192" s="577"/>
      <c r="BV192" s="579"/>
      <c r="BW192" s="884"/>
      <c r="BX192" s="533">
        <v>218.1</v>
      </c>
      <c r="BY192" s="577"/>
      <c r="BZ192" s="579"/>
      <c r="CA192" s="884"/>
      <c r="CB192" s="533">
        <v>220.7</v>
      </c>
      <c r="CC192" s="577"/>
      <c r="CD192" s="579"/>
      <c r="CE192" s="884"/>
      <c r="CF192" s="1165">
        <v>222.5</v>
      </c>
      <c r="CG192" s="577"/>
      <c r="CH192" s="579"/>
      <c r="CI192" s="884"/>
      <c r="CJ192" s="1165">
        <v>215</v>
      </c>
      <c r="CK192" s="577"/>
      <c r="CL192" s="579"/>
      <c r="CM192" s="884"/>
      <c r="CN192" s="1165">
        <v>204.7</v>
      </c>
      <c r="CO192" s="542"/>
      <c r="CP192" s="538"/>
      <c r="CQ192" s="884"/>
      <c r="CR192" s="1165">
        <v>197.3</v>
      </c>
      <c r="CS192" s="542"/>
      <c r="CT192" s="538"/>
      <c r="CU192" s="884"/>
      <c r="CV192" s="1165">
        <v>194.7</v>
      </c>
      <c r="CW192" s="542"/>
      <c r="CX192" s="538"/>
      <c r="CY192" s="884"/>
      <c r="CZ192" s="1165">
        <v>191.3</v>
      </c>
      <c r="DA192" s="542"/>
      <c r="DB192" s="538"/>
      <c r="DD192" s="1165">
        <v>173.4</v>
      </c>
      <c r="DE192" s="542"/>
      <c r="DF192" s="538"/>
      <c r="DH192" s="1165">
        <v>168.94</v>
      </c>
      <c r="DI192" s="542"/>
      <c r="DJ192" s="538"/>
      <c r="DL192" s="1174">
        <f>DH195-(DH205-DL202)</f>
        <v>160.9</v>
      </c>
      <c r="DM192" s="542"/>
      <c r="DN192" s="538"/>
      <c r="DO192" s="538"/>
    </row>
    <row r="193" spans="1:119" s="706" customFormat="1" x14ac:dyDescent="0.2">
      <c r="A193" s="1342" t="s">
        <v>81</v>
      </c>
      <c r="D193" s="534">
        <v>163.47014799999999</v>
      </c>
      <c r="E193" s="577"/>
      <c r="F193" s="578"/>
      <c r="G193" s="884"/>
      <c r="H193" s="534">
        <v>163.667148</v>
      </c>
      <c r="I193" s="577"/>
      <c r="J193" s="579"/>
      <c r="K193" s="884"/>
      <c r="L193" s="534">
        <v>163.78253599999999</v>
      </c>
      <c r="M193" s="577"/>
      <c r="N193" s="579"/>
      <c r="O193" s="884"/>
      <c r="P193" s="534">
        <v>164.089698</v>
      </c>
      <c r="Q193" s="577"/>
      <c r="R193" s="579"/>
      <c r="S193" s="884"/>
      <c r="T193" s="534">
        <v>164.4332</v>
      </c>
      <c r="U193" s="577"/>
      <c r="V193" s="579"/>
      <c r="W193" s="884"/>
      <c r="X193" s="534">
        <v>162.39140399999999</v>
      </c>
      <c r="Y193" s="577"/>
      <c r="Z193" s="579"/>
      <c r="AA193" s="884"/>
      <c r="AB193" s="534">
        <v>160.194354</v>
      </c>
      <c r="AC193" s="577"/>
      <c r="AD193" s="579"/>
      <c r="AE193" s="884"/>
      <c r="AF193" s="534">
        <v>154.76777200000001</v>
      </c>
      <c r="AG193" s="577"/>
      <c r="AH193" s="579"/>
      <c r="AI193" s="884"/>
      <c r="AJ193" s="534">
        <v>142.64599999999999</v>
      </c>
      <c r="AK193" s="577"/>
      <c r="AL193" s="579"/>
      <c r="AM193" s="884"/>
      <c r="AN193" s="534">
        <v>133.78200000000001</v>
      </c>
      <c r="AO193" s="577"/>
      <c r="AP193" s="579"/>
      <c r="AQ193" s="884"/>
      <c r="AR193" s="534">
        <v>133.98500000000001</v>
      </c>
      <c r="AS193" s="577"/>
      <c r="AT193" s="579"/>
      <c r="AU193" s="884"/>
      <c r="AV193" s="534">
        <v>269.834</v>
      </c>
      <c r="AW193" s="577"/>
      <c r="AX193" s="579"/>
      <c r="AY193" s="884"/>
      <c r="AZ193" s="534">
        <v>271.67599999999999</v>
      </c>
      <c r="BA193" s="577"/>
      <c r="BB193" s="579"/>
      <c r="BC193" s="884"/>
      <c r="BD193" s="534">
        <v>281.38</v>
      </c>
      <c r="BE193" s="577"/>
      <c r="BF193" s="579"/>
      <c r="BG193" s="884"/>
      <c r="BH193" s="534">
        <v>280.642</v>
      </c>
      <c r="BI193" s="577"/>
      <c r="BJ193" s="579"/>
      <c r="BK193" s="884"/>
      <c r="BL193" s="534">
        <v>275.66199999999998</v>
      </c>
      <c r="BM193" s="577"/>
      <c r="BN193" s="579"/>
      <c r="BO193" s="884"/>
      <c r="BP193" s="534">
        <v>262.23</v>
      </c>
      <c r="BQ193" s="577"/>
      <c r="BR193" s="579"/>
      <c r="BS193" s="884"/>
      <c r="BT193" s="534">
        <v>232</v>
      </c>
      <c r="BU193" s="577"/>
      <c r="BV193" s="579"/>
      <c r="BW193" s="884"/>
      <c r="BX193" s="534">
        <v>216.8</v>
      </c>
      <c r="BY193" s="577"/>
      <c r="BZ193" s="579"/>
      <c r="CA193" s="884"/>
      <c r="CB193" s="534">
        <v>221.7</v>
      </c>
      <c r="CC193" s="577"/>
      <c r="CD193" s="579"/>
      <c r="CE193" s="884"/>
      <c r="CF193" s="1166">
        <v>222.9</v>
      </c>
      <c r="CG193" s="577"/>
      <c r="CH193" s="579"/>
      <c r="CI193" s="884"/>
      <c r="CJ193" s="1166">
        <v>212.3</v>
      </c>
      <c r="CK193" s="577"/>
      <c r="CL193" s="579"/>
      <c r="CM193" s="884"/>
      <c r="CN193" s="1166">
        <v>202.4</v>
      </c>
      <c r="CO193" s="1343"/>
      <c r="CP193" s="538"/>
      <c r="CQ193" s="884"/>
      <c r="CR193" s="1166">
        <v>195.8</v>
      </c>
      <c r="CS193" s="540"/>
      <c r="CT193" s="538"/>
      <c r="CU193" s="884"/>
      <c r="CV193" s="1166">
        <v>194.2</v>
      </c>
      <c r="CW193" s="540"/>
      <c r="CX193" s="538"/>
      <c r="CY193" s="884"/>
      <c r="CZ193" s="1166">
        <v>180.7</v>
      </c>
      <c r="DA193" s="540"/>
      <c r="DB193" s="538"/>
      <c r="DD193" s="1166">
        <v>175.7</v>
      </c>
      <c r="DE193" s="540"/>
      <c r="DF193" s="538"/>
      <c r="DH193" s="1166">
        <v>169.4</v>
      </c>
      <c r="DI193" s="540"/>
      <c r="DJ193" s="538"/>
      <c r="DL193" s="1175">
        <f>DH196-(DH206-DL203)</f>
        <v>159.9</v>
      </c>
      <c r="DM193" s="540"/>
      <c r="DN193" s="538"/>
      <c r="DO193" s="538"/>
    </row>
    <row r="194" spans="1:119" s="706" customFormat="1" x14ac:dyDescent="0.2">
      <c r="A194" s="1342" t="s">
        <v>82</v>
      </c>
      <c r="D194" s="533">
        <v>163.117537</v>
      </c>
      <c r="E194" s="531"/>
      <c r="F194" s="538"/>
      <c r="H194" s="533">
        <v>163.5708735</v>
      </c>
      <c r="I194" s="531"/>
      <c r="J194" s="539"/>
      <c r="L194" s="533">
        <v>163.746172</v>
      </c>
      <c r="M194" s="531"/>
      <c r="N194" s="539"/>
      <c r="P194" s="533">
        <v>163.889714</v>
      </c>
      <c r="Q194" s="531"/>
      <c r="R194" s="539"/>
      <c r="T194" s="533">
        <v>164.089698</v>
      </c>
      <c r="U194" s="531"/>
      <c r="V194" s="539"/>
      <c r="X194" s="533">
        <v>163.83924999999999</v>
      </c>
      <c r="Y194" s="531"/>
      <c r="Z194" s="539"/>
      <c r="AB194" s="533">
        <v>161.697968</v>
      </c>
      <c r="AC194" s="531"/>
      <c r="AD194" s="539"/>
      <c r="AF194" s="533">
        <v>155.12519850000001</v>
      </c>
      <c r="AG194" s="531"/>
      <c r="AH194" s="539"/>
      <c r="AJ194" s="533">
        <v>146.90999649999998</v>
      </c>
      <c r="AK194" s="531"/>
      <c r="AL194" s="539"/>
      <c r="AN194" s="533">
        <v>138.42500000000001</v>
      </c>
      <c r="AO194" s="531"/>
      <c r="AP194" s="539"/>
      <c r="AR194" s="533">
        <v>131.26274999999998</v>
      </c>
      <c r="AS194" s="531"/>
      <c r="AT194" s="539"/>
      <c r="AV194" s="533">
        <v>268.73500000000001</v>
      </c>
      <c r="AW194" s="531"/>
      <c r="AX194" s="539"/>
      <c r="AZ194" s="533">
        <v>271.56950000000001</v>
      </c>
      <c r="BA194" s="531"/>
      <c r="BB194" s="539"/>
      <c r="BD194" s="533">
        <v>275.46449999999999</v>
      </c>
      <c r="BE194" s="531"/>
      <c r="BF194" s="539"/>
      <c r="BH194" s="533">
        <v>284.471</v>
      </c>
      <c r="BI194" s="531"/>
      <c r="BJ194" s="539"/>
      <c r="BL194" s="533">
        <v>277.77600000000001</v>
      </c>
      <c r="BM194" s="531"/>
      <c r="BN194" s="539"/>
      <c r="BP194" s="533">
        <v>265.72575000000001</v>
      </c>
      <c r="BQ194" s="531"/>
      <c r="BR194" s="539"/>
      <c r="BT194" s="533">
        <v>248.85725000000002</v>
      </c>
      <c r="BU194" s="531"/>
      <c r="BV194" s="539"/>
      <c r="BX194" s="533">
        <v>219.02500000000001</v>
      </c>
      <c r="BY194" s="531"/>
      <c r="BZ194" s="539"/>
      <c r="CB194" s="533">
        <v>219.65</v>
      </c>
      <c r="CC194" s="531"/>
      <c r="CD194" s="539"/>
      <c r="CF194" s="1165">
        <v>222.65</v>
      </c>
      <c r="CG194" s="531"/>
      <c r="CH194" s="539"/>
      <c r="CJ194" s="1165">
        <v>217.67500000000001</v>
      </c>
      <c r="CK194" s="531"/>
      <c r="CL194" s="539"/>
      <c r="CN194" s="1165">
        <f>206.7</f>
        <v>206.7</v>
      </c>
      <c r="CO194" s="561"/>
      <c r="CP194" s="560"/>
      <c r="CR194" s="1165">
        <v>197.7</v>
      </c>
      <c r="CT194" s="580"/>
      <c r="CU194" s="1337"/>
      <c r="CV194" s="1165">
        <v>193.6</v>
      </c>
      <c r="CW194" s="561"/>
      <c r="CX194" s="560"/>
      <c r="CY194" s="1337"/>
      <c r="CZ194" s="1165">
        <v>189.8</v>
      </c>
      <c r="DA194" s="561"/>
      <c r="DB194" s="560"/>
      <c r="DD194" s="1165">
        <f>AVERAGE(DD190:DD193)</f>
        <v>174.89999999999998</v>
      </c>
      <c r="DE194" s="561"/>
      <c r="DF194" s="560"/>
      <c r="DH194" s="1165">
        <f>AVERAGE(DH190:DH193)</f>
        <v>168.98500000000001</v>
      </c>
      <c r="DI194" s="561"/>
      <c r="DJ194" s="560"/>
      <c r="DL194" s="1316">
        <f>AVERAGE(DL190:DL193)</f>
        <v>163.32124999999999</v>
      </c>
      <c r="DM194" s="561"/>
      <c r="DN194" s="560"/>
      <c r="DO194" s="560"/>
    </row>
    <row r="195" spans="1:119" s="706" customFormat="1" x14ac:dyDescent="0.2">
      <c r="D195" s="1344"/>
      <c r="E195" s="843"/>
      <c r="F195" s="581"/>
      <c r="G195" s="582"/>
      <c r="H195" s="1344"/>
      <c r="I195" s="843"/>
      <c r="J195" s="581"/>
      <c r="K195" s="582"/>
      <c r="L195" s="1344"/>
      <c r="M195" s="843"/>
      <c r="N195" s="581"/>
      <c r="O195" s="582"/>
      <c r="P195" s="1344"/>
      <c r="Q195" s="843"/>
      <c r="R195" s="581"/>
      <c r="S195" s="582"/>
      <c r="T195" s="1344"/>
      <c r="U195" s="843"/>
      <c r="V195" s="581"/>
      <c r="W195" s="582"/>
      <c r="X195" s="1344"/>
      <c r="Y195" s="843"/>
      <c r="Z195" s="581"/>
      <c r="AA195" s="582"/>
      <c r="AB195" s="1344"/>
      <c r="AC195" s="843"/>
      <c r="AD195" s="581"/>
      <c r="AE195" s="582"/>
      <c r="AF195" s="1344"/>
      <c r="AG195" s="843"/>
      <c r="AH195" s="581"/>
      <c r="AI195" s="582"/>
      <c r="AJ195" s="1344"/>
      <c r="AK195" s="843"/>
      <c r="AL195" s="581"/>
      <c r="AM195" s="582"/>
      <c r="AN195" s="1344"/>
      <c r="AO195" s="843"/>
      <c r="AP195" s="581"/>
      <c r="AQ195" s="582"/>
      <c r="AR195" s="1344"/>
      <c r="AS195" s="843"/>
      <c r="AT195" s="581"/>
      <c r="AU195" s="582"/>
      <c r="AV195" s="1344"/>
      <c r="AW195" s="843"/>
      <c r="AX195" s="581"/>
      <c r="AY195" s="582"/>
      <c r="AZ195" s="1344"/>
      <c r="BA195" s="843"/>
      <c r="BB195" s="581"/>
      <c r="BC195" s="582"/>
      <c r="BD195" s="1344"/>
      <c r="BE195" s="843"/>
      <c r="BF195" s="581"/>
      <c r="BG195" s="582"/>
      <c r="BH195" s="1344"/>
      <c r="BI195" s="843"/>
      <c r="BJ195" s="581"/>
      <c r="BK195" s="582"/>
      <c r="BL195" s="1344"/>
      <c r="BM195" s="843"/>
      <c r="BN195" s="581"/>
      <c r="BO195" s="582"/>
      <c r="BP195" s="583"/>
      <c r="BQ195" s="582"/>
      <c r="BR195" s="582"/>
      <c r="BS195" s="582"/>
      <c r="BT195" s="583"/>
      <c r="BU195" s="582"/>
      <c r="BV195" s="582"/>
      <c r="BW195" s="582"/>
      <c r="BX195" s="583"/>
      <c r="BY195" s="582"/>
      <c r="BZ195" s="582"/>
      <c r="CA195" s="582"/>
      <c r="CB195" s="583"/>
      <c r="CC195" s="582"/>
      <c r="CD195" s="582"/>
      <c r="CE195" s="582"/>
      <c r="CF195" s="583"/>
      <c r="CG195" s="582"/>
      <c r="CH195" s="582"/>
      <c r="CI195" s="582"/>
      <c r="CJ195" s="583"/>
      <c r="CK195" s="582"/>
      <c r="CL195" s="582"/>
      <c r="CM195" s="582"/>
      <c r="CP195" s="843"/>
      <c r="CQ195" s="582"/>
      <c r="CS195" s="1345"/>
      <c r="CT195" s="843"/>
      <c r="CU195" s="582"/>
      <c r="CX195" s="843"/>
      <c r="CY195" s="582"/>
      <c r="DB195" s="843"/>
      <c r="DF195" s="843"/>
      <c r="DJ195" s="843"/>
      <c r="DN195" s="843"/>
      <c r="DO195" s="843"/>
    </row>
    <row r="196" spans="1:119" s="706" customFormat="1" x14ac:dyDescent="0.2">
      <c r="D196" s="1344"/>
      <c r="E196" s="843"/>
      <c r="F196" s="581"/>
      <c r="G196" s="582"/>
      <c r="H196" s="1344"/>
      <c r="I196" s="843"/>
      <c r="J196" s="581"/>
      <c r="K196" s="582"/>
      <c r="L196" s="1344"/>
      <c r="M196" s="843"/>
      <c r="N196" s="581"/>
      <c r="O196" s="582"/>
      <c r="P196" s="1344"/>
      <c r="Q196" s="843"/>
      <c r="R196" s="581"/>
      <c r="S196" s="582"/>
      <c r="T196" s="1344"/>
      <c r="U196" s="843"/>
      <c r="V196" s="581"/>
      <c r="W196" s="582"/>
      <c r="X196" s="1344"/>
      <c r="Y196" s="843"/>
      <c r="Z196" s="581"/>
      <c r="AA196" s="582"/>
      <c r="AB196" s="1344"/>
      <c r="AC196" s="843"/>
      <c r="AD196" s="581"/>
      <c r="AE196" s="582"/>
      <c r="AF196" s="1344"/>
      <c r="AG196" s="843"/>
      <c r="AH196" s="581"/>
      <c r="AI196" s="582"/>
      <c r="AJ196" s="1344"/>
      <c r="AK196" s="843"/>
      <c r="AL196" s="581"/>
      <c r="AM196" s="582"/>
      <c r="AN196" s="1344"/>
      <c r="AO196" s="843"/>
      <c r="AP196" s="581"/>
      <c r="AQ196" s="582"/>
      <c r="AR196" s="1344"/>
      <c r="AS196" s="843"/>
      <c r="AT196" s="581"/>
      <c r="AU196" s="582"/>
      <c r="AV196" s="1344"/>
      <c r="AW196" s="843"/>
      <c r="AX196" s="581"/>
      <c r="AY196" s="582"/>
      <c r="AZ196" s="1344"/>
      <c r="BA196" s="843"/>
      <c r="BB196" s="581"/>
      <c r="BC196" s="582"/>
      <c r="BD196" s="1344"/>
      <c r="BE196" s="843"/>
      <c r="BF196" s="581"/>
      <c r="BG196" s="582"/>
      <c r="BH196" s="1344"/>
      <c r="BI196" s="843"/>
      <c r="BJ196" s="581"/>
      <c r="BK196" s="582"/>
      <c r="BL196" s="1344"/>
      <c r="BM196" s="843"/>
      <c r="BN196" s="581"/>
      <c r="BO196" s="582"/>
      <c r="BP196" s="583"/>
      <c r="BQ196" s="582"/>
      <c r="BR196" s="582"/>
      <c r="BS196" s="582"/>
      <c r="BT196" s="583"/>
      <c r="BU196" s="582"/>
      <c r="BV196" s="582"/>
      <c r="BW196" s="582"/>
      <c r="BX196" s="583"/>
      <c r="BY196" s="582"/>
      <c r="BZ196" s="582"/>
      <c r="CA196" s="582"/>
      <c r="CB196" s="583"/>
      <c r="CC196" s="582"/>
      <c r="CD196" s="582"/>
      <c r="CE196" s="582"/>
      <c r="CF196" s="583"/>
      <c r="CG196" s="582"/>
      <c r="CH196" s="582"/>
      <c r="CI196" s="582"/>
      <c r="CJ196" s="583"/>
      <c r="CK196" s="582"/>
      <c r="CL196" s="582"/>
      <c r="CM196" s="582"/>
      <c r="CP196" s="843"/>
      <c r="CQ196" s="582"/>
      <c r="CT196" s="843"/>
      <c r="CU196" s="582"/>
      <c r="CX196" s="843"/>
      <c r="CY196" s="582"/>
      <c r="DB196" s="843"/>
      <c r="DF196" s="843"/>
      <c r="DJ196" s="843"/>
      <c r="DN196" s="843"/>
      <c r="DO196" s="843"/>
    </row>
    <row r="197" spans="1:119" s="706" customFormat="1" x14ac:dyDescent="0.2">
      <c r="D197" s="1344"/>
      <c r="E197" s="843"/>
      <c r="F197" s="581"/>
      <c r="G197" s="582"/>
      <c r="H197" s="1344"/>
      <c r="I197" s="843"/>
      <c r="J197" s="581"/>
      <c r="K197" s="582"/>
      <c r="L197" s="1344"/>
      <c r="M197" s="843"/>
      <c r="N197" s="581"/>
      <c r="O197" s="582"/>
      <c r="P197" s="1344"/>
      <c r="Q197" s="843"/>
      <c r="R197" s="581"/>
      <c r="S197" s="582"/>
      <c r="T197" s="1344"/>
      <c r="U197" s="843"/>
      <c r="V197" s="581"/>
      <c r="W197" s="582"/>
      <c r="X197" s="1344"/>
      <c r="Y197" s="843"/>
      <c r="Z197" s="581"/>
      <c r="AA197" s="582"/>
      <c r="AB197" s="1344"/>
      <c r="AC197" s="843"/>
      <c r="AD197" s="581"/>
      <c r="AE197" s="582"/>
      <c r="AF197" s="1344"/>
      <c r="AG197" s="843"/>
      <c r="AH197" s="581"/>
      <c r="AI197" s="582"/>
      <c r="AJ197" s="1344"/>
      <c r="AK197" s="843"/>
      <c r="AL197" s="581"/>
      <c r="AM197" s="582"/>
      <c r="AN197" s="1344"/>
      <c r="AO197" s="843"/>
      <c r="AP197" s="581"/>
      <c r="AQ197" s="582"/>
      <c r="AR197" s="1344"/>
      <c r="AS197" s="843"/>
      <c r="AT197" s="581"/>
      <c r="AU197" s="582"/>
      <c r="AV197" s="1344"/>
      <c r="AW197" s="843"/>
      <c r="AX197" s="581"/>
      <c r="AY197" s="582"/>
      <c r="AZ197" s="1344"/>
      <c r="BA197" s="843"/>
      <c r="BB197" s="581"/>
      <c r="BC197" s="582"/>
      <c r="BD197" s="1344"/>
      <c r="BE197" s="843"/>
      <c r="BF197" s="581"/>
      <c r="BG197" s="582"/>
      <c r="BH197" s="1344"/>
      <c r="BI197" s="843"/>
      <c r="BJ197" s="581"/>
      <c r="BK197" s="582"/>
      <c r="BL197" s="1344"/>
      <c r="BM197" s="843"/>
      <c r="BN197" s="581"/>
      <c r="BO197" s="582"/>
      <c r="BP197" s="583"/>
      <c r="BQ197" s="582"/>
      <c r="BR197" s="582"/>
      <c r="BS197" s="582"/>
      <c r="BT197" s="583"/>
      <c r="BU197" s="582"/>
      <c r="BV197" s="582"/>
      <c r="BW197" s="582"/>
      <c r="BX197" s="583"/>
      <c r="BY197" s="582"/>
      <c r="BZ197" s="582"/>
      <c r="CA197" s="582"/>
      <c r="CB197" s="583"/>
      <c r="CC197" s="582"/>
      <c r="CD197" s="582"/>
      <c r="CE197" s="582"/>
      <c r="CF197" s="583"/>
      <c r="CG197" s="582"/>
      <c r="CH197" s="582"/>
      <c r="CI197" s="582"/>
      <c r="CJ197" s="583"/>
      <c r="CK197" s="582"/>
      <c r="CL197" s="582"/>
      <c r="CM197" s="582"/>
      <c r="CP197" s="843"/>
      <c r="CQ197" s="582"/>
      <c r="CT197" s="843"/>
      <c r="CU197" s="582"/>
      <c r="CX197" s="843"/>
      <c r="CY197" s="582"/>
      <c r="DB197" s="843"/>
      <c r="DF197" s="843"/>
      <c r="DJ197" s="843"/>
      <c r="DN197" s="843"/>
      <c r="DO197" s="843"/>
    </row>
    <row r="198" spans="1:119" s="516" customFormat="1" x14ac:dyDescent="0.2">
      <c r="A198" s="515" t="s">
        <v>451</v>
      </c>
      <c r="CG198" s="516" t="str">
        <f>A198</f>
        <v>18. Average Basic Shares</v>
      </c>
    </row>
    <row r="199" spans="1:119" s="706" customFormat="1" x14ac:dyDescent="0.2">
      <c r="D199" s="1344"/>
      <c r="E199" s="843"/>
      <c r="F199" s="581"/>
      <c r="G199" s="582"/>
      <c r="H199" s="1344"/>
      <c r="I199" s="843"/>
      <c r="J199" s="581"/>
      <c r="K199" s="582"/>
      <c r="L199" s="1344"/>
      <c r="M199" s="843"/>
      <c r="N199" s="581"/>
      <c r="O199" s="582"/>
      <c r="P199" s="1344"/>
      <c r="Q199" s="843"/>
      <c r="R199" s="581"/>
      <c r="S199" s="582"/>
      <c r="T199" s="1344"/>
      <c r="U199" s="843"/>
      <c r="V199" s="581"/>
      <c r="W199" s="582"/>
      <c r="X199" s="1344"/>
      <c r="Y199" s="843"/>
      <c r="Z199" s="581"/>
      <c r="AA199" s="582"/>
      <c r="AB199" s="1344"/>
      <c r="AC199" s="843"/>
      <c r="AD199" s="581"/>
      <c r="AE199" s="582"/>
      <c r="AF199" s="1344"/>
      <c r="AG199" s="843"/>
      <c r="AH199" s="581"/>
      <c r="AI199" s="582"/>
      <c r="AJ199" s="1344"/>
      <c r="AK199" s="843"/>
      <c r="AL199" s="581"/>
      <c r="AM199" s="582"/>
      <c r="AN199" s="1344"/>
      <c r="AO199" s="843"/>
      <c r="AP199" s="581"/>
      <c r="AQ199" s="582"/>
      <c r="AR199" s="1344"/>
      <c r="AS199" s="843"/>
      <c r="AT199" s="581"/>
      <c r="AU199" s="582"/>
      <c r="AV199" s="1344"/>
      <c r="AW199" s="843"/>
      <c r="AX199" s="581"/>
      <c r="AY199" s="582"/>
      <c r="AZ199" s="1344"/>
      <c r="BA199" s="843"/>
      <c r="BB199" s="581"/>
      <c r="BC199" s="582"/>
      <c r="BD199" s="1344"/>
      <c r="BE199" s="843"/>
      <c r="BF199" s="581"/>
      <c r="BG199" s="582"/>
      <c r="BH199" s="1344"/>
      <c r="BI199" s="843"/>
      <c r="BJ199" s="581"/>
      <c r="BK199" s="582"/>
      <c r="BL199" s="1344"/>
      <c r="BM199" s="843"/>
      <c r="BN199" s="581"/>
      <c r="BO199" s="582"/>
      <c r="BP199" s="583"/>
      <c r="BQ199" s="582"/>
      <c r="BR199" s="582"/>
      <c r="BS199" s="582"/>
      <c r="BT199" s="583"/>
      <c r="BU199" s="582"/>
      <c r="BV199" s="582"/>
      <c r="BW199" s="582"/>
      <c r="BX199" s="583"/>
      <c r="BY199" s="582"/>
      <c r="BZ199" s="582"/>
      <c r="CA199" s="582"/>
      <c r="CB199" s="583"/>
      <c r="CC199" s="582"/>
      <c r="CD199" s="582"/>
      <c r="CE199" s="582"/>
      <c r="CF199" s="583"/>
      <c r="CG199" s="582"/>
      <c r="CH199" s="582"/>
      <c r="CI199" s="582"/>
      <c r="CJ199" s="583"/>
      <c r="CK199" s="582"/>
      <c r="CL199" s="582"/>
      <c r="CM199" s="582"/>
      <c r="CO199" s="584"/>
      <c r="CP199" s="584"/>
      <c r="CQ199" s="582"/>
      <c r="CS199" s="584"/>
      <c r="CT199" s="584"/>
      <c r="CU199" s="582"/>
      <c r="CW199" s="584"/>
      <c r="CX199" s="584"/>
      <c r="CY199" s="582"/>
      <c r="DA199" s="584"/>
      <c r="DB199" s="584"/>
      <c r="DD199" s="1337"/>
      <c r="DE199" s="584"/>
      <c r="DF199" s="584"/>
      <c r="DH199" s="1337"/>
      <c r="DI199" s="584"/>
      <c r="DJ199" s="584"/>
      <c r="DL199" s="1337"/>
      <c r="DM199" s="584"/>
      <c r="DN199" s="584"/>
      <c r="DO199" s="584"/>
    </row>
    <row r="200" spans="1:119" s="706" customFormat="1" x14ac:dyDescent="0.2">
      <c r="A200" s="1342" t="s">
        <v>78</v>
      </c>
      <c r="D200" s="533"/>
      <c r="E200" s="577"/>
      <c r="F200" s="578"/>
      <c r="G200" s="884"/>
      <c r="H200" s="533"/>
      <c r="I200" s="577"/>
      <c r="J200" s="579"/>
      <c r="K200" s="884"/>
      <c r="L200" s="533"/>
      <c r="M200" s="577"/>
      <c r="N200" s="579"/>
      <c r="O200" s="884"/>
      <c r="P200" s="533"/>
      <c r="Q200" s="577"/>
      <c r="R200" s="579"/>
      <c r="S200" s="884"/>
      <c r="T200" s="533"/>
      <c r="U200" s="577"/>
      <c r="V200" s="579"/>
      <c r="W200" s="884"/>
      <c r="X200" s="533"/>
      <c r="Y200" s="577"/>
      <c r="Z200" s="579"/>
      <c r="AA200" s="884"/>
      <c r="AB200" s="533"/>
      <c r="AC200" s="577"/>
      <c r="AD200" s="579"/>
      <c r="AE200" s="884"/>
      <c r="AF200" s="533"/>
      <c r="AG200" s="577"/>
      <c r="AH200" s="579"/>
      <c r="AI200" s="884"/>
      <c r="AJ200" s="533">
        <v>152</v>
      </c>
      <c r="AK200" s="577"/>
      <c r="AL200" s="579"/>
      <c r="AM200" s="884"/>
      <c r="AN200" s="533">
        <v>141.845</v>
      </c>
      <c r="AO200" s="577"/>
      <c r="AP200" s="579"/>
      <c r="AQ200" s="884"/>
      <c r="AR200" s="533">
        <v>131.16499999999999</v>
      </c>
      <c r="AS200" s="577"/>
      <c r="AT200" s="579"/>
      <c r="AU200" s="884"/>
      <c r="AV200" s="533">
        <v>267.71199999999999</v>
      </c>
      <c r="AW200" s="577"/>
      <c r="AX200" s="579"/>
      <c r="AY200" s="884"/>
      <c r="AZ200" s="533">
        <v>269.404</v>
      </c>
      <c r="BA200" s="577"/>
      <c r="BB200" s="579"/>
      <c r="BC200" s="884"/>
      <c r="BD200" s="533">
        <v>271.15600000000001</v>
      </c>
      <c r="BE200" s="577"/>
      <c r="BF200" s="579"/>
      <c r="BG200" s="884"/>
      <c r="BH200" s="533">
        <v>278.22000000000003</v>
      </c>
      <c r="BI200" s="577"/>
      <c r="BJ200" s="579"/>
      <c r="BK200" s="884"/>
      <c r="BL200" s="533">
        <v>273.07</v>
      </c>
      <c r="BM200" s="577"/>
      <c r="BN200" s="579"/>
      <c r="BO200" s="884"/>
      <c r="BP200" s="533">
        <v>267.49</v>
      </c>
      <c r="BQ200" s="577"/>
      <c r="BR200" s="579"/>
      <c r="BS200" s="884"/>
      <c r="BT200" s="533">
        <v>257.94799999999998</v>
      </c>
      <c r="BU200" s="577"/>
      <c r="BV200" s="579"/>
      <c r="BW200" s="884"/>
      <c r="BX200" s="533">
        <v>218.6</v>
      </c>
      <c r="BY200" s="577"/>
      <c r="BZ200" s="579"/>
      <c r="CA200" s="884"/>
      <c r="CB200" s="533">
        <v>215.9</v>
      </c>
      <c r="CC200" s="577"/>
      <c r="CD200" s="579"/>
      <c r="CE200" s="884"/>
      <c r="CF200" s="1165">
        <v>218.4</v>
      </c>
      <c r="CG200" s="577"/>
      <c r="CH200" s="579"/>
      <c r="CI200" s="884"/>
      <c r="CJ200" s="1165">
        <v>219</v>
      </c>
      <c r="CK200" s="577"/>
      <c r="CL200" s="579"/>
      <c r="CM200" s="884"/>
      <c r="CN200" s="1165">
        <v>207.3</v>
      </c>
      <c r="CO200" s="540"/>
      <c r="CP200" s="538"/>
      <c r="CQ200" s="884"/>
      <c r="CR200" s="1165">
        <v>195.6</v>
      </c>
      <c r="CS200" s="540"/>
      <c r="CT200" s="538"/>
      <c r="CU200" s="884"/>
      <c r="CV200" s="1165">
        <v>189.8</v>
      </c>
      <c r="CW200" s="540"/>
      <c r="CX200" s="538"/>
      <c r="CY200" s="884"/>
      <c r="CZ200" s="1165">
        <v>190.6</v>
      </c>
      <c r="DA200" s="540"/>
      <c r="DB200" s="538"/>
      <c r="DD200" s="1165">
        <v>173.1</v>
      </c>
      <c r="DE200" s="540"/>
      <c r="DF200" s="538"/>
      <c r="DH200" s="1165">
        <v>167.3</v>
      </c>
      <c r="DI200" s="540"/>
      <c r="DJ200" s="538"/>
      <c r="DL200" s="1174">
        <f>DH203-(DH213-DL210)</f>
        <v>164.9</v>
      </c>
      <c r="DM200" s="540"/>
      <c r="DN200" s="538"/>
      <c r="DO200" s="538"/>
    </row>
    <row r="201" spans="1:119" s="706" customFormat="1" x14ac:dyDescent="0.2">
      <c r="A201" s="1342" t="s">
        <v>79</v>
      </c>
      <c r="D201" s="533"/>
      <c r="E201" s="577"/>
      <c r="F201" s="578"/>
      <c r="G201" s="884"/>
      <c r="H201" s="533"/>
      <c r="I201" s="577"/>
      <c r="J201" s="579"/>
      <c r="K201" s="884"/>
      <c r="L201" s="533"/>
      <c r="M201" s="577"/>
      <c r="N201" s="579"/>
      <c r="O201" s="884"/>
      <c r="P201" s="533"/>
      <c r="Q201" s="577"/>
      <c r="R201" s="579"/>
      <c r="S201" s="884"/>
      <c r="T201" s="533"/>
      <c r="U201" s="577"/>
      <c r="V201" s="579"/>
      <c r="W201" s="884"/>
      <c r="X201" s="533"/>
      <c r="Y201" s="577"/>
      <c r="Z201" s="579"/>
      <c r="AA201" s="884"/>
      <c r="AB201" s="533"/>
      <c r="AC201" s="577"/>
      <c r="AD201" s="579"/>
      <c r="AE201" s="884"/>
      <c r="AF201" s="533"/>
      <c r="AG201" s="577"/>
      <c r="AH201" s="579"/>
      <c r="AI201" s="884"/>
      <c r="AJ201" s="533">
        <v>149</v>
      </c>
      <c r="AK201" s="577"/>
      <c r="AL201" s="579"/>
      <c r="AM201" s="884"/>
      <c r="AN201" s="533">
        <v>139.34200000000001</v>
      </c>
      <c r="AO201" s="577"/>
      <c r="AP201" s="579"/>
      <c r="AQ201" s="884"/>
      <c r="AR201" s="533">
        <v>129.66999999999999</v>
      </c>
      <c r="AS201" s="577"/>
      <c r="AT201" s="579"/>
      <c r="AU201" s="884"/>
      <c r="AV201" s="533">
        <v>268.01600000000002</v>
      </c>
      <c r="AW201" s="577"/>
      <c r="AX201" s="579"/>
      <c r="AY201" s="884"/>
      <c r="AZ201" s="533">
        <v>270.13200000000001</v>
      </c>
      <c r="BA201" s="577"/>
      <c r="BB201" s="579"/>
      <c r="BC201" s="884"/>
      <c r="BD201" s="533">
        <v>271.68799999999999</v>
      </c>
      <c r="BE201" s="577"/>
      <c r="BF201" s="579"/>
      <c r="BG201" s="884"/>
      <c r="BH201" s="533">
        <v>281.47000000000003</v>
      </c>
      <c r="BI201" s="577"/>
      <c r="BJ201" s="579"/>
      <c r="BK201" s="884"/>
      <c r="BL201" s="533">
        <v>273.37900000000002</v>
      </c>
      <c r="BM201" s="577"/>
      <c r="BN201" s="579"/>
      <c r="BO201" s="884"/>
      <c r="BP201" s="533">
        <v>261.512</v>
      </c>
      <c r="BQ201" s="577"/>
      <c r="BR201" s="579"/>
      <c r="BS201" s="884"/>
      <c r="BT201" s="533">
        <v>251.02199999999999</v>
      </c>
      <c r="BU201" s="577"/>
      <c r="BV201" s="579"/>
      <c r="BW201" s="884"/>
      <c r="BX201" s="533">
        <v>216.5</v>
      </c>
      <c r="BY201" s="577"/>
      <c r="BZ201" s="579"/>
      <c r="CA201" s="884"/>
      <c r="CB201" s="533">
        <v>215.5</v>
      </c>
      <c r="CC201" s="577"/>
      <c r="CD201" s="579"/>
      <c r="CE201" s="884"/>
      <c r="CF201" s="1165">
        <v>219.2</v>
      </c>
      <c r="CG201" s="577"/>
      <c r="CH201" s="579"/>
      <c r="CI201" s="884"/>
      <c r="CJ201" s="1165">
        <v>215.9</v>
      </c>
      <c r="CK201" s="577"/>
      <c r="CL201" s="579"/>
      <c r="CM201" s="884"/>
      <c r="CN201" s="1165">
        <v>205.2</v>
      </c>
      <c r="CO201" s="540"/>
      <c r="CP201" s="538"/>
      <c r="CQ201" s="884"/>
      <c r="CR201" s="1165">
        <v>195.5</v>
      </c>
      <c r="CS201" s="540"/>
      <c r="CT201" s="538"/>
      <c r="CU201" s="884"/>
      <c r="CV201" s="1165">
        <v>189.6</v>
      </c>
      <c r="CW201" s="540"/>
      <c r="CX201" s="538"/>
      <c r="CY201" s="884"/>
      <c r="CZ201" s="1165">
        <v>189.4</v>
      </c>
      <c r="DA201" s="540"/>
      <c r="DB201" s="538"/>
      <c r="DD201" s="1165">
        <v>173.5</v>
      </c>
      <c r="DE201" s="540"/>
      <c r="DF201" s="538"/>
      <c r="DH201" s="1165">
        <v>166.4</v>
      </c>
      <c r="DI201" s="540"/>
      <c r="DJ201" s="538"/>
      <c r="DL201" s="1174">
        <f>DL200-(DL210-DL211)</f>
        <v>162.9</v>
      </c>
      <c r="DM201" s="540"/>
      <c r="DN201" s="538"/>
      <c r="DO201" s="538"/>
    </row>
    <row r="202" spans="1:119" s="706" customFormat="1" x14ac:dyDescent="0.2">
      <c r="A202" s="1342" t="s">
        <v>80</v>
      </c>
      <c r="D202" s="533"/>
      <c r="E202" s="577"/>
      <c r="F202" s="578"/>
      <c r="G202" s="884"/>
      <c r="H202" s="533"/>
      <c r="I202" s="577"/>
      <c r="J202" s="579"/>
      <c r="K202" s="884"/>
      <c r="L202" s="533"/>
      <c r="M202" s="577"/>
      <c r="N202" s="579"/>
      <c r="O202" s="884"/>
      <c r="P202" s="533"/>
      <c r="Q202" s="577"/>
      <c r="R202" s="579"/>
      <c r="S202" s="884"/>
      <c r="T202" s="533"/>
      <c r="U202" s="577"/>
      <c r="V202" s="579"/>
      <c r="W202" s="884"/>
      <c r="X202" s="533"/>
      <c r="Y202" s="577"/>
      <c r="Z202" s="579"/>
      <c r="AA202" s="884"/>
      <c r="AB202" s="533"/>
      <c r="AC202" s="577"/>
      <c r="AD202" s="579"/>
      <c r="AE202" s="884"/>
      <c r="AF202" s="533"/>
      <c r="AG202" s="577"/>
      <c r="AH202" s="579"/>
      <c r="AI202" s="884"/>
      <c r="AJ202" s="533">
        <v>144.49</v>
      </c>
      <c r="AK202" s="577"/>
      <c r="AL202" s="579"/>
      <c r="AM202" s="884"/>
      <c r="AN202" s="533">
        <v>136.72200000000001</v>
      </c>
      <c r="AO202" s="577"/>
      <c r="AP202" s="579"/>
      <c r="AQ202" s="884"/>
      <c r="AR202" s="533">
        <v>129.315</v>
      </c>
      <c r="AS202" s="577"/>
      <c r="AT202" s="579"/>
      <c r="AU202" s="884"/>
      <c r="AV202" s="533">
        <v>268.298</v>
      </c>
      <c r="AW202" s="577"/>
      <c r="AX202" s="579"/>
      <c r="AY202" s="884"/>
      <c r="AZ202" s="533">
        <v>270.416</v>
      </c>
      <c r="BA202" s="577"/>
      <c r="BB202" s="579"/>
      <c r="BC202" s="884"/>
      <c r="BD202" s="533">
        <v>272.608</v>
      </c>
      <c r="BE202" s="577"/>
      <c r="BF202" s="579"/>
      <c r="BG202" s="884"/>
      <c r="BH202" s="533">
        <v>281.39499999999998</v>
      </c>
      <c r="BI202" s="577"/>
      <c r="BJ202" s="579"/>
      <c r="BK202" s="884"/>
      <c r="BL202" s="533">
        <v>271.59899999999999</v>
      </c>
      <c r="BM202" s="577"/>
      <c r="BN202" s="579"/>
      <c r="BO202" s="884"/>
      <c r="BP202" s="533">
        <v>256.75700000000001</v>
      </c>
      <c r="BQ202" s="577"/>
      <c r="BR202" s="579"/>
      <c r="BS202" s="884"/>
      <c r="BT202" s="533">
        <v>241.52099999999999</v>
      </c>
      <c r="BU202" s="577"/>
      <c r="BV202" s="579"/>
      <c r="BW202" s="884"/>
      <c r="BX202" s="533">
        <v>215.6</v>
      </c>
      <c r="BY202" s="577"/>
      <c r="BZ202" s="579"/>
      <c r="CA202" s="884"/>
      <c r="CB202" s="533">
        <v>217.1</v>
      </c>
      <c r="CC202" s="577"/>
      <c r="CD202" s="579"/>
      <c r="CE202" s="884"/>
      <c r="CF202" s="1165">
        <v>219</v>
      </c>
      <c r="CG202" s="577"/>
      <c r="CH202" s="579"/>
      <c r="CI202" s="884"/>
      <c r="CJ202" s="1165">
        <v>210.9</v>
      </c>
      <c r="CK202" s="577"/>
      <c r="CL202" s="579"/>
      <c r="CM202" s="884"/>
      <c r="CN202" s="1165">
        <v>200.9</v>
      </c>
      <c r="CO202" s="540"/>
      <c r="CP202" s="538"/>
      <c r="CQ202" s="884"/>
      <c r="CR202" s="1165">
        <v>194.3</v>
      </c>
      <c r="CS202" s="540"/>
      <c r="CT202" s="538"/>
      <c r="CU202" s="884"/>
      <c r="CV202" s="1165">
        <v>190.7</v>
      </c>
      <c r="CW202" s="540"/>
      <c r="CX202" s="538"/>
      <c r="CY202" s="884"/>
      <c r="CZ202" s="1165">
        <v>187.2</v>
      </c>
      <c r="DA202" s="540"/>
      <c r="DB202" s="538"/>
      <c r="DD202" s="1165">
        <v>173.4</v>
      </c>
      <c r="DE202" s="540"/>
      <c r="DF202" s="538"/>
      <c r="DH202" s="1165">
        <v>166.6</v>
      </c>
      <c r="DI202" s="540"/>
      <c r="DJ202" s="538"/>
      <c r="DL202" s="1174">
        <f>DL201-(DL211-DL212)</f>
        <v>160.9</v>
      </c>
      <c r="DM202" s="540"/>
      <c r="DN202" s="538"/>
      <c r="DO202" s="538"/>
    </row>
    <row r="203" spans="1:119" s="706" customFormat="1" x14ac:dyDescent="0.2">
      <c r="A203" s="1342" t="s">
        <v>81</v>
      </c>
      <c r="D203" s="534"/>
      <c r="E203" s="577"/>
      <c r="F203" s="578"/>
      <c r="G203" s="884"/>
      <c r="H203" s="534"/>
      <c r="I203" s="577"/>
      <c r="J203" s="579"/>
      <c r="K203" s="884"/>
      <c r="L203" s="534"/>
      <c r="M203" s="577"/>
      <c r="N203" s="579"/>
      <c r="O203" s="884"/>
      <c r="P203" s="534"/>
      <c r="Q203" s="577"/>
      <c r="R203" s="579"/>
      <c r="S203" s="884"/>
      <c r="T203" s="534"/>
      <c r="U203" s="577"/>
      <c r="V203" s="579"/>
      <c r="W203" s="884"/>
      <c r="X203" s="534"/>
      <c r="Y203" s="577"/>
      <c r="Z203" s="579"/>
      <c r="AA203" s="884"/>
      <c r="AB203" s="534">
        <v>160.194354</v>
      </c>
      <c r="AC203" s="577"/>
      <c r="AD203" s="579"/>
      <c r="AE203" s="884"/>
      <c r="AF203" s="534">
        <v>154.22753</v>
      </c>
      <c r="AG203" s="577"/>
      <c r="AH203" s="579"/>
      <c r="AI203" s="884"/>
      <c r="AJ203" s="534">
        <v>141.876</v>
      </c>
      <c r="AK203" s="577"/>
      <c r="AL203" s="579"/>
      <c r="AM203" s="884"/>
      <c r="AN203" s="534">
        <v>133.482</v>
      </c>
      <c r="AO203" s="577"/>
      <c r="AP203" s="579"/>
      <c r="AQ203" s="884"/>
      <c r="AR203" s="534">
        <v>133.90299999999999</v>
      </c>
      <c r="AS203" s="577"/>
      <c r="AT203" s="579"/>
      <c r="AU203" s="884"/>
      <c r="AV203" s="534">
        <v>268.79399999999998</v>
      </c>
      <c r="AW203" s="577"/>
      <c r="AX203" s="579"/>
      <c r="AY203" s="884"/>
      <c r="AZ203" s="534">
        <v>270.87599999999998</v>
      </c>
      <c r="BA203" s="577"/>
      <c r="BB203" s="579"/>
      <c r="BC203" s="884"/>
      <c r="BD203" s="534">
        <v>275.19799999999998</v>
      </c>
      <c r="BE203" s="577"/>
      <c r="BF203" s="579"/>
      <c r="BG203" s="884"/>
      <c r="BH203" s="534">
        <v>274.89</v>
      </c>
      <c r="BI203" s="577"/>
      <c r="BJ203" s="579"/>
      <c r="BK203" s="884"/>
      <c r="BL203" s="534">
        <v>269.78300000000002</v>
      </c>
      <c r="BM203" s="577"/>
      <c r="BN203" s="579"/>
      <c r="BO203" s="884"/>
      <c r="BP203" s="534">
        <v>257.25900000000001</v>
      </c>
      <c r="BQ203" s="577"/>
      <c r="BR203" s="579"/>
      <c r="BS203" s="884"/>
      <c r="BT203" s="534">
        <v>229</v>
      </c>
      <c r="BU203" s="577"/>
      <c r="BV203" s="579"/>
      <c r="BW203" s="884"/>
      <c r="BX203" s="534">
        <v>215.6</v>
      </c>
      <c r="BY203" s="577"/>
      <c r="BZ203" s="579"/>
      <c r="CA203" s="884"/>
      <c r="CB203" s="534">
        <v>217.7</v>
      </c>
      <c r="CC203" s="577"/>
      <c r="CD203" s="579"/>
      <c r="CE203" s="884"/>
      <c r="CF203" s="1166">
        <v>218.8</v>
      </c>
      <c r="CG203" s="577"/>
      <c r="CH203" s="579"/>
      <c r="CI203" s="884"/>
      <c r="CJ203" s="1166">
        <v>208.2</v>
      </c>
      <c r="CK203" s="577"/>
      <c r="CL203" s="579"/>
      <c r="CM203" s="884"/>
      <c r="CN203" s="1166">
        <v>198.9</v>
      </c>
      <c r="CO203" s="540"/>
      <c r="CP203" s="538"/>
      <c r="CQ203" s="884"/>
      <c r="CR203" s="1166">
        <v>192.7</v>
      </c>
      <c r="CS203" s="540"/>
      <c r="CT203" s="538"/>
      <c r="CU203" s="884"/>
      <c r="CV203" s="1166">
        <v>189.9</v>
      </c>
      <c r="CW203" s="540"/>
      <c r="CX203" s="538"/>
      <c r="CY203" s="884"/>
      <c r="CZ203" s="1166">
        <v>178.1</v>
      </c>
      <c r="DA203" s="540"/>
      <c r="DB203" s="538"/>
      <c r="DD203" s="1166">
        <v>172.7</v>
      </c>
      <c r="DE203" s="540"/>
      <c r="DF203" s="538"/>
      <c r="DH203" s="1166">
        <v>166.9</v>
      </c>
      <c r="DI203" s="540"/>
      <c r="DJ203" s="538"/>
      <c r="DL203" s="1175">
        <f>DL202-(DL212-DL213)</f>
        <v>159.9</v>
      </c>
      <c r="DM203" s="540"/>
      <c r="DN203" s="538"/>
      <c r="DO203" s="538"/>
    </row>
    <row r="204" spans="1:119" s="706" customFormat="1" x14ac:dyDescent="0.2">
      <c r="A204" s="1342" t="s">
        <v>82</v>
      </c>
      <c r="D204" s="533"/>
      <c r="E204" s="531"/>
      <c r="F204" s="538"/>
      <c r="H204" s="533"/>
      <c r="I204" s="531"/>
      <c r="J204" s="539"/>
      <c r="L204" s="533"/>
      <c r="M204" s="531"/>
      <c r="N204" s="539"/>
      <c r="P204" s="533"/>
      <c r="Q204" s="531"/>
      <c r="R204" s="539"/>
      <c r="T204" s="533"/>
      <c r="U204" s="531"/>
      <c r="V204" s="539"/>
      <c r="X204" s="533"/>
      <c r="Y204" s="531"/>
      <c r="Z204" s="539"/>
      <c r="AB204" s="533">
        <v>161.697968</v>
      </c>
      <c r="AC204" s="531"/>
      <c r="AD204" s="539"/>
      <c r="AF204" s="533">
        <v>154.97255999999999</v>
      </c>
      <c r="AG204" s="531"/>
      <c r="AH204" s="539"/>
      <c r="AJ204" s="533">
        <v>146.8415</v>
      </c>
      <c r="AK204" s="531"/>
      <c r="AL204" s="539"/>
      <c r="AN204" s="533">
        <v>137.84774999999999</v>
      </c>
      <c r="AO204" s="531"/>
      <c r="AP204" s="539"/>
      <c r="AR204" s="533">
        <v>131.01325</v>
      </c>
      <c r="AS204" s="531"/>
      <c r="AT204" s="539"/>
      <c r="AV204" s="533">
        <v>268.20499999999998</v>
      </c>
      <c r="AW204" s="531"/>
      <c r="AX204" s="539"/>
      <c r="AZ204" s="533">
        <v>270.20699999999999</v>
      </c>
      <c r="BA204" s="531"/>
      <c r="BB204" s="539"/>
      <c r="BD204" s="533">
        <v>272.66250000000002</v>
      </c>
      <c r="BE204" s="531"/>
      <c r="BF204" s="539"/>
      <c r="BH204" s="533">
        <v>278.99374999999998</v>
      </c>
      <c r="BI204" s="531"/>
      <c r="BJ204" s="539"/>
      <c r="BL204" s="533">
        <v>271.95800000000003</v>
      </c>
      <c r="BM204" s="531"/>
      <c r="BN204" s="539"/>
      <c r="BP204" s="533">
        <v>260.75450000000001</v>
      </c>
      <c r="BQ204" s="531"/>
      <c r="BR204" s="539"/>
      <c r="BT204" s="533">
        <v>244.87275</v>
      </c>
      <c r="BU204" s="531"/>
      <c r="BV204" s="539"/>
      <c r="BX204" s="533">
        <v>216.57499999999999</v>
      </c>
      <c r="BY204" s="531"/>
      <c r="BZ204" s="539"/>
      <c r="CB204" s="533">
        <v>216.55</v>
      </c>
      <c r="CC204" s="531"/>
      <c r="CD204" s="539"/>
      <c r="CF204" s="1165">
        <v>218.85</v>
      </c>
      <c r="CG204" s="531"/>
      <c r="CH204" s="539"/>
      <c r="CJ204" s="1165">
        <v>213.5</v>
      </c>
      <c r="CK204" s="531"/>
      <c r="CL204" s="539"/>
      <c r="CN204" s="1165">
        <v>203</v>
      </c>
      <c r="CO204" s="561"/>
      <c r="CP204" s="560"/>
      <c r="CR204" s="1165">
        <v>194.5</v>
      </c>
      <c r="CS204" s="585"/>
      <c r="CT204" s="580"/>
      <c r="CU204" s="1337"/>
      <c r="CV204" s="1165">
        <v>190</v>
      </c>
      <c r="CW204" s="561"/>
      <c r="CX204" s="560"/>
      <c r="CY204" s="1337"/>
      <c r="CZ204" s="1165">
        <v>186.3</v>
      </c>
      <c r="DA204" s="561"/>
      <c r="DB204" s="560"/>
      <c r="DD204" s="1165">
        <f>AVERAGE(DD200:DD203)</f>
        <v>173.17500000000001</v>
      </c>
      <c r="DE204" s="561"/>
      <c r="DF204" s="560"/>
      <c r="DH204" s="1165">
        <f>AVERAGE(DH200:DH203)</f>
        <v>166.8</v>
      </c>
      <c r="DI204" s="561"/>
      <c r="DJ204" s="560"/>
      <c r="DL204" s="1182">
        <f>AVERAGE(DL200:DL203)</f>
        <v>162.15</v>
      </c>
      <c r="DM204" s="561"/>
      <c r="DN204" s="560"/>
      <c r="DO204" s="560"/>
    </row>
    <row r="205" spans="1:119" s="706" customFormat="1" x14ac:dyDescent="0.2">
      <c r="A205" s="1342"/>
      <c r="C205" s="843"/>
      <c r="D205" s="1233"/>
      <c r="E205" s="1346"/>
      <c r="F205" s="586"/>
      <c r="G205" s="582"/>
      <c r="H205" s="1233"/>
      <c r="I205" s="1346"/>
      <c r="J205" s="586"/>
      <c r="K205" s="582"/>
      <c r="L205" s="1233"/>
      <c r="M205" s="1346"/>
      <c r="N205" s="586"/>
      <c r="O205" s="582"/>
      <c r="P205" s="1233"/>
      <c r="Q205" s="1346"/>
      <c r="R205" s="586"/>
      <c r="S205" s="582"/>
      <c r="T205" s="1233"/>
      <c r="U205" s="1346"/>
      <c r="V205" s="586"/>
      <c r="W205" s="582"/>
      <c r="X205" s="1233"/>
      <c r="Y205" s="1346"/>
      <c r="Z205" s="586"/>
      <c r="AA205" s="582"/>
      <c r="AB205" s="1233"/>
      <c r="AC205" s="1346"/>
      <c r="AD205" s="586"/>
      <c r="AE205" s="582"/>
      <c r="AF205" s="1233"/>
      <c r="AG205" s="1346"/>
      <c r="AH205" s="586"/>
      <c r="AI205" s="582"/>
      <c r="AJ205" s="1233"/>
      <c r="AK205" s="1346"/>
      <c r="AL205" s="586"/>
      <c r="AM205" s="582"/>
      <c r="AN205" s="1233"/>
      <c r="AO205" s="1346"/>
      <c r="AP205" s="586"/>
      <c r="AQ205" s="582"/>
      <c r="AR205" s="1233"/>
      <c r="AS205" s="1346"/>
      <c r="AT205" s="586"/>
      <c r="AU205" s="582"/>
      <c r="AV205" s="1233"/>
      <c r="AW205" s="1346"/>
      <c r="AX205" s="586"/>
      <c r="AY205" s="582"/>
      <c r="AZ205" s="1233"/>
      <c r="BA205" s="1346"/>
      <c r="BB205" s="586"/>
      <c r="BC205" s="582"/>
      <c r="BD205" s="1233"/>
      <c r="BE205" s="1346"/>
      <c r="BF205" s="586"/>
      <c r="BG205" s="582"/>
      <c r="BH205" s="1233"/>
      <c r="BI205" s="1346"/>
      <c r="BJ205" s="586"/>
      <c r="BK205" s="582"/>
      <c r="BL205" s="1233"/>
      <c r="BM205" s="1346"/>
      <c r="BN205" s="586"/>
      <c r="BO205" s="582"/>
      <c r="BP205" s="533"/>
      <c r="BQ205" s="587"/>
      <c r="BR205" s="588"/>
      <c r="BS205" s="582"/>
      <c r="BT205" s="533"/>
      <c r="BU205" s="587"/>
      <c r="BV205" s="588"/>
      <c r="BW205" s="582"/>
      <c r="BX205" s="533"/>
      <c r="BY205" s="587"/>
      <c r="BZ205" s="588"/>
      <c r="CA205" s="582"/>
      <c r="CB205" s="533"/>
      <c r="CC205" s="587"/>
      <c r="CD205" s="588"/>
      <c r="CE205" s="582"/>
      <c r="CF205" s="533"/>
      <c r="CG205" s="587"/>
      <c r="CH205" s="588"/>
      <c r="CI205" s="582"/>
      <c r="CJ205" s="533"/>
      <c r="CK205" s="587"/>
      <c r="CL205" s="588"/>
      <c r="CM205" s="582"/>
      <c r="CN205" s="1088"/>
      <c r="CO205" s="1347"/>
      <c r="CP205" s="1348"/>
      <c r="CQ205" s="582"/>
      <c r="CR205" s="1088"/>
      <c r="CS205" s="1347"/>
      <c r="CT205" s="1348"/>
      <c r="CU205" s="582"/>
      <c r="CV205" s="1088"/>
      <c r="CW205" s="1347"/>
      <c r="CX205" s="1348"/>
      <c r="CY205" s="582"/>
      <c r="CZ205" s="1088"/>
      <c r="DA205" s="1347"/>
      <c r="DB205" s="1348"/>
      <c r="DD205" s="1088"/>
      <c r="DE205" s="1347"/>
      <c r="DF205" s="1348"/>
      <c r="DH205" s="1088"/>
      <c r="DI205" s="1347"/>
      <c r="DJ205" s="1348"/>
      <c r="DL205" s="1088"/>
      <c r="DM205" s="1347"/>
      <c r="DN205" s="1348"/>
      <c r="DO205" s="1348"/>
    </row>
    <row r="206" spans="1:119" s="706" customFormat="1" x14ac:dyDescent="0.2">
      <c r="A206" s="1342"/>
      <c r="C206" s="843"/>
      <c r="D206" s="1233"/>
      <c r="E206" s="1346"/>
      <c r="F206" s="586"/>
      <c r="G206" s="582"/>
      <c r="H206" s="1233"/>
      <c r="I206" s="1346"/>
      <c r="J206" s="586"/>
      <c r="K206" s="582"/>
      <c r="L206" s="1233"/>
      <c r="M206" s="1346"/>
      <c r="N206" s="586"/>
      <c r="O206" s="582"/>
      <c r="P206" s="1233"/>
      <c r="Q206" s="1346"/>
      <c r="R206" s="586"/>
      <c r="S206" s="582"/>
      <c r="T206" s="1233"/>
      <c r="U206" s="1346"/>
      <c r="V206" s="586"/>
      <c r="W206" s="582"/>
      <c r="X206" s="1233"/>
      <c r="Y206" s="1346"/>
      <c r="Z206" s="586"/>
      <c r="AA206" s="582"/>
      <c r="AB206" s="1233"/>
      <c r="AC206" s="1346"/>
      <c r="AD206" s="586"/>
      <c r="AE206" s="582"/>
      <c r="AF206" s="1233"/>
      <c r="AG206" s="1346"/>
      <c r="AH206" s="586"/>
      <c r="AI206" s="582"/>
      <c r="AJ206" s="1233"/>
      <c r="AK206" s="1346"/>
      <c r="AL206" s="586"/>
      <c r="AM206" s="582"/>
      <c r="AN206" s="1233"/>
      <c r="AO206" s="1346"/>
      <c r="AP206" s="586"/>
      <c r="AQ206" s="582"/>
      <c r="AR206" s="1233"/>
      <c r="AS206" s="1346"/>
      <c r="AT206" s="586"/>
      <c r="AU206" s="582"/>
      <c r="AV206" s="1233"/>
      <c r="AW206" s="1346"/>
      <c r="AX206" s="586"/>
      <c r="AY206" s="582"/>
      <c r="AZ206" s="1233"/>
      <c r="BA206" s="1346"/>
      <c r="BB206" s="586"/>
      <c r="BC206" s="582"/>
      <c r="BD206" s="1233"/>
      <c r="BE206" s="1346"/>
      <c r="BF206" s="586"/>
      <c r="BG206" s="582"/>
      <c r="BH206" s="1233"/>
      <c r="BI206" s="1346"/>
      <c r="BJ206" s="586"/>
      <c r="BK206" s="582"/>
      <c r="BL206" s="1233"/>
      <c r="BM206" s="1346"/>
      <c r="BN206" s="586"/>
      <c r="BO206" s="582"/>
      <c r="BP206" s="533"/>
      <c r="BQ206" s="587"/>
      <c r="BR206" s="588"/>
      <c r="BS206" s="582"/>
      <c r="BT206" s="533"/>
      <c r="BU206" s="587"/>
      <c r="BV206" s="588"/>
      <c r="BW206" s="582"/>
      <c r="BX206" s="533"/>
      <c r="BY206" s="587"/>
      <c r="BZ206" s="588"/>
      <c r="CA206" s="582"/>
      <c r="CB206" s="533"/>
      <c r="CC206" s="587"/>
      <c r="CD206" s="588"/>
      <c r="CE206" s="582"/>
      <c r="CF206" s="533"/>
      <c r="CG206" s="587"/>
      <c r="CH206" s="588"/>
      <c r="CI206" s="582"/>
      <c r="CJ206" s="533"/>
      <c r="CK206" s="587"/>
      <c r="CL206" s="588"/>
      <c r="CM206" s="582"/>
      <c r="CN206" s="1088"/>
      <c r="CO206" s="1347"/>
      <c r="CP206" s="1348"/>
      <c r="CQ206" s="582"/>
      <c r="CR206" s="1088"/>
      <c r="CS206" s="1088"/>
      <c r="CT206" s="1348"/>
      <c r="CU206" s="582"/>
      <c r="CV206" s="1088"/>
      <c r="CW206" s="1088"/>
      <c r="CX206" s="1348"/>
      <c r="CY206" s="582"/>
      <c r="CZ206" s="1349"/>
      <c r="DA206" s="1088"/>
      <c r="DB206" s="1348"/>
      <c r="DD206" s="1088"/>
      <c r="DE206" s="1088"/>
      <c r="DF206" s="1348"/>
      <c r="DH206" s="1088"/>
      <c r="DI206" s="1088"/>
      <c r="DJ206" s="1348"/>
      <c r="DL206" s="1088"/>
      <c r="DM206" s="1088"/>
      <c r="DN206" s="1348"/>
      <c r="DO206" s="1348"/>
    </row>
    <row r="207" spans="1:119" s="706" customFormat="1" x14ac:dyDescent="0.2">
      <c r="A207" s="1342"/>
      <c r="C207" s="843"/>
      <c r="D207" s="1233"/>
      <c r="E207" s="1346"/>
      <c r="F207" s="586"/>
      <c r="G207" s="582"/>
      <c r="H207" s="1233"/>
      <c r="I207" s="1346"/>
      <c r="J207" s="586"/>
      <c r="K207" s="582"/>
      <c r="L207" s="1233"/>
      <c r="M207" s="1346"/>
      <c r="N207" s="586"/>
      <c r="O207" s="582"/>
      <c r="P207" s="1233"/>
      <c r="Q207" s="1346"/>
      <c r="R207" s="586"/>
      <c r="S207" s="582"/>
      <c r="T207" s="1233"/>
      <c r="U207" s="1346"/>
      <c r="V207" s="586"/>
      <c r="W207" s="582"/>
      <c r="X207" s="1233"/>
      <c r="Y207" s="1346"/>
      <c r="Z207" s="586"/>
      <c r="AA207" s="582"/>
      <c r="AB207" s="1233"/>
      <c r="AC207" s="1346"/>
      <c r="AD207" s="586"/>
      <c r="AE207" s="582"/>
      <c r="AF207" s="1233"/>
      <c r="AG207" s="1346"/>
      <c r="AH207" s="586"/>
      <c r="AI207" s="582"/>
      <c r="AJ207" s="1233"/>
      <c r="AK207" s="1346"/>
      <c r="AL207" s="586"/>
      <c r="AM207" s="582"/>
      <c r="AN207" s="1233"/>
      <c r="AO207" s="1346"/>
      <c r="AP207" s="586"/>
      <c r="AQ207" s="582"/>
      <c r="AR207" s="1233"/>
      <c r="AS207" s="1346"/>
      <c r="AT207" s="586"/>
      <c r="AU207" s="582"/>
      <c r="AV207" s="1233"/>
      <c r="AW207" s="1346"/>
      <c r="AX207" s="586"/>
      <c r="AY207" s="582"/>
      <c r="AZ207" s="1233"/>
      <c r="BA207" s="1346"/>
      <c r="BB207" s="586"/>
      <c r="BC207" s="582"/>
      <c r="BD207" s="1233"/>
      <c r="BE207" s="1346"/>
      <c r="BF207" s="586"/>
      <c r="BG207" s="582"/>
      <c r="BH207" s="1233"/>
      <c r="BI207" s="1346"/>
      <c r="BJ207" s="586"/>
      <c r="BK207" s="582"/>
      <c r="BL207" s="1233"/>
      <c r="BM207" s="1346"/>
      <c r="BN207" s="586"/>
      <c r="BO207" s="582"/>
      <c r="BP207" s="533"/>
      <c r="BQ207" s="587"/>
      <c r="BR207" s="588"/>
      <c r="BS207" s="582"/>
      <c r="BT207" s="533"/>
      <c r="BU207" s="587"/>
      <c r="BV207" s="588"/>
      <c r="BW207" s="582"/>
      <c r="BX207" s="533"/>
      <c r="BY207" s="587"/>
      <c r="BZ207" s="588"/>
      <c r="CA207" s="582"/>
      <c r="CB207" s="533"/>
      <c r="CC207" s="587"/>
      <c r="CD207" s="588"/>
      <c r="CE207" s="582"/>
      <c r="CF207" s="533"/>
      <c r="CG207" s="587"/>
      <c r="CH207" s="588"/>
      <c r="CI207" s="582"/>
      <c r="CJ207" s="533"/>
      <c r="CK207" s="587"/>
      <c r="CL207" s="588"/>
      <c r="CM207" s="582"/>
      <c r="CN207" s="1088"/>
      <c r="CO207" s="1347"/>
      <c r="CP207" s="1348"/>
      <c r="CQ207" s="582"/>
      <c r="CS207" s="1347"/>
      <c r="CT207" s="1348"/>
      <c r="CU207" s="582"/>
      <c r="CW207" s="1347"/>
      <c r="CX207" s="1348"/>
      <c r="CY207" s="582"/>
      <c r="DA207" s="1347"/>
      <c r="DB207" s="1348"/>
      <c r="DE207" s="1347"/>
      <c r="DF207" s="1348"/>
      <c r="DI207" s="1347"/>
      <c r="DJ207" s="1348"/>
      <c r="DM207" s="1347"/>
      <c r="DN207" s="1348"/>
      <c r="DO207" s="1348"/>
    </row>
    <row r="208" spans="1:119" s="516" customFormat="1" ht="12.75" customHeight="1" outlineLevel="1" thickBot="1" x14ac:dyDescent="0.25">
      <c r="A208" s="515" t="s">
        <v>452</v>
      </c>
      <c r="CG208" s="516" t="str">
        <f>A208</f>
        <v>19. Basic Shares Outstanding</v>
      </c>
    </row>
    <row r="209" spans="1:120" s="706" customFormat="1" outlineLevel="1" x14ac:dyDescent="0.2">
      <c r="D209" s="1344"/>
      <c r="E209" s="843"/>
      <c r="F209" s="843"/>
      <c r="H209" s="1344"/>
      <c r="I209" s="843"/>
      <c r="J209" s="843"/>
      <c r="L209" s="1344"/>
      <c r="M209" s="843"/>
      <c r="N209" s="843"/>
      <c r="P209" s="1344"/>
      <c r="Q209" s="843"/>
      <c r="R209" s="843"/>
      <c r="T209" s="1344"/>
      <c r="U209" s="843"/>
      <c r="V209" s="843"/>
      <c r="X209" s="1344"/>
      <c r="Y209" s="843"/>
      <c r="Z209" s="843"/>
      <c r="AB209" s="1344"/>
      <c r="AC209" s="843"/>
      <c r="AD209" s="843"/>
      <c r="AF209" s="1344"/>
      <c r="AG209" s="843"/>
      <c r="AH209" s="843"/>
      <c r="AJ209" s="1344"/>
      <c r="AK209" s="843"/>
      <c r="AL209" s="843"/>
      <c r="AN209" s="1344"/>
      <c r="AO209" s="843"/>
      <c r="AP209" s="843"/>
      <c r="AR209" s="1344"/>
      <c r="AS209" s="843"/>
      <c r="AT209" s="843"/>
      <c r="AV209" s="1344"/>
      <c r="AW209" s="843"/>
      <c r="AX209" s="843"/>
      <c r="AZ209" s="1344"/>
      <c r="BA209" s="843"/>
      <c r="BB209" s="843"/>
      <c r="BD209" s="1344"/>
      <c r="BE209" s="843"/>
      <c r="BF209" s="843"/>
      <c r="BH209" s="1344"/>
      <c r="BI209" s="843"/>
      <c r="BJ209" s="843"/>
      <c r="BL209" s="1344"/>
      <c r="BM209" s="843"/>
      <c r="BN209" s="843"/>
      <c r="BP209" s="884"/>
      <c r="BT209" s="884"/>
      <c r="BX209" s="884"/>
      <c r="CB209" s="884"/>
      <c r="CF209" s="884"/>
      <c r="CJ209" s="884"/>
      <c r="CO209" s="589" t="s">
        <v>330</v>
      </c>
      <c r="CP209" s="590" t="s">
        <v>331</v>
      </c>
      <c r="CS209" s="589" t="s">
        <v>330</v>
      </c>
      <c r="CT209" s="590" t="s">
        <v>331</v>
      </c>
      <c r="CW209" s="589" t="s">
        <v>330</v>
      </c>
      <c r="CX209" s="590" t="s">
        <v>331</v>
      </c>
      <c r="DA209" s="589" t="s">
        <v>330</v>
      </c>
      <c r="DB209" s="590" t="s">
        <v>331</v>
      </c>
      <c r="DE209" s="589" t="s">
        <v>330</v>
      </c>
      <c r="DF209" s="590" t="s">
        <v>331</v>
      </c>
      <c r="DI209" s="589" t="s">
        <v>330</v>
      </c>
      <c r="DJ209" s="590" t="s">
        <v>331</v>
      </c>
      <c r="DM209" s="589" t="s">
        <v>330</v>
      </c>
      <c r="DN209" s="590" t="s">
        <v>331</v>
      </c>
      <c r="DO209" s="1312"/>
      <c r="DP209" s="1350"/>
    </row>
    <row r="210" spans="1:120" s="706" customFormat="1" outlineLevel="1" x14ac:dyDescent="0.2">
      <c r="A210" s="1342" t="s">
        <v>78</v>
      </c>
      <c r="D210" s="533"/>
      <c r="E210" s="577"/>
      <c r="F210" s="578"/>
      <c r="G210" s="884"/>
      <c r="H210" s="533"/>
      <c r="I210" s="577"/>
      <c r="J210" s="579"/>
      <c r="K210" s="884"/>
      <c r="L210" s="533"/>
      <c r="M210" s="577"/>
      <c r="N210" s="579"/>
      <c r="O210" s="884"/>
      <c r="P210" s="533"/>
      <c r="Q210" s="577"/>
      <c r="R210" s="579"/>
      <c r="S210" s="884"/>
      <c r="T210" s="533"/>
      <c r="U210" s="577"/>
      <c r="V210" s="579"/>
      <c r="W210" s="884"/>
      <c r="X210" s="533"/>
      <c r="Y210" s="577"/>
      <c r="Z210" s="579"/>
      <c r="AA210" s="884"/>
      <c r="AB210" s="533"/>
      <c r="AC210" s="577"/>
      <c r="AD210" s="579"/>
      <c r="AE210" s="884"/>
      <c r="AF210" s="533"/>
      <c r="AG210" s="577"/>
      <c r="AH210" s="579"/>
      <c r="AI210" s="884"/>
      <c r="AJ210" s="533"/>
      <c r="AK210" s="577"/>
      <c r="AL210" s="579"/>
      <c r="AM210" s="884"/>
      <c r="AN210" s="533"/>
      <c r="AO210" s="577"/>
      <c r="AP210" s="579"/>
      <c r="AQ210" s="884"/>
      <c r="AR210" s="533"/>
      <c r="AS210" s="577"/>
      <c r="AT210" s="579"/>
      <c r="AU210" s="884"/>
      <c r="AV210" s="533">
        <v>268.02640000000002</v>
      </c>
      <c r="AW210" s="577"/>
      <c r="AX210" s="579"/>
      <c r="AY210" s="884"/>
      <c r="AZ210" s="533">
        <v>270.14165800000001</v>
      </c>
      <c r="BA210" s="577"/>
      <c r="BB210" s="579"/>
      <c r="BC210" s="884"/>
      <c r="BD210" s="533">
        <v>271.66427199999998</v>
      </c>
      <c r="BE210" s="577"/>
      <c r="BF210" s="579"/>
      <c r="BG210" s="884"/>
      <c r="BH210" s="533">
        <v>280.84526</v>
      </c>
      <c r="BI210" s="577"/>
      <c r="BJ210" s="579"/>
      <c r="BK210" s="884"/>
      <c r="BL210" s="533">
        <v>273.11799999999999</v>
      </c>
      <c r="BM210" s="577"/>
      <c r="BN210" s="579"/>
      <c r="BO210" s="884"/>
      <c r="BP210" s="533">
        <v>265.86500000000001</v>
      </c>
      <c r="BQ210" s="577"/>
      <c r="BR210" s="579"/>
      <c r="BS210" s="884"/>
      <c r="BT210" s="533">
        <v>258.10000000000002</v>
      </c>
      <c r="BU210" s="577"/>
      <c r="BV210" s="579"/>
      <c r="BW210" s="884"/>
      <c r="BX210" s="533">
        <v>216.9</v>
      </c>
      <c r="BY210" s="577"/>
      <c r="BZ210" s="579"/>
      <c r="CA210" s="884">
        <v>216.2</v>
      </c>
      <c r="CB210" s="533">
        <v>216.360015</v>
      </c>
      <c r="CC210" s="577"/>
      <c r="CD210" s="579"/>
      <c r="CE210" s="884"/>
      <c r="CF210" s="1165">
        <v>218.9</v>
      </c>
      <c r="CG210" s="577"/>
      <c r="CH210" s="579"/>
      <c r="CI210" s="884"/>
      <c r="CJ210" s="1165">
        <v>219.8</v>
      </c>
      <c r="CK210" s="577"/>
      <c r="CL210" s="579"/>
      <c r="CM210" s="884"/>
      <c r="CN210" s="1165">
        <v>208.6</v>
      </c>
      <c r="CO210" s="1183">
        <f>(0.7*50.22+0.1*53.51)/0.8</f>
        <v>50.631249999999994</v>
      </c>
      <c r="CP210" s="1184">
        <v>-40</v>
      </c>
      <c r="CQ210" s="884"/>
      <c r="CR210" s="1165">
        <v>195</v>
      </c>
      <c r="CS210" s="1183">
        <v>55.333333333333336</v>
      </c>
      <c r="CT210" s="1184">
        <v>-166</v>
      </c>
      <c r="CU210" s="884"/>
      <c r="CV210" s="1165">
        <v>189.3</v>
      </c>
      <c r="CW210" s="1183">
        <f>-CX210/3.2</f>
        <v>60</v>
      </c>
      <c r="CX210" s="1184">
        <v>-192</v>
      </c>
      <c r="CY210" s="884"/>
      <c r="CZ210" s="1165">
        <v>191</v>
      </c>
      <c r="DA210" s="1183">
        <f>-DB210/0.4</f>
        <v>82.5</v>
      </c>
      <c r="DB210" s="1184">
        <v>-33</v>
      </c>
      <c r="DD210" s="1165">
        <v>173.4</v>
      </c>
      <c r="DE210" s="1183">
        <v>50</v>
      </c>
      <c r="DF210" s="1184">
        <v>-50</v>
      </c>
      <c r="DH210" s="1165">
        <v>166</v>
      </c>
      <c r="DI210" s="1183">
        <f>206/4.6</f>
        <v>44.782608695652179</v>
      </c>
      <c r="DJ210" s="1184">
        <v>-206</v>
      </c>
      <c r="DL210" s="1314">
        <f>DH213+DN210/DM210</f>
        <v>164.6</v>
      </c>
      <c r="DM210" s="1331">
        <v>50</v>
      </c>
      <c r="DN210" s="1332">
        <v>-100</v>
      </c>
      <c r="DO210" s="1313"/>
      <c r="DP210" s="1350"/>
    </row>
    <row r="211" spans="1:120" s="706" customFormat="1" outlineLevel="1" x14ac:dyDescent="0.2">
      <c r="A211" s="1342" t="s">
        <v>79</v>
      </c>
      <c r="D211" s="533"/>
      <c r="E211" s="577"/>
      <c r="F211" s="578"/>
      <c r="G211" s="884"/>
      <c r="H211" s="533"/>
      <c r="I211" s="577"/>
      <c r="J211" s="579"/>
      <c r="K211" s="884"/>
      <c r="L211" s="533"/>
      <c r="M211" s="577"/>
      <c r="N211" s="579"/>
      <c r="O211" s="884"/>
      <c r="P211" s="533"/>
      <c r="Q211" s="577"/>
      <c r="R211" s="579"/>
      <c r="S211" s="884"/>
      <c r="T211" s="533"/>
      <c r="U211" s="577"/>
      <c r="V211" s="579"/>
      <c r="W211" s="884"/>
      <c r="X211" s="533"/>
      <c r="Y211" s="577"/>
      <c r="Z211" s="579"/>
      <c r="AA211" s="884"/>
      <c r="AB211" s="533"/>
      <c r="AC211" s="577"/>
      <c r="AD211" s="579"/>
      <c r="AE211" s="884"/>
      <c r="AF211" s="533"/>
      <c r="AG211" s="577"/>
      <c r="AH211" s="579"/>
      <c r="AI211" s="884"/>
      <c r="AJ211" s="533"/>
      <c r="AK211" s="577"/>
      <c r="AL211" s="579"/>
      <c r="AM211" s="884"/>
      <c r="AN211" s="533"/>
      <c r="AO211" s="577"/>
      <c r="AP211" s="579"/>
      <c r="AQ211" s="884"/>
      <c r="AR211" s="533"/>
      <c r="AS211" s="577"/>
      <c r="AT211" s="579"/>
      <c r="AU211" s="884"/>
      <c r="AV211" s="533">
        <v>268.14880399999998</v>
      </c>
      <c r="AW211" s="577"/>
      <c r="AX211" s="579"/>
      <c r="AY211" s="884"/>
      <c r="AZ211" s="533">
        <v>270.22471999999999</v>
      </c>
      <c r="BA211" s="577"/>
      <c r="BB211" s="579"/>
      <c r="BC211" s="884"/>
      <c r="BD211" s="533">
        <v>272.13190800000001</v>
      </c>
      <c r="BE211" s="577"/>
      <c r="BF211" s="579"/>
      <c r="BG211" s="884"/>
      <c r="BH211" s="533">
        <v>281.39999999999998</v>
      </c>
      <c r="BI211" s="577"/>
      <c r="BJ211" s="579"/>
      <c r="BK211" s="884"/>
      <c r="BL211" s="533">
        <v>273.35199999999998</v>
      </c>
      <c r="BM211" s="577"/>
      <c r="BN211" s="579"/>
      <c r="BO211" s="884"/>
      <c r="BP211" s="533">
        <v>256.5</v>
      </c>
      <c r="BQ211" s="577"/>
      <c r="BR211" s="579"/>
      <c r="BS211" s="884"/>
      <c r="BT211" s="533">
        <v>247.5</v>
      </c>
      <c r="BU211" s="577"/>
      <c r="BV211" s="579"/>
      <c r="BW211" s="884"/>
      <c r="BX211" s="533">
        <v>215.6</v>
      </c>
      <c r="BY211" s="577"/>
      <c r="BZ211" s="579"/>
      <c r="CA211" s="884"/>
      <c r="CB211" s="533">
        <v>216.4</v>
      </c>
      <c r="CC211" s="577"/>
      <c r="CD211" s="579"/>
      <c r="CE211" s="884"/>
      <c r="CF211" s="1165">
        <v>219.1</v>
      </c>
      <c r="CG211" s="577"/>
      <c r="CH211" s="579"/>
      <c r="CI211" s="884"/>
      <c r="CJ211" s="1165">
        <v>214.2</v>
      </c>
      <c r="CK211" s="577"/>
      <c r="CL211" s="579"/>
      <c r="CM211" s="884"/>
      <c r="CN211" s="1165">
        <v>201.1</v>
      </c>
      <c r="CO211" s="1183">
        <v>48.133333333333333</v>
      </c>
      <c r="CP211" s="1184">
        <v>-361</v>
      </c>
      <c r="CQ211" s="884"/>
      <c r="CR211" s="1165">
        <v>195</v>
      </c>
      <c r="CS211" s="1183">
        <f>48/0.8</f>
        <v>60</v>
      </c>
      <c r="CT211" s="1184">
        <v>-48</v>
      </c>
      <c r="CU211" s="884"/>
      <c r="CV211" s="1165">
        <v>188.6</v>
      </c>
      <c r="CW211" s="1183">
        <f>-CX211/1.7</f>
        <v>70</v>
      </c>
      <c r="CX211" s="1184">
        <v>-119</v>
      </c>
      <c r="CY211" s="884"/>
      <c r="CZ211" s="1165">
        <v>188.2</v>
      </c>
      <c r="DA211" s="1183">
        <f>-DB211/3.1</f>
        <v>75.161290322580641</v>
      </c>
      <c r="DB211" s="1184">
        <v>-233</v>
      </c>
      <c r="DD211" s="1165">
        <v>173.3</v>
      </c>
      <c r="DE211" s="1183">
        <f>60/1.3</f>
        <v>46.153846153846153</v>
      </c>
      <c r="DF211" s="1184">
        <v>-60</v>
      </c>
      <c r="DH211" s="1165">
        <v>166.2</v>
      </c>
      <c r="DI211" s="1183">
        <v>0</v>
      </c>
      <c r="DJ211" s="1184">
        <v>0</v>
      </c>
      <c r="DL211" s="1314">
        <f>DL210+DN211/DM211</f>
        <v>162.6</v>
      </c>
      <c r="DM211" s="1331">
        <v>50</v>
      </c>
      <c r="DN211" s="1332">
        <v>-100</v>
      </c>
      <c r="DO211" s="1315"/>
      <c r="DP211" s="1350"/>
    </row>
    <row r="212" spans="1:120" s="706" customFormat="1" outlineLevel="1" x14ac:dyDescent="0.2">
      <c r="A212" s="1342" t="s">
        <v>80</v>
      </c>
      <c r="D212" s="533"/>
      <c r="E212" s="577"/>
      <c r="F212" s="578"/>
      <c r="G212" s="884"/>
      <c r="H212" s="533"/>
      <c r="I212" s="577"/>
      <c r="J212" s="579"/>
      <c r="K212" s="884"/>
      <c r="L212" s="533"/>
      <c r="M212" s="577"/>
      <c r="N212" s="579"/>
      <c r="O212" s="884"/>
      <c r="P212" s="533"/>
      <c r="Q212" s="577"/>
      <c r="R212" s="579"/>
      <c r="S212" s="884"/>
      <c r="T212" s="533"/>
      <c r="U212" s="577"/>
      <c r="V212" s="579"/>
      <c r="W212" s="884"/>
      <c r="X212" s="533"/>
      <c r="Y212" s="577"/>
      <c r="Z212" s="579"/>
      <c r="AA212" s="884"/>
      <c r="AB212" s="533"/>
      <c r="AC212" s="577"/>
      <c r="AD212" s="579"/>
      <c r="AE212" s="884"/>
      <c r="AF212" s="533"/>
      <c r="AG212" s="577"/>
      <c r="AH212" s="579"/>
      <c r="AI212" s="884"/>
      <c r="AJ212" s="533"/>
      <c r="AK212" s="577"/>
      <c r="AL212" s="579"/>
      <c r="AM212" s="884"/>
      <c r="AN212" s="533"/>
      <c r="AO212" s="577"/>
      <c r="AP212" s="579"/>
      <c r="AQ212" s="884"/>
      <c r="AR212" s="533"/>
      <c r="AS212" s="577"/>
      <c r="AT212" s="579"/>
      <c r="AU212" s="884"/>
      <c r="AV212" s="533">
        <v>268.81585999999999</v>
      </c>
      <c r="AW212" s="577"/>
      <c r="AX212" s="579"/>
      <c r="AY212" s="884"/>
      <c r="AZ212" s="533">
        <v>270.87322999999998</v>
      </c>
      <c r="BA212" s="577"/>
      <c r="BB212" s="579"/>
      <c r="BC212" s="884"/>
      <c r="BD212" s="533">
        <v>274.87046199999997</v>
      </c>
      <c r="BE212" s="577"/>
      <c r="BF212" s="579"/>
      <c r="BG212" s="884"/>
      <c r="BH212" s="533">
        <v>280.15364599999998</v>
      </c>
      <c r="BI212" s="577"/>
      <c r="BJ212" s="579"/>
      <c r="BK212" s="884"/>
      <c r="BL212" s="533">
        <v>269.69</v>
      </c>
      <c r="BM212" s="577"/>
      <c r="BN212" s="579"/>
      <c r="BO212" s="884"/>
      <c r="BP212" s="533">
        <v>256.904</v>
      </c>
      <c r="BQ212" s="577"/>
      <c r="BR212" s="579"/>
      <c r="BS212" s="884"/>
      <c r="BT212" s="533">
        <v>232</v>
      </c>
      <c r="BU212" s="577"/>
      <c r="BV212" s="579"/>
      <c r="BW212" s="884"/>
      <c r="BX212" s="533">
        <v>215.4</v>
      </c>
      <c r="BY212" s="577"/>
      <c r="BZ212" s="579"/>
      <c r="CA212" s="884"/>
      <c r="CB212" s="533">
        <v>217.3</v>
      </c>
      <c r="CC212" s="577"/>
      <c r="CD212" s="579"/>
      <c r="CE212" s="884"/>
      <c r="CF212" s="1165">
        <v>218.6</v>
      </c>
      <c r="CG212" s="577"/>
      <c r="CH212" s="579"/>
      <c r="CI212" s="884"/>
      <c r="CJ212" s="1165">
        <v>210.1</v>
      </c>
      <c r="CK212" s="577"/>
      <c r="CL212" s="579"/>
      <c r="CM212" s="884"/>
      <c r="CN212" s="1165">
        <v>200.7</v>
      </c>
      <c r="CO212" s="1183">
        <f>-CP212/1.5</f>
        <v>56.666666666666664</v>
      </c>
      <c r="CP212" s="1184">
        <v>-85</v>
      </c>
      <c r="CQ212" s="884"/>
      <c r="CR212" s="1165">
        <v>195</v>
      </c>
      <c r="CS212" s="1183">
        <f>155/2.7</f>
        <v>57.407407407407405</v>
      </c>
      <c r="CT212" s="1184">
        <v>-155</v>
      </c>
      <c r="CU212" s="884"/>
      <c r="CV212" s="1165">
        <v>190.1</v>
      </c>
      <c r="CW212" s="1183">
        <f>-CX212/3.3</f>
        <v>69.090909090909093</v>
      </c>
      <c r="CX212" s="1184">
        <v>-228</v>
      </c>
      <c r="CY212" s="884"/>
      <c r="CZ212" s="1165">
        <v>185.4</v>
      </c>
      <c r="DA212" s="1183">
        <v>71.400000000000006</v>
      </c>
      <c r="DB212" s="1184">
        <v>-250</v>
      </c>
      <c r="DD212" s="1165">
        <v>173.2</v>
      </c>
      <c r="DE212" s="1183">
        <f>33/0.6</f>
        <v>55</v>
      </c>
      <c r="DF212" s="1184">
        <v>-33</v>
      </c>
      <c r="DH212" s="1165">
        <v>166.6</v>
      </c>
      <c r="DI212" s="1183">
        <v>0</v>
      </c>
      <c r="DJ212" s="1184">
        <v>0</v>
      </c>
      <c r="DL212" s="1314">
        <f>DL211+DN212/DM212</f>
        <v>160.6</v>
      </c>
      <c r="DM212" s="1331">
        <v>50</v>
      </c>
      <c r="DN212" s="1332">
        <v>-100</v>
      </c>
      <c r="DO212" s="1315"/>
      <c r="DP212" s="1351"/>
    </row>
    <row r="213" spans="1:120" s="706" customFormat="1" ht="13.5" outlineLevel="1" thickBot="1" x14ac:dyDescent="0.25">
      <c r="A213" s="1342" t="s">
        <v>81</v>
      </c>
      <c r="D213" s="534"/>
      <c r="E213" s="577"/>
      <c r="F213" s="578"/>
      <c r="G213" s="884"/>
      <c r="H213" s="534"/>
      <c r="I213" s="577"/>
      <c r="J213" s="579"/>
      <c r="K213" s="884"/>
      <c r="L213" s="534"/>
      <c r="M213" s="577"/>
      <c r="N213" s="579"/>
      <c r="O213" s="884"/>
      <c r="P213" s="534"/>
      <c r="Q213" s="577"/>
      <c r="R213" s="579"/>
      <c r="S213" s="884"/>
      <c r="T213" s="534"/>
      <c r="U213" s="577"/>
      <c r="V213" s="579"/>
      <c r="W213" s="884"/>
      <c r="X213" s="534"/>
      <c r="Y213" s="577"/>
      <c r="Z213" s="579"/>
      <c r="AA213" s="884"/>
      <c r="AB213" s="534"/>
      <c r="AC213" s="577"/>
      <c r="AD213" s="579"/>
      <c r="AE213" s="884"/>
      <c r="AF213" s="534"/>
      <c r="AG213" s="577"/>
      <c r="AH213" s="579"/>
      <c r="AI213" s="884"/>
      <c r="AJ213" s="534"/>
      <c r="AK213" s="577"/>
      <c r="AL213" s="579"/>
      <c r="AM213" s="884"/>
      <c r="AN213" s="534"/>
      <c r="AO213" s="577"/>
      <c r="AP213" s="579"/>
      <c r="AQ213" s="884"/>
      <c r="AR213" s="534"/>
      <c r="AS213" s="577"/>
      <c r="AT213" s="579"/>
      <c r="AU213" s="884"/>
      <c r="AV213" s="534">
        <v>268.93721599999998</v>
      </c>
      <c r="AW213" s="577"/>
      <c r="AX213" s="579"/>
      <c r="AY213" s="884"/>
      <c r="AZ213" s="534">
        <v>270.888082</v>
      </c>
      <c r="BA213" s="577"/>
      <c r="BB213" s="579"/>
      <c r="BC213" s="884"/>
      <c r="BD213" s="534">
        <v>276.75333799999999</v>
      </c>
      <c r="BE213" s="577"/>
      <c r="BF213" s="579"/>
      <c r="BG213" s="884"/>
      <c r="BH213" s="534">
        <v>273.57404000000002</v>
      </c>
      <c r="BI213" s="577"/>
      <c r="BJ213" s="579"/>
      <c r="BK213" s="884"/>
      <c r="BL213" s="534">
        <v>269.54899999999998</v>
      </c>
      <c r="BM213" s="577"/>
      <c r="BN213" s="579"/>
      <c r="BO213" s="884"/>
      <c r="BP213" s="534">
        <v>257.53500000000003</v>
      </c>
      <c r="BQ213" s="577"/>
      <c r="BR213" s="579"/>
      <c r="BS213" s="884"/>
      <c r="BT213" s="534">
        <v>220.9</v>
      </c>
      <c r="BU213" s="577"/>
      <c r="BV213" s="579"/>
      <c r="BW213" s="884"/>
      <c r="BX213" s="534">
        <v>215.4</v>
      </c>
      <c r="BY213" s="577"/>
      <c r="BZ213" s="579"/>
      <c r="CA213" s="884"/>
      <c r="CB213" s="534">
        <v>217.7</v>
      </c>
      <c r="CC213" s="577"/>
      <c r="CD213" s="579"/>
      <c r="CE213" s="884"/>
      <c r="CF213" s="1166">
        <v>218</v>
      </c>
      <c r="CG213" s="577"/>
      <c r="CH213" s="579"/>
      <c r="CI213" s="884"/>
      <c r="CJ213" s="1166">
        <v>207.6</v>
      </c>
      <c r="CK213" s="577"/>
      <c r="CL213" s="579"/>
      <c r="CM213" s="884"/>
      <c r="CN213" s="1166">
        <v>197</v>
      </c>
      <c r="CO213" s="1185">
        <f>-CP213/4.2</f>
        <v>52.142857142857139</v>
      </c>
      <c r="CP213" s="1186">
        <v>-219</v>
      </c>
      <c r="CQ213" s="884"/>
      <c r="CR213" s="1166">
        <v>191.2</v>
      </c>
      <c r="CS213" s="1185">
        <f>154/2.5</f>
        <v>61.6</v>
      </c>
      <c r="CT213" s="1186">
        <v>-154</v>
      </c>
      <c r="CU213" s="884"/>
      <c r="CV213" s="1166">
        <v>190.1</v>
      </c>
      <c r="CW213" s="1185">
        <v>80</v>
      </c>
      <c r="CX213" s="1186">
        <v>-56</v>
      </c>
      <c r="CY213" s="884"/>
      <c r="CZ213" s="1166">
        <v>173.5</v>
      </c>
      <c r="DA213" s="1185">
        <v>56.25</v>
      </c>
      <c r="DB213" s="1186">
        <v>-675</v>
      </c>
      <c r="DD213" s="1166">
        <v>170</v>
      </c>
      <c r="DE213" s="1185">
        <f>189/4</f>
        <v>47.25</v>
      </c>
      <c r="DF213" s="1186">
        <v>-189</v>
      </c>
      <c r="DH213" s="1175">
        <f>DH212</f>
        <v>166.6</v>
      </c>
      <c r="DI213" s="1352">
        <v>0</v>
      </c>
      <c r="DJ213" s="1353">
        <v>-94</v>
      </c>
      <c r="DL213" s="1333">
        <f>DL212+DN213/DM213</f>
        <v>159.6</v>
      </c>
      <c r="DM213" s="1334">
        <v>50</v>
      </c>
      <c r="DN213" s="1335">
        <v>-50</v>
      </c>
      <c r="DO213" s="1315"/>
      <c r="DP213" s="1351"/>
    </row>
    <row r="214" spans="1:120" s="706" customFormat="1" outlineLevel="1" x14ac:dyDescent="0.2">
      <c r="A214" s="1342" t="s">
        <v>82</v>
      </c>
      <c r="D214" s="533"/>
      <c r="E214" s="531"/>
      <c r="F214" s="538"/>
      <c r="H214" s="533"/>
      <c r="I214" s="531"/>
      <c r="J214" s="539"/>
      <c r="L214" s="533"/>
      <c r="M214" s="531"/>
      <c r="N214" s="539"/>
      <c r="P214" s="533"/>
      <c r="Q214" s="531"/>
      <c r="R214" s="539"/>
      <c r="T214" s="533"/>
      <c r="U214" s="531"/>
      <c r="V214" s="539"/>
      <c r="X214" s="533"/>
      <c r="Y214" s="531"/>
      <c r="Z214" s="539"/>
      <c r="AB214" s="533"/>
      <c r="AC214" s="531"/>
      <c r="AD214" s="539"/>
      <c r="AF214" s="533"/>
      <c r="AG214" s="531"/>
      <c r="AH214" s="539"/>
      <c r="AJ214" s="533"/>
      <c r="AK214" s="531"/>
      <c r="AL214" s="539"/>
      <c r="AN214" s="533"/>
      <c r="AO214" s="531"/>
      <c r="AP214" s="539"/>
      <c r="AR214" s="533"/>
      <c r="AS214" s="531"/>
      <c r="AT214" s="539"/>
      <c r="AV214" s="533">
        <v>268.93721599999998</v>
      </c>
      <c r="AW214" s="531"/>
      <c r="AX214" s="539"/>
      <c r="AZ214" s="533">
        <v>270.888082</v>
      </c>
      <c r="BA214" s="531"/>
      <c r="BB214" s="539"/>
      <c r="BD214" s="533">
        <v>276.75333799999999</v>
      </c>
      <c r="BE214" s="531"/>
      <c r="BF214" s="539"/>
      <c r="BH214" s="533">
        <v>273.57404000000002</v>
      </c>
      <c r="BI214" s="531"/>
      <c r="BJ214" s="539"/>
      <c r="BL214" s="533">
        <v>269.54899999999998</v>
      </c>
      <c r="BM214" s="531"/>
      <c r="BN214" s="539"/>
      <c r="BP214" s="533">
        <v>257.53500000000003</v>
      </c>
      <c r="BQ214" s="531"/>
      <c r="BR214" s="539"/>
      <c r="BT214" s="533">
        <v>220.9</v>
      </c>
      <c r="BU214" s="531"/>
      <c r="BV214" s="539"/>
      <c r="BX214" s="533">
        <v>215.4</v>
      </c>
      <c r="BY214" s="531"/>
      <c r="BZ214" s="539"/>
      <c r="CB214" s="533">
        <v>217.7</v>
      </c>
      <c r="CC214" s="531"/>
      <c r="CD214" s="539"/>
      <c r="CF214" s="1165">
        <v>218</v>
      </c>
      <c r="CG214" s="531"/>
      <c r="CH214" s="539"/>
      <c r="CJ214" s="1165">
        <v>207.6</v>
      </c>
      <c r="CK214" s="531"/>
      <c r="CL214" s="539"/>
      <c r="CN214" s="1165">
        <f>CN213</f>
        <v>197</v>
      </c>
      <c r="CO214" s="1354"/>
      <c r="CP214" s="1355"/>
      <c r="CR214" s="1165">
        <f>CR213</f>
        <v>191.2</v>
      </c>
      <c r="CS214" s="1354"/>
      <c r="CT214" s="1355"/>
      <c r="CV214" s="1165">
        <f>CV213</f>
        <v>190.1</v>
      </c>
      <c r="CW214" s="1354"/>
      <c r="CX214" s="1355"/>
      <c r="CZ214" s="1165">
        <f>CZ213</f>
        <v>173.5</v>
      </c>
      <c r="DA214" s="1354"/>
      <c r="DB214" s="1355"/>
      <c r="DD214" s="1165">
        <f>DD213</f>
        <v>170</v>
      </c>
      <c r="DE214" s="1354"/>
      <c r="DF214" s="1355"/>
      <c r="DH214" s="1182">
        <f>DH213</f>
        <v>166.6</v>
      </c>
      <c r="DI214" s="1354"/>
      <c r="DJ214" s="1355"/>
      <c r="DL214" s="1336">
        <f>DL213</f>
        <v>159.6</v>
      </c>
      <c r="DM214" s="1356"/>
      <c r="DN214" s="1357"/>
      <c r="DO214" s="1357"/>
      <c r="DP214" s="1358"/>
    </row>
    <row r="215" spans="1:120" s="706" customFormat="1" outlineLevel="1" x14ac:dyDescent="0.2">
      <c r="CP215" s="843"/>
      <c r="CT215" s="1359">
        <f>SUM(CT210:CT213)</f>
        <v>-523</v>
      </c>
      <c r="CX215" s="1359">
        <f>SUM(CX210:CX213)</f>
        <v>-595</v>
      </c>
      <c r="DB215" s="1359"/>
      <c r="DF215" s="1359"/>
      <c r="DJ215" s="1359"/>
      <c r="DN215" s="1359"/>
      <c r="DO215" s="1359"/>
    </row>
    <row r="216" spans="1:120" s="706" customFormat="1" outlineLevel="1" x14ac:dyDescent="0.2">
      <c r="CP216" s="843"/>
      <c r="CT216" s="843"/>
      <c r="CX216" s="843"/>
      <c r="DB216" s="843"/>
      <c r="DF216" s="1359"/>
      <c r="DJ216" s="1359"/>
      <c r="DN216" s="1359"/>
      <c r="DO216" s="1359"/>
    </row>
    <row r="217" spans="1:120" s="706" customFormat="1" outlineLevel="1" x14ac:dyDescent="0.2">
      <c r="CP217" s="843"/>
      <c r="CT217" s="843"/>
      <c r="CW217" s="1177"/>
      <c r="CX217" s="1359"/>
      <c r="DB217" s="843"/>
      <c r="DF217" s="1359"/>
      <c r="DJ217" s="1359"/>
      <c r="DN217" s="1359"/>
      <c r="DO217" s="1359"/>
    </row>
    <row r="218" spans="1:120" s="516" customFormat="1" ht="12.75" customHeight="1" outlineLevel="1" x14ac:dyDescent="0.2">
      <c r="A218" s="515" t="s">
        <v>343</v>
      </c>
      <c r="CG218" s="516" t="str">
        <f>A218</f>
        <v>Depreciation</v>
      </c>
      <c r="CW218" s="1177"/>
      <c r="DF218" s="1359"/>
      <c r="DJ218" s="1359"/>
      <c r="DN218" s="1359"/>
      <c r="DO218" s="1359"/>
    </row>
    <row r="219" spans="1:120" s="706" customFormat="1" outlineLevel="1" x14ac:dyDescent="0.2">
      <c r="D219" s="1344"/>
      <c r="E219" s="843"/>
      <c r="F219" s="843"/>
      <c r="H219" s="1344"/>
      <c r="I219" s="843"/>
      <c r="J219" s="843"/>
      <c r="L219" s="1344"/>
      <c r="M219" s="843"/>
      <c r="N219" s="843"/>
      <c r="P219" s="1344"/>
      <c r="Q219" s="843"/>
      <c r="R219" s="843"/>
      <c r="T219" s="1344"/>
      <c r="U219" s="843"/>
      <c r="V219" s="843"/>
      <c r="X219" s="1344"/>
      <c r="Y219" s="843"/>
      <c r="Z219" s="843"/>
      <c r="AB219" s="1344"/>
      <c r="AC219" s="843"/>
      <c r="AD219" s="843"/>
      <c r="AF219" s="1344"/>
      <c r="AG219" s="843"/>
      <c r="AH219" s="843"/>
      <c r="AJ219" s="1344"/>
      <c r="AK219" s="843"/>
      <c r="AL219" s="843"/>
      <c r="AN219" s="1344"/>
      <c r="AO219" s="843"/>
      <c r="AP219" s="843"/>
      <c r="AR219" s="1344"/>
      <c r="AS219" s="843"/>
      <c r="AT219" s="843"/>
      <c r="AV219" s="1344"/>
      <c r="AW219" s="843"/>
      <c r="AX219" s="843"/>
      <c r="AZ219" s="1344"/>
      <c r="BA219" s="843"/>
      <c r="BB219" s="843"/>
      <c r="BD219" s="1344"/>
      <c r="BE219" s="843"/>
      <c r="BF219" s="843"/>
      <c r="BH219" s="1344"/>
      <c r="BI219" s="843"/>
      <c r="BJ219" s="843"/>
      <c r="BL219" s="1344"/>
      <c r="BM219" s="843"/>
      <c r="BN219" s="843"/>
      <c r="BP219" s="884"/>
      <c r="BT219" s="884"/>
      <c r="BX219" s="884"/>
      <c r="CB219" s="884"/>
      <c r="CF219" s="884"/>
      <c r="CJ219" s="884"/>
      <c r="CN219" s="843"/>
      <c r="CO219" s="843"/>
      <c r="CP219" s="843"/>
      <c r="CR219" s="843"/>
      <c r="CS219" s="843"/>
      <c r="CT219" s="843"/>
      <c r="CV219" s="843"/>
      <c r="CW219" s="1177"/>
      <c r="CX219" s="843"/>
      <c r="CZ219" s="843"/>
      <c r="DA219" s="843"/>
      <c r="DB219" s="843"/>
      <c r="DD219" s="843"/>
      <c r="DE219" s="843"/>
      <c r="DF219" s="1359"/>
      <c r="DH219" s="843"/>
      <c r="DI219" s="843"/>
      <c r="DJ219" s="1359"/>
      <c r="DL219" s="843"/>
      <c r="DM219" s="843"/>
      <c r="DN219" s="1359"/>
      <c r="DO219" s="1359"/>
    </row>
    <row r="220" spans="1:120" s="706" customFormat="1" outlineLevel="1" x14ac:dyDescent="0.2">
      <c r="A220" s="1342" t="s">
        <v>78</v>
      </c>
      <c r="D220" s="533"/>
      <c r="E220" s="577"/>
      <c r="F220" s="578"/>
      <c r="G220" s="884"/>
      <c r="H220" s="533"/>
      <c r="I220" s="577"/>
      <c r="J220" s="579"/>
      <c r="K220" s="884"/>
      <c r="L220" s="533"/>
      <c r="M220" s="577"/>
      <c r="N220" s="579"/>
      <c r="O220" s="884"/>
      <c r="P220" s="533"/>
      <c r="Q220" s="577"/>
      <c r="R220" s="579"/>
      <c r="S220" s="884"/>
      <c r="T220" s="533"/>
      <c r="U220" s="577"/>
      <c r="V220" s="579"/>
      <c r="W220" s="884"/>
      <c r="X220" s="533"/>
      <c r="Y220" s="577"/>
      <c r="Z220" s="579"/>
      <c r="AA220" s="884"/>
      <c r="AB220" s="533"/>
      <c r="AC220" s="577"/>
      <c r="AD220" s="579"/>
      <c r="AE220" s="884"/>
      <c r="AF220" s="533"/>
      <c r="AG220" s="577"/>
      <c r="AH220" s="579"/>
      <c r="AI220" s="884"/>
      <c r="AJ220" s="533"/>
      <c r="AK220" s="577"/>
      <c r="AL220" s="579"/>
      <c r="AM220" s="884"/>
      <c r="AN220" s="533"/>
      <c r="AO220" s="577"/>
      <c r="AP220" s="579"/>
      <c r="AQ220" s="884"/>
      <c r="AR220" s="533"/>
      <c r="AS220" s="577"/>
      <c r="AT220" s="579"/>
      <c r="AU220" s="884"/>
      <c r="AV220" s="533">
        <v>51.757999999999996</v>
      </c>
      <c r="AW220" s="577"/>
      <c r="AX220" s="579"/>
      <c r="AY220" s="884"/>
      <c r="AZ220" s="533">
        <v>50.957000000000001</v>
      </c>
      <c r="BA220" s="577"/>
      <c r="BB220" s="579"/>
      <c r="BC220" s="884"/>
      <c r="BD220" s="533">
        <v>56.426000000000002</v>
      </c>
      <c r="BE220" s="577"/>
      <c r="BF220" s="579"/>
      <c r="BG220" s="884"/>
      <c r="BH220" s="533">
        <v>56.251000000000005</v>
      </c>
      <c r="BI220" s="577"/>
      <c r="BJ220" s="579"/>
      <c r="BK220" s="884"/>
      <c r="BL220" s="533">
        <v>69.203999999999994</v>
      </c>
      <c r="BM220" s="577"/>
      <c r="BN220" s="579"/>
      <c r="BO220" s="884"/>
      <c r="BP220" s="533">
        <v>70.424999999999997</v>
      </c>
      <c r="BQ220" s="577"/>
      <c r="BR220" s="579"/>
      <c r="BS220" s="884"/>
      <c r="BT220" s="533">
        <v>69.364000000000004</v>
      </c>
      <c r="BU220" s="577"/>
      <c r="BV220" s="579"/>
      <c r="BW220" s="884"/>
      <c r="BX220" s="533">
        <v>72</v>
      </c>
      <c r="BY220" s="577"/>
      <c r="BZ220" s="579"/>
      <c r="CA220" s="884"/>
      <c r="CB220" s="533">
        <v>77</v>
      </c>
      <c r="CC220" s="577"/>
      <c r="CD220" s="579"/>
      <c r="CE220" s="884"/>
      <c r="CF220" s="1165">
        <v>79</v>
      </c>
      <c r="CG220" s="577"/>
      <c r="CH220" s="579"/>
      <c r="CI220" s="884"/>
      <c r="CJ220" s="1165">
        <v>86</v>
      </c>
      <c r="CK220" s="592"/>
      <c r="CL220" s="579"/>
      <c r="CM220" s="884"/>
      <c r="CN220" s="1165">
        <v>101</v>
      </c>
      <c r="CO220" s="592"/>
      <c r="CP220" s="843"/>
      <c r="CQ220" s="884"/>
      <c r="CR220" s="1165">
        <f>4064-3959</f>
        <v>105</v>
      </c>
      <c r="CS220" s="592"/>
      <c r="CT220" s="843"/>
      <c r="CU220" s="884"/>
      <c r="CV220" s="1165">
        <v>118</v>
      </c>
      <c r="CW220" s="1177"/>
      <c r="CX220" s="843"/>
      <c r="CY220" s="884"/>
      <c r="CZ220" s="1165">
        <v>130</v>
      </c>
      <c r="DA220" s="592"/>
      <c r="DB220" s="843"/>
      <c r="DD220" s="1165">
        <v>155</v>
      </c>
      <c r="DE220" s="592"/>
      <c r="DF220" s="843"/>
      <c r="DH220" s="1165">
        <v>161</v>
      </c>
      <c r="DI220" s="592"/>
      <c r="DJ220" s="843"/>
      <c r="DL220" s="1165">
        <f>DH220</f>
        <v>161</v>
      </c>
      <c r="DM220" s="592"/>
      <c r="DN220" s="843"/>
      <c r="DO220" s="843"/>
    </row>
    <row r="221" spans="1:120" s="706" customFormat="1" outlineLevel="1" x14ac:dyDescent="0.2">
      <c r="A221" s="1342" t="s">
        <v>79</v>
      </c>
      <c r="D221" s="533"/>
      <c r="E221" s="577"/>
      <c r="F221" s="578"/>
      <c r="G221" s="884"/>
      <c r="H221" s="533"/>
      <c r="I221" s="577"/>
      <c r="J221" s="579"/>
      <c r="K221" s="884"/>
      <c r="L221" s="533"/>
      <c r="M221" s="577"/>
      <c r="N221" s="579"/>
      <c r="O221" s="884"/>
      <c r="P221" s="533"/>
      <c r="Q221" s="577"/>
      <c r="R221" s="579"/>
      <c r="S221" s="884"/>
      <c r="T221" s="533"/>
      <c r="U221" s="577"/>
      <c r="V221" s="579"/>
      <c r="W221" s="884"/>
      <c r="X221" s="533"/>
      <c r="Y221" s="577"/>
      <c r="Z221" s="579"/>
      <c r="AA221" s="884"/>
      <c r="AB221" s="533"/>
      <c r="AC221" s="577"/>
      <c r="AD221" s="579"/>
      <c r="AE221" s="884"/>
      <c r="AF221" s="533"/>
      <c r="AG221" s="577"/>
      <c r="AH221" s="579"/>
      <c r="AI221" s="884"/>
      <c r="AJ221" s="533"/>
      <c r="AK221" s="577"/>
      <c r="AL221" s="579"/>
      <c r="AM221" s="884"/>
      <c r="AN221" s="533"/>
      <c r="AO221" s="577"/>
      <c r="AP221" s="579"/>
      <c r="AQ221" s="884"/>
      <c r="AR221" s="533"/>
      <c r="AS221" s="577"/>
      <c r="AT221" s="579"/>
      <c r="AU221" s="884"/>
      <c r="AV221" s="533">
        <v>49.246000000000009</v>
      </c>
      <c r="AW221" s="577"/>
      <c r="AX221" s="579"/>
      <c r="AY221" s="884"/>
      <c r="AZ221" s="533">
        <v>51.783999999999999</v>
      </c>
      <c r="BA221" s="577"/>
      <c r="BB221" s="579"/>
      <c r="BC221" s="884"/>
      <c r="BD221" s="533">
        <v>53.935000000000002</v>
      </c>
      <c r="BE221" s="577"/>
      <c r="BF221" s="579"/>
      <c r="BG221" s="884"/>
      <c r="BH221" s="533">
        <v>58.294000000000011</v>
      </c>
      <c r="BI221" s="577"/>
      <c r="BJ221" s="579"/>
      <c r="BK221" s="884"/>
      <c r="BL221" s="533">
        <v>68.232000000000014</v>
      </c>
      <c r="BM221" s="577"/>
      <c r="BN221" s="579"/>
      <c r="BO221" s="884"/>
      <c r="BP221" s="533">
        <v>68.207000000000008</v>
      </c>
      <c r="BQ221" s="577"/>
      <c r="BR221" s="579"/>
      <c r="BS221" s="884"/>
      <c r="BT221" s="533">
        <v>67.832999999999998</v>
      </c>
      <c r="BU221" s="577"/>
      <c r="BV221" s="579"/>
      <c r="BW221" s="884"/>
      <c r="BX221" s="533">
        <v>74</v>
      </c>
      <c r="BY221" s="577"/>
      <c r="BZ221" s="579"/>
      <c r="CA221" s="884"/>
      <c r="CB221" s="533">
        <v>78</v>
      </c>
      <c r="CC221" s="577"/>
      <c r="CD221" s="579"/>
      <c r="CE221" s="884"/>
      <c r="CF221" s="1165">
        <v>83</v>
      </c>
      <c r="CG221" s="577"/>
      <c r="CH221" s="579"/>
      <c r="CI221" s="884"/>
      <c r="CJ221" s="1165">
        <v>93</v>
      </c>
      <c r="CK221" s="592"/>
      <c r="CL221" s="579"/>
      <c r="CM221" s="884"/>
      <c r="CN221" s="1165">
        <v>106</v>
      </c>
      <c r="CO221" s="592"/>
      <c r="CP221" s="843"/>
      <c r="CQ221" s="884"/>
      <c r="CR221" s="1165">
        <f>4270-4164</f>
        <v>106</v>
      </c>
      <c r="CS221" s="592"/>
      <c r="CT221" s="843"/>
      <c r="CU221" s="884"/>
      <c r="CV221" s="1165">
        <f>244-CV220</f>
        <v>126</v>
      </c>
      <c r="CW221" s="592"/>
      <c r="CX221" s="843"/>
      <c r="CY221" s="884"/>
      <c r="CZ221" s="1165">
        <f>277-CZ220</f>
        <v>147</v>
      </c>
      <c r="DA221" s="592"/>
      <c r="DB221" s="843"/>
      <c r="DD221" s="1165">
        <f>319-DD220</f>
        <v>164</v>
      </c>
      <c r="DE221" s="592"/>
      <c r="DF221" s="843"/>
      <c r="DH221" s="1165">
        <f>320-DH220</f>
        <v>159</v>
      </c>
      <c r="DI221" s="592"/>
      <c r="DJ221" s="843"/>
      <c r="DL221" s="1360">
        <f>DH221</f>
        <v>159</v>
      </c>
      <c r="DM221" s="592"/>
      <c r="DN221" s="843"/>
      <c r="DO221" s="843"/>
    </row>
    <row r="222" spans="1:120" s="706" customFormat="1" outlineLevel="1" x14ac:dyDescent="0.2">
      <c r="A222" s="1342" t="s">
        <v>80</v>
      </c>
      <c r="D222" s="533"/>
      <c r="E222" s="577"/>
      <c r="F222" s="578"/>
      <c r="G222" s="884"/>
      <c r="H222" s="533"/>
      <c r="I222" s="577"/>
      <c r="J222" s="579"/>
      <c r="K222" s="884"/>
      <c r="L222" s="533"/>
      <c r="M222" s="577"/>
      <c r="N222" s="579"/>
      <c r="O222" s="884"/>
      <c r="P222" s="533"/>
      <c r="Q222" s="577"/>
      <c r="R222" s="579"/>
      <c r="S222" s="884"/>
      <c r="T222" s="533"/>
      <c r="U222" s="577"/>
      <c r="V222" s="579"/>
      <c r="W222" s="884"/>
      <c r="X222" s="533"/>
      <c r="Y222" s="577"/>
      <c r="Z222" s="579"/>
      <c r="AA222" s="884"/>
      <c r="AB222" s="533"/>
      <c r="AC222" s="577"/>
      <c r="AD222" s="579"/>
      <c r="AE222" s="884"/>
      <c r="AF222" s="533"/>
      <c r="AG222" s="577"/>
      <c r="AH222" s="579"/>
      <c r="AI222" s="884"/>
      <c r="AJ222" s="533"/>
      <c r="AK222" s="577"/>
      <c r="AL222" s="579"/>
      <c r="AM222" s="884"/>
      <c r="AN222" s="533"/>
      <c r="AO222" s="577"/>
      <c r="AP222" s="579"/>
      <c r="AQ222" s="884"/>
      <c r="AR222" s="533"/>
      <c r="AS222" s="577"/>
      <c r="AT222" s="579"/>
      <c r="AU222" s="884"/>
      <c r="AV222" s="533">
        <v>53.196000000000012</v>
      </c>
      <c r="AW222" s="577"/>
      <c r="AX222" s="579"/>
      <c r="AY222" s="884"/>
      <c r="AZ222" s="533">
        <v>52.487000000000016</v>
      </c>
      <c r="BA222" s="577"/>
      <c r="BB222" s="579"/>
      <c r="BC222" s="884"/>
      <c r="BD222" s="533">
        <v>54.486000000000004</v>
      </c>
      <c r="BE222" s="577"/>
      <c r="BF222" s="579"/>
      <c r="BG222" s="884"/>
      <c r="BH222" s="533">
        <v>56.993999999999971</v>
      </c>
      <c r="BI222" s="577"/>
      <c r="BJ222" s="579"/>
      <c r="BK222" s="884"/>
      <c r="BL222" s="533">
        <v>42.729000000000013</v>
      </c>
      <c r="BM222" s="577"/>
      <c r="BN222" s="579"/>
      <c r="BO222" s="884"/>
      <c r="BP222" s="533">
        <v>67.183999999999983</v>
      </c>
      <c r="BQ222" s="577"/>
      <c r="BR222" s="579"/>
      <c r="BS222" s="884"/>
      <c r="BT222" s="533">
        <v>65.325999999999993</v>
      </c>
      <c r="BU222" s="577"/>
      <c r="BV222" s="579"/>
      <c r="BW222" s="884"/>
      <c r="BX222" s="533">
        <v>76</v>
      </c>
      <c r="BY222" s="577"/>
      <c r="BZ222" s="579"/>
      <c r="CA222" s="884"/>
      <c r="CB222" s="533">
        <v>79</v>
      </c>
      <c r="CC222" s="577"/>
      <c r="CD222" s="579"/>
      <c r="CE222" s="884"/>
      <c r="CF222" s="1165">
        <v>82</v>
      </c>
      <c r="CG222" s="577"/>
      <c r="CH222" s="579"/>
      <c r="CI222" s="884"/>
      <c r="CJ222" s="1165">
        <v>94</v>
      </c>
      <c r="CK222" s="592"/>
      <c r="CL222" s="579"/>
      <c r="CM222" s="884"/>
      <c r="CN222" s="1165">
        <f>314-CN221-CN220</f>
        <v>107</v>
      </c>
      <c r="CO222" s="592"/>
      <c r="CP222" s="843"/>
      <c r="CQ222" s="884"/>
      <c r="CR222" s="1165">
        <f>332-CR221-CR220</f>
        <v>121</v>
      </c>
      <c r="CS222" s="592"/>
      <c r="CT222" s="843"/>
      <c r="CU222" s="884"/>
      <c r="CV222" s="1165">
        <f>376-CV221-CV220</f>
        <v>132</v>
      </c>
      <c r="CW222" s="592"/>
      <c r="CX222" s="843"/>
      <c r="CY222" s="884"/>
      <c r="CZ222" s="1165">
        <f>CZ221</f>
        <v>147</v>
      </c>
      <c r="DA222" s="592"/>
      <c r="DB222" s="843"/>
      <c r="DD222" s="1165">
        <f>480-319</f>
        <v>161</v>
      </c>
      <c r="DE222" s="592"/>
      <c r="DF222" s="843"/>
      <c r="DH222" s="1165">
        <f>479-DH221-DH220</f>
        <v>159</v>
      </c>
      <c r="DI222" s="592"/>
      <c r="DJ222" s="843"/>
      <c r="DL222" s="1360">
        <f>DH222</f>
        <v>159</v>
      </c>
      <c r="DM222" s="592"/>
      <c r="DN222" s="843"/>
      <c r="DO222" s="843"/>
    </row>
    <row r="223" spans="1:120" s="706" customFormat="1" outlineLevel="1" x14ac:dyDescent="0.2">
      <c r="A223" s="1342" t="s">
        <v>81</v>
      </c>
      <c r="D223" s="534"/>
      <c r="E223" s="577"/>
      <c r="F223" s="578"/>
      <c r="G223" s="884"/>
      <c r="H223" s="534"/>
      <c r="I223" s="577"/>
      <c r="J223" s="579"/>
      <c r="K223" s="884"/>
      <c r="L223" s="534"/>
      <c r="M223" s="577"/>
      <c r="N223" s="579"/>
      <c r="O223" s="884"/>
      <c r="P223" s="534"/>
      <c r="Q223" s="577"/>
      <c r="R223" s="579"/>
      <c r="S223" s="884"/>
      <c r="T223" s="534"/>
      <c r="U223" s="577"/>
      <c r="V223" s="579"/>
      <c r="W223" s="884"/>
      <c r="X223" s="534"/>
      <c r="Y223" s="577"/>
      <c r="Z223" s="579"/>
      <c r="AA223" s="884"/>
      <c r="AB223" s="534"/>
      <c r="AC223" s="577"/>
      <c r="AD223" s="579"/>
      <c r="AE223" s="884"/>
      <c r="AF223" s="534"/>
      <c r="AG223" s="577"/>
      <c r="AH223" s="579"/>
      <c r="AI223" s="884"/>
      <c r="AJ223" s="534"/>
      <c r="AK223" s="577"/>
      <c r="AL223" s="579"/>
      <c r="AM223" s="884"/>
      <c r="AN223" s="534"/>
      <c r="AO223" s="577"/>
      <c r="AP223" s="579"/>
      <c r="AQ223" s="884"/>
      <c r="AR223" s="534"/>
      <c r="AS223" s="577"/>
      <c r="AT223" s="579"/>
      <c r="AU223" s="884"/>
      <c r="AV223" s="534">
        <v>58.888999999999982</v>
      </c>
      <c r="AW223" s="577"/>
      <c r="AX223" s="579"/>
      <c r="AY223" s="884"/>
      <c r="AZ223" s="534">
        <v>78.703000000000003</v>
      </c>
      <c r="BA223" s="577"/>
      <c r="BB223" s="579"/>
      <c r="BC223" s="884"/>
      <c r="BD223" s="534">
        <v>85.835999999999984</v>
      </c>
      <c r="BE223" s="577"/>
      <c r="BF223" s="579"/>
      <c r="BG223" s="884"/>
      <c r="BH223" s="534">
        <v>93.23</v>
      </c>
      <c r="BI223" s="577"/>
      <c r="BJ223" s="579"/>
      <c r="BK223" s="884"/>
      <c r="BL223" s="534">
        <v>96.162999999999926</v>
      </c>
      <c r="BM223" s="577"/>
      <c r="BN223" s="579"/>
      <c r="BO223" s="884"/>
      <c r="BP223" s="534">
        <v>78.704000000000008</v>
      </c>
      <c r="BQ223" s="577"/>
      <c r="BR223" s="579"/>
      <c r="BS223" s="884"/>
      <c r="BT223" s="534">
        <v>66.477000000000004</v>
      </c>
      <c r="BU223" s="577"/>
      <c r="BV223" s="579"/>
      <c r="BW223" s="884"/>
      <c r="BX223" s="534">
        <v>80</v>
      </c>
      <c r="BY223" s="577"/>
      <c r="BZ223" s="579"/>
      <c r="CA223" s="884"/>
      <c r="CB223" s="534">
        <v>79</v>
      </c>
      <c r="CC223" s="577"/>
      <c r="CD223" s="579"/>
      <c r="CE223" s="884"/>
      <c r="CF223" s="1166">
        <v>83</v>
      </c>
      <c r="CG223" s="577"/>
      <c r="CH223" s="579"/>
      <c r="CI223" s="884"/>
      <c r="CJ223" s="1166">
        <v>98</v>
      </c>
      <c r="CK223" s="592"/>
      <c r="CL223" s="579"/>
      <c r="CM223" s="884"/>
      <c r="CN223" s="1166">
        <f>CN224-CN222-CN221-CN220</f>
        <v>115</v>
      </c>
      <c r="CO223" s="592"/>
      <c r="CP223" s="1355"/>
      <c r="CQ223" s="884"/>
      <c r="CR223" s="1166">
        <f>CR224-CR222-CR221-CR220</f>
        <v>122</v>
      </c>
      <c r="CS223" s="592"/>
      <c r="CT223" s="1355"/>
      <c r="CU223" s="884"/>
      <c r="CV223" s="1166">
        <f>CV224-CV222-CV221-CV220</f>
        <v>132</v>
      </c>
      <c r="CW223" s="592"/>
      <c r="CX223" s="1355"/>
      <c r="CY223" s="884"/>
      <c r="CZ223" s="1166">
        <f>CZ224-CZ222-CZ221-CZ220</f>
        <v>152</v>
      </c>
      <c r="DA223" s="592"/>
      <c r="DB223" s="1355"/>
      <c r="DD223" s="1166">
        <f>DD224-DD222-DD221-DD220</f>
        <v>165</v>
      </c>
      <c r="DE223" s="592"/>
      <c r="DF223" s="1355"/>
      <c r="DH223" s="1175">
        <f>DD223-2</f>
        <v>163</v>
      </c>
      <c r="DI223" s="592"/>
      <c r="DJ223" s="1355"/>
      <c r="DL223" s="1166">
        <f>DH223</f>
        <v>163</v>
      </c>
      <c r="DM223" s="592"/>
      <c r="DN223" s="1355"/>
      <c r="DO223" s="1355"/>
    </row>
    <row r="224" spans="1:120" s="706" customFormat="1" outlineLevel="1" x14ac:dyDescent="0.2">
      <c r="A224" s="1342" t="s">
        <v>82</v>
      </c>
      <c r="D224" s="533"/>
      <c r="E224" s="531"/>
      <c r="F224" s="538"/>
      <c r="H224" s="533"/>
      <c r="I224" s="531"/>
      <c r="J224" s="539"/>
      <c r="L224" s="533"/>
      <c r="M224" s="531"/>
      <c r="N224" s="539"/>
      <c r="P224" s="533"/>
      <c r="Q224" s="531"/>
      <c r="R224" s="539"/>
      <c r="T224" s="533"/>
      <c r="U224" s="531"/>
      <c r="V224" s="539"/>
      <c r="X224" s="533"/>
      <c r="Y224" s="531"/>
      <c r="Z224" s="539"/>
      <c r="AB224" s="533"/>
      <c r="AC224" s="531"/>
      <c r="AD224" s="539"/>
      <c r="AF224" s="533"/>
      <c r="AG224" s="531"/>
      <c r="AH224" s="539"/>
      <c r="AJ224" s="533"/>
      <c r="AK224" s="531"/>
      <c r="AL224" s="539"/>
      <c r="AN224" s="533"/>
      <c r="AO224" s="531"/>
      <c r="AP224" s="539"/>
      <c r="AR224" s="533"/>
      <c r="AS224" s="531"/>
      <c r="AT224" s="539"/>
      <c r="AV224" s="533">
        <v>213.089</v>
      </c>
      <c r="AW224" s="531"/>
      <c r="AX224" s="539"/>
      <c r="AZ224" s="533">
        <v>233.93100000000001</v>
      </c>
      <c r="BA224" s="531"/>
      <c r="BB224" s="539"/>
      <c r="BD224" s="533">
        <v>250.68299999999999</v>
      </c>
      <c r="BE224" s="531"/>
      <c r="BF224" s="539"/>
      <c r="BH224" s="533">
        <v>264.76900000000001</v>
      </c>
      <c r="BI224" s="531"/>
      <c r="BJ224" s="539"/>
      <c r="BL224" s="533">
        <v>276.32799999999997</v>
      </c>
      <c r="BM224" s="531"/>
      <c r="BN224" s="539"/>
      <c r="BP224" s="533">
        <v>284.52</v>
      </c>
      <c r="BQ224" s="531"/>
      <c r="BR224" s="539"/>
      <c r="BT224" s="533">
        <v>269</v>
      </c>
      <c r="BU224" s="531"/>
      <c r="BV224" s="539"/>
      <c r="BX224" s="533">
        <v>302</v>
      </c>
      <c r="BY224" s="531"/>
      <c r="BZ224" s="539"/>
      <c r="CB224" s="533">
        <v>313</v>
      </c>
      <c r="CC224" s="531"/>
      <c r="CD224" s="539"/>
      <c r="CF224" s="1165">
        <v>327</v>
      </c>
      <c r="CG224" s="531"/>
      <c r="CH224" s="539"/>
      <c r="CJ224" s="1165">
        <v>371</v>
      </c>
      <c r="CK224" s="531"/>
      <c r="CL224" s="539"/>
      <c r="CN224" s="1165">
        <v>429</v>
      </c>
      <c r="CO224" s="525"/>
      <c r="CP224" s="1355"/>
      <c r="CR224" s="1165">
        <f>flow!AI10</f>
        <v>454</v>
      </c>
      <c r="CS224" s="592"/>
      <c r="CT224" s="1355"/>
      <c r="CV224" s="1165">
        <f>flow!AJ10</f>
        <v>508</v>
      </c>
      <c r="CW224" s="592"/>
      <c r="CX224" s="1355"/>
      <c r="CZ224" s="1165">
        <f>flow!AK10</f>
        <v>576</v>
      </c>
      <c r="DA224" s="592"/>
      <c r="DB224" s="1355"/>
      <c r="DD224" s="1165">
        <f>flow!$AL$10</f>
        <v>645</v>
      </c>
      <c r="DE224" s="592"/>
      <c r="DF224" s="1355"/>
      <c r="DH224" s="1088">
        <f>SUM(DH220:DH223)</f>
        <v>642</v>
      </c>
      <c r="DI224" s="592"/>
      <c r="DJ224" s="1355"/>
      <c r="DL224" s="1182">
        <f>SUM(DL220:DL223)</f>
        <v>642</v>
      </c>
      <c r="DM224" s="592"/>
      <c r="DN224" s="1355"/>
      <c r="DO224" s="1355"/>
    </row>
    <row r="225" spans="80:116" s="706" customFormat="1" outlineLevel="1" x14ac:dyDescent="0.2">
      <c r="CB225" s="1361">
        <f>CB224/CB14</f>
        <v>3.7902639864373942E-2</v>
      </c>
      <c r="CF225" s="1361">
        <f>CF224/CF14</f>
        <v>3.5123523093447906E-2</v>
      </c>
      <c r="CJ225" s="1361">
        <f>CJ224/CJ14</f>
        <v>3.534343145660665E-2</v>
      </c>
      <c r="CN225" s="1361">
        <f>CN224/CN14</f>
        <v>3.6473388879442271E-2</v>
      </c>
      <c r="CR225" s="1361">
        <f>CR224/CR14</f>
        <v>3.7317113266480358E-2</v>
      </c>
      <c r="CZ225" s="1177"/>
      <c r="DD225" s="1177"/>
      <c r="DH225" s="1177"/>
      <c r="DL225" s="1177"/>
    </row>
    <row r="226" spans="80:116" s="706" customFormat="1" outlineLevel="1" x14ac:dyDescent="0.2">
      <c r="CB226" s="1361">
        <f>CB224/CB34</f>
        <v>3.6281441984467373E-2</v>
      </c>
      <c r="CF226" s="1361">
        <f>CF224/CF34</f>
        <v>3.3711340206185568E-2</v>
      </c>
      <c r="CJ226" s="1361">
        <f>CJ224/CJ34</f>
        <v>3.410866966994576E-2</v>
      </c>
      <c r="CN226" s="1361">
        <f>CN224/CN34</f>
        <v>3.5355200263721777E-2</v>
      </c>
      <c r="CR226" s="1361">
        <f>CR224/CR34</f>
        <v>3.6204146730462523E-2</v>
      </c>
      <c r="CZ226" s="884"/>
    </row>
  </sheetData>
  <mergeCells count="20">
    <mergeCell ref="DT68:DV68"/>
    <mergeCell ref="CG79:DF79"/>
    <mergeCell ref="CG128:DF128"/>
    <mergeCell ref="CG118:DF118"/>
    <mergeCell ref="CF28:DE28"/>
    <mergeCell ref="CG108:DF108"/>
    <mergeCell ref="CG88:DF88"/>
    <mergeCell ref="DL6:DN6"/>
    <mergeCell ref="CG138:DF138"/>
    <mergeCell ref="CG98:DF98"/>
    <mergeCell ref="CG188:DF188"/>
    <mergeCell ref="CG178:DF178"/>
    <mergeCell ref="CG168:DF168"/>
    <mergeCell ref="CG158:DF158"/>
    <mergeCell ref="CG148:DF148"/>
    <mergeCell ref="CG8:DF8"/>
    <mergeCell ref="CG18:DF18"/>
    <mergeCell ref="CG38:DE38"/>
    <mergeCell ref="CG58:DF58"/>
    <mergeCell ref="CG68:DF68"/>
  </mergeCells>
  <phoneticPr fontId="10" type="noConversion"/>
  <pageMargins left="0.01" right="0.01" top="0.53" bottom="0.52" header="0.49" footer="0.5"/>
  <pageSetup scale="67" fitToHeight="2" orientation="landscape" r:id="rId1"/>
  <headerFooter alignWithMargins="0"/>
  <rowBreaks count="3" manualBreakCount="3">
    <brk id="57" max="109" man="1"/>
    <brk id="107" max="109" man="1"/>
    <brk id="157" max="109" man="1"/>
  </rowBreaks>
  <ignoredErrors>
    <ignoredError sqref="E125 I125 M125 Q125 U125 Y125 AC125 AG125 AK125 AO125 AS125 AW125 BA125" formulaRange="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Q178"/>
  <sheetViews>
    <sheetView topLeftCell="A125" zoomScaleNormal="100" workbookViewId="0"/>
  </sheetViews>
  <sheetFormatPr defaultRowHeight="10.5" customHeight="1" outlineLevelRow="1" outlineLevelCol="1" x14ac:dyDescent="0.2"/>
  <cols>
    <col min="1" max="1" width="7.42578125" style="239" customWidth="1"/>
    <col min="2" max="2" width="1.7109375" style="239" customWidth="1"/>
    <col min="3" max="3" width="9.140625" style="239" customWidth="1"/>
    <col min="4" max="4" width="1.85546875" style="239" customWidth="1"/>
    <col min="5" max="6" width="7.5703125" style="239" customWidth="1"/>
    <col min="7" max="7" width="7.85546875" style="239" customWidth="1"/>
    <col min="8" max="8" width="2.140625" style="239" customWidth="1"/>
    <col min="9" max="9" width="7.5703125" style="239" customWidth="1"/>
    <col min="10" max="10" width="6.140625" style="239" customWidth="1"/>
    <col min="11" max="11" width="7.7109375" style="239" customWidth="1"/>
    <col min="12" max="12" width="1.7109375" style="239" customWidth="1"/>
    <col min="13" max="13" width="8.85546875" style="239" customWidth="1"/>
    <col min="14" max="14" width="1.85546875" style="239" customWidth="1"/>
    <col min="15" max="15" width="10" style="239" customWidth="1"/>
    <col min="16" max="16" width="2.42578125" style="239" bestFit="1" customWidth="1"/>
    <col min="17" max="17" width="1.85546875" style="239" customWidth="1"/>
    <col min="18" max="18" width="11.5703125" style="239" customWidth="1"/>
    <col min="19" max="19" width="1.7109375" style="239" customWidth="1"/>
    <col min="20" max="20" width="9.140625" style="239" customWidth="1" outlineLevel="1"/>
    <col min="21" max="21" width="1.7109375" style="239" customWidth="1"/>
    <col min="22" max="22" width="8" style="239" customWidth="1"/>
    <col min="23" max="23" width="1.7109375" style="239" customWidth="1"/>
    <col min="24" max="24" width="7.85546875" style="239" customWidth="1"/>
    <col min="25" max="25" width="1.7109375" style="239" customWidth="1"/>
    <col min="26" max="26" width="7.85546875" style="239" customWidth="1"/>
    <col min="27" max="27" width="1.7109375" style="239" customWidth="1"/>
    <col min="28" max="28" width="7.7109375" style="239" customWidth="1"/>
    <col min="29" max="29" width="1.7109375" style="239" customWidth="1"/>
    <col min="30" max="30" width="8" style="239" customWidth="1"/>
    <col min="31" max="31" width="1.85546875" style="239" customWidth="1"/>
    <col min="32" max="32" width="9.140625" style="239"/>
    <col min="33" max="33" width="6.85546875" style="239" customWidth="1"/>
    <col min="34" max="34" width="1.7109375" style="239" customWidth="1"/>
    <col min="35" max="35" width="10" style="239" customWidth="1"/>
    <col min="36" max="36" width="1.7109375" style="239" customWidth="1"/>
    <col min="37" max="37" width="9.140625" style="239"/>
    <col min="38" max="38" width="1.7109375" style="239" customWidth="1"/>
    <col min="39" max="39" width="9.140625" style="239"/>
    <col min="40" max="40" width="1.85546875" style="239" customWidth="1"/>
    <col min="41" max="41" width="9.140625" style="239" customWidth="1" outlineLevel="1"/>
    <col min="42" max="42" width="9.7109375" style="239" customWidth="1" outlineLevel="1"/>
    <col min="43" max="16384" width="9.140625" style="239"/>
  </cols>
  <sheetData>
    <row r="1" spans="1:42" ht="12" customHeight="1" x14ac:dyDescent="0.2">
      <c r="A1" s="504" t="s">
        <v>298</v>
      </c>
    </row>
    <row r="2" spans="1:42" ht="12" customHeight="1" x14ac:dyDescent="0.2">
      <c r="A2" s="250" t="s">
        <v>602</v>
      </c>
      <c r="B2" s="240"/>
      <c r="C2" s="240"/>
      <c r="D2" s="240"/>
      <c r="E2" s="240"/>
      <c r="F2" s="240"/>
      <c r="G2" s="240"/>
      <c r="H2" s="240"/>
      <c r="I2" s="240"/>
      <c r="J2" s="240"/>
      <c r="K2" s="240"/>
      <c r="L2" s="240"/>
      <c r="M2" s="240"/>
      <c r="N2" s="240"/>
      <c r="O2" s="240"/>
      <c r="P2" s="240"/>
      <c r="Q2" s="240"/>
      <c r="R2" s="240"/>
      <c r="S2" s="240"/>
      <c r="T2" s="240"/>
      <c r="U2" s="240"/>
      <c r="V2" s="240"/>
      <c r="W2" s="240"/>
      <c r="X2" s="240"/>
      <c r="Y2" s="240"/>
      <c r="Z2" s="240"/>
      <c r="AA2" s="240"/>
      <c r="AB2" s="240"/>
      <c r="AC2" s="240"/>
      <c r="AD2" s="240"/>
      <c r="AE2" s="240"/>
      <c r="AF2" s="240"/>
      <c r="AG2" s="240"/>
      <c r="AH2" s="240"/>
      <c r="AI2" s="240"/>
      <c r="AJ2" s="240"/>
      <c r="AK2" s="240"/>
      <c r="AL2" s="240"/>
      <c r="AM2" s="240"/>
      <c r="AN2" s="240"/>
      <c r="AO2" s="240"/>
      <c r="AP2" s="240"/>
    </row>
    <row r="5" spans="1:42" ht="10.5" customHeight="1" x14ac:dyDescent="0.2">
      <c r="A5" s="711"/>
      <c r="B5" s="711"/>
      <c r="C5" s="711"/>
      <c r="D5" s="711"/>
      <c r="E5" s="711"/>
      <c r="F5" s="711"/>
      <c r="G5" s="711"/>
      <c r="H5" s="711"/>
      <c r="I5" s="712" t="s">
        <v>74</v>
      </c>
      <c r="J5" s="713"/>
      <c r="K5" s="713"/>
      <c r="L5" s="714"/>
      <c r="M5" s="711"/>
      <c r="N5" s="713"/>
      <c r="O5" s="713"/>
      <c r="P5" s="713"/>
      <c r="Q5" s="711"/>
      <c r="R5" s="713"/>
      <c r="S5" s="713"/>
      <c r="T5" s="713"/>
      <c r="U5" s="713"/>
      <c r="V5" s="713"/>
      <c r="W5" s="713"/>
      <c r="X5" s="714"/>
      <c r="Y5" s="715"/>
      <c r="Z5" s="712" t="s">
        <v>73</v>
      </c>
      <c r="AA5" s="713"/>
      <c r="AB5" s="713"/>
      <c r="AC5" s="713"/>
      <c r="AD5" s="713"/>
      <c r="AE5" s="713"/>
      <c r="AF5" s="716"/>
      <c r="AG5" s="713"/>
      <c r="AH5" s="713"/>
      <c r="AI5" s="713"/>
      <c r="AJ5" s="713"/>
      <c r="AK5" s="717"/>
      <c r="AL5" s="717"/>
      <c r="AM5" s="718"/>
    </row>
    <row r="6" spans="1:42" ht="10.5" customHeight="1" x14ac:dyDescent="0.2">
      <c r="A6" s="719"/>
      <c r="B6" s="719"/>
      <c r="C6" s="720"/>
      <c r="D6" s="721" t="s">
        <v>86</v>
      </c>
      <c r="E6" s="720"/>
      <c r="F6" s="719"/>
      <c r="G6" s="722" t="s">
        <v>39</v>
      </c>
      <c r="H6" s="719"/>
      <c r="I6" s="719"/>
      <c r="J6" s="719"/>
      <c r="K6" s="719"/>
      <c r="L6" s="719"/>
      <c r="M6" s="722"/>
      <c r="N6" s="719"/>
      <c r="O6" s="723" t="s">
        <v>40</v>
      </c>
      <c r="P6" s="723"/>
      <c r="Q6" s="719"/>
      <c r="R6" s="724"/>
      <c r="S6" s="725"/>
      <c r="T6" s="724"/>
      <c r="U6" s="725"/>
      <c r="V6" s="726" t="s">
        <v>75</v>
      </c>
      <c r="W6" s="727"/>
      <c r="X6" s="727"/>
      <c r="Y6" s="728"/>
      <c r="Z6" s="729"/>
      <c r="AA6" s="729"/>
      <c r="AB6" s="729"/>
      <c r="AC6" s="719"/>
      <c r="AD6" s="719"/>
      <c r="AE6" s="719"/>
      <c r="AF6" s="723" t="s">
        <v>40</v>
      </c>
      <c r="AG6" s="723"/>
      <c r="AH6" s="730" t="s">
        <v>202</v>
      </c>
      <c r="AI6" s="724"/>
      <c r="AJ6" s="725"/>
      <c r="AK6" s="726" t="s">
        <v>76</v>
      </c>
      <c r="AL6" s="727"/>
      <c r="AM6" s="727"/>
    </row>
    <row r="7" spans="1:42" ht="10.5" customHeight="1" x14ac:dyDescent="0.2">
      <c r="A7" s="719"/>
      <c r="B7" s="719"/>
      <c r="C7" s="731" t="s">
        <v>87</v>
      </c>
      <c r="D7" s="719"/>
      <c r="E7" s="719" t="s">
        <v>88</v>
      </c>
      <c r="F7" s="719"/>
      <c r="G7" s="721" t="s">
        <v>41</v>
      </c>
      <c r="H7" s="719"/>
      <c r="I7" s="732" t="s">
        <v>42</v>
      </c>
      <c r="J7" s="733"/>
      <c r="K7" s="733"/>
      <c r="L7" s="734"/>
      <c r="M7" s="721"/>
      <c r="N7" s="719"/>
      <c r="O7" s="735" t="s">
        <v>43</v>
      </c>
      <c r="P7" s="735"/>
      <c r="Q7" s="719"/>
      <c r="R7" s="719"/>
      <c r="S7" s="736"/>
      <c r="T7" s="737" t="s">
        <v>87</v>
      </c>
      <c r="U7" s="736"/>
      <c r="V7" s="737" t="s">
        <v>57</v>
      </c>
      <c r="W7" s="728"/>
      <c r="X7" s="738" t="s">
        <v>58</v>
      </c>
      <c r="Y7" s="728"/>
      <c r="Z7" s="726"/>
      <c r="AA7" s="726" t="s">
        <v>62</v>
      </c>
      <c r="AB7" s="726"/>
      <c r="AC7" s="734"/>
      <c r="AD7" s="739"/>
      <c r="AE7" s="719"/>
      <c r="AF7" s="735" t="s">
        <v>43</v>
      </c>
      <c r="AG7" s="735"/>
      <c r="AH7" s="730"/>
      <c r="AI7" s="719"/>
      <c r="AJ7" s="736"/>
      <c r="AK7" s="740" t="s">
        <v>71</v>
      </c>
      <c r="AL7" s="728"/>
      <c r="AM7" s="738" t="s">
        <v>58</v>
      </c>
    </row>
    <row r="8" spans="1:42" ht="10.5" customHeight="1" x14ac:dyDescent="0.2">
      <c r="A8" s="719"/>
      <c r="B8" s="719"/>
      <c r="C8" s="721" t="s">
        <v>271</v>
      </c>
      <c r="D8" s="741"/>
      <c r="E8" s="721" t="s">
        <v>89</v>
      </c>
      <c r="F8" s="741"/>
      <c r="G8" s="736" t="s">
        <v>44</v>
      </c>
      <c r="H8" s="741"/>
      <c r="I8" s="742" t="s">
        <v>87</v>
      </c>
      <c r="J8" s="741"/>
      <c r="K8" s="742" t="s">
        <v>45</v>
      </c>
      <c r="L8" s="741"/>
      <c r="M8" s="736" t="s">
        <v>46</v>
      </c>
      <c r="N8" s="741"/>
      <c r="O8" s="743" t="s">
        <v>47</v>
      </c>
      <c r="P8" s="743"/>
      <c r="Q8" s="741"/>
      <c r="R8" s="721" t="s">
        <v>87</v>
      </c>
      <c r="S8" s="736"/>
      <c r="T8" s="744" t="s">
        <v>299</v>
      </c>
      <c r="U8" s="736"/>
      <c r="V8" s="744" t="s">
        <v>56</v>
      </c>
      <c r="W8" s="745"/>
      <c r="X8" s="744" t="s">
        <v>59</v>
      </c>
      <c r="Y8" s="745"/>
      <c r="Z8" s="726" t="s">
        <v>87</v>
      </c>
      <c r="AA8" s="740"/>
      <c r="AB8" s="726" t="s">
        <v>45</v>
      </c>
      <c r="AC8" s="741"/>
      <c r="AD8" s="721" t="s">
        <v>46</v>
      </c>
      <c r="AE8" s="741"/>
      <c r="AF8" s="743" t="s">
        <v>66</v>
      </c>
      <c r="AG8" s="743"/>
      <c r="AH8" s="730"/>
      <c r="AI8" s="721" t="s">
        <v>87</v>
      </c>
      <c r="AJ8" s="736"/>
      <c r="AK8" s="726" t="s">
        <v>72</v>
      </c>
      <c r="AL8" s="745"/>
      <c r="AM8" s="744" t="s">
        <v>59</v>
      </c>
      <c r="AO8" s="746" t="s">
        <v>296</v>
      </c>
      <c r="AP8" s="746" t="s">
        <v>90</v>
      </c>
    </row>
    <row r="9" spans="1:42" ht="10.5" customHeight="1" x14ac:dyDescent="0.2">
      <c r="A9" s="720"/>
      <c r="B9" s="720"/>
      <c r="C9" s="721" t="s">
        <v>38</v>
      </c>
      <c r="D9" s="720"/>
      <c r="E9" s="721" t="s">
        <v>48</v>
      </c>
      <c r="F9" s="720"/>
      <c r="G9" s="721" t="s">
        <v>49</v>
      </c>
      <c r="H9" s="720"/>
      <c r="I9" s="721" t="s">
        <v>50</v>
      </c>
      <c r="J9" s="720"/>
      <c r="K9" s="721" t="s">
        <v>51</v>
      </c>
      <c r="L9" s="720"/>
      <c r="M9" s="721" t="s">
        <v>52</v>
      </c>
      <c r="N9" s="720"/>
      <c r="O9" s="723" t="s">
        <v>53</v>
      </c>
      <c r="P9" s="723"/>
      <c r="Q9" s="720"/>
      <c r="R9" s="721" t="s">
        <v>60</v>
      </c>
      <c r="S9" s="721"/>
      <c r="T9" s="721" t="s">
        <v>60</v>
      </c>
      <c r="U9" s="721"/>
      <c r="V9" s="721" t="s">
        <v>54</v>
      </c>
      <c r="W9" s="747"/>
      <c r="X9" s="721" t="s">
        <v>61</v>
      </c>
      <c r="Y9" s="748"/>
      <c r="Z9" s="721" t="s">
        <v>63</v>
      </c>
      <c r="AA9" s="720"/>
      <c r="AB9" s="721" t="s">
        <v>64</v>
      </c>
      <c r="AC9" s="720"/>
      <c r="AD9" s="721" t="s">
        <v>65</v>
      </c>
      <c r="AE9" s="720"/>
      <c r="AF9" s="721" t="s">
        <v>67</v>
      </c>
      <c r="AG9" s="733"/>
      <c r="AH9" s="749"/>
      <c r="AI9" s="721" t="s">
        <v>68</v>
      </c>
      <c r="AJ9" s="721"/>
      <c r="AK9" s="721" t="s">
        <v>69</v>
      </c>
      <c r="AL9" s="747"/>
      <c r="AM9" s="721" t="s">
        <v>70</v>
      </c>
      <c r="AN9" s="240"/>
      <c r="AO9" s="750" t="s">
        <v>253</v>
      </c>
      <c r="AP9" s="750" t="s">
        <v>203</v>
      </c>
    </row>
    <row r="10" spans="1:42" ht="10.5" hidden="1" customHeight="1" outlineLevel="1" x14ac:dyDescent="0.2">
      <c r="A10" s="607"/>
      <c r="C10" s="751"/>
      <c r="E10" s="751"/>
      <c r="I10" s="752"/>
      <c r="K10" s="753"/>
      <c r="O10" s="754"/>
      <c r="R10" s="755"/>
      <c r="V10" s="755"/>
      <c r="X10" s="756"/>
      <c r="Z10" s="757"/>
      <c r="AB10" s="753"/>
      <c r="AF10" s="754"/>
      <c r="AK10" s="755"/>
      <c r="AM10" s="756"/>
      <c r="AO10" s="755"/>
      <c r="AP10" s="755"/>
    </row>
    <row r="11" spans="1:42" ht="10.5" hidden="1" customHeight="1" outlineLevel="1" x14ac:dyDescent="0.2">
      <c r="A11" s="758">
        <v>1997</v>
      </c>
      <c r="G11" s="239" t="s">
        <v>473</v>
      </c>
      <c r="I11" s="752"/>
      <c r="Z11" s="757"/>
    </row>
    <row r="12" spans="1:42" ht="10.5" hidden="1" customHeight="1" outlineLevel="1" x14ac:dyDescent="0.2">
      <c r="A12" s="239" t="s">
        <v>92</v>
      </c>
      <c r="C12" s="751">
        <f>INDEX('qtrP&amp;L'!$10:$10,MATCH($A11,'qtrP&amp;L'!$6:$6,0)+1)</f>
        <v>5.2745037871345657</v>
      </c>
      <c r="D12" s="239" t="s">
        <v>90</v>
      </c>
      <c r="E12" s="751">
        <f>INDEX('qtrP&amp;L'!$10:$10,MATCH($A11,'qtrP&amp;L'!$6:$6,0)+2)</f>
        <v>0.5</v>
      </c>
      <c r="F12" s="239" t="s">
        <v>90</v>
      </c>
      <c r="G12" s="702">
        <f>C12-E12</f>
        <v>4.7745037871345657</v>
      </c>
      <c r="H12" s="239" t="s">
        <v>90</v>
      </c>
      <c r="I12" s="759">
        <f>INDEX(stores!$I$9:$I$115,MATCH(A11,stores!$B$9:$B$115)+1)</f>
        <v>83</v>
      </c>
      <c r="K12" s="362">
        <f>AVERAGE(I11:I12)</f>
        <v>83</v>
      </c>
      <c r="M12" s="702"/>
      <c r="N12" s="239" t="s">
        <v>90</v>
      </c>
      <c r="O12" s="754"/>
      <c r="P12" s="239" t="s">
        <v>90</v>
      </c>
      <c r="R12" s="256">
        <f>INDEX('qtrP&amp;L'!$10:$10,MATCH($A11,'qtrP&amp;L'!$6:$6,0))</f>
        <v>953.74699999999996</v>
      </c>
      <c r="T12" s="256">
        <f>R12-AO12</f>
        <v>953.74699999999996</v>
      </c>
      <c r="V12" s="760"/>
      <c r="X12" s="761" t="str">
        <f>IF(ISERROR(V12/#REF!),"NA",(V12/#REF!-1)*100)</f>
        <v>NA</v>
      </c>
      <c r="Y12" s="239" t="s">
        <v>90</v>
      </c>
      <c r="Z12" s="759">
        <f>INDEX(stores!$I$143:$I$253,MATCH(A11,stores!$B$143:$B$253)+1)</f>
        <v>11.807</v>
      </c>
      <c r="AB12" s="362">
        <f>AVERAGE(Z11:Z12)</f>
        <v>11.807</v>
      </c>
      <c r="AD12" s="702"/>
      <c r="AE12" s="239" t="s">
        <v>90</v>
      </c>
      <c r="AF12" s="754"/>
      <c r="AG12" s="239" t="s">
        <v>90</v>
      </c>
      <c r="AI12" s="256">
        <f>T12</f>
        <v>953.74699999999996</v>
      </c>
      <c r="AK12" s="762">
        <f>IF(ISERROR(AI12/AB12),"NA",AI12/AB12)</f>
        <v>80.778097738629626</v>
      </c>
      <c r="AM12" s="756"/>
      <c r="AN12" s="239" t="s">
        <v>90</v>
      </c>
      <c r="AO12" s="362"/>
      <c r="AP12" s="755"/>
    </row>
    <row r="13" spans="1:42" ht="10.5" hidden="1" customHeight="1" outlineLevel="1" x14ac:dyDescent="0.2">
      <c r="A13" s="239" t="s">
        <v>93</v>
      </c>
      <c r="C13" s="751">
        <f>INDEX('qtrP&amp;L'!$11:$11,MATCH($A11,'qtrP&amp;L'!$6:$6,0)+1)</f>
        <v>9.0120212909919228</v>
      </c>
      <c r="E13" s="751">
        <f>INDEX('qtrP&amp;L'!$11:$11,MATCH($A11,'qtrP&amp;L'!$6:$6,0)+2)</f>
        <v>5</v>
      </c>
      <c r="G13" s="702">
        <f>C13-E13</f>
        <v>4.0120212909919228</v>
      </c>
      <c r="I13" s="759">
        <f>INDEX(stores!$I$9:$I$115,MATCH(A11,stores!$B$9:$B$115)+2)</f>
        <v>83</v>
      </c>
      <c r="K13" s="362">
        <f>AVERAGE(I12:I13)</f>
        <v>83</v>
      </c>
      <c r="M13" s="702"/>
      <c r="O13" s="754"/>
      <c r="R13" s="362">
        <f>INDEX('qtrP&amp;L'!$11:$11,MATCH($A11,'qtrP&amp;L'!$6:$6,0))</f>
        <v>1353.345</v>
      </c>
      <c r="T13" s="362">
        <f>R13-AO13</f>
        <v>1353.345</v>
      </c>
      <c r="V13" s="763">
        <f>IF(ISERROR(T13/K13),"NA",T13/K13)</f>
        <v>16.305361445783134</v>
      </c>
      <c r="X13" s="761" t="str">
        <f>IF(ISERROR(V13/#REF!),"NA",(V13/#REF!-1)*100)</f>
        <v>NA</v>
      </c>
      <c r="Z13" s="759">
        <f>INDEX(stores!$I$143:$I$253,MATCH(A11,stores!$B$143:$B$253)+2)</f>
        <v>11.8482</v>
      </c>
      <c r="AB13" s="362">
        <f>AVERAGE(Z12:Z13)</f>
        <v>11.8276</v>
      </c>
      <c r="AD13" s="702"/>
      <c r="AF13" s="754"/>
      <c r="AI13" s="362">
        <f>T13</f>
        <v>1353.345</v>
      </c>
      <c r="AK13" s="764">
        <f>IF(ISERROR(AI13/AB13),"NA",AI13/AB13)</f>
        <v>114.42262166458114</v>
      </c>
      <c r="AM13" s="756"/>
      <c r="AO13" s="362"/>
      <c r="AP13" s="765"/>
    </row>
    <row r="14" spans="1:42" ht="10.5" hidden="1" customHeight="1" outlineLevel="1" x14ac:dyDescent="0.2">
      <c r="A14" s="239" t="s">
        <v>94</v>
      </c>
      <c r="C14" s="751">
        <f>INDEX('qtrP&amp;L'!$12:$12,MATCH($A11,'qtrP&amp;L'!$6:$6,0)+1)</f>
        <v>10.700906098898866</v>
      </c>
      <c r="E14" s="751">
        <f>INDEX('qtrP&amp;L'!$12:$12,MATCH($A11,'qtrP&amp;L'!$6:$6,0)+2)</f>
        <v>4.7</v>
      </c>
      <c r="G14" s="702">
        <f>C14-E14</f>
        <v>6.0009060988988656</v>
      </c>
      <c r="I14" s="759">
        <f>INDEX(stores!$I$9:$I$115,MATCH(A11,stores!$B$9:$B$115)+3)</f>
        <v>87</v>
      </c>
      <c r="K14" s="362">
        <f>AVERAGE(I13:I14)</f>
        <v>85</v>
      </c>
      <c r="M14" s="702"/>
      <c r="O14" s="754"/>
      <c r="R14" s="362">
        <f>INDEX('qtrP&amp;L'!$12:$12,MATCH($A11,'qtrP&amp;L'!$6:$6,0))</f>
        <v>1089.7840000000001</v>
      </c>
      <c r="T14" s="362">
        <f>R14-AO14</f>
        <v>1089.7840000000001</v>
      </c>
      <c r="V14" s="763">
        <f>IF(ISERROR(T14/K14),"NA",T14/K14)</f>
        <v>12.820988235294118</v>
      </c>
      <c r="X14" s="761" t="str">
        <f>IF(ISERROR(V14/#REF!),"NA",(V14/#REF!-1)*100)</f>
        <v>NA</v>
      </c>
      <c r="Z14" s="759">
        <f>INDEX(stores!$I$143:$I$253,MATCH(A11,stores!$B$143:$B$253)+3)</f>
        <v>12.5768</v>
      </c>
      <c r="AB14" s="362">
        <f>AVERAGE(Z13:Z14)</f>
        <v>12.2125</v>
      </c>
      <c r="AD14" s="702"/>
      <c r="AF14" s="754"/>
      <c r="AI14" s="362">
        <f>T14</f>
        <v>1089.7840000000001</v>
      </c>
      <c r="AK14" s="764">
        <f>IF(ISERROR(AI14/AB14),"NA",AI14/AB14)</f>
        <v>89.235127942681686</v>
      </c>
      <c r="AM14" s="756"/>
      <c r="AO14" s="362"/>
      <c r="AP14" s="765"/>
    </row>
    <row r="15" spans="1:42" ht="10.5" hidden="1" customHeight="1" outlineLevel="1" x14ac:dyDescent="0.2">
      <c r="A15" s="239" t="s">
        <v>95</v>
      </c>
      <c r="C15" s="766">
        <f>INDEX('qtrP&amp;L'!$13:$13,MATCH($A11,'qtrP&amp;L'!$6:$6,0)+1)</f>
        <v>10.108333579322393</v>
      </c>
      <c r="E15" s="766">
        <f>INDEX('qtrP&amp;L'!$13:$13,MATCH($A11,'qtrP&amp;L'!$6:$6,0)+2)</f>
        <v>4.3</v>
      </c>
      <c r="G15" s="767">
        <f>C15-E15</f>
        <v>5.8083335793223929</v>
      </c>
      <c r="I15" s="759">
        <f>INDEX(stores!$I$9:$I$115,MATCH(A11,stores!$B$9:$B$115)+4)</f>
        <v>87</v>
      </c>
      <c r="K15" s="556">
        <f>AVERAGE(I14:I15)</f>
        <v>87</v>
      </c>
      <c r="M15" s="767"/>
      <c r="O15" s="768"/>
      <c r="R15" s="556">
        <f>INDEX('qtrP&amp;L'!$13:$13,MATCH($A11,'qtrP&amp;L'!$6:$6,0))</f>
        <v>1454.748</v>
      </c>
      <c r="T15" s="556">
        <f>R15-AO15</f>
        <v>1454.748</v>
      </c>
      <c r="V15" s="769">
        <f>IF(ISERROR(T15/K15),"NA",T15/K15)</f>
        <v>16.721241379310346</v>
      </c>
      <c r="X15" s="770" t="str">
        <f>IF(ISERROR(V15/#REF!),"NA",(V15/#REF!-1)*100)</f>
        <v>NA</v>
      </c>
      <c r="Z15" s="759">
        <f>INDEX(stores!$I$143:$I$253,MATCH(A11,stores!$B$143:$B$253)+4)</f>
        <v>12.6136</v>
      </c>
      <c r="AB15" s="556">
        <f>AVERAGE(Z14:Z15)</f>
        <v>12.5952</v>
      </c>
      <c r="AD15" s="767"/>
      <c r="AF15" s="768"/>
      <c r="AI15" s="556">
        <f>T15</f>
        <v>1454.748</v>
      </c>
      <c r="AK15" s="771">
        <f>IF(ISERROR(AI15/AB15),"NA",AI15/AB15)</f>
        <v>115.50019054878049</v>
      </c>
      <c r="AM15" s="772"/>
      <c r="AO15" s="556"/>
      <c r="AP15" s="606"/>
    </row>
    <row r="16" spans="1:42" ht="10.5" hidden="1" customHeight="1" outlineLevel="1" x14ac:dyDescent="0.2">
      <c r="A16" s="607" t="s">
        <v>55</v>
      </c>
      <c r="C16" s="751">
        <f>INDEX('qtrP&amp;L'!$14:$14,MATCH($A11,'qtrP&amp;L'!$6:$6,0)+1)</f>
        <v>8.9502663672173419</v>
      </c>
      <c r="E16" s="751">
        <f>INDEX('qtrP&amp;L'!$14:$14,MATCH($A11,'qtrP&amp;L'!$6:$6,0)+2)</f>
        <v>3.8380962127320664</v>
      </c>
      <c r="G16" s="702">
        <f>C16-E16</f>
        <v>5.1121701544852751</v>
      </c>
      <c r="I16" s="752"/>
      <c r="K16" s="362">
        <f>AVERAGE(K12:K15)</f>
        <v>84.5</v>
      </c>
      <c r="M16" s="702"/>
      <c r="O16" s="754"/>
      <c r="R16" s="256">
        <f>INDEX('qtrP&amp;L'!$14:$14,MATCH($A11,'qtrP&amp;L'!$6:$6,0))</f>
        <v>4851.6239999999998</v>
      </c>
      <c r="T16" s="256">
        <f>R16-AO16</f>
        <v>4851.6239999999998</v>
      </c>
      <c r="V16" s="760">
        <f>IF(ISERROR(T16/K16),"NA",T16/K16)</f>
        <v>57.415668639053251</v>
      </c>
      <c r="X16" s="761" t="str">
        <f>IF(ISERROR(V16/#REF!),"NA",(V16/#REF!-1)*100)</f>
        <v>NA</v>
      </c>
      <c r="Z16" s="757"/>
      <c r="AB16" s="362">
        <f>AVERAGE(AB12:AB15)</f>
        <v>12.110574999999999</v>
      </c>
      <c r="AD16" s="702"/>
      <c r="AF16" s="754"/>
      <c r="AI16" s="256">
        <f>SUM(AI12:AI15)</f>
        <v>4851.6239999999998</v>
      </c>
      <c r="AK16" s="762">
        <f>IF(ISERROR(AI16/AB16),"NA",AI16/AB16)</f>
        <v>400.61054078770002</v>
      </c>
      <c r="AM16" s="756"/>
      <c r="AO16" s="256"/>
      <c r="AP16" s="755"/>
    </row>
    <row r="17" spans="1:42" ht="10.5" hidden="1" customHeight="1" outlineLevel="1" x14ac:dyDescent="0.2">
      <c r="A17" s="607"/>
      <c r="C17" s="751"/>
      <c r="E17" s="751"/>
      <c r="G17" s="702"/>
      <c r="I17" s="752"/>
      <c r="K17" s="362"/>
      <c r="M17" s="702"/>
      <c r="O17" s="754"/>
      <c r="R17" s="256"/>
      <c r="T17" s="256"/>
      <c r="V17" s="760"/>
      <c r="X17" s="761"/>
      <c r="Z17" s="757"/>
      <c r="AB17" s="362"/>
      <c r="AD17" s="702"/>
      <c r="AF17" s="754"/>
      <c r="AI17" s="256"/>
      <c r="AK17" s="762"/>
      <c r="AM17" s="756"/>
      <c r="AO17" s="256"/>
      <c r="AP17" s="755"/>
    </row>
    <row r="18" spans="1:42" ht="10.5" hidden="1" customHeight="1" outlineLevel="1" x14ac:dyDescent="0.2">
      <c r="A18" s="758">
        <f>A25-1</f>
        <v>1998</v>
      </c>
      <c r="I18" s="752"/>
      <c r="Z18" s="757"/>
    </row>
    <row r="19" spans="1:42" ht="10.5" hidden="1" customHeight="1" outlineLevel="1" x14ac:dyDescent="0.2">
      <c r="A19" s="239" t="s">
        <v>92</v>
      </c>
      <c r="C19" s="751">
        <f>INDEX('qtrP&amp;L'!$10:$10,MATCH($A18,'qtrP&amp;L'!$6:$6,0)+1)</f>
        <v>9.0661359878458256</v>
      </c>
      <c r="D19" s="239" t="s">
        <v>90</v>
      </c>
      <c r="E19" s="751">
        <f>INDEX('qtrP&amp;L'!$10:$10,MATCH($A18,'qtrP&amp;L'!$6:$6,0)+2)</f>
        <v>11.178961632929596</v>
      </c>
      <c r="F19" s="239" t="s">
        <v>90</v>
      </c>
      <c r="G19" s="702">
        <f>C19-E19</f>
        <v>-2.1128256450837704</v>
      </c>
      <c r="H19" s="239" t="s">
        <v>90</v>
      </c>
      <c r="I19" s="759">
        <f>INDEX(stores!$I$9:$I$115,MATCH(A18,stores!$B$9:$B$115)+1)</f>
        <v>90</v>
      </c>
      <c r="K19" s="362">
        <f>AVERAGE(I18:I19)</f>
        <v>90</v>
      </c>
      <c r="M19" s="702">
        <f>(K19/K12-1)*100</f>
        <v>8.4337349397590309</v>
      </c>
      <c r="N19" s="239" t="s">
        <v>90</v>
      </c>
      <c r="O19" s="754">
        <f>(G19/M19)*100</f>
        <v>-25.052075505993294</v>
      </c>
      <c r="P19" s="239" t="s">
        <v>90</v>
      </c>
      <c r="R19" s="256">
        <f>INDEX('qtrP&amp;L'!$10:$10,MATCH($A18,'qtrP&amp;L'!$6:$6,0))</f>
        <v>1040.2149999999999</v>
      </c>
      <c r="T19" s="256">
        <f>R19-AO19</f>
        <v>1040.2149999999999</v>
      </c>
      <c r="V19" s="760"/>
      <c r="X19" s="761" t="str">
        <f>IF(ISERROR(V19/#REF!),"NA",(V19/#REF!-1)*100)</f>
        <v>NA</v>
      </c>
      <c r="Y19" s="239" t="s">
        <v>90</v>
      </c>
      <c r="Z19" s="759">
        <f>INDEX(stores!$I$143:$I$253,MATCH(A18,stores!$B$143:$B$253)+1)</f>
        <v>13.126899999999999</v>
      </c>
      <c r="AB19" s="362">
        <f>AVERAGE(Z18:Z19)</f>
        <v>13.126899999999999</v>
      </c>
      <c r="AD19" s="702">
        <f>(AB19/AB12-1)*100</f>
        <v>11.178961632929596</v>
      </c>
      <c r="AE19" s="239" t="s">
        <v>90</v>
      </c>
      <c r="AF19" s="754">
        <f>(G19/AD19)*100</f>
        <v>-18.900016964545895</v>
      </c>
      <c r="AG19" s="239" t="s">
        <v>90</v>
      </c>
      <c r="AI19" s="256">
        <f>T19</f>
        <v>1040.2149999999999</v>
      </c>
      <c r="AK19" s="762">
        <f>IF(ISERROR(AI19/AB19),"NA",AI19/AB19)</f>
        <v>79.243004822159079</v>
      </c>
      <c r="AM19" s="756">
        <f>(AK19/AK12-1)*100</f>
        <v>-1.9003826030139837</v>
      </c>
      <c r="AN19" s="239" t="s">
        <v>90</v>
      </c>
      <c r="AO19" s="362"/>
      <c r="AP19" s="755"/>
    </row>
    <row r="20" spans="1:42" ht="10.5" hidden="1" customHeight="1" outlineLevel="1" x14ac:dyDescent="0.2">
      <c r="A20" s="239" t="s">
        <v>93</v>
      </c>
      <c r="C20" s="751">
        <f>INDEX('qtrP&amp;L'!$11:$11,MATCH($A18,'qtrP&amp;L'!$6:$6,0)+1)</f>
        <v>6.9412455803952389</v>
      </c>
      <c r="E20" s="751">
        <f>INDEX('qtrP&amp;L'!$11:$11,MATCH($A18,'qtrP&amp;L'!$6:$6,0)+2)</f>
        <v>11.568845900643133</v>
      </c>
      <c r="G20" s="702">
        <f>C20-E20</f>
        <v>-4.6276003202478941</v>
      </c>
      <c r="I20" s="759">
        <f>INDEX(stores!$I$9:$I$115,MATCH(A18,stores!$B$9:$B$115)+2)</f>
        <v>92</v>
      </c>
      <c r="K20" s="362">
        <f>AVERAGE(I19:I20)</f>
        <v>91</v>
      </c>
      <c r="M20" s="702">
        <f>(K20/K13-1)*100</f>
        <v>9.6385542168674796</v>
      </c>
      <c r="O20" s="754">
        <f>(G20/M20)*100</f>
        <v>-48.011353322571857</v>
      </c>
      <c r="R20" s="362">
        <f>INDEX('qtrP&amp;L'!$11:$11,MATCH($A18,'qtrP&amp;L'!$6:$6,0))</f>
        <v>1447.2840000000001</v>
      </c>
      <c r="T20" s="362">
        <f>R20-AO20</f>
        <v>1447.2840000000001</v>
      </c>
      <c r="V20" s="763">
        <f>IF(ISERROR(T20/K20),"NA",T20/K20)</f>
        <v>15.904219780219782</v>
      </c>
      <c r="X20" s="761" t="str">
        <f>IF(ISERROR(V20/#REF!),"NA",(V20/#REF!-1)*100)</f>
        <v>NA</v>
      </c>
      <c r="Z20" s="759">
        <f>INDEX(stores!$I$143:$I$253,MATCH(A18,stores!$B$143:$B$253)+2)</f>
        <v>13.2189</v>
      </c>
      <c r="AB20" s="362">
        <f>AVERAGE(Z19:Z20)</f>
        <v>13.172899999999998</v>
      </c>
      <c r="AD20" s="702">
        <f>(AB20/AB13-1)*100</f>
        <v>11.374243295343089</v>
      </c>
      <c r="AF20" s="754">
        <f>(G20/AD20)*100</f>
        <v>-40.684907119426171</v>
      </c>
      <c r="AI20" s="362">
        <f>T20</f>
        <v>1447.2840000000001</v>
      </c>
      <c r="AK20" s="764">
        <f>IF(ISERROR(AI20/AB20),"NA",AI20/AB20)</f>
        <v>109.86829020185382</v>
      </c>
      <c r="AM20" s="756">
        <f>(AK20/AK13-1)*100</f>
        <v>-3.9802719046919788</v>
      </c>
      <c r="AO20" s="362"/>
      <c r="AP20" s="765"/>
    </row>
    <row r="21" spans="1:42" ht="10.5" hidden="1" customHeight="1" outlineLevel="1" x14ac:dyDescent="0.2">
      <c r="A21" s="239" t="s">
        <v>94</v>
      </c>
      <c r="C21" s="751">
        <f>INDEX('qtrP&amp;L'!$12:$12,MATCH($A18,'qtrP&amp;L'!$6:$6,0)+1)</f>
        <v>32.690698340221537</v>
      </c>
      <c r="E21" s="751">
        <f>INDEX('qtrP&amp;L'!$12:$12,MATCH($A18,'qtrP&amp;L'!$6:$6,0)+2)</f>
        <v>11.568845900643133</v>
      </c>
      <c r="G21" s="702">
        <f>C21-E21</f>
        <v>21.121852439578404</v>
      </c>
      <c r="I21" s="759">
        <f>INDEX(stores!$I$9:$I$115,MATCH(A18,stores!$B$9:$B$115)+3)</f>
        <v>94</v>
      </c>
      <c r="K21" s="362">
        <f>AVERAGE(I20:I21)</f>
        <v>93</v>
      </c>
      <c r="M21" s="702">
        <f>(K21/K14-1)*100</f>
        <v>9.4117647058823639</v>
      </c>
      <c r="O21" s="754">
        <f>(G21/M21)*100</f>
        <v>224.4196821705203</v>
      </c>
      <c r="R21" s="362">
        <f>INDEX('qtrP&amp;L'!$12:$12,MATCH($A18,'qtrP&amp;L'!$6:$6,0))</f>
        <v>1446.0419999999999</v>
      </c>
      <c r="T21" s="362">
        <f>R21-AO21</f>
        <v>1446.0419999999999</v>
      </c>
      <c r="V21" s="763">
        <f>IF(ISERROR(T21/K21),"NA",T21/K21)</f>
        <v>15.548838709677419</v>
      </c>
      <c r="X21" s="761" t="str">
        <f>IF(ISERROR(V21/#REF!),"NA",(V21/#REF!-1)*100)</f>
        <v>NA</v>
      </c>
      <c r="Z21" s="759">
        <f>INDEX(stores!$I$143:$I$253,MATCH(A18,stores!$B$143:$B$253)+3)</f>
        <v>13.8239</v>
      </c>
      <c r="AB21" s="362">
        <f>AVERAGE(Z20:Z21)</f>
        <v>13.5214</v>
      </c>
      <c r="AD21" s="702">
        <f>(AB21/AB14-1)*100</f>
        <v>10.717707267144316</v>
      </c>
      <c r="AF21" s="754">
        <f>(G21/AD21)*100</f>
        <v>197.07435473936232</v>
      </c>
      <c r="AI21" s="362">
        <f>T21</f>
        <v>1446.0419999999999</v>
      </c>
      <c r="AK21" s="764">
        <f>IF(ISERROR(AI21/AB21),"NA",AI21/AB21)</f>
        <v>106.94469507595367</v>
      </c>
      <c r="AM21" s="756">
        <f>(AK21/AK14-1)*100</f>
        <v>19.845959255695078</v>
      </c>
      <c r="AO21" s="524"/>
      <c r="AP21" s="765"/>
    </row>
    <row r="22" spans="1:42" ht="10.5" hidden="1" customHeight="1" outlineLevel="1" x14ac:dyDescent="0.2">
      <c r="A22" s="239" t="s">
        <v>95</v>
      </c>
      <c r="C22" s="766">
        <f>INDEX('qtrP&amp;L'!$13:$13,MATCH($A18,'qtrP&amp;L'!$6:$6,0)+1)</f>
        <v>-0.59845416525750039</v>
      </c>
      <c r="E22" s="766">
        <f>INDEX('qtrP&amp;L'!$13:$13,MATCH($A18,'qtrP&amp;L'!$6:$6,0)+2)</f>
        <v>8.8658273609437455</v>
      </c>
      <c r="G22" s="767">
        <f>C22-E22</f>
        <v>-9.4642815262012459</v>
      </c>
      <c r="I22" s="759">
        <f>INDEX(stores!$I$9:$I$115,MATCH(A18,stores!$B$9:$B$115)+4)</f>
        <v>92</v>
      </c>
      <c r="K22" s="556">
        <f>AVERAGE(I21:I22)</f>
        <v>93</v>
      </c>
      <c r="M22" s="767">
        <f>(K22/K15-1)*100</f>
        <v>6.8965517241379226</v>
      </c>
      <c r="O22" s="768">
        <f>(G22/M22)*100</f>
        <v>-137.23208212991824</v>
      </c>
      <c r="R22" s="556">
        <f>INDEX('qtrP&amp;L'!$13:$13,MATCH($A18,'qtrP&amp;L'!$6:$6,0))</f>
        <v>1446.0419999999999</v>
      </c>
      <c r="T22" s="556">
        <f>R22-AO22</f>
        <v>1446.0419999999999</v>
      </c>
      <c r="V22" s="769">
        <f>IF(ISERROR(T22/K22),"NA",T22/K22)</f>
        <v>15.548838709677419</v>
      </c>
      <c r="X22" s="770" t="str">
        <f>IF(ISERROR(V22/#REF!),"NA",(V22/#REF!-1)*100)</f>
        <v>NA</v>
      </c>
      <c r="Z22" s="759">
        <f>INDEX(stores!$I$143:$I$253,MATCH(A18,stores!$B$143:$B$253)+4)</f>
        <v>13.7319</v>
      </c>
      <c r="AB22" s="556">
        <f>AVERAGE(Z21:Z22)</f>
        <v>13.777899999999999</v>
      </c>
      <c r="AD22" s="767">
        <f>(AB22/AB15-1)*100</f>
        <v>9.3900851117886042</v>
      </c>
      <c r="AF22" s="768">
        <f>(G22/AD22)*100</f>
        <v>-100.79015699569638</v>
      </c>
      <c r="AI22" s="556">
        <f>T22</f>
        <v>1446.0419999999999</v>
      </c>
      <c r="AK22" s="771">
        <f>IF(ISERROR(AI22/AB22),"NA",AI22/AB22)</f>
        <v>104.95373024916715</v>
      </c>
      <c r="AM22" s="772">
        <f>(AK22/AK15-1)*100</f>
        <v>-9.1311193942655304</v>
      </c>
      <c r="AO22" s="526"/>
      <c r="AP22" s="606"/>
    </row>
    <row r="23" spans="1:42" ht="10.5" hidden="1" customHeight="1" outlineLevel="1" x14ac:dyDescent="0.2">
      <c r="A23" s="607" t="s">
        <v>55</v>
      </c>
      <c r="C23" s="751">
        <f>INDEX('qtrP&amp;L'!$14:$14,MATCH($A18,'qtrP&amp;L'!$6:$6,0)+1)</f>
        <v>3.6331339774063443</v>
      </c>
      <c r="E23" s="751">
        <f>INDEX('qtrP&amp;L'!$14:$14,MATCH($A18,'qtrP&amp;L'!$6:$6,0)+2)</f>
        <v>0</v>
      </c>
      <c r="G23" s="702">
        <f>C23-E23</f>
        <v>3.6331339774063443</v>
      </c>
      <c r="I23" s="752"/>
      <c r="K23" s="362">
        <f>AVERAGE(K19:K22)</f>
        <v>91.75</v>
      </c>
      <c r="M23" s="702">
        <f>(K23/K16-1)*100</f>
        <v>8.5798816568047442</v>
      </c>
      <c r="O23" s="754">
        <f>(G23/M23)*100</f>
        <v>42.344802909080784</v>
      </c>
      <c r="R23" s="256">
        <f>INDEX('qtrP&amp;L'!$14:$14,MATCH($A18,'qtrP&amp;L'!$6:$6,0))</f>
        <v>5027.8900000000003</v>
      </c>
      <c r="T23" s="256">
        <f>R23-AO23</f>
        <v>5027.8900000000003</v>
      </c>
      <c r="V23" s="760">
        <f>IF(ISERROR(T23/K23),"NA",T23/K23)</f>
        <v>54.799891008174392</v>
      </c>
      <c r="X23" s="761" t="str">
        <f>IF(ISERROR(V23/#REF!),"NA",(V23/#REF!-1)*100)</f>
        <v>NA</v>
      </c>
      <c r="Z23" s="757"/>
      <c r="AB23" s="362">
        <f>AVERAGE(AB19:AB22)</f>
        <v>13.399774999999998</v>
      </c>
      <c r="AD23" s="702">
        <f>(AB23/AB16-1)*100</f>
        <v>10.645241865064214</v>
      </c>
      <c r="AF23" s="754">
        <f>(G23/AD23)*100</f>
        <v>34.129182065178263</v>
      </c>
      <c r="AI23" s="256">
        <f>SUM(AI19:AI22)</f>
        <v>5379.5829999999996</v>
      </c>
      <c r="AK23" s="762">
        <f>IF(ISERROR(AI23/AB23),"NA",AI23/AB23)</f>
        <v>401.46815898028143</v>
      </c>
      <c r="AM23" s="756">
        <f>(AK23/AK16-1)*100</f>
        <v>0.21407779008888461</v>
      </c>
      <c r="AO23" s="524"/>
      <c r="AP23" s="755"/>
    </row>
    <row r="24" spans="1:42" ht="10.5" hidden="1" customHeight="1" outlineLevel="1" x14ac:dyDescent="0.2">
      <c r="I24" s="752"/>
      <c r="K24" s="753"/>
      <c r="O24" s="754"/>
      <c r="X24" s="756"/>
      <c r="Z24" s="757"/>
      <c r="AB24" s="753"/>
      <c r="AF24" s="754"/>
      <c r="AM24" s="756"/>
    </row>
    <row r="25" spans="1:42" ht="10.5" hidden="1" customHeight="1" outlineLevel="1" x14ac:dyDescent="0.2">
      <c r="A25" s="758">
        <f>A32-1</f>
        <v>1999</v>
      </c>
      <c r="I25" s="752"/>
      <c r="Z25" s="757"/>
      <c r="AF25" s="754"/>
    </row>
    <row r="26" spans="1:42" ht="10.5" hidden="1" customHeight="1" outlineLevel="1" x14ac:dyDescent="0.2">
      <c r="A26" s="239" t="s">
        <v>92</v>
      </c>
      <c r="C26" s="751">
        <f>INDEX('qtrP&amp;L'!$10:$10,MATCH($A25,'qtrP&amp;L'!$6:$6,0)+1)</f>
        <v>-0.10670870925720832</v>
      </c>
      <c r="D26" s="239" t="s">
        <v>90</v>
      </c>
      <c r="E26" s="751">
        <f>INDEX('qtrP&amp;L'!$10:$10,MATCH($A25,'qtrP&amp;L'!$6:$6,0)+2)</f>
        <v>5.2266719484417523</v>
      </c>
      <c r="F26" s="239" t="s">
        <v>90</v>
      </c>
      <c r="G26" s="702">
        <f>C26-E26</f>
        <v>-5.3333806576989602</v>
      </c>
      <c r="H26" s="239" t="s">
        <v>90</v>
      </c>
      <c r="I26" s="759">
        <f>INDEX(stores!$I$9:$I$115,MATCH(A25,stores!$B$9:$B$115)+1)</f>
        <v>93</v>
      </c>
      <c r="J26" s="773">
        <f>I26-I22</f>
        <v>1</v>
      </c>
      <c r="K26" s="362">
        <f>AVERAGE(I26,I22)</f>
        <v>92.5</v>
      </c>
      <c r="M26" s="702">
        <f>(K26/K19-1)*100</f>
        <v>2.7777777777777679</v>
      </c>
      <c r="N26" s="239" t="s">
        <v>90</v>
      </c>
      <c r="O26" s="754">
        <f>(G26/M26)*100</f>
        <v>-192.00170367716325</v>
      </c>
      <c r="P26" s="239" t="s">
        <v>90</v>
      </c>
      <c r="R26" s="256">
        <f>INDEX('qtrP&amp;L'!$10:$10,MATCH($A25,'qtrP&amp;L'!$6:$6,0))</f>
        <v>1039.105</v>
      </c>
      <c r="T26" s="256">
        <f>R26-AO26</f>
        <v>1039.105</v>
      </c>
      <c r="V26" s="760">
        <f>IF(ISERROR(T26/K26),"NA",T26/K26)</f>
        <v>11.233567567567567</v>
      </c>
      <c r="X26" s="761" t="str">
        <f>IF(ISERROR(V26/V19),"NA",(V26/V19-1)*100)</f>
        <v>NA</v>
      </c>
      <c r="Y26" s="239" t="s">
        <v>90</v>
      </c>
      <c r="Z26" s="759">
        <f>INDEX(stores!$I$143:$I$253,MATCH(A25,stores!$B$143:$B$253)+1)</f>
        <v>13.813000000000001</v>
      </c>
      <c r="AB26" s="362">
        <f>AVERAGE(Z26,Z22)</f>
        <v>13.772449999999999</v>
      </c>
      <c r="AD26" s="702">
        <f>(AB26/AB19-1)*100</f>
        <v>4.9177642855510406</v>
      </c>
      <c r="AE26" s="239" t="s">
        <v>90</v>
      </c>
      <c r="AF26" s="754">
        <f>(G26/AD26)*100</f>
        <v>-108.45132763619941</v>
      </c>
      <c r="AG26" s="239" t="s">
        <v>90</v>
      </c>
      <c r="AI26" s="256">
        <f>T26</f>
        <v>1039.105</v>
      </c>
      <c r="AK26" s="762">
        <f>IF(ISERROR(AI26/AB26),"NA",AI26/AB26)</f>
        <v>75.448086578640698</v>
      </c>
      <c r="AM26" s="756">
        <f>(AK26/AK19-1)*100</f>
        <v>-4.788963078867492</v>
      </c>
      <c r="AN26" s="239" t="s">
        <v>90</v>
      </c>
      <c r="AO26" s="362"/>
      <c r="AP26" s="755"/>
    </row>
    <row r="27" spans="1:42" ht="10.5" hidden="1" customHeight="1" outlineLevel="1" x14ac:dyDescent="0.2">
      <c r="A27" s="239" t="s">
        <v>93</v>
      </c>
      <c r="C27" s="751">
        <f>INDEX('qtrP&amp;L'!$11:$11,MATCH($A25,'qtrP&amp;L'!$6:$6,0)+1)</f>
        <v>-0.26871021858876354</v>
      </c>
      <c r="E27" s="751">
        <f>INDEX('qtrP&amp;L'!$11:$11,MATCH($A25,'qtrP&amp;L'!$6:$6,0)+2)</f>
        <v>4.4943225230541284</v>
      </c>
      <c r="G27" s="702">
        <f>C27-E27</f>
        <v>-4.7630327416428919</v>
      </c>
      <c r="I27" s="759">
        <f>INDEX(stores!$I$9:$I$115,MATCH(A25,stores!$B$9:$B$115)+2)</f>
        <v>93</v>
      </c>
      <c r="J27" s="773">
        <f>I27-I26</f>
        <v>0</v>
      </c>
      <c r="K27" s="362">
        <f>AVERAGE(I26:I27)</f>
        <v>93</v>
      </c>
      <c r="M27" s="702">
        <f>(K27/K20-1)*100</f>
        <v>2.19780219780219</v>
      </c>
      <c r="O27" s="754">
        <f>(G27/M27)*100</f>
        <v>-216.71798974475234</v>
      </c>
      <c r="R27" s="362">
        <f>INDEX('qtrP&amp;L'!$11:$11,MATCH($A25,'qtrP&amp;L'!$6:$6,0))</f>
        <v>1443.395</v>
      </c>
      <c r="T27" s="362">
        <f>R27-AO27</f>
        <v>1443.395</v>
      </c>
      <c r="V27" s="763">
        <f>IF(ISERROR(T27/K27),"NA",T27/K27)</f>
        <v>15.520376344086021</v>
      </c>
      <c r="X27" s="761">
        <f>IF(ISERROR(V27/V20),"NA",(V27/V20-1)*100)</f>
        <v>-2.4134691386191176</v>
      </c>
      <c r="Z27" s="759">
        <f>INDEX(stores!$I$143:$I$253,MATCH(A25,stores!$B$143:$B$253)+2)</f>
        <v>13.813000000000001</v>
      </c>
      <c r="AB27" s="362">
        <f>AVERAGE(Z26:Z27)</f>
        <v>13.813000000000001</v>
      </c>
      <c r="AD27" s="702">
        <f>(AB27/AB20-1)*100</f>
        <v>4.8592185471688198</v>
      </c>
      <c r="AF27" s="754">
        <f>(G27/AD27)*100</f>
        <v>-98.020549917805823</v>
      </c>
      <c r="AI27" s="362">
        <f>T27</f>
        <v>1443.395</v>
      </c>
      <c r="AK27" s="764">
        <f>IF(ISERROR(AI27/AB27),"NA",AI27/AB27)</f>
        <v>104.49540288134365</v>
      </c>
      <c r="AM27" s="756">
        <f>(AK27/AK20-1)*100</f>
        <v>-4.8902984752369534</v>
      </c>
      <c r="AO27" s="362"/>
      <c r="AP27" s="765"/>
    </row>
    <row r="28" spans="1:42" ht="10.5" hidden="1" customHeight="1" outlineLevel="1" x14ac:dyDescent="0.2">
      <c r="A28" s="239" t="s">
        <v>94</v>
      </c>
      <c r="C28" s="751">
        <f>INDEX('qtrP&amp;L'!$12:$12,MATCH($A25,'qtrP&amp;L'!$6:$6,0)+1)</f>
        <v>-23.23086051442489</v>
      </c>
      <c r="E28" s="751">
        <f>INDEX('qtrP&amp;L'!$12:$12,MATCH($A25,'qtrP&amp;L'!$6:$6,0)+2)</f>
        <v>4.4943225230541284</v>
      </c>
      <c r="G28" s="702">
        <f>C28-E28</f>
        <v>-27.72518303747902</v>
      </c>
      <c r="I28" s="759">
        <f>INDEX(stores!$I$9:$I$115,MATCH(A25,stores!$B$9:$B$115)+3)</f>
        <v>97</v>
      </c>
      <c r="J28" s="773">
        <f>I28-I27</f>
        <v>4</v>
      </c>
      <c r="K28" s="362">
        <f>AVERAGE(I27:I28)</f>
        <v>95</v>
      </c>
      <c r="M28" s="702">
        <f>(K28/K21-1)*100</f>
        <v>2.1505376344086002</v>
      </c>
      <c r="O28" s="754">
        <f>(G28/M28)*100</f>
        <v>-1289.2210112427756</v>
      </c>
      <c r="R28" s="362">
        <f>INDEX('qtrP&amp;L'!$12:$12,MATCH($A25,'qtrP&amp;L'!$6:$6,0))</f>
        <v>1110.114</v>
      </c>
      <c r="T28" s="362">
        <f>R28-AO28</f>
        <v>1110.114</v>
      </c>
      <c r="V28" s="763">
        <f>IF(ISERROR(T28/K28),"NA",T28/K28)</f>
        <v>11.68541052631579</v>
      </c>
      <c r="X28" s="761">
        <f>IF(ISERROR(V28/V21),"NA",(V28/V21-1)*100)</f>
        <v>-24.847052924647517</v>
      </c>
      <c r="Z28" s="759">
        <f>INDEX(stores!$I$143:$I$253,MATCH(A25,stores!$B$143:$B$253)+3)</f>
        <v>14.436999999999999</v>
      </c>
      <c r="AB28" s="362">
        <f>AVERAGE(Z27:Z28)</f>
        <v>14.125</v>
      </c>
      <c r="AD28" s="702">
        <f>(AB28/AB21-1)*100</f>
        <v>4.4640347892969778</v>
      </c>
      <c r="AF28" s="754">
        <f>(G28/AD28)*100</f>
        <v>-621.0790091500462</v>
      </c>
      <c r="AI28" s="362">
        <f>T28</f>
        <v>1110.114</v>
      </c>
      <c r="AK28" s="764">
        <f>IF(ISERROR(AI28/AB28),"NA",AI28/AB28)</f>
        <v>78.592141592920356</v>
      </c>
      <c r="AM28" s="756">
        <f>(AK28/AK21-1)*100</f>
        <v>-26.511416450247417</v>
      </c>
      <c r="AO28" s="524"/>
      <c r="AP28" s="765"/>
    </row>
    <row r="29" spans="1:42" ht="10.5" hidden="1" customHeight="1" outlineLevel="1" x14ac:dyDescent="0.2">
      <c r="A29" s="239" t="s">
        <v>95</v>
      </c>
      <c r="C29" s="766">
        <f>INDEX('qtrP&amp;L'!$13:$13,MATCH($A25,'qtrP&amp;L'!$6:$6,0)+1)</f>
        <v>7.63076037902084</v>
      </c>
      <c r="E29" s="766">
        <f>INDEX('qtrP&amp;L'!$13:$13,MATCH($A25,'qtrP&amp;L'!$6:$6,0)+2)</f>
        <v>5.4988748825727018</v>
      </c>
      <c r="G29" s="767">
        <f>C29-E29</f>
        <v>2.1318854964481382</v>
      </c>
      <c r="I29" s="759">
        <f>INDEX(stores!$I$9:$I$115,MATCH(A25,stores!$B$9:$B$115)+4)</f>
        <v>98</v>
      </c>
      <c r="J29" s="773">
        <f>I29-I28</f>
        <v>1</v>
      </c>
      <c r="K29" s="556">
        <f>AVERAGE(I28:I29)</f>
        <v>97.5</v>
      </c>
      <c r="M29" s="767">
        <f>(K29/K22-1)*100</f>
        <v>4.8387096774193505</v>
      </c>
      <c r="O29" s="768">
        <f>(G29/M29)*100</f>
        <v>44.058966926594891</v>
      </c>
      <c r="R29" s="556">
        <f>INDEX('qtrP&amp;L'!$13:$13,MATCH($A25,'qtrP&amp;L'!$6:$6,0))</f>
        <v>1556.3860000000004</v>
      </c>
      <c r="T29" s="556">
        <f>R29-AO29</f>
        <v>1556.3860000000004</v>
      </c>
      <c r="V29" s="769">
        <f>IF(ISERROR(T29/K29),"NA",T29/K29)</f>
        <v>15.962933333333337</v>
      </c>
      <c r="X29" s="770">
        <f>IF(ISERROR(V29/V22),"NA",(V29/V22-1)*100)</f>
        <v>2.6631868230660327</v>
      </c>
      <c r="Z29" s="759">
        <f>INDEX(stores!$I$143:$I$253,MATCH(A25,stores!$B$143:$B$253)+4)</f>
        <v>14.487</v>
      </c>
      <c r="AB29" s="556">
        <f>AVERAGE(Z28:Z29)</f>
        <v>14.462</v>
      </c>
      <c r="AD29" s="767">
        <f>(AB29/AB22-1)*100</f>
        <v>4.9651978893735738</v>
      </c>
      <c r="AF29" s="768">
        <f>(G29/AD29)*100</f>
        <v>42.936566556808557</v>
      </c>
      <c r="AI29" s="556">
        <f>T29</f>
        <v>1556.3860000000004</v>
      </c>
      <c r="AK29" s="771">
        <f>IF(ISERROR(AI29/AB29),"NA",AI29/AB29)</f>
        <v>107.61900152122807</v>
      </c>
      <c r="AM29" s="772">
        <f>(AK29/AK22-1)*100</f>
        <v>2.5394726473593643</v>
      </c>
      <c r="AO29" s="526"/>
      <c r="AP29" s="606"/>
    </row>
    <row r="30" spans="1:42" ht="10.5" hidden="1" customHeight="1" outlineLevel="1" x14ac:dyDescent="0.2">
      <c r="A30" s="607" t="s">
        <v>55</v>
      </c>
      <c r="C30" s="751">
        <f>INDEX('qtrP&amp;L'!$14:$14,MATCH($A25,'qtrP&amp;L'!$6:$6,0)+1)</f>
        <v>2.4087639148827833</v>
      </c>
      <c r="E30" s="751">
        <f>INDEX('qtrP&amp;L'!$14:$14,MATCH($A25,'qtrP&amp;L'!$6:$6,0)+2)</f>
        <v>0</v>
      </c>
      <c r="G30" s="702">
        <f>C30-E30</f>
        <v>2.4087639148827833</v>
      </c>
      <c r="I30" s="752"/>
      <c r="K30" s="362">
        <f>AVERAGE(K26:K29)</f>
        <v>94.5</v>
      </c>
      <c r="M30" s="702">
        <f>(K30/K23-1)*100</f>
        <v>2.997275204359684</v>
      </c>
      <c r="O30" s="754">
        <f>(G30/M30)*100</f>
        <v>80.365123341998029</v>
      </c>
      <c r="R30" s="256">
        <f>INDEX('qtrP&amp;L'!$14:$14,MATCH($A25,'qtrP&amp;L'!$6:$6,0))</f>
        <v>5149</v>
      </c>
      <c r="T30" s="256">
        <f>R30-AO30</f>
        <v>5149</v>
      </c>
      <c r="V30" s="760">
        <f>IF(ISERROR(T30/K30),"NA",T30/K30)</f>
        <v>54.486772486772487</v>
      </c>
      <c r="X30" s="761">
        <f>IF(ISERROR(V30/V23),"NA",(V30/V23-1)*100)</f>
        <v>-0.57138529957148076</v>
      </c>
      <c r="Z30" s="757"/>
      <c r="AB30" s="362">
        <f>AVERAGE(AB26:AB29)</f>
        <v>14.043112499999999</v>
      </c>
      <c r="AD30" s="702">
        <f>(AB30/AB23-1)*100</f>
        <v>4.8011067350011594</v>
      </c>
      <c r="AF30" s="754">
        <f>(G30/AD30)*100</f>
        <v>50.171013639883213</v>
      </c>
      <c r="AI30" s="256">
        <f>SUM(AI26:AI29)</f>
        <v>5149</v>
      </c>
      <c r="AK30" s="762">
        <f>IF(ISERROR(AI30/AB30),"NA",AI30/AB30)</f>
        <v>366.65660835516343</v>
      </c>
      <c r="AM30" s="756">
        <f>(AK30/AK23-1)*100</f>
        <v>-8.6710614145685696</v>
      </c>
      <c r="AO30" s="524"/>
      <c r="AP30" s="755"/>
    </row>
    <row r="31" spans="1:42" ht="10.5" hidden="1" customHeight="1" outlineLevel="1" x14ac:dyDescent="0.2">
      <c r="A31" s="607"/>
      <c r="C31" s="751"/>
      <c r="E31" s="751"/>
      <c r="I31" s="752"/>
      <c r="K31" s="753"/>
      <c r="O31" s="754"/>
      <c r="R31" s="755"/>
      <c r="V31" s="755"/>
      <c r="X31" s="756"/>
      <c r="Z31" s="757"/>
      <c r="AB31" s="753"/>
      <c r="AF31" s="754"/>
      <c r="AK31" s="755"/>
      <c r="AM31" s="756"/>
      <c r="AO31" s="755"/>
      <c r="AP31" s="755"/>
    </row>
    <row r="32" spans="1:42" ht="10.5" hidden="1" customHeight="1" outlineLevel="1" x14ac:dyDescent="0.2">
      <c r="A32" s="758">
        <v>2000</v>
      </c>
      <c r="I32" s="752"/>
      <c r="Z32" s="757"/>
    </row>
    <row r="33" spans="1:42" ht="10.5" hidden="1" customHeight="1" outlineLevel="1" x14ac:dyDescent="0.2">
      <c r="A33" s="239" t="s">
        <v>92</v>
      </c>
      <c r="C33" s="751">
        <f>INDEX('qtrP&amp;L'!$10:$10,MATCH($A32,'qtrP&amp;L'!$6:$6,0)+1)</f>
        <v>10.997156206543135</v>
      </c>
      <c r="D33" s="239" t="s">
        <v>90</v>
      </c>
      <c r="E33" s="751">
        <f>INDEX('qtrP&amp;L'!$10:$10,MATCH($A32,'qtrP&amp;L'!$6:$6,0)+2)</f>
        <v>5.3</v>
      </c>
      <c r="F33" s="239" t="s">
        <v>90</v>
      </c>
      <c r="G33" s="702">
        <f>C33-E33</f>
        <v>5.6971562065431351</v>
      </c>
      <c r="H33" s="239" t="s">
        <v>90</v>
      </c>
      <c r="I33" s="759">
        <f>INDEX(stores!$I$9:$I$115,MATCH(A32,stores!$B$9:$B$115)+1)</f>
        <v>100</v>
      </c>
      <c r="J33" s="773">
        <f>I33-I29</f>
        <v>2</v>
      </c>
      <c r="K33" s="362">
        <f>AVERAGE(I33,I29)</f>
        <v>99</v>
      </c>
      <c r="M33" s="702">
        <f>(K33/K26-1)*100</f>
        <v>7.0270270270270219</v>
      </c>
      <c r="N33" s="239" t="s">
        <v>90</v>
      </c>
      <c r="O33" s="754">
        <f>(G33/M33)*100</f>
        <v>81.07491524696006</v>
      </c>
      <c r="P33" s="239" t="s">
        <v>90</v>
      </c>
      <c r="R33" s="256">
        <f>INDEX('qtrP&amp;L'!$10:$10,MATCH($A32,'qtrP&amp;L'!$6:$6,0))</f>
        <v>1153.377</v>
      </c>
      <c r="T33" s="256">
        <f>R33-AO33</f>
        <v>1153.377</v>
      </c>
      <c r="V33" s="760">
        <f>IF(ISERROR(T33/K33),"NA",T33/K33)</f>
        <v>11.650272727272727</v>
      </c>
      <c r="X33" s="761">
        <f>IF(ISERROR(V33/V26),"NA",(V33/V26-1)*100)</f>
        <v>3.7094641323761612</v>
      </c>
      <c r="Y33" s="239" t="s">
        <v>90</v>
      </c>
      <c r="Z33" s="759">
        <f>INDEX(stores!$I$143:$I$253,MATCH(A32,stores!$B$143:$B$253)+1)</f>
        <v>14.702999999999999</v>
      </c>
      <c r="AB33" s="362">
        <f>AVERAGE(Z33,Z29)</f>
        <v>14.594999999999999</v>
      </c>
      <c r="AD33" s="702">
        <f>(AB33/AB26-1)*100</f>
        <v>5.9724304680721207</v>
      </c>
      <c r="AE33" s="239" t="s">
        <v>90</v>
      </c>
      <c r="AF33" s="754">
        <f>(G33/AD33)*100</f>
        <v>95.390917265582786</v>
      </c>
      <c r="AG33" s="239" t="s">
        <v>90</v>
      </c>
      <c r="AI33" s="256">
        <f>T33</f>
        <v>1153.377</v>
      </c>
      <c r="AK33" s="762">
        <f>IF(ISERROR(AI33/AB33),"NA",AI33/AB33)</f>
        <v>79.025488180883869</v>
      </c>
      <c r="AM33" s="756">
        <f>(AK33/AK26-1)*100</f>
        <v>4.7415405273590228</v>
      </c>
      <c r="AN33" s="239" t="s">
        <v>90</v>
      </c>
      <c r="AO33" s="362"/>
      <c r="AP33" s="755"/>
    </row>
    <row r="34" spans="1:42" ht="10.5" hidden="1" customHeight="1" outlineLevel="1" x14ac:dyDescent="0.2">
      <c r="A34" s="239" t="s">
        <v>93</v>
      </c>
      <c r="C34" s="751">
        <f>INDEX('qtrP&amp;L'!$11:$11,MATCH($A32,'qtrP&amp;L'!$6:$6,0)+1)</f>
        <v>0.9449942669885969</v>
      </c>
      <c r="E34" s="751">
        <f>INDEX('qtrP&amp;L'!$11:$11,MATCH($A32,'qtrP&amp;L'!$6:$6,0)+2)</f>
        <v>-4.5</v>
      </c>
      <c r="G34" s="702">
        <f>C34-E34</f>
        <v>5.4449942669885969</v>
      </c>
      <c r="I34" s="759">
        <f>INDEX(stores!$I$9:$I$115,MATCH(A32,stores!$B$9:$B$115)+2)</f>
        <v>107</v>
      </c>
      <c r="J34" s="773">
        <f>I34-I33</f>
        <v>7</v>
      </c>
      <c r="K34" s="362">
        <f>AVERAGE(I33:I34)</f>
        <v>103.5</v>
      </c>
      <c r="M34" s="702">
        <f>(K34/K27-1)*100</f>
        <v>11.290322580645151</v>
      </c>
      <c r="O34" s="754">
        <f>(G34/M34)*100</f>
        <v>48.227092079041903</v>
      </c>
      <c r="R34" s="362">
        <f>INDEX('qtrP&amp;L'!$11:$11,MATCH($A32,'qtrP&amp;L'!$6:$6,0))</f>
        <v>1457.0350000000001</v>
      </c>
      <c r="T34" s="362">
        <f>R34-AO34</f>
        <v>1457.0350000000001</v>
      </c>
      <c r="V34" s="763">
        <f>IF(ISERROR(T34/K34),"NA",T34/K34)</f>
        <v>14.077632850241546</v>
      </c>
      <c r="X34" s="761">
        <f>IF(ISERROR(V34/V27),"NA",(V34/V27-1)*100)</f>
        <v>-9.2958022528508266</v>
      </c>
      <c r="Z34" s="759">
        <f>INDEX(stores!$I$143:$I$253,MATCH(A32,stores!$B$143:$B$253)+2)</f>
        <v>15.212999999999999</v>
      </c>
      <c r="AB34" s="362">
        <f>AVERAGE(Z33:Z34)</f>
        <v>14.957999999999998</v>
      </c>
      <c r="AD34" s="702">
        <f>(AB34/AB27-1)*100</f>
        <v>8.2892926952870418</v>
      </c>
      <c r="AF34" s="754">
        <f>(G34/AD34)*100</f>
        <v>65.687079309968169</v>
      </c>
      <c r="AI34" s="362">
        <f>T34</f>
        <v>1457.0350000000001</v>
      </c>
      <c r="AK34" s="764">
        <f>IF(ISERROR(AI34/AB34),"NA",AI34/AB34)</f>
        <v>97.408410215269441</v>
      </c>
      <c r="AM34" s="756">
        <f>(AK34/AK27-1)*100</f>
        <v>-6.782109519326518</v>
      </c>
      <c r="AO34" s="362"/>
      <c r="AP34" s="765"/>
    </row>
    <row r="35" spans="1:42" ht="10.5" hidden="1" customHeight="1" outlineLevel="1" x14ac:dyDescent="0.2">
      <c r="A35" s="239" t="s">
        <v>94</v>
      </c>
      <c r="C35" s="751">
        <f>INDEX('qtrP&amp;L'!$12:$12,MATCH($A32,'qtrP&amp;L'!$6:$6,0)+1)</f>
        <v>13.717149770203774</v>
      </c>
      <c r="E35" s="751">
        <f>INDEX('qtrP&amp;L'!$12:$12,MATCH($A32,'qtrP&amp;L'!$6:$6,0)+2)</f>
        <v>4.9000000000000004</v>
      </c>
      <c r="G35" s="702">
        <f>C35-E35</f>
        <v>8.8171497702037733</v>
      </c>
      <c r="I35" s="759">
        <f>INDEX(stores!$I$9:$I$115,MATCH(A32,stores!$B$9:$B$115)+3)</f>
        <v>114</v>
      </c>
      <c r="J35" s="773">
        <f>I35-I34</f>
        <v>7</v>
      </c>
      <c r="K35" s="362">
        <f>AVERAGE(I34:I35)</f>
        <v>110.5</v>
      </c>
      <c r="M35" s="702">
        <f>(K35/K28-1)*100</f>
        <v>16.315789473684216</v>
      </c>
      <c r="O35" s="754">
        <f>(G35/M35)*100</f>
        <v>54.040595365765043</v>
      </c>
      <c r="R35" s="362">
        <f>INDEX('qtrP&amp;L'!$12:$12,MATCH($A32,'qtrP&amp;L'!$6:$6,0))</f>
        <v>1262.3899999999999</v>
      </c>
      <c r="T35" s="362">
        <f>R35-AO35</f>
        <v>1262.3899999999999</v>
      </c>
      <c r="V35" s="763">
        <f>IF(ISERROR(T35/K35),"NA",T35/K35)</f>
        <v>11.424343891402714</v>
      </c>
      <c r="X35" s="761">
        <f>IF(ISERROR(V35/V28),"NA",(V35/V28-1)*100)</f>
        <v>-2.2341246319515173</v>
      </c>
      <c r="Z35" s="759">
        <f>INDEX(stores!$I$143:$I$253,MATCH(A32,stores!$B$143:$B$253)+3)</f>
        <v>15.971</v>
      </c>
      <c r="AB35" s="362">
        <f>AVERAGE(Z34:Z35)</f>
        <v>15.591999999999999</v>
      </c>
      <c r="AD35" s="702">
        <f>(AB35/AB28-1)*100</f>
        <v>10.385840707964601</v>
      </c>
      <c r="AF35" s="754">
        <f>(G35/AD35)*100</f>
        <v>84.895869464300148</v>
      </c>
      <c r="AI35" s="362">
        <f>T35</f>
        <v>1262.3899999999999</v>
      </c>
      <c r="AK35" s="764">
        <f>IF(ISERROR(AI35/AB35),"NA",AI35/AB35)</f>
        <v>80.963955874807596</v>
      </c>
      <c r="AM35" s="756">
        <f>(AK35/AK28-1)*100</f>
        <v>3.0178771488024836</v>
      </c>
      <c r="AO35" s="524"/>
      <c r="AP35" s="765"/>
    </row>
    <row r="36" spans="1:42" ht="10.5" hidden="1" customHeight="1" outlineLevel="1" x14ac:dyDescent="0.2">
      <c r="A36" s="239" t="s">
        <v>95</v>
      </c>
      <c r="C36" s="766">
        <f>INDEX('qtrP&amp;L'!$13:$13,MATCH($A32,'qtrP&amp;L'!$6:$6,0)+1)</f>
        <v>6.3833136509837241</v>
      </c>
      <c r="E36" s="766">
        <f>INDEX('qtrP&amp;L'!$13:$13,MATCH($A32,'qtrP&amp;L'!$6:$6,0)+2)</f>
        <v>-1.7615026876849671</v>
      </c>
      <c r="G36" s="767">
        <f>C36-E36</f>
        <v>8.1448163386686918</v>
      </c>
      <c r="I36" s="759">
        <f>INDEX(stores!$I$9:$I$115,MATCH(A32,stores!$B$9:$B$115)+4)</f>
        <v>114</v>
      </c>
      <c r="J36" s="773">
        <f>I36-I35</f>
        <v>0</v>
      </c>
      <c r="K36" s="556">
        <f>AVERAGE(I35:I36)</f>
        <v>114</v>
      </c>
      <c r="M36" s="767">
        <f>(K36/K29-1)*100</f>
        <v>16.92307692307693</v>
      </c>
      <c r="O36" s="768">
        <f>(G36/M36)*100</f>
        <v>48.12846018304225</v>
      </c>
      <c r="R36" s="556">
        <f>INDEX('qtrP&amp;L'!$13:$13,MATCH($A32,'qtrP&amp;L'!$6:$6,0))</f>
        <v>1655.7349999999999</v>
      </c>
      <c r="T36" s="556">
        <f>R36-AO36</f>
        <v>1655.7349999999999</v>
      </c>
      <c r="V36" s="769">
        <f>IF(ISERROR(T36/K36),"NA",T36/K36)</f>
        <v>14.523991228070175</v>
      </c>
      <c r="X36" s="770">
        <f>IF(ISERROR(V36/V29),"NA",(V36/V29-1)*100)</f>
        <v>-9.0142712195533932</v>
      </c>
      <c r="Z36" s="759">
        <f>INDEX(stores!$I$143:$I$253,MATCH(A32,stores!$B$143:$B$253)+4)</f>
        <v>15.987</v>
      </c>
      <c r="AB36" s="556">
        <f>AVERAGE(Z35:Z36)</f>
        <v>15.978999999999999</v>
      </c>
      <c r="AD36" s="767">
        <f>(AB36/AB29-1)*100</f>
        <v>10.489558843866686</v>
      </c>
      <c r="AF36" s="768">
        <f>(G36/AD36)*100</f>
        <v>77.646891160070282</v>
      </c>
      <c r="AI36" s="556">
        <f>T36</f>
        <v>1655.7349999999999</v>
      </c>
      <c r="AK36" s="771">
        <f>IF(ISERROR(AI36/AB36),"NA",AI36/AB36)</f>
        <v>103.61943801239126</v>
      </c>
      <c r="AM36" s="772">
        <f>(AK36/AK29-1)*100</f>
        <v>-3.716410162054784</v>
      </c>
      <c r="AO36" s="526"/>
      <c r="AP36" s="606"/>
    </row>
    <row r="37" spans="1:42" ht="10.5" hidden="1" customHeight="1" outlineLevel="1" x14ac:dyDescent="0.2">
      <c r="A37" s="607" t="s">
        <v>55</v>
      </c>
      <c r="C37" s="751">
        <f>INDEX('qtrP&amp;L'!$14:$14,MATCH($A32,'qtrP&amp;L'!$6:$6,0)+1)</f>
        <v>7.3710817634492276</v>
      </c>
      <c r="E37" s="751">
        <f>INDEX('qtrP&amp;L'!$14:$14,MATCH($A32,'qtrP&amp;L'!$6:$6,0)+2)</f>
        <v>0.51341592674625014</v>
      </c>
      <c r="G37" s="702">
        <f>C37-E37</f>
        <v>6.8576658367029779</v>
      </c>
      <c r="I37" s="752"/>
      <c r="K37" s="362">
        <f>AVERAGE(K33:K36)</f>
        <v>106.75</v>
      </c>
      <c r="M37" s="702">
        <f>(K37/K30-1)*100</f>
        <v>12.962962962962955</v>
      </c>
      <c r="O37" s="754">
        <f>(G37/M37)*100</f>
        <v>52.901993597423001</v>
      </c>
      <c r="R37" s="256">
        <f>INDEX('qtrP&amp;L'!$14:$14,MATCH($A32,'qtrP&amp;L'!$6:$6,0))</f>
        <v>5528.5370000000003</v>
      </c>
      <c r="T37" s="256">
        <f>R37-AO37</f>
        <v>5528.5370000000003</v>
      </c>
      <c r="V37" s="760">
        <f>IF(ISERROR(T37/K37),"NA",T37/K37)</f>
        <v>51.789573770491806</v>
      </c>
      <c r="X37" s="761">
        <f>IF(ISERROR(V37/V30),"NA",(V37/V30-1)*100)</f>
        <v>-4.9501899143236443</v>
      </c>
      <c r="Z37" s="757"/>
      <c r="AB37" s="362">
        <f>AVERAGE(AB33:AB36)</f>
        <v>15.280999999999999</v>
      </c>
      <c r="AD37" s="702">
        <f>(AB37/AB30-1)*100</f>
        <v>8.8149083759031299</v>
      </c>
      <c r="AF37" s="754">
        <f>(G37/AD37)*100</f>
        <v>77.796223673174339</v>
      </c>
      <c r="AI37" s="256">
        <f>SUM(AI33:AI36)</f>
        <v>5528.5370000000003</v>
      </c>
      <c r="AK37" s="762">
        <f>IF(ISERROR(AI37/AB37),"NA",AI37/AB37)</f>
        <v>361.79157123224923</v>
      </c>
      <c r="AM37" s="756">
        <f>(AK37/AK30-1)*100</f>
        <v>-1.3268647044816562</v>
      </c>
      <c r="AO37" s="524"/>
      <c r="AP37" s="755"/>
    </row>
    <row r="38" spans="1:42" ht="10.5" hidden="1" customHeight="1" outlineLevel="1" x14ac:dyDescent="0.2">
      <c r="I38" s="752"/>
      <c r="K38" s="753"/>
      <c r="O38" s="754"/>
      <c r="X38" s="756"/>
      <c r="Z38" s="757"/>
      <c r="AB38" s="753"/>
      <c r="AF38" s="754"/>
      <c r="AM38" s="756"/>
    </row>
    <row r="39" spans="1:42" ht="10.5" hidden="1" customHeight="1" outlineLevel="1" x14ac:dyDescent="0.2">
      <c r="A39" s="758">
        <v>2001</v>
      </c>
      <c r="I39" s="752"/>
      <c r="Z39" s="757"/>
    </row>
    <row r="40" spans="1:42" ht="10.5" hidden="1" customHeight="1" outlineLevel="1" x14ac:dyDescent="0.2">
      <c r="A40" s="239" t="s">
        <v>92</v>
      </c>
      <c r="C40" s="751">
        <f>INDEX('qtrP&amp;L'!$10:$10,MATCH($A39,'qtrP&amp;L'!$6:$6,0)+1)</f>
        <v>5.6064062314403751</v>
      </c>
      <c r="D40" s="239" t="s">
        <v>90</v>
      </c>
      <c r="E40" s="751">
        <f>INDEX('qtrP&amp;L'!$10:$10,MATCH($A39,'qtrP&amp;L'!$6:$6,0)+2)</f>
        <v>-0.8</v>
      </c>
      <c r="F40" s="239" t="s">
        <v>90</v>
      </c>
      <c r="G40" s="702">
        <f>C40-E40</f>
        <v>6.4064062314403749</v>
      </c>
      <c r="H40" s="239" t="s">
        <v>90</v>
      </c>
      <c r="I40" s="759">
        <f>INDEX(stores!$I$9:$I$115,MATCH(A39,stores!$B$9:$B$115)+1)</f>
        <v>122</v>
      </c>
      <c r="J40" s="773">
        <f>I40-I36</f>
        <v>8</v>
      </c>
      <c r="K40" s="362">
        <f>AVERAGE(I40,I36)</f>
        <v>118</v>
      </c>
      <c r="M40" s="702">
        <f>(K40/K33-1)*100</f>
        <v>19.191919191919183</v>
      </c>
      <c r="N40" s="239" t="s">
        <v>90</v>
      </c>
      <c r="O40" s="754">
        <f>(G40/M40)*100</f>
        <v>33.380748258557759</v>
      </c>
      <c r="P40" s="239" t="s">
        <v>90</v>
      </c>
      <c r="R40" s="256">
        <f>INDEX('qtrP&amp;L'!$10:$10,MATCH($A39,'qtrP&amp;L'!$6:$6,0))</f>
        <v>1218.04</v>
      </c>
      <c r="T40" s="256">
        <f>R40-AO40</f>
        <v>1218.04</v>
      </c>
      <c r="V40" s="760">
        <f>IF(ISERROR(T40/K40),"NA",T40/K40)</f>
        <v>10.322372881355932</v>
      </c>
      <c r="X40" s="761">
        <f>IF(ISERROR(V40/V33),"NA",(V40/V33-1)*100)</f>
        <v>-11.398015110910197</v>
      </c>
      <c r="Y40" s="239" t="s">
        <v>90</v>
      </c>
      <c r="Z40" s="759">
        <f>INDEX(stores!$I$143:$I$253,MATCH(A39,stores!$B$143:$B$253)+1)</f>
        <v>16.306999999999999</v>
      </c>
      <c r="AB40" s="362">
        <f>AVERAGE(Z40,Z36)</f>
        <v>16.146999999999998</v>
      </c>
      <c r="AD40" s="702">
        <f>(AB40/AB33-1)*100</f>
        <v>10.63377869133264</v>
      </c>
      <c r="AE40" s="239" t="s">
        <v>90</v>
      </c>
      <c r="AF40" s="754">
        <f>(G40/AD40)*100</f>
        <v>60.245811177752792</v>
      </c>
      <c r="AG40" s="239" t="s">
        <v>90</v>
      </c>
      <c r="AI40" s="256">
        <f>T40</f>
        <v>1218.04</v>
      </c>
      <c r="AK40" s="762">
        <f>IF(ISERROR(AI40/AB40),"NA",AI40/AB40)</f>
        <v>75.434446027125787</v>
      </c>
      <c r="AM40" s="756">
        <f>(AK40/AK26-1)*100</f>
        <v>-1.8079386944680476E-2</v>
      </c>
      <c r="AN40" s="239" t="s">
        <v>90</v>
      </c>
      <c r="AO40" s="362"/>
      <c r="AP40" s="755"/>
    </row>
    <row r="41" spans="1:42" ht="10.5" hidden="1" customHeight="1" outlineLevel="1" x14ac:dyDescent="0.2">
      <c r="A41" s="239" t="s">
        <v>93</v>
      </c>
      <c r="C41" s="751">
        <f>INDEX('qtrP&amp;L'!$11:$11,MATCH($A39,'qtrP&amp;L'!$6:$6,0)+1)</f>
        <v>6.0893526922826124</v>
      </c>
      <c r="E41" s="751">
        <f>INDEX('qtrP&amp;L'!$11:$11,MATCH($A39,'qtrP&amp;L'!$6:$6,0)+2)</f>
        <v>2.2999999999999998</v>
      </c>
      <c r="G41" s="702">
        <f>C41-E41</f>
        <v>3.7893526922826126</v>
      </c>
      <c r="I41" s="759">
        <f>INDEX(stores!$I$9:$I$115,MATCH(A39,stores!$B$9:$B$115)+2)</f>
        <v>122</v>
      </c>
      <c r="J41" s="773">
        <f>I41-I40</f>
        <v>0</v>
      </c>
      <c r="K41" s="362">
        <f>AVERAGE(I40:I41)</f>
        <v>122</v>
      </c>
      <c r="M41" s="702">
        <f>(K41/K34-1)*100</f>
        <v>17.874396135265691</v>
      </c>
      <c r="O41" s="754">
        <f>(G41/M41)*100</f>
        <v>21.199892089256789</v>
      </c>
      <c r="R41" s="362">
        <f>INDEX('qtrP&amp;L'!$11:$11,MATCH($A39,'qtrP&amp;L'!$6:$6,0))</f>
        <v>1545.759</v>
      </c>
      <c r="T41" s="362">
        <f>R41-AO41</f>
        <v>1545.759</v>
      </c>
      <c r="V41" s="763">
        <f>IF(ISERROR(T41/K41),"NA",T41/K41)</f>
        <v>12.670155737704919</v>
      </c>
      <c r="X41" s="761">
        <f>IF(ISERROR(V41/V34),"NA",(V41/V34-1)*100)</f>
        <v>-9.9979671831864625</v>
      </c>
      <c r="Z41" s="759">
        <f>INDEX(stores!$I$143:$I$253,MATCH(A39,stores!$B$143:$B$253)+2)</f>
        <v>16.306999999999999</v>
      </c>
      <c r="AB41" s="362">
        <f>AVERAGE(Z40:Z41)</f>
        <v>16.306999999999999</v>
      </c>
      <c r="AD41" s="702">
        <f>(AB41/AB34-1)*100</f>
        <v>9.0185853723759877</v>
      </c>
      <c r="AF41" s="754">
        <f>(G41/AD41)*100</f>
        <v>42.017151646525804</v>
      </c>
      <c r="AI41" s="362">
        <f>T41</f>
        <v>1545.759</v>
      </c>
      <c r="AK41" s="764">
        <f>IF(ISERROR(AI41/AB41),"NA",AI41/AB41)</f>
        <v>94.791132642423506</v>
      </c>
      <c r="AM41" s="756">
        <f>(AK41/AK27-1)*100</f>
        <v>-9.2867915442553119</v>
      </c>
      <c r="AO41" s="362"/>
      <c r="AP41" s="765"/>
    </row>
    <row r="42" spans="1:42" ht="10.5" hidden="1" customHeight="1" outlineLevel="1" x14ac:dyDescent="0.2">
      <c r="A42" s="239" t="s">
        <v>94</v>
      </c>
      <c r="C42" s="751">
        <f>INDEX('qtrP&amp;L'!$12:$12,MATCH($A39,'qtrP&amp;L'!$6:$6,0)+1)</f>
        <v>-1.8337439301642</v>
      </c>
      <c r="E42" s="751">
        <f>INDEX('qtrP&amp;L'!$12:$12,MATCH($A39,'qtrP&amp;L'!$6:$6,0)+2)</f>
        <v>-9.3000000000000007</v>
      </c>
      <c r="G42" s="702">
        <f>C42-E42</f>
        <v>7.4662560698358007</v>
      </c>
      <c r="I42" s="759">
        <f>INDEX(stores!$I$9:$I$115,MATCH(A39,stores!$B$9:$B$115)+3)</f>
        <v>131</v>
      </c>
      <c r="J42" s="773">
        <f>I42-I41</f>
        <v>9</v>
      </c>
      <c r="K42" s="362">
        <f>AVERAGE(I41:I42)</f>
        <v>126.5</v>
      </c>
      <c r="M42" s="702">
        <f>(K42/K35-1)*100</f>
        <v>14.479638009049767</v>
      </c>
      <c r="O42" s="754">
        <f>(G42/M42)*100</f>
        <v>51.563830982303529</v>
      </c>
      <c r="R42" s="362">
        <f>INDEX('qtrP&amp;L'!$12:$12,MATCH($A39,'qtrP&amp;L'!$6:$6,0))</f>
        <v>1239.241</v>
      </c>
      <c r="T42" s="362">
        <f>R42-AO42</f>
        <v>1239.241</v>
      </c>
      <c r="V42" s="763">
        <f>IF(ISERROR(T42/K42),"NA",T42/K42)</f>
        <v>9.7963715415019763</v>
      </c>
      <c r="X42" s="761">
        <f>IF(ISERROR(V42/V35),"NA",(V42/V35-1)*100)</f>
        <v>-14.250029282870702</v>
      </c>
      <c r="Z42" s="759">
        <f>INDEX(stores!$I$143:$I$253,MATCH(A39,stores!$B$143:$B$253)+3)</f>
        <v>17.033000000000001</v>
      </c>
      <c r="AB42" s="362">
        <f>AVERAGE(Z41:Z42)</f>
        <v>16.670000000000002</v>
      </c>
      <c r="AD42" s="702">
        <f>(AB42/AB35-1)*100</f>
        <v>6.9138019497178238</v>
      </c>
      <c r="AF42" s="754">
        <f>(G42/AD42)*100</f>
        <v>107.99059799710527</v>
      </c>
      <c r="AI42" s="362">
        <f>T42</f>
        <v>1239.241</v>
      </c>
      <c r="AK42" s="764">
        <f>IF(ISERROR(AI42/AB42),"NA",AI42/AB42)</f>
        <v>74.339592081583675</v>
      </c>
      <c r="AM42" s="756">
        <f>(AK42/AK28-1)*100</f>
        <v>-5.4109093163072108</v>
      </c>
      <c r="AO42" s="524"/>
      <c r="AP42" s="765"/>
    </row>
    <row r="43" spans="1:42" ht="10.5" hidden="1" customHeight="1" outlineLevel="1" x14ac:dyDescent="0.2">
      <c r="A43" s="239" t="s">
        <v>95</v>
      </c>
      <c r="C43" s="766">
        <f>INDEX('qtrP&amp;L'!$13:$13,MATCH($A39,'qtrP&amp;L'!$6:$6,0)+1)</f>
        <v>-1.4884628276867984</v>
      </c>
      <c r="E43" s="766">
        <f>INDEX('qtrP&amp;L'!$13:$13,MATCH($A39,'qtrP&amp;L'!$6:$6,0)+2)</f>
        <v>-4.5999999999999996</v>
      </c>
      <c r="G43" s="767">
        <f>C43-E43</f>
        <v>3.1115371723132013</v>
      </c>
      <c r="I43" s="759">
        <f>INDEX(stores!$I$9:$I$115,MATCH(A39,stores!$B$9:$B$115)+4)</f>
        <v>127</v>
      </c>
      <c r="J43" s="773">
        <f>I43-I42</f>
        <v>-4</v>
      </c>
      <c r="K43" s="556">
        <f>AVERAGE(I42:I43)</f>
        <v>129</v>
      </c>
      <c r="M43" s="767">
        <f>(K43/K36-1)*100</f>
        <v>13.157894736842103</v>
      </c>
      <c r="O43" s="768">
        <f>(G43/M43)*100</f>
        <v>23.647682509580335</v>
      </c>
      <c r="R43" s="556">
        <f>INDEX('qtrP&amp;L'!$13:$13,MATCH($A39,'qtrP&amp;L'!$6:$6,0))</f>
        <v>1631.09</v>
      </c>
      <c r="T43" s="556">
        <f>R43-AO43</f>
        <v>1631.09</v>
      </c>
      <c r="V43" s="769">
        <f>IF(ISERROR(T43/K43),"NA",T43/K43)</f>
        <v>12.644108527131783</v>
      </c>
      <c r="X43" s="770">
        <f>IF(ISERROR(V43/V36),"NA",(V43/V36-1)*100)</f>
        <v>-12.943292731444146</v>
      </c>
      <c r="Z43" s="759">
        <f>INDEX(stores!$I$143:$I$253,MATCH(A39,stores!$B$143:$B$253)+4)</f>
        <v>17.010999999999999</v>
      </c>
      <c r="AB43" s="556">
        <f>AVERAGE(Z42:Z43)</f>
        <v>17.021999999999998</v>
      </c>
      <c r="AD43" s="767">
        <f>(AB43/AB36-1)*100</f>
        <v>6.5273171036986044</v>
      </c>
      <c r="AF43" s="768">
        <f>(G43/AD43)*100</f>
        <v>47.669465461546153</v>
      </c>
      <c r="AI43" s="556">
        <f>T43</f>
        <v>1631.09</v>
      </c>
      <c r="AK43" s="771">
        <f>IF(ISERROR(AI43/AB43),"NA",AI43/AB43)</f>
        <v>95.822465045235575</v>
      </c>
      <c r="AM43" s="772">
        <f>(AK43/AK29-1)*100</f>
        <v>-10.961388146372652</v>
      </c>
      <c r="AO43" s="526"/>
      <c r="AP43" s="606"/>
    </row>
    <row r="44" spans="1:42" ht="10.5" hidden="1" customHeight="1" outlineLevel="1" x14ac:dyDescent="0.2">
      <c r="A44" s="607" t="s">
        <v>55</v>
      </c>
      <c r="C44" s="751">
        <f>INDEX('qtrP&amp;L'!$14:$14,MATCH($A39,'qtrP&amp;L'!$6:$6,0)+1)</f>
        <v>1.9099627984763501</v>
      </c>
      <c r="E44" s="751">
        <f>INDEX('qtrP&amp;L'!$13:$13,MATCH($A39,'qtrP&amp;L'!$6:$6,0)+2)</f>
        <v>-4.5999999999999996</v>
      </c>
      <c r="G44" s="702">
        <f>C44-E44</f>
        <v>6.5099627984763497</v>
      </c>
      <c r="I44" s="752"/>
      <c r="K44" s="362">
        <f>AVERAGE(K40:K43)</f>
        <v>123.875</v>
      </c>
      <c r="M44" s="702">
        <f>(K44/K37-1)*100</f>
        <v>16.042154566744738</v>
      </c>
      <c r="O44" s="754">
        <f>(G44/M44)*100</f>
        <v>40.580352043056934</v>
      </c>
      <c r="R44" s="256">
        <f>INDEX('qtrP&amp;L'!$14:$14,MATCH($A39,'qtrP&amp;L'!$6:$6,0))</f>
        <v>5634.13</v>
      </c>
      <c r="T44" s="256">
        <f>R44-AO44</f>
        <v>5634.13</v>
      </c>
      <c r="V44" s="760">
        <f>IF(ISERROR(T44/K44),"NA",T44/K44)</f>
        <v>45.482381432896062</v>
      </c>
      <c r="X44" s="761">
        <f>IF(ISERROR(V44/V37),"NA",(V44/V37-1)*100)</f>
        <v>-12.178498254390735</v>
      </c>
      <c r="Z44" s="757"/>
      <c r="AB44" s="362">
        <f>AVERAGE(AB40:AB43)</f>
        <v>16.536499999999997</v>
      </c>
      <c r="AD44" s="702">
        <f>(AB44/AB37-1)*100</f>
        <v>8.2160853347293958</v>
      </c>
      <c r="AF44" s="754">
        <f>(G44/AD44)*100</f>
        <v>79.234362025899784</v>
      </c>
      <c r="AI44" s="256">
        <f>SUM(AI40:AI43)</f>
        <v>5634.13</v>
      </c>
      <c r="AK44" s="762">
        <f>IF(ISERROR(AI44/AB44),"NA",AI44/AB44)</f>
        <v>340.70873522208456</v>
      </c>
      <c r="AM44" s="756">
        <f>(AK44/AK30-1)*100</f>
        <v>-7.0768868041086392</v>
      </c>
      <c r="AO44" s="524"/>
      <c r="AP44" s="755"/>
    </row>
    <row r="45" spans="1:42" ht="10.5" hidden="1" customHeight="1" outlineLevel="1" x14ac:dyDescent="0.2">
      <c r="A45" s="607"/>
      <c r="C45" s="751"/>
      <c r="E45" s="751"/>
      <c r="I45" s="752"/>
      <c r="K45" s="753"/>
      <c r="O45" s="754"/>
      <c r="R45" s="755"/>
      <c r="V45" s="755"/>
      <c r="X45" s="756"/>
      <c r="Z45" s="757"/>
      <c r="AB45" s="753"/>
      <c r="AF45" s="754"/>
      <c r="AK45" s="755"/>
      <c r="AM45" s="756"/>
      <c r="AO45" s="755"/>
      <c r="AP45" s="755"/>
    </row>
    <row r="46" spans="1:42" ht="10.5" hidden="1" customHeight="1" outlineLevel="1" x14ac:dyDescent="0.2">
      <c r="A46" s="758">
        <v>2002</v>
      </c>
      <c r="I46" s="752"/>
      <c r="Z46" s="757"/>
    </row>
    <row r="47" spans="1:42" ht="10.5" hidden="1" customHeight="1" outlineLevel="1" x14ac:dyDescent="0.2">
      <c r="A47" s="239" t="s">
        <v>92</v>
      </c>
      <c r="C47" s="751">
        <f>INDEX('qtrP&amp;L'!$10:$10,MATCH($A46,'qtrP&amp;L'!$6:$6,0)+1)</f>
        <v>2.2758694295753834</v>
      </c>
      <c r="D47" s="239" t="s">
        <v>90</v>
      </c>
      <c r="E47" s="751">
        <f>INDEX('qtrP&amp;L'!$10:$10,MATCH($A46,'qtrP&amp;L'!$6:$6,0)+2)</f>
        <v>-2.6</v>
      </c>
      <c r="F47" s="239" t="s">
        <v>90</v>
      </c>
      <c r="G47" s="702">
        <f>C47-E47</f>
        <v>4.8758694295753831</v>
      </c>
      <c r="H47" s="239" t="s">
        <v>90</v>
      </c>
      <c r="I47" s="759">
        <f>INDEX(stores!$I$9:$I$115,MATCH(A46,stores!$B$9:$B$115)+1)</f>
        <v>136</v>
      </c>
      <c r="J47" s="773">
        <f>I47-I43</f>
        <v>9</v>
      </c>
      <c r="K47" s="362">
        <f>AVERAGE(I47,I43)</f>
        <v>131.5</v>
      </c>
      <c r="M47" s="702">
        <f>(K47/K40-1)*100</f>
        <v>11.440677966101687</v>
      </c>
      <c r="N47" s="239" t="s">
        <v>90</v>
      </c>
      <c r="O47" s="754">
        <f>(G47/M47)*100</f>
        <v>42.618710569621896</v>
      </c>
      <c r="P47" s="239" t="s">
        <v>90</v>
      </c>
      <c r="R47" s="256">
        <f>INDEX('qtrP&amp;L'!$10:$10,MATCH($A46,'qtrP&amp;L'!$6:$6,0))</f>
        <v>1245.761</v>
      </c>
      <c r="T47" s="256">
        <f>R47-AO47</f>
        <v>1245.761</v>
      </c>
      <c r="V47" s="760">
        <f>IF(ISERROR(T47/K47),"NA",T47/K47)</f>
        <v>9.4734676806083655</v>
      </c>
      <c r="X47" s="761">
        <f>IF(ISERROR(V47/V40),"NA",(V47/V40-1)*100)</f>
        <v>-8.2239346563505951</v>
      </c>
      <c r="Y47" s="239" t="s">
        <v>90</v>
      </c>
      <c r="Z47" s="759">
        <f>INDEX(stores!$I$143:$I$253,MATCH(A46,stores!$B$143:$B$253)+1)</f>
        <v>17.475000000000001</v>
      </c>
      <c r="AB47" s="362">
        <f>AVERAGE(Z47,Z43)</f>
        <v>17.243000000000002</v>
      </c>
      <c r="AD47" s="702">
        <f>(AB47/AB40-1)*100</f>
        <v>6.7876385706323372</v>
      </c>
      <c r="AE47" s="239" t="s">
        <v>90</v>
      </c>
      <c r="AF47" s="754">
        <f>(G47/AD47)*100</f>
        <v>71.834547152694768</v>
      </c>
      <c r="AG47" s="239" t="s">
        <v>90</v>
      </c>
      <c r="AI47" s="256">
        <f>T47</f>
        <v>1245.761</v>
      </c>
      <c r="AK47" s="762">
        <f>IF(ISERROR(AI47/AB47),"NA",AI47/AB47)</f>
        <v>72.247346749405551</v>
      </c>
      <c r="AM47" s="756">
        <f>(AK47/AK40-1)*100</f>
        <v>-4.2249919573535077</v>
      </c>
      <c r="AN47" s="239" t="s">
        <v>90</v>
      </c>
      <c r="AO47" s="362"/>
      <c r="AP47" s="755"/>
    </row>
    <row r="48" spans="1:42" ht="10.5" hidden="1" customHeight="1" outlineLevel="1" x14ac:dyDescent="0.2">
      <c r="A48" s="239" t="s">
        <v>93</v>
      </c>
      <c r="C48" s="751">
        <f>INDEX('qtrP&amp;L'!$11:$11,MATCH($A46,'qtrP&amp;L'!$6:$6,0)+1)</f>
        <v>7.1013010436943969</v>
      </c>
      <c r="E48" s="751">
        <f>INDEX('qtrP&amp;L'!$11:$11,MATCH($A46,'qtrP&amp;L'!$6:$6,0)+2)</f>
        <v>2.2000000000000002</v>
      </c>
      <c r="G48" s="702">
        <f>C48-E48</f>
        <v>4.9013010436943967</v>
      </c>
      <c r="I48" s="759">
        <f>INDEX(stores!$I$9:$I$115,MATCH(A46,stores!$B$9:$B$115)+2)</f>
        <v>136</v>
      </c>
      <c r="J48" s="773">
        <f>I48-I47</f>
        <v>0</v>
      </c>
      <c r="K48" s="362">
        <f>AVERAGE(I47:I48)</f>
        <v>136</v>
      </c>
      <c r="M48" s="702">
        <f>(K48/K41-1)*100</f>
        <v>11.475409836065564</v>
      </c>
      <c r="O48" s="754">
        <f>(G48/M48)*100</f>
        <v>42.711337666479778</v>
      </c>
      <c r="R48" s="362">
        <f>INDEX('qtrP&amp;L'!$11:$11,MATCH($A46,'qtrP&amp;L'!$6:$6,0))</f>
        <v>1655.528</v>
      </c>
      <c r="T48" s="362">
        <f>R48-AO48</f>
        <v>1655.528</v>
      </c>
      <c r="V48" s="763">
        <f>IF(ISERROR(T48/K48),"NA",T48/K48)</f>
        <v>12.173</v>
      </c>
      <c r="X48" s="761">
        <f>IF(ISERROR(V48/V41),"NA",(V48/V41-1)*100)</f>
        <v>-3.9238328872741479</v>
      </c>
      <c r="Z48" s="759">
        <f>INDEX(stores!$I$143:$I$253,MATCH(A46,stores!$B$143:$B$253)+2)</f>
        <v>17.454999999999998</v>
      </c>
      <c r="AB48" s="362">
        <f>AVERAGE(Z47:Z48)</f>
        <v>17.465</v>
      </c>
      <c r="AD48" s="702">
        <f>(AB48/AB41-1)*100</f>
        <v>7.1012448641687653</v>
      </c>
      <c r="AF48" s="754">
        <f>(G48/AD48)*100</f>
        <v>69.020307529813891</v>
      </c>
      <c r="AI48" s="362">
        <f>T48</f>
        <v>1655.528</v>
      </c>
      <c r="AK48" s="764">
        <f>IF(ISERROR(AI48/AB48),"NA",AI48/AB48)</f>
        <v>94.791182364729465</v>
      </c>
      <c r="AM48" s="756">
        <f>(AK48/AK41-1)*100</f>
        <v>5.2454596310980151E-5</v>
      </c>
      <c r="AO48" s="362"/>
      <c r="AP48" s="765"/>
    </row>
    <row r="49" spans="1:42" ht="10.5" hidden="1" customHeight="1" outlineLevel="1" x14ac:dyDescent="0.2">
      <c r="A49" s="239" t="s">
        <v>94</v>
      </c>
      <c r="C49" s="751">
        <f>INDEX('qtrP&amp;L'!$12:$12,MATCH($A46,'qtrP&amp;L'!$6:$6,0)+1)</f>
        <v>6.7751147678296597</v>
      </c>
      <c r="E49" s="751">
        <f>INDEX('qtrP&amp;L'!$12:$12,MATCH($A46,'qtrP&amp;L'!$6:$6,0)+2)</f>
        <v>3.9</v>
      </c>
      <c r="G49" s="702">
        <f>C49-E49</f>
        <v>2.8751147678296598</v>
      </c>
      <c r="I49" s="759">
        <f>INDEX(stores!$I$9:$I$115,MATCH(A46,stores!$B$9:$B$115)+3)</f>
        <v>142</v>
      </c>
      <c r="J49" s="773">
        <f>I49-I48</f>
        <v>6</v>
      </c>
      <c r="K49" s="362">
        <f>AVERAGE(I48:I49)</f>
        <v>139</v>
      </c>
      <c r="M49" s="702">
        <f>(K49/K42-1)*100</f>
        <v>9.8814229249011944</v>
      </c>
      <c r="O49" s="754">
        <f>(G49/M49)*100</f>
        <v>29.096161450436131</v>
      </c>
      <c r="R49" s="362">
        <f>INDEX('qtrP&amp;L'!$12:$12,MATCH($A46,'qtrP&amp;L'!$6:$6,0))</f>
        <v>1323.201</v>
      </c>
      <c r="T49" s="362">
        <f>R49-AO49</f>
        <v>1323.201</v>
      </c>
      <c r="V49" s="763">
        <f>IF(ISERROR(T49/K49),"NA",T49/K49)</f>
        <v>9.519431654676259</v>
      </c>
      <c r="X49" s="761">
        <f>IF(ISERROR(V49/V42),"NA",(V49/V42-1)*100)</f>
        <v>-2.826963898342072</v>
      </c>
      <c r="Z49" s="759">
        <f>INDEX(stores!$I$143:$I$253,MATCH(A46,stores!$B$143:$B$253)+3)</f>
        <v>18.18</v>
      </c>
      <c r="AB49" s="362">
        <f>AVERAGE(Z48:Z49)</f>
        <v>17.817499999999999</v>
      </c>
      <c r="AD49" s="702">
        <f>(AB49/AB42-1)*100</f>
        <v>6.8836232753449078</v>
      </c>
      <c r="AF49" s="754">
        <f>(G49/AD49)*100</f>
        <v>41.767462465987442</v>
      </c>
      <c r="AI49" s="362">
        <f>T49</f>
        <v>1323.201</v>
      </c>
      <c r="AK49" s="764">
        <f>IF(ISERROR(AI49/AB49),"NA",AI49/AB49)</f>
        <v>74.2641223516206</v>
      </c>
      <c r="AM49" s="756">
        <f>(AK49/AK42-1)*100</f>
        <v>-0.10152023686147427</v>
      </c>
      <c r="AO49" s="524"/>
      <c r="AP49" s="765"/>
    </row>
    <row r="50" spans="1:42" ht="10.5" hidden="1" customHeight="1" outlineLevel="1" x14ac:dyDescent="0.2">
      <c r="A50" s="239" t="s">
        <v>95</v>
      </c>
      <c r="C50" s="766">
        <f>INDEX('qtrP&amp;L'!$13:$13,MATCH($A46,'qtrP&amp;L'!$6:$6,0)+1)</f>
        <v>7.326143866984669</v>
      </c>
      <c r="E50" s="766">
        <f>INDEX('qtrP&amp;L'!$13:$13,MATCH($A46,'qtrP&amp;L'!$6:$6,0)+2)</f>
        <v>1.5</v>
      </c>
      <c r="G50" s="767">
        <f>C50-E50</f>
        <v>5.826143866984669</v>
      </c>
      <c r="I50" s="759">
        <f>INDEX(stores!$I$9:$I$115,MATCH(A46,stores!$B$9:$B$115)+4)</f>
        <v>143</v>
      </c>
      <c r="J50" s="773">
        <f>I50-I49</f>
        <v>1</v>
      </c>
      <c r="K50" s="556">
        <f>AVERAGE(I49:I50)</f>
        <v>142.5</v>
      </c>
      <c r="M50" s="767">
        <f>(K50/K43-1)*100</f>
        <v>10.465116279069765</v>
      </c>
      <c r="O50" s="768">
        <f>(G50/M50)*100</f>
        <v>55.672041395631297</v>
      </c>
      <c r="R50" s="556">
        <f>INDEX('qtrP&amp;L'!$13:$13,MATCH($A46,'qtrP&amp;L'!$6:$6,0))</f>
        <v>1750.586</v>
      </c>
      <c r="T50" s="556">
        <f>R50-AO50</f>
        <v>1750.586</v>
      </c>
      <c r="V50" s="769">
        <f>IF(ISERROR(T50/K50),"NA",T50/K50)</f>
        <v>12.28481403508772</v>
      </c>
      <c r="X50" s="770">
        <f>IF(ISERROR(V50/V43),"NA",(V50/V43-1)*100)</f>
        <v>-2.8415960783086169</v>
      </c>
      <c r="Z50" s="759">
        <f>INDEX(stores!$I$143:$I$253,MATCH(A46,stores!$B$143:$B$253)+4)</f>
        <v>18.428000000000001</v>
      </c>
      <c r="AB50" s="556">
        <f>AVERAGE(Z49:Z50)</f>
        <v>18.304000000000002</v>
      </c>
      <c r="AD50" s="767">
        <f>(AB50/AB43-1)*100</f>
        <v>7.53142991422866</v>
      </c>
      <c r="AF50" s="768">
        <f>(G50/AD50)*100</f>
        <v>77.357738614518595</v>
      </c>
      <c r="AI50" s="556">
        <f>T50</f>
        <v>1750.586</v>
      </c>
      <c r="AK50" s="771">
        <f>IF(ISERROR(AI50/AB50),"NA",AI50/AB50)</f>
        <v>95.639532342657333</v>
      </c>
      <c r="AM50" s="772">
        <f>(AK50/AK43-1)*100</f>
        <v>-0.19090794887387519</v>
      </c>
      <c r="AO50" s="526"/>
      <c r="AP50" s="606"/>
    </row>
    <row r="51" spans="1:42" ht="10.5" hidden="1" customHeight="1" outlineLevel="1" x14ac:dyDescent="0.2">
      <c r="A51" s="607" t="s">
        <v>55</v>
      </c>
      <c r="C51" s="751">
        <f>INDEX('qtrP&amp;L'!$14:$14,MATCH($A46,'qtrP&amp;L'!$6:$6,0)+1)</f>
        <v>5.5115164186839927</v>
      </c>
      <c r="E51" s="751">
        <f>INDEX('qtrP&amp;L'!$14:$14,MATCH($A46,'qtrP&amp;L'!$6:$6,0)+2)</f>
        <v>1.3</v>
      </c>
      <c r="G51" s="702">
        <f>C51-E51</f>
        <v>4.2115164186839928</v>
      </c>
      <c r="I51" s="752"/>
      <c r="K51" s="362">
        <f>AVERAGE(K47:K50)</f>
        <v>137.25</v>
      </c>
      <c r="M51" s="702">
        <f>(K51/K44-1)*100</f>
        <v>10.797174571140268</v>
      </c>
      <c r="O51" s="754">
        <f>(G51/M51)*100</f>
        <v>39.005726830989111</v>
      </c>
      <c r="R51" s="256">
        <f>INDEX('qtrP&amp;L'!$14:$14,MATCH($A46,'qtrP&amp;L'!$6:$6,0))</f>
        <v>5944.6559999999999</v>
      </c>
      <c r="T51" s="256">
        <f>R51-AO51</f>
        <v>5944.6559999999999</v>
      </c>
      <c r="V51" s="760">
        <f>IF(ISERROR(T51/K51),"NA",T51/K51)</f>
        <v>43.312612021857923</v>
      </c>
      <c r="X51" s="761">
        <f>IF(ISERROR(V51/V44),"NA",(V51/V44-1)*100)</f>
        <v>-4.7705712468890438</v>
      </c>
      <c r="Z51" s="757"/>
      <c r="AB51" s="362">
        <f>AVERAGE(AB47:AB50)</f>
        <v>17.707374999999999</v>
      </c>
      <c r="AD51" s="702">
        <f>(AB51/AB44-1)*100</f>
        <v>7.0805490883802724</v>
      </c>
      <c r="AF51" s="754">
        <f>(G51/AD51)*100</f>
        <v>59.480082209943532</v>
      </c>
      <c r="AI51" s="256">
        <f>SUM(AI47:AI50)</f>
        <v>5975.076</v>
      </c>
      <c r="AK51" s="762">
        <f>IF(ISERROR(AI51/AB51),"NA",AI51/AB51)</f>
        <v>337.43431762189488</v>
      </c>
      <c r="AM51" s="756">
        <f>(AK51/AK44-1)*100</f>
        <v>-0.96106065436076804</v>
      </c>
      <c r="AO51" s="524"/>
      <c r="AP51" s="755"/>
    </row>
    <row r="52" spans="1:42" ht="10.5" hidden="1" customHeight="1" outlineLevel="1" x14ac:dyDescent="0.2">
      <c r="I52" s="752"/>
      <c r="K52" s="753"/>
      <c r="O52" s="754"/>
      <c r="X52" s="756"/>
      <c r="Z52" s="757"/>
      <c r="AB52" s="753"/>
      <c r="AF52" s="754"/>
      <c r="AM52" s="756"/>
    </row>
    <row r="53" spans="1:42" ht="10.5" hidden="1" customHeight="1" outlineLevel="1" x14ac:dyDescent="0.2">
      <c r="A53" s="758">
        <v>2003</v>
      </c>
      <c r="I53" s="752"/>
      <c r="K53" s="753"/>
      <c r="O53" s="754"/>
      <c r="R53" s="755"/>
      <c r="T53" s="755"/>
      <c r="X53" s="756"/>
      <c r="Z53" s="757"/>
      <c r="AB53" s="753"/>
      <c r="AF53" s="754"/>
      <c r="AK53" s="755"/>
      <c r="AM53" s="756"/>
    </row>
    <row r="54" spans="1:42" ht="10.5" hidden="1" customHeight="1" outlineLevel="1" x14ac:dyDescent="0.2">
      <c r="A54" s="239" t="s">
        <v>92</v>
      </c>
      <c r="C54" s="751">
        <f>INDEX('qtrP&amp;L'!$10:$10,MATCH($A53,'qtrP&amp;L'!$6:$6,0)+1)</f>
        <v>7.201301052127973</v>
      </c>
      <c r="D54" s="239" t="s">
        <v>90</v>
      </c>
      <c r="E54" s="751">
        <f>INDEX('qtrP&amp;L'!$10:$10,MATCH($A53,'qtrP&amp;L'!$6:$6,0)+2)</f>
        <v>-1.5</v>
      </c>
      <c r="F54" s="239" t="s">
        <v>90</v>
      </c>
      <c r="G54" s="702">
        <f>C54-E54</f>
        <v>8.7013010521279739</v>
      </c>
      <c r="H54" s="239" t="s">
        <v>90</v>
      </c>
      <c r="I54" s="759">
        <f>INDEX(stores!$I$9:$I$115,MATCH(A53,stores!$B$9:$B$115)+1)</f>
        <v>143</v>
      </c>
      <c r="J54" s="773">
        <f>I54-I50</f>
        <v>0</v>
      </c>
      <c r="K54" s="362">
        <f>AVERAGE(I54,I50)</f>
        <v>143</v>
      </c>
      <c r="M54" s="702">
        <f>(K54/K47-1)*100</f>
        <v>8.7452471482889713</v>
      </c>
      <c r="N54" s="239" t="s">
        <v>90</v>
      </c>
      <c r="O54" s="754">
        <f>(G54/M54)*100</f>
        <v>99.497485943898155</v>
      </c>
      <c r="P54" s="239" t="s">
        <v>90</v>
      </c>
      <c r="R54" s="256">
        <f>INDEX('qtrP&amp;L'!$10:$10,MATCH($A53,'qtrP&amp;L'!$6:$6,0))</f>
        <v>1335.472</v>
      </c>
      <c r="T54" s="256">
        <f>R54-AO54</f>
        <v>1335.472</v>
      </c>
      <c r="V54" s="760">
        <f>IF(ISERROR(T54/K54),"NA",T54/K54)</f>
        <v>9.3389650349650353</v>
      </c>
      <c r="X54" s="761">
        <f>IF(ISERROR(V54/V47),"NA",(V54/V47-1)*100)</f>
        <v>-1.4197825989172852</v>
      </c>
      <c r="Y54" s="239" t="s">
        <v>90</v>
      </c>
      <c r="Z54" s="759">
        <f>INDEX(stores!$I$143:$I$253,MATCH(A53,stores!$B$143:$B$253)+1)</f>
        <v>18.613</v>
      </c>
      <c r="AB54" s="362">
        <f>AVERAGE(Z54,Z50)</f>
        <v>18.520499999999998</v>
      </c>
      <c r="AD54" s="702">
        <f>(AB54/AB47-1)*100</f>
        <v>7.4088035724641621</v>
      </c>
      <c r="AE54" s="239" t="s">
        <v>90</v>
      </c>
      <c r="AF54" s="754">
        <f>(G54/AD54)*100</f>
        <v>117.44542782140365</v>
      </c>
      <c r="AG54" s="239" t="s">
        <v>90</v>
      </c>
      <c r="AI54" s="256">
        <f>T54</f>
        <v>1335.472</v>
      </c>
      <c r="AK54" s="762">
        <f>IF(ISERROR(AI54/AB54),"NA",AI54/AB54)</f>
        <v>72.107772468345885</v>
      </c>
      <c r="AM54" s="756">
        <f>(AK54/AK47-1)*100</f>
        <v>-0.19318949046500666</v>
      </c>
      <c r="AN54" s="239" t="s">
        <v>90</v>
      </c>
      <c r="AO54" s="362"/>
      <c r="AP54" s="755"/>
    </row>
    <row r="55" spans="1:42" ht="10.5" hidden="1" customHeight="1" outlineLevel="1" x14ac:dyDescent="0.2">
      <c r="A55" s="239" t="s">
        <v>93</v>
      </c>
      <c r="C55" s="751">
        <f>INDEX('qtrP&amp;L'!$11:$11,MATCH($A53,'qtrP&amp;L'!$6:$6,0)+1)</f>
        <v>7.8085058060026746</v>
      </c>
      <c r="E55" s="751">
        <f>INDEX('qtrP&amp;L'!$11:$11,MATCH($A53,'qtrP&amp;L'!$6:$6,0)+2)</f>
        <v>3.8</v>
      </c>
      <c r="G55" s="702">
        <f>C55-E55</f>
        <v>4.0085058060026748</v>
      </c>
      <c r="I55" s="759">
        <f>INDEX(stores!$I$9:$I$115,MATCH(A53,stores!$B$9:$B$115)+2)</f>
        <v>143</v>
      </c>
      <c r="J55" s="773">
        <f>I55-I54</f>
        <v>0</v>
      </c>
      <c r="K55" s="362">
        <f>AVERAGE(I54:I55)</f>
        <v>143</v>
      </c>
      <c r="M55" s="702">
        <f>(K55/K48-1)*100</f>
        <v>5.1470588235294157</v>
      </c>
      <c r="O55" s="754">
        <f>(G55/M55)*100</f>
        <v>77.879541373766187</v>
      </c>
      <c r="R55" s="362">
        <f>INDEX('qtrP&amp;L'!$11:$11,MATCH($A53,'qtrP&amp;L'!$6:$6,0))</f>
        <v>1784.8</v>
      </c>
      <c r="T55" s="362">
        <f>R55-AO55</f>
        <v>1784.8</v>
      </c>
      <c r="V55" s="763">
        <f>IF(ISERROR(T55/K55),"NA",T55/K55)</f>
        <v>12.481118881118881</v>
      </c>
      <c r="X55" s="761">
        <f>IF(ISERROR(V55/V48),"NA",(V55/V48-1)*100)</f>
        <v>2.5311663609536073</v>
      </c>
      <c r="Z55" s="759">
        <f>INDEX(stores!$I$143:$I$253,MATCH(A53,stores!$B$143:$B$253)+2)</f>
        <v>18.613</v>
      </c>
      <c r="AB55" s="362">
        <f>AVERAGE(Z54:Z55)</f>
        <v>18.613</v>
      </c>
      <c r="AD55" s="702">
        <f>(AB55/AB48-1)*100</f>
        <v>6.5731462925851636</v>
      </c>
      <c r="AF55" s="754">
        <f>(G55/AD55)*100</f>
        <v>60.98306089010174</v>
      </c>
      <c r="AI55" s="362">
        <f>T55</f>
        <v>1784.8</v>
      </c>
      <c r="AK55" s="764">
        <f>IF(ISERROR(AI55/AB55),"NA",AI55/AB55)</f>
        <v>95.889969376242405</v>
      </c>
      <c r="AM55" s="756">
        <f>(AK55/AK48-1)*100</f>
        <v>1.1591658465500698</v>
      </c>
      <c r="AO55" s="362"/>
      <c r="AP55" s="765"/>
    </row>
    <row r="56" spans="1:42" ht="10.5" hidden="1" customHeight="1" outlineLevel="1" x14ac:dyDescent="0.2">
      <c r="A56" s="239" t="s">
        <v>94</v>
      </c>
      <c r="C56" s="751">
        <f>INDEX('qtrP&amp;L'!$12:$12,MATCH($A53,'qtrP&amp;L'!$6:$6,0)+1)</f>
        <v>6.4917574880913653</v>
      </c>
      <c r="E56" s="751">
        <f>INDEX('qtrP&amp;L'!$12:$12,MATCH($A53,'qtrP&amp;L'!$6:$6,0)+2)</f>
        <v>5</v>
      </c>
      <c r="G56" s="702">
        <f>C56-E56</f>
        <v>1.4917574880913653</v>
      </c>
      <c r="I56" s="759">
        <f>INDEX(stores!$I$9:$I$115,MATCH(A53,stores!$B$9:$B$115)+3)</f>
        <v>147</v>
      </c>
      <c r="J56" s="773">
        <f>I56-I55</f>
        <v>4</v>
      </c>
      <c r="K56" s="362">
        <f>AVERAGE(I55:I56)</f>
        <v>145</v>
      </c>
      <c r="M56" s="702">
        <f>(K56/K49-1)*100</f>
        <v>4.3165467625899234</v>
      </c>
      <c r="O56" s="754">
        <f>(G56/M56)*100</f>
        <v>34.559048474116665</v>
      </c>
      <c r="R56" s="362">
        <f>INDEX('qtrP&amp;L'!$12:$12,MATCH($A53,'qtrP&amp;L'!$6:$6,0))</f>
        <v>1409.1</v>
      </c>
      <c r="T56" s="362">
        <f>R56-AO56</f>
        <v>1409.1</v>
      </c>
      <c r="V56" s="763">
        <f>IF(ISERROR(T56/K56),"NA",T56/K56)</f>
        <v>9.7179310344827581</v>
      </c>
      <c r="X56" s="761">
        <f>IF(ISERROR(V56/V49),"NA",(V56/V49-1)*100)</f>
        <v>2.085202005825515</v>
      </c>
      <c r="Z56" s="759">
        <f>INDEX(stores!$I$143:$I$253,MATCH(A53,stores!$B$143:$B$253)+3)</f>
        <v>18.977999999999998</v>
      </c>
      <c r="AB56" s="362">
        <f>AVERAGE(Z55:Z56)</f>
        <v>18.795499999999997</v>
      </c>
      <c r="AD56" s="702">
        <f>(AB56/AB49-1)*100</f>
        <v>5.4889855479163696</v>
      </c>
      <c r="AF56" s="754">
        <f>(G56/AD56)*100</f>
        <v>27.177289411112397</v>
      </c>
      <c r="AI56" s="362">
        <f>T56</f>
        <v>1409.1</v>
      </c>
      <c r="AK56" s="764">
        <f>IF(ISERROR(AI56/AB56),"NA",AI56/AB56)</f>
        <v>74.970072623766328</v>
      </c>
      <c r="AM56" s="756">
        <f>(AK56/AK49-1)*100</f>
        <v>0.95059397430599102</v>
      </c>
      <c r="AO56" s="524"/>
      <c r="AP56" s="765"/>
    </row>
    <row r="57" spans="1:42" ht="10.5" hidden="1" customHeight="1" outlineLevel="1" x14ac:dyDescent="0.2">
      <c r="A57" s="239" t="s">
        <v>95</v>
      </c>
      <c r="C57" s="766">
        <f>INDEX('qtrP&amp;L'!$13:$13,MATCH($A53,'qtrP&amp;L'!$6:$6,0)+1)</f>
        <v>9.6318604170260613</v>
      </c>
      <c r="E57" s="766">
        <f>INDEX('qtrP&amp;L'!$13:$13,MATCH($A53,'qtrP&amp;L'!$6:$6,0)+2)</f>
        <v>8.3000000000000007</v>
      </c>
      <c r="G57" s="767">
        <f>C57-E57</f>
        <v>1.3318604170260606</v>
      </c>
      <c r="I57" s="759">
        <f>INDEX(stores!$I$9:$I$115,MATCH(A53,stores!$B$9:$B$115)+4)</f>
        <v>141</v>
      </c>
      <c r="J57" s="773">
        <f>I57-I56</f>
        <v>-6</v>
      </c>
      <c r="K57" s="556">
        <f>AVERAGE(I56:I57)</f>
        <v>144</v>
      </c>
      <c r="M57" s="767">
        <f>(K57/K50-1)*100</f>
        <v>1.0526315789473717</v>
      </c>
      <c r="O57" s="768">
        <f>(G57/M57)*100</f>
        <v>126.52673961747536</v>
      </c>
      <c r="R57" s="556">
        <f>INDEX('qtrP&amp;L'!$13:$13,MATCH($A53,'qtrP&amp;L'!$6:$6,0))</f>
        <v>1919.2</v>
      </c>
      <c r="T57" s="556">
        <f>R57-AO57</f>
        <v>1919.2</v>
      </c>
      <c r="V57" s="769">
        <f>IF(ISERROR(T57/K57),"NA",T57/K57)</f>
        <v>13.327777777777778</v>
      </c>
      <c r="X57" s="770">
        <f>IF(ISERROR(V57/V50),"NA",(V57/V50-1)*100)</f>
        <v>8.4898618710153695</v>
      </c>
      <c r="Z57" s="759">
        <f>INDEX(stores!$I$143:$I$253,MATCH(A53,stores!$B$143:$B$253)+4)</f>
        <v>19.138000000000002</v>
      </c>
      <c r="AB57" s="556">
        <f>AVERAGE(Z56:Z57)</f>
        <v>19.058</v>
      </c>
      <c r="AD57" s="767">
        <f>(AB57/AB50-1)*100</f>
        <v>4.1193181818181657</v>
      </c>
      <c r="AF57" s="768">
        <f>(G57/AD57)*100</f>
        <v>32.332059778839664</v>
      </c>
      <c r="AI57" s="556">
        <f>T57</f>
        <v>1919.2</v>
      </c>
      <c r="AK57" s="771">
        <f>IF(ISERROR(AI57/AB57),"NA",AI57/AB57)</f>
        <v>100.70311680134327</v>
      </c>
      <c r="AM57" s="772">
        <f>(AK57/AK50-1)*100</f>
        <v>5.2944471126689763</v>
      </c>
      <c r="AO57" s="526"/>
      <c r="AP57" s="606"/>
    </row>
    <row r="58" spans="1:42" ht="10.5" hidden="1" customHeight="1" outlineLevel="1" x14ac:dyDescent="0.2">
      <c r="A58" s="607" t="s">
        <v>55</v>
      </c>
      <c r="C58" s="751">
        <f>INDEX('qtrP&amp;L'!$14:$14,MATCH($A53,'qtrP&amp;L'!$6:$6,0)+1)</f>
        <v>8.476789910131032</v>
      </c>
      <c r="E58" s="751">
        <f>INDEX('qtrP&amp;L'!$14:$14,MATCH($A53,'qtrP&amp;L'!$6:$6,0)+2)</f>
        <v>4.0999999999999996</v>
      </c>
      <c r="G58" s="702">
        <f>C58-E58</f>
        <v>4.3767899101310324</v>
      </c>
      <c r="I58" s="752"/>
      <c r="K58" s="362">
        <f>AVERAGE(K54:K57)</f>
        <v>143.75</v>
      </c>
      <c r="M58" s="702">
        <f>(K58/K51-1)*100</f>
        <v>4.735883424408005</v>
      </c>
      <c r="O58" s="754">
        <f>(G58/M58)*100</f>
        <v>92.417602333151606</v>
      </c>
      <c r="R58" s="256">
        <f>INDEX('qtrP&amp;L'!$14:$14,MATCH($A53,'qtrP&amp;L'!$6:$6,0))</f>
        <v>6448.5719999999992</v>
      </c>
      <c r="T58" s="256">
        <f>R58-AO58</f>
        <v>6448.5719999999992</v>
      </c>
      <c r="V58" s="760">
        <f>IF(ISERROR(T58/K58),"NA",T58/K58)</f>
        <v>44.859631304347822</v>
      </c>
      <c r="X58" s="761">
        <f>IF(ISERROR(V58/V51),"NA",(V58/V51-1)*100)</f>
        <v>3.5717524533251055</v>
      </c>
      <c r="Z58" s="757"/>
      <c r="AB58" s="362">
        <f>AVERAGE(AB54:AB57)</f>
        <v>18.746749999999999</v>
      </c>
      <c r="AD58" s="702">
        <f>(AB58/AB51-1)*100</f>
        <v>5.8697294206510042</v>
      </c>
      <c r="AF58" s="754">
        <f>(G58/AD58)*100</f>
        <v>74.565445806284004</v>
      </c>
      <c r="AI58" s="256">
        <f>SUM(AI54:AI57)</f>
        <v>6448.5719999999992</v>
      </c>
      <c r="AK58" s="762">
        <f>IF(ISERROR(AI58/AB58),"NA",AI58/AB58)</f>
        <v>343.98346380039203</v>
      </c>
      <c r="AM58" s="756">
        <f>(AK58/AK51-1)*100</f>
        <v>1.940865477066156</v>
      </c>
      <c r="AO58" s="524"/>
      <c r="AP58" s="755"/>
    </row>
    <row r="59" spans="1:42" ht="10.5" hidden="1" customHeight="1" outlineLevel="1" x14ac:dyDescent="0.2">
      <c r="I59" s="752"/>
      <c r="K59" s="362"/>
      <c r="O59" s="754"/>
      <c r="X59" s="756"/>
      <c r="Z59" s="757"/>
      <c r="AB59" s="362"/>
      <c r="AF59" s="754"/>
      <c r="AM59" s="756"/>
    </row>
    <row r="60" spans="1:42" ht="10.5" hidden="1" customHeight="1" outlineLevel="1" x14ac:dyDescent="0.2">
      <c r="A60" s="758">
        <v>2004</v>
      </c>
      <c r="I60" s="752"/>
      <c r="K60" s="362"/>
      <c r="O60" s="754"/>
      <c r="X60" s="756"/>
      <c r="Z60" s="757"/>
      <c r="AB60" s="362"/>
      <c r="AF60" s="754"/>
      <c r="AM60" s="756"/>
    </row>
    <row r="61" spans="1:42" ht="10.5" hidden="1" customHeight="1" outlineLevel="1" x14ac:dyDescent="0.2">
      <c r="A61" s="239" t="s">
        <v>92</v>
      </c>
      <c r="C61" s="751">
        <f>INDEX('qtrP&amp;L'!$10:$10,MATCH($A60,'qtrP&amp;L'!$6:$6,0)+1)</f>
        <v>14.977326368504929</v>
      </c>
      <c r="D61" s="239" t="s">
        <v>90</v>
      </c>
      <c r="E61" s="751">
        <f>INDEX('qtrP&amp;L'!$10:$10,MATCH($A60,'qtrP&amp;L'!$6:$6,0)+2)</f>
        <v>13.2</v>
      </c>
      <c r="F61" s="239" t="s">
        <v>90</v>
      </c>
      <c r="G61" s="702">
        <f>C61-E61</f>
        <v>1.7773263685049301</v>
      </c>
      <c r="H61" s="239" t="s">
        <v>90</v>
      </c>
      <c r="I61" s="759">
        <f>INDEX(stores!$I$9:$I$115,MATCH(A60,stores!$B$9:$B$115)+1)</f>
        <v>142</v>
      </c>
      <c r="J61" s="774">
        <f>I61-I57</f>
        <v>1</v>
      </c>
      <c r="K61" s="362">
        <f>AVERAGE(I61,I57)</f>
        <v>141.5</v>
      </c>
      <c r="M61" s="702">
        <f>(K61/K54-1)*100</f>
        <v>-1.0489510489510523</v>
      </c>
      <c r="N61" s="239" t="s">
        <v>90</v>
      </c>
      <c r="O61" s="754">
        <f>(G61/M61)*100</f>
        <v>-169.43844713080281</v>
      </c>
      <c r="P61" s="239" t="s">
        <v>90</v>
      </c>
      <c r="R61" s="256">
        <f>INDEX('qtrP&amp;L'!$10:$10,MATCH($A60,'qtrP&amp;L'!$6:$6,0))</f>
        <v>1535.49</v>
      </c>
      <c r="T61" s="256">
        <f>R61-AO61</f>
        <v>1535.49</v>
      </c>
      <c r="V61" s="760">
        <f>IF(ISERROR(T61/K61),"NA",T61/K61)</f>
        <v>10.851519434628976</v>
      </c>
      <c r="X61" s="761">
        <f>IF(ISERROR(V61/V54),"NA",(V61/V54-1)*100)</f>
        <v>16.196167284072118</v>
      </c>
      <c r="Y61" s="239" t="s">
        <v>90</v>
      </c>
      <c r="Z61" s="759">
        <f>INDEX(stores!$I$143:$I$253,MATCH(A60,stores!$B$143:$B$253)+1)</f>
        <v>19.289000000000001</v>
      </c>
      <c r="AB61" s="362">
        <f>AVERAGE(Z61,Z57)</f>
        <v>19.213500000000003</v>
      </c>
      <c r="AD61" s="702">
        <f>(AB61/AB54-1)*100</f>
        <v>3.7417996274399012</v>
      </c>
      <c r="AE61" s="239" t="s">
        <v>90</v>
      </c>
      <c r="AF61" s="754">
        <f>(G61/AD61)*100</f>
        <v>47.499239549632364</v>
      </c>
      <c r="AG61" s="239" t="s">
        <v>90</v>
      </c>
      <c r="AI61" s="256">
        <f>T61</f>
        <v>1535.49</v>
      </c>
      <c r="AK61" s="762">
        <f>IF(ISERROR(AI61/AB61),"NA",AI61/AB61)</f>
        <v>79.917245686626572</v>
      </c>
      <c r="AM61" s="756">
        <f>(AK61/AK54-1)*100</f>
        <v>10.830279387300322</v>
      </c>
      <c r="AN61" s="239" t="s">
        <v>90</v>
      </c>
      <c r="AO61" s="362"/>
      <c r="AP61" s="755"/>
    </row>
    <row r="62" spans="1:42" ht="10.5" hidden="1" customHeight="1" outlineLevel="1" x14ac:dyDescent="0.2">
      <c r="A62" s="239" t="s">
        <v>93</v>
      </c>
      <c r="C62" s="751">
        <f>INDEX('qtrP&amp;L'!$11:$11,MATCH($A60,'qtrP&amp;L'!$6:$6,0)+1)</f>
        <v>9.4509188704616776</v>
      </c>
      <c r="E62" s="751">
        <f>INDEX('qtrP&amp;L'!$11:$11,MATCH($A60,'qtrP&amp;L'!$6:$6,0)+2)</f>
        <v>6.8</v>
      </c>
      <c r="G62" s="702">
        <f>C62-E62</f>
        <v>2.6509188704616777</v>
      </c>
      <c r="I62" s="759">
        <f>INDEX(stores!$I$9:$I$115,MATCH(A60,stores!$B$9:$B$115)+2)</f>
        <v>149</v>
      </c>
      <c r="J62" s="773">
        <f>I62-I61</f>
        <v>7</v>
      </c>
      <c r="K62" s="362">
        <f>AVERAGE(I61:I62)</f>
        <v>145.5</v>
      </c>
      <c r="M62" s="702">
        <f>(K62/K55-1)*100</f>
        <v>1.7482517482517501</v>
      </c>
      <c r="O62" s="754">
        <f>(G62/M62)*100</f>
        <v>151.63255939040781</v>
      </c>
      <c r="R62" s="362">
        <f>INDEX('qtrP&amp;L'!$11:$11,MATCH($A60,'qtrP&amp;L'!$6:$6,0))</f>
        <v>1953.48</v>
      </c>
      <c r="T62" s="362">
        <f>R62-AO62</f>
        <v>1953.48</v>
      </c>
      <c r="V62" s="763">
        <f>IF(ISERROR(T62/K62),"NA",T62/K62)</f>
        <v>13.4259793814433</v>
      </c>
      <c r="X62" s="761">
        <f>IF(ISERROR(V62/V55),"NA",(V62/V55-1)*100)</f>
        <v>7.570318889869565</v>
      </c>
      <c r="Z62" s="759">
        <f>INDEX(stores!$I$143:$I$253,MATCH(A60,stores!$B$143:$B$253)+2)</f>
        <v>19.289000000000001</v>
      </c>
      <c r="AB62" s="362">
        <f>AVERAGE(Z61:Z62)</f>
        <v>19.289000000000001</v>
      </c>
      <c r="AD62" s="702">
        <f>(AB62/AB55-1)*100</f>
        <v>3.6318701982485546</v>
      </c>
      <c r="AF62" s="754">
        <f>(G62/AD62)*100</f>
        <v>72.990462922933361</v>
      </c>
      <c r="AI62" s="362">
        <f>T62</f>
        <v>1953.48</v>
      </c>
      <c r="AK62" s="764">
        <f>IF(ISERROR(AI62/AB62),"NA",AI62/AB62)</f>
        <v>101.27430141531443</v>
      </c>
      <c r="AM62" s="756">
        <f>(AK62/AK55-1)*100</f>
        <v>5.6151149844939185</v>
      </c>
      <c r="AO62" s="362"/>
      <c r="AP62" s="765"/>
    </row>
    <row r="63" spans="1:42" ht="10.5" hidden="1" customHeight="1" outlineLevel="1" x14ac:dyDescent="0.2">
      <c r="A63" s="239" t="s">
        <v>94</v>
      </c>
      <c r="C63" s="751">
        <f>INDEX('qtrP&amp;L'!$12:$12,MATCH($A60,'qtrP&amp;L'!$6:$6,0)+1)</f>
        <v>9.4386487829110735</v>
      </c>
      <c r="E63" s="751">
        <f>INDEX('qtrP&amp;L'!$12:$12,MATCH($A60,'qtrP&amp;L'!$6:$6,0)+2)</f>
        <v>9.4</v>
      </c>
      <c r="G63" s="702">
        <f>C63-E63</f>
        <v>3.8648782911073098E-2</v>
      </c>
      <c r="I63" s="759">
        <f>INDEX(stores!$I$9:$I$115,MATCH(A60,stores!$B$9:$B$115)+3)</f>
        <v>149</v>
      </c>
      <c r="J63" s="773">
        <f>I63-I62</f>
        <v>0</v>
      </c>
      <c r="K63" s="362">
        <f>AVERAGE(I62:I63)</f>
        <v>149</v>
      </c>
      <c r="M63" s="702">
        <f>(K63/K56-1)*100</f>
        <v>2.7586206896551779</v>
      </c>
      <c r="O63" s="754">
        <f>(G63/M63)*100</f>
        <v>1.4010183805263972</v>
      </c>
      <c r="R63" s="362">
        <f>INDEX('qtrP&amp;L'!$12:$12,MATCH($A60,'qtrP&amp;L'!$6:$6,0))</f>
        <v>1542.1</v>
      </c>
      <c r="T63" s="362">
        <f>R63-AO63</f>
        <v>1542.1</v>
      </c>
      <c r="V63" s="763">
        <f>IF(ISERROR(T63/K63),"NA",T63/K63)</f>
        <v>10.3496644295302</v>
      </c>
      <c r="X63" s="761">
        <f>IF(ISERROR(V63/V56),"NA",(V63/V56-1)*100)</f>
        <v>6.5006984800141332</v>
      </c>
      <c r="Z63" s="759">
        <f>INDEX(stores!$I$143:$I$253,MATCH(A60,stores!$B$143:$B$253)+3)</f>
        <v>19.439</v>
      </c>
      <c r="AB63" s="362">
        <f>AVERAGE(Z62:Z63)</f>
        <v>19.364000000000001</v>
      </c>
      <c r="AD63" s="702">
        <f>(AB63/AB56-1)*100</f>
        <v>3.0246601580165677</v>
      </c>
      <c r="AF63" s="754">
        <f>(G63/AD63)*100</f>
        <v>1.2777892686105001</v>
      </c>
      <c r="AI63" s="362">
        <f>T63</f>
        <v>1542.1</v>
      </c>
      <c r="AK63" s="764">
        <f>IF(ISERROR(AI63/AB63),"NA",AI63/AB63)</f>
        <v>79.637471596777516</v>
      </c>
      <c r="AM63" s="756">
        <f>(AK63/AK56-1)*100</f>
        <v>6.2256828753979088</v>
      </c>
      <c r="AO63" s="524"/>
      <c r="AP63" s="765"/>
    </row>
    <row r="64" spans="1:42" ht="10.5" hidden="1" customHeight="1" outlineLevel="1" x14ac:dyDescent="0.2">
      <c r="A64" s="239" t="s">
        <v>95</v>
      </c>
      <c r="C64" s="766">
        <f>INDEX('qtrP&amp;L'!$13:$13,MATCH($A60,'qtrP&amp;L'!$6:$6,0)+1)</f>
        <v>9.438463943309694</v>
      </c>
      <c r="E64" s="766">
        <f>INDEX('qtrP&amp;L'!$13:$13,MATCH($A60,'qtrP&amp;L'!$6:$6,0)+2)</f>
        <v>7.2</v>
      </c>
      <c r="G64" s="767">
        <f>C64-E64</f>
        <v>2.2384639433096938</v>
      </c>
      <c r="I64" s="759">
        <f>INDEX(stores!$I$9:$I$115,MATCH(A60,stores!$B$9:$B$115)+4)</f>
        <v>150</v>
      </c>
      <c r="J64" s="773">
        <f>I64-I63</f>
        <v>1</v>
      </c>
      <c r="K64" s="556">
        <f>AVERAGE(I63:I64)</f>
        <v>149.5</v>
      </c>
      <c r="M64" s="767">
        <f>(K64/K57-1)*100</f>
        <v>3.819444444444442</v>
      </c>
      <c r="O64" s="768">
        <f>(G64/M64)*100</f>
        <v>58.607055970290197</v>
      </c>
      <c r="R64" s="556">
        <f>INDEX('qtrP&amp;L'!$13:$13,MATCH($A60,'qtrP&amp;L'!$6:$6,0))</f>
        <v>2100.3429999999998</v>
      </c>
      <c r="T64" s="556">
        <f>R64-AO64</f>
        <v>2100.3429999999998</v>
      </c>
      <c r="V64" s="769">
        <f>IF(ISERROR(T64/K64),"NA",T64/K64)</f>
        <v>14.049117056856186</v>
      </c>
      <c r="X64" s="770">
        <f>IF(ISERROR(V64/V57),"NA",(V64/V57-1)*100)</f>
        <v>5.4122997179705479</v>
      </c>
      <c r="Z64" s="759">
        <f>INDEX(stores!$I$143:$I$253,MATCH(A60,stores!$B$143:$B$253)+4)</f>
        <v>19.396999999999998</v>
      </c>
      <c r="AB64" s="556">
        <f>AVERAGE(Z63:Z64)</f>
        <v>19.417999999999999</v>
      </c>
      <c r="AD64" s="767">
        <f>(AB64/AB57-1)*100</f>
        <v>1.8889705110714639</v>
      </c>
      <c r="AF64" s="768">
        <f>(G64/AD64)*100</f>
        <v>118.5017939766561</v>
      </c>
      <c r="AI64" s="556">
        <f>T64</f>
        <v>2100.3429999999998</v>
      </c>
      <c r="AK64" s="771">
        <f>IF(ISERROR(AI64/AB64),"NA",AI64/AB64)</f>
        <v>108.16474405191059</v>
      </c>
      <c r="AM64" s="772">
        <f>(AK64/AK57-1)*100</f>
        <v>7.4095296030279201</v>
      </c>
      <c r="AO64" s="526"/>
      <c r="AP64" s="606"/>
    </row>
    <row r="65" spans="1:42" ht="10.5" hidden="1" customHeight="1" outlineLevel="1" x14ac:dyDescent="0.2">
      <c r="A65" s="607" t="s">
        <v>55</v>
      </c>
      <c r="C65" s="751">
        <f>INDEX('qtrP&amp;L'!$14:$14,MATCH($A60,'qtrP&amp;L'!$6:$6,0)+1)</f>
        <v>10.5890265317655</v>
      </c>
      <c r="E65" s="751">
        <f>INDEX('qtrP&amp;L'!$14:$14,MATCH($A60,'qtrP&amp;L'!$6:$6,0)+2)</f>
        <v>8.5</v>
      </c>
      <c r="G65" s="702">
        <f>C65-E65</f>
        <v>2.0890265317654997</v>
      </c>
      <c r="I65" s="752"/>
      <c r="K65" s="362">
        <f>AVERAGE(K61:K64)</f>
        <v>146.375</v>
      </c>
      <c r="M65" s="702">
        <f>(K65/K58-1)*100</f>
        <v>1.826086956521733</v>
      </c>
      <c r="O65" s="754">
        <f>(G65/M65)*100</f>
        <v>114.39907197763488</v>
      </c>
      <c r="R65" s="256">
        <f>INDEX('qtrP&amp;L'!$14:$14,MATCH($A60,'qtrP&amp;L'!$6:$6,0))</f>
        <v>7131.4129999999996</v>
      </c>
      <c r="T65" s="256">
        <f>R65-AO65</f>
        <v>7131.4129999999996</v>
      </c>
      <c r="V65" s="760">
        <f>IF(ISERROR(T65/K65),"NA",T65/K65)</f>
        <v>48.720157130657554</v>
      </c>
      <c r="X65" s="761">
        <f>IF(ISERROR(V65/V58),"NA",(V65/V58-1)*100)</f>
        <v>8.605790359974641</v>
      </c>
      <c r="Z65" s="757"/>
      <c r="AB65" s="362">
        <f>AVERAGE(AB61:AB64)</f>
        <v>19.321125000000002</v>
      </c>
      <c r="AD65" s="702">
        <f>(AB65/AB58-1)*100</f>
        <v>3.0638644031632412</v>
      </c>
      <c r="AF65" s="754">
        <f>(G65/AD65)*100</f>
        <v>68.18273451033653</v>
      </c>
      <c r="AI65" s="256">
        <f>SUM(AI61:AI64)</f>
        <v>7131.4129999999996</v>
      </c>
      <c r="AK65" s="762">
        <f>IF(ISERROR(AI65/AB65),"NA",AI65/AB65)</f>
        <v>369.09926311226695</v>
      </c>
      <c r="AM65" s="756">
        <f>(AK65/AK58-1)*100</f>
        <v>7.3014554346278793</v>
      </c>
      <c r="AO65" s="524"/>
      <c r="AP65" s="755"/>
    </row>
    <row r="66" spans="1:42" ht="10.5" hidden="1" customHeight="1" outlineLevel="1" x14ac:dyDescent="0.2">
      <c r="I66" s="752"/>
      <c r="K66" s="362"/>
      <c r="O66" s="754"/>
      <c r="X66" s="756"/>
      <c r="Z66" s="757"/>
      <c r="AB66" s="362"/>
      <c r="AF66" s="754"/>
      <c r="AM66" s="756"/>
    </row>
    <row r="67" spans="1:42" ht="10.5" hidden="1" customHeight="1" outlineLevel="1" x14ac:dyDescent="0.2">
      <c r="A67" s="758">
        <v>2005</v>
      </c>
      <c r="I67" s="752"/>
      <c r="K67" s="362"/>
      <c r="O67" s="754"/>
      <c r="X67" s="756"/>
      <c r="Z67" s="757"/>
      <c r="AB67" s="362"/>
      <c r="AF67" s="754"/>
      <c r="AM67" s="756"/>
    </row>
    <row r="68" spans="1:42" ht="10.5" hidden="1" customHeight="1" outlineLevel="1" x14ac:dyDescent="0.2">
      <c r="A68" s="239" t="s">
        <v>92</v>
      </c>
      <c r="C68" s="751">
        <f>INDEX('qtrP&amp;L'!$10:$10,MATCH($A67,'qtrP&amp;L'!$6:$6,0)+1)</f>
        <v>7.7489270526021059</v>
      </c>
      <c r="D68" s="239" t="s">
        <v>90</v>
      </c>
      <c r="E68" s="751">
        <f>INDEX('qtrP&amp;L'!$10:$10,MATCH($A67,'qtrP&amp;L'!$6:$6,0)+2)</f>
        <v>6.2</v>
      </c>
      <c r="F68" s="239" t="s">
        <v>90</v>
      </c>
      <c r="G68" s="702">
        <f>C68-E68</f>
        <v>1.5489270526021057</v>
      </c>
      <c r="H68" s="239" t="s">
        <v>90</v>
      </c>
      <c r="I68" s="759">
        <f>INDEX(stores!$I$9:$I$115,MATCH(A67,stores!$B$9:$B$115)+1)</f>
        <v>151</v>
      </c>
      <c r="J68" s="773">
        <f>I68-I64</f>
        <v>1</v>
      </c>
      <c r="K68" s="362">
        <f>AVERAGE(I68,I64)</f>
        <v>150.5</v>
      </c>
      <c r="M68" s="702">
        <f>(K68/K61-1)*100</f>
        <v>6.360424028268552</v>
      </c>
      <c r="N68" s="239" t="s">
        <v>90</v>
      </c>
      <c r="O68" s="754">
        <f>(G68/M68)*100</f>
        <v>24.352575327021992</v>
      </c>
      <c r="P68" s="239" t="s">
        <v>90</v>
      </c>
      <c r="R68" s="256">
        <f>INDEX('qtrP&amp;L'!$10:$10,MATCH($A67,'qtrP&amp;L'!$6:$6,0))</f>
        <v>1654.4739999999999</v>
      </c>
      <c r="T68" s="256">
        <f>R68-AO68</f>
        <v>1654.4739999999999</v>
      </c>
      <c r="V68" s="760">
        <f>IF(ISERROR(T68/K68),"NA",T68/K68)</f>
        <v>10.993182724252492</v>
      </c>
      <c r="X68" s="761">
        <f>IF(ISERROR(V68/V61),"NA",(V68/V61-1)*100)</f>
        <v>1.3054696208850247</v>
      </c>
      <c r="Y68" s="239" t="s">
        <v>90</v>
      </c>
      <c r="Z68" s="759">
        <f>INDEX(stores!$I$143:$I$253,MATCH(A67,stores!$B$143:$B$253)+1)</f>
        <v>19.55</v>
      </c>
      <c r="AB68" s="362">
        <f>AVERAGE(Z68,Z64)</f>
        <v>19.473500000000001</v>
      </c>
      <c r="AD68" s="702">
        <f>(AB68/AB61-1)*100</f>
        <v>1.3532151872381215</v>
      </c>
      <c r="AE68" s="239" t="s">
        <v>90</v>
      </c>
      <c r="AF68" s="754">
        <f>(G68/AD68)*100</f>
        <v>114.46273048142676</v>
      </c>
      <c r="AG68" s="239" t="s">
        <v>90</v>
      </c>
      <c r="AI68" s="256">
        <f>T68</f>
        <v>1654.4739999999999</v>
      </c>
      <c r="AK68" s="762">
        <f>IF(ISERROR(AI68/AB68),"NA",AI68/AB68)</f>
        <v>84.960279353993883</v>
      </c>
      <c r="AM68" s="756">
        <f>(AK68/AK61-1)*100</f>
        <v>6.3103196613434109</v>
      </c>
      <c r="AN68" s="239" t="s">
        <v>90</v>
      </c>
      <c r="AO68" s="362"/>
      <c r="AP68" s="755"/>
    </row>
    <row r="69" spans="1:42" ht="10.5" hidden="1" customHeight="1" outlineLevel="1" x14ac:dyDescent="0.2">
      <c r="A69" s="239" t="s">
        <v>93</v>
      </c>
      <c r="C69" s="751">
        <f>INDEX('qtrP&amp;L'!$11:$11,MATCH($A67,'qtrP&amp;L'!$6:$6,0)+1)</f>
        <v>7.8300264143989162</v>
      </c>
      <c r="E69" s="751">
        <f>INDEX('qtrP&amp;L'!$11:$11,MATCH($A67,'qtrP&amp;L'!$6:$6,0)+2)</f>
        <v>6.2</v>
      </c>
      <c r="G69" s="702">
        <f>C69-E69</f>
        <v>1.630026414398916</v>
      </c>
      <c r="I69" s="759">
        <f>INDEX(stores!$I$9:$I$115,MATCH(A67,stores!$B$9:$B$115)+2)</f>
        <v>150</v>
      </c>
      <c r="J69" s="773">
        <f>I69-I68</f>
        <v>-1</v>
      </c>
      <c r="K69" s="362">
        <f>AVERAGE(I68:I69)</f>
        <v>150.5</v>
      </c>
      <c r="M69" s="702">
        <f>(K69/K62-1)*100</f>
        <v>3.436426116838498</v>
      </c>
      <c r="O69" s="754">
        <f>(G69/M69)*100</f>
        <v>47.433768659008315</v>
      </c>
      <c r="R69" s="362">
        <f>INDEX('qtrP&amp;L'!$11:$11,MATCH($A67,'qtrP&amp;L'!$6:$6,0))</f>
        <v>2106.4380000000001</v>
      </c>
      <c r="T69" s="362">
        <f>R69-AO69</f>
        <v>2106.4380000000001</v>
      </c>
      <c r="V69" s="763">
        <f>IF(ISERROR(T69/K69),"NA",T69/K69)</f>
        <v>13.996265780730898</v>
      </c>
      <c r="X69" s="761">
        <f>IF(ISERROR(V69/V62),"NA",(V69/V62-1)*100)</f>
        <v>4.2476335102660689</v>
      </c>
      <c r="Z69" s="759">
        <f>INDEX(stores!$I$143:$I$253,MATCH(A67,stores!$B$143:$B$253)+2)</f>
        <v>19.579000000000001</v>
      </c>
      <c r="AB69" s="362">
        <f>AVERAGE(Z68:Z69)</f>
        <v>19.564500000000002</v>
      </c>
      <c r="AD69" s="702">
        <f>(AB69/AB62-1)*100</f>
        <v>1.4282751827466411</v>
      </c>
      <c r="AF69" s="754">
        <f>(G69/AD69)*100</f>
        <v>114.12551545314243</v>
      </c>
      <c r="AI69" s="362">
        <f>T69</f>
        <v>2106.4380000000001</v>
      </c>
      <c r="AK69" s="764">
        <f>IF(ISERROR(AI69/AB69),"NA",AI69/AB69)</f>
        <v>107.6663344322625</v>
      </c>
      <c r="AM69" s="756">
        <f>(AK69/AK62-1)*100</f>
        <v>6.3116041558608948</v>
      </c>
      <c r="AO69" s="362"/>
      <c r="AP69" s="765"/>
    </row>
    <row r="70" spans="1:42" ht="10.5" hidden="1" customHeight="1" outlineLevel="1" x14ac:dyDescent="0.2">
      <c r="A70" s="239" t="s">
        <v>94</v>
      </c>
      <c r="C70" s="751">
        <f>INDEX('qtrP&amp;L'!$12:$12,MATCH($A67,'qtrP&amp;L'!$6:$6,0)+1)</f>
        <v>8.0344984112573847</v>
      </c>
      <c r="E70" s="751">
        <f>INDEX('qtrP&amp;L'!$12:$12,MATCH($A67,'qtrP&amp;L'!$6:$6,0)+2)</f>
        <v>5.9</v>
      </c>
      <c r="G70" s="702">
        <f>C70-E70</f>
        <v>2.1344984112573844</v>
      </c>
      <c r="I70" s="759">
        <f>INDEX(stores!$I$9:$I$115,MATCH(A67,stores!$B$9:$B$115)+3)</f>
        <v>154</v>
      </c>
      <c r="J70" s="773">
        <f>I70-I69</f>
        <v>4</v>
      </c>
      <c r="K70" s="362">
        <f>AVERAGE(I69:I70)</f>
        <v>152</v>
      </c>
      <c r="M70" s="702">
        <f>(K70/K63-1)*100</f>
        <v>2.0134228187919545</v>
      </c>
      <c r="O70" s="754">
        <f>(G70/M70)*100</f>
        <v>106.01342109244966</v>
      </c>
      <c r="R70" s="362">
        <f>INDEX('qtrP&amp;L'!$12:$12,MATCH($A67,'qtrP&amp;L'!$6:$6,0))</f>
        <v>1666</v>
      </c>
      <c r="T70" s="362">
        <f>R70-AO70</f>
        <v>1666</v>
      </c>
      <c r="V70" s="763">
        <f>IF(ISERROR(T70/K70),"NA",T70/K70)</f>
        <v>10.960526315789474</v>
      </c>
      <c r="X70" s="761">
        <f>IF(ISERROR(V70/V63),"NA",(V70/V63-1)*100)</f>
        <v>5.9022385741930972</v>
      </c>
      <c r="Z70" s="759">
        <f>INDEX(stores!$I$143:$I$253,MATCH(A67,stores!$B$143:$B$253)+3)</f>
        <v>20.058</v>
      </c>
      <c r="AB70" s="362">
        <f>AVERAGE(Z69:Z70)</f>
        <v>19.8185</v>
      </c>
      <c r="AD70" s="702">
        <f>(AB70/AB63-1)*100</f>
        <v>2.3471390208634535</v>
      </c>
      <c r="AF70" s="754">
        <f>(G70/AD70)*100</f>
        <v>90.940433961689919</v>
      </c>
      <c r="AI70" s="362">
        <f>T70</f>
        <v>1666</v>
      </c>
      <c r="AK70" s="764">
        <f>IF(ISERROR(AI70/AB70),"NA",AI70/AB70)</f>
        <v>84.06287055024346</v>
      </c>
      <c r="AM70" s="756">
        <f>(AK70/AK63-1)*100</f>
        <v>5.5569305061224705</v>
      </c>
      <c r="AO70" s="524"/>
      <c r="AP70" s="765"/>
    </row>
    <row r="71" spans="1:42" ht="10.5" hidden="1" customHeight="1" outlineLevel="1" x14ac:dyDescent="0.2">
      <c r="A71" s="239" t="s">
        <v>95</v>
      </c>
      <c r="C71" s="766">
        <f>INDEX('qtrP&amp;L'!$13:$13,MATCH($A67,'qtrP&amp;L'!$6:$6,0)+1)</f>
        <v>9.3011950905161669</v>
      </c>
      <c r="E71" s="766">
        <f>INDEX('qtrP&amp;L'!$13:$13,MATCH($A67,'qtrP&amp;L'!$6:$6,0)+2)</f>
        <v>5.8</v>
      </c>
      <c r="G71" s="767">
        <f>C71-E71</f>
        <v>3.5011950905161671</v>
      </c>
      <c r="I71" s="759">
        <f>INDEX(stores!$I$9:$I$115,MATCH(A67,stores!$B$9:$B$115)+4)</f>
        <v>155</v>
      </c>
      <c r="J71" s="773">
        <f>I71-I70</f>
        <v>1</v>
      </c>
      <c r="K71" s="556">
        <f>AVERAGE(I70:I71)</f>
        <v>154.5</v>
      </c>
      <c r="M71" s="767">
        <f>(K71/K64-1)*100</f>
        <v>3.3444816053511683</v>
      </c>
      <c r="O71" s="768">
        <f>(G71/M71)*100</f>
        <v>104.68573320643347</v>
      </c>
      <c r="R71" s="556">
        <f>INDEX('qtrP&amp;L'!$13:$13,MATCH($A67,'qtrP&amp;L'!$6:$6,0))</f>
        <v>2295.6999999999998</v>
      </c>
      <c r="T71" s="556">
        <f>R71-AO71</f>
        <v>2295.6999999999998</v>
      </c>
      <c r="V71" s="769">
        <f>IF(ISERROR(T71/K71),"NA",T71/K71)</f>
        <v>14.858899676375403</v>
      </c>
      <c r="X71" s="770">
        <f>IF(ISERROR(V71/V64),"NA",(V71/V64-1)*100)</f>
        <v>5.7639395859687248</v>
      </c>
      <c r="Z71" s="759">
        <f>INDEX(stores!$I$143:$I$253,MATCH(A67,stores!$B$143:$B$253)+4)</f>
        <v>20.07</v>
      </c>
      <c r="AB71" s="556">
        <f>AVERAGE(Z70:Z71)</f>
        <v>20.064</v>
      </c>
      <c r="AD71" s="767">
        <f>(AB71/AB64-1)*100</f>
        <v>3.3268101761252389</v>
      </c>
      <c r="AF71" s="768">
        <f>(G71/AD71)*100</f>
        <v>105.24180536786849</v>
      </c>
      <c r="AI71" s="556">
        <f>T71</f>
        <v>2295.6999999999998</v>
      </c>
      <c r="AK71" s="771">
        <f>IF(ISERROR(AI71/AB71),"NA",AI71/AB71)</f>
        <v>114.41885964912279</v>
      </c>
      <c r="AM71" s="772">
        <f>(AK71/AK64-1)*100</f>
        <v>5.7820278243442491</v>
      </c>
      <c r="AO71" s="526"/>
      <c r="AP71" s="606"/>
    </row>
    <row r="72" spans="1:42" ht="10.5" hidden="1" customHeight="1" outlineLevel="1" x14ac:dyDescent="0.2">
      <c r="A72" s="607" t="s">
        <v>55</v>
      </c>
      <c r="C72" s="751">
        <f>INDEX('qtrP&amp;L'!$14:$14,MATCH($A67,'qtrP&amp;L'!$6:$6,0)+1)</f>
        <v>8.2900681814389365</v>
      </c>
      <c r="E72" s="751">
        <f>INDEX('qtrP&amp;L'!$14:$14,MATCH($A67,'qtrP&amp;L'!$6:$6,0)+2)</f>
        <v>6</v>
      </c>
      <c r="G72" s="702">
        <f>C72-E72</f>
        <v>2.2900681814389365</v>
      </c>
      <c r="I72" s="752"/>
      <c r="K72" s="362">
        <f>AVERAGE(K68:K71)</f>
        <v>151.875</v>
      </c>
      <c r="M72" s="702">
        <f>(K72/K65-1)*100</f>
        <v>3.7574722459436272</v>
      </c>
      <c r="O72" s="754">
        <f>(G72/M72)*100</f>
        <v>60.947041828750045</v>
      </c>
      <c r="R72" s="256">
        <f>INDEX('qtrP&amp;L'!$14:$14,MATCH($A67,'qtrP&amp;L'!$6:$6,0))</f>
        <v>7722.6120000000001</v>
      </c>
      <c r="T72" s="256">
        <f>R72-AO72</f>
        <v>7722.6120000000001</v>
      </c>
      <c r="V72" s="760">
        <f>IF(ISERROR(T72/K72),"NA",T72/K72)</f>
        <v>50.848474074074076</v>
      </c>
      <c r="X72" s="761">
        <f>IF(ISERROR(V72/V65),"NA",(V72/V65-1)*100)</f>
        <v>4.3684525435925936</v>
      </c>
      <c r="Z72" s="757"/>
      <c r="AB72" s="362">
        <f>AVERAGE(AB68:AB71)</f>
        <v>19.730125000000001</v>
      </c>
      <c r="AD72" s="702">
        <f>(AB72/AB65-1)*100</f>
        <v>2.1168539616611248</v>
      </c>
      <c r="AF72" s="754">
        <f>(G72/AD72)*100</f>
        <v>108.18262491957111</v>
      </c>
      <c r="AI72" s="256">
        <f>SUM(AI68:AI71)</f>
        <v>7722.6120000000001</v>
      </c>
      <c r="AK72" s="762">
        <f>IF(ISERROR(AI72/AB72),"NA",AI72/AB72)</f>
        <v>391.41221862507206</v>
      </c>
      <c r="AM72" s="756">
        <f>(AK72/AK65-1)*100</f>
        <v>6.045245207118799</v>
      </c>
      <c r="AO72" s="524"/>
      <c r="AP72" s="755"/>
    </row>
    <row r="73" spans="1:42" ht="10.5" hidden="1" customHeight="1" outlineLevel="1" x14ac:dyDescent="0.2">
      <c r="I73" s="752"/>
      <c r="K73" s="362"/>
      <c r="O73" s="754"/>
      <c r="X73" s="756"/>
      <c r="Z73" s="757"/>
      <c r="AB73" s="362"/>
      <c r="AF73" s="754"/>
      <c r="AM73" s="756"/>
    </row>
    <row r="74" spans="1:42" ht="10.5" hidden="1" customHeight="1" outlineLevel="1" x14ac:dyDescent="0.2">
      <c r="A74" s="758">
        <v>2006</v>
      </c>
      <c r="I74" s="752"/>
      <c r="K74" s="362"/>
      <c r="O74" s="754"/>
      <c r="X74" s="756"/>
      <c r="Z74" s="757"/>
      <c r="AB74" s="362"/>
      <c r="AF74" s="754"/>
      <c r="AM74" s="756"/>
    </row>
    <row r="75" spans="1:42" ht="10.5" hidden="1" customHeight="1" outlineLevel="1" x14ac:dyDescent="0.2">
      <c r="A75" s="239" t="s">
        <v>92</v>
      </c>
      <c r="C75" s="751">
        <f>INDEX('qtrP&amp;L'!$10:$10,MATCH($A74,'qtrP&amp;L'!$6:$6,0)+1)</f>
        <v>8.0236377241346801</v>
      </c>
      <c r="D75" s="239" t="s">
        <v>90</v>
      </c>
      <c r="E75" s="751">
        <f>INDEX('qtrP&amp;L'!$10:$10,MATCH($A74,'qtrP&amp;L'!$6:$6,0)+2)</f>
        <v>5.4</v>
      </c>
      <c r="F75" s="239" t="s">
        <v>90</v>
      </c>
      <c r="G75" s="702">
        <f>C75-E75</f>
        <v>2.6236377241346798</v>
      </c>
      <c r="H75" s="239" t="s">
        <v>90</v>
      </c>
      <c r="I75" s="759">
        <f>INDEX(stores!$I$9:$I$115,MATCH(A74,stores!$B$9:$B$115)+1)</f>
        <v>156</v>
      </c>
      <c r="J75" s="773">
        <f>I75-I71</f>
        <v>1</v>
      </c>
      <c r="K75" s="362">
        <f>AVERAGE(I75,I71)</f>
        <v>155.5</v>
      </c>
      <c r="M75" s="702">
        <f>(K75/K68-1)*100</f>
        <v>3.3222591362126241</v>
      </c>
      <c r="N75" s="239" t="s">
        <v>90</v>
      </c>
      <c r="O75" s="754">
        <f>(G75/M75)*100</f>
        <v>78.971495496453869</v>
      </c>
      <c r="P75" s="239" t="s">
        <v>90</v>
      </c>
      <c r="R75" s="256">
        <f>INDEX('qtrP&amp;L'!$10:$10,MATCH($A74,'qtrP&amp;L'!$6:$6,0))</f>
        <v>1787.223</v>
      </c>
      <c r="T75" s="256">
        <f>R75-AO75</f>
        <v>1787.223</v>
      </c>
      <c r="V75" s="760">
        <f>IF(ISERROR(T75/K75),"NA",T75/K75)</f>
        <v>11.493395498392283</v>
      </c>
      <c r="X75" s="761">
        <f>IF(ISERROR(V75/V68),"NA",(V75/V68-1)*100)</f>
        <v>4.55020885840689</v>
      </c>
      <c r="Y75" s="239" t="s">
        <v>90</v>
      </c>
      <c r="Z75" s="759">
        <f>INDEX(stores!$I$143:$I$253,MATCH(A74,stores!$B$143:$B$253)+1)</f>
        <v>20.07</v>
      </c>
      <c r="AB75" s="362">
        <f>AVERAGE(Z75,Z71)</f>
        <v>20.07</v>
      </c>
      <c r="AD75" s="702">
        <f>(AB75/AB68-1)*100</f>
        <v>3.0631370837291616</v>
      </c>
      <c r="AE75" s="239" t="s">
        <v>90</v>
      </c>
      <c r="AF75" s="754">
        <f>(G75/AD75)*100</f>
        <v>85.651985282375236</v>
      </c>
      <c r="AG75" s="239" t="s">
        <v>90</v>
      </c>
      <c r="AI75" s="256">
        <f>T75</f>
        <v>1787.223</v>
      </c>
      <c r="AK75" s="762">
        <f>IF(ISERROR(AI75/AB75),"NA",AI75/AB75)</f>
        <v>89.049476831091184</v>
      </c>
      <c r="AM75" s="756">
        <f>(AK75/AK68-1)*100</f>
        <v>4.8130697170372105</v>
      </c>
      <c r="AN75" s="239" t="s">
        <v>90</v>
      </c>
      <c r="AO75" s="362"/>
      <c r="AP75" s="755"/>
    </row>
    <row r="76" spans="1:42" ht="10.5" hidden="1" customHeight="1" outlineLevel="1" x14ac:dyDescent="0.2">
      <c r="A76" s="239" t="s">
        <v>93</v>
      </c>
      <c r="C76" s="751">
        <f>INDEX('qtrP&amp;L'!$11:$11,MATCH($A74,'qtrP&amp;L'!$6:$6,0)+1)</f>
        <v>7.7870794203294791</v>
      </c>
      <c r="E76" s="751">
        <f>INDEX('qtrP&amp;L'!$11:$11,MATCH($A74,'qtrP&amp;L'!$6:$6,0)+2)</f>
        <v>5.7</v>
      </c>
      <c r="G76" s="702">
        <f>C76-E76</f>
        <v>2.0870794203294789</v>
      </c>
      <c r="I76" s="759">
        <f>INDEX(stores!$I$9:$I$115,MATCH(A74,stores!$B$9:$B$115)+2)</f>
        <v>156</v>
      </c>
      <c r="J76" s="773">
        <f>I76-I75</f>
        <v>0</v>
      </c>
      <c r="K76" s="362">
        <f>AVERAGE(I75:I76)</f>
        <v>156</v>
      </c>
      <c r="M76" s="702">
        <f>(K76/K69-1)*100</f>
        <v>3.6544850498338777</v>
      </c>
      <c r="O76" s="754">
        <f>(G76/M76)*100</f>
        <v>57.110082319924985</v>
      </c>
      <c r="R76" s="362">
        <f>INDEX('qtrP&amp;L'!$11:$11,MATCH($A74,'qtrP&amp;L'!$6:$6,0))</f>
        <v>2270.4679999999998</v>
      </c>
      <c r="T76" s="362">
        <f>R76-AO76</f>
        <v>2270.4679999999998</v>
      </c>
      <c r="V76" s="763">
        <f>IF(ISERROR(T76/K76),"NA",T76/K76)</f>
        <v>14.554282051282049</v>
      </c>
      <c r="X76" s="761">
        <f>IF(ISERROR(V76/V69),"NA",(V76/V69-1)*100)</f>
        <v>3.9868939279460447</v>
      </c>
      <c r="Z76" s="759">
        <f>INDEX(stores!$I$143:$I$253,MATCH(A74,stores!$B$143:$B$253)+2)</f>
        <v>20.216999999999999</v>
      </c>
      <c r="AB76" s="362">
        <f>AVERAGE(Z75:Z76)</f>
        <v>20.1435</v>
      </c>
      <c r="AD76" s="702">
        <f>(AB76/AB69-1)*100</f>
        <v>2.9594418462010053</v>
      </c>
      <c r="AF76" s="754">
        <f>(G76/AD76)*100</f>
        <v>70.52273802942382</v>
      </c>
      <c r="AI76" s="362">
        <f>T76</f>
        <v>2270.4679999999998</v>
      </c>
      <c r="AK76" s="764">
        <f>IF(ISERROR(AI76/AB76),"NA",AI76/AB76)</f>
        <v>112.7146722267729</v>
      </c>
      <c r="AM76" s="756">
        <f>(AK76/AK69-1)*100</f>
        <v>4.6888731014489204</v>
      </c>
      <c r="AO76" s="362"/>
      <c r="AP76" s="765"/>
    </row>
    <row r="77" spans="1:42" ht="10.5" hidden="1" customHeight="1" outlineLevel="1" x14ac:dyDescent="0.2">
      <c r="A77" s="239" t="s">
        <v>94</v>
      </c>
      <c r="C77" s="751">
        <f>INDEX('qtrP&amp;L'!$12:$12,MATCH($A74,'qtrP&amp;L'!$6:$6,0)+1)</f>
        <v>12.371128451380553</v>
      </c>
      <c r="E77" s="751">
        <f>INDEX('qtrP&amp;L'!$12:$12,MATCH($A74,'qtrP&amp;L'!$6:$6,0)+2)</f>
        <v>10.7</v>
      </c>
      <c r="G77" s="702">
        <f>C77-E77</f>
        <v>1.6711284513805538</v>
      </c>
      <c r="I77" s="759">
        <f>INDEX(stores!$I$9:$I$115,MATCH(A74,stores!$B$9:$B$115)+3)</f>
        <v>156</v>
      </c>
      <c r="J77" s="773">
        <f>I77-I76</f>
        <v>0</v>
      </c>
      <c r="K77" s="362">
        <f>AVERAGE(I76:I77)</f>
        <v>156</v>
      </c>
      <c r="M77" s="702">
        <f>(K77/K70-1)*100</f>
        <v>2.6315789473684292</v>
      </c>
      <c r="O77" s="754">
        <f>(G77/M77)*100</f>
        <v>63.502881152460844</v>
      </c>
      <c r="R77" s="362">
        <f>INDEX('qtrP&amp;L'!$12:$12,MATCH($A74,'qtrP&amp;L'!$6:$6,0))</f>
        <v>1872.1030000000001</v>
      </c>
      <c r="T77" s="362">
        <f>R77-AO77</f>
        <v>1872.1030000000001</v>
      </c>
      <c r="V77" s="763">
        <f>IF(ISERROR(T77/K77),"NA",T77/K77)</f>
        <v>12.000660256410256</v>
      </c>
      <c r="X77" s="761">
        <f>IF(ISERROR(V77/V70),"NA",(V77/V70-1)*100)</f>
        <v>9.4898174654477039</v>
      </c>
      <c r="Z77" s="759">
        <f>INDEX(stores!$I$143:$I$253,MATCH(A74,stores!$B$143:$B$253)+3)</f>
        <v>20.277999999999999</v>
      </c>
      <c r="AB77" s="362">
        <f>AVERAGE(Z76:Z77)</f>
        <v>20.247499999999999</v>
      </c>
      <c r="AD77" s="702">
        <f>(AB77/AB70-1)*100</f>
        <v>2.1646441456214971</v>
      </c>
      <c r="AF77" s="754">
        <f>(G77/AD77)*100</f>
        <v>77.201070428171988</v>
      </c>
      <c r="AI77" s="362">
        <f>T77</f>
        <v>1872.1030000000001</v>
      </c>
      <c r="AK77" s="764">
        <f>IF(ISERROR(AI77/AB77),"NA",AI77/AB77)</f>
        <v>92.460945795777263</v>
      </c>
      <c r="AM77" s="756">
        <f>(AK77/AK70-1)*100</f>
        <v>9.990231347755806</v>
      </c>
      <c r="AO77" s="524"/>
      <c r="AP77" s="765"/>
    </row>
    <row r="78" spans="1:42" ht="10.5" hidden="1" customHeight="1" outlineLevel="1" x14ac:dyDescent="0.2">
      <c r="A78" s="239" t="s">
        <v>95</v>
      </c>
      <c r="C78" s="766">
        <f>INDEX('qtrP&amp;L'!$13:$13,MATCH($A74,'qtrP&amp;L'!$6:$6,0)+1)</f>
        <v>14.60138519841443</v>
      </c>
      <c r="E78" s="766">
        <f>INDEX('qtrP&amp;L'!$13:$13,MATCH($A74,'qtrP&amp;L'!$6:$6,0)+2)</f>
        <v>8.3000000000000007</v>
      </c>
      <c r="G78" s="767">
        <f>C78-E78</f>
        <v>6.3013851984144296</v>
      </c>
      <c r="I78" s="759">
        <f>INDEX(stores!$I$9:$I$115,MATCH(A74,stores!$B$9:$B$115)+4)</f>
        <v>155</v>
      </c>
      <c r="J78" s="773">
        <f>I78-I77</f>
        <v>-1</v>
      </c>
      <c r="K78" s="556">
        <f>AVERAGE(I77:I78)</f>
        <v>155.5</v>
      </c>
      <c r="M78" s="767">
        <f>(K78/K71-1)*100</f>
        <v>0.64724919093850364</v>
      </c>
      <c r="O78" s="768">
        <f>(G78/M78)*100</f>
        <v>973.56401315504093</v>
      </c>
      <c r="R78" s="556">
        <f>INDEX('qtrP&amp;L'!$13:$13,MATCH($A74,'qtrP&amp;L'!$6:$6,0))</f>
        <v>2630.904</v>
      </c>
      <c r="T78" s="556">
        <f>R78-AO78</f>
        <v>2630.904</v>
      </c>
      <c r="V78" s="769">
        <f>IF(ISERROR(T78/K78),"NA",T78/K78)</f>
        <v>16.918996784565916</v>
      </c>
      <c r="X78" s="770">
        <f>IF(ISERROR(V78/V71),"NA",(V78/V71-1)*100)</f>
        <v>13.864398798424627</v>
      </c>
      <c r="Z78" s="759">
        <f>INDEX(stores!$I$143:$I$253,MATCH(A74,stores!$B$143:$B$253)+4)</f>
        <v>20.170000000000002</v>
      </c>
      <c r="AB78" s="556">
        <f>AVERAGE(Z77:Z78)</f>
        <v>20.224</v>
      </c>
      <c r="AD78" s="767">
        <f>(AB78/AB71-1)*100</f>
        <v>0.79744816586921896</v>
      </c>
      <c r="AF78" s="768">
        <f>(G78/AD78)*100</f>
        <v>790.19370388116897</v>
      </c>
      <c r="AI78" s="556">
        <f>T78</f>
        <v>2630.904</v>
      </c>
      <c r="AK78" s="771">
        <f>IF(ISERROR(AI78/AB78),"NA",AI78/AB78)</f>
        <v>130.08821202531647</v>
      </c>
      <c r="AM78" s="772">
        <f>(AK78/AK71-1)*100</f>
        <v>13.694728669945988</v>
      </c>
      <c r="AO78" s="526"/>
      <c r="AP78" s="606"/>
    </row>
    <row r="79" spans="1:42" ht="10.5" hidden="1" customHeight="1" outlineLevel="1" x14ac:dyDescent="0.2">
      <c r="A79" s="607" t="s">
        <v>55</v>
      </c>
      <c r="C79" s="751">
        <f>INDEX('qtrP&amp;L'!$14:$14,MATCH($A74,'qtrP&amp;L'!$6:$6,0)+1)</f>
        <v>10.852364459071628</v>
      </c>
      <c r="E79" s="751">
        <f>INDEX('qtrP&amp;L'!$14:$14,MATCH($A74,'qtrP&amp;L'!$6:$6,0)+2)</f>
        <v>7.5</v>
      </c>
      <c r="G79" s="702">
        <f>C79-E79</f>
        <v>3.3523644590716284</v>
      </c>
      <c r="I79" s="752"/>
      <c r="K79" s="362">
        <f>AVERAGE(K75:K78)</f>
        <v>155.75</v>
      </c>
      <c r="M79" s="702">
        <f>(K79/K72-1)*100</f>
        <v>2.551440329218102</v>
      </c>
      <c r="O79" s="754">
        <f>(G79/M79)*100</f>
        <v>131.39105863780762</v>
      </c>
      <c r="R79" s="256">
        <f>INDEX('qtrP&amp;L'!$14:$14,MATCH($A74,'qtrP&amp;L'!$6:$6,0))</f>
        <v>8560.6980000000003</v>
      </c>
      <c r="T79" s="256">
        <f>R79-AO79</f>
        <v>8560.6980000000003</v>
      </c>
      <c r="V79" s="760">
        <f>IF(ISERROR(T79/K79),"NA",T79/K79)</f>
        <v>54.96435313001605</v>
      </c>
      <c r="X79" s="761">
        <f>IF(ISERROR(V79/V72),"NA",(V79/V72-1)*100)</f>
        <v>8.0944003352905405</v>
      </c>
      <c r="Z79" s="757"/>
      <c r="AB79" s="362">
        <f>AVERAGE(AB75:AB78)</f>
        <v>20.171250000000001</v>
      </c>
      <c r="AD79" s="702">
        <f>(AB79/AB72-1)*100</f>
        <v>2.2357942486426197</v>
      </c>
      <c r="AF79" s="754">
        <f>(G79/AD79)*100</f>
        <v>149.94065134154869</v>
      </c>
      <c r="AI79" s="256">
        <f>SUM(AI75:AI78)</f>
        <v>8560.6980000000003</v>
      </c>
      <c r="AK79" s="762">
        <f>IF(ISERROR(AI79/AB79),"NA",AI79/AB79)</f>
        <v>424.40096672243914</v>
      </c>
      <c r="AM79" s="756">
        <f>(AK79/AK72-1)*100</f>
        <v>8.4281344647971999</v>
      </c>
      <c r="AO79" s="524"/>
      <c r="AP79" s="755"/>
    </row>
    <row r="80" spans="1:42" ht="10.5" hidden="1" customHeight="1" outlineLevel="1" x14ac:dyDescent="0.2">
      <c r="I80" s="752"/>
      <c r="K80" s="362"/>
      <c r="O80" s="754"/>
      <c r="X80" s="756"/>
      <c r="Z80" s="757"/>
      <c r="AB80" s="362"/>
      <c r="AF80" s="754"/>
      <c r="AM80" s="756"/>
    </row>
    <row r="81" spans="1:42" ht="10.5" hidden="1" customHeight="1" outlineLevel="1" x14ac:dyDescent="0.2">
      <c r="A81" s="758">
        <v>2007</v>
      </c>
      <c r="I81" s="752"/>
      <c r="K81" s="362"/>
      <c r="O81" s="754"/>
      <c r="X81" s="756"/>
      <c r="Z81" s="757"/>
      <c r="AB81" s="362"/>
      <c r="AF81" s="754"/>
      <c r="AM81" s="756"/>
    </row>
    <row r="82" spans="1:42" ht="10.5" hidden="1" customHeight="1" outlineLevel="1" x14ac:dyDescent="0.2">
      <c r="A82" s="239" t="s">
        <v>92</v>
      </c>
      <c r="C82" s="751">
        <f>INDEX('qtrP&amp;L'!$10:$10,MATCH($A81,'qtrP&amp;L'!$6:$6,0)+1)</f>
        <v>9.3244659452122125</v>
      </c>
      <c r="D82" s="239" t="s">
        <v>90</v>
      </c>
      <c r="E82" s="751">
        <f>INDEX('qtrP&amp;L'!$10:$10,MATCH($A81,'qtrP&amp;L'!$6:$6,0)+2)</f>
        <v>9.5</v>
      </c>
      <c r="F82" s="239" t="s">
        <v>90</v>
      </c>
      <c r="G82" s="702">
        <f>C82-E82</f>
        <v>-0.1755340547877875</v>
      </c>
      <c r="H82" s="239" t="s">
        <v>90</v>
      </c>
      <c r="I82" s="759">
        <f>INDEX(stores!$I$9:$I$115,MATCH(A81,stores!$B$9:$B$115)+1)</f>
        <v>155</v>
      </c>
      <c r="J82" s="773">
        <f>I82-I57</f>
        <v>14</v>
      </c>
      <c r="K82" s="362">
        <f>AVERAGE(I82,I57)</f>
        <v>148</v>
      </c>
      <c r="M82" s="702">
        <f>(K82/K54-1)*100</f>
        <v>3.4965034965035002</v>
      </c>
      <c r="N82" s="239" t="s">
        <v>90</v>
      </c>
      <c r="O82" s="754">
        <f>(G82/M82)*100</f>
        <v>-5.0202739669307173</v>
      </c>
      <c r="P82" s="239" t="s">
        <v>90</v>
      </c>
      <c r="R82" s="256">
        <f>INDEX('qtrP&amp;L'!$10:$10,MATCH($A81,'qtrP&amp;L'!$6:$6,0))</f>
        <v>1953.8720000000001</v>
      </c>
      <c r="T82" s="256">
        <f>R82-AO82</f>
        <v>1953.8720000000001</v>
      </c>
      <c r="V82" s="760">
        <f>IF(ISERROR(T82/K82),"NA",T82/K82)</f>
        <v>13.201837837837838</v>
      </c>
      <c r="X82" s="761">
        <f>IF(ISERROR(V82/V75),"NA",(V82/V75-1)*100)</f>
        <v>14.864557124868227</v>
      </c>
      <c r="Y82" s="239" t="s">
        <v>90</v>
      </c>
      <c r="Z82" s="759">
        <f>INDEX(stores!$I$143:$I$253,MATCH(A81,stores!$B$143:$B$253)+1)</f>
        <v>20.170000000000002</v>
      </c>
      <c r="AB82" s="362">
        <f>AVERAGE(Z82,Z57)</f>
        <v>19.654000000000003</v>
      </c>
      <c r="AD82" s="702">
        <f>(AB82/AB54-1)*100</f>
        <v>6.1202451337707187</v>
      </c>
      <c r="AE82" s="239" t="s">
        <v>90</v>
      </c>
      <c r="AF82" s="754">
        <f>(G82/AD82)*100</f>
        <v>-2.8680886296402304</v>
      </c>
      <c r="AG82" s="239" t="s">
        <v>90</v>
      </c>
      <c r="AI82" s="256">
        <f>T82</f>
        <v>1953.8720000000001</v>
      </c>
      <c r="AK82" s="762">
        <f>IF(ISERROR(AI82/AB82),"NA",AI82/AB82)</f>
        <v>99.413452732268226</v>
      </c>
      <c r="AM82" s="756">
        <f>(AK82/AK54-1)*100</f>
        <v>37.867873780054829</v>
      </c>
      <c r="AN82" s="239" t="s">
        <v>90</v>
      </c>
      <c r="AO82" s="362"/>
      <c r="AP82" s="755"/>
    </row>
    <row r="83" spans="1:42" ht="10.5" hidden="1" customHeight="1" outlineLevel="1" x14ac:dyDescent="0.2">
      <c r="A83" s="239" t="s">
        <v>93</v>
      </c>
      <c r="C83" s="751">
        <f>INDEX('qtrP&amp;L'!$11:$11,MATCH($A81,'qtrP&amp;L'!$6:$6,0)+1)</f>
        <v>5.2425314957092572</v>
      </c>
      <c r="E83" s="751">
        <f>INDEX('qtrP&amp;L'!$11:$11,MATCH($A81,'qtrP&amp;L'!$6:$6,0)+2)</f>
        <v>5.9</v>
      </c>
      <c r="G83" s="702">
        <f>C83-E83</f>
        <v>-0.65746850429074311</v>
      </c>
      <c r="I83" s="759">
        <f>INDEX(stores!$I$9:$I$115,MATCH(A81,stores!$B$9:$B$115)+2)</f>
        <v>157</v>
      </c>
      <c r="J83" s="773">
        <f>I83-I82</f>
        <v>2</v>
      </c>
      <c r="K83" s="362">
        <f>AVERAGE(I82:I83)</f>
        <v>156</v>
      </c>
      <c r="M83" s="702">
        <f>(K83/K55-1)*100</f>
        <v>9.0909090909090828</v>
      </c>
      <c r="O83" s="754">
        <f>(G83/M83)*100</f>
        <v>-7.2321535471981804</v>
      </c>
      <c r="R83" s="362">
        <f>INDEX('qtrP&amp;L'!$11:$11,MATCH($A81,'qtrP&amp;L'!$6:$6,0))</f>
        <v>2389.498</v>
      </c>
      <c r="T83" s="362">
        <f>R83-AO83</f>
        <v>2389.498</v>
      </c>
      <c r="V83" s="763">
        <f>IF(ISERROR(T83/K83),"NA",T83/K83)</f>
        <v>15.317294871794871</v>
      </c>
      <c r="X83" s="761">
        <f>IF(ISERROR(V83/V76),"NA",(V83/V76-1)*100)</f>
        <v>5.2425314957092572</v>
      </c>
      <c r="Z83" s="759">
        <f>INDEX(stores!$I$143:$I$253,MATCH(A81,stores!$B$143:$B$253)+2)</f>
        <v>20.190999999999999</v>
      </c>
      <c r="AB83" s="362">
        <f>AVERAGE(Z82:Z83)</f>
        <v>20.180500000000002</v>
      </c>
      <c r="AD83" s="702">
        <f>(AB83/AB55-1)*100</f>
        <v>8.4215333369150649</v>
      </c>
      <c r="AF83" s="754">
        <f>(G83/AD83)*100</f>
        <v>-7.8069928359576348</v>
      </c>
      <c r="AI83" s="362">
        <f>T83</f>
        <v>2389.498</v>
      </c>
      <c r="AK83" s="764">
        <f>IF(ISERROR(AI83/AB83),"NA",AI83/AB83)</f>
        <v>118.40628329327815</v>
      </c>
      <c r="AM83" s="756">
        <f>(AK83/AK55-1)*100</f>
        <v>23.481406932865667</v>
      </c>
      <c r="AO83" s="362"/>
      <c r="AP83" s="765"/>
    </row>
    <row r="84" spans="1:42" ht="10.5" hidden="1" customHeight="1" outlineLevel="1" x14ac:dyDescent="0.2">
      <c r="A84" s="239" t="s">
        <v>94</v>
      </c>
      <c r="C84" s="751">
        <f>INDEX('qtrP&amp;L'!$12:$12,MATCH($A81,'qtrP&amp;L'!$6:$6,0)+1)</f>
        <v>5.2529695214419192</v>
      </c>
      <c r="E84" s="751">
        <f>INDEX('qtrP&amp;L'!$12:$12,MATCH($A81,'qtrP&amp;L'!$6:$6,0)+2)</f>
        <v>2.2000000000000002</v>
      </c>
      <c r="G84" s="702">
        <f>C84-E84</f>
        <v>3.052969521441919</v>
      </c>
      <c r="I84" s="759">
        <f>INDEX(stores!$I$9:$I$115,MATCH(A81,stores!$B$9:$B$115)+3)</f>
        <v>157</v>
      </c>
      <c r="J84" s="773">
        <f>I84-I83</f>
        <v>0</v>
      </c>
      <c r="K84" s="362">
        <f>AVERAGE(I83:I84)</f>
        <v>157</v>
      </c>
      <c r="M84" s="702">
        <f>(K84/K56-1)*100</f>
        <v>8.2758620689655125</v>
      </c>
      <c r="O84" s="754">
        <f>(G84/M84)*100</f>
        <v>36.890048384089873</v>
      </c>
      <c r="R84" s="362">
        <f>INDEX('qtrP&amp;L'!$12:$12,MATCH($A81,'qtrP&amp;L'!$6:$6,0))</f>
        <v>1970.444</v>
      </c>
      <c r="T84" s="362">
        <f>R84-AO84</f>
        <v>1970.444</v>
      </c>
      <c r="V84" s="763">
        <f>IF(ISERROR(T84/K84),"NA",T84/K84)</f>
        <v>12.55059872611465</v>
      </c>
      <c r="X84" s="761">
        <f>IF(ISERROR(V84/V77),"NA",(V84/V77-1)*100)</f>
        <v>4.5825684416875179</v>
      </c>
      <c r="Z84" s="759">
        <f>INDEX(stores!$I$143:$I$253,MATCH(A81,stores!$B$143:$B$253)+3)</f>
        <v>20.542000000000002</v>
      </c>
      <c r="AB84" s="362">
        <f>AVERAGE(Z83:Z84)</f>
        <v>20.366500000000002</v>
      </c>
      <c r="AD84" s="702">
        <f>(AB84/AB56-1)*100</f>
        <v>8.3583836556622835</v>
      </c>
      <c r="AF84" s="754">
        <f>(G84/AD84)*100</f>
        <v>36.525836180942981</v>
      </c>
      <c r="AI84" s="362">
        <f>T84</f>
        <v>1970.444</v>
      </c>
      <c r="AK84" s="764">
        <f>IF(ISERROR(AI84/AB84),"NA",AI84/AB84)</f>
        <v>96.749269633957709</v>
      </c>
      <c r="AM84" s="756">
        <f>(AK84/AK56-1)*100</f>
        <v>29.050521425381604</v>
      </c>
      <c r="AO84" s="524"/>
      <c r="AP84" s="765"/>
    </row>
    <row r="85" spans="1:42" ht="10.5" hidden="1" customHeight="1" outlineLevel="1" x14ac:dyDescent="0.2">
      <c r="A85" s="239" t="s">
        <v>95</v>
      </c>
      <c r="C85" s="766">
        <f>INDEX('qtrP&amp;L'!$13:$13,MATCH($A81,'qtrP&amp;L'!$6:$6,0)+1)</f>
        <v>-4.4434916667426823</v>
      </c>
      <c r="E85" s="766">
        <f>INDEX('qtrP&amp;L'!$13:$13,MATCH($A81,'qtrP&amp;L'!$6:$6,0)+2)</f>
        <v>-0.7</v>
      </c>
      <c r="G85" s="767">
        <f>C85-E85</f>
        <v>-3.7434916667426821</v>
      </c>
      <c r="I85" s="759">
        <f>INDEX(stores!$I$9:$I$115,MATCH(A81,stores!$B$9:$B$115)+4)</f>
        <v>156</v>
      </c>
      <c r="J85" s="773">
        <f>I85-I84</f>
        <v>-1</v>
      </c>
      <c r="K85" s="556">
        <f>AVERAGE(I84:I85)</f>
        <v>156.5</v>
      </c>
      <c r="M85" s="767">
        <f>(K85/K57-1)*100</f>
        <v>8.6805555555555571</v>
      </c>
      <c r="O85" s="768">
        <f>(G85/M85)*100</f>
        <v>-43.12502400087569</v>
      </c>
      <c r="R85" s="556">
        <f>INDEX('qtrP&amp;L'!$13:$13,MATCH($A81,'qtrP&amp;L'!$6:$6,0))</f>
        <v>2514</v>
      </c>
      <c r="T85" s="556">
        <f>R85-AO85</f>
        <v>2514</v>
      </c>
      <c r="V85" s="769">
        <f>IF(ISERROR(T85/K85),"NA",T85/K85)</f>
        <v>16.063897763578275</v>
      </c>
      <c r="X85" s="770">
        <f>IF(ISERROR(V85/V78),"NA",(V85/V78-1)*100)</f>
        <v>-5.0540763845270735</v>
      </c>
      <c r="Z85" s="759">
        <f>INDEX(stores!$I$143:$I$253,MATCH(A81,stores!$B$143:$B$253)+4)</f>
        <v>20.501999999999999</v>
      </c>
      <c r="AB85" s="556">
        <f>AVERAGE(Z84:Z85)</f>
        <v>20.521999999999998</v>
      </c>
      <c r="AD85" s="767">
        <f>(AB85/AB57-1)*100</f>
        <v>7.68181341169063</v>
      </c>
      <c r="AF85" s="768">
        <f>(G85/AD85)*100</f>
        <v>-48.731874443157118</v>
      </c>
      <c r="AI85" s="556">
        <f>T85</f>
        <v>2514</v>
      </c>
      <c r="AK85" s="771">
        <f>IF(ISERROR(AI85/AB85),"NA",AI85/AB85)</f>
        <v>122.50268005067733</v>
      </c>
      <c r="AM85" s="772">
        <f>(AK85/AK57-1)*100</f>
        <v>21.64735704490457</v>
      </c>
      <c r="AO85" s="526"/>
      <c r="AP85" s="606"/>
    </row>
    <row r="86" spans="1:42" ht="10.5" hidden="1" customHeight="1" outlineLevel="1" x14ac:dyDescent="0.2">
      <c r="A86" s="607" t="s">
        <v>55</v>
      </c>
      <c r="C86" s="751">
        <f>INDEX('qtrP&amp;L'!$14:$14,MATCH($A81,'qtrP&amp;L'!$6:$6,0)+1)</f>
        <v>3.1202595863094373</v>
      </c>
      <c r="E86" s="751">
        <f>INDEX('qtrP&amp;L'!$14:$14,MATCH($A81,'qtrP&amp;L'!$6:$6,0)+2)</f>
        <v>3.9</v>
      </c>
      <c r="G86" s="702">
        <f>C86-E86</f>
        <v>-0.77974041369056257</v>
      </c>
      <c r="I86" s="752"/>
      <c r="K86" s="362">
        <f>AVERAGE(K82:K85)</f>
        <v>154.375</v>
      </c>
      <c r="M86" s="702">
        <f>(K86/K58-1)*100</f>
        <v>7.3913043478260887</v>
      </c>
      <c r="O86" s="754">
        <f>(G86/M86)*100</f>
        <v>-10.549429126401726</v>
      </c>
      <c r="R86" s="256">
        <f>INDEX('qtrP&amp;L'!$14:$14,MATCH($A81,'qtrP&amp;L'!$6:$6,0))</f>
        <v>8827.8140000000003</v>
      </c>
      <c r="T86" s="256">
        <f>R86-AO86</f>
        <v>8365.6368782287827</v>
      </c>
      <c r="V86" s="760">
        <f>IF(ISERROR(T86/K86),"NA",T86/K86)</f>
        <v>54.190360344801832</v>
      </c>
      <c r="X86" s="761">
        <f>IF(ISERROR(V86/V79),"NA",(V86/V79-1)*100)</f>
        <v>-1.4081722810115993</v>
      </c>
      <c r="Z86" s="757"/>
      <c r="AB86" s="362">
        <f>AVERAGE(AB82:AB85)</f>
        <v>20.180750000000003</v>
      </c>
      <c r="AD86" s="702">
        <f>(AB86/AB58-1)*100</f>
        <v>7.6493258831531019</v>
      </c>
      <c r="AF86" s="754">
        <f>(G86/AD86)*100</f>
        <v>-10.193583403314861</v>
      </c>
      <c r="AI86" s="256">
        <f>SUM(AI82:AI85)</f>
        <v>8827.8140000000003</v>
      </c>
      <c r="AK86" s="762">
        <f>IF(ISERROR(AI86/AB86),"NA",AI86/AB86)</f>
        <v>437.4373598602628</v>
      </c>
      <c r="AM86" s="756">
        <f>(AK86/AK58-1)*100</f>
        <v>27.168136231717387</v>
      </c>
      <c r="AO86" s="524">
        <v>462.17712177121768</v>
      </c>
      <c r="AP86" s="755"/>
    </row>
    <row r="87" spans="1:42" ht="10.5" hidden="1" customHeight="1" outlineLevel="1" x14ac:dyDescent="0.2">
      <c r="I87" s="752"/>
      <c r="K87" s="362"/>
      <c r="O87" s="754"/>
      <c r="X87" s="756"/>
      <c r="Z87" s="757"/>
      <c r="AB87" s="362"/>
      <c r="AF87" s="754"/>
      <c r="AM87" s="756"/>
    </row>
    <row r="88" spans="1:42" ht="10.5" hidden="1" customHeight="1" outlineLevel="1" x14ac:dyDescent="0.2">
      <c r="A88" s="758">
        <v>2008</v>
      </c>
      <c r="I88" s="752"/>
      <c r="K88" s="362"/>
      <c r="O88" s="754"/>
      <c r="X88" s="756"/>
      <c r="Z88" s="757"/>
      <c r="AB88" s="362"/>
      <c r="AF88" s="754"/>
      <c r="AM88" s="756"/>
    </row>
    <row r="89" spans="1:42" ht="10.5" hidden="1" customHeight="1" outlineLevel="1" x14ac:dyDescent="0.2">
      <c r="A89" s="239" t="s">
        <v>92</v>
      </c>
      <c r="C89" s="751">
        <f>INDEX('qtrP&amp;L'!$10:$10,MATCH($A88,'qtrP&amp;L'!$6:$6,0)+1)</f>
        <v>-3.8319808052932891</v>
      </c>
      <c r="D89" s="239" t="s">
        <v>90</v>
      </c>
      <c r="E89" s="751">
        <f>INDEX('qtrP&amp;L'!$10:$10,MATCH($A88,'qtrP&amp;L'!$6:$6,0)+2)</f>
        <v>-6.5</v>
      </c>
      <c r="F89" s="239" t="s">
        <v>90</v>
      </c>
      <c r="G89" s="702">
        <f>C89-E89</f>
        <v>2.6680191947067109</v>
      </c>
      <c r="H89" s="239" t="s">
        <v>90</v>
      </c>
      <c r="I89" s="759">
        <f>INDEX(stores!$I$9:$I$115,MATCH(A88,stores!$B$9:$B$115)+1)</f>
        <v>159</v>
      </c>
      <c r="J89" s="773">
        <f>I89-I85</f>
        <v>3</v>
      </c>
      <c r="K89" s="362">
        <f>AVERAGE(I89,I85)</f>
        <v>157.5</v>
      </c>
      <c r="M89" s="702">
        <f>(K89/K82-1)*100</f>
        <v>6.4189189189189255</v>
      </c>
      <c r="N89" s="239" t="s">
        <v>90</v>
      </c>
      <c r="O89" s="754">
        <f>(G89/M89)*100</f>
        <v>41.564930612272924</v>
      </c>
      <c r="P89" s="239" t="s">
        <v>90</v>
      </c>
      <c r="R89" s="256">
        <f>INDEX('qtrP&amp;L'!$10:$10,MATCH($A88,'qtrP&amp;L'!$6:$6,0))</f>
        <v>1879</v>
      </c>
      <c r="T89" s="256">
        <f>R89-AO89</f>
        <v>1771.4508790072389</v>
      </c>
      <c r="V89" s="760">
        <f>IF(ISERROR(T89/K89),"NA",T89/K89)</f>
        <v>11.24730716829993</v>
      </c>
      <c r="X89" s="761">
        <f>IF(ISERROR(V89/V82),"NA",(V89/V82-1)*100)</f>
        <v>-14.804989226091081</v>
      </c>
      <c r="Y89" s="239" t="s">
        <v>90</v>
      </c>
      <c r="Z89" s="759">
        <f>INDEX(stores!$I$143:$I$253,MATCH(A88,stores!$B$143:$B$253)+1)</f>
        <v>21.138999999999999</v>
      </c>
      <c r="AB89" s="362">
        <f>AVERAGE(Z89,Z85)</f>
        <v>20.820499999999999</v>
      </c>
      <c r="AD89" s="702">
        <f>(AB89/AB82-1)*100</f>
        <v>5.9351785896000653</v>
      </c>
      <c r="AE89" s="239" t="s">
        <v>90</v>
      </c>
      <c r="AF89" s="754">
        <f>(G89/AD89)*100</f>
        <v>44.952635450292192</v>
      </c>
      <c r="AG89" s="239" t="s">
        <v>90</v>
      </c>
      <c r="AI89" s="256">
        <f>T89</f>
        <v>1771.4508790072389</v>
      </c>
      <c r="AK89" s="762">
        <f>IF(ISERROR(AI89/AB89),"NA",AI89/AB89)</f>
        <v>85.082052736833361</v>
      </c>
      <c r="AM89" s="756">
        <f>(AK89/AK82-1)*100</f>
        <v>-14.415956393779982</v>
      </c>
      <c r="AN89" s="239" t="s">
        <v>90</v>
      </c>
      <c r="AO89" s="362">
        <v>107.54912099276112</v>
      </c>
      <c r="AP89" s="755"/>
    </row>
    <row r="90" spans="1:42" ht="10.5" hidden="1" customHeight="1" outlineLevel="1" x14ac:dyDescent="0.2">
      <c r="A90" s="239" t="s">
        <v>93</v>
      </c>
      <c r="C90" s="751">
        <f>INDEX('qtrP&amp;L'!$11:$11,MATCH($A88,'qtrP&amp;L'!$6:$6,0)+1)</f>
        <v>-4.289520225587129</v>
      </c>
      <c r="E90" s="751">
        <f>INDEX('qtrP&amp;L'!$11:$11,MATCH($A88,'qtrP&amp;L'!$6:$6,0)+2)</f>
        <v>-6</v>
      </c>
      <c r="G90" s="702">
        <f>C90-E90</f>
        <v>1.710479774412871</v>
      </c>
      <c r="I90" s="759">
        <f>INDEX(stores!$I$9:$I$115,MATCH(A88,stores!$B$9:$B$115)+2)</f>
        <v>159</v>
      </c>
      <c r="J90" s="773">
        <f>I90-I89</f>
        <v>0</v>
      </c>
      <c r="K90" s="362">
        <f>AVERAGE(I89:I90)</f>
        <v>159</v>
      </c>
      <c r="M90" s="702">
        <f>(K90/K83-1)*100</f>
        <v>1.9230769230769162</v>
      </c>
      <c r="O90" s="754">
        <f>(G90/M90)*100</f>
        <v>88.94494826946962</v>
      </c>
      <c r="R90" s="362">
        <f>INDEX('qtrP&amp;L'!$11:$11,MATCH($A88,'qtrP&amp;L'!$6:$6,0))</f>
        <v>2287</v>
      </c>
      <c r="T90" s="362">
        <f>R90-AO90</f>
        <v>2163.4478764478763</v>
      </c>
      <c r="V90" s="763">
        <f>IF(ISERROR(T90/K90),"NA",T90/K90)</f>
        <v>13.606590417911171</v>
      </c>
      <c r="X90" s="761">
        <f>IF(ISERROR(V90/V83),"NA",(V90/V83-1)*100)</f>
        <v>-11.168450227029158</v>
      </c>
      <c r="Z90" s="759">
        <f>INDEX(stores!$I$143:$I$253,MATCH(A88,stores!$B$143:$B$253)+2)</f>
        <v>21.138999999999999</v>
      </c>
      <c r="AB90" s="362">
        <f>AVERAGE(Z89:Z90)</f>
        <v>21.138999999999999</v>
      </c>
      <c r="AD90" s="702">
        <f>(AB90/AB83-1)*100</f>
        <v>4.7496345482024527</v>
      </c>
      <c r="AF90" s="754">
        <f>(G90/AD90)*100</f>
        <v>36.012871244172231</v>
      </c>
      <c r="AI90" s="362">
        <f>T90</f>
        <v>2163.4478764478763</v>
      </c>
      <c r="AK90" s="764">
        <f>IF(ISERROR(AI90/AB90),"NA",AI90/AB90)</f>
        <v>102.34390824768799</v>
      </c>
      <c r="AM90" s="756">
        <f>(AK90/AK83-1)*100</f>
        <v>-13.565475242395353</v>
      </c>
      <c r="AO90" s="362">
        <v>123.55212355212355</v>
      </c>
      <c r="AP90" s="765"/>
    </row>
    <row r="91" spans="1:42" ht="10.5" hidden="1" customHeight="1" outlineLevel="1" x14ac:dyDescent="0.2">
      <c r="A91" s="239" t="s">
        <v>94</v>
      </c>
      <c r="C91" s="751">
        <f>INDEX('qtrP&amp;L'!$12:$12,MATCH($A88,'qtrP&amp;L'!$6:$6,0)+1)</f>
        <v>-7.4320305474299131</v>
      </c>
      <c r="E91" s="751">
        <f>INDEX('qtrP&amp;L'!$12:$12,MATCH($A88,'qtrP&amp;L'!$6:$6,0)+2)</f>
        <v>-11.1</v>
      </c>
      <c r="G91" s="702">
        <f>C91-E91</f>
        <v>3.6679694525700866</v>
      </c>
      <c r="I91" s="759">
        <f>INDEX(stores!$I$9:$I$115,MATCH(A88,stores!$B$9:$B$115)+3)</f>
        <v>166</v>
      </c>
      <c r="J91" s="773">
        <f>I91-I90</f>
        <v>7</v>
      </c>
      <c r="K91" s="362">
        <f>AVERAGE(I90:I91)</f>
        <v>162.5</v>
      </c>
      <c r="M91" s="702">
        <f>(K91/K84-1)*100</f>
        <v>3.5031847133758065</v>
      </c>
      <c r="O91" s="754">
        <f>(G91/M91)*100</f>
        <v>104.7038552824549</v>
      </c>
      <c r="R91" s="362">
        <f>INDEX('qtrP&amp;L'!$12:$12,MATCH($A88,'qtrP&amp;L'!$6:$6,0))</f>
        <v>1824</v>
      </c>
      <c r="T91" s="362">
        <f>R91-AO91</f>
        <v>1716.6116838487972</v>
      </c>
      <c r="V91" s="763">
        <f>IF(ISERROR(T91/K91),"NA",T91/K91)</f>
        <v>10.56376420830029</v>
      </c>
      <c r="X91" s="761">
        <f>IF(ISERROR(V91/V84),"NA",(V91/V84-1)*100)</f>
        <v>-15.830595505218847</v>
      </c>
      <c r="Z91" s="759">
        <f>INDEX(stores!$I$143:$I$253,MATCH(A88,stores!$B$143:$B$253)+3)</f>
        <v>21.716999999999999</v>
      </c>
      <c r="AB91" s="362">
        <f>AVERAGE(Z90:Z91)</f>
        <v>21.427999999999997</v>
      </c>
      <c r="AD91" s="702">
        <f>(AB91/AB84-1)*100</f>
        <v>5.2119902781528227</v>
      </c>
      <c r="AF91" s="754">
        <f>(G91/AD91)*100</f>
        <v>70.375600429363203</v>
      </c>
      <c r="AI91" s="362">
        <f>T91</f>
        <v>1716.6116838487972</v>
      </c>
      <c r="AK91" s="764">
        <f>IF(ISERROR(AI91/AB91),"NA",AI91/AB91)</f>
        <v>80.110681531118047</v>
      </c>
      <c r="AM91" s="756">
        <f>(AK91/AK84-1)*100</f>
        <v>-17.197636908051383</v>
      </c>
      <c r="AO91" s="524">
        <v>107.38831615120276</v>
      </c>
      <c r="AP91" s="765"/>
    </row>
    <row r="92" spans="1:42" ht="10.5" hidden="1" customHeight="1" outlineLevel="1" x14ac:dyDescent="0.2">
      <c r="A92" s="239" t="s">
        <v>95</v>
      </c>
      <c r="C92" s="766">
        <f>INDEX('qtrP&amp;L'!$13:$13,MATCH($A88,'qtrP&amp;L'!$6:$6,0)+1)</f>
        <v>-8.4725536992840134</v>
      </c>
      <c r="E92" s="766">
        <f>INDEX('qtrP&amp;L'!$13:$13,MATCH($A88,'qtrP&amp;L'!$6:$6,0)+2)</f>
        <v>-12.5</v>
      </c>
      <c r="G92" s="767">
        <f>C92-E92</f>
        <v>4.0274463007159866</v>
      </c>
      <c r="I92" s="759">
        <f>INDEX(stores!$I$9:$I$115,MATCH(A88,stores!$B$9:$B$115)+4)</f>
        <v>169</v>
      </c>
      <c r="J92" s="773">
        <f>I92-I91</f>
        <v>3</v>
      </c>
      <c r="K92" s="556">
        <f>AVERAGE(I91:I92)</f>
        <v>167.5</v>
      </c>
      <c r="M92" s="767">
        <f>(K92/K85-1)*100</f>
        <v>7.0287539936102261</v>
      </c>
      <c r="O92" s="768">
        <f>(G92/M92)*100</f>
        <v>57.299576914731972</v>
      </c>
      <c r="R92" s="556">
        <f>INDEX('qtrP&amp;L'!$13:$13,MATCH($A88,'qtrP&amp;L'!$6:$6,0))</f>
        <v>2301</v>
      </c>
      <c r="T92" s="556">
        <f>R92-AO92</f>
        <v>2301</v>
      </c>
      <c r="V92" s="769">
        <f>IF(ISERROR(T92/K92),"NA",T92/K92)</f>
        <v>13.737313432835821</v>
      </c>
      <c r="X92" s="770">
        <f>IF(ISERROR(V92/V85),"NA",(V92/V85-1)*100)</f>
        <v>-14.483311366793716</v>
      </c>
      <c r="Z92" s="759">
        <f>INDEX(stores!$I$143:$I$253,MATCH(A88,stores!$B$143:$B$253)+4)</f>
        <v>21.876000000000001</v>
      </c>
      <c r="AB92" s="556">
        <f>AVERAGE(Z91:Z92)</f>
        <v>21.796500000000002</v>
      </c>
      <c r="AD92" s="767">
        <f>(AB92/AB85-1)*100</f>
        <v>6.2104083422668488</v>
      </c>
      <c r="AF92" s="768">
        <f>(G92/AD92)*100</f>
        <v>64.849943494149315</v>
      </c>
      <c r="AI92" s="556">
        <f>T92</f>
        <v>2301</v>
      </c>
      <c r="AK92" s="771">
        <f>IF(ISERROR(AI92/AB92),"NA",AI92/AB92)</f>
        <v>105.56740761131374</v>
      </c>
      <c r="AM92" s="772">
        <f>(AK92/AK85-1)*100</f>
        <v>-13.824409745450261</v>
      </c>
      <c r="AO92" s="526">
        <v>0</v>
      </c>
      <c r="AP92" s="606"/>
    </row>
    <row r="93" spans="1:42" ht="10.5" hidden="1" customHeight="1" outlineLevel="1" x14ac:dyDescent="0.2">
      <c r="A93" s="607" t="s">
        <v>55</v>
      </c>
      <c r="C93" s="751">
        <f>INDEX('qtrP&amp;L'!$14:$14,MATCH($A88,'qtrP&amp;L'!$6:$6,0)+1)</f>
        <v>-6.080939177014832</v>
      </c>
      <c r="E93" s="751">
        <f>INDEX('qtrP&amp;L'!$14:$14,MATCH($A88,'qtrP&amp;L'!$6:$6,0)+2)</f>
        <v>-9</v>
      </c>
      <c r="G93" s="702">
        <f>C93-E93</f>
        <v>2.919060822985168</v>
      </c>
      <c r="I93" s="752"/>
      <c r="K93" s="362">
        <f>AVERAGE(K89:K92)</f>
        <v>161.625</v>
      </c>
      <c r="M93" s="702">
        <f>(K93/K86-1)*100</f>
        <v>4.6963562753036481</v>
      </c>
      <c r="O93" s="754">
        <f>(G93/M93)*100</f>
        <v>62.155864075632394</v>
      </c>
      <c r="R93" s="256">
        <f>INDEX('qtrP&amp;L'!$14:$14,MATCH($A88,'qtrP&amp;L'!$6:$6,0))</f>
        <v>8291</v>
      </c>
      <c r="T93" s="256">
        <f>R93-AO93</f>
        <v>7790</v>
      </c>
      <c r="V93" s="760">
        <f>IF(ISERROR(T93/K93),"NA",T93/K93)</f>
        <v>48.197989172467132</v>
      </c>
      <c r="X93" s="761">
        <f>IF(ISERROR(V93/V86),"NA",(V93/V86-1)*100)</f>
        <v>-11.058002076765138</v>
      </c>
      <c r="Z93" s="757"/>
      <c r="AB93" s="362">
        <f>AVERAGE(AB89:AB92)</f>
        <v>21.295999999999999</v>
      </c>
      <c r="AD93" s="702">
        <f>(AB93/AB86-1)*100</f>
        <v>5.5263060094396632</v>
      </c>
      <c r="AF93" s="754">
        <f>(G93/AD93)*100</f>
        <v>52.821194085145216</v>
      </c>
      <c r="AI93" s="256">
        <f>SUM(AI89:AI92)</f>
        <v>7952.5104393039119</v>
      </c>
      <c r="AK93" s="762">
        <f>IF(ISERROR(AI93/AB93),"NA",AI93/AB93)</f>
        <v>373.42742483583356</v>
      </c>
      <c r="AM93" s="756">
        <f>(AK93/AK86-1)*100</f>
        <v>-14.632937398140133</v>
      </c>
      <c r="AO93" s="524">
        <v>501</v>
      </c>
      <c r="AP93" s="755"/>
    </row>
    <row r="94" spans="1:42" ht="10.5" hidden="1" customHeight="1" outlineLevel="1" x14ac:dyDescent="0.2">
      <c r="I94" s="752"/>
      <c r="K94" s="362"/>
      <c r="O94" s="754"/>
      <c r="X94" s="756"/>
      <c r="Z94" s="757"/>
      <c r="AB94" s="362"/>
      <c r="AF94" s="754"/>
      <c r="AM94" s="756"/>
    </row>
    <row r="95" spans="1:42" ht="10.5" hidden="1" customHeight="1" outlineLevel="1" x14ac:dyDescent="0.2">
      <c r="A95" s="758">
        <v>2009</v>
      </c>
      <c r="I95" s="752"/>
      <c r="K95" s="362"/>
      <c r="O95" s="754"/>
      <c r="X95" s="756"/>
      <c r="Z95" s="757"/>
      <c r="AB95" s="362"/>
      <c r="AF95" s="754"/>
      <c r="AM95" s="756"/>
    </row>
    <row r="96" spans="1:42" ht="10.5" hidden="1" customHeight="1" outlineLevel="1" x14ac:dyDescent="0.2">
      <c r="A96" s="239" t="s">
        <v>92</v>
      </c>
      <c r="C96" s="751">
        <f>INDEX('qtrP&amp;L'!$10:$10,MATCH($A95,'qtrP&amp;L'!$6:$6,0)+1)</f>
        <v>-9.207025013304948</v>
      </c>
      <c r="D96" s="239" t="s">
        <v>90</v>
      </c>
      <c r="E96" s="751">
        <f>INDEX('qtrP&amp;L'!$10:$10,MATCH($A95,'qtrP&amp;L'!$6:$6,0)+2)</f>
        <v>-13.2</v>
      </c>
      <c r="F96" s="239" t="s">
        <v>90</v>
      </c>
      <c r="G96" s="702">
        <f>C96-E96</f>
        <v>3.9929749866950512</v>
      </c>
      <c r="H96" s="239" t="s">
        <v>90</v>
      </c>
      <c r="I96" s="759">
        <f>INDEX(stores!$I$9:$I$115,MATCH(A95,stores!$B$9:$B$115)+1)</f>
        <v>175</v>
      </c>
      <c r="J96" s="773">
        <f>I96-I92</f>
        <v>6</v>
      </c>
      <c r="K96" s="362">
        <f>AVERAGE(I96,I92)</f>
        <v>172</v>
      </c>
      <c r="M96" s="702">
        <f>(K96/K89-1)*100</f>
        <v>9.206349206349195</v>
      </c>
      <c r="N96" s="239" t="s">
        <v>90</v>
      </c>
      <c r="O96" s="754">
        <f>(G96/M96)*100</f>
        <v>43.371969683066993</v>
      </c>
      <c r="P96" s="239" t="s">
        <v>90</v>
      </c>
      <c r="R96" s="256">
        <v>1706</v>
      </c>
      <c r="T96" s="256">
        <f>R96-AO96</f>
        <v>1602</v>
      </c>
      <c r="V96" s="760">
        <f>IF(ISERROR(T96/K96),"NA",T96/K96)</f>
        <v>9.3139534883720927</v>
      </c>
      <c r="X96" s="761">
        <f>IF(ISERROR(V96/V89),"NA",(V96/V89-1)*100)</f>
        <v>-17.189480566307591</v>
      </c>
      <c r="Y96" s="239" t="s">
        <v>90</v>
      </c>
      <c r="Z96" s="759">
        <f>INDEX(stores!$I$143:$I$253,MATCH(A95,stores!$B$143:$B$253)+1)</f>
        <v>22.335999999999999</v>
      </c>
      <c r="AB96" s="362">
        <f>AVERAGE(Z96,Z92)</f>
        <v>22.106000000000002</v>
      </c>
      <c r="AD96" s="702">
        <f>(AB96/AB89-1)*100</f>
        <v>6.1742033092385018</v>
      </c>
      <c r="AE96" s="239" t="s">
        <v>90</v>
      </c>
      <c r="AF96" s="754">
        <f>(G96/AD96)*100</f>
        <v>64.671906425892004</v>
      </c>
      <c r="AG96" s="239" t="s">
        <v>90</v>
      </c>
      <c r="AI96" s="256">
        <f>T96</f>
        <v>1602</v>
      </c>
      <c r="AK96" s="762">
        <f>IF(ISERROR(AI96/AB96),"NA",AI96/AB96)</f>
        <v>72.469012937663976</v>
      </c>
      <c r="AM96" s="756">
        <f>(AK96/AK89-1)*100</f>
        <v>-14.82455981425681</v>
      </c>
      <c r="AN96" s="239" t="s">
        <v>90</v>
      </c>
      <c r="AO96" s="362">
        <v>104</v>
      </c>
      <c r="AP96" s="755"/>
    </row>
    <row r="97" spans="1:42" ht="10.5" hidden="1" customHeight="1" outlineLevel="1" x14ac:dyDescent="0.2">
      <c r="A97" s="239" t="s">
        <v>93</v>
      </c>
      <c r="C97" s="751">
        <f>INDEX('qtrP&amp;L'!$11:$11,MATCH($A95,'qtrP&amp;L'!$6:$6,0)+1)</f>
        <v>-6.2090074333187584</v>
      </c>
      <c r="E97" s="751">
        <f>INDEX('qtrP&amp;L'!$11:$11,MATCH($A95,'qtrP&amp;L'!$6:$6,0)+2)</f>
        <v>-9.8000000000000007</v>
      </c>
      <c r="G97" s="702">
        <f>C97-E97</f>
        <v>3.5909925666812423</v>
      </c>
      <c r="I97" s="759">
        <f>INDEX(stores!$I$9:$I$115,MATCH(A95,stores!$B$9:$B$115)+2)</f>
        <v>175</v>
      </c>
      <c r="J97" s="773">
        <f>I97-I96</f>
        <v>0</v>
      </c>
      <c r="K97" s="362">
        <f>AVERAGE(I96:I97)</f>
        <v>175</v>
      </c>
      <c r="M97" s="702">
        <f>(K97/K90-1)*100</f>
        <v>10.062893081761004</v>
      </c>
      <c r="O97" s="754">
        <f>(G97/M97)*100</f>
        <v>35.685488631394854</v>
      </c>
      <c r="R97" s="362">
        <v>2145</v>
      </c>
      <c r="T97" s="362">
        <f>R97-AO97</f>
        <v>2017</v>
      </c>
      <c r="V97" s="763">
        <f>IF(ISERROR(T97/K97),"NA",T97/K97)</f>
        <v>11.525714285714285</v>
      </c>
      <c r="X97" s="761">
        <f>IF(ISERROR(V97/V90),"NA",(V97/V90-1)*100)</f>
        <v>-15.293148895388986</v>
      </c>
      <c r="Z97" s="759">
        <f>INDEX(stores!$I$143:$I$253,MATCH(A95,stores!$B$143:$B$253)+2)</f>
        <v>22.350999999999999</v>
      </c>
      <c r="AB97" s="362">
        <f>AVERAGE(Z96:Z97)</f>
        <v>22.343499999999999</v>
      </c>
      <c r="AD97" s="702">
        <f>(AB97/AB90-1)*100</f>
        <v>5.6979989592695901</v>
      </c>
      <c r="AF97" s="754">
        <f>(G97/AD97)*100</f>
        <v>63.021994078102836</v>
      </c>
      <c r="AI97" s="362">
        <f>T97</f>
        <v>2017</v>
      </c>
      <c r="AK97" s="764">
        <f>IF(ISERROR(AI97/AB97),"NA",AI97/AB97)</f>
        <v>90.272338711482092</v>
      </c>
      <c r="AM97" s="756">
        <f>(AK97/AK90-1)*100</f>
        <v>-11.795103140863883</v>
      </c>
      <c r="AO97" s="362">
        <v>128</v>
      </c>
      <c r="AP97" s="765"/>
    </row>
    <row r="98" spans="1:42" ht="10.5" hidden="1" customHeight="1" outlineLevel="1" x14ac:dyDescent="0.2">
      <c r="A98" s="239" t="s">
        <v>94</v>
      </c>
      <c r="C98" s="751">
        <f>INDEX('qtrP&amp;L'!$12:$12,MATCH($A95,'qtrP&amp;L'!$6:$6,0)+1)</f>
        <v>2.4122807017543879</v>
      </c>
      <c r="E98" s="751">
        <f>INDEX('qtrP&amp;L'!$12:$12,MATCH($A95,'qtrP&amp;L'!$6:$6,0)+2)</f>
        <v>-1.2</v>
      </c>
      <c r="G98" s="702">
        <f>C98-E98</f>
        <v>3.6122807017543881</v>
      </c>
      <c r="I98" s="759">
        <f>INDEX(stores!$I$9:$I$115,MATCH(A95,stores!$B$9:$B$115)+3)</f>
        <v>182</v>
      </c>
      <c r="J98" s="773">
        <f>I98-I97</f>
        <v>7</v>
      </c>
      <c r="K98" s="362">
        <f>AVERAGE(I97:I98)</f>
        <v>178.5</v>
      </c>
      <c r="M98" s="702">
        <f>(K98/K91-1)*100</f>
        <v>9.8461538461538378</v>
      </c>
      <c r="O98" s="754">
        <f>(G98/M98)*100</f>
        <v>36.687225877193036</v>
      </c>
      <c r="R98" s="362">
        <v>1868</v>
      </c>
      <c r="T98" s="362">
        <f>R98-AO98</f>
        <v>1743</v>
      </c>
      <c r="V98" s="763">
        <f>IF(ISERROR(T98/K98),"NA",T98/K98)</f>
        <v>9.764705882352942</v>
      </c>
      <c r="X98" s="761">
        <f>IF(ISERROR(V98/V91),"NA",(V98/V91-1)*100)</f>
        <v>-7.5641438997616213</v>
      </c>
      <c r="Z98" s="759">
        <f>INDEX(stores!$I$143:$I$253,MATCH(A95,stores!$B$143:$B$253)+3)</f>
        <v>22.702000000000002</v>
      </c>
      <c r="AB98" s="362">
        <f>AVERAGE(Z97:Z98)</f>
        <v>22.526499999999999</v>
      </c>
      <c r="AD98" s="702">
        <f>(AB98/AB91-1)*100</f>
        <v>5.1264700392010587</v>
      </c>
      <c r="AF98" s="754">
        <f>(G98/AD98)*100</f>
        <v>70.463314408004393</v>
      </c>
      <c r="AI98" s="362">
        <f>T98</f>
        <v>1743</v>
      </c>
      <c r="AK98" s="764">
        <f>IF(ISERROR(AI98/AB98),"NA",AI98/AB98)</f>
        <v>77.375535480434166</v>
      </c>
      <c r="AM98" s="756">
        <f>(AK98/AK91-1)*100</f>
        <v>-3.4142089399419762</v>
      </c>
      <c r="AO98" s="524">
        <v>125</v>
      </c>
      <c r="AP98" s="765"/>
    </row>
    <row r="99" spans="1:42" ht="10.5" hidden="1" customHeight="1" outlineLevel="1" x14ac:dyDescent="0.2">
      <c r="A99" s="239" t="s">
        <v>95</v>
      </c>
      <c r="C99" s="766">
        <f>INDEX('qtrP&amp;L'!$13:$13,MATCH($A95,'qtrP&amp;L'!$6:$6,0)+1)</f>
        <v>10.343328987396783</v>
      </c>
      <c r="E99" s="766">
        <f>INDEX('qtrP&amp;L'!$13:$13,MATCH($A95,'qtrP&amp;L'!$6:$6,0)+2)</f>
        <v>6.9</v>
      </c>
      <c r="G99" s="767">
        <f>C99-E99</f>
        <v>3.4433289873967823</v>
      </c>
      <c r="I99" s="759">
        <f>INDEX(stores!$I$9:$I$115,MATCH(A95,stores!$B$9:$B$115)+4)</f>
        <v>184</v>
      </c>
      <c r="J99" s="773">
        <f>I99-I98</f>
        <v>2</v>
      </c>
      <c r="K99" s="556">
        <f>AVERAGE(I98:I99)</f>
        <v>183</v>
      </c>
      <c r="M99" s="767">
        <f>(K99/K92-1)*100</f>
        <v>9.2537313432835777</v>
      </c>
      <c r="O99" s="768">
        <f>(G99/M99)*100</f>
        <v>37.210168089610406</v>
      </c>
      <c r="R99" s="556">
        <v>2539</v>
      </c>
      <c r="T99" s="556">
        <f>R99-AO99</f>
        <v>2333</v>
      </c>
      <c r="V99" s="769">
        <f>IF(ISERROR(T99/K99),"NA",T99/K99)</f>
        <v>12.748633879781421</v>
      </c>
      <c r="X99" s="770">
        <f>IF(ISERROR(V99/V92),"NA",(V99/V92-1)*100)</f>
        <v>-7.1970371636945636</v>
      </c>
      <c r="Z99" s="759">
        <f>INDEX(stores!$I$143:$I$253,MATCH(A95,stores!$B$143:$B$253)+4)</f>
        <v>22.773</v>
      </c>
      <c r="AB99" s="556">
        <f>AVERAGE(Z98:Z99)</f>
        <v>22.737500000000001</v>
      </c>
      <c r="AD99" s="767">
        <f>(AB99/AB92-1)*100</f>
        <v>4.3172068910146022</v>
      </c>
      <c r="AF99" s="768">
        <f>(G99/AD99)*100</f>
        <v>79.758257464180815</v>
      </c>
      <c r="AI99" s="556">
        <f>T99</f>
        <v>2333</v>
      </c>
      <c r="AK99" s="771">
        <f>IF(ISERROR(AI99/AB99),"NA",AI99/AB99)</f>
        <v>102.60582737768004</v>
      </c>
      <c r="AM99" s="772">
        <f>(AK99/AK92-1)*100</f>
        <v>-2.8053925928899104</v>
      </c>
      <c r="AO99" s="526">
        <v>206</v>
      </c>
      <c r="AP99" s="606"/>
    </row>
    <row r="100" spans="1:42" ht="10.5" hidden="1" customHeight="1" outlineLevel="1" x14ac:dyDescent="0.2">
      <c r="A100" s="607" t="s">
        <v>55</v>
      </c>
      <c r="C100" s="751">
        <f>INDEX('qtrP&amp;L'!$14:$14,MATCH($A95,'qtrP&amp;L'!$6:$6,0)+1)</f>
        <v>-0.39802195151369402</v>
      </c>
      <c r="E100" s="751">
        <f>INDEX('qtrP&amp;L'!$14:$14,MATCH($A95,'qtrP&amp;L'!$6:$6,0)+2)</f>
        <v>-4.2</v>
      </c>
      <c r="G100" s="702">
        <f>C100-E100</f>
        <v>3.8019780484863062</v>
      </c>
      <c r="I100" s="752"/>
      <c r="K100" s="362">
        <f>AVERAGE(K96:K99)</f>
        <v>177.125</v>
      </c>
      <c r="M100" s="702">
        <f>(K100/K93-1)*100</f>
        <v>9.5901005413766338</v>
      </c>
      <c r="O100" s="754">
        <f>(G100/M100)*100</f>
        <v>39.644819489458058</v>
      </c>
      <c r="R100" s="256">
        <f>INDEX('qtrP&amp;L'!$14:$14,MATCH($A95,'qtrP&amp;L'!$6:$6,0))</f>
        <v>8258</v>
      </c>
      <c r="T100" s="256">
        <f>R100-AO100</f>
        <v>7695</v>
      </c>
      <c r="V100" s="760">
        <f>IF(ISERROR(T100/K100),"NA",T100/K100)</f>
        <v>43.443895553987296</v>
      </c>
      <c r="X100" s="761">
        <f>IF(ISERROR(V100/V93),"NA",(V100/V93-1)*100)</f>
        <v>-9.8636762655558883</v>
      </c>
      <c r="Z100" s="757"/>
      <c r="AB100" s="362">
        <f>AVERAGE(AB96:AB99)</f>
        <v>22.428374999999999</v>
      </c>
      <c r="AD100" s="702">
        <f>(AB100/AB93-1)*100</f>
        <v>5.317313110443278</v>
      </c>
      <c r="AF100" s="754">
        <f>(G100/AD100)*100</f>
        <v>71.501865124684258</v>
      </c>
      <c r="AI100" s="256">
        <f>SUM(AI96:AI99)</f>
        <v>7695</v>
      </c>
      <c r="AK100" s="762">
        <f>IF(ISERROR(AI100/AB100),"NA",AI100/AB100)</f>
        <v>343.09217676269458</v>
      </c>
      <c r="AM100" s="756">
        <f>(AK100/AK93-1)*100</f>
        <v>-8.1234655131381945</v>
      </c>
      <c r="AO100" s="524">
        <v>563</v>
      </c>
      <c r="AP100" s="755"/>
    </row>
    <row r="101" spans="1:42" ht="12.75" customHeight="1" collapsed="1" x14ac:dyDescent="0.2">
      <c r="I101" s="752"/>
      <c r="K101" s="362"/>
      <c r="O101" s="754"/>
      <c r="X101" s="756"/>
      <c r="Z101" s="757"/>
      <c r="AB101" s="362"/>
      <c r="AF101" s="754"/>
      <c r="AM101" s="756"/>
    </row>
    <row r="102" spans="1:42" ht="12.75" customHeight="1" x14ac:dyDescent="0.2">
      <c r="A102" s="758">
        <v>2010</v>
      </c>
      <c r="I102" s="752"/>
      <c r="K102" s="362"/>
      <c r="O102" s="754"/>
      <c r="X102" s="756"/>
      <c r="Z102" s="757"/>
      <c r="AB102" s="362"/>
      <c r="AF102" s="754"/>
      <c r="AM102" s="756"/>
    </row>
    <row r="103" spans="1:42" ht="12.75" customHeight="1" x14ac:dyDescent="0.2">
      <c r="A103" s="239" t="s">
        <v>92</v>
      </c>
      <c r="C103" s="751">
        <f>INDEX('qtrP&amp;L'!$10:$10,MATCH($A102,'qtrP&amp;L'!$6:$6,0)+1)</f>
        <v>16.647127784290738</v>
      </c>
      <c r="D103" s="239" t="s">
        <v>90</v>
      </c>
      <c r="E103" s="751">
        <f>INDEX('qtrP&amp;L'!$10:$10,MATCH($A102,'qtrP&amp;L'!$6:$6,0)+2)</f>
        <v>12</v>
      </c>
      <c r="F103" s="239" t="s">
        <v>90</v>
      </c>
      <c r="G103" s="702">
        <f>C103-E103</f>
        <v>4.6471277842907384</v>
      </c>
      <c r="H103" s="239" t="s">
        <v>90</v>
      </c>
      <c r="I103" s="759">
        <f>INDEX(stores!$I$9:$I$115,MATCH(A102,stores!$B$9:$B$115)+1)</f>
        <v>192</v>
      </c>
      <c r="J103" s="706">
        <f>I103-I99</f>
        <v>8</v>
      </c>
      <c r="K103" s="362">
        <f>AVERAGE(I103,I99)</f>
        <v>188</v>
      </c>
      <c r="M103" s="702">
        <f>(K103/K96-1)*100</f>
        <v>9.302325581395344</v>
      </c>
      <c r="N103" s="239" t="s">
        <v>90</v>
      </c>
      <c r="O103" s="754">
        <f>(G103/M103)*100</f>
        <v>49.956623681125464</v>
      </c>
      <c r="P103" s="239" t="s">
        <v>90</v>
      </c>
      <c r="R103" s="256">
        <v>1990</v>
      </c>
      <c r="T103" s="256">
        <f>R103-AO103</f>
        <v>1846</v>
      </c>
      <c r="V103" s="760">
        <f>IF(ISERROR(T103/K103),"NA",T103/K103)</f>
        <v>9.8191489361702136</v>
      </c>
      <c r="X103" s="761">
        <f>IF(ISERROR(V103/V96),"NA",(V103/V96-1)*100)</f>
        <v>5.4240709751109062</v>
      </c>
      <c r="Y103" s="239" t="s">
        <v>90</v>
      </c>
      <c r="Z103" s="759">
        <f>INDEX(stores!$I$143:$I$253,MATCH(A102,stores!$B$143:$B$253)+1)</f>
        <v>23.289000000000001</v>
      </c>
      <c r="AB103" s="362">
        <f>AVERAGE(Z103,Z99)</f>
        <v>23.030999999999999</v>
      </c>
      <c r="AD103" s="702">
        <f>(AB103/AB96-1)*100</f>
        <v>4.1843843300461314</v>
      </c>
      <c r="AE103" s="239" t="s">
        <v>90</v>
      </c>
      <c r="AF103" s="754">
        <f>(G103/AD103)*100</f>
        <v>111.05881816165547</v>
      </c>
      <c r="AG103" s="239" t="s">
        <v>90</v>
      </c>
      <c r="AI103" s="256">
        <f>T103</f>
        <v>1846</v>
      </c>
      <c r="AK103" s="762">
        <f>IF(ISERROR(AI103/AB103),"NA",AI103/AB103)</f>
        <v>80.152837479918375</v>
      </c>
      <c r="AM103" s="756">
        <f>(AK103/AK96-1)*100</f>
        <v>10.602910445135816</v>
      </c>
      <c r="AN103" s="239" t="s">
        <v>90</v>
      </c>
      <c r="AO103" s="362">
        <v>144</v>
      </c>
      <c r="AP103" s="255">
        <f>AO103/AO96-1</f>
        <v>0.38461538461538458</v>
      </c>
    </row>
    <row r="104" spans="1:42" ht="12.75" customHeight="1" x14ac:dyDescent="0.2">
      <c r="A104" s="239" t="s">
        <v>93</v>
      </c>
      <c r="C104" s="751">
        <f>INDEX('qtrP&amp;L'!$11:$11,MATCH($A102,'qtrP&amp;L'!$6:$6,0)+1)</f>
        <v>12.680652680652681</v>
      </c>
      <c r="E104" s="751">
        <f>INDEX('qtrP&amp;L'!$11:$11,MATCH($A102,'qtrP&amp;L'!$6:$6,0)+2)</f>
        <v>8.4</v>
      </c>
      <c r="G104" s="702">
        <f>C104-E104</f>
        <v>4.2806526806526808</v>
      </c>
      <c r="I104" s="759">
        <f>INDEX(stores!$I$9:$I$115,MATCH(A102,stores!$B$9:$B$115)+2)</f>
        <v>193</v>
      </c>
      <c r="J104" s="706">
        <f>I104-I103</f>
        <v>1</v>
      </c>
      <c r="K104" s="362">
        <f>AVERAGE(I103:I104)</f>
        <v>192.5</v>
      </c>
      <c r="M104" s="702">
        <f>(K104/K97-1)*100</f>
        <v>10.000000000000009</v>
      </c>
      <c r="O104" s="754">
        <f>(G104/M104)*100</f>
        <v>42.806526806526769</v>
      </c>
      <c r="R104" s="362">
        <v>2417</v>
      </c>
      <c r="T104" s="362">
        <f>R104-AO104</f>
        <v>2245</v>
      </c>
      <c r="V104" s="763">
        <f>IF(ISERROR(T104/K104),"NA",T104/K104)</f>
        <v>11.662337662337663</v>
      </c>
      <c r="X104" s="761">
        <f>IF(ISERROR(V104/V97),"NA",(V104/V97-1)*100)</f>
        <v>1.1853788254383213</v>
      </c>
      <c r="Z104" s="759">
        <f>INDEX(stores!$I$143:$I$253,MATCH(A102,stores!$B$143:$B$253)+2)</f>
        <v>23.343</v>
      </c>
      <c r="AB104" s="362">
        <f>AVERAGE(Z103:Z104)</f>
        <v>23.316000000000003</v>
      </c>
      <c r="AD104" s="702">
        <f>(AB104/AB97-1)*100</f>
        <v>4.3524962517063281</v>
      </c>
      <c r="AF104" s="754">
        <f>(G104/AD104)*100</f>
        <v>98.349370869062042</v>
      </c>
      <c r="AI104" s="362">
        <f>T104</f>
        <v>2245</v>
      </c>
      <c r="AK104" s="764">
        <f>IF(ISERROR(AI104/AB104),"NA",AI104/AB104)</f>
        <v>96.285812317721721</v>
      </c>
      <c r="AM104" s="756">
        <f>(AK104/AK97-1)*100</f>
        <v>6.6614797977697204</v>
      </c>
      <c r="AO104" s="362">
        <v>172</v>
      </c>
      <c r="AP104" s="255">
        <f>AO104/AO97-1</f>
        <v>0.34375</v>
      </c>
    </row>
    <row r="105" spans="1:42" ht="12.75" customHeight="1" x14ac:dyDescent="0.2">
      <c r="A105" s="239" t="s">
        <v>94</v>
      </c>
      <c r="C105" s="751">
        <f>INDEX('qtrP&amp;L'!$12:$12,MATCH($A102,'qtrP&amp;L'!$6:$6,0)+1)</f>
        <v>11.723768736616712</v>
      </c>
      <c r="E105" s="751">
        <f>INDEX('qtrP&amp;L'!$12:$12,MATCH($A102,'qtrP&amp;L'!$6:$6,0)+2)</f>
        <v>5.8</v>
      </c>
      <c r="G105" s="702">
        <f>C105-E105</f>
        <v>5.9237687366167124</v>
      </c>
      <c r="I105" s="759">
        <f>INDEX(stores!$I$9:$I$115,MATCH(A102,stores!$B$9:$B$115)+3)</f>
        <v>203</v>
      </c>
      <c r="J105" s="706">
        <f>I105-I104</f>
        <v>10</v>
      </c>
      <c r="K105" s="362">
        <f>AVERAGE(I104:I105)</f>
        <v>198</v>
      </c>
      <c r="M105" s="702">
        <f>(K105/K98-1)*100</f>
        <v>10.924369747899165</v>
      </c>
      <c r="O105" s="754">
        <f>(G105/M105)*100</f>
        <v>54.225267665952956</v>
      </c>
      <c r="R105" s="362">
        <v>2087</v>
      </c>
      <c r="T105" s="362">
        <f>R105-AO105</f>
        <v>1953</v>
      </c>
      <c r="V105" s="763">
        <f>IF(ISERROR(T105/K105),"NA",T105/K105)</f>
        <v>9.8636363636363633</v>
      </c>
      <c r="X105" s="761">
        <f>IF(ISERROR(V105/V98),"NA",(V105/V98-1)*100)</f>
        <v>1.0131434830229935</v>
      </c>
      <c r="Z105" s="759">
        <f>INDEX(stores!$I$143:$I$253,MATCH(A102,stores!$B$143:$B$253)+3)</f>
        <v>23.802</v>
      </c>
      <c r="AB105" s="362">
        <f>AVERAGE(Z104:Z105)</f>
        <v>23.572499999999998</v>
      </c>
      <c r="AD105" s="702">
        <f>(AB105/AB98-1)*100</f>
        <v>4.6434199720329472</v>
      </c>
      <c r="AF105" s="754">
        <f>(G105/AD105)*100</f>
        <v>127.57340004339974</v>
      </c>
      <c r="AI105" s="362">
        <f>T105</f>
        <v>1953</v>
      </c>
      <c r="AK105" s="764">
        <f>IF(ISERROR(AI105/AB105),"NA",AI105/AB105)</f>
        <v>82.850779510022278</v>
      </c>
      <c r="AM105" s="756">
        <f>(AK105/AK98-1)*100</f>
        <v>7.0761953317565407</v>
      </c>
      <c r="AO105" s="524">
        <v>134</v>
      </c>
      <c r="AP105" s="255">
        <f>AO105/AO98-1</f>
        <v>7.2000000000000064E-2</v>
      </c>
    </row>
    <row r="106" spans="1:42" ht="12.75" customHeight="1" x14ac:dyDescent="0.2">
      <c r="A106" s="239" t="s">
        <v>95</v>
      </c>
      <c r="C106" s="766">
        <f>INDEX('qtrP&amp;L'!$13:$13,MATCH($A102,'qtrP&amp;L'!$6:$6,0)+1)</f>
        <v>10.909807010634109</v>
      </c>
      <c r="E106" s="766">
        <f>INDEX('qtrP&amp;L'!$13:$13,MATCH($A102,'qtrP&amp;L'!$6:$6,0)+2)</f>
        <v>6.7</v>
      </c>
      <c r="G106" s="767">
        <f>C106-E106</f>
        <v>4.2098070106341092</v>
      </c>
      <c r="I106" s="759">
        <f>INDEX(stores!$I$9:$I$115,MATCH(A102,stores!$B$9:$B$115)+4)</f>
        <v>204</v>
      </c>
      <c r="J106" s="706">
        <f>I106-I105</f>
        <v>1</v>
      </c>
      <c r="K106" s="556">
        <f>AVERAGE(I105:I106)</f>
        <v>203.5</v>
      </c>
      <c r="M106" s="767">
        <f>(K106/K99-1)*100</f>
        <v>11.202185792349727</v>
      </c>
      <c r="O106" s="768">
        <f>(G106/M106)*100</f>
        <v>37.580228436392296</v>
      </c>
      <c r="R106" s="556">
        <v>2816</v>
      </c>
      <c r="T106" s="556">
        <f>R106-AO106</f>
        <v>2561</v>
      </c>
      <c r="V106" s="769">
        <f>IF(ISERROR(T106/K106),"NA",T106/K106)</f>
        <v>12.584766584766585</v>
      </c>
      <c r="X106" s="770">
        <f>IF(ISERROR(V106/V99),"NA",(V106/V99-1)*100)</f>
        <v>-1.2853714096748736</v>
      </c>
      <c r="Z106" s="759">
        <f>INDEX(stores!$I$143:$I$253,MATCH(A102,stores!$B$143:$B$253)+4)</f>
        <v>23.838000000000001</v>
      </c>
      <c r="AB106" s="556">
        <f>AVERAGE(Z105:Z106)</f>
        <v>23.82</v>
      </c>
      <c r="AD106" s="767">
        <f>(AB106/AB99-1)*100</f>
        <v>4.7608576140736547</v>
      </c>
      <c r="AF106" s="768">
        <f>(G106/AD106)*100</f>
        <v>88.425392059393346</v>
      </c>
      <c r="AI106" s="556">
        <f>T106</f>
        <v>2561</v>
      </c>
      <c r="AK106" s="771">
        <f>IF(ISERROR(AI106/AB106),"NA",AI106/AB106)</f>
        <v>107.51469353484467</v>
      </c>
      <c r="AM106" s="772">
        <f>(AK106/AK99-1)*100</f>
        <v>4.7841982103956626</v>
      </c>
      <c r="AO106" s="526">
        <v>255</v>
      </c>
      <c r="AP106" s="258">
        <f>AO106/AO99-1</f>
        <v>0.23786407766990281</v>
      </c>
    </row>
    <row r="107" spans="1:42" ht="12.75" customHeight="1" x14ac:dyDescent="0.2">
      <c r="A107" s="607" t="s">
        <v>55</v>
      </c>
      <c r="C107" s="751">
        <f>INDEX('qtrP&amp;L'!$14:$14,MATCH($A102,'qtrP&amp;L'!$6:$6,0)+1)</f>
        <v>12.73916202470331</v>
      </c>
      <c r="E107" s="751">
        <f>INDEX('qtrP&amp;L'!$14:$14,MATCH($A102,'qtrP&amp;L'!$6:$6,0)+2)</f>
        <v>8.1</v>
      </c>
      <c r="G107" s="702">
        <f>C107-E107</f>
        <v>4.6391620247033103</v>
      </c>
      <c r="I107" s="752"/>
      <c r="K107" s="362">
        <f>AVERAGE(K103:K106)</f>
        <v>195.5</v>
      </c>
      <c r="M107" s="702">
        <f>(K107/K100-1)*100</f>
        <v>10.374029640084693</v>
      </c>
      <c r="O107" s="754">
        <f>(G107/M107)*100</f>
        <v>44.718997204112831</v>
      </c>
      <c r="R107" s="256">
        <v>9310</v>
      </c>
      <c r="T107" s="256">
        <f>R107-AO107</f>
        <v>8605</v>
      </c>
      <c r="V107" s="760">
        <f>IF(ISERROR(T107/K107),"NA",T107/K107)</f>
        <v>44.015345268542198</v>
      </c>
      <c r="X107" s="761">
        <f>IF(ISERROR(V107/V100),"NA",(V107/V100-1)*100)</f>
        <v>1.3153740180706475</v>
      </c>
      <c r="Z107" s="757"/>
      <c r="AB107" s="362">
        <f>AVERAGE(AB103:AB106)</f>
        <v>23.434874999999998</v>
      </c>
      <c r="AD107" s="702">
        <f>(AB107/AB100-1)*100</f>
        <v>4.487618920229397</v>
      </c>
      <c r="AF107" s="754">
        <f>(G107/AD107)*100</f>
        <v>103.37691562424749</v>
      </c>
      <c r="AI107" s="256">
        <f>SUM(AI103:AI106)</f>
        <v>8605</v>
      </c>
      <c r="AK107" s="762">
        <f>IF(ISERROR(AI107/AB107),"NA",AI107/AB107)</f>
        <v>367.18779169933703</v>
      </c>
      <c r="AM107" s="756">
        <f>(AK107/AK100-1)*100</f>
        <v>7.0230732638676852</v>
      </c>
      <c r="AO107" s="524">
        <v>705</v>
      </c>
      <c r="AP107" s="255">
        <f>AO107/AO100-1</f>
        <v>0.25222024866785087</v>
      </c>
    </row>
    <row r="108" spans="1:42" ht="12.75" customHeight="1" x14ac:dyDescent="0.2">
      <c r="I108" s="752"/>
      <c r="K108" s="362"/>
      <c r="O108" s="754"/>
      <c r="X108" s="756"/>
      <c r="Z108" s="757"/>
      <c r="AB108" s="362"/>
      <c r="AF108" s="754"/>
      <c r="AM108" s="756"/>
      <c r="AP108" s="255"/>
    </row>
    <row r="109" spans="1:42" ht="12.75" customHeight="1" x14ac:dyDescent="0.2">
      <c r="A109" s="758">
        <v>2011</v>
      </c>
      <c r="I109" s="752"/>
      <c r="K109" s="362"/>
      <c r="O109" s="754"/>
      <c r="X109" s="756"/>
      <c r="Z109" s="757"/>
      <c r="AB109" s="362"/>
      <c r="AF109" s="754"/>
      <c r="AM109" s="756"/>
      <c r="AP109" s="255"/>
    </row>
    <row r="110" spans="1:42" ht="12.75" customHeight="1" x14ac:dyDescent="0.2">
      <c r="A110" s="239" t="s">
        <v>92</v>
      </c>
      <c r="C110" s="751">
        <f>INDEX('qtrP&amp;L'!$10:$10,MATCH($A109,'qtrP&amp;L'!$6:$6,0)+1)</f>
        <v>12.010050251256278</v>
      </c>
      <c r="D110" s="239" t="s">
        <v>90</v>
      </c>
      <c r="E110" s="751">
        <f>INDEX('qtrP&amp;L'!$10:$10,MATCH($A109,'qtrP&amp;L'!$6:$6,0)+2)</f>
        <v>6.5</v>
      </c>
      <c r="F110" s="239" t="s">
        <v>90</v>
      </c>
      <c r="G110" s="702">
        <f>C110-E110</f>
        <v>5.5100502512562777</v>
      </c>
      <c r="H110" s="239" t="s">
        <v>90</v>
      </c>
      <c r="I110" s="759">
        <f>INDEX(stores!$I$9:$I$115,MATCH(A109,stores!$B$9:$B$115)+1)</f>
        <v>211</v>
      </c>
      <c r="J110" s="706">
        <f>I110-I106</f>
        <v>7</v>
      </c>
      <c r="K110" s="362">
        <f>AVERAGE(I110,I106)</f>
        <v>207.5</v>
      </c>
      <c r="M110" s="702">
        <f>(K110/K103-1)*100</f>
        <v>10.372340425531924</v>
      </c>
      <c r="N110" s="239" t="s">
        <v>90</v>
      </c>
      <c r="O110" s="754">
        <f>(G110/M110)*100</f>
        <v>53.122535755701506</v>
      </c>
      <c r="P110" s="239" t="s">
        <v>90</v>
      </c>
      <c r="R110" s="256">
        <v>2229</v>
      </c>
      <c r="T110" s="256">
        <f>R110-AO110</f>
        <v>2061</v>
      </c>
      <c r="V110" s="760">
        <f>IF(ISERROR(T110/K110),"NA",T110/K110)</f>
        <v>9.9325301204819283</v>
      </c>
      <c r="X110" s="761">
        <f>IF(ISERROR(V110/V103),"NA",(V110/V103-1)*100)</f>
        <v>1.1546946181258066</v>
      </c>
      <c r="Y110" s="239" t="s">
        <v>90</v>
      </c>
      <c r="Z110" s="759">
        <f>INDEX(stores!$I$143:$I$253,MATCH(A109,stores!$B$143:$B$253)+1)</f>
        <v>24.184000000000001</v>
      </c>
      <c r="AB110" s="362">
        <f>AVERAGE(Z110,Z106)</f>
        <v>24.011000000000003</v>
      </c>
      <c r="AD110" s="702">
        <f>(AB110/AB103-1)*100</f>
        <v>4.2551343840910194</v>
      </c>
      <c r="AE110" s="239" t="s">
        <v>90</v>
      </c>
      <c r="AF110" s="754">
        <f>(G110/AD110)*100</f>
        <v>129.49180340477855</v>
      </c>
      <c r="AG110" s="239" t="s">
        <v>90</v>
      </c>
      <c r="AI110" s="256">
        <f>T110</f>
        <v>2061</v>
      </c>
      <c r="AK110" s="762">
        <f>IF(ISERROR(AI110/AB110),"NA",AI110/AB110)</f>
        <v>85.835658656449112</v>
      </c>
      <c r="AM110" s="756">
        <f>(AK110/AK103-1)*100</f>
        <v>7.089981284760527</v>
      </c>
      <c r="AN110" s="239" t="s">
        <v>90</v>
      </c>
      <c r="AO110" s="362">
        <v>168</v>
      </c>
      <c r="AP110" s="255">
        <f>AO110/AO103-1</f>
        <v>0.16666666666666674</v>
      </c>
    </row>
    <row r="111" spans="1:42" ht="12.75" customHeight="1" x14ac:dyDescent="0.2">
      <c r="A111" s="239" t="s">
        <v>93</v>
      </c>
      <c r="C111" s="751">
        <f>INDEX('qtrP&amp;L'!$11:$11,MATCH($A109,'qtrP&amp;L'!$6:$6,0)+1)</f>
        <v>12.370707488622257</v>
      </c>
      <c r="E111" s="751">
        <f>INDEX('qtrP&amp;L'!$11:$11,MATCH($A109,'qtrP&amp;L'!$6:$6,0)+2)</f>
        <v>7.3</v>
      </c>
      <c r="G111" s="702">
        <f>C111-E111</f>
        <v>5.070707488622257</v>
      </c>
      <c r="I111" s="759">
        <f>INDEX(stores!$I$9:$I$115,MATCH(A109,stores!$B$9:$B$115)+2)</f>
        <v>214</v>
      </c>
      <c r="J111" s="706">
        <f>I111-I110</f>
        <v>3</v>
      </c>
      <c r="K111" s="362">
        <f>AVERAGE(I110:I111)</f>
        <v>212.5</v>
      </c>
      <c r="M111" s="702">
        <f>(K111/K104-1)*100</f>
        <v>10.389610389610393</v>
      </c>
      <c r="O111" s="754">
        <f>(G111/M111)*100</f>
        <v>48.805559577989207</v>
      </c>
      <c r="R111" s="362">
        <v>2716</v>
      </c>
      <c r="T111" s="362">
        <f>R111-AO111</f>
        <v>2494</v>
      </c>
      <c r="V111" s="763">
        <f>IF(ISERROR(T111/K111),"NA",T111/K111)</f>
        <v>11.736470588235294</v>
      </c>
      <c r="X111" s="761">
        <f>IF(ISERROR(V111/V104),"NA",(V111/V104-1)*100)</f>
        <v>0.63566094589282418</v>
      </c>
      <c r="Z111" s="759">
        <f>INDEX(stores!$I$143:$I$253,MATCH(A109,stores!$B$143:$B$253)+2)</f>
        <v>24.297999999999998</v>
      </c>
      <c r="AB111" s="362">
        <f>AVERAGE(Z110:Z111)</f>
        <v>24.241</v>
      </c>
      <c r="AD111" s="702">
        <f>(AB111/AB104-1)*100</f>
        <v>3.9672328015096792</v>
      </c>
      <c r="AF111" s="754">
        <f>(G111/AD111)*100</f>
        <v>127.8147197888832</v>
      </c>
      <c r="AI111" s="362">
        <f>T111</f>
        <v>2494</v>
      </c>
      <c r="AK111" s="764">
        <f>IF(ISERROR(AI111/AB111),"NA",AI111/AB111)</f>
        <v>102.88354440823399</v>
      </c>
      <c r="AM111" s="756">
        <f>(AK111/AK104-1)*100</f>
        <v>6.8522370344046291</v>
      </c>
      <c r="AO111" s="362">
        <v>222</v>
      </c>
      <c r="AP111" s="255">
        <f>AO111/AO104-1</f>
        <v>0.29069767441860472</v>
      </c>
    </row>
    <row r="112" spans="1:42" ht="12.75" customHeight="1" x14ac:dyDescent="0.2">
      <c r="A112" s="239" t="s">
        <v>94</v>
      </c>
      <c r="C112" s="751">
        <f>INDEX('qtrP&amp;L'!$12:$12,MATCH($A109,'qtrP&amp;L'!$6:$6,0)+1)</f>
        <v>14.183037853378044</v>
      </c>
      <c r="E112" s="751">
        <f>INDEX('qtrP&amp;L'!$12:$12,MATCH($A109,'qtrP&amp;L'!$6:$6,0)+2)</f>
        <v>7.9</v>
      </c>
      <c r="G112" s="702">
        <f>C112-E112</f>
        <v>6.283037853378044</v>
      </c>
      <c r="I112" s="759">
        <f>INDEX(stores!$I$9:$I$115,MATCH(A109,stores!$B$9:$B$115)+3)</f>
        <v>225</v>
      </c>
      <c r="J112" s="706">
        <f>I112-I111</f>
        <v>11</v>
      </c>
      <c r="K112" s="362">
        <f>AVERAGE(I111:I112)</f>
        <v>219.5</v>
      </c>
      <c r="M112" s="702">
        <f>(K112/K105-1)*100</f>
        <v>10.858585858585856</v>
      </c>
      <c r="O112" s="754">
        <f>(G112/M112)*100</f>
        <v>57.86239511483037</v>
      </c>
      <c r="R112" s="362">
        <v>2383</v>
      </c>
      <c r="T112" s="362">
        <f>R112-AO112</f>
        <v>2205</v>
      </c>
      <c r="V112" s="763">
        <f>IF(ISERROR(T112/K112),"NA",T112/K112)</f>
        <v>10.045558086560364</v>
      </c>
      <c r="X112" s="761">
        <f>IF(ISERROR(V112/V105),"NA",(V112/V105-1)*100)</f>
        <v>1.8443676978470158</v>
      </c>
      <c r="Z112" s="759">
        <f>INDEX(stores!$I$143:$I$253,MATCH(A109,stores!$B$143:$B$253)+3)</f>
        <v>24.744</v>
      </c>
      <c r="AB112" s="362">
        <f>AVERAGE(Z111:Z112)</f>
        <v>24.521000000000001</v>
      </c>
      <c r="AD112" s="702">
        <f>(AB112/AB105-1)*100</f>
        <v>4.0237564959168637</v>
      </c>
      <c r="AF112" s="754">
        <f>(G112/AD112)*100</f>
        <v>156.14856067343544</v>
      </c>
      <c r="AI112" s="362">
        <f>T112</f>
        <v>2205</v>
      </c>
      <c r="AK112" s="764">
        <f>IF(ISERROR(AI112/AB112),"NA",AI112/AB112)</f>
        <v>89.92292320867827</v>
      </c>
      <c r="AM112" s="756">
        <f>(AK112/AK105-1)*100</f>
        <v>8.5360013997218829</v>
      </c>
      <c r="AO112" s="524">
        <v>178</v>
      </c>
      <c r="AP112" s="255">
        <f>AO112/AO105-1</f>
        <v>0.32835820895522394</v>
      </c>
    </row>
    <row r="113" spans="1:43" ht="12.75" customHeight="1" x14ac:dyDescent="0.2">
      <c r="A113" s="239" t="s">
        <v>95</v>
      </c>
      <c r="C113" s="766">
        <f>INDEX('qtrP&amp;L'!$13:$13,MATCH($A109,'qtrP&amp;L'!$6:$6,0)+1)</f>
        <v>12.535511363636353</v>
      </c>
      <c r="E113" s="766">
        <f>INDEX('qtrP&amp;L'!$13:$13,MATCH($A109,'qtrP&amp;L'!$6:$6,0)+2)</f>
        <v>7.1</v>
      </c>
      <c r="G113" s="767">
        <f>C113-E113</f>
        <v>5.435511363636353</v>
      </c>
      <c r="I113" s="759">
        <f>INDEX(stores!$I$9:$I$115,MATCH(A109,stores!$B$9:$B$115)+4)</f>
        <v>225</v>
      </c>
      <c r="J113" s="706">
        <f>I113-I112</f>
        <v>0</v>
      </c>
      <c r="K113" s="556">
        <f>AVERAGE(I112:I113)</f>
        <v>225</v>
      </c>
      <c r="M113" s="767">
        <f>(K113/K106-1)*100</f>
        <v>10.565110565110558</v>
      </c>
      <c r="O113" s="768">
        <f>(G113/M113)*100</f>
        <v>51.447747093023189</v>
      </c>
      <c r="R113" s="556">
        <v>3169</v>
      </c>
      <c r="T113" s="556">
        <f>R113-AO113</f>
        <v>2824</v>
      </c>
      <c r="V113" s="769">
        <f>IF(ISERROR(T113/K113),"NA",T113/K113)</f>
        <v>12.551111111111112</v>
      </c>
      <c r="X113" s="770">
        <f>IF(ISERROR(V113/V106),"NA",(V113/V106-1)*100)</f>
        <v>-0.26743025727796743</v>
      </c>
      <c r="Z113" s="759">
        <f>INDEX(stores!$I$143:$I$253,MATCH(A109,stores!$B$143:$B$253)+4)</f>
        <v>24.744999999999997</v>
      </c>
      <c r="AB113" s="556">
        <f>AVERAGE(Z112:Z113)</f>
        <v>24.744499999999999</v>
      </c>
      <c r="AD113" s="767">
        <f>(AB113/AB106-1)*100</f>
        <v>3.8811922753988259</v>
      </c>
      <c r="AF113" s="768">
        <f>(G113/AD113)*100</f>
        <v>140.04746423127946</v>
      </c>
      <c r="AI113" s="556">
        <f>T113</f>
        <v>2824</v>
      </c>
      <c r="AK113" s="771">
        <f>IF(ISERROR(AI113/AB113),"NA",AI113/AB113)</f>
        <v>114.12637151690275</v>
      </c>
      <c r="AM113" s="772">
        <f>(AK113/AK106-1)*100</f>
        <v>6.1495575764398014</v>
      </c>
      <c r="AO113" s="526">
        <v>345</v>
      </c>
      <c r="AP113" s="258">
        <f>AO113/AO106-1</f>
        <v>0.35294117647058831</v>
      </c>
    </row>
    <row r="114" spans="1:43" ht="12.75" customHeight="1" x14ac:dyDescent="0.2">
      <c r="A114" s="607" t="s">
        <v>55</v>
      </c>
      <c r="C114" s="751">
        <f>INDEX('qtrP&amp;L'!$14:$14,MATCH($A109,'qtrP&amp;L'!$6:$6,0)+1)</f>
        <v>12.749731471535974</v>
      </c>
      <c r="E114" s="751">
        <f>INDEX('qtrP&amp;L'!$14:$14,MATCH($A109,'qtrP&amp;L'!$6:$6,0)+2)</f>
        <v>7.2</v>
      </c>
      <c r="G114" s="702">
        <f>C114-E114</f>
        <v>5.5497314715359733</v>
      </c>
      <c r="I114" s="752"/>
      <c r="J114" s="239">
        <f>I113-I106</f>
        <v>21</v>
      </c>
      <c r="K114" s="362">
        <f>AVERAGE(K110:K113)</f>
        <v>216.125</v>
      </c>
      <c r="M114" s="702">
        <f>(K114/K107-1)*100</f>
        <v>10.549872122762149</v>
      </c>
      <c r="O114" s="754">
        <f>(G114/M114)*100</f>
        <v>52.604727402922805</v>
      </c>
      <c r="R114" s="256">
        <v>10497</v>
      </c>
      <c r="T114" s="256">
        <f>R114-AO114</f>
        <v>9584</v>
      </c>
      <c r="V114" s="760">
        <f>IF(ISERROR(T114/K114),"NA",T114/K114)</f>
        <v>44.344707923655292</v>
      </c>
      <c r="X114" s="761">
        <f>IF(ISERROR(V114/V107),"NA",(V114/V107-1)*100)</f>
        <v>0.74829051800824331</v>
      </c>
      <c r="Z114" s="757"/>
      <c r="AB114" s="362">
        <f>AVERAGE(AB110:AB113)</f>
        <v>24.379375</v>
      </c>
      <c r="AD114" s="702">
        <f>(AB114/AB107-1)*100</f>
        <v>4.0303180622896395</v>
      </c>
      <c r="AF114" s="754">
        <f>(G114/AD114)*100</f>
        <v>137.69959059715373</v>
      </c>
      <c r="AI114" s="256">
        <f>SUM(AI110:AI113)</f>
        <v>9584</v>
      </c>
      <c r="AK114" s="762">
        <f>IF(ISERROR(AI114/AB114),"NA",AI114/AB114)</f>
        <v>393.11918373625247</v>
      </c>
      <c r="AM114" s="756">
        <f>(AK114/AK107-1)*100</f>
        <v>7.0621607316805113</v>
      </c>
      <c r="AO114" s="524">
        <v>913</v>
      </c>
      <c r="AP114" s="255">
        <f>AO114/AO107-1</f>
        <v>0.29503546099290778</v>
      </c>
    </row>
    <row r="115" spans="1:43" ht="12.75" customHeight="1" x14ac:dyDescent="0.2">
      <c r="I115" s="752"/>
      <c r="K115" s="362"/>
      <c r="O115" s="754"/>
      <c r="X115" s="756"/>
      <c r="Z115" s="757"/>
      <c r="AB115" s="362"/>
      <c r="AF115" s="754"/>
      <c r="AM115" s="756"/>
      <c r="AP115" s="255"/>
    </row>
    <row r="116" spans="1:43" ht="12.75" customHeight="1" x14ac:dyDescent="0.2">
      <c r="A116" s="758">
        <v>2012</v>
      </c>
      <c r="I116" s="752"/>
      <c r="K116" s="362"/>
      <c r="O116" s="754"/>
      <c r="X116" s="756"/>
      <c r="Z116" s="757"/>
      <c r="AB116" s="362"/>
      <c r="AF116" s="754"/>
      <c r="AM116" s="756"/>
      <c r="AP116" s="255"/>
    </row>
    <row r="117" spans="1:43" ht="12.75" customHeight="1" x14ac:dyDescent="0.2">
      <c r="A117" s="239" t="s">
        <v>92</v>
      </c>
      <c r="C117" s="751">
        <f>INDEX('qtrP&amp;L'!$10:$10,MATCH($A116,'qtrP&amp;L'!$6:$6,0)+1)</f>
        <v>13.728129205921945</v>
      </c>
      <c r="D117" s="239" t="s">
        <v>90</v>
      </c>
      <c r="E117" s="751">
        <f>INDEX('qtrP&amp;L'!$10:$10,MATCH($A116,'qtrP&amp;L'!$6:$6,0)+2)</f>
        <v>8.5</v>
      </c>
      <c r="F117" s="239" t="s">
        <v>90</v>
      </c>
      <c r="G117" s="702">
        <f>C117-E117</f>
        <v>5.2281292059219453</v>
      </c>
      <c r="H117" s="239" t="s">
        <v>90</v>
      </c>
      <c r="I117" s="759">
        <f>INDEX(stores!$I$9:$I$115,MATCH(A116,stores!$B$9:$B$115)+1)</f>
        <v>229</v>
      </c>
      <c r="J117" s="706">
        <f>I117-I113</f>
        <v>4</v>
      </c>
      <c r="K117" s="362">
        <f>AVERAGE(I117,I113)</f>
        <v>227</v>
      </c>
      <c r="M117" s="702">
        <f>(K117/K110-1)*100</f>
        <v>9.3975903614457845</v>
      </c>
      <c r="N117" s="239" t="s">
        <v>90</v>
      </c>
      <c r="O117" s="754">
        <f>(G117/M117)*100</f>
        <v>55.632656934810434</v>
      </c>
      <c r="P117" s="239" t="s">
        <v>90</v>
      </c>
      <c r="R117" s="256">
        <v>2535</v>
      </c>
      <c r="T117" s="256">
        <f>R117-AO117</f>
        <v>2293</v>
      </c>
      <c r="V117" s="760">
        <f>IF(ISERROR(T117/K117),"NA",T117/K117)</f>
        <v>10.101321585903083</v>
      </c>
      <c r="X117" s="761">
        <f>IF(ISERROR(V117/V110),"NA",(V117/V110-1)*100)</f>
        <v>1.69938035297863</v>
      </c>
      <c r="Y117" s="239" t="s">
        <v>90</v>
      </c>
      <c r="Z117" s="759">
        <f>INDEX(stores!$I$143:$I$253,MATCH(A116,stores!$B$143:$B$253)+1)</f>
        <v>24.898</v>
      </c>
      <c r="AB117" s="362">
        <f>AVERAGE(Z117,Z113)</f>
        <v>24.8215</v>
      </c>
      <c r="AD117" s="702">
        <f>(AB117/AB110-1)*100</f>
        <v>3.3755362125692301</v>
      </c>
      <c r="AE117" s="239" t="s">
        <v>90</v>
      </c>
      <c r="AF117" s="754">
        <f>(G117/AD117)*100</f>
        <v>154.88292456926857</v>
      </c>
      <c r="AG117" s="239" t="s">
        <v>90</v>
      </c>
      <c r="AI117" s="256">
        <f>T117</f>
        <v>2293</v>
      </c>
      <c r="AK117" s="762">
        <f>IF(ISERROR(AI117/AB117),"NA",AI117/AB117)</f>
        <v>92.379590274560357</v>
      </c>
      <c r="AM117" s="756">
        <f>(AK117/AK110-1)*100</f>
        <v>7.6237914644575078</v>
      </c>
      <c r="AN117" s="239" t="s">
        <v>90</v>
      </c>
      <c r="AO117" s="362">
        <v>242</v>
      </c>
      <c r="AP117" s="255">
        <f>AO117/AO110-1</f>
        <v>0.44047619047619047</v>
      </c>
    </row>
    <row r="118" spans="1:43" ht="12.75" customHeight="1" x14ac:dyDescent="0.2">
      <c r="A118" s="239" t="s">
        <v>93</v>
      </c>
      <c r="C118" s="751">
        <f>INDEX('qtrP&amp;L'!$11:$11,MATCH($A116,'qtrP&amp;L'!$6:$6,0)+1)</f>
        <v>7.4374079528718662</v>
      </c>
      <c r="E118" s="751">
        <f>INDEX('qtrP&amp;L'!$11:$11,MATCH($A116,'qtrP&amp;L'!$6:$6,0)+2)</f>
        <v>4.5</v>
      </c>
      <c r="G118" s="702">
        <f>C118-E118</f>
        <v>2.9374079528718662</v>
      </c>
      <c r="I118" s="759">
        <f>INDEX(stores!$I$9:$I$115,MATCH(A116,stores!$B$9:$B$115)+2)</f>
        <v>231</v>
      </c>
      <c r="J118" s="706">
        <f>I118-I117</f>
        <v>2</v>
      </c>
      <c r="K118" s="362">
        <f>AVERAGE(I117:I118)</f>
        <v>230</v>
      </c>
      <c r="M118" s="702">
        <f>(K118/K111-1)*100</f>
        <v>8.2352941176470509</v>
      </c>
      <c r="O118" s="754">
        <f>(G118/M118)*100</f>
        <v>35.668525142015554</v>
      </c>
      <c r="R118" s="362">
        <v>2918</v>
      </c>
      <c r="T118" s="362">
        <f>R118-AO118</f>
        <v>2609</v>
      </c>
      <c r="V118" s="763">
        <f>IF(ISERROR(T118/K118),"NA",T118/K118)</f>
        <v>11.343478260869565</v>
      </c>
      <c r="X118" s="761">
        <f>IF(ISERROR(V118/V111),"NA",(V118/V111-1)*100)</f>
        <v>-3.3484711132805711</v>
      </c>
      <c r="Z118" s="759">
        <f>INDEX(stores!$I$143:$I$253,MATCH(A116,stores!$B$143:$B$253)+2)</f>
        <v>24.974</v>
      </c>
      <c r="AB118" s="362">
        <f>AVERAGE(Z117:Z118)</f>
        <v>24.936</v>
      </c>
      <c r="AD118" s="702">
        <f>(AB118/AB111-1)*100</f>
        <v>2.8670434388020416</v>
      </c>
      <c r="AF118" s="754">
        <f>(G118/AD118)*100</f>
        <v>102.45425350441239</v>
      </c>
      <c r="AI118" s="362">
        <f>T118</f>
        <v>2609</v>
      </c>
      <c r="AK118" s="764">
        <f>IF(ISERROR(AI118/AB118),"NA",AI118/AB118)</f>
        <v>104.62784728906</v>
      </c>
      <c r="AM118" s="756">
        <f>(AK118/AK111-1)*100</f>
        <v>1.6954148409825009</v>
      </c>
      <c r="AO118" s="362">
        <v>309</v>
      </c>
      <c r="AP118" s="255">
        <f>AO118/AO111-1</f>
        <v>0.39189189189189189</v>
      </c>
    </row>
    <row r="119" spans="1:43" ht="12.75" customHeight="1" x14ac:dyDescent="0.2">
      <c r="A119" s="239" t="s">
        <v>94</v>
      </c>
      <c r="C119" s="751">
        <f>INDEX('qtrP&amp;L'!$12:$12,MATCH($A116,'qtrP&amp;L'!$6:$6,0)+1)</f>
        <v>13.84809064204784</v>
      </c>
      <c r="E119" s="751">
        <f>INDEX('qtrP&amp;L'!$12:$12,MATCH($A116,'qtrP&amp;L'!$6:$6,0)+2)</f>
        <v>10.7</v>
      </c>
      <c r="G119" s="702">
        <f>C119-E119</f>
        <v>3.1480906420478405</v>
      </c>
      <c r="I119" s="759">
        <f>INDEX(stores!$I$9:$I$115,MATCH(A116,stores!$B$9:$B$115)+3)</f>
        <v>238</v>
      </c>
      <c r="J119" s="706">
        <f>I119-I118</f>
        <v>7</v>
      </c>
      <c r="K119" s="362">
        <f>AVERAGE(I118:I119)</f>
        <v>234.5</v>
      </c>
      <c r="M119" s="702">
        <f>(K119/K112-1)*100</f>
        <v>6.8337129840546629</v>
      </c>
      <c r="O119" s="754">
        <f>(G119/M119)*100</f>
        <v>46.067059728633446</v>
      </c>
      <c r="R119" s="362">
        <v>2713</v>
      </c>
      <c r="T119" s="362">
        <f>R119-AO119</f>
        <v>2465</v>
      </c>
      <c r="V119" s="763">
        <f>IF(ISERROR(T119/K119),"NA",T119/K119)</f>
        <v>10.511727078891258</v>
      </c>
      <c r="X119" s="761">
        <f>IF(ISERROR(V119/V112),"NA",(V119/V112-1)*100)</f>
        <v>4.640548472409578</v>
      </c>
      <c r="Z119" s="759">
        <f>INDEX(stores!$I$143:$I$253,MATCH(A116,stores!$B$143:$B$253)+3)</f>
        <v>25.213000000000001</v>
      </c>
      <c r="AB119" s="362">
        <f>AVERAGE(Z118:Z119)</f>
        <v>25.093499999999999</v>
      </c>
      <c r="AD119" s="702">
        <f>(AB119/AB112-1)*100</f>
        <v>2.3347334937400488</v>
      </c>
      <c r="AF119" s="754">
        <f>(G119/AD119)*100</f>
        <v>134.83725874874315</v>
      </c>
      <c r="AI119" s="362">
        <f>T119</f>
        <v>2465</v>
      </c>
      <c r="AK119" s="764">
        <f>IF(ISERROR(AI119/AB119),"NA",AI119/AB119)</f>
        <v>98.232610038456173</v>
      </c>
      <c r="AM119" s="756">
        <f>(AK119/AK112-1)*100</f>
        <v>9.24089935387682</v>
      </c>
      <c r="AO119" s="524">
        <v>248</v>
      </c>
      <c r="AP119" s="255">
        <f>AO119/AO112-1</f>
        <v>0.39325842696629221</v>
      </c>
    </row>
    <row r="120" spans="1:43" ht="12.75" customHeight="1" x14ac:dyDescent="0.2">
      <c r="A120" s="239" t="s">
        <v>95</v>
      </c>
      <c r="C120" s="766">
        <f>INDEX('qtrP&amp;L'!$13:$13,MATCH($A116,'qtrP&amp;L'!$6:$6,0)+1)</f>
        <v>13.474282107920477</v>
      </c>
      <c r="E120" s="766">
        <f>INDEX('qtrP&amp;L'!$13:$13,MATCH($A116,'qtrP&amp;L'!$6:$6,0)+2)</f>
        <v>6.3</v>
      </c>
      <c r="G120" s="767">
        <f>C120-E120</f>
        <v>7.1742821079204768</v>
      </c>
      <c r="I120" s="759">
        <f>INDEX(stores!$I$9:$I$115,MATCH(A116,stores!$B$9:$B$115)+4)</f>
        <v>240</v>
      </c>
      <c r="J120" s="706">
        <f>I120-I119</f>
        <v>2</v>
      </c>
      <c r="K120" s="556">
        <f>AVERAGE(I119:I120)</f>
        <v>239</v>
      </c>
      <c r="M120" s="767">
        <f>(K120/K113-1)*100</f>
        <v>6.2222222222222179</v>
      </c>
      <c r="O120" s="768">
        <f>(G120/M120)*100</f>
        <v>115.30096244872203</v>
      </c>
      <c r="R120" s="556">
        <v>3596</v>
      </c>
      <c r="T120" s="556">
        <f>R120-AO120</f>
        <v>3126</v>
      </c>
      <c r="V120" s="769">
        <f>IF(ISERROR(T120/K120),"NA",T120/K120)</f>
        <v>13.07949790794979</v>
      </c>
      <c r="X120" s="770">
        <f>IF(ISERROR(V120/V113),"NA",(V120/V113-1)*100)</f>
        <v>4.2098806405348022</v>
      </c>
      <c r="Z120" s="759">
        <f>INDEX(stores!$I$143:$I$253,MATCH(A116,stores!$B$143:$B$253)+4)</f>
        <v>25.29</v>
      </c>
      <c r="AB120" s="556">
        <f>AVERAGE(Z119:Z120)</f>
        <v>25.2515</v>
      </c>
      <c r="AD120" s="767">
        <f>(AB120/AB113-1)*100</f>
        <v>2.0489401685223063</v>
      </c>
      <c r="AF120" s="768">
        <f>(G120/AD120)*100</f>
        <v>350.14600319415683</v>
      </c>
      <c r="AI120" s="556">
        <f>T120</f>
        <v>3126</v>
      </c>
      <c r="AK120" s="771">
        <f>IF(ISERROR(AI120/AB120),"NA",AI120/AB120)</f>
        <v>123.79462606181811</v>
      </c>
      <c r="AM120" s="772">
        <f>(AK120/AK113-1)*100</f>
        <v>8.471534156751348</v>
      </c>
      <c r="AO120" s="526">
        <v>470</v>
      </c>
      <c r="AP120" s="258">
        <f>AO120/AO113-1</f>
        <v>0.3623188405797102</v>
      </c>
    </row>
    <row r="121" spans="1:43" ht="12.75" customHeight="1" thickBot="1" x14ac:dyDescent="0.25">
      <c r="A121" s="607" t="s">
        <v>55</v>
      </c>
      <c r="C121" s="751">
        <f>INDEX('qtrP&amp;L'!$14:$14,MATCH($A116,'qtrP&amp;L'!$6:$6,0)+1)</f>
        <v>12.051062208249984</v>
      </c>
      <c r="E121" s="751">
        <f>INDEX('qtrP&amp;L'!$14:$14,MATCH($A116,'qtrP&amp;L'!$6:$6,0)+2)</f>
        <v>7.3</v>
      </c>
      <c r="G121" s="702">
        <f>C121-E121</f>
        <v>4.7510622082499845</v>
      </c>
      <c r="I121" s="752"/>
      <c r="J121" s="239">
        <f>I120-I113</f>
        <v>15</v>
      </c>
      <c r="K121" s="362">
        <f>AVERAGE(K117:K120)</f>
        <v>232.625</v>
      </c>
      <c r="M121" s="702">
        <f>(K121/K114-1)*100</f>
        <v>7.634470792365522</v>
      </c>
      <c r="O121" s="754">
        <f>(G121/M121)*100</f>
        <v>62.231716348971446</v>
      </c>
      <c r="R121" s="1075">
        <f>SUM(R117:R120)</f>
        <v>11762</v>
      </c>
      <c r="T121" s="256">
        <f>R121-AO121</f>
        <v>10493</v>
      </c>
      <c r="V121" s="760">
        <f>IF(ISERROR(T121/K121),"NA",T121/K121)</f>
        <v>45.106931757119831</v>
      </c>
      <c r="X121" s="761">
        <f>IF(ISERROR(V121/V114),"NA",(V121/V114-1)*100)</f>
        <v>1.7188608723656351</v>
      </c>
      <c r="Z121" s="757"/>
      <c r="AB121" s="362">
        <f>AVERAGE(AB117:AB120)</f>
        <v>25.025624999999998</v>
      </c>
      <c r="AD121" s="702">
        <f>(AB121/AB114-1)*100</f>
        <v>2.6508062655420828</v>
      </c>
      <c r="AF121" s="754">
        <f>(G121/AD121)*100</f>
        <v>179.230835161709</v>
      </c>
      <c r="AI121" s="256">
        <f>SUM(AI117:AI120)</f>
        <v>10493</v>
      </c>
      <c r="AK121" s="762">
        <f>IF(ISERROR(AI121/AB121),"NA",AI121/AB121)</f>
        <v>419.29022751679531</v>
      </c>
      <c r="AM121" s="756">
        <f>(AK121/AK114-1)*100</f>
        <v>6.6572797419373053</v>
      </c>
      <c r="AO121" s="524">
        <v>1269</v>
      </c>
      <c r="AP121" s="255">
        <f>AO121/AO114-1</f>
        <v>0.38992332968236587</v>
      </c>
    </row>
    <row r="122" spans="1:43" ht="12.75" customHeight="1" thickBot="1" x14ac:dyDescent="0.25">
      <c r="C122" s="775"/>
      <c r="D122" s="249"/>
      <c r="E122" s="775"/>
      <c r="F122" s="249"/>
      <c r="G122" s="591"/>
      <c r="H122" s="249"/>
      <c r="I122" s="776"/>
      <c r="J122" s="249"/>
      <c r="K122" s="361"/>
      <c r="L122" s="249"/>
      <c r="M122" s="591"/>
      <c r="N122" s="249"/>
      <c r="O122" s="777"/>
      <c r="P122" s="362"/>
      <c r="Q122" s="1074" t="s">
        <v>476</v>
      </c>
      <c r="R122" s="1076">
        <v>162</v>
      </c>
      <c r="X122" s="756"/>
      <c r="Z122" s="757"/>
      <c r="AB122" s="362"/>
      <c r="AF122" s="754"/>
      <c r="AM122" s="756"/>
    </row>
    <row r="123" spans="1:43" ht="12.75" customHeight="1" x14ac:dyDescent="0.2">
      <c r="A123" s="758">
        <v>2013</v>
      </c>
      <c r="I123" s="752"/>
      <c r="K123" s="362"/>
      <c r="O123" s="754"/>
      <c r="P123" s="362"/>
      <c r="X123" s="756"/>
      <c r="Z123" s="757"/>
      <c r="AB123" s="362"/>
      <c r="AF123" s="754"/>
      <c r="AM123" s="756"/>
      <c r="AO123" s="755"/>
    </row>
    <row r="124" spans="1:43" ht="12.75" customHeight="1" x14ac:dyDescent="0.2">
      <c r="A124" s="239" t="s">
        <v>92</v>
      </c>
      <c r="C124" s="751">
        <f>(R124/R117-1)*100</f>
        <v>4.8126232741617425</v>
      </c>
      <c r="D124" s="239" t="s">
        <v>90</v>
      </c>
      <c r="E124" s="751">
        <v>2.7</v>
      </c>
      <c r="F124" s="239" t="s">
        <v>90</v>
      </c>
      <c r="G124" s="702">
        <f>C124-E124</f>
        <v>2.1126232741617423</v>
      </c>
      <c r="H124" s="239" t="s">
        <v>90</v>
      </c>
      <c r="I124" s="759">
        <f>INDEX(stores!$I$9:$I$115,MATCH(A123,stores!$B$9:$B$115)+1)</f>
        <v>245</v>
      </c>
      <c r="J124" s="706">
        <f>I124-I120</f>
        <v>5</v>
      </c>
      <c r="K124" s="362">
        <f>AVERAGE(I124,I120)</f>
        <v>242.5</v>
      </c>
      <c r="M124" s="702">
        <f>(K124/K117-1)*100</f>
        <v>6.8281938325991165</v>
      </c>
      <c r="N124" s="239" t="s">
        <v>90</v>
      </c>
      <c r="O124" s="754">
        <f>(G124/M124)*100</f>
        <v>30.939708595788108</v>
      </c>
      <c r="P124" s="239" t="s">
        <v>90</v>
      </c>
      <c r="R124" s="256">
        <v>2657</v>
      </c>
      <c r="T124" s="256">
        <f>R124-AO124</f>
        <v>2356</v>
      </c>
      <c r="V124" s="760">
        <f>IF(ISERROR(T124/K124),"NA",T124/K124)</f>
        <v>9.7154639175257724</v>
      </c>
      <c r="X124" s="761">
        <f>IF(ISERROR(V124/V117),"NA",(V124/V117-1)*100)</f>
        <v>-3.8198731234910355</v>
      </c>
      <c r="Y124" s="239" t="s">
        <v>90</v>
      </c>
      <c r="Z124" s="759">
        <f>INDEX(stores!$I$143:$I$253,MATCH(A123,stores!$B$143:$B$253)+1)</f>
        <v>25.463000000000001</v>
      </c>
      <c r="AB124" s="362">
        <f>AVERAGE(Z124,Z120)</f>
        <v>25.3765</v>
      </c>
      <c r="AD124" s="702">
        <f>(AB124/AB117-1)*100</f>
        <v>2.2359647885905387</v>
      </c>
      <c r="AE124" s="239" t="s">
        <v>90</v>
      </c>
      <c r="AF124" s="754">
        <f>(G124/AD124)*100</f>
        <v>94.483745224514664</v>
      </c>
      <c r="AG124" s="239" t="s">
        <v>90</v>
      </c>
      <c r="AI124" s="256">
        <f>T124</f>
        <v>2356</v>
      </c>
      <c r="AK124" s="762">
        <f>IF(ISERROR(AI124/AB124),"NA",AI124/AB124)</f>
        <v>92.841802455027292</v>
      </c>
      <c r="AM124" s="756">
        <f>(AK124/AK117-1)*100</f>
        <v>0.50034014991102715</v>
      </c>
      <c r="AN124" s="239" t="s">
        <v>90</v>
      </c>
      <c r="AO124" s="362">
        <v>301</v>
      </c>
      <c r="AP124" s="778">
        <f>AO124/AO117-1</f>
        <v>0.24380165289256195</v>
      </c>
      <c r="AQ124" s="779"/>
    </row>
    <row r="125" spans="1:43" ht="12.75" customHeight="1" x14ac:dyDescent="0.2">
      <c r="A125" s="239" t="s">
        <v>93</v>
      </c>
      <c r="C125" s="751">
        <f>(R125/R118-1)*100</f>
        <v>6.3742289239204997</v>
      </c>
      <c r="E125" s="751">
        <v>4.4000000000000004</v>
      </c>
      <c r="G125" s="702">
        <f>C125-E125</f>
        <v>1.9742289239204993</v>
      </c>
      <c r="I125" s="759">
        <f>INDEX(stores!$I$9:$I$115,MATCH(A123,stores!$B$9:$B$115)+2)</f>
        <v>248</v>
      </c>
      <c r="J125" s="706">
        <f>I125-I124</f>
        <v>3</v>
      </c>
      <c r="K125" s="362">
        <f>AVERAGE(I124:I125)</f>
        <v>246.5</v>
      </c>
      <c r="M125" s="702">
        <f>(K125/K118-1)*100</f>
        <v>7.1739130434782528</v>
      </c>
      <c r="O125" s="754">
        <f>(G125/M125)*100</f>
        <v>27.519554697073655</v>
      </c>
      <c r="P125" s="362"/>
      <c r="R125" s="362">
        <v>3104</v>
      </c>
      <c r="T125" s="362">
        <f>R125-AO125</f>
        <v>2679</v>
      </c>
      <c r="V125" s="763">
        <f>IF(ISERROR(T125/K125),"NA",T125/K125)</f>
        <v>10.86815415821501</v>
      </c>
      <c r="X125" s="761">
        <f>IF(ISERROR(V125/V118),"NA",(V125/V118-1)*100)</f>
        <v>-4.190285305118735</v>
      </c>
      <c r="Z125" s="759">
        <f>INDEX(stores!$I$143:$I$253,MATCH(A123,stores!$B$143:$B$253)+2)</f>
        <v>25.567</v>
      </c>
      <c r="AB125" s="362">
        <f>AVERAGE(Z124:Z125)</f>
        <v>25.515000000000001</v>
      </c>
      <c r="AD125" s="702">
        <f>(AB125/AB118-1)*100</f>
        <v>2.3219441770933713</v>
      </c>
      <c r="AF125" s="754">
        <f>(G125/AD125)*100</f>
        <v>85.024822878896913</v>
      </c>
      <c r="AI125" s="362">
        <f>T125</f>
        <v>2679</v>
      </c>
      <c r="AK125" s="764">
        <f>IF(ISERROR(AI125/AB125),"NA",AI125/AB125)</f>
        <v>104.99706055261611</v>
      </c>
      <c r="AM125" s="756">
        <f>(AK125/AK118-1)*100</f>
        <v>0.35288240475412902</v>
      </c>
      <c r="AO125" s="362">
        <v>425</v>
      </c>
      <c r="AP125" s="778">
        <f>AO125/AO118-1</f>
        <v>0.37540453074433655</v>
      </c>
      <c r="AQ125" s="779"/>
    </row>
    <row r="126" spans="1:43" ht="12.75" customHeight="1" x14ac:dyDescent="0.2">
      <c r="A126" s="239" t="s">
        <v>94</v>
      </c>
      <c r="C126" s="751">
        <f>(R126/R119-1)*100</f>
        <v>2.8750460744563222</v>
      </c>
      <c r="E126" s="751">
        <v>0.1</v>
      </c>
      <c r="G126" s="702">
        <f>C126-E126</f>
        <v>2.7750460744563221</v>
      </c>
      <c r="I126" s="759">
        <f>INDEX(stores!$I$9:$I$115,MATCH(A123,stores!$B$9:$B$115)+3)</f>
        <v>257</v>
      </c>
      <c r="J126" s="706">
        <f>I126-I125</f>
        <v>9</v>
      </c>
      <c r="K126" s="362">
        <f>AVERAGE(I125:I126)</f>
        <v>252.5</v>
      </c>
      <c r="M126" s="702">
        <f>(K126/K119-1)*100</f>
        <v>7.6759061833688635</v>
      </c>
      <c r="O126" s="754">
        <f>(G126/M126)*100</f>
        <v>36.15268358111156</v>
      </c>
      <c r="P126" s="362"/>
      <c r="R126" s="362">
        <v>2791</v>
      </c>
      <c r="T126" s="362">
        <f>R126-AO126</f>
        <v>2485.96</v>
      </c>
      <c r="V126" s="763">
        <f>IF(ISERROR(T126/K126),"NA",T126/K126)</f>
        <v>9.8453861386138612</v>
      </c>
      <c r="X126" s="761">
        <f>IF(ISERROR(V126/V119),"NA",(V126/V119-1)*100)</f>
        <v>-6.3390243608539398</v>
      </c>
      <c r="Z126" s="759">
        <f>INDEX(stores!$I$143:$I$253,MATCH(A123,stores!$B$143:$B$253)+3)</f>
        <v>25.905999999999999</v>
      </c>
      <c r="AB126" s="362">
        <f>AVERAGE(Z125:Z126)</f>
        <v>25.736499999999999</v>
      </c>
      <c r="AD126" s="702">
        <f>(AB126/AB119-1)*100</f>
        <v>2.562416562057912</v>
      </c>
      <c r="AF126" s="754">
        <f>(G126/AD126)*100</f>
        <v>108.2980072618499</v>
      </c>
      <c r="AI126" s="362">
        <f>T126</f>
        <v>2485.96</v>
      </c>
      <c r="AK126" s="764">
        <f>IF(ISERROR(AI126/AB126),"NA",AI126/AB126)</f>
        <v>96.59277679560158</v>
      </c>
      <c r="AM126" s="756">
        <f>(AK126/AK119-1)*100</f>
        <v>-1.6693369362909438</v>
      </c>
      <c r="AO126" s="362">
        <v>305.04000000000002</v>
      </c>
      <c r="AP126" s="778">
        <f>AO126/AO119-1</f>
        <v>0.22999999999999998</v>
      </c>
      <c r="AQ126" s="779"/>
    </row>
    <row r="127" spans="1:43" ht="12.75" customHeight="1" x14ac:dyDescent="0.2">
      <c r="A127" s="239" t="s">
        <v>95</v>
      </c>
      <c r="C127" s="766">
        <f>(R127/R120-1)*100</f>
        <v>0.50055617352613435</v>
      </c>
      <c r="E127" s="766">
        <v>2.2000000000000002</v>
      </c>
      <c r="G127" s="767">
        <f>C127-E127</f>
        <v>-1.6994438264738658</v>
      </c>
      <c r="I127" s="759">
        <f>INDEX(stores!$I$9:$I$115,MATCH(A123,stores!$B$9:$B$115)+4)</f>
        <v>260</v>
      </c>
      <c r="J127" s="706">
        <f>I127-I126</f>
        <v>3</v>
      </c>
      <c r="K127" s="556">
        <f>AVERAGE(I126:I127)</f>
        <v>258.5</v>
      </c>
      <c r="M127" s="767">
        <f>(K127/K120-1)*100</f>
        <v>8.1589958158995834</v>
      </c>
      <c r="O127" s="768">
        <f>(G127/M127)*100</f>
        <v>-20.829080744987376</v>
      </c>
      <c r="P127" s="362"/>
      <c r="R127" s="556">
        <v>3614</v>
      </c>
      <c r="T127" s="556">
        <f>R127-AO127</f>
        <v>3023</v>
      </c>
      <c r="V127" s="769">
        <f>IF(ISERROR(T127/K127),"NA",T127/K127)</f>
        <v>11.694390715667311</v>
      </c>
      <c r="X127" s="770">
        <f>IF(ISERROR(V127/V120),"NA",(V127/V120-1)*100)</f>
        <v>-10.589911035045185</v>
      </c>
      <c r="Z127" s="759">
        <f>INDEX(stores!$I$143:$I$253,MATCH(A123,stores!$B$143:$B$253)+4)</f>
        <v>26.016999999999999</v>
      </c>
      <c r="AB127" s="556">
        <f>AVERAGE(Z126:Z127)</f>
        <v>25.961500000000001</v>
      </c>
      <c r="AD127" s="767">
        <f>(AB127/AB120-1)*100</f>
        <v>2.8117141555947134</v>
      </c>
      <c r="AF127" s="768">
        <f>(G127/AD127)*100</f>
        <v>-60.441557442542084</v>
      </c>
      <c r="AI127" s="556">
        <f>T127</f>
        <v>3023</v>
      </c>
      <c r="AK127" s="771">
        <f>IF(ISERROR(AI127/AB127),"NA",AI127/AB127)</f>
        <v>116.44165398763553</v>
      </c>
      <c r="AM127" s="772">
        <f>(AK127/AK120-1)*100</f>
        <v>-5.9396536894184671</v>
      </c>
      <c r="AO127" s="556">
        <v>591</v>
      </c>
      <c r="AP127" s="778">
        <f>AO127/AO120-1</f>
        <v>0.25744680851063828</v>
      </c>
      <c r="AQ127" s="779"/>
    </row>
    <row r="128" spans="1:43" ht="12.75" customHeight="1" thickBot="1" x14ac:dyDescent="0.25">
      <c r="A128" s="607" t="s">
        <v>55</v>
      </c>
      <c r="C128" s="1069">
        <f>(R128/R121-1)*100</f>
        <v>3.4347900017003941</v>
      </c>
      <c r="E128" s="751">
        <f>INDEX('qtrP&amp;L'!$14:$14,MATCH($A123,'qtrP&amp;L'!$6:$6,0)+2)</f>
        <v>2.5</v>
      </c>
      <c r="F128" s="780"/>
      <c r="G128" s="702">
        <f>C128-E128</f>
        <v>0.93479000170039406</v>
      </c>
      <c r="I128" s="752"/>
      <c r="J128" s="753">
        <f>I127-I120</f>
        <v>20</v>
      </c>
      <c r="K128" s="362">
        <f>AVERAGE(K124:K127)</f>
        <v>250</v>
      </c>
      <c r="M128" s="702">
        <f>(K128/K121-1)*100</f>
        <v>7.4691026329930077</v>
      </c>
      <c r="O128" s="754">
        <f>(G128/M128)*100</f>
        <v>12.515425850103847</v>
      </c>
      <c r="R128" s="256">
        <f>SUM(R124:R127)</f>
        <v>12166</v>
      </c>
      <c r="T128" s="256">
        <f>R128-AO128</f>
        <v>10543.96</v>
      </c>
      <c r="V128" s="760">
        <f>IF(ISERROR(T128/K128),"NA",T128/K128)</f>
        <v>42.175839999999994</v>
      </c>
      <c r="X128" s="761">
        <f>IF(ISERROR(V128/V121),"NA",(V128/V121-1)*100)</f>
        <v>-6.4980960640427128</v>
      </c>
      <c r="Z128" s="757"/>
      <c r="AB128" s="362">
        <f>AVERAGE(AB124:AB127)</f>
        <v>25.647375</v>
      </c>
      <c r="AD128" s="702">
        <f>(AB128/AB121-1)*100</f>
        <v>2.4844534352288949</v>
      </c>
      <c r="AF128" s="754">
        <f>(G128/AD128)*100</f>
        <v>37.625579471336358</v>
      </c>
      <c r="AI128" s="256">
        <f>SUM(AI124:AI127)</f>
        <v>10543.96</v>
      </c>
      <c r="AK128" s="762">
        <f>IF(ISERROR(AI128/AB128),"NA",AI128/AB128)</f>
        <v>411.11263823295752</v>
      </c>
      <c r="AM128" s="756">
        <f>(AK128/AK121-1)*100</f>
        <v>-1.9503410161187729</v>
      </c>
      <c r="AO128" s="524">
        <f>SUM(AO124:AO127)</f>
        <v>1622.04</v>
      </c>
      <c r="AP128" s="778">
        <f>AO128/AO121-1</f>
        <v>0.27820330969267126</v>
      </c>
      <c r="AQ128" s="779"/>
    </row>
    <row r="129" spans="1:43" ht="12.75" customHeight="1" thickBot="1" x14ac:dyDescent="0.25">
      <c r="B129" s="1068"/>
      <c r="C129" s="1070"/>
      <c r="D129" s="1071" t="s">
        <v>477</v>
      </c>
      <c r="E129" s="1072">
        <f>SUMPRODUCT(E126:E127,R126:R127)/SUM(R126:R127)</f>
        <v>1.2849180327868854</v>
      </c>
      <c r="G129" s="702"/>
      <c r="I129" s="752"/>
      <c r="O129" s="754"/>
      <c r="R129" s="362"/>
      <c r="T129" s="362"/>
      <c r="Z129" s="757"/>
    </row>
    <row r="130" spans="1:43" ht="12.75" customHeight="1" x14ac:dyDescent="0.2">
      <c r="A130" s="758">
        <v>2014</v>
      </c>
      <c r="I130" s="752"/>
      <c r="K130" s="362"/>
      <c r="O130" s="754"/>
      <c r="P130" s="362"/>
      <c r="X130" s="756"/>
      <c r="Z130" s="757"/>
      <c r="AB130" s="362"/>
      <c r="AF130" s="754"/>
      <c r="AM130" s="756"/>
    </row>
    <row r="131" spans="1:43" ht="12.75" customHeight="1" x14ac:dyDescent="0.2">
      <c r="A131" s="239" t="s">
        <v>92</v>
      </c>
      <c r="C131" s="751">
        <f>(R131/R124-1)*100</f>
        <v>6.7745577719232175</v>
      </c>
      <c r="E131" s="751">
        <f>'qtrP&amp;L'!CX10</f>
        <v>3.9</v>
      </c>
      <c r="F131" s="239" t="s">
        <v>90</v>
      </c>
      <c r="G131" s="702">
        <f>C131-E131</f>
        <v>2.8745577719232176</v>
      </c>
      <c r="H131" s="239" t="s">
        <v>90</v>
      </c>
      <c r="I131" s="759">
        <f>INDEX(stores!$I$9:$I$115,MATCH(A130,stores!$B$9:$B$115)+1)</f>
        <v>270</v>
      </c>
      <c r="J131" s="706">
        <f>I131-I127</f>
        <v>10</v>
      </c>
      <c r="K131" s="362">
        <f>AVERAGE(I131,I127)</f>
        <v>265</v>
      </c>
      <c r="M131" s="702">
        <f>(K131/K124-1)*100</f>
        <v>9.2783505154639059</v>
      </c>
      <c r="N131" s="239" t="s">
        <v>90</v>
      </c>
      <c r="O131" s="754">
        <f>(G131/M131)*100</f>
        <v>30.981344875172496</v>
      </c>
      <c r="R131" s="256">
        <f>'qtrP&amp;L'!CV10</f>
        <v>2837</v>
      </c>
      <c r="T131" s="256">
        <f>R131-AO131</f>
        <v>2436</v>
      </c>
      <c r="V131" s="760">
        <f>IF(ISERROR(T131/K131),"NA",T131/K131)</f>
        <v>9.1924528301886799</v>
      </c>
      <c r="X131" s="761">
        <f>IF(ISERROR(V131/V124),"NA",(V131/V124-1)*100)</f>
        <v>-5.3832847486946056</v>
      </c>
      <c r="Y131" s="239" t="s">
        <v>90</v>
      </c>
      <c r="Z131" s="759">
        <f>INDEX(stores!$I$143:$I$253,MATCH(A130,stores!$B$143:$B$253)+1)</f>
        <v>26.407</v>
      </c>
      <c r="AB131" s="362">
        <f>AVERAGE(Z131,Z127)</f>
        <v>26.212</v>
      </c>
      <c r="AD131" s="702">
        <f>(AB131/AB124-1)*100</f>
        <v>3.292416211849547</v>
      </c>
      <c r="AE131" s="239" t="s">
        <v>90</v>
      </c>
      <c r="AF131" s="754">
        <f>(G131/AD131)*100</f>
        <v>87.308456372482951</v>
      </c>
      <c r="AG131" s="239" t="s">
        <v>90</v>
      </c>
      <c r="AI131" s="256">
        <f>T131</f>
        <v>2436</v>
      </c>
      <c r="AK131" s="762">
        <f>IF(ISERROR(AI131/AB131),"NA",AI131/AB131)</f>
        <v>92.934533801312384</v>
      </c>
      <c r="AM131" s="756">
        <f>(AK131/AK124-1)*100</f>
        <v>9.9881027546833145E-2</v>
      </c>
      <c r="AN131" s="239" t="s">
        <v>90</v>
      </c>
      <c r="AO131" s="362">
        <v>401</v>
      </c>
      <c r="AP131" s="778">
        <f>AO131/AO124-1</f>
        <v>0.33222591362126241</v>
      </c>
      <c r="AQ131" s="779"/>
    </row>
    <row r="132" spans="1:43" ht="12.75" customHeight="1" x14ac:dyDescent="0.2">
      <c r="A132" s="239" t="s">
        <v>93</v>
      </c>
      <c r="C132" s="751">
        <f>(R132/R125-1)*100</f>
        <v>6.1855670103092786</v>
      </c>
      <c r="E132" s="751">
        <f>'qtrP&amp;L'!CX11</f>
        <v>3.3</v>
      </c>
      <c r="G132" s="702">
        <f>C132-E132</f>
        <v>2.8855670103092788</v>
      </c>
      <c r="I132" s="759">
        <f>INDEX(stores!$I$9:$I$115,MATCH(A130,stores!$B$9:$B$115)+2)</f>
        <v>271</v>
      </c>
      <c r="J132" s="706">
        <f>I132-I131</f>
        <v>1</v>
      </c>
      <c r="K132" s="362">
        <f>AVERAGE(I132,I131)</f>
        <v>270.5</v>
      </c>
      <c r="M132" s="702">
        <f>(K132/K125-1)*100</f>
        <v>9.7363083164300193</v>
      </c>
      <c r="O132" s="754">
        <f>(G132/M132)*100</f>
        <v>29.637177835051553</v>
      </c>
      <c r="P132" s="362"/>
      <c r="R132" s="362">
        <f>'qtrP&amp;L'!CV11</f>
        <v>3296</v>
      </c>
      <c r="T132" s="362">
        <f>R132-AO132</f>
        <v>2777</v>
      </c>
      <c r="V132" s="763">
        <f>IF(ISERROR(T132/K132),"NA",T132/K132)</f>
        <v>10.266173752310536</v>
      </c>
      <c r="X132" s="761">
        <f>IF(ISERROR(V132/V125),"NA",(V132/V125-1)*100)</f>
        <v>-5.5389387851979439</v>
      </c>
      <c r="Z132" s="759">
        <f>INDEX(stores!$I$143:$I$253,MATCH(A130,stores!$B$143:$B$253)+2)</f>
        <v>26.442</v>
      </c>
      <c r="AB132" s="362">
        <f>AVERAGE(Z131:Z132)</f>
        <v>26.424500000000002</v>
      </c>
      <c r="AD132" s="702">
        <f>(AB132/AB125-1)*100</f>
        <v>3.5645698608661514</v>
      </c>
      <c r="AF132" s="754">
        <f>(G132/AD132)*100</f>
        <v>80.951338392568857</v>
      </c>
      <c r="AI132" s="362">
        <f>T132</f>
        <v>2777</v>
      </c>
      <c r="AK132" s="764">
        <f>IF(ISERROR(AI132/AB132),"NA",AI132/AB132)</f>
        <v>105.09186550360461</v>
      </c>
      <c r="AM132" s="756">
        <f>(AK132/AK125-1)*100</f>
        <v>9.0292957240456495E-2</v>
      </c>
      <c r="AO132" s="362">
        <v>519</v>
      </c>
      <c r="AP132" s="778">
        <f>AO132/AO125-1</f>
        <v>0.22117647058823531</v>
      </c>
      <c r="AQ132" s="779"/>
    </row>
    <row r="133" spans="1:43" ht="12.75" customHeight="1" x14ac:dyDescent="0.2">
      <c r="A133" s="239" t="s">
        <v>94</v>
      </c>
      <c r="C133" s="751">
        <f>(R133/R126-1)*100</f>
        <v>8.9215335005374374</v>
      </c>
      <c r="E133" s="751">
        <f>'qtrP&amp;L'!CX12</f>
        <v>4.3</v>
      </c>
      <c r="G133" s="702">
        <f>C133-E133</f>
        <v>4.6215335005374376</v>
      </c>
      <c r="I133" s="759">
        <f>INDEX(stores!$I$9:$I$115,MATCH(A130,stores!$B$9:$B$115)+3)</f>
        <v>293</v>
      </c>
      <c r="J133" s="706">
        <f>I133-I132</f>
        <v>22</v>
      </c>
      <c r="K133" s="362">
        <f>AVERAGE(I133,I132)</f>
        <v>282</v>
      </c>
      <c r="M133" s="702">
        <f>(K133/K126-1)*100</f>
        <v>11.683168316831694</v>
      </c>
      <c r="O133" s="754">
        <f>(G133/M133)*100</f>
        <v>39.557193521549216</v>
      </c>
      <c r="P133" s="362"/>
      <c r="R133" s="362">
        <f>'qtrP&amp;L'!CV12</f>
        <v>3040</v>
      </c>
      <c r="T133" s="362">
        <f>R133-AO133</f>
        <v>2669</v>
      </c>
      <c r="V133" s="763">
        <f>IF(ISERROR(T133/K133),"NA",T133/K133)</f>
        <v>9.4645390070921991</v>
      </c>
      <c r="X133" s="761">
        <f>IF(ISERROR(V133/V126),"NA",(V133/V126-1)*100)</f>
        <v>-3.8682802904801195</v>
      </c>
      <c r="Z133" s="759">
        <f>INDEX(stores!$I$143:$I$253,MATCH(A130,stores!$B$143:$B$253)+3)</f>
        <v>27.271999999999998</v>
      </c>
      <c r="AB133" s="362">
        <f>AVERAGE(Z132:Z133)</f>
        <v>26.856999999999999</v>
      </c>
      <c r="AD133" s="702">
        <f>(AB133/AB126-1)*100</f>
        <v>4.3537388533794408</v>
      </c>
      <c r="AF133" s="754">
        <f>(G133/AD133)*100</f>
        <v>106.15091203621756</v>
      </c>
      <c r="AI133" s="362">
        <f>T133</f>
        <v>2669</v>
      </c>
      <c r="AK133" s="764">
        <f>IF(ISERROR(AI133/AB133),"NA",AI133/AB133)</f>
        <v>99.378188181852039</v>
      </c>
      <c r="AM133" s="756">
        <f>(AK133/AK126-1)*100</f>
        <v>2.8836642641971277</v>
      </c>
      <c r="AO133" s="362">
        <v>371</v>
      </c>
      <c r="AP133" s="778">
        <f>AO133/AO126-1</f>
        <v>0.21623393653291356</v>
      </c>
      <c r="AQ133" s="779"/>
    </row>
    <row r="134" spans="1:43" ht="12.75" customHeight="1" x14ac:dyDescent="0.2">
      <c r="A134" s="239" t="s">
        <v>95</v>
      </c>
      <c r="C134" s="766">
        <f>(R134/R127-1)*100</f>
        <v>8.9651355838406221</v>
      </c>
      <c r="E134" s="766">
        <f>'qtrP&amp;L'!CX13</f>
        <v>4.7</v>
      </c>
      <c r="G134" s="767">
        <f>C134-E134</f>
        <v>4.265135583840622</v>
      </c>
      <c r="I134" s="759">
        <f>INDEX(stores!$I$9:$I$115,MATCH(A130,stores!$B$9:$B$115)+4)</f>
        <v>292</v>
      </c>
      <c r="J134" s="706">
        <f>I134-I133</f>
        <v>-1</v>
      </c>
      <c r="K134" s="556">
        <f>AVERAGE(I134,I133)</f>
        <v>292.5</v>
      </c>
      <c r="M134" s="767">
        <f>(K134/K127-1)*100</f>
        <v>13.152804642166348</v>
      </c>
      <c r="O134" s="768">
        <f>(G134/M134)*100</f>
        <v>32.427574953611774</v>
      </c>
      <c r="P134" s="362"/>
      <c r="R134" s="556">
        <f>'qtrP&amp;L'!CV13</f>
        <v>3938</v>
      </c>
      <c r="T134" s="556">
        <f>R134-AO134</f>
        <v>3233</v>
      </c>
      <c r="V134" s="769">
        <f>IF(ISERROR(T134/K134),"NA",T134/K134)</f>
        <v>11.052991452991453</v>
      </c>
      <c r="X134" s="770">
        <f>IF(ISERROR(V134/V127),"NA",(V134/V127-1)*100)</f>
        <v>-5.4846744757429455</v>
      </c>
      <c r="Z134" s="759">
        <f>INDEX(stores!$I$143:$I$253,MATCH(A130,stores!$B$143:$B$253)+4)</f>
        <v>27.061</v>
      </c>
      <c r="AB134" s="556">
        <f>AVERAGE(Z133:Z134)</f>
        <v>27.166499999999999</v>
      </c>
      <c r="AD134" s="767">
        <f>(AB134/AB127-1)*100</f>
        <v>4.6414883577605259</v>
      </c>
      <c r="AF134" s="768">
        <f>(G134/AD134)*100</f>
        <v>91.89154975923519</v>
      </c>
      <c r="AI134" s="556">
        <f>T134</f>
        <v>3233</v>
      </c>
      <c r="AK134" s="771">
        <f>IF(ISERROR(AI134/AB134),"NA",AI134/AB134)</f>
        <v>119.00686507279187</v>
      </c>
      <c r="AM134" s="772">
        <f>(AK134/AK127-1)*100</f>
        <v>2.2030012433769786</v>
      </c>
      <c r="AO134" s="556">
        <v>705</v>
      </c>
      <c r="AP134" s="778">
        <f>AO134/AO127-1</f>
        <v>0.19289340101522834</v>
      </c>
      <c r="AQ134" s="779"/>
    </row>
    <row r="135" spans="1:43" ht="12.75" customHeight="1" thickBot="1" x14ac:dyDescent="0.25">
      <c r="A135" s="607" t="s">
        <v>55</v>
      </c>
      <c r="C135" s="751">
        <f>(R135/R128-1)*100</f>
        <v>7.7675489067894121</v>
      </c>
      <c r="E135" s="751">
        <f>INDEX('qtrP&amp;L'!$14:$14,MATCH($A130,'qtrP&amp;L'!$6:$6,0)+2)</f>
        <v>4</v>
      </c>
      <c r="F135" s="780"/>
      <c r="G135" s="702">
        <f>C135-E135</f>
        <v>3.7675489067894121</v>
      </c>
      <c r="I135" s="752"/>
      <c r="J135" s="753">
        <f>I134-I127</f>
        <v>32</v>
      </c>
      <c r="K135" s="362">
        <f>AVERAGE(K131:K134)</f>
        <v>277.5</v>
      </c>
      <c r="M135" s="702">
        <f>(K135/K128-1)*100</f>
        <v>11.000000000000011</v>
      </c>
      <c r="O135" s="754">
        <f>(G135/M135)*100</f>
        <v>34.250444607176441</v>
      </c>
      <c r="R135" s="256">
        <f>SUM(R131:R134)</f>
        <v>13111</v>
      </c>
      <c r="T135" s="256">
        <f>R135-AO135</f>
        <v>11115</v>
      </c>
      <c r="V135" s="760">
        <f>IF(ISERROR(T135/K135),"NA",T135/K135)</f>
        <v>40.054054054054056</v>
      </c>
      <c r="X135" s="761">
        <f>IF(ISERROR(V135/V128),"NA",(V135/V128-1)*100)</f>
        <v>-5.0308089796099793</v>
      </c>
      <c r="Z135" s="757"/>
      <c r="AB135" s="362">
        <f>AVERAGE(AB131:AB134)</f>
        <v>26.664999999999999</v>
      </c>
      <c r="AD135" s="702">
        <f>(AB135/AB128-1)*100</f>
        <v>3.9677549846719229</v>
      </c>
      <c r="AF135" s="754">
        <f>(G135/AD135)*100</f>
        <v>94.954172355502322</v>
      </c>
      <c r="AI135" s="256">
        <f>SUM(AI131:AI134)</f>
        <v>11115</v>
      </c>
      <c r="AK135" s="762">
        <f>IF(ISERROR(AI135/AB135),"NA",AI135/AB135)</f>
        <v>416.83855240952562</v>
      </c>
      <c r="AM135" s="756">
        <f>(AK135/AK128-1)*100</f>
        <v>1.3927847611737709</v>
      </c>
      <c r="AO135" s="524">
        <f>SUM(AO131:AO134)</f>
        <v>1996</v>
      </c>
      <c r="AP135" s="778">
        <f>AO135/AO128-1</f>
        <v>0.23054918497694254</v>
      </c>
      <c r="AQ135" s="779"/>
    </row>
    <row r="136" spans="1:43" ht="12.75" customHeight="1" thickBot="1" x14ac:dyDescent="0.25">
      <c r="C136" s="1070"/>
      <c r="D136" s="1071" t="s">
        <v>477</v>
      </c>
      <c r="E136" s="1072">
        <f>SUMPRODUCT(E133:E134,R133:R134)/SUM(R133:R134)</f>
        <v>4.5257380338205797</v>
      </c>
      <c r="G136" s="702"/>
      <c r="I136" s="752"/>
      <c r="O136" s="754"/>
      <c r="R136" s="362"/>
      <c r="T136" s="362"/>
      <c r="Z136" s="757"/>
    </row>
    <row r="137" spans="1:43" ht="12.75" customHeight="1" x14ac:dyDescent="0.2">
      <c r="A137" s="758">
        <v>2015</v>
      </c>
      <c r="I137" s="752"/>
      <c r="K137" s="362"/>
      <c r="O137" s="754"/>
      <c r="P137" s="362"/>
      <c r="X137" s="756"/>
      <c r="Z137" s="757"/>
      <c r="AB137" s="362"/>
      <c r="AF137" s="754"/>
      <c r="AM137" s="756"/>
    </row>
    <row r="138" spans="1:43" ht="12.75" customHeight="1" x14ac:dyDescent="0.2">
      <c r="A138" s="239" t="s">
        <v>92</v>
      </c>
      <c r="C138" s="751">
        <f>(R138/R131-1)*100</f>
        <v>9.7990835389496045</v>
      </c>
      <c r="E138" s="751">
        <f>'qtrP&amp;L'!DB10</f>
        <v>4.4000000000000004</v>
      </c>
      <c r="F138" s="239" t="s">
        <v>90</v>
      </c>
      <c r="G138" s="702">
        <f>C138-E138</f>
        <v>5.3990835389496041</v>
      </c>
      <c r="H138" s="239" t="s">
        <v>90</v>
      </c>
      <c r="I138" s="759">
        <f>INDEX(stores!$I$9:$I$121,MATCH(A137,stores!$B$9:$B$121)+1)</f>
        <v>303</v>
      </c>
      <c r="J138" s="706">
        <f>I138-I134</f>
        <v>11</v>
      </c>
      <c r="K138" s="362">
        <f>AVERAGE(I138,I134)</f>
        <v>297.5</v>
      </c>
      <c r="M138" s="702">
        <f>(K138/K131-1)*100</f>
        <v>12.264150943396235</v>
      </c>
      <c r="N138" s="239" t="s">
        <v>90</v>
      </c>
      <c r="O138" s="754">
        <f>(G138/M138)*100</f>
        <v>44.023296548358282</v>
      </c>
      <c r="R138" s="256">
        <f>'qtrP&amp;L'!CZ10</f>
        <v>3115</v>
      </c>
      <c r="T138" s="256">
        <f>R138-AO138</f>
        <v>2635</v>
      </c>
      <c r="V138" s="760">
        <f>IF(ISERROR(T138/K138),"NA",T138/K138)</f>
        <v>8.8571428571428577</v>
      </c>
      <c r="X138" s="761">
        <f>IF(ISERROR(V138/V131),"NA",(V138/V131-1)*100)</f>
        <v>-3.6476659629368968</v>
      </c>
      <c r="Y138" s="239" t="s">
        <v>90</v>
      </c>
      <c r="Z138" s="759">
        <f>stores!I256</f>
        <v>27.52</v>
      </c>
      <c r="AB138" s="362">
        <f>AVERAGE(Z138,Z134)</f>
        <v>27.290500000000002</v>
      </c>
      <c r="AD138" s="702">
        <f>(AB138/AB131-1)*100</f>
        <v>4.1145276972379241</v>
      </c>
      <c r="AE138" s="239" t="s">
        <v>90</v>
      </c>
      <c r="AF138" s="754">
        <f>(G138/AD138)*100</f>
        <v>131.22000716082189</v>
      </c>
      <c r="AG138" s="239" t="s">
        <v>90</v>
      </c>
      <c r="AI138" s="256">
        <f>T138</f>
        <v>2635</v>
      </c>
      <c r="AK138" s="762">
        <f>IF(ISERROR(AI138/AB138),"NA",AI138/AB138)</f>
        <v>96.553745808981148</v>
      </c>
      <c r="AM138" s="756">
        <f>(AK138/AK131-1)*100</f>
        <v>3.8943672062813572</v>
      </c>
      <c r="AN138" s="239" t="s">
        <v>90</v>
      </c>
      <c r="AO138" s="362">
        <v>480</v>
      </c>
      <c r="AP138" s="778">
        <f>AO138/AO131-1</f>
        <v>0.19700748129675816</v>
      </c>
      <c r="AQ138" s="779"/>
    </row>
    <row r="139" spans="1:43" ht="12.75" customHeight="1" x14ac:dyDescent="0.2">
      <c r="A139" s="239" t="s">
        <v>93</v>
      </c>
      <c r="C139" s="751">
        <f>(R139/R132-1)*100</f>
        <v>9.1626213592232997</v>
      </c>
      <c r="E139" s="751">
        <f>'qtrP&amp;L'!DB11</f>
        <v>4.9000000000000004</v>
      </c>
      <c r="F139" s="239" t="s">
        <v>90</v>
      </c>
      <c r="G139" s="702">
        <f>C139-E139</f>
        <v>4.2626213592232993</v>
      </c>
      <c r="I139" s="759">
        <f>INDEX(stores!$I$9:$I$121,MATCH(A137,stores!$B$9:$B$121)+2)</f>
        <v>304</v>
      </c>
      <c r="J139" s="706">
        <f>I139-I138</f>
        <v>1</v>
      </c>
      <c r="K139" s="362">
        <f>AVERAGE(I139,I138)</f>
        <v>303.5</v>
      </c>
      <c r="M139" s="702">
        <f>(K139/K132-1)*100</f>
        <v>12.199630314232902</v>
      </c>
      <c r="O139" s="754">
        <f>(G139/M139)*100</f>
        <v>34.940578111209163</v>
      </c>
      <c r="P139" s="362"/>
      <c r="R139" s="362">
        <f>'qtrP&amp;L'!CZ11</f>
        <v>3598</v>
      </c>
      <c r="T139" s="362">
        <f>R139-AO139</f>
        <v>2973</v>
      </c>
      <c r="V139" s="763">
        <f>IF(ISERROR(T139/K139),"NA",T139/K139)</f>
        <v>9.7957166392092265</v>
      </c>
      <c r="X139" s="761">
        <f>IF(ISERROR(V139/V132),"NA",(V139/V132-1)*100)</f>
        <v>-4.5825944938388208</v>
      </c>
      <c r="Z139" s="759">
        <f>stores!I257</f>
        <v>27.556000000000001</v>
      </c>
      <c r="AB139" s="362">
        <f>AVERAGE(Z138:Z139)</f>
        <v>27.538</v>
      </c>
      <c r="AD139" s="702">
        <f>(AB139/AB132-1)*100</f>
        <v>4.2138924104524245</v>
      </c>
      <c r="AF139" s="754">
        <f>(G139/AD139)*100</f>
        <v>101.15638806178356</v>
      </c>
      <c r="AI139" s="362">
        <f>T139</f>
        <v>2973</v>
      </c>
      <c r="AK139" s="764">
        <f>IF(ISERROR(AI139/AB139),"NA",AI139/AB139)</f>
        <v>107.95990994262473</v>
      </c>
      <c r="AM139" s="756">
        <f>(AK139/AK132-1)*100</f>
        <v>2.7290831933340698</v>
      </c>
      <c r="AO139" s="362">
        <v>625</v>
      </c>
      <c r="AP139" s="781">
        <f>AO139/AO132-1</f>
        <v>0.20423892100192687</v>
      </c>
      <c r="AQ139" s="779"/>
    </row>
    <row r="140" spans="1:43" ht="12.75" customHeight="1" x14ac:dyDescent="0.2">
      <c r="A140" s="239" t="s">
        <v>94</v>
      </c>
      <c r="C140" s="751">
        <f>(R140/R133-1)*100</f>
        <v>6.5460526315789469</v>
      </c>
      <c r="E140" s="751">
        <f>'qtrP&amp;L'!DB12</f>
        <v>0.9</v>
      </c>
      <c r="G140" s="702">
        <f>C140-E140</f>
        <v>5.6460526315789465</v>
      </c>
      <c r="I140" s="759">
        <f>INDEX(stores!$I$9:$I$121,MATCH(A137,stores!$B$9:$B$121)+3)</f>
        <v>323</v>
      </c>
      <c r="J140" s="706">
        <f>I140-I139</f>
        <v>19</v>
      </c>
      <c r="K140" s="362">
        <f>AVERAGE(I139:I140)</f>
        <v>313.5</v>
      </c>
      <c r="M140" s="702">
        <f>(K140/K133-1)*100</f>
        <v>11.170212765957444</v>
      </c>
      <c r="O140" s="754">
        <f>(G140/M140)*100</f>
        <v>50.545614035087723</v>
      </c>
      <c r="P140" s="362"/>
      <c r="R140" s="362">
        <f>'qtrP&amp;L'!CZ12</f>
        <v>3239</v>
      </c>
      <c r="T140" s="362">
        <f>R140-AO140</f>
        <v>2825</v>
      </c>
      <c r="V140" s="763">
        <f>IF(ISERROR(T140/K140),"NA",T140/K140)</f>
        <v>9.0111642743221694</v>
      </c>
      <c r="X140" s="761">
        <f>IF(ISERROR(V140/V133),"NA",(V140/V133-1)*100)</f>
        <v>-4.7902463335012468</v>
      </c>
      <c r="Z140" s="759">
        <f>stores!I258</f>
        <v>28.61</v>
      </c>
      <c r="AB140" s="362">
        <f>AVERAGE(Z139:Z140)</f>
        <v>28.082999999999998</v>
      </c>
      <c r="AD140" s="702">
        <f>(AB140/AB133-1)*100</f>
        <v>4.5649178984994654</v>
      </c>
      <c r="AF140" s="754">
        <f>(G140/AD140)*100</f>
        <v>123.68355263157879</v>
      </c>
      <c r="AI140" s="362">
        <f>T140</f>
        <v>2825</v>
      </c>
      <c r="AK140" s="764">
        <f>IF(ISERROR(AI140/AB140),"NA",AI140/AB140)</f>
        <v>100.59466581205712</v>
      </c>
      <c r="AM140" s="756">
        <f>(AK140/AK133-1)*100</f>
        <v>1.2240891612745441</v>
      </c>
      <c r="AO140" s="362">
        <v>414</v>
      </c>
      <c r="AP140" s="781">
        <f>AO140/AO133-1</f>
        <v>0.11590296495956864</v>
      </c>
      <c r="AQ140" s="779"/>
    </row>
    <row r="141" spans="1:43" ht="12.75" customHeight="1" x14ac:dyDescent="0.2">
      <c r="A141" s="239" t="s">
        <v>95</v>
      </c>
      <c r="C141" s="766">
        <f>(R141/R134-1)*100</f>
        <v>5.2056881665820232</v>
      </c>
      <c r="E141" s="766">
        <f>'qtrP&amp;L'!DB13</f>
        <v>1</v>
      </c>
      <c r="G141" s="767">
        <f>C141-E141</f>
        <v>4.2056881665820232</v>
      </c>
      <c r="I141" s="759">
        <f>INDEX(stores!$I$9:$I$121,MATCH(A137,stores!$B$9:$B$121)+4)</f>
        <v>323</v>
      </c>
      <c r="J141" s="706">
        <f>I141-I140</f>
        <v>0</v>
      </c>
      <c r="K141" s="556">
        <f>AVERAGE(I140:I141)</f>
        <v>323</v>
      </c>
      <c r="M141" s="767">
        <f>(K141/K134-1)*100</f>
        <v>10.427350427350435</v>
      </c>
      <c r="O141" s="768">
        <f>(G141/M141)*100</f>
        <v>40.333238974598061</v>
      </c>
      <c r="P141" s="362"/>
      <c r="R141" s="556">
        <f>'qtrP&amp;L'!CZ13</f>
        <v>4143</v>
      </c>
      <c r="T141" s="556">
        <f>R141-AO141</f>
        <v>3361</v>
      </c>
      <c r="V141" s="769">
        <f>IF(ISERROR(T141/K141),"NA",T141/K141)</f>
        <v>10.405572755417957</v>
      </c>
      <c r="X141" s="770">
        <f>IF(ISERROR(V141/V134),"NA",(V141/V134-1)*100)</f>
        <v>-5.8574070225873021</v>
      </c>
      <c r="Z141" s="759">
        <f>stores!I259</f>
        <v>28.61</v>
      </c>
      <c r="AB141" s="556">
        <f>AVERAGE(Z140:Z141)</f>
        <v>28.61</v>
      </c>
      <c r="AD141" s="767">
        <f>(AB141/AB134-1)*100</f>
        <v>5.3135295308560204</v>
      </c>
      <c r="AF141" s="768">
        <f>(G141/AD141)*100</f>
        <v>79.150555994077223</v>
      </c>
      <c r="AI141" s="556">
        <f>T141</f>
        <v>3361</v>
      </c>
      <c r="AK141" s="771">
        <f>IF(ISERROR(AI141/AB141),"NA",AI141/AB141)</f>
        <v>117.47640685075149</v>
      </c>
      <c r="AM141" s="772">
        <f>(AK141/AK134-1)*100</f>
        <v>-1.2860251558632796</v>
      </c>
      <c r="AO141" s="556">
        <v>782</v>
      </c>
      <c r="AP141" s="778">
        <f>AO141/AO134-1</f>
        <v>0.10921985815602842</v>
      </c>
      <c r="AQ141" s="779"/>
    </row>
    <row r="142" spans="1:43" ht="12.75" customHeight="1" thickBot="1" x14ac:dyDescent="0.25">
      <c r="A142" s="607" t="s">
        <v>55</v>
      </c>
      <c r="C142" s="751">
        <f>(R142/R135-1)*100</f>
        <v>7.5051483487148296</v>
      </c>
      <c r="E142" s="751">
        <f>INDEX('qtrP&amp;L'!$14:$14,MATCH($A137,'qtrP&amp;L'!$6:$6,0)+2)</f>
        <v>2.7</v>
      </c>
      <c r="F142" s="780"/>
      <c r="G142" s="702">
        <f>C142-E142</f>
        <v>4.8051483487148294</v>
      </c>
      <c r="I142" s="752"/>
      <c r="J142" s="753">
        <f>I141-I134</f>
        <v>31</v>
      </c>
      <c r="K142" s="362">
        <f>AVERAGE(K138:K141)</f>
        <v>309.375</v>
      </c>
      <c r="M142" s="702">
        <f>(K142/K135-1)*100</f>
        <v>11.486486486486491</v>
      </c>
      <c r="O142" s="754">
        <f>(G142/M142)*100</f>
        <v>41.83305621234085</v>
      </c>
      <c r="R142" s="256">
        <f>SUM(R138:R141)</f>
        <v>14095</v>
      </c>
      <c r="T142" s="256">
        <f>R142-AO142</f>
        <v>11794</v>
      </c>
      <c r="V142" s="760">
        <f>IF(ISERROR(T142/K142),"NA",T142/K142)</f>
        <v>38.122020202020202</v>
      </c>
      <c r="X142" s="761">
        <f>IF(ISERROR(V142/V135),"NA",(V142/V135-1)*100)</f>
        <v>-4.8235662972505144</v>
      </c>
      <c r="Z142" s="757"/>
      <c r="AB142" s="362">
        <f>AVERAGE(AB138:AB141)</f>
        <v>27.880375000000001</v>
      </c>
      <c r="AD142" s="702">
        <f>(AB142/AB135-1)*100</f>
        <v>4.557941121320086</v>
      </c>
      <c r="AF142" s="754">
        <f>(G142/AD142)*100</f>
        <v>105.42365995555349</v>
      </c>
      <c r="AI142" s="256">
        <f>SUM(AI138:AI141)</f>
        <v>11794</v>
      </c>
      <c r="AK142" s="762">
        <f>IF(ISERROR(AI142/AB142),"NA",AI142/AB142)</f>
        <v>423.02156983182613</v>
      </c>
      <c r="AM142" s="756">
        <f>(AK142/AK135-1)*100</f>
        <v>1.4833122767939022</v>
      </c>
      <c r="AO142" s="1077">
        <f>SUM(AO138:AO141)</f>
        <v>2301</v>
      </c>
      <c r="AP142" s="778">
        <f>AO142/AO135-1</f>
        <v>0.15280561122244496</v>
      </c>
      <c r="AQ142" s="779">
        <f>AO142/R142</f>
        <v>0.16324937921248669</v>
      </c>
    </row>
    <row r="143" spans="1:43" ht="12.75" customHeight="1" thickBot="1" x14ac:dyDescent="0.25">
      <c r="A143" s="607"/>
      <c r="C143" s="1070"/>
      <c r="D143" s="1071" t="s">
        <v>477</v>
      </c>
      <c r="E143" s="1072">
        <f>SUMPRODUCT(E140:E141,R140:R141)/SUM(R140:R141)</f>
        <v>0.95612300189650501</v>
      </c>
      <c r="F143" s="780"/>
      <c r="G143" s="702"/>
      <c r="I143" s="752"/>
      <c r="J143" s="753"/>
      <c r="K143" s="362"/>
      <c r="M143" s="702"/>
      <c r="O143" s="754"/>
      <c r="R143" s="256"/>
      <c r="T143" s="256"/>
      <c r="V143" s="760"/>
      <c r="X143" s="761"/>
      <c r="Z143" s="757"/>
      <c r="AB143" s="362"/>
      <c r="AD143" s="702"/>
      <c r="AF143" s="754"/>
      <c r="AI143" s="256"/>
      <c r="AK143" s="762"/>
      <c r="AM143" s="756"/>
      <c r="AO143" s="782"/>
      <c r="AP143" s="778"/>
      <c r="AQ143" s="779"/>
    </row>
    <row r="144" spans="1:43" ht="12.75" customHeight="1" outlineLevel="1" x14ac:dyDescent="0.2">
      <c r="A144" s="758">
        <v>2016</v>
      </c>
      <c r="I144" s="752"/>
      <c r="K144" s="362"/>
      <c r="O144" s="754"/>
      <c r="P144" s="362"/>
      <c r="X144" s="756"/>
      <c r="Z144" s="757"/>
      <c r="AB144" s="362"/>
      <c r="AF144" s="754"/>
      <c r="AM144" s="756"/>
    </row>
    <row r="145" spans="1:43" ht="12.75" customHeight="1" outlineLevel="1" x14ac:dyDescent="0.2">
      <c r="A145" s="239" t="s">
        <v>92</v>
      </c>
      <c r="C145" s="751">
        <f>(R145/R138-1)*100</f>
        <v>2.4719101123595433</v>
      </c>
      <c r="E145" s="751">
        <v>-1.7</v>
      </c>
      <c r="F145" s="239" t="s">
        <v>90</v>
      </c>
      <c r="G145" s="702">
        <f>C145-E145</f>
        <v>4.1719101123595435</v>
      </c>
      <c r="H145" s="239" t="s">
        <v>90</v>
      </c>
      <c r="I145" s="759">
        <f>INDEX(stores!$I$9:$I$127,MATCH(A144,stores!$B$9:$B$127)+1)</f>
        <v>330</v>
      </c>
      <c r="J145" s="706">
        <f>I145-I141</f>
        <v>7</v>
      </c>
      <c r="K145" s="362">
        <f>AVERAGE(I145,I141)</f>
        <v>326.5</v>
      </c>
      <c r="M145" s="702">
        <f>(K145/K138-1)*100</f>
        <v>9.7478991596638753</v>
      </c>
      <c r="N145" s="239" t="s">
        <v>90</v>
      </c>
      <c r="O145" s="754">
        <f>(G145/M145)*100</f>
        <v>42.798043394033201</v>
      </c>
      <c r="R145" s="256">
        <f>'qtrP&amp;L'!$DD10</f>
        <v>3192</v>
      </c>
      <c r="T145" s="256">
        <f>R145-AO145</f>
        <v>2531</v>
      </c>
      <c r="V145" s="760">
        <f>IF(ISERROR(T145/K145),"NA",T145/K145)</f>
        <v>7.7519142419601836</v>
      </c>
      <c r="X145" s="761">
        <f>IF(ISERROR(V145/V138),"NA",(V145/V138-1)*100)</f>
        <v>-12.478387590772122</v>
      </c>
      <c r="Y145" s="239" t="s">
        <v>90</v>
      </c>
      <c r="Z145" s="759">
        <f>stores!I262</f>
        <v>28.771999999999998</v>
      </c>
      <c r="AB145" s="362">
        <f>AVERAGE(Z145,Z141)</f>
        <v>28.690999999999999</v>
      </c>
      <c r="AD145" s="702">
        <f>(AB145/AB138-1)*100</f>
        <v>5.1318224290503922</v>
      </c>
      <c r="AE145" s="239" t="s">
        <v>90</v>
      </c>
      <c r="AF145" s="754">
        <f>(G145/AD145)*100</f>
        <v>81.294903906710701</v>
      </c>
      <c r="AG145" s="239" t="s">
        <v>90</v>
      </c>
      <c r="AI145" s="256">
        <f>T145</f>
        <v>2531</v>
      </c>
      <c r="AK145" s="762">
        <f>IF(ISERROR(AI145/AB145),"NA",AI145/AB145)</f>
        <v>88.215816806664108</v>
      </c>
      <c r="AM145" s="756">
        <f>(AK145/AK138-1)*100</f>
        <v>-8.6355313638608386</v>
      </c>
      <c r="AN145" s="239" t="s">
        <v>90</v>
      </c>
      <c r="AO145" s="362">
        <f>'Segment Sales_New'!V22+'Segment Sales_New'!V46</f>
        <v>661</v>
      </c>
      <c r="AP145" s="778">
        <f>AO145/AO138-1</f>
        <v>0.37708333333333344</v>
      </c>
      <c r="AQ145" s="779"/>
    </row>
    <row r="146" spans="1:43" ht="12.75" customHeight="1" outlineLevel="1" x14ac:dyDescent="0.2">
      <c r="A146" s="239" t="s">
        <v>93</v>
      </c>
      <c r="C146" s="751">
        <f>(R146/R139-1)*100</f>
        <v>-0.16675931072818173</v>
      </c>
      <c r="E146" s="751">
        <v>-1.2</v>
      </c>
      <c r="F146" s="239" t="s">
        <v>90</v>
      </c>
      <c r="G146" s="702">
        <f>C146-E146</f>
        <v>1.0332406892718182</v>
      </c>
      <c r="I146" s="759">
        <f>INDEX(stores!$I$9:$I$127,MATCH(A144,stores!$B$9:$B$127)+2)</f>
        <v>329</v>
      </c>
      <c r="J146" s="706">
        <f>I146-I145</f>
        <v>-1</v>
      </c>
      <c r="K146" s="362">
        <f>AVERAGE(I146,I145)</f>
        <v>329.5</v>
      </c>
      <c r="M146" s="702">
        <f>(K146/K139-1)*100</f>
        <v>8.5667215815486095</v>
      </c>
      <c r="O146" s="754">
        <f>(G146/M146)*100</f>
        <v>12.061098045922941</v>
      </c>
      <c r="P146" s="362"/>
      <c r="R146" s="362">
        <f>'qtrP&amp;L'!$DD11</f>
        <v>3592</v>
      </c>
      <c r="T146" s="362">
        <f>R146-AO146</f>
        <v>2752</v>
      </c>
      <c r="V146" s="763">
        <f>IF(ISERROR(T146/K146),"NA",T146/K146)</f>
        <v>8.3520485584218509</v>
      </c>
      <c r="X146" s="761">
        <f>IF(ISERROR(V146/V139),"NA",(V146/V139-1)*100)</f>
        <v>-14.737748487015423</v>
      </c>
      <c r="Z146" s="759">
        <f>stores!I263</f>
        <v>28.826000000000001</v>
      </c>
      <c r="AB146" s="362">
        <f>AVERAGE(Z145:Z146)</f>
        <v>28.798999999999999</v>
      </c>
      <c r="AD146" s="702">
        <f>(AB146/AB139-1)*100</f>
        <v>4.5791270244752713</v>
      </c>
      <c r="AF146" s="754">
        <f>(G146/AD146)*100</f>
        <v>22.564141238039113</v>
      </c>
      <c r="AI146" s="362">
        <f>T146</f>
        <v>2752</v>
      </c>
      <c r="AK146" s="764">
        <f>IF(ISERROR(AI146/AB146),"NA",AI146/AB146)</f>
        <v>95.55887357199903</v>
      </c>
      <c r="AM146" s="756">
        <f>(AK146/AK139-1)*100</f>
        <v>-11.486704997453433</v>
      </c>
      <c r="AO146" s="362">
        <f>'Segment Sales_New'!V23+'Segment Sales_New'!V47</f>
        <v>840</v>
      </c>
      <c r="AP146" s="778">
        <f>AO146/AO139-1</f>
        <v>0.34400000000000008</v>
      </c>
      <c r="AQ146" s="779"/>
    </row>
    <row r="147" spans="1:43" ht="12.75" customHeight="1" outlineLevel="1" x14ac:dyDescent="0.2">
      <c r="A147" s="239" t="s">
        <v>94</v>
      </c>
      <c r="C147" s="751">
        <f>(R147/R140-1)*100</f>
        <v>7.1935782648965718</v>
      </c>
      <c r="E147" s="751">
        <v>2.4</v>
      </c>
      <c r="G147" s="702">
        <f>C147-E147</f>
        <v>4.7935782648965723</v>
      </c>
      <c r="I147" s="759">
        <f>INDEX(stores!$I$9:$I$127,MATCH(A144,stores!$B$9:$B$127)+3)</f>
        <v>348</v>
      </c>
      <c r="J147" s="706">
        <f>I147-I146</f>
        <v>19</v>
      </c>
      <c r="K147" s="362">
        <f>AVERAGE(I146:I147)</f>
        <v>338.5</v>
      </c>
      <c r="M147" s="702">
        <f>(K147/K140-1)*100</f>
        <v>7.9744816586921896</v>
      </c>
      <c r="O147" s="754">
        <f>(G147/M147)*100</f>
        <v>60.111471441802976</v>
      </c>
      <c r="P147" s="362"/>
      <c r="R147" s="362">
        <v>3472</v>
      </c>
      <c r="T147" s="362">
        <f>R147-AO147</f>
        <v>2816</v>
      </c>
      <c r="V147" s="763">
        <f>IF(ISERROR(T147/K147),"NA",T147/K147)</f>
        <v>8.3190546528803537</v>
      </c>
      <c r="X147" s="761">
        <f>IF(ISERROR(V147/V140),"NA",(V147/V140-1)*100)</f>
        <v>-7.6805793388321835</v>
      </c>
      <c r="Z147" s="759">
        <f>stores!I264</f>
        <v>29.783000000000001</v>
      </c>
      <c r="AB147" s="362">
        <f>AVERAGE(Z146:Z147)</f>
        <v>29.304500000000001</v>
      </c>
      <c r="AD147" s="702">
        <f>(AB147/AB140-1)*100</f>
        <v>4.3496065235195669</v>
      </c>
      <c r="AF147" s="754">
        <f>(G147/AD147)*100</f>
        <v>110.20717021128976</v>
      </c>
      <c r="AI147" s="362">
        <f>T147</f>
        <v>2816</v>
      </c>
      <c r="AK147" s="764">
        <f>IF(ISERROR(AI147/AB147),"NA",AI147/AB147)</f>
        <v>96.094456482792737</v>
      </c>
      <c r="AM147" s="756">
        <f>(AK147/AK140-1)*100</f>
        <v>-4.4736063219020021</v>
      </c>
      <c r="AO147" s="362">
        <f>'Segment Sales_New'!V24+'Segment Sales_New'!V48</f>
        <v>656</v>
      </c>
      <c r="AP147" s="778">
        <f>AO147/AO140-1</f>
        <v>0.5845410628019323</v>
      </c>
      <c r="AQ147" s="779"/>
    </row>
    <row r="148" spans="1:43" ht="12.75" customHeight="1" outlineLevel="1" x14ac:dyDescent="0.2">
      <c r="A148" s="239" t="s">
        <v>95</v>
      </c>
      <c r="C148" s="766">
        <f>(R148/R141-1)*100</f>
        <v>2.4137098720733663</v>
      </c>
      <c r="E148" s="766">
        <v>-0.9</v>
      </c>
      <c r="G148" s="767">
        <f>C148-E148</f>
        <v>3.3137098720733662</v>
      </c>
      <c r="I148" s="759">
        <f>INDEX(stores!$I$9:$I$127,MATCH(A144,stores!$B$9:$B$127)+4)</f>
        <v>349</v>
      </c>
      <c r="J148" s="706">
        <f>I148-I147</f>
        <v>1</v>
      </c>
      <c r="K148" s="556">
        <f>AVERAGE(I147:I148)</f>
        <v>348.5</v>
      </c>
      <c r="M148" s="767">
        <f>(K148/K141-1)*100</f>
        <v>7.8947368421052655</v>
      </c>
      <c r="O148" s="768">
        <f>(G148/M148)*100</f>
        <v>41.97365837959596</v>
      </c>
      <c r="P148" s="362"/>
      <c r="R148" s="556">
        <v>4243</v>
      </c>
      <c r="T148" s="556">
        <f>R148-AO148</f>
        <v>3181</v>
      </c>
      <c r="V148" s="769">
        <f>IF(ISERROR(T148/K148),"NA",T148/K148)</f>
        <v>9.1276901004304154</v>
      </c>
      <c r="X148" s="770">
        <f>IF(ISERROR(V148/V141),"NA",(V148/V141-1)*100)</f>
        <v>-12.280752679588691</v>
      </c>
      <c r="Z148" s="759">
        <f>stores!I265</f>
        <v>29.792000000000002</v>
      </c>
      <c r="AB148" s="556">
        <f>AVERAGE(Z147:Z148)</f>
        <v>29.787500000000001</v>
      </c>
      <c r="AD148" s="767">
        <f>(AB148/AB141-1)*100</f>
        <v>4.1156938133519727</v>
      </c>
      <c r="AF148" s="768">
        <f>(G148/AD148)*100</f>
        <v>80.514003770716826</v>
      </c>
      <c r="AI148" s="556">
        <f>T148</f>
        <v>3181</v>
      </c>
      <c r="AK148" s="771">
        <f>IF(ISERROR(AI148/AB148),"NA",AI148/AB148)</f>
        <v>106.78976080570709</v>
      </c>
      <c r="AM148" s="772">
        <f>(AK148/AK141-1)*100</f>
        <v>-9.0968444911847754</v>
      </c>
      <c r="AO148" s="556">
        <f>'Segment Sales_New'!V25+'Segment Sales_New'!V49</f>
        <v>1062</v>
      </c>
      <c r="AP148" s="778">
        <f>AO148/AO141-1</f>
        <v>0.35805626598465468</v>
      </c>
      <c r="AQ148" s="779"/>
    </row>
    <row r="149" spans="1:43" ht="12.75" customHeight="1" outlineLevel="1" thickBot="1" x14ac:dyDescent="0.25">
      <c r="A149" s="607" t="s">
        <v>55</v>
      </c>
      <c r="C149" s="751">
        <f>(R149/R142-1)*100</f>
        <v>2.8662646328485364</v>
      </c>
      <c r="E149" s="751">
        <v>-0.4</v>
      </c>
      <c r="F149" s="780"/>
      <c r="G149" s="702">
        <f>C149-E149</f>
        <v>3.2662646328485363</v>
      </c>
      <c r="I149" s="752"/>
      <c r="J149" s="753">
        <f>I148-I141</f>
        <v>26</v>
      </c>
      <c r="K149" s="362">
        <f>AVERAGE(K145:K148)</f>
        <v>335.75</v>
      </c>
      <c r="M149" s="702">
        <f>(K149/K142-1)*100</f>
        <v>8.5252525252525366</v>
      </c>
      <c r="O149" s="754">
        <f>(G149/M149)*100</f>
        <v>38.312819745498182</v>
      </c>
      <c r="R149" s="256">
        <f>SUM(R145:R148)</f>
        <v>14499</v>
      </c>
      <c r="T149" s="256">
        <f>R149-AO149</f>
        <v>11280</v>
      </c>
      <c r="V149" s="760">
        <f>IF(ISERROR(T149/K149),"NA",T149/K149)</f>
        <v>33.596425912137008</v>
      </c>
      <c r="X149" s="761">
        <f>IF(ISERROR(V149/V142),"NA",(V149/V142-1)*100)</f>
        <v>-11.871339099818668</v>
      </c>
      <c r="Z149" s="757"/>
      <c r="AB149" s="362">
        <f>AVERAGE(AB145:AB148)</f>
        <v>29.145499999999998</v>
      </c>
      <c r="AD149" s="702">
        <f>(AB149/AB142-1)*100</f>
        <v>4.5376900418304889</v>
      </c>
      <c r="AF149" s="754">
        <f>(G149/AD149)*100</f>
        <v>71.980778826641412</v>
      </c>
      <c r="AI149" s="256">
        <f>SUM(AI145:AI148)</f>
        <v>11280</v>
      </c>
      <c r="AK149" s="762">
        <f>IF(ISERROR(AI149/AB149),"NA",AI149/AB149)</f>
        <v>387.02372578957301</v>
      </c>
      <c r="AM149" s="756">
        <f>(AK149/AK142-1)*100</f>
        <v>-8.5096946844966386</v>
      </c>
      <c r="AO149" s="1077">
        <f>SUM(AO145:AO148)</f>
        <v>3219</v>
      </c>
      <c r="AP149" s="778">
        <f>AO149/AO142-1</f>
        <v>0.39895697522816165</v>
      </c>
      <c r="AQ149" s="779">
        <f>AO149/R149</f>
        <v>0.22201531140078626</v>
      </c>
    </row>
    <row r="150" spans="1:43" ht="12.75" customHeight="1" outlineLevel="1" thickBot="1" x14ac:dyDescent="0.25">
      <c r="A150" s="607"/>
      <c r="C150" s="1070"/>
      <c r="D150" s="1071" t="s">
        <v>477</v>
      </c>
      <c r="E150" s="1073">
        <f>SUMPRODUCT(E147:E148,R147:R148)/SUM(R147:R148)</f>
        <v>0.5851069345430977</v>
      </c>
      <c r="F150" s="780"/>
      <c r="G150" s="702"/>
      <c r="I150" s="752"/>
      <c r="J150" s="753"/>
      <c r="K150" s="362"/>
      <c r="M150" s="702"/>
      <c r="O150" s="754"/>
      <c r="R150" s="256"/>
      <c r="T150" s="256"/>
      <c r="V150" s="760"/>
      <c r="X150" s="761"/>
      <c r="Z150" s="757"/>
      <c r="AB150" s="362"/>
      <c r="AD150" s="702"/>
      <c r="AF150" s="754"/>
      <c r="AI150" s="256"/>
      <c r="AK150" s="762"/>
      <c r="AM150" s="756"/>
      <c r="AO150" s="782"/>
      <c r="AP150" s="778"/>
      <c r="AQ150" s="779"/>
    </row>
    <row r="151" spans="1:43" ht="12.75" customHeight="1" outlineLevel="1" x14ac:dyDescent="0.2">
      <c r="A151" s="783">
        <v>2017</v>
      </c>
      <c r="C151" s="847"/>
      <c r="I151" s="752"/>
      <c r="K151" s="362"/>
      <c r="O151" s="848"/>
      <c r="P151" s="362"/>
      <c r="X151" s="756"/>
      <c r="Z151" s="757"/>
      <c r="AB151" s="362"/>
      <c r="AF151" s="754"/>
      <c r="AM151" s="756"/>
    </row>
    <row r="152" spans="1:43" ht="12.75" customHeight="1" outlineLevel="1" x14ac:dyDescent="0.2">
      <c r="A152" s="239" t="s">
        <v>92</v>
      </c>
      <c r="C152" s="751">
        <f>(R152/R145-1)*100</f>
        <v>2.7255639097744311</v>
      </c>
      <c r="E152" s="751">
        <v>-0.8</v>
      </c>
      <c r="G152" s="702">
        <f>C152-E152</f>
        <v>3.5255639097744309</v>
      </c>
      <c r="I152" s="759">
        <f>INDEX(stores!$I$9:$I$142,MATCH($A$151,stores!$B$9:$B$142)+1)</f>
        <v>353</v>
      </c>
      <c r="J152" s="706">
        <f>I152-I148</f>
        <v>4</v>
      </c>
      <c r="K152" s="362">
        <f>AVERAGE(I152,I148)</f>
        <v>351</v>
      </c>
      <c r="M152" s="702">
        <f>(K152/K145-1)*100</f>
        <v>7.5038284839203717</v>
      </c>
      <c r="N152" s="239" t="s">
        <v>90</v>
      </c>
      <c r="O152" s="754">
        <f>(G152/M152)*100</f>
        <v>46.983535369034733</v>
      </c>
      <c r="P152" s="362"/>
      <c r="R152" s="256">
        <v>3279</v>
      </c>
      <c r="T152" s="256">
        <f>R152-AO152</f>
        <v>2533</v>
      </c>
      <c r="V152" s="763">
        <f>IF(ISERROR(T152/K152),"NA",T152/K152)</f>
        <v>7.2165242165242169</v>
      </c>
      <c r="X152" s="761">
        <f>IF(ISERROR(V152/V145),"NA",(V152/V145-1)*100)</f>
        <v>-6.9065524814240664</v>
      </c>
      <c r="Y152" s="239" t="s">
        <v>90</v>
      </c>
      <c r="Z152" s="759">
        <f>stores!I268</f>
        <v>29.763999999999999</v>
      </c>
      <c r="AB152" s="362">
        <f>AVERAGE(Z152,Z148)</f>
        <v>29.777999999999999</v>
      </c>
      <c r="AD152" s="702">
        <f>(AB152/AB145-1)*100</f>
        <v>3.788644522672624</v>
      </c>
      <c r="AE152" s="239" t="s">
        <v>90</v>
      </c>
      <c r="AF152" s="754">
        <f>(G152/AD152)*100</f>
        <v>93.056075561488456</v>
      </c>
      <c r="AG152" s="239" t="s">
        <v>90</v>
      </c>
      <c r="AI152" s="256">
        <f>T152</f>
        <v>2533</v>
      </c>
      <c r="AK152" s="764">
        <f>IF(ISERROR(AI152/AB152),"NA",AI152/AB152)</f>
        <v>85.062798038820603</v>
      </c>
      <c r="AM152" s="756">
        <f>(AK152/AK145-1)*100</f>
        <v>-3.5742102516079788</v>
      </c>
      <c r="AN152" s="239" t="s">
        <v>90</v>
      </c>
      <c r="AO152" s="362">
        <f>'Segment Sales_New'!Z22+'Segment Sales_New'!Z46</f>
        <v>746</v>
      </c>
      <c r="AP152" s="778">
        <f>AO152/AO145-1</f>
        <v>0.12859304084720113</v>
      </c>
      <c r="AQ152" s="779">
        <f>AO152/R152</f>
        <v>0.22750838670326318</v>
      </c>
    </row>
    <row r="153" spans="1:43" ht="12.75" customHeight="1" outlineLevel="1" x14ac:dyDescent="0.2">
      <c r="A153" s="239" t="s">
        <v>93</v>
      </c>
      <c r="C153" s="751">
        <f>(R153/R146-1)*100</f>
        <v>3.4799554565701607</v>
      </c>
      <c r="D153" s="1157"/>
      <c r="E153" s="751">
        <v>1.7</v>
      </c>
      <c r="G153" s="702">
        <f>C153-E153</f>
        <v>1.7799554565701607</v>
      </c>
      <c r="I153" s="759">
        <f>INDEX(stores!$I$9:$I$142,MATCH($A$151,stores!$B$9:$B$142)+2)</f>
        <v>354</v>
      </c>
      <c r="J153" s="706">
        <f>I153-I152</f>
        <v>1</v>
      </c>
      <c r="K153" s="362">
        <f>AVERAGE(I152:I153)</f>
        <v>353.5</v>
      </c>
      <c r="M153" s="702">
        <f>(K153/K146-1)*100</f>
        <v>7.2837632776934669</v>
      </c>
      <c r="O153" s="754">
        <f>(G153/M153)*100</f>
        <v>24.437305122494525</v>
      </c>
      <c r="P153" s="1156"/>
      <c r="Q153" s="1157"/>
      <c r="R153" s="362">
        <v>3717</v>
      </c>
      <c r="T153" s="362">
        <f>R153-AO153</f>
        <v>2699</v>
      </c>
      <c r="V153" s="763">
        <f>IF(ISERROR(T153/K153),"NA",T153/K153)</f>
        <v>7.6350777934936351</v>
      </c>
      <c r="X153" s="761">
        <f>IF(ISERROR(V153/V146),"NA",(V153/V146-1)*100)</f>
        <v>-8.5843701687444494</v>
      </c>
      <c r="Z153" s="759">
        <f>stores!I269</f>
        <v>29.803000000000001</v>
      </c>
      <c r="AB153" s="362">
        <f>AVERAGE(Z152:Z153)</f>
        <v>29.7835</v>
      </c>
      <c r="AD153" s="702">
        <f>(AB153/AB146-1)*100</f>
        <v>3.4185214764401506</v>
      </c>
      <c r="AF153" s="754">
        <f>(G153/AD153)*100</f>
        <v>52.067991055118448</v>
      </c>
      <c r="AI153" s="362">
        <f>T153</f>
        <v>2699</v>
      </c>
      <c r="AK153" s="764">
        <f>IF(ISERROR(AI153/AB153),"NA",AI153/AB153)</f>
        <v>90.620645659509464</v>
      </c>
      <c r="AM153" s="756">
        <f>(AK153/AK146-1)*100</f>
        <v>-5.1677334902538892</v>
      </c>
      <c r="AO153" s="362">
        <f>'Segment Sales_New'!Z23+'Segment Sales_New'!Z47</f>
        <v>1018</v>
      </c>
      <c r="AP153" s="778">
        <f>AO153/AO146-1</f>
        <v>0.21190476190476182</v>
      </c>
      <c r="AQ153" s="779">
        <f>AO153/R153</f>
        <v>0.27387678235135865</v>
      </c>
    </row>
    <row r="154" spans="1:43" ht="12.75" customHeight="1" outlineLevel="1" x14ac:dyDescent="0.2">
      <c r="A154" s="239" t="s">
        <v>94</v>
      </c>
      <c r="C154" s="751">
        <f>(R154/R147-1)*100</f>
        <v>1.9873271889401023</v>
      </c>
      <c r="D154" s="1157"/>
      <c r="E154" s="751">
        <v>-0.9</v>
      </c>
      <c r="G154" s="702">
        <f>C154-E154</f>
        <v>2.8873271889401022</v>
      </c>
      <c r="I154" s="759">
        <f>INDEX(stores!$I$9:$I$142,MATCH($A$151,stores!$B$9:$B$142)+3)</f>
        <v>366</v>
      </c>
      <c r="J154" s="773">
        <f>I154-I153</f>
        <v>12</v>
      </c>
      <c r="K154" s="362">
        <f>AVERAGE(I153:I154)</f>
        <v>360</v>
      </c>
      <c r="M154" s="702">
        <f>(K154/K147-1)*100</f>
        <v>6.3515509601181686</v>
      </c>
      <c r="O154" s="754">
        <f>(G154/M154)*100</f>
        <v>45.458616439824404</v>
      </c>
      <c r="P154" s="1156"/>
      <c r="Q154" s="1157"/>
      <c r="R154" s="362">
        <v>3541</v>
      </c>
      <c r="T154" s="362">
        <f>R154-AO154</f>
        <v>2795</v>
      </c>
      <c r="V154" s="763">
        <f>IF(ISERROR(T154/K154),"NA",T154/K154)</f>
        <v>7.7638888888888893</v>
      </c>
      <c r="X154" s="761">
        <f>IF(ISERROR(V154/V147),"NA",(V154/V147-1)*100)</f>
        <v>-6.6734236900252375</v>
      </c>
      <c r="Z154" s="759">
        <f>stores!I270</f>
        <v>30.222999999999999</v>
      </c>
      <c r="AB154" s="362">
        <f>AVERAGE(Z153:Z154)</f>
        <v>30.012999999999998</v>
      </c>
      <c r="AD154" s="702">
        <f>(AB154/AB147-1)*100</f>
        <v>2.4177174154140113</v>
      </c>
      <c r="AF154" s="754">
        <f>(G154/AD154)*100</f>
        <v>119.42368328623196</v>
      </c>
      <c r="AI154" s="362">
        <f>T154</f>
        <v>2795</v>
      </c>
      <c r="AK154" s="764">
        <f>IF(ISERROR(AI154/AB154),"NA",AI154/AB154)</f>
        <v>93.12631193149636</v>
      </c>
      <c r="AM154" s="756">
        <f>(AK154/AK147-1)*100</f>
        <v>-3.0887781251230373</v>
      </c>
      <c r="AO154" s="362">
        <f>'Segment Sales_New'!Z24+'Segment Sales_New'!Z48</f>
        <v>746</v>
      </c>
      <c r="AP154" s="778">
        <f>AO154/AO147-1</f>
        <v>0.13719512195121952</v>
      </c>
      <c r="AQ154" s="779">
        <f>AO154/R154</f>
        <v>0.21067495057893251</v>
      </c>
    </row>
    <row r="155" spans="1:43" ht="12.75" customHeight="1" outlineLevel="1" x14ac:dyDescent="0.2">
      <c r="A155" s="239" t="s">
        <v>95</v>
      </c>
      <c r="C155" s="766">
        <f>(R155/R148-1)*100</f>
        <v>8.4138581192552344</v>
      </c>
      <c r="D155" s="1157"/>
      <c r="E155" s="766">
        <v>2.6</v>
      </c>
      <c r="G155" s="767">
        <f>M155*O155/100</f>
        <v>6.2769010043041691</v>
      </c>
      <c r="I155" s="759">
        <f>INDEX(stores!$I$9:$I$142,MATCH($A$151,stores!$B$9:$B$142)+4)</f>
        <v>366</v>
      </c>
      <c r="J155" s="773">
        <f>I155-I154</f>
        <v>0</v>
      </c>
      <c r="K155" s="556">
        <f>AVERAGE(I154:I155)</f>
        <v>366</v>
      </c>
      <c r="M155" s="767">
        <f>(K155/K148-1)*100</f>
        <v>5.0215208034433356</v>
      </c>
      <c r="O155" s="768">
        <v>125</v>
      </c>
      <c r="P155" s="1156"/>
      <c r="Q155" s="1157"/>
      <c r="R155" s="556">
        <v>4600</v>
      </c>
      <c r="T155" s="556">
        <f>R155-AO155</f>
        <v>3326</v>
      </c>
      <c r="V155" s="769">
        <f>IF(ISERROR(T155/K155),"NA",T155/K155)</f>
        <v>9.0874316939890711</v>
      </c>
      <c r="X155" s="770">
        <f>IF(ISERROR(V155/V148),"NA",(V155/V148-1)*100)</f>
        <v>-0.44105798946270092</v>
      </c>
      <c r="Z155" s="759">
        <f>stores!I271</f>
        <v>30.218</v>
      </c>
      <c r="AB155" s="556">
        <f>AVERAGE(Z154:Z155)</f>
        <v>30.220500000000001</v>
      </c>
      <c r="AD155" s="767">
        <f>(AB155/AB148-1)*100</f>
        <v>1.4536298783046631</v>
      </c>
      <c r="AF155" s="768">
        <f>(G155/AD155)*100</f>
        <v>431.80874980533434</v>
      </c>
      <c r="AI155" s="556">
        <f>T155</f>
        <v>3326</v>
      </c>
      <c r="AK155" s="771">
        <f>IF(ISERROR(AI155/AB155),"NA",AI155/AB155)</f>
        <v>110.05774226104796</v>
      </c>
      <c r="AM155" s="772">
        <f>(AK155/AK148-1)*100</f>
        <v>3.0602011191753098</v>
      </c>
      <c r="AO155" s="556">
        <f>'Segment Sales_New'!Z25+'Segment Sales_New'!Z49</f>
        <v>1274</v>
      </c>
      <c r="AP155" s="778">
        <f>AO155/AO148-1</f>
        <v>0.19962335216572513</v>
      </c>
      <c r="AQ155" s="779">
        <f>AO155/R155</f>
        <v>0.27695652173913043</v>
      </c>
    </row>
    <row r="156" spans="1:43" ht="12.75" customHeight="1" outlineLevel="1" thickBot="1" x14ac:dyDescent="0.25">
      <c r="A156" s="607" t="s">
        <v>55</v>
      </c>
      <c r="C156" s="751">
        <f>(R156/R149-1)*100</f>
        <v>4.4003034692047693</v>
      </c>
      <c r="E156" s="751">
        <v>0.8</v>
      </c>
      <c r="F156" s="780"/>
      <c r="G156" s="702">
        <f>C156-E156</f>
        <v>3.6003034692047695</v>
      </c>
      <c r="I156" s="752"/>
      <c r="J156" s="753">
        <f>I155-I148</f>
        <v>17</v>
      </c>
      <c r="K156" s="362">
        <f>AVERAGE(K152:K155)</f>
        <v>357.625</v>
      </c>
      <c r="M156" s="702">
        <f>(K156/K149-1)*100</f>
        <v>6.5152643335815386</v>
      </c>
      <c r="O156" s="754">
        <f>(G156/M156)*100</f>
        <v>55.259514961622877</v>
      </c>
      <c r="R156" s="256">
        <f>SUM(R152:R155)</f>
        <v>15137</v>
      </c>
      <c r="T156" s="256">
        <f>R156-AO156</f>
        <v>11353</v>
      </c>
      <c r="V156" s="760">
        <f>IF(ISERROR(T156/K156),"NA",T156/K156)</f>
        <v>31.745543516253058</v>
      </c>
      <c r="X156" s="761">
        <f>IF(ISERROR(V156/V149),"NA",(V156/V149-1)*100)</f>
        <v>-5.509164578174075</v>
      </c>
      <c r="Z156" s="757"/>
      <c r="AB156" s="362">
        <f>AVERAGE(AB152:AB155)</f>
        <v>29.94875</v>
      </c>
      <c r="AD156" s="702">
        <f>(AB156/AB149-1)*100</f>
        <v>2.7560000686212449</v>
      </c>
      <c r="AF156" s="754">
        <f>(G156/AD156)*100</f>
        <v>130.63510085491063</v>
      </c>
      <c r="AI156" s="256">
        <f>SUM(AI152:AI155)</f>
        <v>11353</v>
      </c>
      <c r="AK156" s="762">
        <f>IF(ISERROR(AI156/AB156),"NA",AI156/AB156)</f>
        <v>379.08092992194997</v>
      </c>
      <c r="AM156" s="756">
        <f>(AK156/AK149-1)*100</f>
        <v>-2.0522762141826911</v>
      </c>
      <c r="AO156" s="1077">
        <f>SUM(AO152:AO155)</f>
        <v>3784</v>
      </c>
      <c r="AP156" s="778">
        <f>AO156/AO149-1</f>
        <v>0.17552034793414095</v>
      </c>
      <c r="AQ156" s="779">
        <f>AO156/R156</f>
        <v>0.24998348417784239</v>
      </c>
    </row>
    <row r="157" spans="1:43" ht="12.75" customHeight="1" outlineLevel="1" thickBot="1" x14ac:dyDescent="0.25">
      <c r="A157" s="607"/>
      <c r="C157" s="1070"/>
      <c r="D157" s="1071" t="s">
        <v>477</v>
      </c>
      <c r="E157" s="1073">
        <f>SUMPRODUCT(E154:E155,R154:R155)/SUM(R154:R155)</f>
        <v>1.0776440240756664</v>
      </c>
      <c r="F157" s="780"/>
      <c r="G157" s="702"/>
      <c r="I157" s="752"/>
      <c r="J157" s="753"/>
      <c r="K157" s="362"/>
      <c r="M157" s="702"/>
      <c r="O157" s="754"/>
      <c r="R157" s="256"/>
      <c r="T157" s="256"/>
      <c r="V157" s="760"/>
      <c r="X157" s="761"/>
      <c r="Z157" s="757"/>
      <c r="AB157" s="362"/>
      <c r="AD157" s="702"/>
      <c r="AF157" s="754"/>
      <c r="AI157" s="256"/>
      <c r="AK157" s="762"/>
      <c r="AM157" s="756"/>
      <c r="AO157" s="782"/>
      <c r="AP157" s="778"/>
      <c r="AQ157" s="779"/>
    </row>
    <row r="158" spans="1:43" ht="12.75" customHeight="1" outlineLevel="1" x14ac:dyDescent="0.2">
      <c r="A158" s="607"/>
      <c r="C158" s="751"/>
      <c r="E158" s="751"/>
      <c r="F158" s="780"/>
      <c r="G158" s="702"/>
      <c r="I158" s="752"/>
      <c r="J158" s="753"/>
      <c r="K158" s="362"/>
      <c r="M158" s="702"/>
      <c r="O158" s="754"/>
      <c r="R158" s="256"/>
      <c r="T158" s="256"/>
      <c r="V158" s="760"/>
      <c r="X158" s="761"/>
      <c r="Z158" s="757"/>
      <c r="AB158" s="362"/>
      <c r="AD158" s="702"/>
      <c r="AF158" s="754"/>
      <c r="AI158" s="256"/>
      <c r="AK158" s="762"/>
      <c r="AM158" s="756"/>
      <c r="AO158" s="782"/>
      <c r="AP158" s="778"/>
      <c r="AQ158" s="779"/>
    </row>
    <row r="159" spans="1:43" ht="12.75" customHeight="1" outlineLevel="1" x14ac:dyDescent="0.2">
      <c r="A159" s="783">
        <v>2018</v>
      </c>
      <c r="C159" s="847"/>
      <c r="I159" s="752"/>
      <c r="K159" s="362"/>
      <c r="O159" s="848"/>
      <c r="P159" s="362"/>
      <c r="X159" s="756"/>
      <c r="Z159" s="757"/>
      <c r="AB159" s="362"/>
      <c r="AF159" s="754"/>
      <c r="AM159" s="756"/>
    </row>
    <row r="160" spans="1:43" ht="12.75" customHeight="1" outlineLevel="1" x14ac:dyDescent="0.2">
      <c r="A160" s="239" t="s">
        <v>92</v>
      </c>
      <c r="C160" s="1308">
        <f>E160+G160</f>
        <v>4.0641025641025665</v>
      </c>
      <c r="D160" s="1157"/>
      <c r="E160" s="1160">
        <v>0.5</v>
      </c>
      <c r="G160" s="702">
        <f>M160*O160/100+1</f>
        <v>3.5641025641025665</v>
      </c>
      <c r="I160" s="759">
        <f>INDEX(stores!$I$9:$I$142,MATCH($A$159,stores!$B$9:$B$142)+1)</f>
        <v>372</v>
      </c>
      <c r="J160" s="1232">
        <f>I160-I155</f>
        <v>6</v>
      </c>
      <c r="K160" s="362">
        <f>AVERAGE(I160,I155)</f>
        <v>369</v>
      </c>
      <c r="M160" s="702">
        <f>(K160/K152-1)*100</f>
        <v>5.1282051282051322</v>
      </c>
      <c r="N160" s="239" t="s">
        <v>90</v>
      </c>
      <c r="O160" s="1155">
        <v>50</v>
      </c>
      <c r="P160" s="1156"/>
      <c r="Q160" s="1157"/>
      <c r="R160" s="1143">
        <f>(R152)*(1+C160/100)</f>
        <v>3412.2619230769233</v>
      </c>
      <c r="T160" s="256">
        <f>R160-AO160</f>
        <v>2591.6619230769234</v>
      </c>
      <c r="V160" s="763">
        <f>IF(ISERROR(T160/K160),"NA",T160/K160)</f>
        <v>7.0234740462789249</v>
      </c>
      <c r="X160" s="761">
        <f>IF(ISERROR(V160/V152),"NA",(V160/V152-1)*100)</f>
        <v>-2.6751128999643714</v>
      </c>
      <c r="Y160" s="239" t="s">
        <v>90</v>
      </c>
      <c r="Z160" s="759">
        <f>stores!I274</f>
        <v>31.026710955710953</v>
      </c>
      <c r="AB160" s="362">
        <f>AVERAGE(Z160,Z155)</f>
        <v>30.622355477855479</v>
      </c>
      <c r="AD160" s="702">
        <f>(AB160/AB152-1)*100</f>
        <v>2.8355009666716446</v>
      </c>
      <c r="AE160" s="239" t="s">
        <v>90</v>
      </c>
      <c r="AF160" s="754">
        <f>(G160/AD160)*100</f>
        <v>125.69569208386362</v>
      </c>
      <c r="AG160" s="239" t="s">
        <v>90</v>
      </c>
      <c r="AI160" s="256">
        <f>T160</f>
        <v>2591.6619230769234</v>
      </c>
      <c r="AK160" s="764">
        <f>IF(ISERROR(AI160/AB160),"NA",AI160/AB160)</f>
        <v>84.633003654832521</v>
      </c>
      <c r="AM160" s="756">
        <f>(AK160/AK152-1)*100</f>
        <v>-0.5052671601420089</v>
      </c>
      <c r="AN160" s="239" t="s">
        <v>90</v>
      </c>
      <c r="AO160" s="1162">
        <f>AO152*(1+AP160)</f>
        <v>820.6</v>
      </c>
      <c r="AP160" s="1163">
        <v>0.1</v>
      </c>
      <c r="AQ160" s="779"/>
    </row>
    <row r="161" spans="1:43" ht="12.75" customHeight="1" outlineLevel="1" x14ac:dyDescent="0.2">
      <c r="A161" s="239" t="s">
        <v>93</v>
      </c>
      <c r="C161" s="1308">
        <f>E161+G161</f>
        <v>7.6946251768033918</v>
      </c>
      <c r="D161" s="1157"/>
      <c r="E161" s="1160">
        <v>4</v>
      </c>
      <c r="G161" s="702">
        <f>M161*O161/100+0.3</f>
        <v>3.6946251768033918</v>
      </c>
      <c r="I161" s="759">
        <f>INDEX(stores!$I$9:$I$142,MATCH($A$159,stores!$B$9:$B$142)+2)</f>
        <v>375</v>
      </c>
      <c r="J161" s="706">
        <f>I161-I160</f>
        <v>3</v>
      </c>
      <c r="K161" s="362">
        <f>AVERAGE(I160:I161)</f>
        <v>373.5</v>
      </c>
      <c r="M161" s="702">
        <f>(K161/K153-1)*100</f>
        <v>5.6577086280056532</v>
      </c>
      <c r="O161" s="1155">
        <v>60</v>
      </c>
      <c r="P161" s="1156"/>
      <c r="Q161" s="1157"/>
      <c r="R161" s="1143">
        <f>(R153)*(1+C161/100)</f>
        <v>4003.0092178217819</v>
      </c>
      <c r="T161" s="362">
        <f>R161-AO161</f>
        <v>2883.2092178217817</v>
      </c>
      <c r="V161" s="763">
        <f>IF(ISERROR(T161/K161),"NA",T161/K161)</f>
        <v>7.7194356568186926</v>
      </c>
      <c r="X161" s="761">
        <f>IF(ISERROR(V161/V153),"NA",(V161/V153-1)*100)</f>
        <v>1.1048723484774925</v>
      </c>
      <c r="Z161" s="759">
        <f>stores!I275</f>
        <v>31.278052059052058</v>
      </c>
      <c r="AB161" s="362">
        <f>AVERAGE(Z160:Z161)</f>
        <v>31.152381507381506</v>
      </c>
      <c r="AD161" s="702">
        <f>(AB161/AB153-1)*100</f>
        <v>4.5961069296137413</v>
      </c>
      <c r="AF161" s="1310">
        <f>IFERROR((G161/AD161)*100,"NA")</f>
        <v>80.385970852812378</v>
      </c>
      <c r="AI161" s="362">
        <f>T161</f>
        <v>2883.2092178217817</v>
      </c>
      <c r="AK161" s="764">
        <f>IF(ISERROR(AI161/AB161),"NA",AI161/AB161)</f>
        <v>92.551807544428343</v>
      </c>
      <c r="AM161" s="756">
        <f>(AK161/AK153-1)*100</f>
        <v>2.1310396442934865</v>
      </c>
      <c r="AO161" s="1162">
        <f>AO153*(1+AP161)</f>
        <v>1119.8000000000002</v>
      </c>
      <c r="AP161" s="1163">
        <v>0.1</v>
      </c>
      <c r="AQ161" s="779"/>
    </row>
    <row r="162" spans="1:43" ht="12.75" customHeight="1" outlineLevel="1" x14ac:dyDescent="0.2">
      <c r="A162" s="239" t="s">
        <v>94</v>
      </c>
      <c r="C162" s="1308">
        <f>E162+G162</f>
        <v>0.63333333333333641</v>
      </c>
      <c r="D162" s="1157"/>
      <c r="E162" s="1160">
        <v>-2</v>
      </c>
      <c r="G162" s="702">
        <f>M162*O162/100-0.2</f>
        <v>2.6333333333333364</v>
      </c>
      <c r="I162" s="759">
        <f>INDEX(stores!$I$9:$I$142,MATCH($A$159,stores!$B$9:$B$142)+3)</f>
        <v>379</v>
      </c>
      <c r="J162" s="706">
        <f>I162-I161</f>
        <v>4</v>
      </c>
      <c r="K162" s="362">
        <f>AVERAGE(I161:I162)</f>
        <v>377</v>
      </c>
      <c r="M162" s="702">
        <f>(K162/K154-1)*100</f>
        <v>4.7222222222222276</v>
      </c>
      <c r="O162" s="1155">
        <v>60</v>
      </c>
      <c r="P162" s="1156"/>
      <c r="Q162" s="1157"/>
      <c r="R162" s="1143">
        <f>(R154)*(1+C162/100)</f>
        <v>3563.4263333333333</v>
      </c>
      <c r="T162" s="362">
        <f>R162-AO162</f>
        <v>2742.8263333333334</v>
      </c>
      <c r="V162" s="763">
        <f>IF(ISERROR(T162/K162),"NA",T162/K162)</f>
        <v>7.275401414677277</v>
      </c>
      <c r="X162" s="761">
        <f>IF(ISERROR(V162/V154),"NA",(V162/V154-1)*100)</f>
        <v>-6.2917885766075266</v>
      </c>
      <c r="Z162" s="759">
        <f>stores!I276</f>
        <v>31.42705905205905</v>
      </c>
      <c r="AB162" s="362">
        <f>AVERAGE(Z161:Z162)</f>
        <v>31.352555555555554</v>
      </c>
      <c r="AD162" s="702">
        <f>(AB162/AB154-1)*100</f>
        <v>4.4632511097043137</v>
      </c>
      <c r="AF162" s="754">
        <f>(G162/AD162)*100</f>
        <v>59.000340079628465</v>
      </c>
      <c r="AI162" s="362">
        <f>T162</f>
        <v>2742.8263333333334</v>
      </c>
      <c r="AK162" s="764">
        <f>IF(ISERROR(AI162/AB162),"NA",AI162/AB162)</f>
        <v>87.483341779688359</v>
      </c>
      <c r="AM162" s="756">
        <f>(AK162/AK154-1)*100</f>
        <v>-6.0594798986122855</v>
      </c>
      <c r="AO162" s="1162">
        <f>AO154*(1+AP162)</f>
        <v>820.6</v>
      </c>
      <c r="AP162" s="1163">
        <v>0.1</v>
      </c>
      <c r="AQ162" s="779"/>
    </row>
    <row r="163" spans="1:43" ht="12.75" customHeight="1" outlineLevel="1" x14ac:dyDescent="0.2">
      <c r="A163" s="239" t="s">
        <v>95</v>
      </c>
      <c r="C163" s="1309">
        <f>E163+G163</f>
        <v>-5.5360655737704931</v>
      </c>
      <c r="D163" s="1157"/>
      <c r="E163" s="1161">
        <v>-0.5</v>
      </c>
      <c r="G163" s="767">
        <f>M163*O163/100-10.2</f>
        <v>-5.0360655737704931</v>
      </c>
      <c r="I163" s="759">
        <f>INDEX(stores!$I$9:$I$142,MATCH($A$159,stores!$B$9:$B$142)+4)</f>
        <v>380</v>
      </c>
      <c r="J163" s="706">
        <f>I163-I162</f>
        <v>1</v>
      </c>
      <c r="K163" s="556">
        <f>AVERAGE(I162:I163)</f>
        <v>379.5</v>
      </c>
      <c r="M163" s="767">
        <f>(K163/K155-1)*100</f>
        <v>3.688524590163933</v>
      </c>
      <c r="O163" s="1158">
        <v>140</v>
      </c>
      <c r="P163" s="1156"/>
      <c r="Q163" s="1157"/>
      <c r="R163" s="1159">
        <f>(R155)*(1+C163/100)</f>
        <v>4345.3409836065575</v>
      </c>
      <c r="T163" s="556">
        <f>R163-AO163</f>
        <v>2943.9409836065574</v>
      </c>
      <c r="V163" s="769">
        <f>IF(ISERROR(T163/K163),"NA",T163/K163)</f>
        <v>7.7574202466575954</v>
      </c>
      <c r="X163" s="770">
        <f>IF(ISERROR(V163/V155),"NA",(V163/V155-1)*100)</f>
        <v>-14.635724285126884</v>
      </c>
      <c r="Z163" s="759">
        <f>stores!I277</f>
        <v>31.464310800310798</v>
      </c>
      <c r="AB163" s="556">
        <f>AVERAGE(Z162:Z163)</f>
        <v>31.445684926184924</v>
      </c>
      <c r="AD163" s="767">
        <f>(AB163/AB155-1)*100</f>
        <v>4.0541517386705195</v>
      </c>
      <c r="AF163" s="768">
        <f>(G163/AD163)*100</f>
        <v>-124.21995767287125</v>
      </c>
      <c r="AI163" s="556">
        <f>T163</f>
        <v>2943.9409836065574</v>
      </c>
      <c r="AK163" s="771">
        <f>IF(ISERROR(AI163/AB163),"NA",AI163/AB163)</f>
        <v>93.619871550488256</v>
      </c>
      <c r="AM163" s="772">
        <f>(AK163/AK155-1)*100</f>
        <v>-14.935678647278106</v>
      </c>
      <c r="AO163" s="1159">
        <f>AO155*(1+AP163)</f>
        <v>1401.4</v>
      </c>
      <c r="AP163" s="1163">
        <v>0.1</v>
      </c>
      <c r="AQ163" s="779"/>
    </row>
    <row r="164" spans="1:43" ht="12.75" customHeight="1" outlineLevel="1" thickBot="1" x14ac:dyDescent="0.25">
      <c r="A164" s="607" t="s">
        <v>55</v>
      </c>
      <c r="C164" s="751">
        <f>(R164/R156-1)*100</f>
        <v>1.2356375625196314</v>
      </c>
      <c r="E164" s="751">
        <f>INDEX('qtrP&amp;L'!$14:$14,MATCH($A159,'qtrP&amp;L'!$6:$6,0)+2)</f>
        <v>0.54937506829665472</v>
      </c>
      <c r="F164" s="780"/>
      <c r="G164" s="702">
        <f>C164-E164</f>
        <v>0.68626249422297669</v>
      </c>
      <c r="I164" s="752"/>
      <c r="J164" s="753">
        <f>I163-I156</f>
        <v>380</v>
      </c>
      <c r="K164" s="362">
        <f>AVERAGE(K160:K163)</f>
        <v>374.75</v>
      </c>
      <c r="M164" s="702">
        <f>(K164/K156-1)*100</f>
        <v>4.7885354771059152</v>
      </c>
      <c r="O164" s="754">
        <f>(G164/M164)*100</f>
        <v>14.331364934101702</v>
      </c>
      <c r="R164" s="256">
        <f>SUM(R160:R163)</f>
        <v>15324.038457838597</v>
      </c>
      <c r="T164" s="256">
        <f>R164-AO164</f>
        <v>11161.638457838597</v>
      </c>
      <c r="V164" s="760">
        <f>IF(ISERROR(T164/K164),"NA",T164/K164)</f>
        <v>29.78422537115036</v>
      </c>
      <c r="X164" s="761">
        <f>IF(ISERROR(V164/V156),"NA",(V164/V156-1)*100)</f>
        <v>-6.1782471738073834</v>
      </c>
      <c r="Z164" s="757"/>
      <c r="AB164" s="362">
        <f>AVERAGE(AB160:AB163)</f>
        <v>31.143244366744366</v>
      </c>
      <c r="AD164" s="702">
        <f>(AB164/AB156-1)*100</f>
        <v>3.9884615108956689</v>
      </c>
      <c r="AF164" s="754">
        <f>(G164/AD164)*100</f>
        <v>17.206195731066892</v>
      </c>
      <c r="AI164" s="256">
        <f>SUM(AI160:AI163)</f>
        <v>11161.638457838595</v>
      </c>
      <c r="AK164" s="762">
        <f>IF(ISERROR(AI164/AB164),"NA",AI164/AB164)</f>
        <v>358.39677865281459</v>
      </c>
      <c r="AM164" s="756">
        <f>(AK164/AK156-1)*100</f>
        <v>-5.4563945681451509</v>
      </c>
      <c r="AO164" s="576">
        <f>SUM(AO160:AO163)</f>
        <v>4162.3999999999996</v>
      </c>
      <c r="AP164" s="778">
        <f>AO164/AO156-1</f>
        <v>9.9999999999999867E-2</v>
      </c>
      <c r="AQ164" s="779"/>
    </row>
    <row r="165" spans="1:43" ht="12.75" customHeight="1" outlineLevel="1" thickBot="1" x14ac:dyDescent="0.25">
      <c r="A165" s="607"/>
      <c r="C165" s="1070"/>
      <c r="D165" s="1071" t="s">
        <v>477</v>
      </c>
      <c r="E165" s="1073">
        <f>SUMPRODUCT(E162:E163,R162:R163)/SUM(R162:R163)</f>
        <v>-1.1758498873207681</v>
      </c>
      <c r="F165" s="780"/>
      <c r="G165" s="702"/>
      <c r="I165" s="752"/>
      <c r="J165" s="753"/>
      <c r="K165" s="362"/>
      <c r="M165" s="702"/>
      <c r="O165" s="754"/>
      <c r="R165" s="256"/>
      <c r="T165" s="256"/>
      <c r="V165" s="760"/>
      <c r="X165" s="761"/>
      <c r="Z165" s="757"/>
      <c r="AB165" s="362"/>
      <c r="AD165" s="702"/>
      <c r="AF165" s="754"/>
      <c r="AI165" s="256"/>
      <c r="AK165" s="762"/>
      <c r="AM165" s="756"/>
      <c r="AO165" s="782"/>
      <c r="AP165" s="778"/>
      <c r="AQ165" s="779"/>
    </row>
    <row r="166" spans="1:43" ht="12.75" customHeight="1" x14ac:dyDescent="0.2">
      <c r="A166" s="784" t="s">
        <v>34</v>
      </c>
      <c r="G166" s="702"/>
      <c r="I166" s="765"/>
      <c r="T166" s="362"/>
      <c r="U166" s="249"/>
      <c r="V166" s="249"/>
      <c r="W166" s="249"/>
      <c r="X166" s="249"/>
      <c r="Y166" s="249"/>
      <c r="Z166" s="757"/>
    </row>
    <row r="167" spans="1:43" ht="12.75" customHeight="1" x14ac:dyDescent="0.2">
      <c r="A167" s="635" t="s">
        <v>77</v>
      </c>
      <c r="G167" s="765"/>
      <c r="I167" s="765"/>
      <c r="T167" s="249"/>
      <c r="U167" s="249"/>
      <c r="V167" s="785"/>
      <c r="W167" s="249"/>
      <c r="X167" s="249"/>
      <c r="Y167" s="249"/>
      <c r="Z167" s="757"/>
    </row>
    <row r="169" spans="1:43" ht="10.5" customHeight="1" x14ac:dyDescent="0.2">
      <c r="C169" s="706"/>
      <c r="E169" s="751"/>
      <c r="R169" s="831"/>
    </row>
    <row r="170" spans="1:43" ht="21.75" customHeight="1" x14ac:dyDescent="0.2">
      <c r="E170" s="751"/>
      <c r="F170" s="751">
        <f>F147+E147</f>
        <v>2.4</v>
      </c>
    </row>
    <row r="171" spans="1:43" ht="18.75" customHeight="1" x14ac:dyDescent="0.2">
      <c r="E171" s="751"/>
      <c r="F171" s="239" t="b">
        <f>F153=E153+E146</f>
        <v>0</v>
      </c>
      <c r="R171" s="532"/>
    </row>
    <row r="172" spans="1:43" ht="10.5" customHeight="1" x14ac:dyDescent="0.2">
      <c r="E172" s="751"/>
    </row>
    <row r="173" spans="1:43" ht="10.5" customHeight="1" x14ac:dyDescent="0.2">
      <c r="E173" s="702"/>
    </row>
    <row r="174" spans="1:43" ht="10.5" customHeight="1" x14ac:dyDescent="0.2">
      <c r="E174" s="702"/>
    </row>
    <row r="175" spans="1:43" ht="10.5" customHeight="1" x14ac:dyDescent="0.2">
      <c r="E175" s="702"/>
      <c r="G175" s="702"/>
    </row>
    <row r="176" spans="1:43" ht="10.5" customHeight="1" x14ac:dyDescent="0.2">
      <c r="E176" s="751"/>
    </row>
    <row r="177" spans="5:5" ht="10.5" customHeight="1" x14ac:dyDescent="0.2">
      <c r="E177" s="751"/>
    </row>
    <row r="178" spans="5:5" ht="10.5" customHeight="1" x14ac:dyDescent="0.2">
      <c r="E178" s="751"/>
    </row>
  </sheetData>
  <phoneticPr fontId="10" type="noConversion"/>
  <pageMargins left="0.75" right="0.75" top="1" bottom="1" header="0.5" footer="0.5"/>
  <pageSetup scale="45"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Y65547"/>
  <sheetViews>
    <sheetView showGridLines="0" topLeftCell="A234" workbookViewId="0">
      <selection activeCell="C271" sqref="C271"/>
    </sheetView>
  </sheetViews>
  <sheetFormatPr defaultColWidth="9.7109375" defaultRowHeight="10.5" customHeight="1" outlineLevelRow="1" outlineLevelCol="2" x14ac:dyDescent="0.2"/>
  <cols>
    <col min="1" max="1" width="5.28515625" style="238" customWidth="1"/>
    <col min="2" max="2" width="9.7109375" style="238"/>
    <col min="3" max="3" width="7.5703125" style="238" customWidth="1" outlineLevel="1"/>
    <col min="4" max="4" width="6.140625" style="238" bestFit="1" customWidth="1" outlineLevel="1"/>
    <col min="5" max="5" width="7.5703125" style="238" customWidth="1" outlineLevel="1"/>
    <col min="6" max="6" width="6.140625" style="238" bestFit="1" customWidth="1" outlineLevel="1"/>
    <col min="7" max="7" width="9.7109375" style="238" customWidth="1" outlineLevel="1"/>
    <col min="8" max="8" width="6.140625" style="238" hidden="1" customWidth="1" outlineLevel="2"/>
    <col min="9" max="9" width="9.5703125" style="238" bestFit="1" customWidth="1" outlineLevel="1" collapsed="1"/>
    <col min="10" max="10" width="6.140625" style="238" bestFit="1" customWidth="1" outlineLevel="1"/>
    <col min="11" max="11" width="6.140625" style="238" customWidth="1" outlineLevel="1"/>
    <col min="12" max="12" width="5.28515625" style="238" customWidth="1"/>
    <col min="13" max="13" width="9.7109375" style="238"/>
    <col min="14" max="14" width="8.42578125" style="238" bestFit="1" customWidth="1" outlineLevel="1"/>
    <col min="15" max="15" width="3.85546875" style="238" customWidth="1" outlineLevel="1"/>
    <col min="16" max="16" width="8.42578125" style="238" bestFit="1" customWidth="1" outlineLevel="1"/>
    <col min="17" max="17" width="3.85546875" style="238" customWidth="1" outlineLevel="1"/>
    <col min="18" max="18" width="8.42578125" style="238" bestFit="1" customWidth="1" outlineLevel="1"/>
    <col min="19" max="19" width="3.85546875" style="238" customWidth="1" outlineLevel="1"/>
    <col min="20" max="20" width="8.42578125" style="238" bestFit="1" customWidth="1" outlineLevel="1"/>
    <col min="21" max="16384" width="9.7109375" style="238"/>
  </cols>
  <sheetData>
    <row r="1" spans="1:20" ht="10.5" customHeight="1" x14ac:dyDescent="0.2">
      <c r="A1" s="888" t="s">
        <v>298</v>
      </c>
      <c r="B1" s="889"/>
      <c r="C1" s="889"/>
      <c r="D1" s="890"/>
      <c r="E1" s="889"/>
      <c r="F1" s="890"/>
      <c r="G1" s="889"/>
      <c r="H1" s="889"/>
      <c r="I1" s="889"/>
      <c r="J1" s="891"/>
      <c r="K1" s="892"/>
      <c r="L1" s="888" t="s">
        <v>298</v>
      </c>
      <c r="M1" s="889"/>
      <c r="N1" s="888"/>
      <c r="O1" s="889"/>
      <c r="P1" s="889"/>
      <c r="Q1" s="889"/>
      <c r="R1" s="889"/>
      <c r="S1" s="889"/>
      <c r="T1" s="889"/>
    </row>
    <row r="2" spans="1:20" ht="10.5" customHeight="1" x14ac:dyDescent="0.2">
      <c r="A2" s="893" t="s">
        <v>266</v>
      </c>
      <c r="B2" s="894"/>
      <c r="C2" s="895"/>
      <c r="D2" s="895"/>
      <c r="E2" s="895"/>
      <c r="F2" s="895"/>
      <c r="G2" s="889"/>
      <c r="H2" s="895"/>
      <c r="I2" s="895"/>
      <c r="J2" s="891"/>
      <c r="K2" s="892"/>
      <c r="L2" s="893" t="s">
        <v>268</v>
      </c>
      <c r="M2" s="894"/>
      <c r="N2" s="893"/>
      <c r="O2" s="893"/>
      <c r="P2" s="893"/>
      <c r="Q2" s="893"/>
      <c r="R2" s="893"/>
      <c r="S2" s="893"/>
      <c r="T2" s="893"/>
    </row>
    <row r="3" spans="1:20" ht="10.5" customHeight="1" thickBot="1" x14ac:dyDescent="0.25">
      <c r="A3" s="896"/>
      <c r="B3" s="889"/>
      <c r="C3" s="889"/>
      <c r="D3" s="889"/>
      <c r="E3" s="889"/>
      <c r="F3" s="889"/>
      <c r="G3" s="889"/>
      <c r="H3" s="889"/>
      <c r="I3" s="889"/>
      <c r="J3" s="891"/>
      <c r="K3" s="892"/>
      <c r="L3" s="896"/>
      <c r="M3" s="889"/>
      <c r="N3" s="889"/>
      <c r="O3" s="889"/>
      <c r="P3" s="889"/>
      <c r="Q3" s="889"/>
      <c r="R3" s="889"/>
      <c r="S3" s="889"/>
      <c r="T3" s="889"/>
    </row>
    <row r="4" spans="1:20" ht="22.5" x14ac:dyDescent="0.2">
      <c r="A4" s="897"/>
      <c r="B4" s="897"/>
      <c r="C4" s="898" t="s">
        <v>291</v>
      </c>
      <c r="D4" s="899" t="s">
        <v>267</v>
      </c>
      <c r="E4" s="898" t="s">
        <v>294</v>
      </c>
      <c r="F4" s="899" t="s">
        <v>267</v>
      </c>
      <c r="G4" s="889"/>
      <c r="H4" s="899" t="s">
        <v>267</v>
      </c>
      <c r="I4" s="900" t="s">
        <v>87</v>
      </c>
      <c r="J4" s="899" t="s">
        <v>267</v>
      </c>
      <c r="K4" s="901"/>
      <c r="L4" s="897"/>
      <c r="M4" s="897"/>
      <c r="N4" s="898" t="str">
        <f>C4</f>
        <v>Full-Line</v>
      </c>
      <c r="O4" s="899"/>
      <c r="P4" s="898" t="str">
        <f>E4</f>
        <v>Rack &amp; Other</v>
      </c>
      <c r="Q4" s="899"/>
      <c r="R4" s="898"/>
      <c r="S4" s="899"/>
      <c r="T4" s="900" t="s">
        <v>87</v>
      </c>
    </row>
    <row r="5" spans="1:20" ht="10.5" customHeight="1" x14ac:dyDescent="0.2">
      <c r="A5" s="902" t="s">
        <v>265</v>
      </c>
      <c r="B5" s="902" t="s">
        <v>196</v>
      </c>
      <c r="C5" s="903" t="s">
        <v>89</v>
      </c>
      <c r="D5" s="903"/>
      <c r="E5" s="903"/>
      <c r="F5" s="903"/>
      <c r="G5" s="889"/>
      <c r="H5" s="903"/>
      <c r="I5" s="904"/>
      <c r="J5" s="905"/>
      <c r="K5" s="906"/>
      <c r="L5" s="902" t="s">
        <v>265</v>
      </c>
      <c r="M5" s="902" t="s">
        <v>196</v>
      </c>
      <c r="N5" s="907" t="s">
        <v>269</v>
      </c>
      <c r="O5" s="903"/>
      <c r="P5" s="903"/>
      <c r="Q5" s="903"/>
      <c r="R5" s="903"/>
      <c r="S5" s="903"/>
      <c r="T5" s="904"/>
    </row>
    <row r="6" spans="1:20" ht="10.5" customHeight="1" outlineLevel="1" x14ac:dyDescent="0.2">
      <c r="A6" s="889"/>
      <c r="B6" s="908">
        <v>1996</v>
      </c>
      <c r="C6" s="909"/>
      <c r="D6" s="909"/>
      <c r="E6" s="909"/>
      <c r="F6" s="909"/>
      <c r="G6" s="889"/>
      <c r="H6" s="909"/>
      <c r="I6" s="910"/>
      <c r="J6" s="911"/>
      <c r="K6" s="912"/>
      <c r="L6" s="889"/>
      <c r="M6" s="908">
        <v>1996</v>
      </c>
      <c r="N6" s="913"/>
      <c r="O6" s="913"/>
      <c r="P6" s="913"/>
      <c r="Q6" s="913"/>
      <c r="R6" s="913"/>
      <c r="S6" s="913"/>
      <c r="T6" s="913"/>
    </row>
    <row r="7" spans="1:20" ht="10.5" customHeight="1" outlineLevel="1" x14ac:dyDescent="0.2">
      <c r="A7" s="889" t="s">
        <v>95</v>
      </c>
      <c r="B7" s="914" t="s">
        <v>200</v>
      </c>
      <c r="C7" s="915">
        <v>62</v>
      </c>
      <c r="D7" s="916"/>
      <c r="E7" s="915">
        <v>20</v>
      </c>
      <c r="F7" s="916"/>
      <c r="G7" s="889"/>
      <c r="H7" s="916"/>
      <c r="I7" s="917">
        <f>G7+E7+C7</f>
        <v>82</v>
      </c>
      <c r="J7" s="918"/>
      <c r="K7" s="919"/>
      <c r="L7" s="889" t="s">
        <v>95</v>
      </c>
      <c r="M7" s="914" t="s">
        <v>200</v>
      </c>
      <c r="N7" s="920"/>
      <c r="O7" s="920"/>
      <c r="P7" s="920"/>
      <c r="Q7" s="920"/>
      <c r="R7" s="920"/>
      <c r="S7" s="920"/>
      <c r="T7" s="920"/>
    </row>
    <row r="8" spans="1:20" ht="10.5" customHeight="1" outlineLevel="1" x14ac:dyDescent="0.2">
      <c r="A8" s="889"/>
      <c r="B8" s="921"/>
      <c r="C8" s="915"/>
      <c r="D8" s="916"/>
      <c r="E8" s="915"/>
      <c r="F8" s="916"/>
      <c r="G8" s="889"/>
      <c r="H8" s="916"/>
      <c r="I8" s="922"/>
      <c r="J8" s="918"/>
      <c r="K8" s="919"/>
      <c r="L8" s="889"/>
      <c r="M8" s="921"/>
      <c r="N8" s="923"/>
      <c r="O8" s="923"/>
      <c r="P8" s="923"/>
      <c r="Q8" s="923"/>
      <c r="R8" s="923"/>
      <c r="S8" s="923"/>
      <c r="T8" s="923"/>
    </row>
    <row r="9" spans="1:20" ht="10.5" customHeight="1" outlineLevel="1" collapsed="1" x14ac:dyDescent="0.2">
      <c r="A9" s="889"/>
      <c r="B9" s="908">
        <v>1997</v>
      </c>
      <c r="C9" s="909"/>
      <c r="D9" s="909"/>
      <c r="E9" s="909"/>
      <c r="F9" s="909"/>
      <c r="G9" s="889"/>
      <c r="H9" s="909"/>
      <c r="I9" s="910"/>
      <c r="J9" s="911"/>
      <c r="K9" s="912"/>
      <c r="L9" s="889"/>
      <c r="M9" s="908">
        <v>1997</v>
      </c>
      <c r="N9" s="913"/>
      <c r="O9" s="913"/>
      <c r="P9" s="913"/>
      <c r="Q9" s="913"/>
      <c r="R9" s="913"/>
      <c r="S9" s="913"/>
      <c r="T9" s="913"/>
    </row>
    <row r="10" spans="1:20" ht="10.5" customHeight="1" outlineLevel="1" x14ac:dyDescent="0.2">
      <c r="A10" s="889" t="s">
        <v>92</v>
      </c>
      <c r="B10" s="921" t="s">
        <v>197</v>
      </c>
      <c r="C10" s="915">
        <v>62</v>
      </c>
      <c r="D10" s="919"/>
      <c r="E10" s="915">
        <v>21</v>
      </c>
      <c r="F10" s="916"/>
      <c r="G10" s="889"/>
      <c r="H10" s="916"/>
      <c r="I10" s="917">
        <f>G10+E10+C10</f>
        <v>83</v>
      </c>
      <c r="J10" s="918"/>
      <c r="K10" s="919"/>
      <c r="L10" s="889" t="s">
        <v>92</v>
      </c>
      <c r="M10" s="921" t="s">
        <v>197</v>
      </c>
      <c r="N10" s="924">
        <f>C10-C7</f>
        <v>0</v>
      </c>
      <c r="O10" s="923"/>
      <c r="P10" s="924">
        <f>E10-E7</f>
        <v>1</v>
      </c>
      <c r="Q10" s="923"/>
      <c r="R10" s="924">
        <f>G10-G7</f>
        <v>0</v>
      </c>
      <c r="S10" s="923"/>
      <c r="T10" s="924">
        <f>I10-I7</f>
        <v>1</v>
      </c>
    </row>
    <row r="11" spans="1:20" ht="10.5" customHeight="1" outlineLevel="1" x14ac:dyDescent="0.2">
      <c r="A11" s="889" t="s">
        <v>93</v>
      </c>
      <c r="B11" s="914" t="s">
        <v>198</v>
      </c>
      <c r="C11" s="915">
        <v>62</v>
      </c>
      <c r="D11" s="919"/>
      <c r="E11" s="915">
        <v>21</v>
      </c>
      <c r="F11" s="916"/>
      <c r="G11" s="889"/>
      <c r="H11" s="916"/>
      <c r="I11" s="917">
        <f>G11+E11+C11</f>
        <v>83</v>
      </c>
      <c r="J11" s="918"/>
      <c r="K11" s="919"/>
      <c r="L11" s="889" t="s">
        <v>93</v>
      </c>
      <c r="M11" s="914" t="s">
        <v>198</v>
      </c>
      <c r="N11" s="924">
        <f>C11-C10</f>
        <v>0</v>
      </c>
      <c r="O11" s="920"/>
      <c r="P11" s="924">
        <f>E11-E10</f>
        <v>0</v>
      </c>
      <c r="Q11" s="920"/>
      <c r="R11" s="924">
        <f>G11-G10</f>
        <v>0</v>
      </c>
      <c r="S11" s="920"/>
      <c r="T11" s="924">
        <f>I11-I10</f>
        <v>0</v>
      </c>
    </row>
    <row r="12" spans="1:20" ht="10.5" customHeight="1" outlineLevel="1" x14ac:dyDescent="0.2">
      <c r="A12" s="889" t="s">
        <v>94</v>
      </c>
      <c r="B12" s="914" t="s">
        <v>199</v>
      </c>
      <c r="C12" s="915">
        <v>65</v>
      </c>
      <c r="D12" s="919"/>
      <c r="E12" s="915">
        <v>22</v>
      </c>
      <c r="F12" s="916"/>
      <c r="G12" s="889"/>
      <c r="H12" s="916"/>
      <c r="I12" s="917">
        <f>G12+E12+C12</f>
        <v>87</v>
      </c>
      <c r="J12" s="918"/>
      <c r="K12" s="919"/>
      <c r="L12" s="889" t="s">
        <v>94</v>
      </c>
      <c r="M12" s="914" t="s">
        <v>199</v>
      </c>
      <c r="N12" s="924">
        <f t="shared" ref="N12:T13" si="0">C12-C11</f>
        <v>3</v>
      </c>
      <c r="O12" s="920"/>
      <c r="P12" s="924">
        <f t="shared" si="0"/>
        <v>1</v>
      </c>
      <c r="Q12" s="920"/>
      <c r="R12" s="924">
        <f t="shared" si="0"/>
        <v>0</v>
      </c>
      <c r="S12" s="920"/>
      <c r="T12" s="924">
        <f t="shared" si="0"/>
        <v>4</v>
      </c>
    </row>
    <row r="13" spans="1:20" ht="10.5" customHeight="1" outlineLevel="1" x14ac:dyDescent="0.2">
      <c r="A13" s="889" t="s">
        <v>95</v>
      </c>
      <c r="B13" s="914" t="s">
        <v>200</v>
      </c>
      <c r="C13" s="915">
        <v>65</v>
      </c>
      <c r="D13" s="919">
        <f>(C13/C7-1)*100</f>
        <v>4.8387096774193505</v>
      </c>
      <c r="E13" s="915">
        <v>22</v>
      </c>
      <c r="F13" s="919">
        <f>(E13/E7-1)*100</f>
        <v>10.000000000000009</v>
      </c>
      <c r="G13" s="889"/>
      <c r="H13" s="919" t="e">
        <f>(G13/G7-1)*100</f>
        <v>#DIV/0!</v>
      </c>
      <c r="I13" s="917">
        <f>G13+E13+C13</f>
        <v>87</v>
      </c>
      <c r="J13" s="919">
        <f>(I13/I7-1)*100</f>
        <v>6.0975609756097615</v>
      </c>
      <c r="K13" s="919"/>
      <c r="L13" s="889" t="s">
        <v>95</v>
      </c>
      <c r="M13" s="914" t="s">
        <v>200</v>
      </c>
      <c r="N13" s="924">
        <f t="shared" si="0"/>
        <v>0</v>
      </c>
      <c r="O13" s="920"/>
      <c r="P13" s="924">
        <f t="shared" si="0"/>
        <v>0</v>
      </c>
      <c r="Q13" s="920"/>
      <c r="R13" s="924">
        <f t="shared" si="0"/>
        <v>0</v>
      </c>
      <c r="S13" s="920"/>
      <c r="T13" s="924">
        <f t="shared" si="0"/>
        <v>0</v>
      </c>
    </row>
    <row r="14" spans="1:20" ht="10.5" customHeight="1" outlineLevel="1" collapsed="1" x14ac:dyDescent="0.2">
      <c r="A14" s="889"/>
      <c r="B14" s="914"/>
      <c r="C14" s="915"/>
      <c r="D14" s="925"/>
      <c r="E14" s="915"/>
      <c r="F14" s="925"/>
      <c r="G14" s="889"/>
      <c r="H14" s="925"/>
      <c r="I14" s="922"/>
      <c r="J14" s="925"/>
      <c r="K14" s="926"/>
      <c r="L14" s="889"/>
      <c r="M14" s="914"/>
      <c r="N14" s="920"/>
      <c r="O14" s="920"/>
      <c r="P14" s="920"/>
      <c r="Q14" s="920"/>
      <c r="R14" s="920"/>
      <c r="S14" s="920"/>
      <c r="T14" s="920"/>
    </row>
    <row r="15" spans="1:20" ht="10.5" customHeight="1" outlineLevel="1" x14ac:dyDescent="0.2">
      <c r="A15" s="889"/>
      <c r="B15" s="908">
        <v>1998</v>
      </c>
      <c r="C15" s="909"/>
      <c r="D15" s="925"/>
      <c r="E15" s="909"/>
      <c r="F15" s="925"/>
      <c r="G15" s="889"/>
      <c r="H15" s="925"/>
      <c r="I15" s="910"/>
      <c r="J15" s="925"/>
      <c r="K15" s="912"/>
      <c r="L15" s="889"/>
      <c r="M15" s="908">
        <v>1998</v>
      </c>
      <c r="N15" s="913"/>
      <c r="O15" s="913"/>
      <c r="P15" s="913"/>
      <c r="Q15" s="913"/>
      <c r="R15" s="913"/>
      <c r="S15" s="913"/>
      <c r="T15" s="913"/>
    </row>
    <row r="16" spans="1:20" ht="10.5" customHeight="1" outlineLevel="1" x14ac:dyDescent="0.2">
      <c r="A16" s="889" t="s">
        <v>92</v>
      </c>
      <c r="B16" s="921" t="s">
        <v>197</v>
      </c>
      <c r="C16" s="915">
        <v>67</v>
      </c>
      <c r="D16" s="919">
        <f>(C16/C10-1)*100</f>
        <v>8.0645161290322509</v>
      </c>
      <c r="E16" s="915">
        <v>23</v>
      </c>
      <c r="F16" s="919">
        <f>(E16/E10-1)*100</f>
        <v>9.5238095238095344</v>
      </c>
      <c r="G16" s="889"/>
      <c r="H16" s="919" t="e">
        <f>(G16/G10-1)*100</f>
        <v>#DIV/0!</v>
      </c>
      <c r="I16" s="917">
        <f>G16+E16+C16</f>
        <v>90</v>
      </c>
      <c r="J16" s="919">
        <f>(I16/I10-1)*100</f>
        <v>8.4337349397590309</v>
      </c>
      <c r="K16" s="919"/>
      <c r="L16" s="889" t="s">
        <v>92</v>
      </c>
      <c r="M16" s="921" t="s">
        <v>197</v>
      </c>
      <c r="N16" s="924">
        <f>C16-C13</f>
        <v>2</v>
      </c>
      <c r="O16" s="923"/>
      <c r="P16" s="924">
        <f>E16-E13</f>
        <v>1</v>
      </c>
      <c r="Q16" s="923"/>
      <c r="R16" s="924">
        <f>G16-G13</f>
        <v>0</v>
      </c>
      <c r="S16" s="923"/>
      <c r="T16" s="924">
        <f>I16-I13</f>
        <v>3</v>
      </c>
    </row>
    <row r="17" spans="1:20" ht="10.5" customHeight="1" outlineLevel="1" x14ac:dyDescent="0.2">
      <c r="A17" s="889" t="s">
        <v>93</v>
      </c>
      <c r="B17" s="914" t="s">
        <v>198</v>
      </c>
      <c r="C17" s="915">
        <v>67</v>
      </c>
      <c r="D17" s="919">
        <f>(C17/C11-1)*100</f>
        <v>8.0645161290322509</v>
      </c>
      <c r="E17" s="915">
        <v>25</v>
      </c>
      <c r="F17" s="919">
        <f>(E17/E11-1)*100</f>
        <v>19.047619047619047</v>
      </c>
      <c r="G17" s="889"/>
      <c r="H17" s="919" t="e">
        <f>(G17/G11-1)*100</f>
        <v>#DIV/0!</v>
      </c>
      <c r="I17" s="917">
        <f>G17+E17+C17</f>
        <v>92</v>
      </c>
      <c r="J17" s="919">
        <f>(I17/I11-1)*100</f>
        <v>10.843373493975905</v>
      </c>
      <c r="K17" s="919"/>
      <c r="L17" s="889" t="s">
        <v>93</v>
      </c>
      <c r="M17" s="914" t="s">
        <v>198</v>
      </c>
      <c r="N17" s="924">
        <f>C17-C16</f>
        <v>0</v>
      </c>
      <c r="O17" s="920"/>
      <c r="P17" s="924">
        <f>E17-E16</f>
        <v>2</v>
      </c>
      <c r="Q17" s="920"/>
      <c r="R17" s="924">
        <f>G17-G16</f>
        <v>0</v>
      </c>
      <c r="S17" s="920"/>
      <c r="T17" s="924">
        <f>I17-I16</f>
        <v>2</v>
      </c>
    </row>
    <row r="18" spans="1:20" ht="10.5" customHeight="1" outlineLevel="1" x14ac:dyDescent="0.2">
      <c r="A18" s="889" t="s">
        <v>94</v>
      </c>
      <c r="B18" s="914" t="s">
        <v>199</v>
      </c>
      <c r="C18" s="915">
        <v>69</v>
      </c>
      <c r="D18" s="919">
        <f>(C18/C12-1)*100</f>
        <v>6.1538461538461542</v>
      </c>
      <c r="E18" s="915">
        <v>25</v>
      </c>
      <c r="F18" s="919">
        <f>(E18/E12-1)*100</f>
        <v>13.636363636363647</v>
      </c>
      <c r="G18" s="889"/>
      <c r="H18" s="919" t="e">
        <f>(G18/G12-1)*100</f>
        <v>#DIV/0!</v>
      </c>
      <c r="I18" s="917">
        <f>G18+E18+C18</f>
        <v>94</v>
      </c>
      <c r="J18" s="919">
        <f>(I18/I12-1)*100</f>
        <v>8.045977011494255</v>
      </c>
      <c r="K18" s="919"/>
      <c r="L18" s="889" t="s">
        <v>94</v>
      </c>
      <c r="M18" s="914" t="s">
        <v>199</v>
      </c>
      <c r="N18" s="924">
        <f>C18-C17</f>
        <v>2</v>
      </c>
      <c r="O18" s="920"/>
      <c r="P18" s="924">
        <f>E18-E17</f>
        <v>0</v>
      </c>
      <c r="Q18" s="920"/>
      <c r="R18" s="924">
        <f>G18-G17</f>
        <v>0</v>
      </c>
      <c r="S18" s="920"/>
      <c r="T18" s="924">
        <f>I18-I17</f>
        <v>2</v>
      </c>
    </row>
    <row r="19" spans="1:20" ht="10.5" customHeight="1" outlineLevel="1" x14ac:dyDescent="0.2">
      <c r="A19" s="889" t="s">
        <v>95</v>
      </c>
      <c r="B19" s="914" t="s">
        <v>200</v>
      </c>
      <c r="C19" s="915">
        <v>67</v>
      </c>
      <c r="D19" s="919">
        <f>(C19/C13-1)*100</f>
        <v>3.076923076923066</v>
      </c>
      <c r="E19" s="915">
        <v>25</v>
      </c>
      <c r="F19" s="919">
        <f>(E19/E13-1)*100</f>
        <v>13.636363636363647</v>
      </c>
      <c r="G19" s="889"/>
      <c r="H19" s="919" t="e">
        <f>(G19/G13-1)*100</f>
        <v>#DIV/0!</v>
      </c>
      <c r="I19" s="917">
        <f>G19+E19+C19</f>
        <v>92</v>
      </c>
      <c r="J19" s="919">
        <f>(I19/I13-1)*100</f>
        <v>5.7471264367816133</v>
      </c>
      <c r="K19" s="919"/>
      <c r="L19" s="889" t="s">
        <v>95</v>
      </c>
      <c r="M19" s="914" t="s">
        <v>200</v>
      </c>
      <c r="N19" s="924">
        <f>C19-C18</f>
        <v>-2</v>
      </c>
      <c r="O19" s="920"/>
      <c r="P19" s="924">
        <f>E19-E18</f>
        <v>0</v>
      </c>
      <c r="Q19" s="920"/>
      <c r="R19" s="924">
        <f>G19-G18</f>
        <v>0</v>
      </c>
      <c r="S19" s="920"/>
      <c r="T19" s="924">
        <f>I19-I18</f>
        <v>-2</v>
      </c>
    </row>
    <row r="20" spans="1:20" ht="10.5" customHeight="1" outlineLevel="1" collapsed="1" x14ac:dyDescent="0.2">
      <c r="A20" s="889"/>
      <c r="B20" s="914"/>
      <c r="C20" s="915"/>
      <c r="D20" s="925"/>
      <c r="E20" s="915"/>
      <c r="F20" s="925"/>
      <c r="G20" s="889"/>
      <c r="H20" s="925"/>
      <c r="I20" s="922"/>
      <c r="J20" s="925"/>
      <c r="K20" s="926"/>
      <c r="L20" s="889"/>
      <c r="M20" s="914"/>
      <c r="N20" s="920"/>
      <c r="O20" s="920"/>
      <c r="P20" s="920"/>
      <c r="Q20" s="920"/>
      <c r="R20" s="920"/>
      <c r="S20" s="920"/>
      <c r="T20" s="920"/>
    </row>
    <row r="21" spans="1:20" ht="10.5" customHeight="1" outlineLevel="1" x14ac:dyDescent="0.2">
      <c r="A21" s="889"/>
      <c r="B21" s="908">
        <f>B15+1</f>
        <v>1999</v>
      </c>
      <c r="C21" s="915"/>
      <c r="D21" s="925"/>
      <c r="E21" s="915"/>
      <c r="F21" s="925"/>
      <c r="G21" s="889"/>
      <c r="H21" s="925"/>
      <c r="I21" s="922"/>
      <c r="J21" s="925"/>
      <c r="K21" s="926"/>
      <c r="L21" s="889"/>
      <c r="M21" s="908">
        <f>M15+1</f>
        <v>1999</v>
      </c>
      <c r="N21" s="920"/>
      <c r="O21" s="920"/>
      <c r="P21" s="920"/>
      <c r="Q21" s="920"/>
      <c r="R21" s="920"/>
      <c r="S21" s="920"/>
      <c r="T21" s="927"/>
    </row>
    <row r="22" spans="1:20" ht="10.5" customHeight="1" outlineLevel="1" x14ac:dyDescent="0.2">
      <c r="A22" s="889" t="s">
        <v>92</v>
      </c>
      <c r="B22" s="921" t="s">
        <v>197</v>
      </c>
      <c r="C22" s="928">
        <v>68</v>
      </c>
      <c r="D22" s="919">
        <f>(C22/C16-1)*100</f>
        <v>1.4925373134328401</v>
      </c>
      <c r="E22" s="928">
        <v>25</v>
      </c>
      <c r="F22" s="919">
        <f>(E22/E16-1)*100</f>
        <v>8.6956521739130377</v>
      </c>
      <c r="G22" s="889"/>
      <c r="H22" s="919" t="e">
        <f>(G22/G16-1)*100</f>
        <v>#DIV/0!</v>
      </c>
      <c r="I22" s="917">
        <f>G22+E22+C22</f>
        <v>93</v>
      </c>
      <c r="J22" s="919">
        <f>(I22/I16-1)*100</f>
        <v>3.3333333333333437</v>
      </c>
      <c r="K22" s="919"/>
      <c r="L22" s="889" t="s">
        <v>92</v>
      </c>
      <c r="M22" s="921" t="s">
        <v>197</v>
      </c>
      <c r="N22" s="924">
        <f>C22-C19</f>
        <v>1</v>
      </c>
      <c r="O22" s="923"/>
      <c r="P22" s="924">
        <f>E22-E19</f>
        <v>0</v>
      </c>
      <c r="Q22" s="923"/>
      <c r="R22" s="924">
        <f>G22-G19</f>
        <v>0</v>
      </c>
      <c r="S22" s="923"/>
      <c r="T22" s="924">
        <f>I22-I19</f>
        <v>1</v>
      </c>
    </row>
    <row r="23" spans="1:20" ht="10.5" customHeight="1" outlineLevel="1" x14ac:dyDescent="0.2">
      <c r="A23" s="889" t="s">
        <v>93</v>
      </c>
      <c r="B23" s="914" t="s">
        <v>198</v>
      </c>
      <c r="C23" s="928">
        <v>68</v>
      </c>
      <c r="D23" s="919">
        <f>(C23/C17-1)*100</f>
        <v>1.4925373134328401</v>
      </c>
      <c r="E23" s="928">
        <v>25</v>
      </c>
      <c r="F23" s="919">
        <f>(E23/E17-1)*100</f>
        <v>0</v>
      </c>
      <c r="G23" s="889"/>
      <c r="H23" s="919" t="e">
        <f>(G23/G17-1)*100</f>
        <v>#DIV/0!</v>
      </c>
      <c r="I23" s="917">
        <f>G23+E23+C23</f>
        <v>93</v>
      </c>
      <c r="J23" s="919">
        <f>(I23/I17-1)*100</f>
        <v>1.0869565217391353</v>
      </c>
      <c r="K23" s="919"/>
      <c r="L23" s="889" t="s">
        <v>93</v>
      </c>
      <c r="M23" s="914" t="s">
        <v>198</v>
      </c>
      <c r="N23" s="924">
        <f>C23-C22</f>
        <v>0</v>
      </c>
      <c r="O23" s="920"/>
      <c r="P23" s="924">
        <f>E23-E22</f>
        <v>0</v>
      </c>
      <c r="Q23" s="920"/>
      <c r="R23" s="924">
        <f>G23-G22</f>
        <v>0</v>
      </c>
      <c r="S23" s="920"/>
      <c r="T23" s="924">
        <f>I23-I22</f>
        <v>0</v>
      </c>
    </row>
    <row r="24" spans="1:20" ht="10.5" customHeight="1" outlineLevel="1" x14ac:dyDescent="0.2">
      <c r="A24" s="889" t="s">
        <v>94</v>
      </c>
      <c r="B24" s="914" t="s">
        <v>199</v>
      </c>
      <c r="C24" s="928">
        <v>71</v>
      </c>
      <c r="D24" s="919">
        <f>(C24/C18-1)*100</f>
        <v>2.8985507246376718</v>
      </c>
      <c r="E24" s="928">
        <v>26</v>
      </c>
      <c r="F24" s="919">
        <f>(E24/E18-1)*100</f>
        <v>4.0000000000000036</v>
      </c>
      <c r="G24" s="889"/>
      <c r="H24" s="919" t="e">
        <f>(G24/G18-1)*100</f>
        <v>#DIV/0!</v>
      </c>
      <c r="I24" s="917">
        <f>G24+E24+C24</f>
        <v>97</v>
      </c>
      <c r="J24" s="919">
        <f>(I24/I18-1)*100</f>
        <v>3.1914893617021267</v>
      </c>
      <c r="K24" s="919"/>
      <c r="L24" s="889" t="s">
        <v>94</v>
      </c>
      <c r="M24" s="914" t="s">
        <v>199</v>
      </c>
      <c r="N24" s="924">
        <f>C24-C23</f>
        <v>3</v>
      </c>
      <c r="O24" s="920"/>
      <c r="P24" s="924">
        <f>E24-E23</f>
        <v>1</v>
      </c>
      <c r="Q24" s="920"/>
      <c r="R24" s="924">
        <f>G24-G23</f>
        <v>0</v>
      </c>
      <c r="S24" s="920"/>
      <c r="T24" s="924">
        <f>I24-I23</f>
        <v>4</v>
      </c>
    </row>
    <row r="25" spans="1:20" ht="10.5" customHeight="1" outlineLevel="1" x14ac:dyDescent="0.2">
      <c r="A25" s="889" t="s">
        <v>95</v>
      </c>
      <c r="B25" s="914" t="s">
        <v>200</v>
      </c>
      <c r="C25" s="928">
        <v>71</v>
      </c>
      <c r="D25" s="919">
        <f>(C25/C19-1)*100</f>
        <v>5.9701492537313383</v>
      </c>
      <c r="E25" s="928">
        <v>27</v>
      </c>
      <c r="F25" s="919">
        <f>(E25/E19-1)*100</f>
        <v>8.0000000000000071</v>
      </c>
      <c r="G25" s="889"/>
      <c r="H25" s="919" t="e">
        <f>(G25/G19-1)*100</f>
        <v>#DIV/0!</v>
      </c>
      <c r="I25" s="917">
        <f>G25+E25+C25</f>
        <v>98</v>
      </c>
      <c r="J25" s="919">
        <f>(I25/I19-1)*100</f>
        <v>6.5217391304347894</v>
      </c>
      <c r="K25" s="919"/>
      <c r="L25" s="889" t="s">
        <v>95</v>
      </c>
      <c r="M25" s="914" t="s">
        <v>200</v>
      </c>
      <c r="N25" s="924">
        <f>C25-C24</f>
        <v>0</v>
      </c>
      <c r="O25" s="920"/>
      <c r="P25" s="924">
        <f>E25-E24</f>
        <v>1</v>
      </c>
      <c r="Q25" s="920"/>
      <c r="R25" s="924">
        <f>G25-G24</f>
        <v>0</v>
      </c>
      <c r="S25" s="920"/>
      <c r="T25" s="924">
        <f>I25-I24</f>
        <v>1</v>
      </c>
    </row>
    <row r="26" spans="1:20" ht="10.5" customHeight="1" outlineLevel="1" collapsed="1" x14ac:dyDescent="0.2">
      <c r="A26" s="889"/>
      <c r="B26" s="914"/>
      <c r="C26" s="928"/>
      <c r="D26" s="925"/>
      <c r="E26" s="928"/>
      <c r="F26" s="925"/>
      <c r="G26" s="889"/>
      <c r="H26" s="925"/>
      <c r="I26" s="922"/>
      <c r="J26" s="925"/>
      <c r="K26" s="926"/>
      <c r="L26" s="889"/>
      <c r="M26" s="914"/>
      <c r="N26" s="920"/>
      <c r="O26" s="920"/>
      <c r="P26" s="920"/>
      <c r="Q26" s="920"/>
      <c r="R26" s="920"/>
      <c r="S26" s="920"/>
      <c r="T26" s="929"/>
    </row>
    <row r="27" spans="1:20" ht="10.5" customHeight="1" outlineLevel="1" x14ac:dyDescent="0.2">
      <c r="A27" s="889"/>
      <c r="B27" s="908">
        <f>B21+1</f>
        <v>2000</v>
      </c>
      <c r="C27" s="928"/>
      <c r="D27" s="925"/>
      <c r="E27" s="928"/>
      <c r="F27" s="925"/>
      <c r="G27" s="889"/>
      <c r="H27" s="925"/>
      <c r="I27" s="910"/>
      <c r="J27" s="925"/>
      <c r="K27" s="930"/>
      <c r="L27" s="889"/>
      <c r="M27" s="908">
        <f>M21+1</f>
        <v>2000</v>
      </c>
      <c r="N27" s="925"/>
      <c r="O27" s="925"/>
      <c r="P27" s="925"/>
      <c r="Q27" s="925"/>
      <c r="R27" s="925"/>
      <c r="S27" s="925"/>
      <c r="T27" s="931"/>
    </row>
    <row r="28" spans="1:20" ht="10.5" customHeight="1" outlineLevel="1" x14ac:dyDescent="0.2">
      <c r="A28" s="889" t="s">
        <v>92</v>
      </c>
      <c r="B28" s="921" t="s">
        <v>197</v>
      </c>
      <c r="C28" s="928">
        <v>72</v>
      </c>
      <c r="D28" s="919">
        <f>(C28/C22-1)*100</f>
        <v>5.8823529411764719</v>
      </c>
      <c r="E28" s="928">
        <v>28</v>
      </c>
      <c r="F28" s="919">
        <f>(E28/E22-1)*100</f>
        <v>12.000000000000011</v>
      </c>
      <c r="G28" s="889"/>
      <c r="H28" s="919" t="e">
        <f>(G28/G22-1)*100</f>
        <v>#DIV/0!</v>
      </c>
      <c r="I28" s="917">
        <f>G28+E28+C28</f>
        <v>100</v>
      </c>
      <c r="J28" s="919">
        <f>(I28/I22-1)*100</f>
        <v>7.5268817204301008</v>
      </c>
      <c r="K28" s="919"/>
      <c r="L28" s="889" t="s">
        <v>92</v>
      </c>
      <c r="M28" s="921" t="s">
        <v>197</v>
      </c>
      <c r="N28" s="924">
        <f>C28-C25</f>
        <v>1</v>
      </c>
      <c r="O28" s="923"/>
      <c r="P28" s="924">
        <f>E28-E25</f>
        <v>1</v>
      </c>
      <c r="Q28" s="923"/>
      <c r="R28" s="924">
        <f>G28-G25</f>
        <v>0</v>
      </c>
      <c r="S28" s="923"/>
      <c r="T28" s="924">
        <f>I28-I25</f>
        <v>2</v>
      </c>
    </row>
    <row r="29" spans="1:20" ht="10.5" customHeight="1" outlineLevel="1" x14ac:dyDescent="0.2">
      <c r="A29" s="889" t="s">
        <v>93</v>
      </c>
      <c r="B29" s="914" t="s">
        <v>198</v>
      </c>
      <c r="C29" s="928">
        <v>74</v>
      </c>
      <c r="D29" s="919">
        <f>(C29/C23-1)*100</f>
        <v>8.8235294117646959</v>
      </c>
      <c r="E29" s="928">
        <v>33</v>
      </c>
      <c r="F29" s="919">
        <f>(E29/E23-1)*100</f>
        <v>32.000000000000007</v>
      </c>
      <c r="G29" s="889"/>
      <c r="H29" s="919" t="e">
        <f>(G29/G23-1)*100</f>
        <v>#DIV/0!</v>
      </c>
      <c r="I29" s="917">
        <f>G29+E29+C29</f>
        <v>107</v>
      </c>
      <c r="J29" s="919">
        <f>(I29/I23-1)*100</f>
        <v>15.053763440860223</v>
      </c>
      <c r="K29" s="919"/>
      <c r="L29" s="889" t="s">
        <v>93</v>
      </c>
      <c r="M29" s="914" t="s">
        <v>198</v>
      </c>
      <c r="N29" s="924">
        <f>C29-C28</f>
        <v>2</v>
      </c>
      <c r="O29" s="920"/>
      <c r="P29" s="924">
        <f>E29-E28</f>
        <v>5</v>
      </c>
      <c r="Q29" s="920"/>
      <c r="R29" s="924">
        <f>G29-G28</f>
        <v>0</v>
      </c>
      <c r="S29" s="920"/>
      <c r="T29" s="924">
        <f>I29-I28</f>
        <v>7</v>
      </c>
    </row>
    <row r="30" spans="1:20" ht="10.5" customHeight="1" outlineLevel="1" x14ac:dyDescent="0.2">
      <c r="A30" s="889" t="s">
        <v>94</v>
      </c>
      <c r="B30" s="914" t="s">
        <v>199</v>
      </c>
      <c r="C30" s="928">
        <v>77</v>
      </c>
      <c r="D30" s="919">
        <f>(C30/C24-1)*100</f>
        <v>8.4507042253521227</v>
      </c>
      <c r="E30" s="928">
        <v>37</v>
      </c>
      <c r="F30" s="919">
        <f>(E30/E24-1)*100</f>
        <v>42.307692307692314</v>
      </c>
      <c r="G30" s="889"/>
      <c r="H30" s="919" t="e">
        <f>(G30/G24-1)*100</f>
        <v>#DIV/0!</v>
      </c>
      <c r="I30" s="917">
        <f>G30+E30+C30</f>
        <v>114</v>
      </c>
      <c r="J30" s="919">
        <f>(I30/I24-1)*100</f>
        <v>17.525773195876294</v>
      </c>
      <c r="K30" s="919"/>
      <c r="L30" s="889" t="s">
        <v>94</v>
      </c>
      <c r="M30" s="914" t="s">
        <v>199</v>
      </c>
      <c r="N30" s="924">
        <f>C30-C29</f>
        <v>3</v>
      </c>
      <c r="O30" s="920"/>
      <c r="P30" s="924">
        <f>E30-E29</f>
        <v>4</v>
      </c>
      <c r="Q30" s="920"/>
      <c r="R30" s="924">
        <f>G30-G29</f>
        <v>0</v>
      </c>
      <c r="S30" s="920"/>
      <c r="T30" s="924">
        <f>I30-I29</f>
        <v>7</v>
      </c>
    </row>
    <row r="31" spans="1:20" ht="10.5" customHeight="1" outlineLevel="1" x14ac:dyDescent="0.2">
      <c r="A31" s="889" t="s">
        <v>95</v>
      </c>
      <c r="B31" s="914" t="s">
        <v>200</v>
      </c>
      <c r="C31" s="928">
        <v>77</v>
      </c>
      <c r="D31" s="919">
        <f>(C31/C25-1)*100</f>
        <v>8.4507042253521227</v>
      </c>
      <c r="E31" s="928">
        <v>37</v>
      </c>
      <c r="F31" s="919">
        <f>(E31/E25-1)*100</f>
        <v>37.037037037037045</v>
      </c>
      <c r="G31" s="889"/>
      <c r="H31" s="919" t="e">
        <f>(G31/G25-1)*100</f>
        <v>#DIV/0!</v>
      </c>
      <c r="I31" s="917">
        <f>G31+E31+C31</f>
        <v>114</v>
      </c>
      <c r="J31" s="919">
        <f>(I31/I25-1)*100</f>
        <v>16.326530612244895</v>
      </c>
      <c r="K31" s="919"/>
      <c r="L31" s="889" t="s">
        <v>95</v>
      </c>
      <c r="M31" s="914" t="s">
        <v>200</v>
      </c>
      <c r="N31" s="924">
        <f>C31-C30</f>
        <v>0</v>
      </c>
      <c r="O31" s="920"/>
      <c r="P31" s="924">
        <f>E31-E30</f>
        <v>0</v>
      </c>
      <c r="Q31" s="920"/>
      <c r="R31" s="924">
        <f>G31-G30</f>
        <v>0</v>
      </c>
      <c r="S31" s="920"/>
      <c r="T31" s="924">
        <f>I31-I30</f>
        <v>0</v>
      </c>
    </row>
    <row r="32" spans="1:20" ht="10.5" customHeight="1" outlineLevel="1" collapsed="1" x14ac:dyDescent="0.2">
      <c r="A32" s="889"/>
      <c r="B32" s="914"/>
      <c r="C32" s="928"/>
      <c r="D32" s="925"/>
      <c r="E32" s="928"/>
      <c r="F32" s="925"/>
      <c r="G32" s="889"/>
      <c r="H32" s="925"/>
      <c r="I32" s="932"/>
      <c r="J32" s="925"/>
      <c r="K32" s="930"/>
      <c r="L32" s="889"/>
      <c r="M32" s="914"/>
      <c r="N32" s="920"/>
      <c r="O32" s="920"/>
      <c r="P32" s="920"/>
      <c r="Q32" s="920"/>
      <c r="R32" s="920"/>
      <c r="S32" s="920"/>
      <c r="T32" s="920"/>
    </row>
    <row r="33" spans="1:20" ht="10.5" customHeight="1" outlineLevel="1" x14ac:dyDescent="0.2">
      <c r="A33" s="889"/>
      <c r="B33" s="908">
        <f>B27+1</f>
        <v>2001</v>
      </c>
      <c r="C33" s="928"/>
      <c r="D33" s="925"/>
      <c r="E33" s="928"/>
      <c r="F33" s="925"/>
      <c r="G33" s="889"/>
      <c r="H33" s="925"/>
      <c r="I33" s="932"/>
      <c r="J33" s="925"/>
      <c r="K33" s="930"/>
      <c r="L33" s="889"/>
      <c r="M33" s="908">
        <f>M27+1</f>
        <v>2001</v>
      </c>
      <c r="N33" s="913"/>
      <c r="O33" s="913"/>
      <c r="P33" s="913"/>
      <c r="Q33" s="913"/>
      <c r="R33" s="913"/>
      <c r="S33" s="913"/>
      <c r="T33" s="913"/>
    </row>
    <row r="34" spans="1:20" ht="10.5" customHeight="1" outlineLevel="1" x14ac:dyDescent="0.2">
      <c r="A34" s="889" t="s">
        <v>92</v>
      </c>
      <c r="B34" s="921" t="s">
        <v>197</v>
      </c>
      <c r="C34" s="928">
        <v>77</v>
      </c>
      <c r="D34" s="919">
        <f>(C34/C28-1)*100</f>
        <v>6.944444444444442</v>
      </c>
      <c r="E34" s="928">
        <v>45</v>
      </c>
      <c r="F34" s="919">
        <f>(E34/E28-1)*100</f>
        <v>60.714285714285722</v>
      </c>
      <c r="G34" s="889"/>
      <c r="H34" s="919" t="e">
        <f>(G34/G28-1)*100</f>
        <v>#DIV/0!</v>
      </c>
      <c r="I34" s="917">
        <f>G34+E34+C34</f>
        <v>122</v>
      </c>
      <c r="J34" s="919">
        <f>(I34/I28-1)*100</f>
        <v>21.999999999999996</v>
      </c>
      <c r="K34" s="919"/>
      <c r="L34" s="889" t="s">
        <v>92</v>
      </c>
      <c r="M34" s="921" t="s">
        <v>197</v>
      </c>
      <c r="N34" s="924">
        <f>C34-C31</f>
        <v>0</v>
      </c>
      <c r="O34" s="923"/>
      <c r="P34" s="924">
        <f>E34-E31</f>
        <v>8</v>
      </c>
      <c r="Q34" s="923"/>
      <c r="R34" s="924">
        <f>G34-G31</f>
        <v>0</v>
      </c>
      <c r="S34" s="923"/>
      <c r="T34" s="924">
        <f>I34-I31</f>
        <v>8</v>
      </c>
    </row>
    <row r="35" spans="1:20" ht="10.5" customHeight="1" outlineLevel="1" x14ac:dyDescent="0.2">
      <c r="A35" s="889" t="s">
        <v>93</v>
      </c>
      <c r="B35" s="914" t="s">
        <v>198</v>
      </c>
      <c r="C35" s="928">
        <v>77</v>
      </c>
      <c r="D35" s="919">
        <f>(C35/C29-1)*100</f>
        <v>4.0540540540540571</v>
      </c>
      <c r="E35" s="928">
        <v>45</v>
      </c>
      <c r="F35" s="919">
        <f>(E35/E29-1)*100</f>
        <v>36.363636363636353</v>
      </c>
      <c r="G35" s="889"/>
      <c r="H35" s="919" t="e">
        <f>(G35/G29-1)*100</f>
        <v>#DIV/0!</v>
      </c>
      <c r="I35" s="917">
        <f>G35+E35+C35</f>
        <v>122</v>
      </c>
      <c r="J35" s="919">
        <f>(I35/I29-1)*100</f>
        <v>14.018691588785037</v>
      </c>
      <c r="K35" s="919"/>
      <c r="L35" s="889" t="s">
        <v>93</v>
      </c>
      <c r="M35" s="914" t="s">
        <v>198</v>
      </c>
      <c r="N35" s="924">
        <f>C35-C34</f>
        <v>0</v>
      </c>
      <c r="O35" s="920"/>
      <c r="P35" s="924">
        <f>E35-E34</f>
        <v>0</v>
      </c>
      <c r="Q35" s="920"/>
      <c r="R35" s="924">
        <f>G35-G34</f>
        <v>0</v>
      </c>
      <c r="S35" s="920"/>
      <c r="T35" s="924">
        <f>I35-I34</f>
        <v>0</v>
      </c>
    </row>
    <row r="36" spans="1:20" ht="10.5" customHeight="1" outlineLevel="1" x14ac:dyDescent="0.2">
      <c r="A36" s="889" t="s">
        <v>94</v>
      </c>
      <c r="B36" s="914" t="s">
        <v>199</v>
      </c>
      <c r="C36" s="928">
        <v>80</v>
      </c>
      <c r="D36" s="919">
        <f>(C36/C30-1)*100</f>
        <v>3.8961038961038863</v>
      </c>
      <c r="E36" s="928">
        <v>51</v>
      </c>
      <c r="F36" s="919">
        <f>(E36/E30-1)*100</f>
        <v>37.837837837837832</v>
      </c>
      <c r="G36" s="889"/>
      <c r="H36" s="919" t="e">
        <f>(G36/G30-1)*100</f>
        <v>#DIV/0!</v>
      </c>
      <c r="I36" s="917">
        <f>G36+E36+C36</f>
        <v>131</v>
      </c>
      <c r="J36" s="919">
        <f>(I36/I30-1)*100</f>
        <v>14.912280701754387</v>
      </c>
      <c r="K36" s="919"/>
      <c r="L36" s="889" t="s">
        <v>94</v>
      </c>
      <c r="M36" s="914" t="s">
        <v>199</v>
      </c>
      <c r="N36" s="924">
        <f>C36-C35</f>
        <v>3</v>
      </c>
      <c r="O36" s="920"/>
      <c r="P36" s="924">
        <f>E36-E35</f>
        <v>6</v>
      </c>
      <c r="Q36" s="920"/>
      <c r="R36" s="924">
        <f>G36-G35</f>
        <v>0</v>
      </c>
      <c r="S36" s="920"/>
      <c r="T36" s="924">
        <f>I36-I35</f>
        <v>9</v>
      </c>
    </row>
    <row r="37" spans="1:20" ht="10.5" customHeight="1" outlineLevel="1" x14ac:dyDescent="0.2">
      <c r="A37" s="889" t="s">
        <v>95</v>
      </c>
      <c r="B37" s="914" t="s">
        <v>200</v>
      </c>
      <c r="C37" s="928">
        <v>81</v>
      </c>
      <c r="D37" s="919">
        <f>(C37/C31-1)*100</f>
        <v>5.1948051948051965</v>
      </c>
      <c r="E37" s="928">
        <v>46</v>
      </c>
      <c r="F37" s="919">
        <f>(E37/E31-1)*100</f>
        <v>24.324324324324319</v>
      </c>
      <c r="G37" s="889"/>
      <c r="H37" s="919" t="e">
        <f>(G37/G31-1)*100</f>
        <v>#DIV/0!</v>
      </c>
      <c r="I37" s="917">
        <f>G37+E37+C37</f>
        <v>127</v>
      </c>
      <c r="J37" s="919">
        <f>(I37/I31-1)*100</f>
        <v>11.403508771929815</v>
      </c>
      <c r="K37" s="919"/>
      <c r="L37" s="889" t="s">
        <v>95</v>
      </c>
      <c r="M37" s="914" t="s">
        <v>200</v>
      </c>
      <c r="N37" s="924">
        <f>C37-C36</f>
        <v>1</v>
      </c>
      <c r="O37" s="920"/>
      <c r="P37" s="924">
        <f>E37-E36</f>
        <v>-5</v>
      </c>
      <c r="Q37" s="920"/>
      <c r="R37" s="924">
        <f>G37-G36</f>
        <v>0</v>
      </c>
      <c r="S37" s="920"/>
      <c r="T37" s="924">
        <f>I37-I36</f>
        <v>-4</v>
      </c>
    </row>
    <row r="38" spans="1:20" ht="10.5" customHeight="1" outlineLevel="1" collapsed="1" x14ac:dyDescent="0.2">
      <c r="A38" s="889"/>
      <c r="B38" s="889"/>
      <c r="C38" s="928"/>
      <c r="D38" s="925"/>
      <c r="E38" s="928"/>
      <c r="F38" s="925"/>
      <c r="G38" s="889"/>
      <c r="H38" s="925"/>
      <c r="I38" s="922"/>
      <c r="J38" s="925"/>
      <c r="K38" s="930"/>
      <c r="L38" s="889"/>
      <c r="M38" s="889"/>
      <c r="N38" s="920"/>
      <c r="O38" s="920"/>
      <c r="P38" s="920"/>
      <c r="Q38" s="920"/>
      <c r="R38" s="920"/>
      <c r="S38" s="920"/>
      <c r="T38" s="920"/>
    </row>
    <row r="39" spans="1:20" ht="10.5" customHeight="1" outlineLevel="1" x14ac:dyDescent="0.2">
      <c r="A39" s="889"/>
      <c r="B39" s="908">
        <f>B33+1</f>
        <v>2002</v>
      </c>
      <c r="C39" s="928"/>
      <c r="D39" s="925"/>
      <c r="E39" s="928"/>
      <c r="F39" s="925"/>
      <c r="G39" s="889"/>
      <c r="H39" s="925"/>
      <c r="I39" s="910"/>
      <c r="J39" s="925"/>
      <c r="K39" s="933"/>
      <c r="L39" s="889"/>
      <c r="M39" s="908">
        <f>M33+1</f>
        <v>2002</v>
      </c>
      <c r="N39" s="920"/>
      <c r="O39" s="920"/>
      <c r="P39" s="920"/>
      <c r="Q39" s="920"/>
      <c r="R39" s="920"/>
      <c r="S39" s="920"/>
      <c r="T39" s="927"/>
    </row>
    <row r="40" spans="1:20" ht="10.5" customHeight="1" outlineLevel="1" x14ac:dyDescent="0.2">
      <c r="A40" s="889" t="s">
        <v>92</v>
      </c>
      <c r="B40" s="921" t="s">
        <v>197</v>
      </c>
      <c r="C40" s="928">
        <v>83</v>
      </c>
      <c r="D40" s="919">
        <f>(C40/C34-1)*100</f>
        <v>7.7922077922077948</v>
      </c>
      <c r="E40" s="928">
        <v>53</v>
      </c>
      <c r="F40" s="919">
        <f>(E40/E34-1)*100</f>
        <v>17.777777777777782</v>
      </c>
      <c r="G40" s="889"/>
      <c r="H40" s="919" t="e">
        <f>(G40/G34-1)*100</f>
        <v>#DIV/0!</v>
      </c>
      <c r="I40" s="917">
        <f>G40+E40+C40</f>
        <v>136</v>
      </c>
      <c r="J40" s="919">
        <f>(I40/I34-1)*100</f>
        <v>11.475409836065564</v>
      </c>
      <c r="K40" s="919"/>
      <c r="L40" s="889" t="s">
        <v>92</v>
      </c>
      <c r="M40" s="921" t="s">
        <v>197</v>
      </c>
      <c r="N40" s="924">
        <f>C40-C37</f>
        <v>2</v>
      </c>
      <c r="O40" s="923"/>
      <c r="P40" s="924">
        <f>E40-E37</f>
        <v>7</v>
      </c>
      <c r="Q40" s="923"/>
      <c r="R40" s="924">
        <f>G40-G37</f>
        <v>0</v>
      </c>
      <c r="S40" s="923"/>
      <c r="T40" s="924">
        <f>I40-I37</f>
        <v>9</v>
      </c>
    </row>
    <row r="41" spans="1:20" ht="10.5" customHeight="1" outlineLevel="1" x14ac:dyDescent="0.2">
      <c r="A41" s="889" t="s">
        <v>93</v>
      </c>
      <c r="B41" s="914" t="s">
        <v>198</v>
      </c>
      <c r="C41" s="928">
        <v>83</v>
      </c>
      <c r="D41" s="919">
        <f>(C41/C35-1)*100</f>
        <v>7.7922077922077948</v>
      </c>
      <c r="E41" s="928">
        <v>53</v>
      </c>
      <c r="F41" s="919">
        <f>(E41/E35-1)*100</f>
        <v>17.777777777777782</v>
      </c>
      <c r="G41" s="889"/>
      <c r="H41" s="919" t="e">
        <f>(G41/G35-1)*100</f>
        <v>#DIV/0!</v>
      </c>
      <c r="I41" s="917">
        <f>G41+E41+C41</f>
        <v>136</v>
      </c>
      <c r="J41" s="919">
        <f>(I41/I35-1)*100</f>
        <v>11.475409836065564</v>
      </c>
      <c r="K41" s="919"/>
      <c r="L41" s="889" t="s">
        <v>93</v>
      </c>
      <c r="M41" s="914" t="s">
        <v>198</v>
      </c>
      <c r="N41" s="924">
        <f>C41-C40</f>
        <v>0</v>
      </c>
      <c r="O41" s="920"/>
      <c r="P41" s="924">
        <f>E41-E40</f>
        <v>0</v>
      </c>
      <c r="Q41" s="920"/>
      <c r="R41" s="924">
        <f>G41-G40</f>
        <v>0</v>
      </c>
      <c r="S41" s="920"/>
      <c r="T41" s="924">
        <f>I41-I40</f>
        <v>0</v>
      </c>
    </row>
    <row r="42" spans="1:20" ht="10.5" customHeight="1" outlineLevel="1" x14ac:dyDescent="0.2">
      <c r="A42" s="889" t="s">
        <v>94</v>
      </c>
      <c r="B42" s="914" t="s">
        <v>199</v>
      </c>
      <c r="C42" s="928">
        <v>87</v>
      </c>
      <c r="D42" s="919">
        <f>(C42/C36-1)*100</f>
        <v>8.7499999999999911</v>
      </c>
      <c r="E42" s="928">
        <v>55</v>
      </c>
      <c r="F42" s="919">
        <f>(E42/E36-1)*100</f>
        <v>7.8431372549019551</v>
      </c>
      <c r="G42" s="889"/>
      <c r="H42" s="919" t="e">
        <f>(G42/G36-1)*100</f>
        <v>#DIV/0!</v>
      </c>
      <c r="I42" s="917">
        <f>G42+E42+C42</f>
        <v>142</v>
      </c>
      <c r="J42" s="919">
        <f>(I42/I36-1)*100</f>
        <v>8.3969465648855</v>
      </c>
      <c r="K42" s="919"/>
      <c r="L42" s="889" t="s">
        <v>94</v>
      </c>
      <c r="M42" s="914" t="s">
        <v>199</v>
      </c>
      <c r="N42" s="924">
        <f>C42-C41</f>
        <v>4</v>
      </c>
      <c r="O42" s="920"/>
      <c r="P42" s="924">
        <f>E42-E41</f>
        <v>2</v>
      </c>
      <c r="Q42" s="920"/>
      <c r="R42" s="924">
        <f>G42-G41</f>
        <v>0</v>
      </c>
      <c r="S42" s="920"/>
      <c r="T42" s="924">
        <f>I42-I41</f>
        <v>6</v>
      </c>
    </row>
    <row r="43" spans="1:20" ht="10.5" customHeight="1" outlineLevel="1" x14ac:dyDescent="0.2">
      <c r="A43" s="889" t="s">
        <v>95</v>
      </c>
      <c r="B43" s="914" t="s">
        <v>200</v>
      </c>
      <c r="C43" s="928">
        <v>88</v>
      </c>
      <c r="D43" s="919">
        <f>(C43/C37-1)*100</f>
        <v>8.6419753086419693</v>
      </c>
      <c r="E43" s="928">
        <v>55</v>
      </c>
      <c r="F43" s="919">
        <f>(E43/E37-1)*100</f>
        <v>19.565217391304344</v>
      </c>
      <c r="G43" s="889"/>
      <c r="H43" s="919" t="e">
        <f>(G43/G37-1)*100</f>
        <v>#DIV/0!</v>
      </c>
      <c r="I43" s="917">
        <f>G43+E43+C43</f>
        <v>143</v>
      </c>
      <c r="J43" s="919">
        <f>(I43/I37-1)*100</f>
        <v>12.598425196850393</v>
      </c>
      <c r="K43" s="919"/>
      <c r="L43" s="889" t="s">
        <v>95</v>
      </c>
      <c r="M43" s="914" t="s">
        <v>200</v>
      </c>
      <c r="N43" s="924">
        <f>C43-C42</f>
        <v>1</v>
      </c>
      <c r="O43" s="920"/>
      <c r="P43" s="924">
        <f>E43-E42</f>
        <v>0</v>
      </c>
      <c r="Q43" s="920"/>
      <c r="R43" s="924">
        <f>G43-G42</f>
        <v>0</v>
      </c>
      <c r="S43" s="920"/>
      <c r="T43" s="924">
        <f>I43-I42</f>
        <v>1</v>
      </c>
    </row>
    <row r="44" spans="1:20" ht="10.5" customHeight="1" outlineLevel="1" collapsed="1" x14ac:dyDescent="0.2">
      <c r="A44" s="889"/>
      <c r="B44" s="889"/>
      <c r="C44" s="928"/>
      <c r="D44" s="925"/>
      <c r="E44" s="928"/>
      <c r="F44" s="925"/>
      <c r="G44" s="889"/>
      <c r="H44" s="925"/>
      <c r="I44" s="934"/>
      <c r="J44" s="925"/>
      <c r="K44" s="926"/>
      <c r="L44" s="889"/>
      <c r="M44" s="889"/>
      <c r="N44" s="935"/>
      <c r="O44" s="935"/>
      <c r="P44" s="935"/>
      <c r="Q44" s="935"/>
      <c r="R44" s="935"/>
      <c r="S44" s="935"/>
      <c r="T44" s="935"/>
    </row>
    <row r="45" spans="1:20" ht="10.5" customHeight="1" outlineLevel="1" x14ac:dyDescent="0.2">
      <c r="A45" s="889"/>
      <c r="B45" s="908">
        <f>B39+1</f>
        <v>2003</v>
      </c>
      <c r="C45" s="928"/>
      <c r="D45" s="925"/>
      <c r="E45" s="928"/>
      <c r="F45" s="925"/>
      <c r="G45" s="889"/>
      <c r="H45" s="925"/>
      <c r="I45" s="936"/>
      <c r="J45" s="925"/>
      <c r="K45" s="930"/>
      <c r="L45" s="889"/>
      <c r="M45" s="908">
        <f>M39+1</f>
        <v>2003</v>
      </c>
      <c r="N45" s="937"/>
      <c r="O45" s="937"/>
      <c r="P45" s="937"/>
      <c r="Q45" s="937"/>
      <c r="R45" s="937"/>
      <c r="S45" s="937"/>
      <c r="T45" s="937"/>
    </row>
    <row r="46" spans="1:20" ht="10.5" customHeight="1" outlineLevel="1" x14ac:dyDescent="0.2">
      <c r="A46" s="889" t="s">
        <v>92</v>
      </c>
      <c r="B46" s="921" t="s">
        <v>197</v>
      </c>
      <c r="C46" s="938">
        <v>89</v>
      </c>
      <c r="D46" s="919">
        <f>(C46/C40-1)*100</f>
        <v>7.2289156626506035</v>
      </c>
      <c r="E46" s="938">
        <v>54</v>
      </c>
      <c r="F46" s="919">
        <f>(E46/E40-1)*100</f>
        <v>1.8867924528301883</v>
      </c>
      <c r="G46" s="889"/>
      <c r="H46" s="919" t="e">
        <f>(G46/G40-1)*100</f>
        <v>#DIV/0!</v>
      </c>
      <c r="I46" s="917">
        <f>G46+E46+C46</f>
        <v>143</v>
      </c>
      <c r="J46" s="919">
        <f>(I46/I40-1)*100</f>
        <v>5.1470588235294157</v>
      </c>
      <c r="K46" s="919"/>
      <c r="L46" s="889" t="s">
        <v>92</v>
      </c>
      <c r="M46" s="921" t="s">
        <v>197</v>
      </c>
      <c r="N46" s="924">
        <f>C46-C43</f>
        <v>1</v>
      </c>
      <c r="O46" s="923"/>
      <c r="P46" s="924">
        <f>E46-E43</f>
        <v>-1</v>
      </c>
      <c r="Q46" s="923"/>
      <c r="R46" s="924">
        <f>G46-G43</f>
        <v>0</v>
      </c>
      <c r="S46" s="923"/>
      <c r="T46" s="924">
        <f>I46-I43</f>
        <v>0</v>
      </c>
    </row>
    <row r="47" spans="1:20" ht="10.5" customHeight="1" outlineLevel="1" x14ac:dyDescent="0.2">
      <c r="A47" s="889" t="s">
        <v>93</v>
      </c>
      <c r="B47" s="914" t="s">
        <v>198</v>
      </c>
      <c r="C47" s="939">
        <v>89</v>
      </c>
      <c r="D47" s="919">
        <f>(C47/C41-1)*100</f>
        <v>7.2289156626506035</v>
      </c>
      <c r="E47" s="939">
        <v>54</v>
      </c>
      <c r="F47" s="919">
        <f>(E47/E41-1)*100</f>
        <v>1.8867924528301883</v>
      </c>
      <c r="G47" s="889"/>
      <c r="H47" s="919" t="e">
        <f>(G47/G41-1)*100</f>
        <v>#DIV/0!</v>
      </c>
      <c r="I47" s="917">
        <f>G47+E47+C47</f>
        <v>143</v>
      </c>
      <c r="J47" s="919">
        <f>(I47/I41-1)*100</f>
        <v>5.1470588235294157</v>
      </c>
      <c r="K47" s="919"/>
      <c r="L47" s="889" t="s">
        <v>93</v>
      </c>
      <c r="M47" s="914" t="s">
        <v>198</v>
      </c>
      <c r="N47" s="924">
        <f>C47-C46</f>
        <v>0</v>
      </c>
      <c r="O47" s="920"/>
      <c r="P47" s="924">
        <f>E47-E46</f>
        <v>0</v>
      </c>
      <c r="Q47" s="920"/>
      <c r="R47" s="924">
        <f>G47-G46</f>
        <v>0</v>
      </c>
      <c r="S47" s="920"/>
      <c r="T47" s="924">
        <f>I47-I46</f>
        <v>0</v>
      </c>
    </row>
    <row r="48" spans="1:20" ht="10.5" customHeight="1" outlineLevel="1" x14ac:dyDescent="0.2">
      <c r="A48" s="889" t="s">
        <v>94</v>
      </c>
      <c r="B48" s="914" t="s">
        <v>199</v>
      </c>
      <c r="C48" s="939">
        <v>91</v>
      </c>
      <c r="D48" s="919">
        <f>(C48/C42-1)*100</f>
        <v>4.5977011494252817</v>
      </c>
      <c r="E48" s="939">
        <v>56</v>
      </c>
      <c r="F48" s="919">
        <f>(E48/E42-1)*100</f>
        <v>1.8181818181818077</v>
      </c>
      <c r="G48" s="889"/>
      <c r="H48" s="919" t="e">
        <f>(G48/G42-1)*100</f>
        <v>#DIV/0!</v>
      </c>
      <c r="I48" s="917">
        <f>G48+E48+C48</f>
        <v>147</v>
      </c>
      <c r="J48" s="919">
        <f>(I48/I42-1)*100</f>
        <v>3.5211267605633756</v>
      </c>
      <c r="K48" s="919"/>
      <c r="L48" s="889" t="s">
        <v>94</v>
      </c>
      <c r="M48" s="914" t="s">
        <v>199</v>
      </c>
      <c r="N48" s="924">
        <f>C48-C47</f>
        <v>2</v>
      </c>
      <c r="O48" s="920"/>
      <c r="P48" s="924">
        <f>E48-E47</f>
        <v>2</v>
      </c>
      <c r="Q48" s="920"/>
      <c r="R48" s="924">
        <f>G48-G47</f>
        <v>0</v>
      </c>
      <c r="S48" s="920"/>
      <c r="T48" s="924">
        <f>I48-I47</f>
        <v>4</v>
      </c>
    </row>
    <row r="49" spans="1:20" ht="10.5" customHeight="1" outlineLevel="1" x14ac:dyDescent="0.2">
      <c r="A49" s="889" t="s">
        <v>95</v>
      </c>
      <c r="B49" s="914" t="s">
        <v>200</v>
      </c>
      <c r="C49" s="939">
        <v>92</v>
      </c>
      <c r="D49" s="919">
        <f>(C49/C43-1)*100</f>
        <v>4.5454545454545414</v>
      </c>
      <c r="E49" s="939">
        <v>49</v>
      </c>
      <c r="F49" s="919">
        <f>(E49/E43-1)*100</f>
        <v>-10.909090909090914</v>
      </c>
      <c r="G49" s="889"/>
      <c r="H49" s="919" t="e">
        <f>(G49/G43-1)*100</f>
        <v>#DIV/0!</v>
      </c>
      <c r="I49" s="917">
        <f>G49+E49+C49</f>
        <v>141</v>
      </c>
      <c r="J49" s="919">
        <f>(I49/I43-1)*100</f>
        <v>-1.3986013986013957</v>
      </c>
      <c r="K49" s="919"/>
      <c r="L49" s="889" t="s">
        <v>95</v>
      </c>
      <c r="M49" s="914" t="s">
        <v>200</v>
      </c>
      <c r="N49" s="924">
        <f>C49-C48</f>
        <v>1</v>
      </c>
      <c r="O49" s="920"/>
      <c r="P49" s="924">
        <f>E49-E48</f>
        <v>-7</v>
      </c>
      <c r="Q49" s="920"/>
      <c r="R49" s="924">
        <f>G49-G48</f>
        <v>0</v>
      </c>
      <c r="S49" s="920"/>
      <c r="T49" s="924">
        <f>I49-I48</f>
        <v>-6</v>
      </c>
    </row>
    <row r="50" spans="1:20" ht="10.5" customHeight="1" outlineLevel="1" collapsed="1" x14ac:dyDescent="0.2">
      <c r="A50" s="889"/>
      <c r="B50" s="889"/>
      <c r="C50" s="928"/>
      <c r="D50" s="925"/>
      <c r="E50" s="928"/>
      <c r="F50" s="925"/>
      <c r="G50" s="889"/>
      <c r="H50" s="925"/>
      <c r="I50" s="922"/>
      <c r="J50" s="925"/>
      <c r="K50" s="930"/>
      <c r="L50" s="889"/>
      <c r="M50" s="889"/>
      <c r="N50" s="920"/>
      <c r="O50" s="920"/>
      <c r="P50" s="920"/>
      <c r="Q50" s="920"/>
      <c r="R50" s="920"/>
      <c r="S50" s="920"/>
      <c r="T50" s="920"/>
    </row>
    <row r="51" spans="1:20" ht="10.5" customHeight="1" outlineLevel="1" x14ac:dyDescent="0.2">
      <c r="A51" s="889"/>
      <c r="B51" s="908">
        <f>B45+1</f>
        <v>2004</v>
      </c>
      <c r="C51" s="928"/>
      <c r="D51" s="925"/>
      <c r="E51" s="928"/>
      <c r="F51" s="925"/>
      <c r="G51" s="889"/>
      <c r="H51" s="925"/>
      <c r="I51" s="910"/>
      <c r="J51" s="925"/>
      <c r="K51" s="930"/>
      <c r="L51" s="889"/>
      <c r="M51" s="908">
        <f>M45+1</f>
        <v>2004</v>
      </c>
      <c r="N51" s="913"/>
      <c r="O51" s="913"/>
      <c r="P51" s="913"/>
      <c r="Q51" s="913"/>
      <c r="R51" s="913"/>
      <c r="S51" s="913"/>
      <c r="T51" s="913"/>
    </row>
    <row r="52" spans="1:20" ht="10.5" customHeight="1" outlineLevel="1" x14ac:dyDescent="0.2">
      <c r="A52" s="889" t="s">
        <v>92</v>
      </c>
      <c r="B52" s="921" t="s">
        <v>197</v>
      </c>
      <c r="C52" s="938">
        <v>93</v>
      </c>
      <c r="D52" s="919">
        <f>(C52/C46-1)*100</f>
        <v>4.4943820224719211</v>
      </c>
      <c r="E52" s="938">
        <v>49</v>
      </c>
      <c r="F52" s="919">
        <f>(E52/E46-1)*100</f>
        <v>-9.259259259259256</v>
      </c>
      <c r="G52" s="889"/>
      <c r="H52" s="919" t="e">
        <f>(G52/G46-1)*100</f>
        <v>#DIV/0!</v>
      </c>
      <c r="I52" s="917">
        <f>G52+E52+C52</f>
        <v>142</v>
      </c>
      <c r="J52" s="919">
        <f>(I52/I46-1)*100</f>
        <v>-0.69930069930069783</v>
      </c>
      <c r="K52" s="919"/>
      <c r="L52" s="889" t="s">
        <v>92</v>
      </c>
      <c r="M52" s="921" t="s">
        <v>197</v>
      </c>
      <c r="N52" s="924">
        <f>C52-C49</f>
        <v>1</v>
      </c>
      <c r="O52" s="923"/>
      <c r="P52" s="924">
        <f>E52-E49</f>
        <v>0</v>
      </c>
      <c r="Q52" s="923"/>
      <c r="R52" s="924">
        <f>G52-G49</f>
        <v>0</v>
      </c>
      <c r="S52" s="923"/>
      <c r="T52" s="924">
        <f>I52-I49</f>
        <v>1</v>
      </c>
    </row>
    <row r="53" spans="1:20" ht="10.5" customHeight="1" outlineLevel="1" x14ac:dyDescent="0.2">
      <c r="A53" s="889" t="s">
        <v>93</v>
      </c>
      <c r="B53" s="914" t="s">
        <v>198</v>
      </c>
      <c r="C53" s="939">
        <v>93</v>
      </c>
      <c r="D53" s="919">
        <f>(C53/C47-1)*100</f>
        <v>4.4943820224719211</v>
      </c>
      <c r="E53" s="939">
        <v>56</v>
      </c>
      <c r="F53" s="919">
        <f>(E53/E47-1)*100</f>
        <v>3.7037037037036979</v>
      </c>
      <c r="G53" s="889"/>
      <c r="H53" s="919" t="e">
        <f>(G53/G47-1)*100</f>
        <v>#DIV/0!</v>
      </c>
      <c r="I53" s="917">
        <f>G53+E53+C53</f>
        <v>149</v>
      </c>
      <c r="J53" s="919">
        <f>(I53/I47-1)*100</f>
        <v>4.195804195804187</v>
      </c>
      <c r="K53" s="919"/>
      <c r="L53" s="889" t="s">
        <v>93</v>
      </c>
      <c r="M53" s="914" t="s">
        <v>198</v>
      </c>
      <c r="N53" s="924">
        <f>C53-C52</f>
        <v>0</v>
      </c>
      <c r="O53" s="920"/>
      <c r="P53" s="924">
        <f>E53-E52</f>
        <v>7</v>
      </c>
      <c r="Q53" s="920"/>
      <c r="R53" s="924">
        <f>G53-G52</f>
        <v>0</v>
      </c>
      <c r="S53" s="920"/>
      <c r="T53" s="924">
        <f>I53-I52</f>
        <v>7</v>
      </c>
    </row>
    <row r="54" spans="1:20" ht="10.5" customHeight="1" outlineLevel="1" x14ac:dyDescent="0.2">
      <c r="A54" s="889" t="s">
        <v>94</v>
      </c>
      <c r="B54" s="914" t="s">
        <v>199</v>
      </c>
      <c r="C54" s="939">
        <v>93</v>
      </c>
      <c r="D54" s="919">
        <f>(C54/C48-1)*100</f>
        <v>2.19780219780219</v>
      </c>
      <c r="E54" s="939">
        <v>56</v>
      </c>
      <c r="F54" s="919">
        <f>(E54/E48-1)*100</f>
        <v>0</v>
      </c>
      <c r="G54" s="889"/>
      <c r="H54" s="919" t="e">
        <f>(G54/G48-1)*100</f>
        <v>#DIV/0!</v>
      </c>
      <c r="I54" s="917">
        <f>G54+E54+C54</f>
        <v>149</v>
      </c>
      <c r="J54" s="919">
        <f>(I54/I48-1)*100</f>
        <v>1.3605442176870763</v>
      </c>
      <c r="K54" s="919"/>
      <c r="L54" s="889" t="s">
        <v>94</v>
      </c>
      <c r="M54" s="914" t="s">
        <v>199</v>
      </c>
      <c r="N54" s="924">
        <f>C54-C53</f>
        <v>0</v>
      </c>
      <c r="O54" s="920"/>
      <c r="P54" s="924">
        <f>E54-E53</f>
        <v>0</v>
      </c>
      <c r="Q54" s="920"/>
      <c r="R54" s="924">
        <f>G54-G53</f>
        <v>0</v>
      </c>
      <c r="S54" s="920"/>
      <c r="T54" s="924">
        <f>I54-I53</f>
        <v>0</v>
      </c>
    </row>
    <row r="55" spans="1:20" ht="10.5" customHeight="1" outlineLevel="1" x14ac:dyDescent="0.2">
      <c r="A55" s="889" t="s">
        <v>95</v>
      </c>
      <c r="B55" s="914" t="s">
        <v>200</v>
      </c>
      <c r="C55" s="939">
        <v>94</v>
      </c>
      <c r="D55" s="919">
        <f>(C55/C49-1)*100</f>
        <v>2.1739130434782705</v>
      </c>
      <c r="E55" s="939">
        <v>56</v>
      </c>
      <c r="F55" s="919">
        <f>(E55/E49-1)*100</f>
        <v>14.285714285714279</v>
      </c>
      <c r="G55" s="889"/>
      <c r="H55" s="919" t="e">
        <f>(G55/G49-1)*100</f>
        <v>#DIV/0!</v>
      </c>
      <c r="I55" s="917">
        <f>G55+E55+C55</f>
        <v>150</v>
      </c>
      <c r="J55" s="919">
        <f>(I55/I49-1)*100</f>
        <v>6.3829787234042534</v>
      </c>
      <c r="K55" s="919"/>
      <c r="L55" s="889" t="s">
        <v>95</v>
      </c>
      <c r="M55" s="914" t="s">
        <v>200</v>
      </c>
      <c r="N55" s="924">
        <f>C55-C54</f>
        <v>1</v>
      </c>
      <c r="O55" s="920"/>
      <c r="P55" s="924">
        <f>E55-E54</f>
        <v>0</v>
      </c>
      <c r="Q55" s="920"/>
      <c r="R55" s="924">
        <f>G55-G54</f>
        <v>0</v>
      </c>
      <c r="S55" s="920"/>
      <c r="T55" s="924">
        <f>I55-I54</f>
        <v>1</v>
      </c>
    </row>
    <row r="56" spans="1:20" ht="10.5" customHeight="1" outlineLevel="1" collapsed="1" x14ac:dyDescent="0.2">
      <c r="A56" s="889"/>
      <c r="B56" s="889"/>
      <c r="C56" s="928"/>
      <c r="D56" s="940"/>
      <c r="E56" s="928"/>
      <c r="F56" s="940"/>
      <c r="G56" s="889"/>
      <c r="H56" s="940"/>
      <c r="I56" s="934"/>
      <c r="J56" s="940"/>
      <c r="K56" s="941"/>
      <c r="L56" s="889"/>
      <c r="M56" s="889"/>
      <c r="N56" s="920"/>
      <c r="O56" s="920"/>
      <c r="P56" s="920"/>
      <c r="Q56" s="920"/>
      <c r="R56" s="920"/>
      <c r="S56" s="920"/>
      <c r="T56" s="920"/>
    </row>
    <row r="57" spans="1:20" ht="10.5" customHeight="1" outlineLevel="1" x14ac:dyDescent="0.2">
      <c r="A57" s="889"/>
      <c r="B57" s="908">
        <f>B51+1</f>
        <v>2005</v>
      </c>
      <c r="C57" s="928"/>
      <c r="D57" s="940"/>
      <c r="E57" s="928"/>
      <c r="F57" s="940"/>
      <c r="G57" s="889"/>
      <c r="H57" s="940"/>
      <c r="I57" s="936"/>
      <c r="J57" s="940"/>
      <c r="K57" s="933"/>
      <c r="L57" s="889"/>
      <c r="M57" s="908">
        <f>M51+1</f>
        <v>2005</v>
      </c>
      <c r="N57" s="920"/>
      <c r="O57" s="920"/>
      <c r="P57" s="920"/>
      <c r="Q57" s="920"/>
      <c r="R57" s="920"/>
      <c r="S57" s="920"/>
      <c r="T57" s="927"/>
    </row>
    <row r="58" spans="1:20" ht="10.5" customHeight="1" outlineLevel="1" x14ac:dyDescent="0.2">
      <c r="A58" s="889" t="s">
        <v>92</v>
      </c>
      <c r="B58" s="921" t="s">
        <v>197</v>
      </c>
      <c r="C58" s="939">
        <v>95</v>
      </c>
      <c r="D58" s="919">
        <f>(C58/C52-1)*100</f>
        <v>2.1505376344086002</v>
      </c>
      <c r="E58" s="938">
        <v>56</v>
      </c>
      <c r="F58" s="919">
        <f>(E58/E52-1)*100</f>
        <v>14.285714285714279</v>
      </c>
      <c r="G58" s="889"/>
      <c r="H58" s="919" t="e">
        <f>(G58/G52-1)*100</f>
        <v>#DIV/0!</v>
      </c>
      <c r="I58" s="917">
        <f>G58+E58+C58</f>
        <v>151</v>
      </c>
      <c r="J58" s="919">
        <f>(I58/I52-1)*100</f>
        <v>6.3380281690140761</v>
      </c>
      <c r="K58" s="919"/>
      <c r="L58" s="889" t="s">
        <v>92</v>
      </c>
      <c r="M58" s="921" t="s">
        <v>197</v>
      </c>
      <c r="N58" s="924">
        <f>C58-C55</f>
        <v>1</v>
      </c>
      <c r="O58" s="923"/>
      <c r="P58" s="924">
        <f>E58-E55</f>
        <v>0</v>
      </c>
      <c r="Q58" s="923"/>
      <c r="R58" s="924">
        <f>G58-G55</f>
        <v>0</v>
      </c>
      <c r="S58" s="923"/>
      <c r="T58" s="924">
        <f>I58-I55</f>
        <v>1</v>
      </c>
    </row>
    <row r="59" spans="1:20" ht="10.5" customHeight="1" outlineLevel="1" x14ac:dyDescent="0.2">
      <c r="A59" s="889" t="s">
        <v>93</v>
      </c>
      <c r="B59" s="914" t="s">
        <v>198</v>
      </c>
      <c r="C59" s="939">
        <v>95</v>
      </c>
      <c r="D59" s="919">
        <f>(C59/C53-1)*100</f>
        <v>2.1505376344086002</v>
      </c>
      <c r="E59" s="939">
        <v>55</v>
      </c>
      <c r="F59" s="919">
        <f>(E59/E53-1)*100</f>
        <v>-1.7857142857142905</v>
      </c>
      <c r="G59" s="889"/>
      <c r="H59" s="919" t="e">
        <f>(G59/G53-1)*100</f>
        <v>#DIV/0!</v>
      </c>
      <c r="I59" s="917">
        <f>G59+E59+C59</f>
        <v>150</v>
      </c>
      <c r="J59" s="919">
        <f>(I59/I53-1)*100</f>
        <v>0.67114093959732557</v>
      </c>
      <c r="K59" s="919"/>
      <c r="L59" s="889" t="s">
        <v>93</v>
      </c>
      <c r="M59" s="914" t="s">
        <v>198</v>
      </c>
      <c r="N59" s="924">
        <f>C59-C58</f>
        <v>0</v>
      </c>
      <c r="O59" s="920"/>
      <c r="P59" s="924">
        <f>E59-E58</f>
        <v>-1</v>
      </c>
      <c r="Q59" s="920"/>
      <c r="R59" s="924">
        <f>G59-G58</f>
        <v>0</v>
      </c>
      <c r="S59" s="920"/>
      <c r="T59" s="924">
        <f>I59-I58</f>
        <v>-1</v>
      </c>
    </row>
    <row r="60" spans="1:20" ht="10.5" customHeight="1" outlineLevel="1" x14ac:dyDescent="0.2">
      <c r="A60" s="889" t="s">
        <v>94</v>
      </c>
      <c r="B60" s="914" t="s">
        <v>199</v>
      </c>
      <c r="C60" s="939">
        <v>97</v>
      </c>
      <c r="D60" s="919">
        <f>(C60/C54-1)*100</f>
        <v>4.3010752688172005</v>
      </c>
      <c r="E60" s="939">
        <v>57</v>
      </c>
      <c r="F60" s="919">
        <f>(E60/E54-1)*100</f>
        <v>1.7857142857142794</v>
      </c>
      <c r="G60" s="889"/>
      <c r="H60" s="919" t="e">
        <f>(G60/G54-1)*100</f>
        <v>#DIV/0!</v>
      </c>
      <c r="I60" s="917">
        <f>G60+E60+C60</f>
        <v>154</v>
      </c>
      <c r="J60" s="919">
        <f>(I60/I54-1)*100</f>
        <v>3.3557046979865834</v>
      </c>
      <c r="K60" s="919"/>
      <c r="L60" s="889" t="s">
        <v>94</v>
      </c>
      <c r="M60" s="914" t="s">
        <v>199</v>
      </c>
      <c r="N60" s="924">
        <f>C60-C59</f>
        <v>2</v>
      </c>
      <c r="O60" s="920"/>
      <c r="P60" s="924">
        <f>E60-E59</f>
        <v>2</v>
      </c>
      <c r="Q60" s="920"/>
      <c r="R60" s="924">
        <f>G60-G59</f>
        <v>0</v>
      </c>
      <c r="S60" s="920"/>
      <c r="T60" s="924">
        <f>I60-I59</f>
        <v>4</v>
      </c>
    </row>
    <row r="61" spans="1:20" ht="10.5" customHeight="1" outlineLevel="1" x14ac:dyDescent="0.2">
      <c r="A61" s="889" t="s">
        <v>95</v>
      </c>
      <c r="B61" s="914" t="s">
        <v>200</v>
      </c>
      <c r="C61" s="928">
        <v>98</v>
      </c>
      <c r="D61" s="919">
        <f>(C61/C55-1)*100</f>
        <v>4.2553191489361764</v>
      </c>
      <c r="E61" s="939">
        <v>57</v>
      </c>
      <c r="F61" s="919">
        <f>(E61/E55-1)*100</f>
        <v>1.7857142857142794</v>
      </c>
      <c r="G61" s="889"/>
      <c r="H61" s="919" t="e">
        <f>(G61/G55-1)*100</f>
        <v>#DIV/0!</v>
      </c>
      <c r="I61" s="917">
        <f>G61+E61+C61</f>
        <v>155</v>
      </c>
      <c r="J61" s="919">
        <f>(I61/I55-1)*100</f>
        <v>3.3333333333333437</v>
      </c>
      <c r="K61" s="919"/>
      <c r="L61" s="889" t="s">
        <v>95</v>
      </c>
      <c r="M61" s="914" t="s">
        <v>200</v>
      </c>
      <c r="N61" s="924">
        <f>C61-C60</f>
        <v>1</v>
      </c>
      <c r="O61" s="920"/>
      <c r="P61" s="924">
        <f>E61-E60</f>
        <v>0</v>
      </c>
      <c r="Q61" s="920"/>
      <c r="R61" s="924">
        <f>G61-G60</f>
        <v>0</v>
      </c>
      <c r="S61" s="920"/>
      <c r="T61" s="924">
        <f>I61-I60</f>
        <v>1</v>
      </c>
    </row>
    <row r="62" spans="1:20" ht="10.5" customHeight="1" outlineLevel="1" collapsed="1" x14ac:dyDescent="0.2">
      <c r="A62" s="889"/>
      <c r="B62" s="889"/>
      <c r="C62" s="928"/>
      <c r="D62" s="940"/>
      <c r="E62" s="928"/>
      <c r="F62" s="940"/>
      <c r="G62" s="889"/>
      <c r="H62" s="940"/>
      <c r="I62" s="922"/>
      <c r="J62" s="940"/>
      <c r="K62" s="926"/>
      <c r="L62" s="889"/>
      <c r="M62" s="889"/>
      <c r="N62" s="942"/>
      <c r="O62" s="942"/>
      <c r="P62" s="942"/>
      <c r="Q62" s="942"/>
      <c r="R62" s="942"/>
      <c r="S62" s="942"/>
      <c r="T62" s="929"/>
    </row>
    <row r="63" spans="1:20" ht="10.5" customHeight="1" outlineLevel="1" x14ac:dyDescent="0.2">
      <c r="A63" s="889"/>
      <c r="B63" s="908">
        <f>B57+1</f>
        <v>2006</v>
      </c>
      <c r="C63" s="928"/>
      <c r="D63" s="940"/>
      <c r="E63" s="928"/>
      <c r="F63" s="940"/>
      <c r="G63" s="889"/>
      <c r="H63" s="940"/>
      <c r="I63" s="910"/>
      <c r="J63" s="940"/>
      <c r="K63" s="930"/>
      <c r="L63" s="889"/>
      <c r="M63" s="908">
        <f>M57+1</f>
        <v>2006</v>
      </c>
      <c r="N63" s="935"/>
      <c r="O63" s="935"/>
      <c r="P63" s="935"/>
      <c r="Q63" s="935"/>
      <c r="R63" s="935"/>
      <c r="S63" s="935"/>
      <c r="T63" s="931"/>
    </row>
    <row r="64" spans="1:20" ht="10.5" customHeight="1" outlineLevel="1" x14ac:dyDescent="0.2">
      <c r="A64" s="889" t="s">
        <v>92</v>
      </c>
      <c r="B64" s="921" t="s">
        <v>197</v>
      </c>
      <c r="C64" s="939">
        <v>99</v>
      </c>
      <c r="D64" s="919">
        <f>(C64/C58-1)*100</f>
        <v>4.2105263157894646</v>
      </c>
      <c r="E64" s="938">
        <v>57</v>
      </c>
      <c r="F64" s="919">
        <f>(E64/E58-1)*100</f>
        <v>1.7857142857142794</v>
      </c>
      <c r="G64" s="889"/>
      <c r="H64" s="919" t="e">
        <f>(G64/G58-1)*100</f>
        <v>#DIV/0!</v>
      </c>
      <c r="I64" s="917">
        <f>G64+E64+C64</f>
        <v>156</v>
      </c>
      <c r="J64" s="919">
        <f>(I64/I58-1)*100</f>
        <v>3.3112582781456901</v>
      </c>
      <c r="K64" s="919"/>
      <c r="L64" s="889" t="s">
        <v>92</v>
      </c>
      <c r="M64" s="921" t="s">
        <v>197</v>
      </c>
      <c r="N64" s="924">
        <f>C64-C61</f>
        <v>1</v>
      </c>
      <c r="O64" s="923"/>
      <c r="P64" s="924">
        <f>E64-E61</f>
        <v>0</v>
      </c>
      <c r="Q64" s="923"/>
      <c r="R64" s="924">
        <f>G64-G61</f>
        <v>0</v>
      </c>
      <c r="S64" s="923"/>
      <c r="T64" s="924">
        <f>I64-I61</f>
        <v>1</v>
      </c>
    </row>
    <row r="65" spans="1:20" ht="10.5" customHeight="1" outlineLevel="1" x14ac:dyDescent="0.2">
      <c r="A65" s="889" t="s">
        <v>93</v>
      </c>
      <c r="B65" s="914" t="s">
        <v>198</v>
      </c>
      <c r="C65" s="939">
        <v>99</v>
      </c>
      <c r="D65" s="919">
        <f>(C65/C59-1)*100</f>
        <v>4.2105263157894646</v>
      </c>
      <c r="E65" s="939">
        <v>57</v>
      </c>
      <c r="F65" s="919">
        <f>(E65/E59-1)*100</f>
        <v>3.6363636363636376</v>
      </c>
      <c r="G65" s="889"/>
      <c r="H65" s="919" t="e">
        <f>(G65/G59-1)*100</f>
        <v>#DIV/0!</v>
      </c>
      <c r="I65" s="917">
        <f>G65+E65+C65</f>
        <v>156</v>
      </c>
      <c r="J65" s="919">
        <f>(I65/I59-1)*100</f>
        <v>4.0000000000000036</v>
      </c>
      <c r="K65" s="919"/>
      <c r="L65" s="889" t="s">
        <v>93</v>
      </c>
      <c r="M65" s="914" t="s">
        <v>198</v>
      </c>
      <c r="N65" s="924">
        <f>C65-C64</f>
        <v>0</v>
      </c>
      <c r="O65" s="920"/>
      <c r="P65" s="924">
        <f>E65-E64</f>
        <v>0</v>
      </c>
      <c r="Q65" s="920"/>
      <c r="R65" s="924">
        <f>G65-G64</f>
        <v>0</v>
      </c>
      <c r="S65" s="920"/>
      <c r="T65" s="924">
        <f>I65-I64</f>
        <v>0</v>
      </c>
    </row>
    <row r="66" spans="1:20" ht="10.5" customHeight="1" outlineLevel="1" x14ac:dyDescent="0.2">
      <c r="A66" s="889" t="s">
        <v>94</v>
      </c>
      <c r="B66" s="914" t="s">
        <v>199</v>
      </c>
      <c r="C66" s="928">
        <v>99</v>
      </c>
      <c r="D66" s="919">
        <f>(C66/C60-1)*100</f>
        <v>2.0618556701030855</v>
      </c>
      <c r="E66" s="939">
        <v>57</v>
      </c>
      <c r="F66" s="919">
        <f>(E66/E60-1)*100</f>
        <v>0</v>
      </c>
      <c r="G66" s="889"/>
      <c r="H66" s="919" t="e">
        <f>(G66/G60-1)*100</f>
        <v>#DIV/0!</v>
      </c>
      <c r="I66" s="917">
        <f>G66+E66+C66</f>
        <v>156</v>
      </c>
      <c r="J66" s="919">
        <f>(I66/I60-1)*100</f>
        <v>1.298701298701288</v>
      </c>
      <c r="K66" s="919"/>
      <c r="L66" s="889" t="s">
        <v>94</v>
      </c>
      <c r="M66" s="914" t="s">
        <v>199</v>
      </c>
      <c r="N66" s="924">
        <f>C66-C65</f>
        <v>0</v>
      </c>
      <c r="O66" s="920"/>
      <c r="P66" s="924">
        <f>E66-E65</f>
        <v>0</v>
      </c>
      <c r="Q66" s="920"/>
      <c r="R66" s="924">
        <f>G66-G65</f>
        <v>0</v>
      </c>
      <c r="S66" s="920"/>
      <c r="T66" s="924">
        <f>I66-I65</f>
        <v>0</v>
      </c>
    </row>
    <row r="67" spans="1:20" ht="10.5" customHeight="1" outlineLevel="1" x14ac:dyDescent="0.2">
      <c r="A67" s="889" t="s">
        <v>95</v>
      </c>
      <c r="B67" s="914" t="s">
        <v>200</v>
      </c>
      <c r="C67" s="928">
        <v>98</v>
      </c>
      <c r="D67" s="919">
        <f>(C67/C61-1)*100</f>
        <v>0</v>
      </c>
      <c r="E67" s="939">
        <v>57</v>
      </c>
      <c r="F67" s="919">
        <f>(E67/E61-1)*100</f>
        <v>0</v>
      </c>
      <c r="G67" s="889"/>
      <c r="H67" s="919" t="e">
        <f>(G67/G61-1)*100</f>
        <v>#DIV/0!</v>
      </c>
      <c r="I67" s="917">
        <f>G67+E67+C67</f>
        <v>155</v>
      </c>
      <c r="J67" s="919">
        <f>(I67/I61-1)*100</f>
        <v>0</v>
      </c>
      <c r="K67" s="919"/>
      <c r="L67" s="889" t="s">
        <v>95</v>
      </c>
      <c r="M67" s="914" t="s">
        <v>200</v>
      </c>
      <c r="N67" s="924">
        <f>C67-C66</f>
        <v>-1</v>
      </c>
      <c r="O67" s="920"/>
      <c r="P67" s="924">
        <f>E67-E66</f>
        <v>0</v>
      </c>
      <c r="Q67" s="920"/>
      <c r="R67" s="924">
        <f>G67-G66</f>
        <v>0</v>
      </c>
      <c r="S67" s="920"/>
      <c r="T67" s="924">
        <f>I67-I66</f>
        <v>-1</v>
      </c>
    </row>
    <row r="68" spans="1:20" ht="10.5" customHeight="1" outlineLevel="1" collapsed="1" x14ac:dyDescent="0.2">
      <c r="A68" s="889"/>
      <c r="B68" s="889"/>
      <c r="C68" s="928"/>
      <c r="D68" s="940"/>
      <c r="E68" s="928"/>
      <c r="F68" s="940"/>
      <c r="G68" s="889"/>
      <c r="H68" s="940"/>
      <c r="I68" s="943"/>
      <c r="J68" s="940"/>
      <c r="K68" s="930"/>
      <c r="L68" s="889"/>
      <c r="M68" s="889"/>
      <c r="N68" s="920"/>
      <c r="O68" s="920"/>
      <c r="P68" s="920"/>
      <c r="Q68" s="920"/>
      <c r="R68" s="920"/>
      <c r="S68" s="920"/>
      <c r="T68" s="920"/>
    </row>
    <row r="69" spans="1:20" ht="10.5" customHeight="1" outlineLevel="1" x14ac:dyDescent="0.2">
      <c r="A69" s="889"/>
      <c r="B69" s="908">
        <f>B63+1</f>
        <v>2007</v>
      </c>
      <c r="C69" s="928"/>
      <c r="D69" s="940"/>
      <c r="E69" s="928"/>
      <c r="F69" s="940"/>
      <c r="G69" s="889"/>
      <c r="H69" s="940"/>
      <c r="I69" s="936"/>
      <c r="J69" s="940"/>
      <c r="K69" s="930"/>
      <c r="L69" s="889"/>
      <c r="M69" s="908">
        <f>M63+1</f>
        <v>2007</v>
      </c>
      <c r="N69" s="913"/>
      <c r="O69" s="913"/>
      <c r="P69" s="913"/>
      <c r="Q69" s="913"/>
      <c r="R69" s="913"/>
      <c r="S69" s="913"/>
      <c r="T69" s="913"/>
    </row>
    <row r="70" spans="1:20" ht="10.5" customHeight="1" outlineLevel="1" x14ac:dyDescent="0.2">
      <c r="A70" s="889" t="s">
        <v>92</v>
      </c>
      <c r="B70" s="921" t="s">
        <v>197</v>
      </c>
      <c r="C70" s="939">
        <v>98</v>
      </c>
      <c r="D70" s="919">
        <f>(C70/C64-1)*100</f>
        <v>-1.0101010101010055</v>
      </c>
      <c r="E70" s="938">
        <v>57</v>
      </c>
      <c r="F70" s="919">
        <f>(E70/E64-1)*100</f>
        <v>0</v>
      </c>
      <c r="G70" s="889"/>
      <c r="H70" s="919" t="e">
        <f>(G70/G64-1)*100</f>
        <v>#DIV/0!</v>
      </c>
      <c r="I70" s="917">
        <f>G70+E70+C70</f>
        <v>155</v>
      </c>
      <c r="J70" s="919">
        <f>(I70/I64-1)*100</f>
        <v>-0.64102564102563875</v>
      </c>
      <c r="K70" s="919"/>
      <c r="L70" s="889" t="s">
        <v>92</v>
      </c>
      <c r="M70" s="921" t="s">
        <v>197</v>
      </c>
      <c r="N70" s="924">
        <f>C70-C67</f>
        <v>0</v>
      </c>
      <c r="O70" s="923"/>
      <c r="P70" s="924">
        <f>E70-E67</f>
        <v>0</v>
      </c>
      <c r="Q70" s="923"/>
      <c r="R70" s="924">
        <f>G70-G67</f>
        <v>0</v>
      </c>
      <c r="S70" s="923"/>
      <c r="T70" s="924">
        <f>I70-I67</f>
        <v>0</v>
      </c>
    </row>
    <row r="71" spans="1:20" ht="10.5" customHeight="1" outlineLevel="1" x14ac:dyDescent="0.2">
      <c r="A71" s="889" t="s">
        <v>93</v>
      </c>
      <c r="B71" s="914" t="s">
        <v>198</v>
      </c>
      <c r="C71" s="928">
        <v>98</v>
      </c>
      <c r="D71" s="919">
        <f>(C71/C65-1)*100</f>
        <v>-1.0101010101010055</v>
      </c>
      <c r="E71" s="939">
        <v>59</v>
      </c>
      <c r="F71" s="919">
        <f>(E71/E65-1)*100</f>
        <v>3.5087719298245723</v>
      </c>
      <c r="G71" s="889"/>
      <c r="H71" s="919" t="e">
        <f>(G71/G65-1)*100</f>
        <v>#DIV/0!</v>
      </c>
      <c r="I71" s="917">
        <f>G71+E71+C71</f>
        <v>157</v>
      </c>
      <c r="J71" s="919">
        <f>(I71/I65-1)*100</f>
        <v>0.64102564102563875</v>
      </c>
      <c r="K71" s="919"/>
      <c r="L71" s="889" t="s">
        <v>93</v>
      </c>
      <c r="M71" s="914" t="s">
        <v>198</v>
      </c>
      <c r="N71" s="924">
        <f>C71-C70</f>
        <v>0</v>
      </c>
      <c r="O71" s="920"/>
      <c r="P71" s="924">
        <f>E71-E70</f>
        <v>2</v>
      </c>
      <c r="Q71" s="920"/>
      <c r="R71" s="924">
        <f>G71-G70</f>
        <v>0</v>
      </c>
      <c r="S71" s="920"/>
      <c r="T71" s="924">
        <f>I71-I70</f>
        <v>2</v>
      </c>
    </row>
    <row r="72" spans="1:20" ht="10.5" customHeight="1" outlineLevel="1" x14ac:dyDescent="0.2">
      <c r="A72" s="889" t="s">
        <v>94</v>
      </c>
      <c r="B72" s="914" t="s">
        <v>199</v>
      </c>
      <c r="C72" s="928">
        <v>101</v>
      </c>
      <c r="D72" s="919">
        <f>(C72/C66-1)*100</f>
        <v>2.020202020202011</v>
      </c>
      <c r="E72" s="939">
        <v>56</v>
      </c>
      <c r="F72" s="919">
        <f>(E72/E66-1)*100</f>
        <v>-1.7543859649122862</v>
      </c>
      <c r="G72" s="889"/>
      <c r="H72" s="919"/>
      <c r="I72" s="917">
        <f>G72+E72+C72</f>
        <v>157</v>
      </c>
      <c r="J72" s="919">
        <f>(I72/I66-1)*100</f>
        <v>0.64102564102563875</v>
      </c>
      <c r="K72" s="919"/>
      <c r="L72" s="889" t="s">
        <v>94</v>
      </c>
      <c r="M72" s="914" t="s">
        <v>199</v>
      </c>
      <c r="N72" s="924">
        <f>C72-C71</f>
        <v>3</v>
      </c>
      <c r="O72" s="920"/>
      <c r="P72" s="924">
        <f>E72-E71</f>
        <v>-3</v>
      </c>
      <c r="Q72" s="920"/>
      <c r="R72" s="924">
        <f>G72-G71</f>
        <v>0</v>
      </c>
      <c r="S72" s="920"/>
      <c r="T72" s="924">
        <f>I72-I71</f>
        <v>0</v>
      </c>
    </row>
    <row r="73" spans="1:20" ht="10.5" customHeight="1" outlineLevel="1" x14ac:dyDescent="0.2">
      <c r="A73" s="889" t="s">
        <v>95</v>
      </c>
      <c r="B73" s="914" t="s">
        <v>200</v>
      </c>
      <c r="C73" s="938">
        <v>101</v>
      </c>
      <c r="D73" s="919">
        <f>(C73/C67-1)*100</f>
        <v>3.0612244897959107</v>
      </c>
      <c r="E73" s="939">
        <v>55</v>
      </c>
      <c r="F73" s="919">
        <f>(E73/E67-1)*100</f>
        <v>-3.5087719298245612</v>
      </c>
      <c r="G73" s="889"/>
      <c r="H73" s="919"/>
      <c r="I73" s="917">
        <f>G73+E73+C73</f>
        <v>156</v>
      </c>
      <c r="J73" s="919">
        <f>(I73/I67-1)*100</f>
        <v>0.64516129032257119</v>
      </c>
      <c r="K73" s="919"/>
      <c r="L73" s="889" t="s">
        <v>95</v>
      </c>
      <c r="M73" s="914" t="s">
        <v>200</v>
      </c>
      <c r="N73" s="924">
        <f>C73-C72</f>
        <v>0</v>
      </c>
      <c r="O73" s="920"/>
      <c r="P73" s="924">
        <f>E73-E72</f>
        <v>-1</v>
      </c>
      <c r="Q73" s="920"/>
      <c r="R73" s="924">
        <f>G73-G72</f>
        <v>0</v>
      </c>
      <c r="S73" s="920"/>
      <c r="T73" s="924">
        <f>I73-I72</f>
        <v>-1</v>
      </c>
    </row>
    <row r="74" spans="1:20" ht="10.5" customHeight="1" outlineLevel="1" collapsed="1" x14ac:dyDescent="0.2">
      <c r="A74" s="889"/>
      <c r="B74" s="889"/>
      <c r="C74" s="928"/>
      <c r="D74" s="940"/>
      <c r="E74" s="928"/>
      <c r="F74" s="940"/>
      <c r="G74" s="889"/>
      <c r="H74" s="940"/>
      <c r="I74" s="922"/>
      <c r="J74" s="940"/>
      <c r="K74" s="941"/>
      <c r="L74" s="889"/>
      <c r="M74" s="889"/>
      <c r="N74" s="920"/>
      <c r="O74" s="920"/>
      <c r="P74" s="920"/>
      <c r="Q74" s="920"/>
      <c r="R74" s="920"/>
      <c r="S74" s="920"/>
      <c r="T74" s="920"/>
    </row>
    <row r="75" spans="1:20" ht="10.5" customHeight="1" outlineLevel="1" x14ac:dyDescent="0.2">
      <c r="A75" s="889"/>
      <c r="B75" s="908">
        <f>B69+1</f>
        <v>2008</v>
      </c>
      <c r="C75" s="928"/>
      <c r="D75" s="940"/>
      <c r="E75" s="928"/>
      <c r="F75" s="940"/>
      <c r="G75" s="889"/>
      <c r="H75" s="940"/>
      <c r="I75" s="910"/>
      <c r="J75" s="940"/>
      <c r="K75" s="933"/>
      <c r="L75" s="889"/>
      <c r="M75" s="908">
        <f>M69+1</f>
        <v>2008</v>
      </c>
      <c r="N75" s="920"/>
      <c r="O75" s="920"/>
      <c r="P75" s="920"/>
      <c r="Q75" s="920"/>
      <c r="R75" s="920"/>
      <c r="S75" s="920"/>
      <c r="T75" s="927"/>
    </row>
    <row r="76" spans="1:20" ht="10.5" customHeight="1" outlineLevel="1" x14ac:dyDescent="0.2">
      <c r="A76" s="889" t="s">
        <v>92</v>
      </c>
      <c r="B76" s="921" t="s">
        <v>197</v>
      </c>
      <c r="C76" s="928">
        <v>105</v>
      </c>
      <c r="D76" s="919">
        <f>(C76/C70-1)*100</f>
        <v>7.1428571428571397</v>
      </c>
      <c r="E76" s="938">
        <v>54</v>
      </c>
      <c r="F76" s="919">
        <f>(E76/E70-1)*100</f>
        <v>-5.2631578947368478</v>
      </c>
      <c r="G76" s="889"/>
      <c r="H76" s="919"/>
      <c r="I76" s="917">
        <f>G76+E76+C76</f>
        <v>159</v>
      </c>
      <c r="J76" s="919">
        <f>(I76/I70-1)*100</f>
        <v>2.5806451612903292</v>
      </c>
      <c r="K76" s="919"/>
      <c r="L76" s="889" t="s">
        <v>92</v>
      </c>
      <c r="M76" s="921" t="s">
        <v>197</v>
      </c>
      <c r="N76" s="924">
        <f>C76-C73</f>
        <v>4</v>
      </c>
      <c r="O76" s="923"/>
      <c r="P76" s="924">
        <f>E76-E73</f>
        <v>-1</v>
      </c>
      <c r="Q76" s="923"/>
      <c r="R76" s="924">
        <f>G76-G73</f>
        <v>0</v>
      </c>
      <c r="S76" s="923"/>
      <c r="T76" s="924">
        <f>I76-I73</f>
        <v>3</v>
      </c>
    </row>
    <row r="77" spans="1:20" ht="10.5" customHeight="1" outlineLevel="1" x14ac:dyDescent="0.2">
      <c r="A77" s="889" t="s">
        <v>93</v>
      </c>
      <c r="B77" s="914" t="s">
        <v>198</v>
      </c>
      <c r="C77" s="928">
        <v>105</v>
      </c>
      <c r="D77" s="919">
        <f>(C77/C71-1)*100</f>
        <v>7.1428571428571397</v>
      </c>
      <c r="E77" s="939">
        <v>54</v>
      </c>
      <c r="F77" s="919">
        <f>(E77/E71-1)*100</f>
        <v>-8.4745762711864394</v>
      </c>
      <c r="G77" s="889"/>
      <c r="H77" s="919"/>
      <c r="I77" s="917">
        <f>G77+E77+C77</f>
        <v>159</v>
      </c>
      <c r="J77" s="919">
        <f>(I77/I71-1)*100</f>
        <v>1.2738853503184711</v>
      </c>
      <c r="K77" s="919"/>
      <c r="L77" s="889" t="s">
        <v>93</v>
      </c>
      <c r="M77" s="914" t="s">
        <v>198</v>
      </c>
      <c r="N77" s="924">
        <f>C77-C76</f>
        <v>0</v>
      </c>
      <c r="O77" s="920"/>
      <c r="P77" s="924">
        <f>E77-E76</f>
        <v>0</v>
      </c>
      <c r="Q77" s="920"/>
      <c r="R77" s="924">
        <f>G77-G76</f>
        <v>0</v>
      </c>
      <c r="S77" s="920"/>
      <c r="T77" s="924">
        <f>I77-I76</f>
        <v>0</v>
      </c>
    </row>
    <row r="78" spans="1:20" ht="10.5" customHeight="1" outlineLevel="1" x14ac:dyDescent="0.2">
      <c r="A78" s="889" t="s">
        <v>94</v>
      </c>
      <c r="B78" s="914" t="s">
        <v>199</v>
      </c>
      <c r="C78" s="938">
        <v>108</v>
      </c>
      <c r="D78" s="919">
        <f>(C78/C72-1)*100</f>
        <v>6.9306930693069368</v>
      </c>
      <c r="E78" s="939">
        <v>58</v>
      </c>
      <c r="F78" s="919">
        <f>(E78/E72-1)*100</f>
        <v>3.5714285714285809</v>
      </c>
      <c r="G78" s="889"/>
      <c r="H78" s="919"/>
      <c r="I78" s="917">
        <f>G78+E78+C78</f>
        <v>166</v>
      </c>
      <c r="J78" s="919">
        <f>(I78/I72-1)*100</f>
        <v>5.7324840764331197</v>
      </c>
      <c r="K78" s="919"/>
      <c r="L78" s="889" t="s">
        <v>94</v>
      </c>
      <c r="M78" s="914" t="s">
        <v>199</v>
      </c>
      <c r="N78" s="924">
        <f>C78-C77</f>
        <v>3</v>
      </c>
      <c r="O78" s="920"/>
      <c r="P78" s="924">
        <f>E78-E77</f>
        <v>4</v>
      </c>
      <c r="Q78" s="920"/>
      <c r="R78" s="924">
        <f>G78-G77</f>
        <v>0</v>
      </c>
      <c r="S78" s="920"/>
      <c r="T78" s="924">
        <f>I78-I77</f>
        <v>7</v>
      </c>
    </row>
    <row r="79" spans="1:20" ht="10.5" customHeight="1" outlineLevel="1" x14ac:dyDescent="0.2">
      <c r="A79" s="889" t="s">
        <v>95</v>
      </c>
      <c r="B79" s="914" t="s">
        <v>200</v>
      </c>
      <c r="C79" s="939">
        <v>109</v>
      </c>
      <c r="D79" s="919">
        <f>(C79/C73-1)*100</f>
        <v>7.9207920792079278</v>
      </c>
      <c r="E79" s="939">
        <v>60</v>
      </c>
      <c r="F79" s="919">
        <f>(E79/E73-1)*100</f>
        <v>9.0909090909090828</v>
      </c>
      <c r="G79" s="889"/>
      <c r="H79" s="919"/>
      <c r="I79" s="917">
        <f>G79+E79+C79</f>
        <v>169</v>
      </c>
      <c r="J79" s="919">
        <f>(I79/I73-1)*100</f>
        <v>8.333333333333325</v>
      </c>
      <c r="K79" s="919"/>
      <c r="L79" s="889" t="s">
        <v>95</v>
      </c>
      <c r="M79" s="914" t="s">
        <v>200</v>
      </c>
      <c r="N79" s="924">
        <f>C79-C78</f>
        <v>1</v>
      </c>
      <c r="O79" s="920"/>
      <c r="P79" s="924">
        <f>E79-E78</f>
        <v>2</v>
      </c>
      <c r="Q79" s="920"/>
      <c r="R79" s="924">
        <f>G79-G78</f>
        <v>0</v>
      </c>
      <c r="S79" s="920"/>
      <c r="T79" s="924">
        <f>I79-I78</f>
        <v>3</v>
      </c>
    </row>
    <row r="80" spans="1:20" ht="10.5" customHeight="1" outlineLevel="1" collapsed="1" x14ac:dyDescent="0.2">
      <c r="A80" s="889"/>
      <c r="B80" s="889"/>
      <c r="C80" s="928"/>
      <c r="D80" s="940"/>
      <c r="E80" s="928"/>
      <c r="F80" s="940"/>
      <c r="G80" s="889"/>
      <c r="H80" s="940"/>
      <c r="I80" s="944"/>
      <c r="J80" s="940"/>
      <c r="K80" s="926"/>
      <c r="L80" s="889"/>
      <c r="M80" s="889"/>
      <c r="N80" s="942"/>
      <c r="O80" s="942"/>
      <c r="P80" s="942"/>
      <c r="Q80" s="942"/>
      <c r="R80" s="942"/>
      <c r="S80" s="942"/>
      <c r="T80" s="942"/>
    </row>
    <row r="81" spans="1:20" ht="10.5" customHeight="1" outlineLevel="1" x14ac:dyDescent="0.2">
      <c r="A81" s="889"/>
      <c r="B81" s="908">
        <f>B75+1</f>
        <v>2009</v>
      </c>
      <c r="C81" s="928"/>
      <c r="D81" s="940"/>
      <c r="E81" s="928"/>
      <c r="F81" s="940"/>
      <c r="G81" s="889"/>
      <c r="H81" s="940"/>
      <c r="I81" s="934"/>
      <c r="J81" s="940"/>
      <c r="K81" s="930"/>
      <c r="L81" s="889"/>
      <c r="M81" s="908">
        <f>M75+1</f>
        <v>2009</v>
      </c>
      <c r="N81" s="935"/>
      <c r="O81" s="935"/>
      <c r="P81" s="935"/>
      <c r="Q81" s="935"/>
      <c r="R81" s="935"/>
      <c r="S81" s="935"/>
      <c r="T81" s="935"/>
    </row>
    <row r="82" spans="1:20" ht="10.5" customHeight="1" outlineLevel="1" x14ac:dyDescent="0.2">
      <c r="A82" s="889" t="s">
        <v>92</v>
      </c>
      <c r="B82" s="921" t="s">
        <v>197</v>
      </c>
      <c r="C82" s="928">
        <v>111</v>
      </c>
      <c r="D82" s="919">
        <f>(C82/C76-1)*100</f>
        <v>5.7142857142857162</v>
      </c>
      <c r="E82" s="938">
        <v>64</v>
      </c>
      <c r="F82" s="919">
        <f>(E82/E76-1)*100</f>
        <v>18.518518518518512</v>
      </c>
      <c r="G82" s="889"/>
      <c r="H82" s="919"/>
      <c r="I82" s="917">
        <f>G82+E82+C82</f>
        <v>175</v>
      </c>
      <c r="J82" s="919">
        <f>(I82/I76-1)*100</f>
        <v>10.062893081761004</v>
      </c>
      <c r="K82" s="919"/>
      <c r="L82" s="889" t="s">
        <v>92</v>
      </c>
      <c r="M82" s="921" t="s">
        <v>197</v>
      </c>
      <c r="N82" s="924">
        <f>C82-C79</f>
        <v>2</v>
      </c>
      <c r="O82" s="923"/>
      <c r="P82" s="924">
        <f>E82-E79</f>
        <v>4</v>
      </c>
      <c r="Q82" s="923"/>
      <c r="R82" s="924">
        <f>G82-G79</f>
        <v>0</v>
      </c>
      <c r="S82" s="923"/>
      <c r="T82" s="924">
        <f>I82-I79</f>
        <v>6</v>
      </c>
    </row>
    <row r="83" spans="1:20" ht="10.5" customHeight="1" outlineLevel="1" x14ac:dyDescent="0.2">
      <c r="A83" s="889" t="s">
        <v>93</v>
      </c>
      <c r="B83" s="914" t="s">
        <v>198</v>
      </c>
      <c r="C83" s="938">
        <v>111</v>
      </c>
      <c r="D83" s="919">
        <f>(C83/C77-1)*100</f>
        <v>5.7142857142857162</v>
      </c>
      <c r="E83" s="939">
        <v>64</v>
      </c>
      <c r="F83" s="919">
        <f>(E83/E77-1)*100</f>
        <v>18.518518518518512</v>
      </c>
      <c r="G83" s="889"/>
      <c r="H83" s="919"/>
      <c r="I83" s="917">
        <f>G83+E83+C83</f>
        <v>175</v>
      </c>
      <c r="J83" s="919">
        <f>(I83/I77-1)*100</f>
        <v>10.062893081761004</v>
      </c>
      <c r="K83" s="919"/>
      <c r="L83" s="889" t="s">
        <v>93</v>
      </c>
      <c r="M83" s="914" t="s">
        <v>198</v>
      </c>
      <c r="N83" s="924">
        <f>C83-C82</f>
        <v>0</v>
      </c>
      <c r="O83" s="920"/>
      <c r="P83" s="924">
        <f>E83-E82</f>
        <v>0</v>
      </c>
      <c r="Q83" s="920"/>
      <c r="R83" s="924">
        <f>G83-G82</f>
        <v>0</v>
      </c>
      <c r="S83" s="920"/>
      <c r="T83" s="924">
        <f>I83-I82</f>
        <v>0</v>
      </c>
    </row>
    <row r="84" spans="1:20" ht="10.5" customHeight="1" outlineLevel="1" x14ac:dyDescent="0.2">
      <c r="A84" s="889" t="s">
        <v>94</v>
      </c>
      <c r="B84" s="914" t="s">
        <v>199</v>
      </c>
      <c r="C84" s="939">
        <v>112</v>
      </c>
      <c r="D84" s="919">
        <f>(C84/C78-1)*100</f>
        <v>3.7037037037036979</v>
      </c>
      <c r="E84" s="939">
        <v>70</v>
      </c>
      <c r="F84" s="919">
        <f>(E84/E78-1)*100</f>
        <v>20.68965517241379</v>
      </c>
      <c r="G84" s="889"/>
      <c r="H84" s="919"/>
      <c r="I84" s="917">
        <f>G84+E84+C84</f>
        <v>182</v>
      </c>
      <c r="J84" s="919">
        <f>(I84/I78-1)*100</f>
        <v>9.6385542168674796</v>
      </c>
      <c r="K84" s="919"/>
      <c r="L84" s="889" t="s">
        <v>94</v>
      </c>
      <c r="M84" s="914" t="s">
        <v>199</v>
      </c>
      <c r="N84" s="924">
        <f>C84-C83</f>
        <v>1</v>
      </c>
      <c r="O84" s="920"/>
      <c r="P84" s="924">
        <f>E84-E83</f>
        <v>6</v>
      </c>
      <c r="Q84" s="920"/>
      <c r="R84" s="924">
        <f>G84-G83</f>
        <v>0</v>
      </c>
      <c r="S84" s="920"/>
      <c r="T84" s="924">
        <f>I84-I83</f>
        <v>7</v>
      </c>
    </row>
    <row r="85" spans="1:20" ht="10.5" customHeight="1" outlineLevel="1" x14ac:dyDescent="0.2">
      <c r="A85" s="889" t="s">
        <v>95</v>
      </c>
      <c r="B85" s="914" t="s">
        <v>200</v>
      </c>
      <c r="C85" s="939">
        <v>112</v>
      </c>
      <c r="D85" s="919">
        <f>(C85/C79-1)*100</f>
        <v>2.7522935779816571</v>
      </c>
      <c r="E85" s="939">
        <v>72</v>
      </c>
      <c r="F85" s="919">
        <f>(E85/E79-1)*100</f>
        <v>19.999999999999996</v>
      </c>
      <c r="G85" s="889"/>
      <c r="H85" s="919"/>
      <c r="I85" s="917">
        <f>G85+E85+C85</f>
        <v>184</v>
      </c>
      <c r="J85" s="919">
        <f>(I85/I79-1)*100</f>
        <v>8.875739644970416</v>
      </c>
      <c r="K85" s="919"/>
      <c r="L85" s="889" t="s">
        <v>95</v>
      </c>
      <c r="M85" s="914" t="s">
        <v>200</v>
      </c>
      <c r="N85" s="924">
        <f>C85-C84</f>
        <v>0</v>
      </c>
      <c r="O85" s="920"/>
      <c r="P85" s="924">
        <f>E85-E84</f>
        <v>2</v>
      </c>
      <c r="Q85" s="920"/>
      <c r="R85" s="924">
        <f>G85-G84</f>
        <v>0</v>
      </c>
      <c r="S85" s="920"/>
      <c r="T85" s="924">
        <f>I85-I84</f>
        <v>2</v>
      </c>
    </row>
    <row r="86" spans="1:20" ht="10.5" customHeight="1" outlineLevel="1" collapsed="1" x14ac:dyDescent="0.2">
      <c r="A86" s="889"/>
      <c r="B86" s="889"/>
      <c r="C86" s="940"/>
      <c r="D86" s="940"/>
      <c r="E86" s="928"/>
      <c r="F86" s="940"/>
      <c r="G86" s="889"/>
      <c r="H86" s="940"/>
      <c r="I86" s="922"/>
      <c r="J86" s="940"/>
      <c r="K86" s="930"/>
      <c r="L86" s="889"/>
      <c r="M86" s="889"/>
      <c r="N86" s="920"/>
      <c r="O86" s="920"/>
      <c r="P86" s="920"/>
      <c r="Q86" s="920"/>
      <c r="R86" s="920"/>
      <c r="S86" s="920"/>
      <c r="T86" s="920"/>
    </row>
    <row r="87" spans="1:20" ht="10.5" customHeight="1" outlineLevel="1" x14ac:dyDescent="0.2">
      <c r="A87" s="889"/>
      <c r="B87" s="908">
        <f>B81+1</f>
        <v>2010</v>
      </c>
      <c r="C87" s="940"/>
      <c r="D87" s="940"/>
      <c r="E87" s="928"/>
      <c r="F87" s="940"/>
      <c r="G87" s="889"/>
      <c r="H87" s="940"/>
      <c r="I87" s="910"/>
      <c r="J87" s="940"/>
      <c r="K87" s="930"/>
      <c r="L87" s="889"/>
      <c r="M87" s="908">
        <f>M81+1</f>
        <v>2010</v>
      </c>
      <c r="N87" s="913"/>
      <c r="O87" s="913"/>
      <c r="P87" s="913"/>
      <c r="Q87" s="913"/>
      <c r="R87" s="913"/>
      <c r="S87" s="913"/>
      <c r="T87" s="913"/>
    </row>
    <row r="88" spans="1:20" ht="10.5" customHeight="1" outlineLevel="1" x14ac:dyDescent="0.2">
      <c r="A88" s="889" t="s">
        <v>92</v>
      </c>
      <c r="B88" s="921" t="s">
        <v>197</v>
      </c>
      <c r="C88" s="938">
        <v>114</v>
      </c>
      <c r="D88" s="919">
        <f>(C88/C82-1)*100</f>
        <v>2.7027027027026973</v>
      </c>
      <c r="E88" s="938">
        <v>78</v>
      </c>
      <c r="F88" s="919">
        <f>(E88/E82-1)*100</f>
        <v>21.875</v>
      </c>
      <c r="G88" s="889"/>
      <c r="H88" s="919"/>
      <c r="I88" s="917">
        <f>G88+E88+C88</f>
        <v>192</v>
      </c>
      <c r="J88" s="919">
        <f>(I88/I82-1)*100</f>
        <v>9.7142857142857189</v>
      </c>
      <c r="K88" s="919"/>
      <c r="L88" s="889" t="s">
        <v>92</v>
      </c>
      <c r="M88" s="921" t="s">
        <v>197</v>
      </c>
      <c r="N88" s="924">
        <f>C88-C85</f>
        <v>2</v>
      </c>
      <c r="O88" s="923"/>
      <c r="P88" s="924">
        <f>E88-E85</f>
        <v>6</v>
      </c>
      <c r="Q88" s="923"/>
      <c r="R88" s="924">
        <f>G88-G85</f>
        <v>0</v>
      </c>
      <c r="S88" s="923"/>
      <c r="T88" s="924">
        <f>I88-I85</f>
        <v>8</v>
      </c>
    </row>
    <row r="89" spans="1:20" ht="10.5" customHeight="1" outlineLevel="1" x14ac:dyDescent="0.2">
      <c r="A89" s="889" t="s">
        <v>93</v>
      </c>
      <c r="B89" s="914" t="s">
        <v>198</v>
      </c>
      <c r="C89" s="939">
        <v>114</v>
      </c>
      <c r="D89" s="919">
        <f>(C89/C83-1)*100</f>
        <v>2.7027027027026973</v>
      </c>
      <c r="E89" s="939">
        <v>79</v>
      </c>
      <c r="F89" s="919">
        <f>(E89/E83-1)*100</f>
        <v>23.4375</v>
      </c>
      <c r="G89" s="889"/>
      <c r="H89" s="919"/>
      <c r="I89" s="917">
        <f>G89+E89+C89</f>
        <v>193</v>
      </c>
      <c r="J89" s="919">
        <f>(I89/I83-1)*100</f>
        <v>10.285714285714276</v>
      </c>
      <c r="K89" s="919"/>
      <c r="L89" s="889" t="s">
        <v>93</v>
      </c>
      <c r="M89" s="914" t="s">
        <v>198</v>
      </c>
      <c r="N89" s="924">
        <f>C89-C88</f>
        <v>0</v>
      </c>
      <c r="O89" s="920"/>
      <c r="P89" s="924">
        <f>E89-E88</f>
        <v>1</v>
      </c>
      <c r="Q89" s="920"/>
      <c r="R89" s="924">
        <f>G89-G88</f>
        <v>0</v>
      </c>
      <c r="S89" s="920"/>
      <c r="T89" s="924">
        <f>I89-I88</f>
        <v>1</v>
      </c>
    </row>
    <row r="90" spans="1:20" ht="10.5" customHeight="1" outlineLevel="1" x14ac:dyDescent="0.2">
      <c r="A90" s="889" t="s">
        <v>94</v>
      </c>
      <c r="B90" s="914" t="s">
        <v>199</v>
      </c>
      <c r="C90" s="939">
        <v>115</v>
      </c>
      <c r="D90" s="919">
        <f>(C90/C84-1)*100</f>
        <v>2.6785714285714191</v>
      </c>
      <c r="E90" s="939">
        <v>88</v>
      </c>
      <c r="F90" s="919">
        <f>(E90/E84-1)*100</f>
        <v>25.714285714285712</v>
      </c>
      <c r="G90" s="889"/>
      <c r="H90" s="919"/>
      <c r="I90" s="917">
        <f>G90+E90+C90</f>
        <v>203</v>
      </c>
      <c r="J90" s="919">
        <f>(I90/I84-1)*100</f>
        <v>11.538461538461542</v>
      </c>
      <c r="K90" s="919"/>
      <c r="L90" s="889" t="s">
        <v>94</v>
      </c>
      <c r="M90" s="914" t="s">
        <v>199</v>
      </c>
      <c r="N90" s="924">
        <f>C90-C89</f>
        <v>1</v>
      </c>
      <c r="O90" s="920"/>
      <c r="P90" s="924">
        <f>E90-E89</f>
        <v>9</v>
      </c>
      <c r="Q90" s="920"/>
      <c r="R90" s="924">
        <f>G90-G89</f>
        <v>0</v>
      </c>
      <c r="S90" s="920"/>
      <c r="T90" s="924">
        <f>I90-I89</f>
        <v>10</v>
      </c>
    </row>
    <row r="91" spans="1:20" ht="10.5" customHeight="1" outlineLevel="1" x14ac:dyDescent="0.2">
      <c r="A91" s="889" t="s">
        <v>95</v>
      </c>
      <c r="B91" s="914" t="s">
        <v>200</v>
      </c>
      <c r="C91" s="939">
        <v>115</v>
      </c>
      <c r="D91" s="919">
        <f>(C91/C85-1)*100</f>
        <v>2.6785714285714191</v>
      </c>
      <c r="E91" s="939">
        <v>89</v>
      </c>
      <c r="F91" s="919">
        <f>(E91/E85-1)*100</f>
        <v>23.611111111111114</v>
      </c>
      <c r="G91" s="889"/>
      <c r="H91" s="919"/>
      <c r="I91" s="917">
        <f>G91+E91+C91</f>
        <v>204</v>
      </c>
      <c r="J91" s="919">
        <f>(I91/I85-1)*100</f>
        <v>10.869565217391308</v>
      </c>
      <c r="K91" s="919"/>
      <c r="L91" s="889" t="s">
        <v>95</v>
      </c>
      <c r="M91" s="914" t="s">
        <v>200</v>
      </c>
      <c r="N91" s="924">
        <f>C91-C90</f>
        <v>0</v>
      </c>
      <c r="O91" s="920"/>
      <c r="P91" s="924">
        <f>E91-E90</f>
        <v>1</v>
      </c>
      <c r="Q91" s="920"/>
      <c r="R91" s="924">
        <f>G91-G90</f>
        <v>0</v>
      </c>
      <c r="S91" s="920"/>
      <c r="T91" s="924">
        <f>I91-I90</f>
        <v>1</v>
      </c>
    </row>
    <row r="92" spans="1:20" ht="10.5" customHeight="1" x14ac:dyDescent="0.2">
      <c r="A92" s="889"/>
      <c r="B92" s="889"/>
      <c r="C92" s="928"/>
      <c r="D92" s="925"/>
      <c r="E92" s="928"/>
      <c r="F92" s="925"/>
      <c r="G92" s="889"/>
      <c r="H92" s="925"/>
      <c r="I92" s="944"/>
      <c r="J92" s="925"/>
      <c r="K92" s="945"/>
      <c r="L92" s="889"/>
      <c r="M92" s="889"/>
      <c r="N92" s="920"/>
      <c r="O92" s="920"/>
      <c r="P92" s="920"/>
      <c r="Q92" s="920"/>
      <c r="R92" s="920"/>
      <c r="S92" s="920"/>
      <c r="T92" s="920"/>
    </row>
    <row r="93" spans="1:20" ht="10.5" customHeight="1" x14ac:dyDescent="0.2">
      <c r="A93" s="889"/>
      <c r="B93" s="908">
        <f>B87+1</f>
        <v>2011</v>
      </c>
      <c r="C93" s="928"/>
      <c r="D93" s="925"/>
      <c r="E93" s="928"/>
      <c r="F93" s="925"/>
      <c r="G93" s="889"/>
      <c r="H93" s="925"/>
      <c r="I93" s="934"/>
      <c r="J93" s="925"/>
      <c r="K93" s="941"/>
      <c r="L93" s="889"/>
      <c r="M93" s="908">
        <f>M87+1</f>
        <v>2011</v>
      </c>
      <c r="N93" s="920"/>
      <c r="O93" s="920"/>
      <c r="P93" s="920"/>
      <c r="Q93" s="920"/>
      <c r="R93" s="920"/>
      <c r="S93" s="920"/>
      <c r="T93" s="927"/>
    </row>
    <row r="94" spans="1:20" ht="10.5" customHeight="1" x14ac:dyDescent="0.2">
      <c r="A94" s="889" t="s">
        <v>92</v>
      </c>
      <c r="B94" s="921" t="s">
        <v>78</v>
      </c>
      <c r="C94" s="1148">
        <v>116</v>
      </c>
      <c r="D94" s="919">
        <f>(C94/C88-1)*100</f>
        <v>1.7543859649122862</v>
      </c>
      <c r="E94" s="1150">
        <v>95</v>
      </c>
      <c r="F94" s="919">
        <f>(E94/E88-1)*100</f>
        <v>21.794871794871785</v>
      </c>
      <c r="G94" s="889"/>
      <c r="H94" s="919"/>
      <c r="I94" s="917">
        <f>G94+E94+C94</f>
        <v>211</v>
      </c>
      <c r="J94" s="919">
        <f>(I94/I88-1)*100</f>
        <v>9.895833333333325</v>
      </c>
      <c r="K94" s="919"/>
      <c r="L94" s="889" t="s">
        <v>92</v>
      </c>
      <c r="M94" s="921" t="s">
        <v>78</v>
      </c>
      <c r="N94" s="924">
        <f>C94-C91</f>
        <v>1</v>
      </c>
      <c r="O94" s="923"/>
      <c r="P94" s="924">
        <f>E94-E91</f>
        <v>6</v>
      </c>
      <c r="Q94" s="923"/>
      <c r="R94" s="924">
        <f>G94-G91</f>
        <v>0</v>
      </c>
      <c r="S94" s="923"/>
      <c r="T94" s="924">
        <f>I94-I91</f>
        <v>7</v>
      </c>
    </row>
    <row r="95" spans="1:20" ht="10.5" customHeight="1" x14ac:dyDescent="0.2">
      <c r="A95" s="889" t="s">
        <v>93</v>
      </c>
      <c r="B95" s="914" t="s">
        <v>292</v>
      </c>
      <c r="C95" s="1148">
        <v>116</v>
      </c>
      <c r="D95" s="919">
        <f>(C95/C89-1)*100</f>
        <v>1.7543859649122862</v>
      </c>
      <c r="E95" s="1148">
        <v>98</v>
      </c>
      <c r="F95" s="919">
        <f>(E95/E89-1)*100</f>
        <v>24.050632911392398</v>
      </c>
      <c r="G95" s="889"/>
      <c r="H95" s="919"/>
      <c r="I95" s="917">
        <f>G95+E95+C95</f>
        <v>214</v>
      </c>
      <c r="J95" s="919">
        <f>(I95/I89-1)*100</f>
        <v>10.880829015544036</v>
      </c>
      <c r="K95" s="919"/>
      <c r="L95" s="889" t="s">
        <v>93</v>
      </c>
      <c r="M95" s="914" t="s">
        <v>292</v>
      </c>
      <c r="N95" s="924">
        <f>C95-C94</f>
        <v>0</v>
      </c>
      <c r="O95" s="920"/>
      <c r="P95" s="924">
        <f>E95-E94</f>
        <v>3</v>
      </c>
      <c r="Q95" s="920"/>
      <c r="R95" s="924">
        <f>G95-G94</f>
        <v>0</v>
      </c>
      <c r="S95" s="920"/>
      <c r="T95" s="924">
        <f>I95-I94</f>
        <v>3</v>
      </c>
    </row>
    <row r="96" spans="1:20" ht="10.5" customHeight="1" x14ac:dyDescent="0.2">
      <c r="A96" s="889" t="s">
        <v>94</v>
      </c>
      <c r="B96" s="914" t="s">
        <v>80</v>
      </c>
      <c r="C96" s="1148">
        <v>117</v>
      </c>
      <c r="D96" s="919">
        <f>(C96/C90-1)*100</f>
        <v>1.7391304347825987</v>
      </c>
      <c r="E96" s="1148">
        <v>108</v>
      </c>
      <c r="F96" s="919">
        <f>(E96/E90-1)*100</f>
        <v>22.72727272727273</v>
      </c>
      <c r="G96" s="889"/>
      <c r="H96" s="919"/>
      <c r="I96" s="917">
        <f>G96+E96+C96</f>
        <v>225</v>
      </c>
      <c r="J96" s="919">
        <f>(I96/I90-1)*100</f>
        <v>10.837438423645329</v>
      </c>
      <c r="K96" s="919"/>
      <c r="L96" s="889" t="s">
        <v>94</v>
      </c>
      <c r="M96" s="914" t="s">
        <v>80</v>
      </c>
      <c r="N96" s="924">
        <f>C96-C95</f>
        <v>1</v>
      </c>
      <c r="O96" s="920"/>
      <c r="P96" s="924">
        <f>E96-E95</f>
        <v>10</v>
      </c>
      <c r="Q96" s="920"/>
      <c r="R96" s="924">
        <f>G96-G95</f>
        <v>0</v>
      </c>
      <c r="S96" s="920"/>
      <c r="T96" s="924">
        <f>I96-I95</f>
        <v>11</v>
      </c>
    </row>
    <row r="97" spans="1:20" ht="10.5" customHeight="1" x14ac:dyDescent="0.2">
      <c r="A97" s="889" t="s">
        <v>95</v>
      </c>
      <c r="B97" s="914" t="s">
        <v>81</v>
      </c>
      <c r="C97" s="1148">
        <v>117</v>
      </c>
      <c r="D97" s="919">
        <f>(C97/C91-1)*100</f>
        <v>1.7391304347825987</v>
      </c>
      <c r="E97" s="1148">
        <v>108</v>
      </c>
      <c r="F97" s="919">
        <f>(E97/E91-1)*100</f>
        <v>21.348314606741582</v>
      </c>
      <c r="G97" s="889"/>
      <c r="H97" s="919"/>
      <c r="I97" s="917">
        <f>G97+E97+C97</f>
        <v>225</v>
      </c>
      <c r="J97" s="919">
        <f>(I97/I91-1)*100</f>
        <v>10.294117647058831</v>
      </c>
      <c r="K97" s="919"/>
      <c r="L97" s="889" t="s">
        <v>95</v>
      </c>
      <c r="M97" s="914" t="s">
        <v>81</v>
      </c>
      <c r="N97" s="924">
        <f>C97-C96</f>
        <v>0</v>
      </c>
      <c r="O97" s="920"/>
      <c r="P97" s="924">
        <f>E97-E96</f>
        <v>0</v>
      </c>
      <c r="Q97" s="920"/>
      <c r="R97" s="924">
        <f>G97-G96</f>
        <v>0</v>
      </c>
      <c r="S97" s="920"/>
      <c r="T97" s="924">
        <f>I97-I96</f>
        <v>0</v>
      </c>
    </row>
    <row r="98" spans="1:20" ht="10.5" customHeight="1" collapsed="1" x14ac:dyDescent="0.2">
      <c r="A98" s="889"/>
      <c r="B98" s="889"/>
      <c r="C98" s="1149"/>
      <c r="D98" s="925"/>
      <c r="E98" s="1152"/>
      <c r="F98" s="925"/>
      <c r="G98" s="889"/>
      <c r="H98" s="925"/>
      <c r="I98" s="922"/>
      <c r="J98" s="925"/>
      <c r="K98" s="926"/>
      <c r="L98" s="889"/>
      <c r="M98" s="889"/>
      <c r="N98" s="946"/>
      <c r="O98" s="946"/>
      <c r="P98" s="946"/>
      <c r="Q98" s="946"/>
      <c r="R98" s="946"/>
      <c r="S98" s="946"/>
      <c r="T98" s="929"/>
    </row>
    <row r="99" spans="1:20" ht="10.5" customHeight="1" x14ac:dyDescent="0.2">
      <c r="A99" s="889"/>
      <c r="B99" s="908">
        <f>B93+1</f>
        <v>2012</v>
      </c>
      <c r="C99" s="1149"/>
      <c r="D99" s="925"/>
      <c r="E99" s="1149"/>
      <c r="F99" s="925"/>
      <c r="G99" s="889"/>
      <c r="H99" s="925"/>
      <c r="I99" s="910"/>
      <c r="J99" s="925"/>
      <c r="K99" s="930"/>
      <c r="L99" s="889"/>
      <c r="M99" s="908">
        <f>M93+1</f>
        <v>2012</v>
      </c>
      <c r="N99" s="947"/>
      <c r="O99" s="947"/>
      <c r="P99" s="947"/>
      <c r="Q99" s="947"/>
      <c r="R99" s="947"/>
      <c r="S99" s="947"/>
      <c r="T99" s="931"/>
    </row>
    <row r="100" spans="1:20" ht="10.5" customHeight="1" x14ac:dyDescent="0.2">
      <c r="A100" s="889" t="s">
        <v>92</v>
      </c>
      <c r="B100" s="921" t="s">
        <v>78</v>
      </c>
      <c r="C100" s="1150">
        <v>117</v>
      </c>
      <c r="D100" s="919">
        <f>(C100/C94-1)*100</f>
        <v>0.86206896551723755</v>
      </c>
      <c r="E100" s="1150">
        <v>112</v>
      </c>
      <c r="F100" s="919">
        <f>(E100/E94-1)*100</f>
        <v>17.894736842105253</v>
      </c>
      <c r="G100" s="889"/>
      <c r="H100" s="919"/>
      <c r="I100" s="917">
        <f>G100+E100+C100</f>
        <v>229</v>
      </c>
      <c r="J100" s="919">
        <f>(I100/I94-1)*100</f>
        <v>8.5308056872037916</v>
      </c>
      <c r="K100" s="919"/>
      <c r="L100" s="889" t="s">
        <v>92</v>
      </c>
      <c r="M100" s="921" t="s">
        <v>78</v>
      </c>
      <c r="N100" s="924">
        <f>C100-C97</f>
        <v>0</v>
      </c>
      <c r="O100" s="923"/>
      <c r="P100" s="924">
        <f>E100-E97</f>
        <v>4</v>
      </c>
      <c r="Q100" s="923"/>
      <c r="R100" s="924">
        <f>G100-G97</f>
        <v>0</v>
      </c>
      <c r="S100" s="923"/>
      <c r="T100" s="924">
        <f>I100-I97</f>
        <v>4</v>
      </c>
    </row>
    <row r="101" spans="1:20" ht="10.5" customHeight="1" x14ac:dyDescent="0.2">
      <c r="A101" s="889" t="s">
        <v>93</v>
      </c>
      <c r="B101" s="914" t="s">
        <v>292</v>
      </c>
      <c r="C101" s="1150">
        <v>117</v>
      </c>
      <c r="D101" s="919">
        <f>(C101/C95-1)*100</f>
        <v>0.86206896551723755</v>
      </c>
      <c r="E101" s="1150">
        <v>114</v>
      </c>
      <c r="F101" s="919">
        <f>(E101/E95-1)*100</f>
        <v>16.326530612244895</v>
      </c>
      <c r="G101" s="889"/>
      <c r="H101" s="919"/>
      <c r="I101" s="917">
        <f>G101+E101+C101</f>
        <v>231</v>
      </c>
      <c r="J101" s="919">
        <f>(I101/I95-1)*100</f>
        <v>7.9439252336448662</v>
      </c>
      <c r="K101" s="919"/>
      <c r="L101" s="889" t="s">
        <v>93</v>
      </c>
      <c r="M101" s="914" t="s">
        <v>292</v>
      </c>
      <c r="N101" s="924">
        <f>C101-C100</f>
        <v>0</v>
      </c>
      <c r="O101" s="920"/>
      <c r="P101" s="924">
        <f>E101-E100</f>
        <v>2</v>
      </c>
      <c r="Q101" s="920"/>
      <c r="R101" s="924">
        <f>G101-G100</f>
        <v>0</v>
      </c>
      <c r="S101" s="920"/>
      <c r="T101" s="924">
        <f>I101-I100</f>
        <v>2</v>
      </c>
    </row>
    <row r="102" spans="1:20" ht="10.5" customHeight="1" x14ac:dyDescent="0.2">
      <c r="A102" s="889" t="s">
        <v>94</v>
      </c>
      <c r="B102" s="914" t="s">
        <v>80</v>
      </c>
      <c r="C102" s="1150">
        <v>117</v>
      </c>
      <c r="D102" s="919">
        <f>(C102/C96-1)*100</f>
        <v>0</v>
      </c>
      <c r="E102" s="1150">
        <v>121</v>
      </c>
      <c r="F102" s="919">
        <f>(E102/E96-1)*100</f>
        <v>12.037037037037045</v>
      </c>
      <c r="G102" s="889"/>
      <c r="H102" s="919"/>
      <c r="I102" s="917">
        <f>G102+E102+C102</f>
        <v>238</v>
      </c>
      <c r="J102" s="919">
        <f>(I102/I96-1)*100</f>
        <v>5.7777777777777706</v>
      </c>
      <c r="K102" s="919"/>
      <c r="L102" s="889" t="s">
        <v>94</v>
      </c>
      <c r="M102" s="914" t="s">
        <v>80</v>
      </c>
      <c r="N102" s="924">
        <f>C102-C101</f>
        <v>0</v>
      </c>
      <c r="O102" s="920"/>
      <c r="P102" s="924">
        <f>E102-E101</f>
        <v>7</v>
      </c>
      <c r="Q102" s="920"/>
      <c r="R102" s="924">
        <f>G102-G101</f>
        <v>0</v>
      </c>
      <c r="S102" s="920"/>
      <c r="T102" s="924">
        <f>I102-I101</f>
        <v>7</v>
      </c>
    </row>
    <row r="103" spans="1:20" ht="10.5" customHeight="1" x14ac:dyDescent="0.2">
      <c r="A103" s="889" t="s">
        <v>95</v>
      </c>
      <c r="B103" s="914" t="s">
        <v>81</v>
      </c>
      <c r="C103" s="1150">
        <v>117</v>
      </c>
      <c r="D103" s="919">
        <f>(C103/C97-1)*100</f>
        <v>0</v>
      </c>
      <c r="E103" s="1150">
        <v>123</v>
      </c>
      <c r="F103" s="919">
        <f>(E103/E97-1)*100</f>
        <v>13.888888888888884</v>
      </c>
      <c r="G103" s="889"/>
      <c r="H103" s="919"/>
      <c r="I103" s="917">
        <f>G103+E103+C103</f>
        <v>240</v>
      </c>
      <c r="J103" s="919">
        <f>(I103/I97-1)*100</f>
        <v>6.6666666666666652</v>
      </c>
      <c r="K103" s="919"/>
      <c r="L103" s="889" t="s">
        <v>95</v>
      </c>
      <c r="M103" s="914" t="s">
        <v>81</v>
      </c>
      <c r="N103" s="948">
        <f>C103-C102</f>
        <v>0</v>
      </c>
      <c r="O103" s="949"/>
      <c r="P103" s="948">
        <f>E103-E102</f>
        <v>2</v>
      </c>
      <c r="Q103" s="920"/>
      <c r="R103" s="924">
        <f>G103-G102</f>
        <v>0</v>
      </c>
      <c r="S103" s="920"/>
      <c r="T103" s="924">
        <f>I103-I102</f>
        <v>2</v>
      </c>
    </row>
    <row r="104" spans="1:20" ht="10.5" customHeight="1" x14ac:dyDescent="0.2">
      <c r="A104" s="889"/>
      <c r="B104" s="889"/>
      <c r="C104" s="1151"/>
      <c r="D104" s="889"/>
      <c r="E104" s="1151"/>
      <c r="F104" s="889"/>
      <c r="G104" s="889"/>
      <c r="H104" s="889"/>
      <c r="I104" s="917"/>
      <c r="J104" s="889"/>
      <c r="K104" s="889"/>
      <c r="L104" s="889"/>
      <c r="M104" s="889"/>
      <c r="N104" s="889"/>
      <c r="O104" s="889"/>
      <c r="P104" s="889"/>
      <c r="Q104" s="889"/>
      <c r="R104" s="889"/>
      <c r="S104" s="889"/>
      <c r="T104" s="889"/>
    </row>
    <row r="105" spans="1:20" ht="10.5" customHeight="1" x14ac:dyDescent="0.2">
      <c r="A105" s="889"/>
      <c r="B105" s="908">
        <f>B99+1</f>
        <v>2013</v>
      </c>
      <c r="C105" s="1149"/>
      <c r="D105" s="925"/>
      <c r="E105" s="1149"/>
      <c r="F105" s="925"/>
      <c r="G105" s="889"/>
      <c r="H105" s="925"/>
      <c r="I105" s="910"/>
      <c r="J105" s="925"/>
      <c r="K105" s="930"/>
      <c r="L105" s="889"/>
      <c r="M105" s="908">
        <f>M99+1</f>
        <v>2013</v>
      </c>
      <c r="N105" s="947"/>
      <c r="O105" s="947"/>
      <c r="P105" s="947"/>
      <c r="Q105" s="947"/>
      <c r="R105" s="947"/>
      <c r="S105" s="947"/>
      <c r="T105" s="931"/>
    </row>
    <row r="106" spans="1:20" ht="10.5" customHeight="1" x14ac:dyDescent="0.2">
      <c r="A106" s="889" t="s">
        <v>92</v>
      </c>
      <c r="B106" s="921" t="s">
        <v>78</v>
      </c>
      <c r="C106" s="1150">
        <v>117</v>
      </c>
      <c r="D106" s="919">
        <f>(C106/C100-1)*100</f>
        <v>0</v>
      </c>
      <c r="E106" s="1150">
        <v>128</v>
      </c>
      <c r="F106" s="919">
        <f>(E106/E100-1)*100</f>
        <v>14.285714285714279</v>
      </c>
      <c r="G106" s="889"/>
      <c r="H106" s="919"/>
      <c r="I106" s="917">
        <f>G106+E106+C106</f>
        <v>245</v>
      </c>
      <c r="J106" s="919">
        <f>(I106/I100-1)*100</f>
        <v>6.9868995633187714</v>
      </c>
      <c r="K106" s="919"/>
      <c r="L106" s="889" t="s">
        <v>92</v>
      </c>
      <c r="M106" s="921" t="s">
        <v>78</v>
      </c>
      <c r="N106" s="948">
        <f>C106-C103</f>
        <v>0</v>
      </c>
      <c r="O106" s="950"/>
      <c r="P106" s="948">
        <f>E106-E103</f>
        <v>5</v>
      </c>
      <c r="Q106" s="923"/>
      <c r="R106" s="924">
        <f>G106-G103</f>
        <v>0</v>
      </c>
      <c r="S106" s="923"/>
      <c r="T106" s="924">
        <f>I106-I103</f>
        <v>5</v>
      </c>
    </row>
    <row r="107" spans="1:20" ht="10.5" customHeight="1" x14ac:dyDescent="0.2">
      <c r="A107" s="889" t="s">
        <v>93</v>
      </c>
      <c r="B107" s="914" t="s">
        <v>292</v>
      </c>
      <c r="C107" s="1150">
        <v>117</v>
      </c>
      <c r="D107" s="919">
        <f t="shared" ref="D107:F109" si="1">(C107/C101-1)*100</f>
        <v>0</v>
      </c>
      <c r="E107" s="1150">
        <v>131</v>
      </c>
      <c r="F107" s="919">
        <f t="shared" si="1"/>
        <v>14.912280701754387</v>
      </c>
      <c r="G107" s="889"/>
      <c r="H107" s="919"/>
      <c r="I107" s="917">
        <f>G107+E107+C107</f>
        <v>248</v>
      </c>
      <c r="J107" s="919">
        <f>(I107/I101-1)*100</f>
        <v>7.3593073593073655</v>
      </c>
      <c r="K107" s="919"/>
      <c r="L107" s="889" t="s">
        <v>93</v>
      </c>
      <c r="M107" s="914" t="s">
        <v>292</v>
      </c>
      <c r="N107" s="948">
        <f>C107-C106</f>
        <v>0</v>
      </c>
      <c r="O107" s="920"/>
      <c r="P107" s="948">
        <f>E107-E106</f>
        <v>3</v>
      </c>
      <c r="Q107" s="920"/>
      <c r="R107" s="924">
        <f>G107-G106</f>
        <v>0</v>
      </c>
      <c r="S107" s="920"/>
      <c r="T107" s="924">
        <f>I107-I106</f>
        <v>3</v>
      </c>
    </row>
    <row r="108" spans="1:20" ht="10.5" customHeight="1" x14ac:dyDescent="0.2">
      <c r="A108" s="889" t="s">
        <v>94</v>
      </c>
      <c r="B108" s="914" t="s">
        <v>80</v>
      </c>
      <c r="C108" s="1150">
        <v>117</v>
      </c>
      <c r="D108" s="919">
        <f t="shared" si="1"/>
        <v>0</v>
      </c>
      <c r="E108" s="1150">
        <v>140</v>
      </c>
      <c r="F108" s="919">
        <f t="shared" si="1"/>
        <v>15.702479338842966</v>
      </c>
      <c r="G108" s="889"/>
      <c r="H108" s="919"/>
      <c r="I108" s="917">
        <f>G108+E108+C108</f>
        <v>257</v>
      </c>
      <c r="J108" s="919">
        <f>(I108/I102-1)*100</f>
        <v>7.9831932773109182</v>
      </c>
      <c r="K108" s="919"/>
      <c r="L108" s="889" t="s">
        <v>94</v>
      </c>
      <c r="M108" s="914" t="s">
        <v>80</v>
      </c>
      <c r="N108" s="948">
        <f>C108-C107</f>
        <v>0</v>
      </c>
      <c r="O108" s="920"/>
      <c r="P108" s="948">
        <f>E108-E107</f>
        <v>9</v>
      </c>
      <c r="Q108" s="920"/>
      <c r="R108" s="924">
        <f>G108-G107</f>
        <v>0</v>
      </c>
      <c r="S108" s="920"/>
      <c r="T108" s="924">
        <f>I108-I107</f>
        <v>9</v>
      </c>
    </row>
    <row r="109" spans="1:20" ht="10.5" customHeight="1" x14ac:dyDescent="0.2">
      <c r="A109" s="889" t="s">
        <v>95</v>
      </c>
      <c r="B109" s="914" t="s">
        <v>81</v>
      </c>
      <c r="C109" s="1150">
        <v>117</v>
      </c>
      <c r="D109" s="919">
        <f t="shared" si="1"/>
        <v>0</v>
      </c>
      <c r="E109" s="1150">
        <v>143</v>
      </c>
      <c r="F109" s="919">
        <f t="shared" si="1"/>
        <v>16.260162601626014</v>
      </c>
      <c r="G109" s="889"/>
      <c r="H109" s="919"/>
      <c r="I109" s="917">
        <f>G109+E109+C109</f>
        <v>260</v>
      </c>
      <c r="J109" s="919">
        <f>(I109/I103-1)*100</f>
        <v>8.333333333333325</v>
      </c>
      <c r="K109" s="919"/>
      <c r="L109" s="889" t="s">
        <v>95</v>
      </c>
      <c r="M109" s="914" t="s">
        <v>81</v>
      </c>
      <c r="N109" s="948">
        <f>C109-C108</f>
        <v>0</v>
      </c>
      <c r="O109" s="920"/>
      <c r="P109" s="948">
        <f>E109-E108</f>
        <v>3</v>
      </c>
      <c r="Q109" s="920"/>
      <c r="R109" s="924">
        <f>G109-G108</f>
        <v>0</v>
      </c>
      <c r="S109" s="920"/>
      <c r="T109" s="924">
        <f>I109-I108</f>
        <v>3</v>
      </c>
    </row>
    <row r="110" spans="1:20" ht="10.5" customHeight="1" x14ac:dyDescent="0.2">
      <c r="A110" s="889"/>
      <c r="B110" s="889"/>
      <c r="C110" s="1151"/>
      <c r="D110" s="889"/>
      <c r="E110" s="1151"/>
      <c r="F110" s="889"/>
      <c r="G110" s="889"/>
      <c r="H110" s="889"/>
      <c r="I110" s="917"/>
      <c r="J110" s="889"/>
      <c r="K110" s="889"/>
      <c r="L110" s="889"/>
      <c r="M110" s="889"/>
      <c r="N110" s="889"/>
      <c r="O110" s="889"/>
      <c r="P110" s="889"/>
      <c r="Q110" s="889"/>
      <c r="R110" s="889"/>
      <c r="S110" s="889"/>
      <c r="T110" s="889"/>
    </row>
    <row r="111" spans="1:20" ht="10.5" customHeight="1" x14ac:dyDescent="0.2">
      <c r="A111" s="889"/>
      <c r="B111" s="908">
        <f>B105+1</f>
        <v>2014</v>
      </c>
      <c r="C111" s="1149"/>
      <c r="D111" s="925"/>
      <c r="E111" s="1149"/>
      <c r="F111" s="925"/>
      <c r="G111" s="889"/>
      <c r="H111" s="925"/>
      <c r="I111" s="910"/>
      <c r="J111" s="925"/>
      <c r="K111" s="930"/>
      <c r="L111" s="889"/>
      <c r="M111" s="908">
        <f>M105+1</f>
        <v>2014</v>
      </c>
      <c r="N111" s="947"/>
      <c r="O111" s="947"/>
      <c r="P111" s="947"/>
      <c r="Q111" s="947"/>
      <c r="R111" s="947"/>
      <c r="S111" s="947"/>
      <c r="T111" s="931"/>
    </row>
    <row r="112" spans="1:20" ht="10.5" customHeight="1" x14ac:dyDescent="0.2">
      <c r="A112" s="889" t="s">
        <v>92</v>
      </c>
      <c r="B112" s="921" t="s">
        <v>78</v>
      </c>
      <c r="C112" s="1150">
        <v>117</v>
      </c>
      <c r="D112" s="919">
        <f>(C112/C106-1)*100</f>
        <v>0</v>
      </c>
      <c r="E112" s="1150">
        <v>153</v>
      </c>
      <c r="F112" s="919">
        <f>(E112/E106-1)*100</f>
        <v>19.53125</v>
      </c>
      <c r="G112" s="889"/>
      <c r="H112" s="919"/>
      <c r="I112" s="917">
        <f>G112+E112+C112</f>
        <v>270</v>
      </c>
      <c r="J112" s="919">
        <f>(I112/I106-1)*100</f>
        <v>10.20408163265305</v>
      </c>
      <c r="K112" s="919"/>
      <c r="L112" s="889" t="s">
        <v>92</v>
      </c>
      <c r="M112" s="921" t="s">
        <v>78</v>
      </c>
      <c r="N112" s="948">
        <f>C112-C109</f>
        <v>0</v>
      </c>
      <c r="O112" s="920"/>
      <c r="P112" s="948">
        <f>E112-E109</f>
        <v>10</v>
      </c>
      <c r="Q112" s="923"/>
      <c r="R112" s="924">
        <f>G112-G109</f>
        <v>0</v>
      </c>
      <c r="S112" s="923"/>
      <c r="T112" s="924">
        <f>I112-I109</f>
        <v>10</v>
      </c>
    </row>
    <row r="113" spans="1:22" ht="10.5" customHeight="1" x14ac:dyDescent="0.2">
      <c r="A113" s="889" t="s">
        <v>93</v>
      </c>
      <c r="B113" s="914" t="s">
        <v>292</v>
      </c>
      <c r="C113" s="1150">
        <v>117</v>
      </c>
      <c r="D113" s="919">
        <f>(C113/C107-1)*100</f>
        <v>0</v>
      </c>
      <c r="E113" s="1150">
        <v>154</v>
      </c>
      <c r="F113" s="919">
        <f>(E113/E107-1)*100</f>
        <v>17.557251908396942</v>
      </c>
      <c r="G113" s="889"/>
      <c r="H113" s="919"/>
      <c r="I113" s="917">
        <f>G113+E113+C113</f>
        <v>271</v>
      </c>
      <c r="J113" s="919">
        <f>(I113/I107-1)*100</f>
        <v>9.2741935483870996</v>
      </c>
      <c r="K113" s="919"/>
      <c r="L113" s="889" t="s">
        <v>93</v>
      </c>
      <c r="M113" s="914" t="s">
        <v>292</v>
      </c>
      <c r="N113" s="948">
        <f>C113-C112</f>
        <v>0</v>
      </c>
      <c r="O113" s="920"/>
      <c r="P113" s="948">
        <f>E113-E112</f>
        <v>1</v>
      </c>
      <c r="Q113" s="920"/>
      <c r="R113" s="924">
        <f>G113-G112</f>
        <v>0</v>
      </c>
      <c r="S113" s="920"/>
      <c r="T113" s="924">
        <f>I113-I112</f>
        <v>1</v>
      </c>
    </row>
    <row r="114" spans="1:22" ht="10.5" customHeight="1" x14ac:dyDescent="0.2">
      <c r="A114" s="889" t="s">
        <v>94</v>
      </c>
      <c r="B114" s="914" t="s">
        <v>80</v>
      </c>
      <c r="C114" s="1150">
        <v>119</v>
      </c>
      <c r="D114" s="919">
        <f>(C114/C108-1)*100</f>
        <v>1.7094017094017033</v>
      </c>
      <c r="E114" s="1150">
        <f>167+7</f>
        <v>174</v>
      </c>
      <c r="F114" s="919">
        <f>(E114/E108-1)*100</f>
        <v>24.285714285714288</v>
      </c>
      <c r="G114" s="889"/>
      <c r="H114" s="919"/>
      <c r="I114" s="917">
        <f>G114+E114+C114</f>
        <v>293</v>
      </c>
      <c r="J114" s="919">
        <f>(I114/I108-1)*100</f>
        <v>14.00778210116731</v>
      </c>
      <c r="K114" s="919"/>
      <c r="L114" s="889" t="s">
        <v>94</v>
      </c>
      <c r="M114" s="914" t="s">
        <v>80</v>
      </c>
      <c r="N114" s="948">
        <f>C114-C113</f>
        <v>2</v>
      </c>
      <c r="O114" s="920"/>
      <c r="P114" s="948">
        <f>E114-E113</f>
        <v>20</v>
      </c>
      <c r="Q114" s="920"/>
      <c r="R114" s="924">
        <f>G114-G113</f>
        <v>0</v>
      </c>
      <c r="S114" s="920"/>
      <c r="T114" s="924">
        <f>I114-I113</f>
        <v>22</v>
      </c>
    </row>
    <row r="115" spans="1:22" ht="10.5" customHeight="1" x14ac:dyDescent="0.2">
      <c r="A115" s="889" t="s">
        <v>95</v>
      </c>
      <c r="B115" s="914" t="s">
        <v>81</v>
      </c>
      <c r="C115" s="1150">
        <v>117</v>
      </c>
      <c r="D115" s="919">
        <f>(C115/C109-1)*100</f>
        <v>0</v>
      </c>
      <c r="E115" s="1150">
        <f>167+8</f>
        <v>175</v>
      </c>
      <c r="F115" s="919">
        <f>(E115/E109-1)*100</f>
        <v>22.377622377622373</v>
      </c>
      <c r="G115" s="889"/>
      <c r="H115" s="919"/>
      <c r="I115" s="917">
        <f>G115+E115+C115</f>
        <v>292</v>
      </c>
      <c r="J115" s="919">
        <f>(I115/I109-1)*100</f>
        <v>12.307692307692308</v>
      </c>
      <c r="K115" s="919"/>
      <c r="L115" s="889" t="s">
        <v>95</v>
      </c>
      <c r="M115" s="914" t="s">
        <v>81</v>
      </c>
      <c r="N115" s="948">
        <f>C115-C114</f>
        <v>-2</v>
      </c>
      <c r="O115" s="920"/>
      <c r="P115" s="948">
        <f>E115-E114</f>
        <v>1</v>
      </c>
      <c r="Q115" s="920"/>
      <c r="R115" s="924">
        <f>G115-G114</f>
        <v>0</v>
      </c>
      <c r="S115" s="920"/>
      <c r="T115" s="924">
        <f>I115-I114</f>
        <v>-1</v>
      </c>
    </row>
    <row r="116" spans="1:22" ht="10.5" customHeight="1" x14ac:dyDescent="0.2">
      <c r="A116" s="889"/>
      <c r="B116" s="889"/>
      <c r="C116" s="1151"/>
      <c r="D116" s="889"/>
      <c r="E116" s="1151"/>
      <c r="F116" s="889"/>
      <c r="G116" s="889"/>
      <c r="H116" s="889"/>
      <c r="I116" s="917"/>
      <c r="J116" s="889"/>
      <c r="K116" s="889"/>
      <c r="L116" s="889"/>
      <c r="M116" s="889"/>
      <c r="N116" s="889"/>
      <c r="O116" s="889"/>
      <c r="P116" s="889"/>
      <c r="Q116" s="889"/>
      <c r="R116" s="889"/>
      <c r="S116" s="889"/>
      <c r="T116" s="889"/>
    </row>
    <row r="117" spans="1:22" ht="10.5" customHeight="1" x14ac:dyDescent="0.2">
      <c r="A117" s="889"/>
      <c r="B117" s="908">
        <f>B111+1</f>
        <v>2015</v>
      </c>
      <c r="C117" s="1149"/>
      <c r="D117" s="925"/>
      <c r="E117" s="1149"/>
      <c r="F117" s="925"/>
      <c r="G117" s="889"/>
      <c r="H117" s="925"/>
      <c r="I117" s="910"/>
      <c r="J117" s="925"/>
      <c r="K117" s="930"/>
      <c r="L117" s="889"/>
      <c r="M117" s="908">
        <f>M111+1</f>
        <v>2015</v>
      </c>
      <c r="N117" s="947"/>
      <c r="O117" s="947"/>
      <c r="P117" s="947"/>
      <c r="Q117" s="947"/>
      <c r="R117" s="947"/>
      <c r="S117" s="947"/>
      <c r="T117" s="931"/>
    </row>
    <row r="118" spans="1:22" ht="10.5" customHeight="1" x14ac:dyDescent="0.2">
      <c r="A118" s="889" t="s">
        <v>92</v>
      </c>
      <c r="B118" s="921" t="s">
        <v>78</v>
      </c>
      <c r="C118" s="1147">
        <f>C115+N118</f>
        <v>118</v>
      </c>
      <c r="D118" s="919">
        <f>(C118/C112-1)*100</f>
        <v>0.85470085470085166</v>
      </c>
      <c r="E118" s="1150">
        <f>E115+P118</f>
        <v>185</v>
      </c>
      <c r="F118" s="919">
        <f>(E118/E112-1)*100</f>
        <v>20.915032679738555</v>
      </c>
      <c r="G118" s="889"/>
      <c r="H118" s="919"/>
      <c r="I118" s="917">
        <f>G118+E118+C118</f>
        <v>303</v>
      </c>
      <c r="J118" s="919">
        <f>(I118/I112-1)*100</f>
        <v>12.222222222222223</v>
      </c>
      <c r="K118" s="919"/>
      <c r="L118" s="889" t="s">
        <v>92</v>
      </c>
      <c r="M118" s="921" t="s">
        <v>78</v>
      </c>
      <c r="N118" s="951">
        <v>1</v>
      </c>
      <c r="O118" s="920"/>
      <c r="P118" s="951">
        <v>10</v>
      </c>
      <c r="Q118" s="923"/>
      <c r="R118" s="924">
        <f>G118-G115</f>
        <v>0</v>
      </c>
      <c r="S118" s="923"/>
      <c r="T118" s="924">
        <f>I118-I115</f>
        <v>11</v>
      </c>
    </row>
    <row r="119" spans="1:22" ht="10.5" customHeight="1" x14ac:dyDescent="0.2">
      <c r="A119" s="889" t="s">
        <v>93</v>
      </c>
      <c r="B119" s="914" t="s">
        <v>292</v>
      </c>
      <c r="C119" s="1147">
        <f>C118+N119</f>
        <v>118</v>
      </c>
      <c r="D119" s="919">
        <f>(C119/C113-1)*100</f>
        <v>0.85470085470085166</v>
      </c>
      <c r="E119" s="1150">
        <f>E118+P119</f>
        <v>186</v>
      </c>
      <c r="F119" s="919">
        <f>(E119/E113-1)*100</f>
        <v>20.779220779220786</v>
      </c>
      <c r="G119" s="889"/>
      <c r="H119" s="919"/>
      <c r="I119" s="917">
        <f>G119+E119+C119</f>
        <v>304</v>
      </c>
      <c r="J119" s="919">
        <f>(I119/I113-1)*100</f>
        <v>12.177121771217703</v>
      </c>
      <c r="K119" s="919"/>
      <c r="L119" s="889" t="s">
        <v>93</v>
      </c>
      <c r="M119" s="914" t="s">
        <v>292</v>
      </c>
      <c r="N119" s="951">
        <v>0</v>
      </c>
      <c r="O119" s="920"/>
      <c r="P119" s="951">
        <v>1</v>
      </c>
      <c r="Q119" s="920"/>
      <c r="R119" s="924">
        <f>G119-G118</f>
        <v>0</v>
      </c>
      <c r="S119" s="920"/>
      <c r="T119" s="924">
        <f>I119-I118</f>
        <v>1</v>
      </c>
    </row>
    <row r="120" spans="1:22" ht="10.5" customHeight="1" x14ac:dyDescent="0.2">
      <c r="A120" s="889" t="s">
        <v>94</v>
      </c>
      <c r="B120" s="914" t="s">
        <v>80</v>
      </c>
      <c r="C120" s="1147">
        <f>C119+N120</f>
        <v>121</v>
      </c>
      <c r="D120" s="919">
        <f>(C120/C114-1)*100</f>
        <v>1.6806722689075571</v>
      </c>
      <c r="E120" s="1150">
        <f>E119+P120</f>
        <v>202</v>
      </c>
      <c r="F120" s="919">
        <f>(E120/E114-1)*100</f>
        <v>16.09195402298851</v>
      </c>
      <c r="G120" s="889"/>
      <c r="H120" s="919"/>
      <c r="I120" s="917">
        <f>G120+E120+C120</f>
        <v>323</v>
      </c>
      <c r="J120" s="919">
        <f>(I120/I114-1)*100</f>
        <v>10.238907849829349</v>
      </c>
      <c r="K120" s="919"/>
      <c r="L120" s="889" t="s">
        <v>94</v>
      </c>
      <c r="M120" s="914" t="s">
        <v>80</v>
      </c>
      <c r="N120" s="951">
        <v>3</v>
      </c>
      <c r="O120" s="920"/>
      <c r="P120" s="951">
        <v>16</v>
      </c>
      <c r="Q120" s="920"/>
      <c r="R120" s="924">
        <f>G120-G119</f>
        <v>0</v>
      </c>
      <c r="S120" s="920"/>
      <c r="T120" s="924">
        <f>I120-I119</f>
        <v>19</v>
      </c>
    </row>
    <row r="121" spans="1:22" ht="10.5" customHeight="1" x14ac:dyDescent="0.2">
      <c r="A121" s="889" t="s">
        <v>95</v>
      </c>
      <c r="B121" s="914" t="s">
        <v>81</v>
      </c>
      <c r="C121" s="1150">
        <v>121</v>
      </c>
      <c r="D121" s="919">
        <f>(C121/C115-1)*100</f>
        <v>3.4188034188034289</v>
      </c>
      <c r="E121" s="1150">
        <f>E120+P121</f>
        <v>202</v>
      </c>
      <c r="F121" s="919">
        <f>(E121/E115-1)*100</f>
        <v>15.428571428571436</v>
      </c>
      <c r="G121" s="889"/>
      <c r="H121" s="919"/>
      <c r="I121" s="917">
        <f>G121+E121+C121</f>
        <v>323</v>
      </c>
      <c r="J121" s="919">
        <f>(I121/I115-1)*100</f>
        <v>10.616438356164393</v>
      </c>
      <c r="K121" s="919"/>
      <c r="L121" s="889" t="s">
        <v>95</v>
      </c>
      <c r="M121" s="914" t="s">
        <v>81</v>
      </c>
      <c r="N121" s="951">
        <v>0</v>
      </c>
      <c r="O121" s="920"/>
      <c r="P121" s="951">
        <v>0</v>
      </c>
      <c r="Q121" s="920"/>
      <c r="R121" s="924">
        <f>G121-G120</f>
        <v>0</v>
      </c>
      <c r="S121" s="920"/>
      <c r="T121" s="924">
        <f>I121-I120</f>
        <v>0</v>
      </c>
    </row>
    <row r="122" spans="1:22" ht="10.5" customHeight="1" x14ac:dyDescent="0.2">
      <c r="A122" s="925"/>
      <c r="B122" s="925"/>
      <c r="C122" s="1149"/>
      <c r="D122" s="925"/>
      <c r="E122" s="1149"/>
      <c r="F122" s="925"/>
      <c r="G122" s="889"/>
      <c r="H122" s="925"/>
      <c r="I122" s="917"/>
      <c r="J122" s="925"/>
      <c r="K122" s="925"/>
      <c r="L122" s="925"/>
      <c r="M122" s="925"/>
      <c r="N122" s="925"/>
      <c r="O122" s="925"/>
      <c r="P122" s="925"/>
      <c r="Q122" s="925"/>
      <c r="R122" s="925"/>
      <c r="S122" s="925"/>
      <c r="T122" s="925"/>
    </row>
    <row r="123" spans="1:22" ht="10.5" customHeight="1" x14ac:dyDescent="0.2">
      <c r="A123" s="889"/>
      <c r="B123" s="908">
        <f>B117+1</f>
        <v>2016</v>
      </c>
      <c r="C123" s="1149"/>
      <c r="D123" s="925"/>
      <c r="E123" s="1149"/>
      <c r="F123" s="925"/>
      <c r="G123" s="889"/>
      <c r="H123" s="925"/>
      <c r="I123" s="917"/>
      <c r="J123" s="925"/>
      <c r="K123" s="930"/>
      <c r="L123" s="889"/>
      <c r="M123" s="908">
        <f>M117+1</f>
        <v>2016</v>
      </c>
      <c r="N123" s="947"/>
      <c r="O123" s="947"/>
      <c r="P123" s="947"/>
      <c r="Q123" s="947"/>
      <c r="R123" s="947"/>
      <c r="S123" s="947"/>
      <c r="T123" s="931"/>
    </row>
    <row r="124" spans="1:22" ht="10.5" customHeight="1" x14ac:dyDescent="0.2">
      <c r="A124" s="889" t="s">
        <v>92</v>
      </c>
      <c r="B124" s="921" t="s">
        <v>78</v>
      </c>
      <c r="C124" s="1147">
        <f>C121+N124</f>
        <v>121</v>
      </c>
      <c r="D124" s="919">
        <f>(C124/C118-1)*100</f>
        <v>2.5423728813559254</v>
      </c>
      <c r="E124" s="1150">
        <f>E121+P124</f>
        <v>209</v>
      </c>
      <c r="F124" s="919">
        <f>(E124/E118-1)*100</f>
        <v>12.972972972972974</v>
      </c>
      <c r="G124" s="889"/>
      <c r="H124" s="919"/>
      <c r="I124" s="917">
        <f>G124+E124+C124</f>
        <v>330</v>
      </c>
      <c r="J124" s="919">
        <f>(I124/I118-1)*100</f>
        <v>8.9108910891089188</v>
      </c>
      <c r="K124" s="919"/>
      <c r="L124" s="889" t="s">
        <v>92</v>
      </c>
      <c r="M124" s="921" t="s">
        <v>78</v>
      </c>
      <c r="N124" s="1327">
        <v>0</v>
      </c>
      <c r="O124" s="1148"/>
      <c r="P124" s="1327">
        <v>7</v>
      </c>
      <c r="Q124" s="923"/>
      <c r="R124" s="924">
        <f>G124-G121</f>
        <v>0</v>
      </c>
      <c r="S124" s="923"/>
      <c r="T124" s="924">
        <f>I124-I121</f>
        <v>7</v>
      </c>
      <c r="V124" s="953">
        <f>C124+E124</f>
        <v>330</v>
      </c>
    </row>
    <row r="125" spans="1:22" ht="10.5" customHeight="1" x14ac:dyDescent="0.2">
      <c r="A125" s="889" t="s">
        <v>93</v>
      </c>
      <c r="B125" s="914" t="s">
        <v>292</v>
      </c>
      <c r="C125" s="1147">
        <f>C124+N125</f>
        <v>121</v>
      </c>
      <c r="D125" s="919">
        <f>(C125/C119-1)*100</f>
        <v>2.5423728813559254</v>
      </c>
      <c r="E125" s="1150">
        <f>E124+P125</f>
        <v>208</v>
      </c>
      <c r="F125" s="919">
        <f>(E125/E119-1)*100</f>
        <v>11.827956989247301</v>
      </c>
      <c r="G125" s="889"/>
      <c r="H125" s="919"/>
      <c r="I125" s="917">
        <f>G125+E125+C125</f>
        <v>329</v>
      </c>
      <c r="J125" s="919">
        <f>(I125/I119-1)*100</f>
        <v>8.2236842105263044</v>
      </c>
      <c r="K125" s="919"/>
      <c r="L125" s="889" t="s">
        <v>93</v>
      </c>
      <c r="M125" s="914" t="s">
        <v>292</v>
      </c>
      <c r="N125" s="1327">
        <v>0</v>
      </c>
      <c r="O125" s="1148"/>
      <c r="P125" s="1327">
        <v>-1</v>
      </c>
      <c r="Q125" s="920"/>
      <c r="R125" s="924">
        <f>G125-G124</f>
        <v>0</v>
      </c>
      <c r="S125" s="920"/>
      <c r="T125" s="924">
        <f>I125-I124</f>
        <v>-1</v>
      </c>
    </row>
    <row r="126" spans="1:22" ht="10.5" customHeight="1" x14ac:dyDescent="0.2">
      <c r="A126" s="889" t="s">
        <v>94</v>
      </c>
      <c r="B126" s="914" t="s">
        <v>80</v>
      </c>
      <c r="C126" s="1150">
        <f>118+5</f>
        <v>123</v>
      </c>
      <c r="D126" s="919">
        <f>(C126/C120-1)*100</f>
        <v>1.6528925619834656</v>
      </c>
      <c r="E126" s="1150">
        <f>215+10</f>
        <v>225</v>
      </c>
      <c r="F126" s="919">
        <f>(E126/E120-1)*100</f>
        <v>11.386138613861396</v>
      </c>
      <c r="G126" s="889"/>
      <c r="H126" s="919"/>
      <c r="I126" s="917">
        <f>G126+E126+C126</f>
        <v>348</v>
      </c>
      <c r="J126" s="919">
        <f>(I126/I120-1)*100</f>
        <v>7.7399380804953566</v>
      </c>
      <c r="K126" s="919"/>
      <c r="L126" s="889" t="s">
        <v>94</v>
      </c>
      <c r="M126" s="914" t="s">
        <v>80</v>
      </c>
      <c r="N126" s="1326">
        <f>C126-C125</f>
        <v>2</v>
      </c>
      <c r="O126" s="1148"/>
      <c r="P126" s="1326">
        <f>E126-E125</f>
        <v>17</v>
      </c>
      <c r="Q126" s="920"/>
      <c r="R126" s="924">
        <f>G126-G125</f>
        <v>0</v>
      </c>
      <c r="S126" s="920"/>
      <c r="T126" s="924">
        <f>I126-I125</f>
        <v>19</v>
      </c>
    </row>
    <row r="127" spans="1:22" ht="10.5" customHeight="1" x14ac:dyDescent="0.2">
      <c r="A127" s="889" t="s">
        <v>95</v>
      </c>
      <c r="B127" s="914" t="s">
        <v>81</v>
      </c>
      <c r="C127" s="1150">
        <f>118+5</f>
        <v>123</v>
      </c>
      <c r="D127" s="919">
        <f>(C127/C121-1)*100</f>
        <v>1.6528925619834656</v>
      </c>
      <c r="E127" s="1150">
        <f>215+11</f>
        <v>226</v>
      </c>
      <c r="F127" s="919">
        <f>(E127/E121-1)*100</f>
        <v>11.881188118811892</v>
      </c>
      <c r="G127" s="889"/>
      <c r="H127" s="919"/>
      <c r="I127" s="917">
        <f>G127+E127+C127</f>
        <v>349</v>
      </c>
      <c r="J127" s="919">
        <f>(I127/I121-1)*100</f>
        <v>8.0495356037151744</v>
      </c>
      <c r="K127" s="919"/>
      <c r="L127" s="889" t="s">
        <v>95</v>
      </c>
      <c r="M127" s="914" t="s">
        <v>81</v>
      </c>
      <c r="N127" s="1326">
        <f>C127-C126</f>
        <v>0</v>
      </c>
      <c r="O127" s="1148"/>
      <c r="P127" s="1326">
        <f>E127-E126</f>
        <v>1</v>
      </c>
      <c r="Q127" s="920"/>
      <c r="R127" s="924">
        <f>G127-G126</f>
        <v>0</v>
      </c>
      <c r="S127" s="920"/>
      <c r="T127" s="924">
        <f>I127-I126</f>
        <v>1</v>
      </c>
    </row>
    <row r="128" spans="1:22" ht="10.5" customHeight="1" x14ac:dyDescent="0.2">
      <c r="A128" s="925"/>
      <c r="B128" s="925"/>
      <c r="C128" s="1149"/>
      <c r="D128" s="925"/>
      <c r="E128" s="1149"/>
      <c r="F128" s="925"/>
      <c r="G128" s="889"/>
      <c r="H128" s="925"/>
      <c r="I128" s="917"/>
      <c r="J128" s="925"/>
      <c r="K128" s="925"/>
      <c r="L128" s="925"/>
      <c r="M128" s="925"/>
      <c r="N128" s="925"/>
      <c r="O128" s="925"/>
      <c r="P128" s="925"/>
      <c r="Q128" s="925"/>
      <c r="R128" s="925"/>
      <c r="S128" s="925"/>
      <c r="T128" s="925"/>
    </row>
    <row r="129" spans="1:23" ht="10.5" customHeight="1" x14ac:dyDescent="0.2">
      <c r="A129" s="889"/>
      <c r="B129" s="952">
        <f>B123+1</f>
        <v>2017</v>
      </c>
      <c r="C129" s="1149"/>
      <c r="D129" s="925"/>
      <c r="E129" s="1149"/>
      <c r="F129" s="925"/>
      <c r="G129" s="889"/>
      <c r="H129" s="925"/>
      <c r="I129" s="917"/>
      <c r="J129" s="925"/>
      <c r="K129" s="930"/>
      <c r="L129" s="889"/>
      <c r="M129" s="952">
        <f>M123+1</f>
        <v>2017</v>
      </c>
      <c r="N129" s="947"/>
      <c r="O129" s="947"/>
      <c r="P129" s="947"/>
      <c r="Q129" s="947"/>
      <c r="R129" s="947"/>
      <c r="S129" s="947"/>
      <c r="T129" s="931"/>
    </row>
    <row r="130" spans="1:23" ht="10.5" customHeight="1" x14ac:dyDescent="0.2">
      <c r="A130" s="889" t="s">
        <v>92</v>
      </c>
      <c r="B130" s="921" t="s">
        <v>78</v>
      </c>
      <c r="C130" s="1147">
        <f>C127+N130</f>
        <v>122</v>
      </c>
      <c r="D130" s="919">
        <f>(C130/C124-1)*100</f>
        <v>0.82644628099173278</v>
      </c>
      <c r="E130" s="1150">
        <f>220+11</f>
        <v>231</v>
      </c>
      <c r="F130" s="919">
        <f>(E130/E124-1)*100</f>
        <v>10.526315789473696</v>
      </c>
      <c r="G130" s="889"/>
      <c r="H130" s="919"/>
      <c r="I130" s="917">
        <f>G130+E130+C130</f>
        <v>353</v>
      </c>
      <c r="J130" s="919">
        <f>(I130/I124-1)*100</f>
        <v>6.9696969696969591</v>
      </c>
      <c r="K130" s="919"/>
      <c r="L130" s="889" t="s">
        <v>92</v>
      </c>
      <c r="M130" s="921" t="s">
        <v>78</v>
      </c>
      <c r="N130" s="1326">
        <v>-1</v>
      </c>
      <c r="O130" s="1148"/>
      <c r="P130" s="1326">
        <f>E130-E127</f>
        <v>5</v>
      </c>
      <c r="Q130" s="923"/>
      <c r="R130" s="924">
        <f>G130-G127</f>
        <v>0</v>
      </c>
      <c r="S130" s="923"/>
      <c r="T130" s="924">
        <f>I130-I127</f>
        <v>4</v>
      </c>
      <c r="V130" s="953"/>
    </row>
    <row r="131" spans="1:23" ht="10.5" customHeight="1" x14ac:dyDescent="0.2">
      <c r="A131" s="889" t="s">
        <v>93</v>
      </c>
      <c r="B131" s="914" t="s">
        <v>292</v>
      </c>
      <c r="C131" s="1147">
        <f>C130+N131</f>
        <v>122</v>
      </c>
      <c r="D131" s="919">
        <f>(C131/C125-1)*100</f>
        <v>0.82644628099173278</v>
      </c>
      <c r="E131" s="1150">
        <f>E130+P131</f>
        <v>232</v>
      </c>
      <c r="F131" s="919">
        <f>(E131/E125-1)*100</f>
        <v>11.538461538461542</v>
      </c>
      <c r="G131" s="889"/>
      <c r="H131" s="919"/>
      <c r="I131" s="917">
        <f>G131+E131+C131</f>
        <v>354</v>
      </c>
      <c r="J131" s="919">
        <f>(I131/I125-1)*100</f>
        <v>7.5987841945288848</v>
      </c>
      <c r="K131" s="919"/>
      <c r="L131" s="889" t="s">
        <v>93</v>
      </c>
      <c r="M131" s="914" t="s">
        <v>292</v>
      </c>
      <c r="N131" s="1326">
        <v>0</v>
      </c>
      <c r="O131" s="1148"/>
      <c r="P131" s="1326">
        <v>1</v>
      </c>
      <c r="Q131" s="920"/>
      <c r="R131" s="924">
        <f>G131-G130</f>
        <v>0</v>
      </c>
      <c r="S131" s="920"/>
      <c r="T131" s="924">
        <f>I131-I130</f>
        <v>1</v>
      </c>
    </row>
    <row r="132" spans="1:23" ht="10.5" customHeight="1" x14ac:dyDescent="0.2">
      <c r="A132" s="889" t="s">
        <v>94</v>
      </c>
      <c r="B132" s="914" t="s">
        <v>80</v>
      </c>
      <c r="C132" s="925">
        <f>C131+N132</f>
        <v>123</v>
      </c>
      <c r="D132" s="919">
        <f>(C132/C126-1)*100</f>
        <v>0</v>
      </c>
      <c r="E132" s="1150">
        <f>E131+P132</f>
        <v>243</v>
      </c>
      <c r="F132" s="919">
        <f>(E132/E126-1)*100</f>
        <v>8.0000000000000071</v>
      </c>
      <c r="G132" s="889"/>
      <c r="H132" s="919"/>
      <c r="I132" s="917">
        <f>G132+E132+C132</f>
        <v>366</v>
      </c>
      <c r="J132" s="919">
        <f>(I132/I126-1)*100</f>
        <v>5.1724137931034475</v>
      </c>
      <c r="K132" s="919"/>
      <c r="L132" s="889" t="s">
        <v>94</v>
      </c>
      <c r="M132" s="914" t="s">
        <v>80</v>
      </c>
      <c r="N132" s="1326">
        <v>1</v>
      </c>
      <c r="O132" s="1148"/>
      <c r="P132" s="1326">
        <v>11</v>
      </c>
      <c r="Q132" s="920"/>
      <c r="R132" s="924">
        <f>G132-G131</f>
        <v>0</v>
      </c>
      <c r="S132" s="920"/>
      <c r="T132" s="924">
        <f>I132-I131</f>
        <v>12</v>
      </c>
    </row>
    <row r="133" spans="1:23" ht="10.5" customHeight="1" x14ac:dyDescent="0.2">
      <c r="A133" s="889" t="s">
        <v>95</v>
      </c>
      <c r="B133" s="914" t="s">
        <v>81</v>
      </c>
      <c r="C133" s="925">
        <f>C132+N133</f>
        <v>123</v>
      </c>
      <c r="D133" s="919">
        <f>(C133/C127-1)*100</f>
        <v>0</v>
      </c>
      <c r="E133" s="1249">
        <f>E132+P133</f>
        <v>243</v>
      </c>
      <c r="F133" s="919">
        <f>(E133/E127-1)*100</f>
        <v>7.5221238938053103</v>
      </c>
      <c r="G133" s="889"/>
      <c r="H133" s="919"/>
      <c r="I133" s="917">
        <f>G133+E133+C133</f>
        <v>366</v>
      </c>
      <c r="J133" s="919">
        <f>(I133/I127-1)*100</f>
        <v>4.871060171919761</v>
      </c>
      <c r="K133" s="919"/>
      <c r="L133" s="889" t="s">
        <v>95</v>
      </c>
      <c r="M133" s="914" t="s">
        <v>81</v>
      </c>
      <c r="N133" s="1252">
        <v>0</v>
      </c>
      <c r="O133" s="1253"/>
      <c r="P133" s="1252">
        <v>0</v>
      </c>
      <c r="Q133" s="920"/>
      <c r="R133" s="924">
        <f>G133-G132</f>
        <v>0</v>
      </c>
      <c r="S133" s="920"/>
      <c r="T133" s="924">
        <f>I133-I132</f>
        <v>0</v>
      </c>
    </row>
    <row r="134" spans="1:23" ht="10.5" customHeight="1" x14ac:dyDescent="0.2">
      <c r="A134" s="925"/>
      <c r="B134" s="925"/>
      <c r="C134" s="925"/>
      <c r="D134" s="925"/>
      <c r="E134" s="1249"/>
      <c r="F134" s="925"/>
      <c r="G134" s="889"/>
      <c r="H134" s="925"/>
      <c r="I134" s="917"/>
      <c r="J134" s="925"/>
      <c r="K134" s="925"/>
      <c r="L134" s="925"/>
      <c r="M134" s="925"/>
      <c r="N134" s="925"/>
      <c r="O134" s="925"/>
      <c r="P134" s="925"/>
      <c r="Q134" s="925"/>
      <c r="R134" s="925"/>
      <c r="S134" s="925"/>
      <c r="T134" s="925"/>
    </row>
    <row r="135" spans="1:23" ht="10.5" customHeight="1" x14ac:dyDescent="0.2">
      <c r="A135" s="889"/>
      <c r="B135" s="952">
        <f>B129+1</f>
        <v>2018</v>
      </c>
      <c r="C135" s="1149"/>
      <c r="D135" s="925"/>
      <c r="E135" s="1249"/>
      <c r="F135" s="925"/>
      <c r="G135" s="889"/>
      <c r="H135" s="925"/>
      <c r="I135" s="917"/>
      <c r="J135" s="925"/>
      <c r="K135" s="930"/>
      <c r="L135" s="889"/>
      <c r="M135" s="952">
        <f>M129+1</f>
        <v>2018</v>
      </c>
      <c r="N135" s="947"/>
      <c r="O135" s="947"/>
      <c r="P135" s="947"/>
      <c r="Q135" s="947"/>
      <c r="R135" s="947"/>
      <c r="S135" s="947"/>
      <c r="T135" s="931"/>
    </row>
    <row r="136" spans="1:23" s="1" customFormat="1" ht="10.5" customHeight="1" x14ac:dyDescent="0.2">
      <c r="A136" s="17" t="s">
        <v>92</v>
      </c>
      <c r="B136" s="1236" t="s">
        <v>78</v>
      </c>
      <c r="C136" s="1237">
        <f>C133+N136</f>
        <v>123</v>
      </c>
      <c r="D136" s="1238">
        <f>(C136/C130-1)*100</f>
        <v>0.81967213114753079</v>
      </c>
      <c r="E136" s="1249">
        <f>E133+P136</f>
        <v>249</v>
      </c>
      <c r="F136" s="1238">
        <f>(E136/E130-1)*100</f>
        <v>7.7922077922077948</v>
      </c>
      <c r="G136" s="17"/>
      <c r="H136" s="1238"/>
      <c r="I136" s="1239">
        <f>G136+E136+C136</f>
        <v>372</v>
      </c>
      <c r="J136" s="1238">
        <f>(I136/I130-1)*100</f>
        <v>5.3824362606232246</v>
      </c>
      <c r="K136" s="1238"/>
      <c r="L136" s="17" t="s">
        <v>92</v>
      </c>
      <c r="M136" s="1236" t="s">
        <v>78</v>
      </c>
      <c r="N136" s="1240">
        <v>0</v>
      </c>
      <c r="O136" s="1241"/>
      <c r="P136" s="1240">
        <v>6</v>
      </c>
      <c r="Q136" s="1242"/>
      <c r="R136" s="1243">
        <f>G136-G133</f>
        <v>0</v>
      </c>
      <c r="S136" s="1242"/>
      <c r="T136" s="1243">
        <f>I136-I133</f>
        <v>6</v>
      </c>
      <c r="V136" s="1244"/>
    </row>
    <row r="137" spans="1:23" s="1" customFormat="1" ht="10.5" customHeight="1" x14ac:dyDescent="0.2">
      <c r="A137" s="17" t="s">
        <v>93</v>
      </c>
      <c r="B137" s="1245" t="s">
        <v>292</v>
      </c>
      <c r="C137" s="1237">
        <f>C136+N137</f>
        <v>124</v>
      </c>
      <c r="D137" s="1238">
        <f>(C137/C131-1)*100</f>
        <v>1.6393442622950838</v>
      </c>
      <c r="E137" s="1250">
        <f>E136+P137</f>
        <v>251</v>
      </c>
      <c r="F137" s="1238">
        <f>(E137/E131-1)*100</f>
        <v>8.18965517241379</v>
      </c>
      <c r="G137" s="17"/>
      <c r="H137" s="1238"/>
      <c r="I137" s="1239">
        <f>G137+E137+C137</f>
        <v>375</v>
      </c>
      <c r="J137" s="1238">
        <f>(I137/I131-1)*100</f>
        <v>5.9322033898305149</v>
      </c>
      <c r="K137" s="1238"/>
      <c r="L137" s="17" t="s">
        <v>93</v>
      </c>
      <c r="M137" s="1245" t="s">
        <v>292</v>
      </c>
      <c r="N137" s="1240">
        <v>1</v>
      </c>
      <c r="O137" s="1241"/>
      <c r="P137" s="1240">
        <v>2</v>
      </c>
      <c r="Q137" s="1246"/>
      <c r="R137" s="1243">
        <f>G137-G136</f>
        <v>0</v>
      </c>
      <c r="S137" s="1246"/>
      <c r="T137" s="1243">
        <f>I137-I136</f>
        <v>3</v>
      </c>
    </row>
    <row r="138" spans="1:23" s="1" customFormat="1" ht="10.5" customHeight="1" x14ac:dyDescent="0.2">
      <c r="A138" s="17" t="s">
        <v>94</v>
      </c>
      <c r="B138" s="1245" t="s">
        <v>80</v>
      </c>
      <c r="C138" s="182">
        <f>C137+N138</f>
        <v>124</v>
      </c>
      <c r="D138" s="1238">
        <f>(C138/C132-1)*100</f>
        <v>0.81300813008129413</v>
      </c>
      <c r="E138" s="1251">
        <f>E137+P138</f>
        <v>255</v>
      </c>
      <c r="F138" s="1238">
        <f>(E138/E132-1)*100</f>
        <v>4.9382716049382713</v>
      </c>
      <c r="G138" s="17"/>
      <c r="H138" s="1238"/>
      <c r="I138" s="1239">
        <f>G138+E138+C138</f>
        <v>379</v>
      </c>
      <c r="J138" s="1238">
        <f>(I138/I132-1)*100</f>
        <v>3.5519125683060038</v>
      </c>
      <c r="K138" s="1238"/>
      <c r="L138" s="17" t="s">
        <v>94</v>
      </c>
      <c r="M138" s="1245" t="s">
        <v>80</v>
      </c>
      <c r="N138" s="1247">
        <v>0</v>
      </c>
      <c r="O138" s="1246"/>
      <c r="P138" s="1247">
        <v>4</v>
      </c>
      <c r="Q138" s="1246"/>
      <c r="R138" s="1243">
        <f>G138-G137</f>
        <v>0</v>
      </c>
      <c r="S138" s="1246"/>
      <c r="T138" s="1243">
        <f>I138-I137</f>
        <v>4</v>
      </c>
    </row>
    <row r="139" spans="1:23" s="1" customFormat="1" ht="10.5" customHeight="1" thickBot="1" x14ac:dyDescent="0.25">
      <c r="A139" s="17" t="s">
        <v>95</v>
      </c>
      <c r="B139" s="1245" t="s">
        <v>81</v>
      </c>
      <c r="C139" s="182">
        <f>C138+N139</f>
        <v>124</v>
      </c>
      <c r="D139" s="1238">
        <f>(C139/C133-1)*100</f>
        <v>0.81300813008129413</v>
      </c>
      <c r="E139" s="1251">
        <f>E138+P139</f>
        <v>256</v>
      </c>
      <c r="F139" s="1238">
        <f>(E139/E133-1)*100</f>
        <v>5.3497942386831365</v>
      </c>
      <c r="G139" s="17"/>
      <c r="H139" s="1238"/>
      <c r="I139" s="1248">
        <f>G139+E139+C139</f>
        <v>380</v>
      </c>
      <c r="J139" s="1238">
        <f>(I139/I133-1)*100</f>
        <v>3.8251366120218622</v>
      </c>
      <c r="K139" s="1238"/>
      <c r="L139" s="17" t="s">
        <v>95</v>
      </c>
      <c r="M139" s="1245" t="s">
        <v>81</v>
      </c>
      <c r="N139" s="1247">
        <v>0</v>
      </c>
      <c r="O139" s="1246"/>
      <c r="P139" s="1247">
        <v>1</v>
      </c>
      <c r="Q139" s="1246"/>
      <c r="R139" s="1243">
        <f>G139-G138</f>
        <v>0</v>
      </c>
      <c r="S139" s="1246"/>
      <c r="T139" s="1243">
        <f>I139-I138</f>
        <v>1</v>
      </c>
    </row>
    <row r="140" spans="1:23" ht="10.5" customHeight="1" x14ac:dyDescent="0.2">
      <c r="A140" s="925"/>
      <c r="B140" s="925"/>
      <c r="C140" s="925"/>
      <c r="D140" s="925"/>
      <c r="E140" s="925"/>
      <c r="F140" s="925"/>
      <c r="G140" s="889"/>
      <c r="H140" s="925"/>
      <c r="I140" s="925"/>
      <c r="J140" s="925"/>
      <c r="K140" s="925"/>
      <c r="L140" s="925"/>
      <c r="M140" s="925"/>
      <c r="N140" s="925"/>
      <c r="O140" s="925"/>
      <c r="P140" s="925"/>
      <c r="Q140" s="925"/>
      <c r="R140" s="925"/>
      <c r="S140" s="925"/>
      <c r="T140" s="925"/>
    </row>
    <row r="141" spans="1:23" ht="10.5" customHeight="1" x14ac:dyDescent="0.2">
      <c r="A141" s="925"/>
      <c r="B141" s="925"/>
      <c r="C141" s="925"/>
      <c r="D141" s="925"/>
      <c r="E141" s="925"/>
      <c r="F141" s="925"/>
      <c r="G141" s="889"/>
      <c r="H141" s="925"/>
      <c r="I141" s="925"/>
      <c r="J141" s="925"/>
      <c r="K141" s="925"/>
      <c r="L141" s="925"/>
      <c r="M141" s="925"/>
      <c r="N141" s="925"/>
      <c r="O141" s="925"/>
      <c r="P141" s="925"/>
      <c r="Q141" s="925"/>
      <c r="R141" s="925"/>
      <c r="S141" s="925"/>
      <c r="T141" s="925"/>
    </row>
    <row r="142" spans="1:23" ht="11.25" customHeight="1" thickBot="1" x14ac:dyDescent="0.25">
      <c r="A142" s="925"/>
      <c r="B142" s="925"/>
      <c r="C142" s="925"/>
      <c r="D142" s="925"/>
      <c r="E142" s="925"/>
      <c r="F142" s="925"/>
      <c r="G142" s="889"/>
      <c r="H142" s="925"/>
      <c r="I142" s="925"/>
      <c r="J142" s="925"/>
      <c r="K142" s="925"/>
      <c r="L142" s="925"/>
      <c r="M142" s="925"/>
      <c r="N142" s="925"/>
      <c r="O142" s="925"/>
      <c r="P142" s="925"/>
      <c r="Q142" s="925"/>
      <c r="R142" s="925"/>
      <c r="S142" s="925"/>
      <c r="T142" s="925"/>
      <c r="W142" s="239"/>
    </row>
    <row r="143" spans="1:23" ht="10.5" customHeight="1" x14ac:dyDescent="0.2">
      <c r="A143" s="902" t="s">
        <v>265</v>
      </c>
      <c r="B143" s="902" t="s">
        <v>196</v>
      </c>
      <c r="C143" s="903" t="s">
        <v>295</v>
      </c>
      <c r="D143" s="903"/>
      <c r="E143" s="903"/>
      <c r="F143" s="903"/>
      <c r="G143" s="889"/>
      <c r="H143" s="903"/>
      <c r="I143" s="954"/>
      <c r="J143" s="905"/>
      <c r="K143" s="906"/>
      <c r="L143" s="902"/>
      <c r="M143" s="902"/>
      <c r="N143" s="924"/>
      <c r="O143" s="923"/>
      <c r="P143" s="924"/>
      <c r="Q143" s="923"/>
      <c r="R143" s="924"/>
      <c r="S143" s="923"/>
      <c r="T143" s="924"/>
    </row>
    <row r="144" spans="1:23" ht="10.5" hidden="1" customHeight="1" outlineLevel="1" x14ac:dyDescent="0.2">
      <c r="A144" s="889"/>
      <c r="B144" s="908">
        <v>1996</v>
      </c>
      <c r="C144" s="889"/>
      <c r="D144" s="889"/>
      <c r="E144" s="889"/>
      <c r="F144" s="889"/>
      <c r="G144" s="889"/>
      <c r="H144" s="889"/>
      <c r="I144" s="955"/>
      <c r="J144" s="918"/>
      <c r="K144" s="919"/>
      <c r="L144" s="889"/>
      <c r="M144" s="908"/>
      <c r="N144" s="924"/>
      <c r="O144" s="920"/>
      <c r="P144" s="924"/>
      <c r="Q144" s="920"/>
      <c r="R144" s="924"/>
      <c r="S144" s="920"/>
      <c r="T144" s="924"/>
    </row>
    <row r="145" spans="1:22" ht="10.5" hidden="1" customHeight="1" outlineLevel="1" x14ac:dyDescent="0.2">
      <c r="A145" s="889" t="s">
        <v>95</v>
      </c>
      <c r="B145" s="914" t="s">
        <v>200</v>
      </c>
      <c r="C145" s="889"/>
      <c r="D145" s="956"/>
      <c r="E145" s="956"/>
      <c r="F145" s="956"/>
      <c r="G145" s="889"/>
      <c r="H145" s="956"/>
      <c r="I145" s="957">
        <v>11.754</v>
      </c>
      <c r="J145" s="919"/>
      <c r="K145" s="892"/>
      <c r="L145" s="889"/>
      <c r="M145" s="914"/>
      <c r="N145" s="920"/>
      <c r="O145" s="920"/>
      <c r="P145" s="920"/>
      <c r="Q145" s="920"/>
      <c r="R145" s="920"/>
      <c r="S145" s="920"/>
      <c r="T145" s="927"/>
    </row>
    <row r="146" spans="1:22" ht="10.5" hidden="1" customHeight="1" outlineLevel="1" x14ac:dyDescent="0.2">
      <c r="A146" s="889"/>
      <c r="B146" s="921"/>
      <c r="C146" s="889"/>
      <c r="D146" s="956"/>
      <c r="E146" s="956"/>
      <c r="F146" s="956"/>
      <c r="G146" s="889"/>
      <c r="H146" s="956"/>
      <c r="I146" s="957"/>
      <c r="J146" s="918"/>
      <c r="K146" s="919"/>
      <c r="L146" s="889"/>
      <c r="M146" s="921"/>
      <c r="N146" s="924"/>
      <c r="O146" s="920"/>
      <c r="P146" s="924"/>
      <c r="Q146" s="920"/>
      <c r="R146" s="924"/>
      <c r="S146" s="920"/>
      <c r="T146" s="924"/>
      <c r="V146" s="239"/>
    </row>
    <row r="147" spans="1:22" ht="10.5" hidden="1" customHeight="1" outlineLevel="1" collapsed="1" x14ac:dyDescent="0.2">
      <c r="A147" s="889"/>
      <c r="B147" s="908">
        <v>1997</v>
      </c>
      <c r="C147" s="889"/>
      <c r="D147" s="889"/>
      <c r="E147" s="889"/>
      <c r="F147" s="889"/>
      <c r="G147" s="889"/>
      <c r="H147" s="889"/>
      <c r="I147" s="957"/>
      <c r="J147" s="918"/>
      <c r="K147" s="919"/>
      <c r="L147" s="889"/>
      <c r="M147" s="908"/>
      <c r="N147" s="924"/>
      <c r="O147" s="920"/>
      <c r="P147" s="924"/>
      <c r="Q147" s="920"/>
      <c r="R147" s="924"/>
      <c r="S147" s="920"/>
      <c r="T147" s="924"/>
    </row>
    <row r="148" spans="1:22" ht="10.5" hidden="1" customHeight="1" outlineLevel="1" x14ac:dyDescent="0.2">
      <c r="A148" s="889" t="s">
        <v>92</v>
      </c>
      <c r="B148" s="921" t="s">
        <v>197</v>
      </c>
      <c r="C148" s="889"/>
      <c r="D148" s="956"/>
      <c r="E148" s="956"/>
      <c r="F148" s="956"/>
      <c r="G148" s="889"/>
      <c r="H148" s="956"/>
      <c r="I148" s="957">
        <v>11.807</v>
      </c>
      <c r="J148" s="918"/>
      <c r="K148" s="919"/>
      <c r="L148" s="889"/>
      <c r="M148" s="921"/>
      <c r="N148" s="924"/>
      <c r="O148" s="920"/>
      <c r="P148" s="924"/>
      <c r="Q148" s="920"/>
      <c r="R148" s="924"/>
      <c r="S148" s="920"/>
      <c r="T148" s="924"/>
    </row>
    <row r="149" spans="1:22" ht="10.5" hidden="1" customHeight="1" outlineLevel="1" x14ac:dyDescent="0.2">
      <c r="A149" s="889" t="s">
        <v>93</v>
      </c>
      <c r="B149" s="914" t="s">
        <v>198</v>
      </c>
      <c r="C149" s="889"/>
      <c r="D149" s="956"/>
      <c r="E149" s="956"/>
      <c r="F149" s="956"/>
      <c r="G149" s="889"/>
      <c r="H149" s="956"/>
      <c r="I149" s="957">
        <v>11.8482</v>
      </c>
      <c r="J149" s="918"/>
      <c r="K149" s="919"/>
      <c r="L149" s="889"/>
      <c r="M149" s="914"/>
      <c r="N149" s="924"/>
      <c r="O149" s="920"/>
      <c r="P149" s="924"/>
      <c r="Q149" s="920"/>
      <c r="R149" s="924"/>
      <c r="S149" s="920"/>
      <c r="T149" s="924"/>
    </row>
    <row r="150" spans="1:22" ht="10.5" hidden="1" customHeight="1" outlineLevel="1" x14ac:dyDescent="0.2">
      <c r="A150" s="889" t="s">
        <v>94</v>
      </c>
      <c r="B150" s="914" t="s">
        <v>199</v>
      </c>
      <c r="C150" s="889"/>
      <c r="D150" s="956"/>
      <c r="E150" s="956"/>
      <c r="F150" s="956"/>
      <c r="G150" s="889"/>
      <c r="H150" s="956"/>
      <c r="I150" s="957">
        <v>12.5768</v>
      </c>
      <c r="J150" s="918"/>
      <c r="K150" s="919"/>
      <c r="L150" s="889"/>
      <c r="M150" s="914"/>
      <c r="N150" s="920"/>
      <c r="O150" s="920"/>
      <c r="P150" s="920"/>
      <c r="Q150" s="920"/>
      <c r="R150" s="920"/>
      <c r="S150" s="920"/>
      <c r="T150" s="920"/>
    </row>
    <row r="151" spans="1:22" ht="10.5" hidden="1" customHeight="1" outlineLevel="1" x14ac:dyDescent="0.2">
      <c r="A151" s="889" t="s">
        <v>95</v>
      </c>
      <c r="B151" s="914" t="s">
        <v>200</v>
      </c>
      <c r="C151" s="889"/>
      <c r="D151" s="956"/>
      <c r="E151" s="956"/>
      <c r="F151" s="956"/>
      <c r="G151" s="889"/>
      <c r="H151" s="956"/>
      <c r="I151" s="957">
        <v>12.6136</v>
      </c>
      <c r="J151" s="918">
        <f>(I151/I145-1)*100</f>
        <v>7.3132550621065162</v>
      </c>
      <c r="K151" s="892"/>
      <c r="L151" s="889"/>
      <c r="M151" s="914"/>
      <c r="N151" s="920"/>
      <c r="O151" s="920"/>
      <c r="P151" s="920"/>
      <c r="Q151" s="920"/>
      <c r="R151" s="920"/>
      <c r="S151" s="920"/>
      <c r="T151" s="927"/>
    </row>
    <row r="152" spans="1:22" ht="10.5" hidden="1" customHeight="1" outlineLevel="1" collapsed="1" x14ac:dyDescent="0.2">
      <c r="A152" s="889"/>
      <c r="B152" s="914"/>
      <c r="C152" s="889"/>
      <c r="D152" s="956"/>
      <c r="E152" s="956"/>
      <c r="F152" s="956"/>
      <c r="G152" s="889"/>
      <c r="H152" s="956"/>
      <c r="I152" s="957"/>
      <c r="J152" s="891"/>
      <c r="K152" s="892"/>
      <c r="L152" s="889"/>
      <c r="M152" s="914"/>
      <c r="N152" s="924"/>
      <c r="O152" s="923"/>
      <c r="P152" s="924"/>
      <c r="Q152" s="923"/>
      <c r="R152" s="924"/>
      <c r="S152" s="923"/>
      <c r="T152" s="924"/>
    </row>
    <row r="153" spans="1:22" ht="10.5" hidden="1" customHeight="1" outlineLevel="1" x14ac:dyDescent="0.2">
      <c r="A153" s="889"/>
      <c r="B153" s="908">
        <v>1998</v>
      </c>
      <c r="C153" s="889"/>
      <c r="D153" s="889"/>
      <c r="E153" s="889"/>
      <c r="F153" s="889"/>
      <c r="G153" s="889"/>
      <c r="H153" s="889"/>
      <c r="I153" s="957"/>
      <c r="J153" s="918"/>
      <c r="K153" s="919"/>
      <c r="L153" s="889"/>
      <c r="M153" s="908"/>
      <c r="N153" s="924"/>
      <c r="O153" s="920"/>
      <c r="P153" s="924"/>
      <c r="Q153" s="920"/>
      <c r="R153" s="924"/>
      <c r="S153" s="920"/>
      <c r="T153" s="924"/>
    </row>
    <row r="154" spans="1:22" ht="10.5" hidden="1" customHeight="1" outlineLevel="1" x14ac:dyDescent="0.2">
      <c r="A154" s="889" t="s">
        <v>92</v>
      </c>
      <c r="B154" s="921" t="s">
        <v>197</v>
      </c>
      <c r="C154" s="889"/>
      <c r="D154" s="956"/>
      <c r="E154" s="956"/>
      <c r="F154" s="956"/>
      <c r="G154" s="889"/>
      <c r="H154" s="956"/>
      <c r="I154" s="957">
        <v>13.126899999999999</v>
      </c>
      <c r="J154" s="918">
        <f>(I154/I148-1)*100</f>
        <v>11.178961632929596</v>
      </c>
      <c r="K154" s="919"/>
      <c r="L154" s="889"/>
      <c r="M154" s="921"/>
      <c r="N154" s="924"/>
      <c r="O154" s="920"/>
      <c r="P154" s="924"/>
      <c r="Q154" s="920"/>
      <c r="R154" s="924"/>
      <c r="S154" s="920"/>
      <c r="T154" s="924"/>
    </row>
    <row r="155" spans="1:22" ht="10.5" hidden="1" customHeight="1" outlineLevel="1" x14ac:dyDescent="0.2">
      <c r="A155" s="889" t="s">
        <v>93</v>
      </c>
      <c r="B155" s="914" t="s">
        <v>198</v>
      </c>
      <c r="C155" s="889"/>
      <c r="D155" s="956"/>
      <c r="E155" s="956"/>
      <c r="F155" s="956"/>
      <c r="G155" s="889"/>
      <c r="H155" s="956"/>
      <c r="I155" s="957">
        <v>13.2189</v>
      </c>
      <c r="J155" s="918">
        <f>(I155/I149-1)*100</f>
        <v>11.568845900643133</v>
      </c>
      <c r="K155" s="919"/>
      <c r="L155" s="889"/>
      <c r="M155" s="914"/>
      <c r="N155" s="924"/>
      <c r="O155" s="920"/>
      <c r="P155" s="924"/>
      <c r="Q155" s="920"/>
      <c r="R155" s="924"/>
      <c r="S155" s="920"/>
      <c r="T155" s="924"/>
    </row>
    <row r="156" spans="1:22" ht="10.5" hidden="1" customHeight="1" outlineLevel="1" x14ac:dyDescent="0.2">
      <c r="A156" s="889" t="s">
        <v>94</v>
      </c>
      <c r="B156" s="914" t="s">
        <v>199</v>
      </c>
      <c r="C156" s="889"/>
      <c r="D156" s="956"/>
      <c r="E156" s="956"/>
      <c r="F156" s="956"/>
      <c r="G156" s="889"/>
      <c r="H156" s="956"/>
      <c r="I156" s="957">
        <v>13.8239</v>
      </c>
      <c r="J156" s="918">
        <f>(I156/I150-1)*100</f>
        <v>9.9158768526175223</v>
      </c>
      <c r="K156" s="919"/>
      <c r="L156" s="889"/>
      <c r="M156" s="914"/>
      <c r="N156" s="920"/>
      <c r="O156" s="920"/>
      <c r="P156" s="920"/>
      <c r="Q156" s="920"/>
      <c r="R156" s="920"/>
      <c r="S156" s="920"/>
      <c r="T156" s="920"/>
    </row>
    <row r="157" spans="1:22" ht="10.5" hidden="1" customHeight="1" outlineLevel="1" x14ac:dyDescent="0.2">
      <c r="A157" s="889" t="s">
        <v>95</v>
      </c>
      <c r="B157" s="914" t="s">
        <v>200</v>
      </c>
      <c r="C157" s="889"/>
      <c r="D157" s="956"/>
      <c r="E157" s="956"/>
      <c r="F157" s="956"/>
      <c r="G157" s="889"/>
      <c r="H157" s="956"/>
      <c r="I157" s="957">
        <v>13.7319</v>
      </c>
      <c r="J157" s="918">
        <f>(I157/I151-1)*100</f>
        <v>8.8658273609437455</v>
      </c>
      <c r="K157" s="892"/>
      <c r="L157" s="889"/>
      <c r="M157" s="914"/>
      <c r="N157" s="920"/>
      <c r="O157" s="920"/>
      <c r="P157" s="920"/>
      <c r="Q157" s="920"/>
      <c r="R157" s="920"/>
      <c r="S157" s="920"/>
      <c r="T157" s="927"/>
    </row>
    <row r="158" spans="1:22" ht="10.5" hidden="1" customHeight="1" outlineLevel="1" collapsed="1" x14ac:dyDescent="0.2">
      <c r="A158" s="889"/>
      <c r="B158" s="914"/>
      <c r="C158" s="889"/>
      <c r="D158" s="956"/>
      <c r="E158" s="956"/>
      <c r="F158" s="956"/>
      <c r="G158" s="889"/>
      <c r="H158" s="956"/>
      <c r="I158" s="957"/>
      <c r="J158" s="891"/>
      <c r="K158" s="892"/>
      <c r="L158" s="889"/>
      <c r="M158" s="914"/>
      <c r="N158" s="924"/>
      <c r="O158" s="923"/>
      <c r="P158" s="924"/>
      <c r="Q158" s="923"/>
      <c r="R158" s="924"/>
      <c r="S158" s="923"/>
      <c r="T158" s="924"/>
    </row>
    <row r="159" spans="1:22" ht="10.5" hidden="1" customHeight="1" outlineLevel="1" x14ac:dyDescent="0.2">
      <c r="A159" s="889"/>
      <c r="B159" s="908">
        <f>B153+1</f>
        <v>1999</v>
      </c>
      <c r="C159" s="889"/>
      <c r="D159" s="956"/>
      <c r="E159" s="956"/>
      <c r="F159" s="956"/>
      <c r="G159" s="889"/>
      <c r="H159" s="956"/>
      <c r="I159" s="957"/>
      <c r="J159" s="891"/>
      <c r="K159" s="892"/>
      <c r="L159" s="889"/>
      <c r="M159" s="908"/>
      <c r="N159" s="924"/>
      <c r="O159" s="920"/>
      <c r="P159" s="924"/>
      <c r="Q159" s="920"/>
      <c r="R159" s="924"/>
      <c r="S159" s="920"/>
      <c r="T159" s="924"/>
    </row>
    <row r="160" spans="1:22" ht="10.5" hidden="1" customHeight="1" outlineLevel="1" x14ac:dyDescent="0.2">
      <c r="A160" s="889" t="s">
        <v>92</v>
      </c>
      <c r="B160" s="921" t="s">
        <v>197</v>
      </c>
      <c r="C160" s="889"/>
      <c r="D160" s="956"/>
      <c r="E160" s="956"/>
      <c r="F160" s="956"/>
      <c r="G160" s="889"/>
      <c r="H160" s="956"/>
      <c r="I160" s="957">
        <v>13.813000000000001</v>
      </c>
      <c r="J160" s="918">
        <f>(I160/I154-1)*100</f>
        <v>5.2266719484417523</v>
      </c>
      <c r="K160" s="892"/>
      <c r="L160" s="889"/>
      <c r="M160" s="921"/>
      <c r="N160" s="924"/>
      <c r="O160" s="920"/>
      <c r="P160" s="924"/>
      <c r="Q160" s="920"/>
      <c r="R160" s="924"/>
      <c r="S160" s="920"/>
      <c r="T160" s="924"/>
    </row>
    <row r="161" spans="1:20" ht="10.5" hidden="1" customHeight="1" outlineLevel="1" x14ac:dyDescent="0.2">
      <c r="A161" s="889" t="s">
        <v>93</v>
      </c>
      <c r="B161" s="914" t="s">
        <v>198</v>
      </c>
      <c r="C161" s="889"/>
      <c r="D161" s="956"/>
      <c r="E161" s="956"/>
      <c r="F161" s="956"/>
      <c r="G161" s="889"/>
      <c r="H161" s="956"/>
      <c r="I161" s="957">
        <v>13.813000000000001</v>
      </c>
      <c r="J161" s="918">
        <f>(I161/I155-1)*100</f>
        <v>4.4943225230541284</v>
      </c>
      <c r="K161" s="892"/>
      <c r="L161" s="889"/>
      <c r="M161" s="914"/>
      <c r="N161" s="924"/>
      <c r="O161" s="920"/>
      <c r="P161" s="924"/>
      <c r="Q161" s="920"/>
      <c r="R161" s="924"/>
      <c r="S161" s="920"/>
      <c r="T161" s="924"/>
    </row>
    <row r="162" spans="1:20" ht="10.5" hidden="1" customHeight="1" outlineLevel="1" x14ac:dyDescent="0.2">
      <c r="A162" s="889" t="s">
        <v>94</v>
      </c>
      <c r="B162" s="914" t="s">
        <v>199</v>
      </c>
      <c r="C162" s="889"/>
      <c r="D162" s="956"/>
      <c r="E162" s="956"/>
      <c r="F162" s="956"/>
      <c r="G162" s="889"/>
      <c r="H162" s="956"/>
      <c r="I162" s="957">
        <v>14.436999999999999</v>
      </c>
      <c r="J162" s="918">
        <f>(I162/I156-1)*100</f>
        <v>4.4350725916709521</v>
      </c>
      <c r="K162" s="892"/>
      <c r="L162" s="889"/>
      <c r="M162" s="914"/>
      <c r="N162" s="889"/>
      <c r="O162" s="889"/>
      <c r="P162" s="889"/>
      <c r="Q162" s="889"/>
      <c r="R162" s="889"/>
      <c r="S162" s="889"/>
      <c r="T162" s="889"/>
    </row>
    <row r="163" spans="1:20" ht="10.5" hidden="1" customHeight="1" outlineLevel="1" x14ac:dyDescent="0.2">
      <c r="A163" s="889" t="s">
        <v>95</v>
      </c>
      <c r="B163" s="914" t="s">
        <v>200</v>
      </c>
      <c r="C163" s="889"/>
      <c r="D163" s="956"/>
      <c r="E163" s="956"/>
      <c r="F163" s="956"/>
      <c r="G163" s="889"/>
      <c r="H163" s="956"/>
      <c r="I163" s="957">
        <v>14.487</v>
      </c>
      <c r="J163" s="918">
        <f>(I163/I157-1)*100</f>
        <v>5.4988748825727018</v>
      </c>
      <c r="K163" s="892"/>
      <c r="L163" s="889"/>
      <c r="M163" s="914"/>
      <c r="N163" s="889"/>
      <c r="O163" s="889"/>
      <c r="P163" s="889"/>
      <c r="Q163" s="889"/>
      <c r="R163" s="889"/>
      <c r="S163" s="889"/>
      <c r="T163" s="889"/>
    </row>
    <row r="164" spans="1:20" ht="10.5" hidden="1" customHeight="1" outlineLevel="1" collapsed="1" x14ac:dyDescent="0.2">
      <c r="A164" s="889"/>
      <c r="B164" s="914"/>
      <c r="C164" s="889"/>
      <c r="D164" s="956"/>
      <c r="E164" s="956"/>
      <c r="F164" s="956"/>
      <c r="G164" s="889"/>
      <c r="H164" s="956"/>
      <c r="I164" s="957"/>
      <c r="J164" s="891"/>
      <c r="K164" s="892"/>
      <c r="L164" s="889"/>
      <c r="M164" s="914"/>
      <c r="N164" s="889"/>
      <c r="O164" s="889"/>
      <c r="P164" s="889"/>
      <c r="Q164" s="889"/>
      <c r="R164" s="889"/>
      <c r="S164" s="889"/>
      <c r="T164" s="889"/>
    </row>
    <row r="165" spans="1:20" ht="10.5" hidden="1" customHeight="1" outlineLevel="1" x14ac:dyDescent="0.2">
      <c r="A165" s="889"/>
      <c r="B165" s="908">
        <f>B159+1</f>
        <v>2000</v>
      </c>
      <c r="C165" s="889"/>
      <c r="D165" s="956"/>
      <c r="E165" s="956"/>
      <c r="F165" s="956"/>
      <c r="G165" s="889"/>
      <c r="H165" s="956"/>
      <c r="I165" s="957"/>
      <c r="J165" s="891"/>
      <c r="K165" s="892"/>
      <c r="L165" s="889"/>
      <c r="M165" s="908"/>
      <c r="N165" s="889"/>
      <c r="O165" s="889"/>
      <c r="P165" s="889"/>
      <c r="Q165" s="889"/>
      <c r="R165" s="889"/>
      <c r="S165" s="889"/>
      <c r="T165" s="889"/>
    </row>
    <row r="166" spans="1:20" ht="10.5" hidden="1" customHeight="1" outlineLevel="1" x14ac:dyDescent="0.2">
      <c r="A166" s="889" t="s">
        <v>92</v>
      </c>
      <c r="B166" s="921" t="s">
        <v>197</v>
      </c>
      <c r="C166" s="889"/>
      <c r="D166" s="956"/>
      <c r="E166" s="956"/>
      <c r="F166" s="956"/>
      <c r="G166" s="889"/>
      <c r="H166" s="956"/>
      <c r="I166" s="957">
        <v>14.702999999999999</v>
      </c>
      <c r="J166" s="918">
        <f>(I166/I160-1)*100</f>
        <v>6.4432056758126244</v>
      </c>
      <c r="K166" s="892"/>
      <c r="L166" s="889"/>
      <c r="M166" s="921"/>
      <c r="N166" s="889"/>
      <c r="O166" s="889"/>
      <c r="P166" s="889"/>
      <c r="Q166" s="889"/>
      <c r="R166" s="889"/>
      <c r="S166" s="889"/>
      <c r="T166" s="889"/>
    </row>
    <row r="167" spans="1:20" ht="10.5" hidden="1" customHeight="1" outlineLevel="1" x14ac:dyDescent="0.2">
      <c r="A167" s="889" t="s">
        <v>93</v>
      </c>
      <c r="B167" s="914" t="s">
        <v>198</v>
      </c>
      <c r="C167" s="889"/>
      <c r="D167" s="956"/>
      <c r="E167" s="956"/>
      <c r="F167" s="956"/>
      <c r="G167" s="889"/>
      <c r="H167" s="956"/>
      <c r="I167" s="957">
        <v>15.212999999999999</v>
      </c>
      <c r="J167" s="918">
        <f>(I167/I161-1)*100</f>
        <v>10.135379714761438</v>
      </c>
      <c r="K167" s="892"/>
      <c r="L167" s="889"/>
      <c r="M167" s="914"/>
      <c r="N167" s="889"/>
      <c r="O167" s="889"/>
      <c r="P167" s="889"/>
      <c r="Q167" s="889"/>
      <c r="R167" s="889"/>
      <c r="S167" s="889"/>
      <c r="T167" s="889"/>
    </row>
    <row r="168" spans="1:20" ht="10.5" hidden="1" customHeight="1" outlineLevel="1" x14ac:dyDescent="0.2">
      <c r="A168" s="889" t="s">
        <v>94</v>
      </c>
      <c r="B168" s="914" t="s">
        <v>199</v>
      </c>
      <c r="C168" s="889"/>
      <c r="D168" s="956"/>
      <c r="E168" s="956"/>
      <c r="F168" s="956"/>
      <c r="G168" s="889"/>
      <c r="H168" s="956"/>
      <c r="I168" s="957">
        <v>15.971</v>
      </c>
      <c r="J168" s="918">
        <f>(I168/I162-1)*100</f>
        <v>10.625476206968209</v>
      </c>
      <c r="K168" s="892"/>
      <c r="L168" s="889"/>
      <c r="M168" s="914"/>
      <c r="N168" s="889"/>
      <c r="O168" s="889"/>
      <c r="P168" s="889"/>
      <c r="Q168" s="889"/>
      <c r="R168" s="889"/>
      <c r="S168" s="889"/>
      <c r="T168" s="889"/>
    </row>
    <row r="169" spans="1:20" ht="10.5" hidden="1" customHeight="1" outlineLevel="1" x14ac:dyDescent="0.2">
      <c r="A169" s="889" t="s">
        <v>95</v>
      </c>
      <c r="B169" s="914" t="s">
        <v>200</v>
      </c>
      <c r="C169" s="889"/>
      <c r="D169" s="956"/>
      <c r="E169" s="956"/>
      <c r="F169" s="956"/>
      <c r="G169" s="889"/>
      <c r="H169" s="956"/>
      <c r="I169" s="957">
        <v>15.987</v>
      </c>
      <c r="J169" s="918">
        <f>(I169/I163-1)*100</f>
        <v>10.354110581901011</v>
      </c>
      <c r="K169" s="892"/>
      <c r="L169" s="889"/>
      <c r="M169" s="914"/>
      <c r="N169" s="889"/>
      <c r="O169" s="889"/>
      <c r="P169" s="889"/>
      <c r="Q169" s="889"/>
      <c r="R169" s="889"/>
      <c r="S169" s="889"/>
      <c r="T169" s="889"/>
    </row>
    <row r="170" spans="1:20" ht="10.5" hidden="1" customHeight="1" outlineLevel="1" collapsed="1" x14ac:dyDescent="0.2">
      <c r="A170" s="889"/>
      <c r="B170" s="914"/>
      <c r="C170" s="889"/>
      <c r="D170" s="956"/>
      <c r="E170" s="956"/>
      <c r="F170" s="956"/>
      <c r="G170" s="889"/>
      <c r="H170" s="956"/>
      <c r="I170" s="957"/>
      <c r="J170" s="891"/>
      <c r="K170" s="892"/>
      <c r="L170" s="889"/>
      <c r="M170" s="914"/>
      <c r="N170" s="889"/>
      <c r="O170" s="889"/>
      <c r="P170" s="889"/>
      <c r="Q170" s="889"/>
      <c r="R170" s="889"/>
      <c r="S170" s="889"/>
      <c r="T170" s="889"/>
    </row>
    <row r="171" spans="1:20" ht="10.5" hidden="1" customHeight="1" outlineLevel="1" x14ac:dyDescent="0.2">
      <c r="A171" s="889"/>
      <c r="B171" s="908">
        <f>B165+1</f>
        <v>2001</v>
      </c>
      <c r="C171" s="889"/>
      <c r="D171" s="956"/>
      <c r="E171" s="956"/>
      <c r="F171" s="956"/>
      <c r="G171" s="889"/>
      <c r="H171" s="956"/>
      <c r="I171" s="957"/>
      <c r="J171" s="891"/>
      <c r="K171" s="892"/>
      <c r="L171" s="889"/>
      <c r="M171" s="908"/>
      <c r="N171" s="889"/>
      <c r="O171" s="889"/>
      <c r="P171" s="889"/>
      <c r="Q171" s="889"/>
      <c r="R171" s="889"/>
      <c r="S171" s="889"/>
      <c r="T171" s="889"/>
    </row>
    <row r="172" spans="1:20" ht="10.5" hidden="1" customHeight="1" outlineLevel="1" x14ac:dyDescent="0.2">
      <c r="A172" s="889" t="s">
        <v>92</v>
      </c>
      <c r="B172" s="921" t="s">
        <v>197</v>
      </c>
      <c r="C172" s="889"/>
      <c r="D172" s="956"/>
      <c r="E172" s="956"/>
      <c r="F172" s="956"/>
      <c r="G172" s="889"/>
      <c r="H172" s="956"/>
      <c r="I172" s="957">
        <v>16.306999999999999</v>
      </c>
      <c r="J172" s="918">
        <f>(I172/I166-1)*100</f>
        <v>10.909338230293141</v>
      </c>
      <c r="K172" s="892"/>
      <c r="L172" s="889"/>
      <c r="M172" s="921"/>
      <c r="N172" s="889"/>
      <c r="O172" s="889"/>
      <c r="P172" s="889"/>
      <c r="Q172" s="889"/>
      <c r="R172" s="889"/>
      <c r="S172" s="889"/>
      <c r="T172" s="889"/>
    </row>
    <row r="173" spans="1:20" ht="10.5" hidden="1" customHeight="1" outlineLevel="1" x14ac:dyDescent="0.2">
      <c r="A173" s="889" t="s">
        <v>93</v>
      </c>
      <c r="B173" s="914" t="s">
        <v>198</v>
      </c>
      <c r="C173" s="889"/>
      <c r="D173" s="956"/>
      <c r="E173" s="956"/>
      <c r="F173" s="956"/>
      <c r="G173" s="889"/>
      <c r="H173" s="956"/>
      <c r="I173" s="957">
        <v>16.306999999999999</v>
      </c>
      <c r="J173" s="918">
        <f>(I173/I167-1)*100</f>
        <v>7.1912180372050161</v>
      </c>
      <c r="K173" s="892"/>
      <c r="L173" s="889"/>
      <c r="M173" s="914"/>
      <c r="N173" s="889"/>
      <c r="O173" s="889"/>
      <c r="P173" s="889"/>
      <c r="Q173" s="889"/>
      <c r="R173" s="889"/>
      <c r="S173" s="889"/>
      <c r="T173" s="889"/>
    </row>
    <row r="174" spans="1:20" ht="10.5" hidden="1" customHeight="1" outlineLevel="1" x14ac:dyDescent="0.2">
      <c r="A174" s="889" t="s">
        <v>94</v>
      </c>
      <c r="B174" s="914" t="s">
        <v>199</v>
      </c>
      <c r="C174" s="889"/>
      <c r="D174" s="956"/>
      <c r="E174" s="956"/>
      <c r="F174" s="956"/>
      <c r="G174" s="889"/>
      <c r="H174" s="956"/>
      <c r="I174" s="957">
        <v>17.033000000000001</v>
      </c>
      <c r="J174" s="918">
        <f>(I174/I168-1)*100</f>
        <v>6.649552313568341</v>
      </c>
      <c r="K174" s="892"/>
      <c r="L174" s="889"/>
      <c r="M174" s="914"/>
      <c r="N174" s="889"/>
      <c r="O174" s="889"/>
      <c r="P174" s="889"/>
      <c r="Q174" s="889"/>
      <c r="R174" s="889"/>
      <c r="S174" s="889"/>
      <c r="T174" s="889"/>
    </row>
    <row r="175" spans="1:20" ht="10.5" hidden="1" customHeight="1" outlineLevel="1" x14ac:dyDescent="0.2">
      <c r="A175" s="889" t="s">
        <v>95</v>
      </c>
      <c r="B175" s="914" t="s">
        <v>200</v>
      </c>
      <c r="C175" s="889"/>
      <c r="D175" s="956"/>
      <c r="E175" s="956"/>
      <c r="F175" s="956"/>
      <c r="G175" s="889"/>
      <c r="H175" s="956"/>
      <c r="I175" s="957">
        <v>17.010999999999999</v>
      </c>
      <c r="J175" s="918">
        <f>(I175/I169-1)*100</f>
        <v>6.4052042284356014</v>
      </c>
      <c r="K175" s="892"/>
      <c r="L175" s="889"/>
      <c r="M175" s="914"/>
      <c r="N175" s="889"/>
      <c r="O175" s="889"/>
      <c r="P175" s="889"/>
      <c r="Q175" s="889"/>
      <c r="R175" s="889"/>
      <c r="S175" s="889"/>
      <c r="T175" s="889"/>
    </row>
    <row r="176" spans="1:20" ht="10.5" hidden="1" customHeight="1" outlineLevel="1" collapsed="1" x14ac:dyDescent="0.2">
      <c r="A176" s="889"/>
      <c r="B176" s="914"/>
      <c r="C176" s="889"/>
      <c r="D176" s="956"/>
      <c r="E176" s="956"/>
      <c r="F176" s="956"/>
      <c r="G176" s="889"/>
      <c r="H176" s="956"/>
      <c r="I176" s="957"/>
      <c r="J176" s="891"/>
      <c r="K176" s="892"/>
      <c r="L176" s="889"/>
      <c r="M176" s="914"/>
      <c r="N176" s="889"/>
      <c r="O176" s="889"/>
      <c r="P176" s="889"/>
      <c r="Q176" s="889"/>
      <c r="R176" s="889"/>
      <c r="S176" s="889"/>
      <c r="T176" s="889"/>
    </row>
    <row r="177" spans="1:20" ht="10.5" hidden="1" customHeight="1" outlineLevel="1" x14ac:dyDescent="0.2">
      <c r="A177" s="889"/>
      <c r="B177" s="908">
        <f>B171+1</f>
        <v>2002</v>
      </c>
      <c r="C177" s="889"/>
      <c r="D177" s="956"/>
      <c r="E177" s="956"/>
      <c r="F177" s="956"/>
      <c r="G177" s="889"/>
      <c r="H177" s="956"/>
      <c r="I177" s="957"/>
      <c r="J177" s="891"/>
      <c r="K177" s="892"/>
      <c r="L177" s="889"/>
      <c r="M177" s="908"/>
      <c r="N177" s="889"/>
      <c r="O177" s="889"/>
      <c r="P177" s="889"/>
      <c r="Q177" s="889"/>
      <c r="R177" s="889"/>
      <c r="S177" s="889"/>
      <c r="T177" s="889"/>
    </row>
    <row r="178" spans="1:20" ht="10.5" hidden="1" customHeight="1" outlineLevel="1" x14ac:dyDescent="0.2">
      <c r="A178" s="889" t="s">
        <v>92</v>
      </c>
      <c r="B178" s="921" t="s">
        <v>197</v>
      </c>
      <c r="C178" s="889"/>
      <c r="D178" s="956"/>
      <c r="E178" s="956"/>
      <c r="F178" s="956"/>
      <c r="G178" s="889"/>
      <c r="H178" s="956"/>
      <c r="I178" s="957">
        <v>17.475000000000001</v>
      </c>
      <c r="J178" s="918">
        <f>(I178/I172-1)*100</f>
        <v>7.1625682222358655</v>
      </c>
      <c r="K178" s="892"/>
      <c r="L178" s="889"/>
      <c r="M178" s="921"/>
      <c r="N178" s="889"/>
      <c r="O178" s="889"/>
      <c r="P178" s="889"/>
      <c r="Q178" s="889"/>
      <c r="R178" s="889"/>
      <c r="S178" s="889"/>
      <c r="T178" s="889"/>
    </row>
    <row r="179" spans="1:20" ht="10.5" hidden="1" customHeight="1" outlineLevel="1" x14ac:dyDescent="0.2">
      <c r="A179" s="889" t="s">
        <v>93</v>
      </c>
      <c r="B179" s="914" t="s">
        <v>198</v>
      </c>
      <c r="C179" s="889"/>
      <c r="D179" s="956"/>
      <c r="E179" s="956"/>
      <c r="F179" s="956"/>
      <c r="G179" s="889"/>
      <c r="H179" s="956"/>
      <c r="I179" s="957">
        <v>17.454999999999998</v>
      </c>
      <c r="J179" s="918">
        <f>(I179/I173-1)*100</f>
        <v>7.0399215061016651</v>
      </c>
      <c r="K179" s="892"/>
      <c r="L179" s="889"/>
      <c r="M179" s="914"/>
      <c r="N179" s="889"/>
      <c r="O179" s="889"/>
      <c r="P179" s="889"/>
      <c r="Q179" s="889"/>
      <c r="R179" s="889"/>
      <c r="S179" s="889"/>
      <c r="T179" s="889"/>
    </row>
    <row r="180" spans="1:20" ht="10.5" hidden="1" customHeight="1" outlineLevel="1" x14ac:dyDescent="0.2">
      <c r="A180" s="889" t="s">
        <v>94</v>
      </c>
      <c r="B180" s="914" t="s">
        <v>199</v>
      </c>
      <c r="C180" s="889"/>
      <c r="D180" s="956"/>
      <c r="E180" s="956"/>
      <c r="F180" s="956"/>
      <c r="G180" s="889"/>
      <c r="H180" s="956"/>
      <c r="I180" s="957">
        <v>18.18</v>
      </c>
      <c r="J180" s="918">
        <f>(I180/I174-1)*100</f>
        <v>6.7339869664768237</v>
      </c>
      <c r="K180" s="892"/>
      <c r="L180" s="889"/>
      <c r="M180" s="914"/>
      <c r="N180" s="889"/>
      <c r="O180" s="889"/>
      <c r="P180" s="889"/>
      <c r="Q180" s="889"/>
      <c r="R180" s="889"/>
      <c r="S180" s="889"/>
      <c r="T180" s="889"/>
    </row>
    <row r="181" spans="1:20" ht="10.5" hidden="1" customHeight="1" outlineLevel="1" x14ac:dyDescent="0.2">
      <c r="A181" s="889" t="s">
        <v>95</v>
      </c>
      <c r="B181" s="914" t="s">
        <v>200</v>
      </c>
      <c r="C181" s="889"/>
      <c r="D181" s="956"/>
      <c r="E181" s="956"/>
      <c r="F181" s="956"/>
      <c r="G181" s="889"/>
      <c r="H181" s="956"/>
      <c r="I181" s="957">
        <v>18.428000000000001</v>
      </c>
      <c r="J181" s="918">
        <f>(I181/I175-1)*100</f>
        <v>8.329904179648473</v>
      </c>
      <c r="K181" s="892"/>
      <c r="L181" s="889"/>
      <c r="M181" s="914"/>
      <c r="N181" s="889"/>
      <c r="O181" s="889"/>
      <c r="P181" s="889"/>
      <c r="Q181" s="889"/>
      <c r="R181" s="889"/>
      <c r="S181" s="889"/>
      <c r="T181" s="889"/>
    </row>
    <row r="182" spans="1:20" ht="10.5" hidden="1" customHeight="1" outlineLevel="1" collapsed="1" x14ac:dyDescent="0.2">
      <c r="A182" s="889"/>
      <c r="B182" s="914"/>
      <c r="C182" s="889"/>
      <c r="D182" s="956"/>
      <c r="E182" s="956"/>
      <c r="F182" s="956"/>
      <c r="G182" s="889"/>
      <c r="H182" s="956"/>
      <c r="I182" s="957"/>
      <c r="J182" s="891"/>
      <c r="K182" s="892"/>
      <c r="L182" s="889"/>
      <c r="M182" s="914"/>
      <c r="N182" s="889"/>
      <c r="O182" s="889"/>
      <c r="P182" s="889"/>
      <c r="Q182" s="889"/>
      <c r="R182" s="889"/>
      <c r="S182" s="889"/>
      <c r="T182" s="889"/>
    </row>
    <row r="183" spans="1:20" ht="10.5" hidden="1" customHeight="1" outlineLevel="1" x14ac:dyDescent="0.2">
      <c r="A183" s="889"/>
      <c r="B183" s="908">
        <f>B177+1</f>
        <v>2003</v>
      </c>
      <c r="C183" s="889"/>
      <c r="D183" s="956"/>
      <c r="E183" s="956"/>
      <c r="F183" s="956"/>
      <c r="G183" s="889"/>
      <c r="H183" s="956"/>
      <c r="I183" s="957"/>
      <c r="J183" s="891"/>
      <c r="K183" s="892"/>
      <c r="L183" s="889"/>
      <c r="M183" s="908"/>
      <c r="N183" s="889"/>
      <c r="O183" s="889"/>
      <c r="P183" s="889"/>
      <c r="Q183" s="889"/>
      <c r="R183" s="889"/>
      <c r="S183" s="889"/>
      <c r="T183" s="889"/>
    </row>
    <row r="184" spans="1:20" ht="10.5" hidden="1" customHeight="1" outlineLevel="1" x14ac:dyDescent="0.2">
      <c r="A184" s="889" t="s">
        <v>92</v>
      </c>
      <c r="B184" s="921" t="s">
        <v>197</v>
      </c>
      <c r="C184" s="889"/>
      <c r="D184" s="956"/>
      <c r="E184" s="956"/>
      <c r="F184" s="956"/>
      <c r="G184" s="889"/>
      <c r="H184" s="956"/>
      <c r="I184" s="957">
        <v>18.613</v>
      </c>
      <c r="J184" s="918">
        <f>(I184/I178-1)*100</f>
        <v>6.5121602288984226</v>
      </c>
      <c r="K184" s="892"/>
      <c r="L184" s="889"/>
      <c r="M184" s="921"/>
      <c r="N184" s="889"/>
      <c r="O184" s="889"/>
      <c r="P184" s="889"/>
      <c r="Q184" s="889"/>
      <c r="R184" s="889"/>
      <c r="S184" s="889"/>
      <c r="T184" s="889"/>
    </row>
    <row r="185" spans="1:20" ht="10.5" hidden="1" customHeight="1" outlineLevel="1" x14ac:dyDescent="0.2">
      <c r="A185" s="889" t="s">
        <v>93</v>
      </c>
      <c r="B185" s="914" t="s">
        <v>198</v>
      </c>
      <c r="C185" s="889"/>
      <c r="D185" s="956"/>
      <c r="E185" s="956"/>
      <c r="F185" s="956"/>
      <c r="G185" s="889"/>
      <c r="H185" s="956"/>
      <c r="I185" s="957">
        <v>18.613</v>
      </c>
      <c r="J185" s="918">
        <f>(I185/I179-1)*100</f>
        <v>6.6342022343168328</v>
      </c>
      <c r="K185" s="892"/>
      <c r="L185" s="889"/>
      <c r="M185" s="914"/>
      <c r="N185" s="889"/>
      <c r="O185" s="889"/>
      <c r="P185" s="889"/>
      <c r="Q185" s="889"/>
      <c r="R185" s="889"/>
      <c r="S185" s="889"/>
      <c r="T185" s="889"/>
    </row>
    <row r="186" spans="1:20" ht="10.5" hidden="1" customHeight="1" outlineLevel="1" x14ac:dyDescent="0.2">
      <c r="A186" s="889" t="s">
        <v>94</v>
      </c>
      <c r="B186" s="914" t="s">
        <v>199</v>
      </c>
      <c r="C186" s="889"/>
      <c r="D186" s="956"/>
      <c r="E186" s="956"/>
      <c r="F186" s="956"/>
      <c r="G186" s="889"/>
      <c r="H186" s="956"/>
      <c r="I186" s="957">
        <v>18.977999999999998</v>
      </c>
      <c r="J186" s="918">
        <f>(I186/I180-1)*100</f>
        <v>4.3894389438943859</v>
      </c>
      <c r="K186" s="892"/>
      <c r="L186" s="889"/>
      <c r="M186" s="914"/>
      <c r="N186" s="889"/>
      <c r="O186" s="889"/>
      <c r="P186" s="889"/>
      <c r="Q186" s="889"/>
      <c r="R186" s="889"/>
      <c r="S186" s="889"/>
      <c r="T186" s="889"/>
    </row>
    <row r="187" spans="1:20" ht="10.5" hidden="1" customHeight="1" outlineLevel="1" x14ac:dyDescent="0.2">
      <c r="A187" s="889" t="s">
        <v>95</v>
      </c>
      <c r="B187" s="914" t="s">
        <v>200</v>
      </c>
      <c r="C187" s="889"/>
      <c r="D187" s="956"/>
      <c r="E187" s="956"/>
      <c r="F187" s="956"/>
      <c r="G187" s="889"/>
      <c r="H187" s="956"/>
      <c r="I187" s="957">
        <v>19.138000000000002</v>
      </c>
      <c r="J187" s="918">
        <f>(I187/I181-1)*100</f>
        <v>3.852832645973514</v>
      </c>
      <c r="K187" s="892"/>
      <c r="L187" s="889"/>
      <c r="M187" s="914"/>
      <c r="N187" s="889"/>
      <c r="O187" s="889"/>
      <c r="P187" s="889"/>
      <c r="Q187" s="889"/>
      <c r="R187" s="889"/>
      <c r="S187" s="889"/>
      <c r="T187" s="889"/>
    </row>
    <row r="188" spans="1:20" ht="10.5" hidden="1" customHeight="1" outlineLevel="1" collapsed="1" x14ac:dyDescent="0.2">
      <c r="A188" s="889"/>
      <c r="B188" s="914"/>
      <c r="C188" s="889"/>
      <c r="D188" s="956"/>
      <c r="E188" s="956"/>
      <c r="F188" s="956"/>
      <c r="G188" s="889"/>
      <c r="H188" s="956"/>
      <c r="I188" s="957"/>
      <c r="J188" s="891"/>
      <c r="K188" s="892"/>
      <c r="L188" s="889"/>
      <c r="M188" s="914"/>
      <c r="N188" s="889"/>
      <c r="O188" s="889"/>
      <c r="P188" s="889"/>
      <c r="Q188" s="889"/>
      <c r="R188" s="889"/>
      <c r="S188" s="889"/>
      <c r="T188" s="889"/>
    </row>
    <row r="189" spans="1:20" ht="10.5" hidden="1" customHeight="1" outlineLevel="1" x14ac:dyDescent="0.2">
      <c r="A189" s="889"/>
      <c r="B189" s="908">
        <f>B183+1</f>
        <v>2004</v>
      </c>
      <c r="C189" s="889"/>
      <c r="D189" s="956"/>
      <c r="E189" s="956"/>
      <c r="F189" s="956"/>
      <c r="G189" s="889"/>
      <c r="H189" s="956"/>
      <c r="I189" s="957"/>
      <c r="J189" s="891"/>
      <c r="K189" s="892"/>
      <c r="L189" s="889"/>
      <c r="M189" s="908"/>
      <c r="N189" s="889"/>
      <c r="O189" s="889"/>
      <c r="P189" s="889"/>
      <c r="Q189" s="889"/>
      <c r="R189" s="889"/>
      <c r="S189" s="889"/>
      <c r="T189" s="889"/>
    </row>
    <row r="190" spans="1:20" ht="10.5" hidden="1" customHeight="1" outlineLevel="1" x14ac:dyDescent="0.2">
      <c r="A190" s="889" t="s">
        <v>92</v>
      </c>
      <c r="B190" s="921" t="s">
        <v>197</v>
      </c>
      <c r="C190" s="889"/>
      <c r="D190" s="956"/>
      <c r="E190" s="956"/>
      <c r="F190" s="956"/>
      <c r="G190" s="889"/>
      <c r="H190" s="956"/>
      <c r="I190" s="957">
        <v>19.289000000000001</v>
      </c>
      <c r="J190" s="918">
        <f>(I190/I184-1)*100</f>
        <v>3.6318701982485546</v>
      </c>
      <c r="K190" s="892"/>
      <c r="L190" s="889"/>
      <c r="M190" s="921"/>
      <c r="N190" s="889"/>
      <c r="O190" s="889"/>
      <c r="P190" s="889"/>
      <c r="Q190" s="889"/>
      <c r="R190" s="889"/>
      <c r="S190" s="889"/>
      <c r="T190" s="889"/>
    </row>
    <row r="191" spans="1:20" ht="10.5" hidden="1" customHeight="1" outlineLevel="1" x14ac:dyDescent="0.2">
      <c r="A191" s="889" t="s">
        <v>93</v>
      </c>
      <c r="B191" s="914" t="s">
        <v>198</v>
      </c>
      <c r="C191" s="889"/>
      <c r="D191" s="956"/>
      <c r="E191" s="956"/>
      <c r="F191" s="956"/>
      <c r="G191" s="889"/>
      <c r="H191" s="956"/>
      <c r="I191" s="957">
        <v>19.289000000000001</v>
      </c>
      <c r="J191" s="918">
        <f>(I191/I185-1)*100</f>
        <v>3.6318701982485546</v>
      </c>
      <c r="K191" s="892"/>
      <c r="L191" s="889"/>
      <c r="M191" s="914"/>
      <c r="N191" s="889"/>
      <c r="O191" s="889"/>
      <c r="P191" s="889"/>
      <c r="Q191" s="889"/>
      <c r="R191" s="889"/>
      <c r="S191" s="889"/>
      <c r="T191" s="889"/>
    </row>
    <row r="192" spans="1:20" ht="10.5" hidden="1" customHeight="1" outlineLevel="1" x14ac:dyDescent="0.2">
      <c r="A192" s="889" t="s">
        <v>94</v>
      </c>
      <c r="B192" s="914" t="s">
        <v>199</v>
      </c>
      <c r="C192" s="889"/>
      <c r="D192" s="956"/>
      <c r="E192" s="956"/>
      <c r="F192" s="956"/>
      <c r="G192" s="889"/>
      <c r="H192" s="956"/>
      <c r="I192" s="957">
        <v>19.439</v>
      </c>
      <c r="J192" s="918">
        <f>(I192/I186-1)*100</f>
        <v>2.4291284645378886</v>
      </c>
      <c r="K192" s="892"/>
      <c r="L192" s="889"/>
      <c r="M192" s="914"/>
      <c r="N192" s="889"/>
      <c r="O192" s="889"/>
      <c r="P192" s="889"/>
      <c r="Q192" s="889"/>
      <c r="R192" s="889"/>
      <c r="S192" s="889"/>
      <c r="T192" s="889"/>
    </row>
    <row r="193" spans="1:20" ht="10.5" hidden="1" customHeight="1" outlineLevel="1" x14ac:dyDescent="0.2">
      <c r="A193" s="889" t="s">
        <v>95</v>
      </c>
      <c r="B193" s="914" t="s">
        <v>200</v>
      </c>
      <c r="C193" s="889"/>
      <c r="D193" s="956"/>
      <c r="E193" s="956"/>
      <c r="F193" s="956"/>
      <c r="G193" s="889"/>
      <c r="H193" s="956"/>
      <c r="I193" s="957">
        <v>19.396999999999998</v>
      </c>
      <c r="J193" s="918">
        <f>(I193/I187-1)*100</f>
        <v>1.3533284564740233</v>
      </c>
      <c r="K193" s="892"/>
      <c r="L193" s="889"/>
      <c r="M193" s="914"/>
      <c r="N193" s="889"/>
      <c r="O193" s="889"/>
      <c r="P193" s="889"/>
      <c r="Q193" s="889"/>
      <c r="R193" s="889"/>
      <c r="S193" s="889"/>
      <c r="T193" s="889"/>
    </row>
    <row r="194" spans="1:20" ht="10.5" hidden="1" customHeight="1" outlineLevel="1" collapsed="1" x14ac:dyDescent="0.2">
      <c r="A194" s="889"/>
      <c r="B194" s="914"/>
      <c r="C194" s="889"/>
      <c r="D194" s="956"/>
      <c r="E194" s="956"/>
      <c r="F194" s="956"/>
      <c r="G194" s="889"/>
      <c r="H194" s="956"/>
      <c r="I194" s="957"/>
      <c r="J194" s="891"/>
      <c r="K194" s="892"/>
      <c r="L194" s="889"/>
      <c r="M194" s="914"/>
      <c r="N194" s="889"/>
      <c r="O194" s="889"/>
      <c r="P194" s="889"/>
      <c r="Q194" s="889"/>
      <c r="R194" s="889"/>
      <c r="S194" s="889"/>
      <c r="T194" s="889"/>
    </row>
    <row r="195" spans="1:20" ht="10.5" hidden="1" customHeight="1" outlineLevel="1" x14ac:dyDescent="0.2">
      <c r="A195" s="889"/>
      <c r="B195" s="908">
        <f>B189+1</f>
        <v>2005</v>
      </c>
      <c r="C195" s="889"/>
      <c r="D195" s="956"/>
      <c r="E195" s="956"/>
      <c r="F195" s="956"/>
      <c r="G195" s="889"/>
      <c r="H195" s="956"/>
      <c r="I195" s="957"/>
      <c r="J195" s="891"/>
      <c r="K195" s="892"/>
      <c r="L195" s="889"/>
      <c r="M195" s="908"/>
      <c r="N195" s="889"/>
      <c r="O195" s="889"/>
      <c r="P195" s="889"/>
      <c r="Q195" s="889"/>
      <c r="R195" s="889"/>
      <c r="S195" s="889"/>
      <c r="T195" s="889"/>
    </row>
    <row r="196" spans="1:20" ht="10.5" hidden="1" customHeight="1" outlineLevel="1" x14ac:dyDescent="0.2">
      <c r="A196" s="889" t="s">
        <v>92</v>
      </c>
      <c r="B196" s="921" t="s">
        <v>197</v>
      </c>
      <c r="C196" s="889"/>
      <c r="D196" s="956"/>
      <c r="E196" s="956"/>
      <c r="F196" s="956"/>
      <c r="G196" s="889"/>
      <c r="H196" s="956"/>
      <c r="I196" s="957">
        <v>19.55</v>
      </c>
      <c r="J196" s="918">
        <f>(I196/I190-1)*100</f>
        <v>1.3531028047073512</v>
      </c>
      <c r="K196" s="892"/>
      <c r="L196" s="889"/>
      <c r="M196" s="921"/>
      <c r="N196" s="889"/>
      <c r="O196" s="889"/>
      <c r="P196" s="889"/>
      <c r="Q196" s="889"/>
      <c r="R196" s="889"/>
      <c r="S196" s="889"/>
      <c r="T196" s="889"/>
    </row>
    <row r="197" spans="1:20" ht="10.5" hidden="1" customHeight="1" outlineLevel="1" x14ac:dyDescent="0.2">
      <c r="A197" s="889" t="s">
        <v>93</v>
      </c>
      <c r="B197" s="914" t="s">
        <v>198</v>
      </c>
      <c r="C197" s="889"/>
      <c r="D197" s="956"/>
      <c r="E197" s="956"/>
      <c r="F197" s="956"/>
      <c r="G197" s="889"/>
      <c r="H197" s="956"/>
      <c r="I197" s="957">
        <v>19.579000000000001</v>
      </c>
      <c r="J197" s="918">
        <f>(I197/I191-1)*100</f>
        <v>1.503447560785931</v>
      </c>
      <c r="K197" s="892"/>
      <c r="L197" s="889"/>
      <c r="M197" s="914"/>
      <c r="N197" s="889"/>
      <c r="O197" s="889"/>
      <c r="P197" s="889"/>
      <c r="Q197" s="889"/>
      <c r="R197" s="889"/>
      <c r="S197" s="889"/>
      <c r="T197" s="889"/>
    </row>
    <row r="198" spans="1:20" ht="10.5" hidden="1" customHeight="1" outlineLevel="1" x14ac:dyDescent="0.2">
      <c r="A198" s="889" t="s">
        <v>94</v>
      </c>
      <c r="B198" s="914" t="s">
        <v>199</v>
      </c>
      <c r="C198" s="889"/>
      <c r="D198" s="956"/>
      <c r="E198" s="956"/>
      <c r="F198" s="956"/>
      <c r="G198" s="889"/>
      <c r="H198" s="956"/>
      <c r="I198" s="957">
        <v>20.058</v>
      </c>
      <c r="J198" s="918">
        <f>(I198/I192-1)*100</f>
        <v>3.1843201810792809</v>
      </c>
      <c r="K198" s="892"/>
      <c r="L198" s="889"/>
      <c r="M198" s="914"/>
      <c r="N198" s="889"/>
      <c r="O198" s="889"/>
      <c r="P198" s="889"/>
      <c r="Q198" s="889"/>
      <c r="R198" s="889"/>
      <c r="S198" s="889"/>
      <c r="T198" s="889"/>
    </row>
    <row r="199" spans="1:20" ht="10.5" hidden="1" customHeight="1" outlineLevel="1" x14ac:dyDescent="0.2">
      <c r="A199" s="889" t="s">
        <v>95</v>
      </c>
      <c r="B199" s="914" t="s">
        <v>200</v>
      </c>
      <c r="C199" s="889"/>
      <c r="D199" s="956"/>
      <c r="E199" s="956"/>
      <c r="F199" s="956"/>
      <c r="G199" s="889"/>
      <c r="H199" s="956"/>
      <c r="I199" s="957">
        <v>20.07</v>
      </c>
      <c r="J199" s="918">
        <f>(I199/I193-1)*100</f>
        <v>3.4696087023766697</v>
      </c>
      <c r="K199" s="892"/>
      <c r="L199" s="889"/>
      <c r="M199" s="914"/>
      <c r="N199" s="889"/>
      <c r="O199" s="889"/>
      <c r="P199" s="889"/>
      <c r="Q199" s="889"/>
      <c r="R199" s="889"/>
      <c r="S199" s="889"/>
      <c r="T199" s="889"/>
    </row>
    <row r="200" spans="1:20" ht="10.5" hidden="1" customHeight="1" outlineLevel="1" collapsed="1" x14ac:dyDescent="0.2">
      <c r="B200" s="958"/>
      <c r="C200" s="889"/>
      <c r="G200" s="889"/>
      <c r="I200" s="957"/>
      <c r="J200" s="683"/>
      <c r="M200" s="958"/>
    </row>
    <row r="201" spans="1:20" ht="10.5" hidden="1" customHeight="1" outlineLevel="1" x14ac:dyDescent="0.2">
      <c r="A201" s="889"/>
      <c r="B201" s="908">
        <f>B195+1</f>
        <v>2006</v>
      </c>
      <c r="C201" s="889"/>
      <c r="D201" s="956"/>
      <c r="E201" s="956"/>
      <c r="F201" s="956"/>
      <c r="G201" s="889"/>
      <c r="H201" s="956"/>
      <c r="I201" s="957"/>
      <c r="J201" s="891"/>
      <c r="K201" s="892"/>
      <c r="L201" s="889"/>
      <c r="M201" s="908"/>
      <c r="N201" s="889"/>
      <c r="O201" s="889"/>
      <c r="P201" s="889"/>
      <c r="Q201" s="889"/>
      <c r="R201" s="889"/>
      <c r="S201" s="889"/>
      <c r="T201" s="889"/>
    </row>
    <row r="202" spans="1:20" ht="10.5" hidden="1" customHeight="1" outlineLevel="1" x14ac:dyDescent="0.2">
      <c r="A202" s="889" t="s">
        <v>92</v>
      </c>
      <c r="B202" s="921" t="s">
        <v>197</v>
      </c>
      <c r="C202" s="889"/>
      <c r="D202" s="956"/>
      <c r="E202" s="956"/>
      <c r="F202" s="956"/>
      <c r="G202" s="889"/>
      <c r="H202" s="956"/>
      <c r="I202" s="957">
        <v>20.07</v>
      </c>
      <c r="J202" s="918">
        <f>(I202/I196-1)*100</f>
        <v>2.6598465473145705</v>
      </c>
      <c r="K202" s="892"/>
      <c r="L202" s="889"/>
      <c r="M202" s="921"/>
      <c r="N202" s="889"/>
      <c r="O202" s="889"/>
      <c r="P202" s="889"/>
      <c r="Q202" s="889"/>
      <c r="R202" s="889"/>
      <c r="S202" s="889"/>
      <c r="T202" s="889"/>
    </row>
    <row r="203" spans="1:20" ht="10.5" hidden="1" customHeight="1" outlineLevel="1" x14ac:dyDescent="0.2">
      <c r="A203" s="889" t="s">
        <v>93</v>
      </c>
      <c r="B203" s="914" t="s">
        <v>198</v>
      </c>
      <c r="C203" s="889"/>
      <c r="D203" s="956"/>
      <c r="E203" s="956"/>
      <c r="F203" s="956"/>
      <c r="G203" s="889"/>
      <c r="H203" s="956"/>
      <c r="I203" s="957">
        <v>20.216999999999999</v>
      </c>
      <c r="J203" s="918">
        <f>(I203/I197-1)*100</f>
        <v>3.258593390877973</v>
      </c>
      <c r="K203" s="892"/>
      <c r="L203" s="889"/>
      <c r="M203" s="914"/>
      <c r="N203" s="889"/>
      <c r="O203" s="889"/>
      <c r="P203" s="889"/>
      <c r="Q203" s="889"/>
      <c r="R203" s="889"/>
      <c r="S203" s="889"/>
      <c r="T203" s="889"/>
    </row>
    <row r="204" spans="1:20" ht="10.5" hidden="1" customHeight="1" outlineLevel="1" x14ac:dyDescent="0.2">
      <c r="A204" s="889" t="s">
        <v>94</v>
      </c>
      <c r="B204" s="914" t="s">
        <v>199</v>
      </c>
      <c r="C204" s="889"/>
      <c r="D204" s="956"/>
      <c r="E204" s="956"/>
      <c r="F204" s="956"/>
      <c r="G204" s="889"/>
      <c r="H204" s="956"/>
      <c r="I204" s="957">
        <v>20.277999999999999</v>
      </c>
      <c r="J204" s="918">
        <f>(I204/I198-1)*100</f>
        <v>1.0968192242496677</v>
      </c>
      <c r="K204" s="892"/>
      <c r="L204" s="889"/>
      <c r="M204" s="914"/>
      <c r="N204" s="889"/>
      <c r="O204" s="889"/>
      <c r="P204" s="889"/>
      <c r="Q204" s="889"/>
      <c r="R204" s="889"/>
      <c r="S204" s="889"/>
      <c r="T204" s="889"/>
    </row>
    <row r="205" spans="1:20" ht="10.5" hidden="1" customHeight="1" outlineLevel="1" x14ac:dyDescent="0.2">
      <c r="A205" s="889" t="s">
        <v>95</v>
      </c>
      <c r="B205" s="914" t="s">
        <v>200</v>
      </c>
      <c r="C205" s="889"/>
      <c r="D205" s="956"/>
      <c r="E205" s="956"/>
      <c r="F205" s="956"/>
      <c r="G205" s="889"/>
      <c r="H205" s="956"/>
      <c r="I205" s="957">
        <v>20.170000000000002</v>
      </c>
      <c r="J205" s="918">
        <f>(I205/I199-1)*100</f>
        <v>0.49825610363727346</v>
      </c>
      <c r="K205" s="892"/>
      <c r="L205" s="889"/>
      <c r="M205" s="914"/>
      <c r="N205" s="889"/>
      <c r="O205" s="889"/>
      <c r="P205" s="889"/>
      <c r="Q205" s="889"/>
      <c r="R205" s="889"/>
      <c r="S205" s="889"/>
      <c r="T205" s="889"/>
    </row>
    <row r="206" spans="1:20" ht="10.5" hidden="1" customHeight="1" outlineLevel="1" collapsed="1" x14ac:dyDescent="0.2">
      <c r="A206" s="889"/>
      <c r="B206" s="914"/>
      <c r="C206" s="889"/>
      <c r="D206" s="956"/>
      <c r="E206" s="956"/>
      <c r="F206" s="956"/>
      <c r="G206" s="889"/>
      <c r="H206" s="956"/>
      <c r="I206" s="957"/>
      <c r="J206" s="891"/>
      <c r="K206" s="892"/>
      <c r="L206" s="889"/>
      <c r="M206" s="914"/>
      <c r="N206" s="889"/>
      <c r="O206" s="889"/>
      <c r="P206" s="889"/>
      <c r="Q206" s="889"/>
      <c r="R206" s="889"/>
      <c r="S206" s="889"/>
      <c r="T206" s="889"/>
    </row>
    <row r="207" spans="1:20" ht="10.5" hidden="1" customHeight="1" outlineLevel="1" x14ac:dyDescent="0.2">
      <c r="A207" s="889"/>
      <c r="B207" s="908">
        <f>B201+1</f>
        <v>2007</v>
      </c>
      <c r="C207" s="889"/>
      <c r="D207" s="956"/>
      <c r="E207" s="956"/>
      <c r="F207" s="956"/>
      <c r="G207" s="889"/>
      <c r="H207" s="956"/>
      <c r="I207" s="957"/>
      <c r="J207" s="891"/>
      <c r="K207" s="892"/>
      <c r="L207" s="889"/>
      <c r="M207" s="908"/>
      <c r="N207" s="889"/>
      <c r="O207" s="889"/>
      <c r="P207" s="889"/>
      <c r="Q207" s="889"/>
      <c r="R207" s="889"/>
      <c r="S207" s="889"/>
      <c r="T207" s="889"/>
    </row>
    <row r="208" spans="1:20" ht="10.5" hidden="1" customHeight="1" outlineLevel="1" x14ac:dyDescent="0.2">
      <c r="A208" s="889" t="s">
        <v>92</v>
      </c>
      <c r="B208" s="921" t="s">
        <v>197</v>
      </c>
      <c r="C208" s="959"/>
      <c r="D208" s="956"/>
      <c r="E208" s="959"/>
      <c r="F208" s="956"/>
      <c r="G208" s="889"/>
      <c r="H208" s="956"/>
      <c r="I208" s="957">
        <v>20.170000000000002</v>
      </c>
      <c r="J208" s="918">
        <f>(I208/I202-1)*100</f>
        <v>0.49825610363727346</v>
      </c>
      <c r="K208" s="892"/>
      <c r="L208" s="889"/>
      <c r="M208" s="921"/>
      <c r="N208" s="889"/>
      <c r="O208" s="889"/>
      <c r="P208" s="889"/>
      <c r="Q208" s="889"/>
      <c r="R208" s="889"/>
      <c r="S208" s="889"/>
      <c r="T208" s="889"/>
    </row>
    <row r="209" spans="1:20" ht="10.5" hidden="1" customHeight="1" outlineLevel="1" x14ac:dyDescent="0.2">
      <c r="A209" s="889" t="s">
        <v>93</v>
      </c>
      <c r="B209" s="914" t="s">
        <v>198</v>
      </c>
      <c r="C209" s="959"/>
      <c r="D209" s="956"/>
      <c r="E209" s="959"/>
      <c r="F209" s="956"/>
      <c r="G209" s="889"/>
      <c r="H209" s="956"/>
      <c r="I209" s="957">
        <v>20.190999999999999</v>
      </c>
      <c r="J209" s="918">
        <f>(I209/I203-1)*100</f>
        <v>-0.12860463965969071</v>
      </c>
      <c r="K209" s="892"/>
      <c r="L209" s="889"/>
      <c r="M209" s="914"/>
      <c r="N209" s="889"/>
      <c r="O209" s="889"/>
      <c r="P209" s="889"/>
      <c r="Q209" s="889"/>
      <c r="R209" s="889"/>
      <c r="S209" s="889"/>
      <c r="T209" s="889"/>
    </row>
    <row r="210" spans="1:20" ht="10.5" hidden="1" customHeight="1" outlineLevel="1" x14ac:dyDescent="0.2">
      <c r="A210" s="889" t="s">
        <v>94</v>
      </c>
      <c r="B210" s="914" t="s">
        <v>199</v>
      </c>
      <c r="C210" s="959"/>
      <c r="D210" s="956"/>
      <c r="E210" s="959"/>
      <c r="F210" s="956"/>
      <c r="G210" s="889"/>
      <c r="H210" s="956"/>
      <c r="I210" s="957">
        <v>20.542000000000002</v>
      </c>
      <c r="J210" s="918">
        <f>(I210/I204-1)*100</f>
        <v>1.3019035407831225</v>
      </c>
      <c r="K210" s="892"/>
      <c r="L210" s="889"/>
      <c r="M210" s="914"/>
      <c r="N210" s="889"/>
      <c r="O210" s="889"/>
      <c r="P210" s="889"/>
      <c r="Q210" s="889"/>
      <c r="R210" s="889"/>
      <c r="S210" s="889"/>
      <c r="T210" s="889"/>
    </row>
    <row r="211" spans="1:20" ht="10.5" hidden="1" customHeight="1" outlineLevel="1" x14ac:dyDescent="0.2">
      <c r="A211" s="889" t="s">
        <v>95</v>
      </c>
      <c r="B211" s="914" t="s">
        <v>200</v>
      </c>
      <c r="C211" s="960">
        <v>18.399999999999999</v>
      </c>
      <c r="D211" s="956"/>
      <c r="E211" s="960">
        <v>2.1</v>
      </c>
      <c r="F211" s="956"/>
      <c r="G211" s="889"/>
      <c r="H211" s="956"/>
      <c r="I211" s="957">
        <v>20.501999999999999</v>
      </c>
      <c r="J211" s="918">
        <f>(I211/I205-1)*100</f>
        <v>1.6460089241447484</v>
      </c>
      <c r="K211" s="892"/>
      <c r="L211" s="889"/>
      <c r="M211" s="914"/>
      <c r="N211" s="889"/>
      <c r="O211" s="889"/>
      <c r="P211" s="889"/>
      <c r="Q211" s="889"/>
      <c r="R211" s="889"/>
      <c r="S211" s="889"/>
      <c r="T211" s="889"/>
    </row>
    <row r="212" spans="1:20" ht="10.5" hidden="1" customHeight="1" outlineLevel="1" collapsed="1" x14ac:dyDescent="0.2">
      <c r="A212" s="889"/>
      <c r="B212" s="914"/>
      <c r="C212" s="889"/>
      <c r="D212" s="956"/>
      <c r="E212" s="956"/>
      <c r="F212" s="956"/>
      <c r="G212" s="889"/>
      <c r="H212" s="956"/>
      <c r="I212" s="957"/>
      <c r="J212" s="891"/>
      <c r="K212" s="892"/>
      <c r="L212" s="889"/>
      <c r="M212" s="914"/>
      <c r="N212" s="889"/>
      <c r="O212" s="889"/>
      <c r="P212" s="889"/>
      <c r="Q212" s="889"/>
      <c r="R212" s="889"/>
      <c r="S212" s="889"/>
      <c r="T212" s="889"/>
    </row>
    <row r="213" spans="1:20" ht="10.5" hidden="1" customHeight="1" outlineLevel="1" x14ac:dyDescent="0.2">
      <c r="A213" s="889"/>
      <c r="B213" s="908">
        <f>B207+1</f>
        <v>2008</v>
      </c>
      <c r="C213" s="889"/>
      <c r="D213" s="956"/>
      <c r="E213" s="956"/>
      <c r="F213" s="956"/>
      <c r="G213" s="889"/>
      <c r="H213" s="956"/>
      <c r="I213" s="957"/>
      <c r="J213" s="891"/>
      <c r="K213" s="892"/>
      <c r="L213" s="889"/>
      <c r="M213" s="908"/>
      <c r="N213" s="889"/>
      <c r="O213" s="889"/>
      <c r="P213" s="889"/>
      <c r="Q213" s="889"/>
      <c r="R213" s="889"/>
      <c r="S213" s="889"/>
      <c r="T213" s="889"/>
    </row>
    <row r="214" spans="1:20" ht="10.5" hidden="1" customHeight="1" outlineLevel="1" x14ac:dyDescent="0.2">
      <c r="A214" s="889" t="s">
        <v>92</v>
      </c>
      <c r="B214" s="921" t="s">
        <v>197</v>
      </c>
      <c r="C214" s="959">
        <f>C211/C73*C76</f>
        <v>19.128712871287128</v>
      </c>
      <c r="D214" s="918"/>
      <c r="E214" s="959">
        <f>I214-C214</f>
        <v>2.0102871287128714</v>
      </c>
      <c r="F214" s="956"/>
      <c r="G214" s="889"/>
      <c r="H214" s="956"/>
      <c r="I214" s="957">
        <v>21.138999999999999</v>
      </c>
      <c r="J214" s="918">
        <f>(I214/I208-1)*100</f>
        <v>4.8041646008924133</v>
      </c>
      <c r="K214" s="892"/>
      <c r="L214" s="889"/>
      <c r="M214" s="921"/>
      <c r="N214" s="889"/>
      <c r="O214" s="889"/>
      <c r="P214" s="889"/>
      <c r="Q214" s="889"/>
      <c r="R214" s="889"/>
      <c r="S214" s="889"/>
      <c r="T214" s="889"/>
    </row>
    <row r="215" spans="1:20" ht="10.5" hidden="1" customHeight="1" outlineLevel="1" x14ac:dyDescent="0.2">
      <c r="A215" s="889" t="s">
        <v>93</v>
      </c>
      <c r="B215" s="914" t="s">
        <v>198</v>
      </c>
      <c r="C215" s="959">
        <f>C211/C73*C77</f>
        <v>19.128712871287128</v>
      </c>
      <c r="D215" s="918"/>
      <c r="E215" s="959">
        <f>I215-C215</f>
        <v>2.0102871287128714</v>
      </c>
      <c r="F215" s="956"/>
      <c r="G215" s="889"/>
      <c r="H215" s="956"/>
      <c r="I215" s="957">
        <v>21.138999999999999</v>
      </c>
      <c r="J215" s="918">
        <f>(I215/I209-1)*100</f>
        <v>4.6951612104402907</v>
      </c>
      <c r="K215" s="892"/>
      <c r="L215" s="889"/>
      <c r="M215" s="914"/>
      <c r="N215" s="889"/>
      <c r="O215" s="889"/>
      <c r="P215" s="889"/>
      <c r="Q215" s="889"/>
      <c r="R215" s="889"/>
      <c r="S215" s="889"/>
      <c r="T215" s="889"/>
    </row>
    <row r="216" spans="1:20" ht="10.5" hidden="1" customHeight="1" outlineLevel="1" x14ac:dyDescent="0.2">
      <c r="A216" s="889" t="s">
        <v>94</v>
      </c>
      <c r="B216" s="914" t="s">
        <v>199</v>
      </c>
      <c r="C216" s="959">
        <f>C211/C73*C78</f>
        <v>19.675247524752475</v>
      </c>
      <c r="D216" s="918"/>
      <c r="E216" s="959">
        <f>I216-C216</f>
        <v>2.0417524752475238</v>
      </c>
      <c r="F216" s="956"/>
      <c r="G216" s="889"/>
      <c r="H216" s="956"/>
      <c r="I216" s="957">
        <v>21.716999999999999</v>
      </c>
      <c r="J216" s="918">
        <f>(I216/I210-1)*100</f>
        <v>5.7199883166195953</v>
      </c>
      <c r="K216" s="892"/>
      <c r="L216" s="889"/>
      <c r="M216" s="914"/>
      <c r="N216" s="889"/>
      <c r="O216" s="889"/>
      <c r="P216" s="889"/>
      <c r="Q216" s="889"/>
      <c r="R216" s="889"/>
      <c r="S216" s="889"/>
      <c r="T216" s="889"/>
    </row>
    <row r="217" spans="1:20" ht="10.5" hidden="1" customHeight="1" outlineLevel="1" x14ac:dyDescent="0.2">
      <c r="A217" s="889" t="s">
        <v>95</v>
      </c>
      <c r="B217" s="914" t="s">
        <v>200</v>
      </c>
      <c r="C217" s="960">
        <v>19.600000000000001</v>
      </c>
      <c r="D217" s="961">
        <f>(C217/C211-1)*100</f>
        <v>6.5217391304347894</v>
      </c>
      <c r="E217" s="960">
        <v>2.2999999999999998</v>
      </c>
      <c r="F217" s="961">
        <f>(E217/E211-1)*100</f>
        <v>9.5238095238095113</v>
      </c>
      <c r="G217" s="889"/>
      <c r="H217" s="956"/>
      <c r="I217" s="957">
        <v>21.876000000000001</v>
      </c>
      <c r="J217" s="918">
        <f>(I217/I211-1)*100</f>
        <v>6.7017851916886251</v>
      </c>
      <c r="K217" s="892"/>
      <c r="L217" s="889"/>
      <c r="M217" s="914"/>
      <c r="N217" s="889"/>
      <c r="O217" s="889"/>
      <c r="P217" s="889"/>
      <c r="Q217" s="889"/>
      <c r="R217" s="889"/>
      <c r="S217" s="889"/>
      <c r="T217" s="889"/>
    </row>
    <row r="218" spans="1:20" ht="10.5" hidden="1" customHeight="1" outlineLevel="1" collapsed="1" x14ac:dyDescent="0.2">
      <c r="B218" s="958"/>
      <c r="C218" s="889"/>
      <c r="D218" s="551"/>
      <c r="F218" s="551"/>
      <c r="G218" s="889"/>
      <c r="I218" s="957"/>
      <c r="J218" s="683"/>
      <c r="M218" s="958"/>
    </row>
    <row r="219" spans="1:20" ht="10.5" hidden="1" customHeight="1" outlineLevel="1" x14ac:dyDescent="0.2">
      <c r="A219" s="889"/>
      <c r="B219" s="908">
        <f>B213+1</f>
        <v>2009</v>
      </c>
      <c r="C219" s="889"/>
      <c r="D219" s="962"/>
      <c r="E219" s="956"/>
      <c r="F219" s="962"/>
      <c r="G219" s="889"/>
      <c r="H219" s="956"/>
      <c r="I219" s="957"/>
      <c r="J219" s="891"/>
      <c r="K219" s="892"/>
      <c r="L219" s="889"/>
      <c r="M219" s="908"/>
      <c r="N219" s="889"/>
      <c r="O219" s="889"/>
      <c r="P219" s="889"/>
      <c r="Q219" s="889"/>
      <c r="R219" s="889"/>
      <c r="S219" s="889"/>
      <c r="T219" s="889"/>
    </row>
    <row r="220" spans="1:20" ht="10.5" hidden="1" customHeight="1" outlineLevel="1" x14ac:dyDescent="0.2">
      <c r="A220" s="889" t="s">
        <v>92</v>
      </c>
      <c r="B220" s="921" t="s">
        <v>197</v>
      </c>
      <c r="C220" s="959">
        <f>C217/C79*C82</f>
        <v>19.959633027522937</v>
      </c>
      <c r="D220" s="961">
        <f>(C220/C214-1)*100</f>
        <v>4.3438372556841021</v>
      </c>
      <c r="E220" s="959">
        <f>I220-C220</f>
        <v>2.3763669724770615</v>
      </c>
      <c r="F220" s="961">
        <f>(E220/E214-1)*100</f>
        <v>18.210326203430483</v>
      </c>
      <c r="G220" s="889"/>
      <c r="H220" s="956"/>
      <c r="I220" s="957">
        <v>22.335999999999999</v>
      </c>
      <c r="J220" s="918">
        <f>(I220/I214-1)*100</f>
        <v>5.6625195136950524</v>
      </c>
      <c r="K220" s="892"/>
      <c r="L220" s="889"/>
      <c r="M220" s="921"/>
      <c r="N220" s="889"/>
      <c r="O220" s="889"/>
      <c r="P220" s="889"/>
      <c r="Q220" s="889"/>
      <c r="R220" s="889"/>
      <c r="S220" s="889"/>
      <c r="T220" s="889"/>
    </row>
    <row r="221" spans="1:20" ht="10.5" hidden="1" customHeight="1" outlineLevel="1" x14ac:dyDescent="0.2">
      <c r="A221" s="889" t="s">
        <v>93</v>
      </c>
      <c r="B221" s="914" t="s">
        <v>198</v>
      </c>
      <c r="C221" s="959">
        <f>C217/C79*C83</f>
        <v>19.959633027522937</v>
      </c>
      <c r="D221" s="961">
        <f>(C221/C215-1)*100</f>
        <v>4.3438372556841021</v>
      </c>
      <c r="E221" s="959">
        <f>I221-C221</f>
        <v>2.3913669724770621</v>
      </c>
      <c r="F221" s="961">
        <f>(E221/E215-1)*100</f>
        <v>18.956488270816575</v>
      </c>
      <c r="G221" s="889"/>
      <c r="H221" s="956"/>
      <c r="I221" s="957">
        <v>22.350999999999999</v>
      </c>
      <c r="J221" s="918">
        <f>(I221/I215-1)*100</f>
        <v>5.7334784048441279</v>
      </c>
      <c r="K221" s="892"/>
      <c r="L221" s="889"/>
      <c r="M221" s="914"/>
      <c r="N221" s="889"/>
      <c r="O221" s="889"/>
      <c r="P221" s="889"/>
      <c r="Q221" s="889"/>
      <c r="R221" s="889"/>
      <c r="S221" s="889"/>
      <c r="T221" s="889"/>
    </row>
    <row r="222" spans="1:20" ht="10.5" hidden="1" customHeight="1" outlineLevel="1" x14ac:dyDescent="0.2">
      <c r="A222" s="889" t="s">
        <v>94</v>
      </c>
      <c r="B222" s="914" t="s">
        <v>199</v>
      </c>
      <c r="C222" s="959">
        <f>C217/C79*C84</f>
        <v>20.139449541284407</v>
      </c>
      <c r="D222" s="961">
        <f>(C222/C216-1)*100</f>
        <v>2.35931983040083</v>
      </c>
      <c r="E222" s="959">
        <f>I222-C222</f>
        <v>2.5625504587155952</v>
      </c>
      <c r="F222" s="961">
        <f>(E222/E216-1)*100</f>
        <v>25.50740061695944</v>
      </c>
      <c r="G222" s="889"/>
      <c r="H222" s="956"/>
      <c r="I222" s="957">
        <v>22.702000000000002</v>
      </c>
      <c r="J222" s="918">
        <f>(I222/I216-1)*100</f>
        <v>4.5356172583690402</v>
      </c>
      <c r="K222" s="892"/>
      <c r="L222" s="889"/>
      <c r="M222" s="914"/>
      <c r="N222" s="889"/>
      <c r="O222" s="889"/>
      <c r="P222" s="889"/>
      <c r="Q222" s="889"/>
      <c r="R222" s="889"/>
      <c r="S222" s="889"/>
      <c r="T222" s="889"/>
    </row>
    <row r="223" spans="1:20" ht="10.5" hidden="1" customHeight="1" outlineLevel="1" x14ac:dyDescent="0.2">
      <c r="A223" s="889" t="s">
        <v>95</v>
      </c>
      <c r="B223" s="914" t="s">
        <v>200</v>
      </c>
      <c r="C223" s="960">
        <v>20</v>
      </c>
      <c r="D223" s="961">
        <f>(C223/C217-1)*100</f>
        <v>2.0408163265306145</v>
      </c>
      <c r="E223" s="960">
        <v>2.8</v>
      </c>
      <c r="F223" s="961">
        <f>(E223/E217-1)*100</f>
        <v>21.739130434782616</v>
      </c>
      <c r="G223" s="889"/>
      <c r="H223" s="956"/>
      <c r="I223" s="957">
        <v>22.773</v>
      </c>
      <c r="J223" s="918">
        <f>(I223/I217-1)*100</f>
        <v>4.1003839824465205</v>
      </c>
      <c r="K223" s="892"/>
      <c r="L223" s="889"/>
      <c r="M223" s="914"/>
      <c r="N223" s="889"/>
      <c r="O223" s="889"/>
      <c r="P223" s="889"/>
      <c r="Q223" s="889"/>
      <c r="R223" s="889"/>
      <c r="S223" s="889"/>
      <c r="T223" s="889"/>
    </row>
    <row r="224" spans="1:20" ht="10.5" hidden="1" customHeight="1" outlineLevel="1" collapsed="1" x14ac:dyDescent="0.2">
      <c r="A224" s="889"/>
      <c r="B224" s="914"/>
      <c r="C224" s="889"/>
      <c r="D224" s="962"/>
      <c r="E224" s="956"/>
      <c r="F224" s="962"/>
      <c r="G224" s="889"/>
      <c r="H224" s="956"/>
      <c r="I224" s="957"/>
      <c r="J224" s="891"/>
      <c r="K224" s="892"/>
      <c r="L224" s="889"/>
      <c r="M224" s="914"/>
      <c r="N224" s="889"/>
      <c r="O224" s="889"/>
      <c r="P224" s="889"/>
      <c r="Q224" s="889"/>
      <c r="R224" s="889"/>
      <c r="S224" s="889"/>
      <c r="T224" s="889"/>
    </row>
    <row r="225" spans="1:20" ht="10.5" hidden="1" customHeight="1" outlineLevel="1" x14ac:dyDescent="0.2">
      <c r="A225" s="889"/>
      <c r="B225" s="908">
        <f>B219+1</f>
        <v>2010</v>
      </c>
      <c r="C225" s="889"/>
      <c r="D225" s="962"/>
      <c r="E225" s="956"/>
      <c r="F225" s="962"/>
      <c r="G225" s="889"/>
      <c r="H225" s="956"/>
      <c r="I225" s="957"/>
      <c r="J225" s="891"/>
      <c r="K225" s="892"/>
      <c r="L225" s="889"/>
      <c r="M225" s="908"/>
      <c r="N225" s="889"/>
      <c r="O225" s="889"/>
      <c r="P225" s="889"/>
      <c r="Q225" s="889"/>
      <c r="R225" s="889"/>
      <c r="S225" s="889"/>
      <c r="T225" s="889"/>
    </row>
    <row r="226" spans="1:20" ht="10.5" hidden="1" customHeight="1" outlineLevel="1" x14ac:dyDescent="0.2">
      <c r="A226" s="889" t="s">
        <v>92</v>
      </c>
      <c r="B226" s="921" t="s">
        <v>197</v>
      </c>
      <c r="C226" s="959">
        <f>C223/C85*C88</f>
        <v>20.357142857142858</v>
      </c>
      <c r="D226" s="961">
        <f>(C226/C220-1)*100</f>
        <v>1.9915688283035138</v>
      </c>
      <c r="E226" s="959">
        <f>I226-C226</f>
        <v>2.9318571428571438</v>
      </c>
      <c r="F226" s="961">
        <f>(E226/E220-1)*100</f>
        <v>23.375605569919799</v>
      </c>
      <c r="G226" s="889"/>
      <c r="H226" s="956"/>
      <c r="I226" s="957">
        <v>23.289000000000001</v>
      </c>
      <c r="J226" s="918">
        <f>(I226/I220-1)*100</f>
        <v>4.2666547277937061</v>
      </c>
      <c r="K226" s="892"/>
      <c r="L226" s="889"/>
      <c r="M226" s="921"/>
      <c r="N226" s="889"/>
      <c r="O226" s="889"/>
      <c r="P226" s="889"/>
      <c r="Q226" s="889"/>
      <c r="R226" s="889"/>
      <c r="S226" s="889"/>
      <c r="T226" s="889"/>
    </row>
    <row r="227" spans="1:20" ht="10.5" hidden="1" customHeight="1" outlineLevel="1" x14ac:dyDescent="0.2">
      <c r="A227" s="889" t="s">
        <v>93</v>
      </c>
      <c r="B227" s="914" t="s">
        <v>198</v>
      </c>
      <c r="C227" s="959">
        <f>C223/C85*C89</f>
        <v>20.357142857142858</v>
      </c>
      <c r="D227" s="961">
        <f>(C227/C221-1)*100</f>
        <v>1.9915688283035138</v>
      </c>
      <c r="E227" s="959">
        <f>I227-C227</f>
        <v>2.9858571428571423</v>
      </c>
      <c r="F227" s="961">
        <f>(E227/E221-1)*100</f>
        <v>24.859846992211597</v>
      </c>
      <c r="G227" s="889"/>
      <c r="H227" s="956"/>
      <c r="I227" s="957">
        <v>23.343</v>
      </c>
      <c r="J227" s="918">
        <f>(I227/I221-1)*100</f>
        <v>4.4382801664355043</v>
      </c>
      <c r="K227" s="892"/>
      <c r="L227" s="889"/>
      <c r="M227" s="914"/>
      <c r="N227" s="889"/>
      <c r="O227" s="889"/>
      <c r="P227" s="889"/>
      <c r="Q227" s="889"/>
      <c r="R227" s="889"/>
      <c r="S227" s="889"/>
      <c r="T227" s="889"/>
    </row>
    <row r="228" spans="1:20" ht="10.5" hidden="1" customHeight="1" outlineLevel="1" x14ac:dyDescent="0.2">
      <c r="A228" s="889" t="s">
        <v>94</v>
      </c>
      <c r="B228" s="914" t="s">
        <v>199</v>
      </c>
      <c r="C228" s="959">
        <f>C223/C85*C90</f>
        <v>20.535714285714285</v>
      </c>
      <c r="D228" s="961">
        <f>(C228/C222-1)*100</f>
        <v>1.9676046438983574</v>
      </c>
      <c r="E228" s="959">
        <f>I228-C228</f>
        <v>3.2662857142857149</v>
      </c>
      <c r="F228" s="961">
        <f>(E228/E222-1)*100</f>
        <v>27.462298475981896</v>
      </c>
      <c r="G228" s="889"/>
      <c r="H228" s="956"/>
      <c r="I228" s="957">
        <v>23.802</v>
      </c>
      <c r="J228" s="918">
        <f>(I228/I222-1)*100</f>
        <v>4.8453880715355391</v>
      </c>
      <c r="K228" s="892"/>
      <c r="L228" s="889"/>
      <c r="M228" s="914"/>
      <c r="N228" s="889"/>
      <c r="O228" s="889"/>
      <c r="P228" s="889"/>
      <c r="Q228" s="889"/>
      <c r="R228" s="889"/>
      <c r="S228" s="889"/>
      <c r="T228" s="889"/>
    </row>
    <row r="229" spans="1:20" ht="10.5" hidden="1" customHeight="1" outlineLevel="1" x14ac:dyDescent="0.2">
      <c r="A229" s="889" t="s">
        <v>95</v>
      </c>
      <c r="B229" s="914" t="s">
        <v>200</v>
      </c>
      <c r="C229" s="960">
        <v>20.452000000000002</v>
      </c>
      <c r="D229" s="961">
        <f>(C229/C223-1)*100</f>
        <v>2.2600000000000176</v>
      </c>
      <c r="E229" s="960">
        <v>3.3860000000000001</v>
      </c>
      <c r="F229" s="961">
        <f>(E229/E223-1)*100</f>
        <v>20.928571428571431</v>
      </c>
      <c r="G229" s="889"/>
      <c r="H229" s="956"/>
      <c r="I229" s="963">
        <f>E229+C229</f>
        <v>23.838000000000001</v>
      </c>
      <c r="J229" s="918">
        <f>(I229/I223-1)*100</f>
        <v>4.6765906995125839</v>
      </c>
      <c r="K229" s="892"/>
      <c r="L229" s="889"/>
      <c r="M229" s="914"/>
      <c r="N229" s="889"/>
      <c r="O229" s="889"/>
      <c r="P229" s="889"/>
      <c r="Q229" s="889"/>
      <c r="R229" s="889"/>
      <c r="S229" s="889"/>
      <c r="T229" s="889"/>
    </row>
    <row r="230" spans="1:20" ht="10.5" customHeight="1" collapsed="1" x14ac:dyDescent="0.2">
      <c r="A230" s="889"/>
      <c r="B230" s="914"/>
      <c r="C230" s="889"/>
      <c r="D230" s="962"/>
      <c r="E230" s="956"/>
      <c r="F230" s="962"/>
      <c r="G230" s="889"/>
      <c r="H230" s="956"/>
      <c r="I230" s="957"/>
      <c r="J230" s="891"/>
      <c r="K230" s="892"/>
      <c r="L230" s="889"/>
      <c r="M230" s="914"/>
      <c r="N230" s="889"/>
      <c r="O230" s="889"/>
      <c r="P230" s="889"/>
      <c r="Q230" s="889"/>
      <c r="R230" s="889"/>
      <c r="S230" s="889"/>
      <c r="T230" s="889"/>
    </row>
    <row r="231" spans="1:20" ht="10.5" customHeight="1" x14ac:dyDescent="0.2">
      <c r="A231" s="889"/>
      <c r="B231" s="908">
        <f>B225+1</f>
        <v>2011</v>
      </c>
      <c r="C231" s="889"/>
      <c r="D231" s="962"/>
      <c r="E231" s="956"/>
      <c r="F231" s="962"/>
      <c r="G231" s="889"/>
      <c r="H231" s="956"/>
      <c r="I231" s="957"/>
      <c r="J231" s="891"/>
      <c r="K231" s="892"/>
      <c r="L231" s="889"/>
      <c r="M231" s="908"/>
      <c r="N231" s="889"/>
      <c r="O231" s="889"/>
      <c r="P231" s="889"/>
      <c r="Q231" s="889"/>
      <c r="R231" s="889"/>
      <c r="S231" s="889"/>
      <c r="T231" s="889"/>
    </row>
    <row r="232" spans="1:20" ht="10.5" customHeight="1" x14ac:dyDescent="0.2">
      <c r="A232" s="889" t="s">
        <v>92</v>
      </c>
      <c r="B232" s="921" t="s">
        <v>197</v>
      </c>
      <c r="C232" s="1153">
        <f>C229/C91*C94</f>
        <v>20.62984347826087</v>
      </c>
      <c r="D232" s="961">
        <f>(C232/C226-1)*100</f>
        <v>1.3395819984744373</v>
      </c>
      <c r="E232" s="1153">
        <f>I232-C232</f>
        <v>3.5541565217391309</v>
      </c>
      <c r="F232" s="961">
        <f>(E232/E226-1)*100</f>
        <v>21.225433183130683</v>
      </c>
      <c r="G232" s="889"/>
      <c r="H232" s="956"/>
      <c r="I232" s="957">
        <v>24.184000000000001</v>
      </c>
      <c r="J232" s="918">
        <f>(I232/I226-1)*100</f>
        <v>3.8430160161449622</v>
      </c>
      <c r="K232" s="892"/>
      <c r="L232" s="889"/>
      <c r="M232" s="921"/>
      <c r="N232" s="889"/>
      <c r="O232" s="889"/>
      <c r="P232" s="889"/>
      <c r="Q232" s="889"/>
      <c r="R232" s="889"/>
      <c r="S232" s="889"/>
      <c r="T232" s="889"/>
    </row>
    <row r="233" spans="1:20" ht="10.5" customHeight="1" x14ac:dyDescent="0.2">
      <c r="A233" s="889" t="s">
        <v>93</v>
      </c>
      <c r="B233" s="914" t="s">
        <v>198</v>
      </c>
      <c r="C233" s="1153">
        <f>C229/C91*C95</f>
        <v>20.62984347826087</v>
      </c>
      <c r="D233" s="961">
        <f>(C233/C227-1)*100</f>
        <v>1.3395819984744373</v>
      </c>
      <c r="E233" s="1153">
        <f>I233-C233</f>
        <v>3.6681565217391281</v>
      </c>
      <c r="F233" s="961">
        <f>(E233/E227-1)*100</f>
        <v>22.851038955905945</v>
      </c>
      <c r="G233" s="889"/>
      <c r="H233" s="956"/>
      <c r="I233" s="957">
        <v>24.297999999999998</v>
      </c>
      <c r="J233" s="918">
        <f>(I233/I227-1)*100</f>
        <v>4.0911622327892694</v>
      </c>
      <c r="K233" s="892"/>
      <c r="L233" s="889"/>
      <c r="M233" s="914"/>
      <c r="N233" s="889"/>
      <c r="O233" s="889"/>
      <c r="P233" s="889"/>
      <c r="Q233" s="889"/>
      <c r="R233" s="889"/>
      <c r="S233" s="889"/>
      <c r="T233" s="889"/>
    </row>
    <row r="234" spans="1:20" ht="10.5" customHeight="1" x14ac:dyDescent="0.2">
      <c r="A234" s="889" t="s">
        <v>94</v>
      </c>
      <c r="B234" s="914" t="s">
        <v>199</v>
      </c>
      <c r="C234" s="1153">
        <f>C229/C91*C96</f>
        <v>20.807686956521739</v>
      </c>
      <c r="D234" s="961">
        <f>(C234/C228-1)*100</f>
        <v>1.3243886578449882</v>
      </c>
      <c r="E234" s="1153">
        <f>I234-C234</f>
        <v>3.9363130434782612</v>
      </c>
      <c r="F234" s="961">
        <f>(E234/E228-1)*100</f>
        <v>20.513432926643738</v>
      </c>
      <c r="G234" s="889"/>
      <c r="H234" s="956"/>
      <c r="I234" s="957">
        <v>24.744</v>
      </c>
      <c r="J234" s="918">
        <f>(I234/I228-1)*100</f>
        <v>3.9576506175951653</v>
      </c>
      <c r="K234" s="892"/>
      <c r="L234" s="889"/>
      <c r="M234" s="914"/>
      <c r="N234" s="889"/>
      <c r="O234" s="889"/>
      <c r="P234" s="889"/>
      <c r="Q234" s="889"/>
      <c r="R234" s="889"/>
      <c r="S234" s="889"/>
      <c r="T234" s="889"/>
    </row>
    <row r="235" spans="1:20" ht="10.5" customHeight="1" x14ac:dyDescent="0.2">
      <c r="A235" s="889" t="s">
        <v>95</v>
      </c>
      <c r="B235" s="914" t="s">
        <v>200</v>
      </c>
      <c r="C235" s="1154">
        <v>20.678999999999998</v>
      </c>
      <c r="D235" s="961">
        <f>(C235/C229-1)*100</f>
        <v>1.1099159006453974</v>
      </c>
      <c r="E235" s="1154">
        <v>4.0659999999999998</v>
      </c>
      <c r="F235" s="961">
        <f>(E235/E229-1)*100</f>
        <v>20.082693443591261</v>
      </c>
      <c r="G235" s="889"/>
      <c r="H235" s="956"/>
      <c r="I235" s="963">
        <f>E235+C235</f>
        <v>24.744999999999997</v>
      </c>
      <c r="J235" s="918">
        <f>(I235/I229-1)*100</f>
        <v>3.8048494001174493</v>
      </c>
      <c r="K235" s="892"/>
      <c r="L235" s="889"/>
      <c r="M235" s="914"/>
      <c r="N235" s="889"/>
      <c r="O235" s="889"/>
      <c r="P235" s="889"/>
      <c r="Q235" s="889"/>
      <c r="R235" s="889"/>
      <c r="S235" s="889"/>
      <c r="T235" s="889"/>
    </row>
    <row r="236" spans="1:20" ht="10.5" customHeight="1" collapsed="1" x14ac:dyDescent="0.2">
      <c r="B236" s="958"/>
      <c r="C236" s="889"/>
      <c r="D236" s="551"/>
      <c r="F236" s="551"/>
      <c r="G236" s="889"/>
      <c r="I236" s="957"/>
      <c r="J236" s="683"/>
      <c r="M236" s="958"/>
    </row>
    <row r="237" spans="1:20" ht="10.5" customHeight="1" x14ac:dyDescent="0.2">
      <c r="A237" s="889"/>
      <c r="B237" s="908">
        <f>B231+1</f>
        <v>2012</v>
      </c>
      <c r="C237" s="889"/>
      <c r="D237" s="962"/>
      <c r="E237" s="956"/>
      <c r="F237" s="962"/>
      <c r="G237" s="889"/>
      <c r="H237" s="956"/>
      <c r="I237" s="957"/>
      <c r="J237" s="891"/>
      <c r="K237" s="892"/>
      <c r="L237" s="889"/>
      <c r="M237" s="908"/>
      <c r="N237" s="889"/>
      <c r="O237" s="889"/>
      <c r="P237" s="889"/>
      <c r="Q237" s="889"/>
      <c r="R237" s="889"/>
      <c r="S237" s="889"/>
      <c r="T237" s="889"/>
    </row>
    <row r="238" spans="1:20" ht="10.5" customHeight="1" x14ac:dyDescent="0.2">
      <c r="A238" s="889" t="s">
        <v>92</v>
      </c>
      <c r="B238" s="921" t="s">
        <v>197</v>
      </c>
      <c r="C238" s="1153">
        <f>C235/C97*C100</f>
        <v>20.678999999999998</v>
      </c>
      <c r="D238" s="961">
        <f>(C238/C232-1)*100</f>
        <v>0.23827869460535389</v>
      </c>
      <c r="E238" s="1153">
        <f>E235/E97*E100</f>
        <v>4.2165925925925922</v>
      </c>
      <c r="F238" s="961">
        <f>(E238/E232-1)*100</f>
        <v>18.638348277619365</v>
      </c>
      <c r="G238" s="889"/>
      <c r="H238" s="964"/>
      <c r="I238" s="957">
        <v>24.898</v>
      </c>
      <c r="J238" s="918">
        <f>(I238/I232-1)*100</f>
        <v>2.952365200132312</v>
      </c>
      <c r="K238" s="892"/>
      <c r="L238" s="889"/>
      <c r="M238" s="921"/>
      <c r="N238" s="889"/>
      <c r="O238" s="889"/>
      <c r="P238" s="889"/>
      <c r="Q238" s="889"/>
      <c r="R238" s="889"/>
      <c r="S238" s="889"/>
      <c r="T238" s="889"/>
    </row>
    <row r="239" spans="1:20" ht="10.5" customHeight="1" x14ac:dyDescent="0.2">
      <c r="A239" s="889" t="s">
        <v>93</v>
      </c>
      <c r="B239" s="914" t="s">
        <v>198</v>
      </c>
      <c r="C239" s="1153">
        <f>C238/C100*C101</f>
        <v>20.678999999999998</v>
      </c>
      <c r="D239" s="961">
        <f>(C239/C233-1)*100</f>
        <v>0.23827869460535389</v>
      </c>
      <c r="E239" s="1153">
        <f>E238/E100*E101</f>
        <v>4.2918888888888889</v>
      </c>
      <c r="F239" s="961">
        <f>(E239/E233-1)*100</f>
        <v>17.003973615990621</v>
      </c>
      <c r="G239" s="889"/>
      <c r="H239" s="964"/>
      <c r="I239" s="957">
        <v>24.974</v>
      </c>
      <c r="J239" s="918">
        <f>(I239/I233-1)*100</f>
        <v>2.7821219853485957</v>
      </c>
      <c r="K239" s="892"/>
      <c r="L239" s="889"/>
      <c r="M239" s="914"/>
      <c r="N239" s="889"/>
      <c r="O239" s="889"/>
      <c r="P239" s="889"/>
      <c r="Q239" s="889"/>
      <c r="R239" s="889"/>
      <c r="S239" s="889"/>
      <c r="T239" s="889"/>
    </row>
    <row r="240" spans="1:20" s="239" customFormat="1" ht="10.5" customHeight="1" x14ac:dyDescent="0.2">
      <c r="A240" s="965" t="s">
        <v>94</v>
      </c>
      <c r="B240" s="966" t="s">
        <v>199</v>
      </c>
      <c r="C240" s="1153">
        <f>C239/C101*C102</f>
        <v>20.678999999999998</v>
      </c>
      <c r="D240" s="961">
        <f>(C240/C234-1)*100</f>
        <v>-0.61845873013485209</v>
      </c>
      <c r="E240" s="1153">
        <f>E239/E101*E102</f>
        <v>4.5554259259259258</v>
      </c>
      <c r="F240" s="961">
        <f>(E240/E234-1)*100</f>
        <v>15.728243043916933</v>
      </c>
      <c r="G240" s="889"/>
      <c r="H240" s="967"/>
      <c r="I240" s="968">
        <v>25.213000000000001</v>
      </c>
      <c r="J240" s="969">
        <f>(I240/I234-1)*100</f>
        <v>1.8954089880375058</v>
      </c>
      <c r="K240" s="970"/>
      <c r="L240" s="965"/>
      <c r="M240" s="966"/>
      <c r="N240" s="965"/>
      <c r="O240" s="965"/>
      <c r="P240" s="965"/>
      <c r="Q240" s="965"/>
      <c r="R240" s="965"/>
      <c r="S240" s="965"/>
      <c r="T240" s="965"/>
    </row>
    <row r="241" spans="1:25" ht="10.5" customHeight="1" x14ac:dyDescent="0.2">
      <c r="A241" s="889" t="s">
        <v>95</v>
      </c>
      <c r="B241" s="914" t="s">
        <v>200</v>
      </c>
      <c r="C241" s="1154">
        <v>20.69</v>
      </c>
      <c r="D241" s="961">
        <f>(C241/C235-1)*100</f>
        <v>5.3194061608419219E-2</v>
      </c>
      <c r="E241" s="1154">
        <v>4.5999999999999996</v>
      </c>
      <c r="F241" s="961">
        <f>(E241/E235-1)*100</f>
        <v>13.133300541072312</v>
      </c>
      <c r="G241" s="889"/>
      <c r="H241" s="956"/>
      <c r="I241" s="968">
        <f>C241+E241</f>
        <v>25.29</v>
      </c>
      <c r="J241" s="918">
        <f>(I241/I235-1)*100</f>
        <v>2.2024651444736421</v>
      </c>
      <c r="K241" s="892"/>
      <c r="L241" s="889"/>
      <c r="M241" s="914"/>
      <c r="N241" s="889"/>
      <c r="O241" s="889"/>
      <c r="P241" s="889"/>
      <c r="Q241" s="889"/>
      <c r="R241" s="889"/>
      <c r="S241" s="889"/>
      <c r="T241" s="889"/>
    </row>
    <row r="242" spans="1:25" ht="10.5" customHeight="1" x14ac:dyDescent="0.2">
      <c r="E242" s="971"/>
      <c r="G242" s="889"/>
      <c r="I242" s="972"/>
    </row>
    <row r="243" spans="1:25" ht="10.5" customHeight="1" x14ac:dyDescent="0.2">
      <c r="A243" s="889"/>
      <c r="B243" s="908">
        <f>B237+1</f>
        <v>2013</v>
      </c>
      <c r="C243" s="889"/>
      <c r="D243" s="962"/>
      <c r="E243" s="956"/>
      <c r="F243" s="962"/>
      <c r="G243" s="889"/>
      <c r="H243" s="956"/>
      <c r="I243" s="972"/>
      <c r="J243" s="891"/>
      <c r="K243" s="892"/>
      <c r="L243" s="889"/>
      <c r="M243" s="908"/>
      <c r="N243" s="889"/>
      <c r="O243" s="889"/>
      <c r="P243" s="889"/>
      <c r="Q243" s="889"/>
      <c r="R243" s="889"/>
      <c r="S243" s="889"/>
      <c r="T243" s="889"/>
    </row>
    <row r="244" spans="1:25" ht="10.5" customHeight="1" x14ac:dyDescent="0.2">
      <c r="A244" s="889" t="s">
        <v>92</v>
      </c>
      <c r="B244" s="921" t="s">
        <v>197</v>
      </c>
      <c r="C244" s="1153">
        <f>C241/C103*C106</f>
        <v>20.69</v>
      </c>
      <c r="D244" s="973">
        <f>(C244/C238-1)*100</f>
        <v>5.3194061608419219E-2</v>
      </c>
      <c r="E244" s="1153">
        <f>E241+(39+35+30+35+34)/1000</f>
        <v>4.7729999999999997</v>
      </c>
      <c r="F244" s="961">
        <f>(E244/E238-1)*100</f>
        <v>13.195664394631446</v>
      </c>
      <c r="G244" s="889"/>
      <c r="H244" s="964"/>
      <c r="I244" s="968">
        <v>25.463000000000001</v>
      </c>
      <c r="J244" s="918">
        <f>(I244/I238-1)*100</f>
        <v>2.269258574985944</v>
      </c>
      <c r="K244" s="892"/>
      <c r="L244" s="889"/>
      <c r="M244" s="921"/>
      <c r="N244" s="889"/>
      <c r="O244" s="889"/>
      <c r="P244" s="889"/>
      <c r="Q244" s="889"/>
      <c r="R244" s="889"/>
      <c r="S244" s="889"/>
      <c r="T244" s="889"/>
    </row>
    <row r="245" spans="1:25" ht="10.5" customHeight="1" x14ac:dyDescent="0.2">
      <c r="A245" s="889" t="s">
        <v>93</v>
      </c>
      <c r="B245" s="914" t="s">
        <v>198</v>
      </c>
      <c r="C245" s="1153">
        <f>C244/C106*C107</f>
        <v>20.69</v>
      </c>
      <c r="D245" s="973">
        <f>(C245/C239-1)*100</f>
        <v>5.3194061608419219E-2</v>
      </c>
      <c r="E245" s="1153">
        <f>I245-C245</f>
        <v>4.8769999999999989</v>
      </c>
      <c r="F245" s="961">
        <f>(E245/E239-1)*100</f>
        <v>13.63295104460609</v>
      </c>
      <c r="G245" s="889"/>
      <c r="H245" s="964"/>
      <c r="I245" s="968">
        <v>25.567</v>
      </c>
      <c r="J245" s="918">
        <f>(I245/I239-1)*100</f>
        <v>2.3744694482261464</v>
      </c>
      <c r="K245" s="892"/>
      <c r="L245" s="889"/>
      <c r="M245" s="914"/>
      <c r="N245" s="889"/>
      <c r="O245" s="889"/>
      <c r="P245" s="889"/>
      <c r="Q245" s="889"/>
      <c r="R245" s="889"/>
      <c r="S245" s="889"/>
      <c r="T245" s="889"/>
    </row>
    <row r="246" spans="1:25" s="239" customFormat="1" ht="10.5" customHeight="1" x14ac:dyDescent="0.2">
      <c r="A246" s="965" t="s">
        <v>94</v>
      </c>
      <c r="B246" s="966" t="s">
        <v>199</v>
      </c>
      <c r="C246" s="1153">
        <f>C245/C107*C108</f>
        <v>20.69</v>
      </c>
      <c r="D246" s="973">
        <f>(C246/C240-1)*100</f>
        <v>5.3194061608419219E-2</v>
      </c>
      <c r="E246" s="1153">
        <f>I246-C246</f>
        <v>5.2159999999999975</v>
      </c>
      <c r="F246" s="961">
        <f>(E246/E240-1)*100</f>
        <v>14.500819128999565</v>
      </c>
      <c r="G246" s="889"/>
      <c r="H246" s="967"/>
      <c r="I246" s="968">
        <v>25.905999999999999</v>
      </c>
      <c r="J246" s="969">
        <f>(I246/I240-1)*100</f>
        <v>2.7485820806726569</v>
      </c>
      <c r="K246" s="970"/>
      <c r="L246" s="965"/>
      <c r="M246" s="966"/>
      <c r="N246" s="965"/>
      <c r="O246" s="965"/>
      <c r="P246" s="965"/>
      <c r="Q246" s="965"/>
      <c r="R246" s="965"/>
      <c r="S246" s="965"/>
      <c r="T246" s="965"/>
    </row>
    <row r="247" spans="1:25" ht="10.5" customHeight="1" x14ac:dyDescent="0.2">
      <c r="A247" s="889" t="s">
        <v>95</v>
      </c>
      <c r="B247" s="914" t="s">
        <v>200</v>
      </c>
      <c r="C247" s="1153">
        <f>C246/C108*C109</f>
        <v>20.69</v>
      </c>
      <c r="D247" s="973">
        <f>(C247/C241-1)*100</f>
        <v>0</v>
      </c>
      <c r="E247" s="1153">
        <f>I247-C247</f>
        <v>5.3269999999999982</v>
      </c>
      <c r="F247" s="961">
        <f>(E247/E241-1)*100</f>
        <v>15.804347826086929</v>
      </c>
      <c r="G247" s="889"/>
      <c r="H247" s="956"/>
      <c r="I247" s="968">
        <v>26.016999999999999</v>
      </c>
      <c r="J247" s="918">
        <f>(I247/I241-1)*100</f>
        <v>2.8746540134440446</v>
      </c>
      <c r="K247" s="892"/>
      <c r="L247" s="889"/>
      <c r="M247" s="914"/>
      <c r="N247" s="889"/>
      <c r="O247" s="889"/>
      <c r="P247" s="889"/>
      <c r="Q247" s="889"/>
      <c r="R247" s="889"/>
      <c r="S247" s="889"/>
      <c r="T247" s="889"/>
    </row>
    <row r="248" spans="1:25" ht="10.5" customHeight="1" x14ac:dyDescent="0.2">
      <c r="C248" s="239"/>
      <c r="D248" s="239"/>
      <c r="E248" s="252"/>
      <c r="G248" s="889"/>
      <c r="I248" s="972"/>
    </row>
    <row r="249" spans="1:25" ht="10.5" customHeight="1" x14ac:dyDescent="0.2">
      <c r="A249" s="889"/>
      <c r="B249" s="908">
        <f>B243+1</f>
        <v>2014</v>
      </c>
      <c r="C249" s="889"/>
      <c r="D249" s="962"/>
      <c r="E249" s="956"/>
      <c r="F249" s="962"/>
      <c r="G249" s="889"/>
      <c r="H249" s="956"/>
      <c r="I249" s="972"/>
      <c r="J249" s="891"/>
      <c r="K249" s="892"/>
      <c r="L249" s="889"/>
      <c r="M249" s="908"/>
      <c r="N249" s="889"/>
      <c r="O249" s="889"/>
      <c r="P249" s="889"/>
      <c r="Q249" s="889"/>
      <c r="R249" s="889"/>
      <c r="S249" s="889"/>
      <c r="T249" s="889"/>
    </row>
    <row r="250" spans="1:25" ht="10.5" customHeight="1" x14ac:dyDescent="0.2">
      <c r="A250" s="889" t="s">
        <v>92</v>
      </c>
      <c r="B250" s="921" t="s">
        <v>197</v>
      </c>
      <c r="C250" s="1153">
        <f>C247/C109*C112</f>
        <v>20.69</v>
      </c>
      <c r="D250" s="973">
        <f>(C250/C244-1)*100</f>
        <v>0</v>
      </c>
      <c r="E250" s="1153">
        <f>((E247/E109))*E112</f>
        <v>5.6995174825174812</v>
      </c>
      <c r="F250" s="961">
        <f>(E250/E244-1)*100</f>
        <v>19.411638016289157</v>
      </c>
      <c r="G250" s="889"/>
      <c r="H250" s="964"/>
      <c r="I250" s="968">
        <v>26.407</v>
      </c>
      <c r="J250" s="918">
        <f>(I250/I244-1)*100</f>
        <v>3.7073400620508234</v>
      </c>
      <c r="K250" s="892"/>
      <c r="L250" s="889"/>
      <c r="M250" s="921"/>
      <c r="N250" s="889"/>
      <c r="O250" s="889"/>
      <c r="P250" s="889"/>
      <c r="Q250" s="889"/>
      <c r="R250" s="889"/>
      <c r="S250" s="889"/>
      <c r="T250" s="889"/>
    </row>
    <row r="251" spans="1:25" ht="10.5" customHeight="1" x14ac:dyDescent="0.2">
      <c r="A251" s="889" t="s">
        <v>93</v>
      </c>
      <c r="B251" s="914" t="s">
        <v>198</v>
      </c>
      <c r="C251" s="1153">
        <f>C250/C112*C113</f>
        <v>20.69</v>
      </c>
      <c r="D251" s="973">
        <f>(C251/C245-1)*100</f>
        <v>0</v>
      </c>
      <c r="E251" s="1153">
        <f>((E250/E112))*E113</f>
        <v>5.7367692307692293</v>
      </c>
      <c r="F251" s="961">
        <f>(E251/E245-1)*100</f>
        <v>17.629059478557107</v>
      </c>
      <c r="G251" s="889"/>
      <c r="H251" s="964"/>
      <c r="I251" s="968">
        <v>26.442</v>
      </c>
      <c r="J251" s="918">
        <f>(I251/I245-1)*100</f>
        <v>3.4223804122501589</v>
      </c>
      <c r="K251" s="892"/>
      <c r="L251" s="889"/>
      <c r="M251" s="914"/>
      <c r="N251" s="889"/>
      <c r="O251" s="889"/>
      <c r="P251" s="889"/>
      <c r="Q251" s="889"/>
      <c r="R251" s="889"/>
      <c r="S251" s="889"/>
      <c r="T251" s="889"/>
    </row>
    <row r="252" spans="1:25" s="239" customFormat="1" ht="10.5" customHeight="1" x14ac:dyDescent="0.2">
      <c r="A252" s="965" t="s">
        <v>94</v>
      </c>
      <c r="B252" s="966" t="s">
        <v>199</v>
      </c>
      <c r="C252" s="1153">
        <f>C251/C113*C114</f>
        <v>21.043675213675215</v>
      </c>
      <c r="D252" s="973">
        <f>(C252/C246-1)*100</f>
        <v>1.7094017094017033</v>
      </c>
      <c r="E252" s="1153">
        <f>((E251/E113))*E114</f>
        <v>6.4818041958041936</v>
      </c>
      <c r="F252" s="961">
        <f>(E252/E246-1)*100</f>
        <v>24.267718477841193</v>
      </c>
      <c r="G252" s="889"/>
      <c r="H252" s="967"/>
      <c r="I252" s="968">
        <v>27.271999999999998</v>
      </c>
      <c r="J252" s="969">
        <f>(I252/I246-1)*100</f>
        <v>5.2729097506369227</v>
      </c>
      <c r="K252" s="970"/>
      <c r="L252" s="965"/>
      <c r="M252" s="966"/>
      <c r="N252" s="965"/>
      <c r="O252" s="965"/>
      <c r="P252" s="965"/>
      <c r="Q252" s="965"/>
      <c r="R252" s="965"/>
      <c r="S252" s="965"/>
      <c r="T252" s="965"/>
      <c r="X252" s="239">
        <v>2.6</v>
      </c>
      <c r="Y252" s="239">
        <f>(3.1+3.35)</f>
        <v>6.45</v>
      </c>
    </row>
    <row r="253" spans="1:25" ht="10.5" customHeight="1" x14ac:dyDescent="0.2">
      <c r="A253" s="889" t="s">
        <v>95</v>
      </c>
      <c r="B253" s="914" t="s">
        <v>200</v>
      </c>
      <c r="C253" s="1153">
        <f>C252/C114*C115</f>
        <v>20.69</v>
      </c>
      <c r="D253" s="973">
        <f>(C253/C247-1)*100</f>
        <v>0</v>
      </c>
      <c r="E253" s="1153">
        <f>((E252/E114))*E115</f>
        <v>6.5190559440559426</v>
      </c>
      <c r="F253" s="961">
        <f>(E253/E247-1)*100</f>
        <v>22.377622377622398</v>
      </c>
      <c r="G253" s="889"/>
      <c r="H253" s="956"/>
      <c r="I253" s="968">
        <v>27.061</v>
      </c>
      <c r="J253" s="918">
        <f>(I253/I247-1)*100</f>
        <v>4.0127608871122655</v>
      </c>
      <c r="K253" s="892"/>
      <c r="L253" s="889"/>
      <c r="M253" s="914"/>
      <c r="N253" s="889"/>
      <c r="O253" s="889"/>
      <c r="P253" s="889"/>
      <c r="Q253" s="889"/>
      <c r="R253" s="889"/>
      <c r="S253" s="889"/>
      <c r="T253" s="889"/>
      <c r="Y253" s="238">
        <f>Y252/2</f>
        <v>3.2250000000000001</v>
      </c>
    </row>
    <row r="254" spans="1:25" ht="10.5" customHeight="1" x14ac:dyDescent="0.2">
      <c r="C254" s="239"/>
      <c r="D254" s="239"/>
      <c r="E254" s="252"/>
      <c r="G254" s="889"/>
      <c r="I254" s="972"/>
      <c r="Y254" s="974">
        <f>X252/Y253-1</f>
        <v>-0.19379844961240311</v>
      </c>
    </row>
    <row r="255" spans="1:25" ht="10.5" customHeight="1" x14ac:dyDescent="0.2">
      <c r="A255" s="889"/>
      <c r="B255" s="908">
        <f>B249+1</f>
        <v>2015</v>
      </c>
      <c r="C255" s="889"/>
      <c r="D255" s="962"/>
      <c r="E255" s="956"/>
      <c r="F255" s="962"/>
      <c r="G255" s="889"/>
      <c r="H255" s="956"/>
      <c r="I255" s="972"/>
      <c r="J255" s="891"/>
      <c r="K255" s="892"/>
      <c r="L255" s="889"/>
      <c r="M255" s="908"/>
      <c r="N255" s="889"/>
      <c r="O255" s="889"/>
      <c r="P255" s="889"/>
      <c r="Q255" s="889"/>
      <c r="R255" s="889"/>
      <c r="S255" s="889"/>
      <c r="T255" s="889"/>
    </row>
    <row r="256" spans="1:25" ht="10.5" customHeight="1" x14ac:dyDescent="0.2">
      <c r="A256" s="889" t="s">
        <v>92</v>
      </c>
      <c r="B256" s="921" t="s">
        <v>197</v>
      </c>
      <c r="C256" s="1153">
        <f>C253/C115*C118</f>
        <v>20.86683760683761</v>
      </c>
      <c r="D256" s="973">
        <f>(C256/C250-1)*100</f>
        <v>0.85470085470087387</v>
      </c>
      <c r="E256" s="1153">
        <f>((E253/E115))*E118</f>
        <v>6.8915734265734248</v>
      </c>
      <c r="F256" s="961">
        <f>(E256/E250-1)*100</f>
        <v>20.915032679738555</v>
      </c>
      <c r="G256" s="889"/>
      <c r="H256" s="964"/>
      <c r="I256" s="968">
        <v>27.52</v>
      </c>
      <c r="J256" s="918">
        <f>(I256/I250-1)*100</f>
        <v>4.2147915325481788</v>
      </c>
      <c r="K256" s="892"/>
      <c r="L256" s="889"/>
      <c r="M256" s="921"/>
      <c r="N256" s="889"/>
      <c r="O256" s="889"/>
      <c r="P256" s="889"/>
      <c r="Q256" s="889"/>
      <c r="R256" s="889"/>
      <c r="S256" s="889"/>
      <c r="T256" s="889"/>
    </row>
    <row r="257" spans="1:20" ht="10.5" customHeight="1" x14ac:dyDescent="0.2">
      <c r="A257" s="889" t="s">
        <v>93</v>
      </c>
      <c r="B257" s="914" t="s">
        <v>198</v>
      </c>
      <c r="C257" s="1153">
        <f>C256/C118*C119</f>
        <v>20.86683760683761</v>
      </c>
      <c r="D257" s="961">
        <f>(C257/C251-1)*100</f>
        <v>0.85470085470087387</v>
      </c>
      <c r="E257" s="1153">
        <f>((E256/E118))*E119</f>
        <v>6.9288251748251728</v>
      </c>
      <c r="F257" s="961">
        <f>(E257/E251-1)*100</f>
        <v>20.779220779220765</v>
      </c>
      <c r="G257" s="889"/>
      <c r="H257" s="964"/>
      <c r="I257" s="968">
        <v>27.556000000000001</v>
      </c>
      <c r="J257" s="918">
        <f>(I257/I251-1)*100</f>
        <v>4.2129944784812023</v>
      </c>
      <c r="K257" s="892"/>
      <c r="L257" s="889"/>
      <c r="M257" s="914"/>
      <c r="N257" s="889"/>
      <c r="O257" s="889"/>
      <c r="P257" s="889"/>
      <c r="Q257" s="889"/>
      <c r="R257" s="889"/>
      <c r="S257" s="889"/>
      <c r="T257" s="889"/>
    </row>
    <row r="258" spans="1:20" s="239" customFormat="1" ht="10.5" customHeight="1" x14ac:dyDescent="0.2">
      <c r="A258" s="965" t="s">
        <v>94</v>
      </c>
      <c r="B258" s="966" t="s">
        <v>199</v>
      </c>
      <c r="C258" s="1153">
        <f>C257/C119*C120</f>
        <v>21.397350427350428</v>
      </c>
      <c r="D258" s="961">
        <f>(C258/C252-1)*100</f>
        <v>1.6806722689075571</v>
      </c>
      <c r="E258" s="1153">
        <f>((E257/E119))*E120</f>
        <v>7.524853146853145</v>
      </c>
      <c r="F258" s="961">
        <f>(E258/E252-1)*100</f>
        <v>16.09195402298851</v>
      </c>
      <c r="G258" s="889"/>
      <c r="H258" s="967"/>
      <c r="I258" s="968">
        <v>28.61</v>
      </c>
      <c r="J258" s="969">
        <f>(I258/I252-1)*100</f>
        <v>4.9061308301554751</v>
      </c>
      <c r="K258" s="970"/>
      <c r="L258" s="965"/>
      <c r="M258" s="966"/>
      <c r="N258" s="965"/>
      <c r="O258" s="965"/>
      <c r="P258" s="965"/>
      <c r="Q258" s="965"/>
      <c r="R258" s="965"/>
      <c r="S258" s="965"/>
      <c r="T258" s="965"/>
    </row>
    <row r="259" spans="1:20" ht="10.5" customHeight="1" x14ac:dyDescent="0.2">
      <c r="A259" s="889" t="s">
        <v>95</v>
      </c>
      <c r="B259" s="914" t="s">
        <v>200</v>
      </c>
      <c r="C259" s="1153">
        <f>C258/C120*C121</f>
        <v>21.397350427350428</v>
      </c>
      <c r="D259" s="973">
        <f>(C259/C253-1)*100</f>
        <v>3.4188034188034067</v>
      </c>
      <c r="E259" s="1153">
        <f>((E258/E120))*E121</f>
        <v>7.524853146853145</v>
      </c>
      <c r="F259" s="961">
        <f>(E259/E253-1)*100</f>
        <v>15.428571428571436</v>
      </c>
      <c r="G259" s="889"/>
      <c r="H259" s="956"/>
      <c r="I259" s="968">
        <v>28.61</v>
      </c>
      <c r="J259" s="918">
        <f>(I259/I253-1)*100</f>
        <v>5.7241048002660611</v>
      </c>
      <c r="K259" s="892"/>
      <c r="L259" s="889"/>
      <c r="M259" s="914"/>
      <c r="N259" s="889"/>
      <c r="O259" s="889"/>
      <c r="P259" s="889"/>
      <c r="Q259" s="889"/>
      <c r="R259" s="889"/>
      <c r="S259" s="889"/>
      <c r="T259" s="889"/>
    </row>
    <row r="260" spans="1:20" ht="10.5" customHeight="1" x14ac:dyDescent="0.2">
      <c r="G260" s="889"/>
      <c r="I260" s="975"/>
    </row>
    <row r="261" spans="1:20" ht="10.5" customHeight="1" x14ac:dyDescent="0.2">
      <c r="A261" s="889"/>
      <c r="B261" s="908">
        <f>B255+1</f>
        <v>2016</v>
      </c>
      <c r="C261" s="889"/>
      <c r="D261" s="962"/>
      <c r="E261" s="956"/>
      <c r="F261" s="962"/>
      <c r="G261" s="889"/>
      <c r="I261" s="968"/>
    </row>
    <row r="262" spans="1:20" ht="10.5" customHeight="1" x14ac:dyDescent="0.2">
      <c r="A262" s="889" t="s">
        <v>92</v>
      </c>
      <c r="B262" s="921" t="s">
        <v>197</v>
      </c>
      <c r="C262" s="1153">
        <f>C259/C121*C124</f>
        <v>21.397350427350428</v>
      </c>
      <c r="D262" s="973">
        <f>(C262/C256-1)*100</f>
        <v>2.5423728813559254</v>
      </c>
      <c r="E262" s="1153">
        <f>((E259/E121))*E124</f>
        <v>7.7856153846153822</v>
      </c>
      <c r="F262" s="961">
        <f>(E262/E256-1)*100</f>
        <v>12.972972972972974</v>
      </c>
      <c r="G262" s="889"/>
      <c r="I262" s="968">
        <v>28.771999999999998</v>
      </c>
      <c r="J262" s="918">
        <v>4.2147915325481788</v>
      </c>
    </row>
    <row r="263" spans="1:20" ht="10.5" customHeight="1" x14ac:dyDescent="0.2">
      <c r="A263" s="889" t="s">
        <v>93</v>
      </c>
      <c r="B263" s="914" t="s">
        <v>198</v>
      </c>
      <c r="C263" s="1153">
        <f>C262/C124*C125</f>
        <v>21.397350427350428</v>
      </c>
      <c r="D263" s="961">
        <f>(C263/C257-1)*100</f>
        <v>2.5423728813559254</v>
      </c>
      <c r="E263" s="1153">
        <f>((E262/E124))*E125</f>
        <v>7.7483636363636341</v>
      </c>
      <c r="F263" s="961">
        <f>(E263/E257-1)*100</f>
        <v>11.827956989247301</v>
      </c>
      <c r="G263" s="889"/>
      <c r="I263" s="968">
        <v>28.826000000000001</v>
      </c>
      <c r="J263" s="918">
        <v>4.2129944784812023</v>
      </c>
    </row>
    <row r="264" spans="1:20" ht="10.5" customHeight="1" x14ac:dyDescent="0.2">
      <c r="A264" s="965" t="s">
        <v>94</v>
      </c>
      <c r="B264" s="966" t="s">
        <v>199</v>
      </c>
      <c r="C264" s="1153">
        <f>C263/C125*C126</f>
        <v>21.751025641025642</v>
      </c>
      <c r="D264" s="961">
        <f>(C264/C258-1)*100</f>
        <v>1.6528925619834656</v>
      </c>
      <c r="E264" s="1153">
        <f>((E263/E125))*E126</f>
        <v>8.3816433566433535</v>
      </c>
      <c r="F264" s="961">
        <f>(E264/E258-1)*100</f>
        <v>11.386138613861373</v>
      </c>
      <c r="G264" s="889"/>
      <c r="H264" s="976"/>
      <c r="I264" s="968">
        <v>29.783000000000001</v>
      </c>
      <c r="J264" s="969">
        <v>4.6174707108998847</v>
      </c>
    </row>
    <row r="265" spans="1:20" ht="10.5" customHeight="1" x14ac:dyDescent="0.2">
      <c r="A265" s="889" t="s">
        <v>95</v>
      </c>
      <c r="B265" s="914" t="s">
        <v>200</v>
      </c>
      <c r="C265" s="1153">
        <f>C264/C126*C127</f>
        <v>21.751025641025642</v>
      </c>
      <c r="D265" s="961">
        <f>(C265/C259-1)*100</f>
        <v>1.6528925619834656</v>
      </c>
      <c r="E265" s="1153">
        <f>((E264/E126))*E127</f>
        <v>8.4188951048951015</v>
      </c>
      <c r="F265" s="961">
        <f>(E265/E259-1)*100</f>
        <v>11.88118811881187</v>
      </c>
      <c r="G265" s="889"/>
      <c r="H265" s="976"/>
      <c r="I265" s="968">
        <v>29.792000000000002</v>
      </c>
      <c r="J265" s="918">
        <v>5.5708523725226833</v>
      </c>
    </row>
    <row r="266" spans="1:20" ht="10.5" customHeight="1" x14ac:dyDescent="0.2">
      <c r="G266" s="889"/>
      <c r="H266" s="976"/>
      <c r="I266" s="975"/>
    </row>
    <row r="267" spans="1:20" ht="10.5" customHeight="1" x14ac:dyDescent="0.2">
      <c r="A267" s="889"/>
      <c r="B267" s="908">
        <f>B261+1</f>
        <v>2017</v>
      </c>
      <c r="C267" s="889"/>
      <c r="D267" s="962"/>
      <c r="E267" s="956"/>
      <c r="F267" s="962"/>
      <c r="G267" s="889"/>
      <c r="H267" s="976"/>
      <c r="I267" s="975"/>
    </row>
    <row r="268" spans="1:20" ht="10.5" customHeight="1" x14ac:dyDescent="0.2">
      <c r="A268" s="889" t="s">
        <v>92</v>
      </c>
      <c r="B268" s="921" t="s">
        <v>197</v>
      </c>
      <c r="C268" s="1153">
        <f>C265/C127*C130</f>
        <v>21.574188034188037</v>
      </c>
      <c r="D268" s="973">
        <f>(C268/C262-1)*100</f>
        <v>0.82644628099173278</v>
      </c>
      <c r="E268" s="1153">
        <f>((E265/E127))*E130</f>
        <v>8.6051538461538417</v>
      </c>
      <c r="F268" s="961">
        <f>(E268/E262-1)*100</f>
        <v>10.526315789473673</v>
      </c>
      <c r="G268" s="889"/>
      <c r="H268" s="976"/>
      <c r="I268" s="968">
        <v>29.763999999999999</v>
      </c>
      <c r="J268" s="918">
        <v>4.2147915325481788</v>
      </c>
    </row>
    <row r="269" spans="1:20" ht="10.5" customHeight="1" x14ac:dyDescent="0.2">
      <c r="A269" s="889" t="s">
        <v>93</v>
      </c>
      <c r="B269" s="914" t="s">
        <v>198</v>
      </c>
      <c r="C269" s="1153">
        <f>C268/C130*C131</f>
        <v>21.574188034188037</v>
      </c>
      <c r="D269" s="973">
        <f>(C269/C263-1)*100</f>
        <v>0.82644628099173278</v>
      </c>
      <c r="E269" s="1153">
        <f>((E268/E130))*E131</f>
        <v>8.6424055944055898</v>
      </c>
      <c r="F269" s="961">
        <f>(E269/E263-1)*100</f>
        <v>11.538461538461519</v>
      </c>
      <c r="G269" s="889"/>
      <c r="H269" s="976"/>
      <c r="I269" s="968">
        <v>29.803000000000001</v>
      </c>
      <c r="J269" s="918">
        <f>I269/I268-1</f>
        <v>1.3103077543341612E-3</v>
      </c>
      <c r="L269" s="685"/>
      <c r="M269" s="685"/>
    </row>
    <row r="270" spans="1:20" ht="10.5" customHeight="1" x14ac:dyDescent="0.2">
      <c r="A270" s="965" t="s">
        <v>94</v>
      </c>
      <c r="B270" s="966" t="s">
        <v>199</v>
      </c>
      <c r="C270" s="1153">
        <f>C269/C131*C132</f>
        <v>21.751025641025642</v>
      </c>
      <c r="D270" s="961">
        <f>(C270/C264-1)*100</f>
        <v>0</v>
      </c>
      <c r="E270" s="1153">
        <f>((E269/E131))*E132</f>
        <v>9.0521748251748217</v>
      </c>
      <c r="F270" s="961">
        <f>(E270/E264-1)*100</f>
        <v>8.0000000000000071</v>
      </c>
      <c r="G270" s="889"/>
      <c r="H270" s="976"/>
      <c r="I270" s="968">
        <v>30.222999999999999</v>
      </c>
      <c r="J270" s="918">
        <f>I270/I269-1</f>
        <v>1.4092541019360416E-2</v>
      </c>
      <c r="L270" s="685"/>
      <c r="M270" s="685"/>
    </row>
    <row r="271" spans="1:20" ht="10.5" customHeight="1" x14ac:dyDescent="0.2">
      <c r="A271" s="889" t="s">
        <v>95</v>
      </c>
      <c r="B271" s="914" t="s">
        <v>200</v>
      </c>
      <c r="C271" s="1370">
        <f>C270/C132*C133</f>
        <v>21.751025641025642</v>
      </c>
      <c r="D271" s="961">
        <f>(C271/C265-1)*100</f>
        <v>0</v>
      </c>
      <c r="E271" s="1370">
        <f>((E270/E132))*E133</f>
        <v>9.0521748251748217</v>
      </c>
      <c r="F271" s="961">
        <f>(E271/E265-1)*100</f>
        <v>7.5221238938053103</v>
      </c>
      <c r="G271" s="889"/>
      <c r="H271" s="976"/>
      <c r="I271" s="1368">
        <v>30.218</v>
      </c>
      <c r="J271" s="918">
        <v>5.5708523725226833</v>
      </c>
      <c r="L271" s="685"/>
      <c r="M271" s="685"/>
    </row>
    <row r="272" spans="1:20" ht="10.5" customHeight="1" x14ac:dyDescent="0.2">
      <c r="G272" s="889"/>
      <c r="I272" s="975"/>
    </row>
    <row r="273" spans="1:13" ht="10.5" customHeight="1" x14ac:dyDescent="0.2">
      <c r="A273" s="889"/>
      <c r="B273" s="1227">
        <f>B267+1</f>
        <v>2018</v>
      </c>
      <c r="C273" s="889"/>
      <c r="D273" s="962"/>
      <c r="E273" s="956"/>
      <c r="F273" s="962"/>
      <c r="G273" s="889"/>
      <c r="H273" s="976"/>
      <c r="I273" s="975"/>
    </row>
    <row r="274" spans="1:13" s="1" customFormat="1" ht="10.5" customHeight="1" x14ac:dyDescent="0.2">
      <c r="A274" s="17" t="s">
        <v>92</v>
      </c>
      <c r="B274" s="1236" t="s">
        <v>197</v>
      </c>
      <c r="C274" s="1254">
        <f>C271/C133*C136</f>
        <v>21.751025641025642</v>
      </c>
      <c r="D274" s="1255">
        <f>(C274/C268-1)*100</f>
        <v>0.81967213114753079</v>
      </c>
      <c r="E274" s="1254">
        <f>((E271/E133))*E136</f>
        <v>9.27568531468531</v>
      </c>
      <c r="F274" s="1256">
        <f>(E274/E268-1)*100</f>
        <v>7.7922077922077948</v>
      </c>
      <c r="G274" s="17"/>
      <c r="H274" s="1257"/>
      <c r="I274" s="972">
        <f>C274+E274</f>
        <v>31.026710955710953</v>
      </c>
      <c r="J274" s="1258">
        <v>4.2147915325481788</v>
      </c>
    </row>
    <row r="275" spans="1:13" s="1" customFormat="1" ht="10.5" customHeight="1" x14ac:dyDescent="0.2">
      <c r="A275" s="17" t="s">
        <v>93</v>
      </c>
      <c r="B275" s="1245" t="s">
        <v>198</v>
      </c>
      <c r="C275" s="1254">
        <f>C274/C136*C137</f>
        <v>21.92786324786325</v>
      </c>
      <c r="D275" s="1255">
        <f>(C275/C269-1)*100</f>
        <v>1.6393442622950838</v>
      </c>
      <c r="E275" s="1254">
        <f>((E274/E136))*E137</f>
        <v>9.3501888111888061</v>
      </c>
      <c r="F275" s="1256">
        <f>(E275/E269-1)*100</f>
        <v>8.18965517241379</v>
      </c>
      <c r="G275" s="17"/>
      <c r="H275" s="1257"/>
      <c r="I275" s="972">
        <f>C275+E275</f>
        <v>31.278052059052058</v>
      </c>
      <c r="J275" s="1258">
        <f>I275/I274-1</f>
        <v>8.100797525715242E-3</v>
      </c>
      <c r="L275" s="18"/>
      <c r="M275" s="18"/>
    </row>
    <row r="276" spans="1:13" s="1" customFormat="1" ht="10.5" customHeight="1" x14ac:dyDescent="0.2">
      <c r="A276" s="11" t="s">
        <v>94</v>
      </c>
      <c r="B276" s="20" t="s">
        <v>199</v>
      </c>
      <c r="C276" s="1259">
        <f>C275/C137*C138</f>
        <v>21.92786324786325</v>
      </c>
      <c r="D276" s="1256">
        <f>(C276/C270-1)*100</f>
        <v>0.81300813008131634</v>
      </c>
      <c r="E276" s="1259">
        <f>((E275/E137))*E138</f>
        <v>9.4991958041958</v>
      </c>
      <c r="F276" s="1256">
        <f>(E276/E270-1)*100</f>
        <v>4.9382716049382713</v>
      </c>
      <c r="G276" s="17"/>
      <c r="H276" s="1257"/>
      <c r="I276" s="1260">
        <f>C276+E276</f>
        <v>31.42705905205905</v>
      </c>
      <c r="J276" s="1261">
        <v>4.6174707108998847</v>
      </c>
      <c r="L276" s="18"/>
      <c r="M276" s="18"/>
    </row>
    <row r="277" spans="1:13" s="1" customFormat="1" ht="10.5" customHeight="1" thickBot="1" x14ac:dyDescent="0.25">
      <c r="A277" s="17" t="s">
        <v>95</v>
      </c>
      <c r="B277" s="1245" t="s">
        <v>200</v>
      </c>
      <c r="C277" s="1259">
        <f>C276/C138*C139</f>
        <v>21.92786324786325</v>
      </c>
      <c r="D277" s="1256">
        <f>(C277/C271-1)*100</f>
        <v>0.81300813008131634</v>
      </c>
      <c r="E277" s="1259">
        <f>((E276/E138))*E139</f>
        <v>9.536447552447548</v>
      </c>
      <c r="F277" s="1256">
        <f>(E277/E271-1)*100</f>
        <v>5.3497942386831143</v>
      </c>
      <c r="G277" s="17"/>
      <c r="H277" s="1257"/>
      <c r="I277" s="1262">
        <f>C277+E277</f>
        <v>31.464310800310798</v>
      </c>
      <c r="J277" s="1258">
        <v>5.5708523725226833</v>
      </c>
      <c r="L277" s="18"/>
      <c r="M277" s="18"/>
    </row>
    <row r="278" spans="1:13" ht="10.5" customHeight="1" x14ac:dyDescent="0.2">
      <c r="G278" s="889"/>
    </row>
    <row r="279" spans="1:13" ht="10.5" customHeight="1" x14ac:dyDescent="0.2">
      <c r="G279" s="889"/>
    </row>
    <row r="280" spans="1:13" ht="10.5" customHeight="1" x14ac:dyDescent="0.2">
      <c r="G280" s="889"/>
    </row>
    <row r="281" spans="1:13" ht="10.5" customHeight="1" x14ac:dyDescent="0.2">
      <c r="G281" s="889"/>
    </row>
    <row r="282" spans="1:13" ht="10.5" customHeight="1" x14ac:dyDescent="0.2">
      <c r="G282" s="889"/>
    </row>
    <row r="283" spans="1:13" ht="10.5" customHeight="1" x14ac:dyDescent="0.2">
      <c r="G283" s="889"/>
    </row>
    <row r="284" spans="1:13" ht="10.5" customHeight="1" x14ac:dyDescent="0.2">
      <c r="G284" s="889"/>
    </row>
    <row r="285" spans="1:13" ht="10.5" customHeight="1" x14ac:dyDescent="0.2">
      <c r="G285" s="889"/>
    </row>
    <row r="286" spans="1:13" ht="10.5" customHeight="1" x14ac:dyDescent="0.2">
      <c r="G286" s="889"/>
    </row>
    <row r="287" spans="1:13" ht="10.5" customHeight="1" x14ac:dyDescent="0.2">
      <c r="G287" s="889"/>
    </row>
    <row r="288" spans="1:13" ht="10.5" customHeight="1" x14ac:dyDescent="0.2">
      <c r="G288" s="889"/>
    </row>
    <row r="289" spans="7:7" ht="10.5" customHeight="1" x14ac:dyDescent="0.2">
      <c r="G289" s="889"/>
    </row>
    <row r="290" spans="7:7" ht="10.5" customHeight="1" x14ac:dyDescent="0.2">
      <c r="G290" s="889"/>
    </row>
    <row r="291" spans="7:7" ht="10.5" customHeight="1" x14ac:dyDescent="0.2">
      <c r="G291" s="889"/>
    </row>
    <row r="292" spans="7:7" ht="10.5" customHeight="1" x14ac:dyDescent="0.2">
      <c r="G292" s="889"/>
    </row>
    <row r="293" spans="7:7" ht="10.5" customHeight="1" x14ac:dyDescent="0.2">
      <c r="G293" s="889"/>
    </row>
    <row r="294" spans="7:7" ht="10.5" customHeight="1" x14ac:dyDescent="0.2">
      <c r="G294" s="889"/>
    </row>
    <row r="295" spans="7:7" ht="10.5" customHeight="1" x14ac:dyDescent="0.2">
      <c r="G295" s="889"/>
    </row>
    <row r="296" spans="7:7" ht="10.5" customHeight="1" x14ac:dyDescent="0.2">
      <c r="G296" s="889"/>
    </row>
    <row r="297" spans="7:7" ht="10.5" customHeight="1" x14ac:dyDescent="0.2">
      <c r="G297" s="889"/>
    </row>
    <row r="298" spans="7:7" ht="10.5" customHeight="1" x14ac:dyDescent="0.2">
      <c r="G298" s="889"/>
    </row>
    <row r="299" spans="7:7" ht="10.5" customHeight="1" x14ac:dyDescent="0.2">
      <c r="G299" s="889"/>
    </row>
    <row r="300" spans="7:7" ht="10.5" customHeight="1" x14ac:dyDescent="0.2">
      <c r="G300" s="889"/>
    </row>
    <row r="301" spans="7:7" ht="10.5" customHeight="1" x14ac:dyDescent="0.2">
      <c r="G301" s="889"/>
    </row>
    <row r="302" spans="7:7" ht="10.5" customHeight="1" x14ac:dyDescent="0.2">
      <c r="G302" s="889"/>
    </row>
    <row r="303" spans="7:7" ht="10.5" customHeight="1" x14ac:dyDescent="0.2">
      <c r="G303" s="889"/>
    </row>
    <row r="304" spans="7:7" ht="10.5" customHeight="1" x14ac:dyDescent="0.2">
      <c r="G304" s="889"/>
    </row>
    <row r="305" spans="7:7" ht="10.5" customHeight="1" x14ac:dyDescent="0.2">
      <c r="G305" s="889"/>
    </row>
    <row r="306" spans="7:7" ht="10.5" customHeight="1" x14ac:dyDescent="0.2">
      <c r="G306" s="889"/>
    </row>
    <row r="307" spans="7:7" ht="10.5" customHeight="1" x14ac:dyDescent="0.2">
      <c r="G307" s="889"/>
    </row>
    <row r="308" spans="7:7" ht="10.5" customHeight="1" x14ac:dyDescent="0.2">
      <c r="G308" s="889"/>
    </row>
    <row r="309" spans="7:7" ht="10.5" customHeight="1" x14ac:dyDescent="0.2">
      <c r="G309" s="889"/>
    </row>
    <row r="310" spans="7:7" ht="10.5" customHeight="1" x14ac:dyDescent="0.2">
      <c r="G310" s="889"/>
    </row>
    <row r="311" spans="7:7" ht="10.5" customHeight="1" x14ac:dyDescent="0.2">
      <c r="G311" s="889"/>
    </row>
    <row r="312" spans="7:7" ht="10.5" customHeight="1" x14ac:dyDescent="0.2">
      <c r="G312" s="889"/>
    </row>
    <row r="313" spans="7:7" ht="10.5" customHeight="1" x14ac:dyDescent="0.2">
      <c r="G313" s="889"/>
    </row>
    <row r="314" spans="7:7" ht="10.5" customHeight="1" x14ac:dyDescent="0.2">
      <c r="G314" s="889"/>
    </row>
    <row r="315" spans="7:7" ht="10.5" customHeight="1" x14ac:dyDescent="0.2">
      <c r="G315" s="889"/>
    </row>
    <row r="316" spans="7:7" ht="10.5" customHeight="1" x14ac:dyDescent="0.2">
      <c r="G316" s="889"/>
    </row>
    <row r="317" spans="7:7" ht="10.5" customHeight="1" x14ac:dyDescent="0.2">
      <c r="G317" s="889"/>
    </row>
    <row r="318" spans="7:7" ht="10.5" customHeight="1" x14ac:dyDescent="0.2">
      <c r="G318" s="889"/>
    </row>
    <row r="319" spans="7:7" ht="10.5" customHeight="1" x14ac:dyDescent="0.2">
      <c r="G319" s="889"/>
    </row>
    <row r="320" spans="7:7" ht="10.5" customHeight="1" x14ac:dyDescent="0.2">
      <c r="G320" s="889"/>
    </row>
    <row r="321" spans="7:7" ht="10.5" customHeight="1" x14ac:dyDescent="0.2">
      <c r="G321" s="889"/>
    </row>
    <row r="322" spans="7:7" ht="10.5" customHeight="1" x14ac:dyDescent="0.2">
      <c r="G322" s="889"/>
    </row>
    <row r="323" spans="7:7" ht="10.5" customHeight="1" x14ac:dyDescent="0.2">
      <c r="G323" s="889"/>
    </row>
    <row r="324" spans="7:7" ht="10.5" customHeight="1" x14ac:dyDescent="0.2">
      <c r="G324" s="889"/>
    </row>
    <row r="325" spans="7:7" ht="10.5" customHeight="1" x14ac:dyDescent="0.2">
      <c r="G325" s="889"/>
    </row>
    <row r="326" spans="7:7" ht="10.5" customHeight="1" x14ac:dyDescent="0.2">
      <c r="G326" s="889"/>
    </row>
    <row r="327" spans="7:7" ht="10.5" customHeight="1" x14ac:dyDescent="0.2">
      <c r="G327" s="889"/>
    </row>
    <row r="328" spans="7:7" ht="10.5" customHeight="1" x14ac:dyDescent="0.2">
      <c r="G328" s="889"/>
    </row>
    <row r="329" spans="7:7" ht="10.5" customHeight="1" x14ac:dyDescent="0.2">
      <c r="G329" s="889"/>
    </row>
    <row r="330" spans="7:7" ht="10.5" customHeight="1" x14ac:dyDescent="0.2">
      <c r="G330" s="889"/>
    </row>
    <row r="331" spans="7:7" ht="10.5" customHeight="1" x14ac:dyDescent="0.2">
      <c r="G331" s="889"/>
    </row>
    <row r="332" spans="7:7" ht="10.5" customHeight="1" x14ac:dyDescent="0.2">
      <c r="G332" s="889"/>
    </row>
    <row r="333" spans="7:7" ht="10.5" customHeight="1" x14ac:dyDescent="0.2">
      <c r="G333" s="889"/>
    </row>
    <row r="334" spans="7:7" ht="10.5" customHeight="1" x14ac:dyDescent="0.2">
      <c r="G334" s="889"/>
    </row>
    <row r="335" spans="7:7" ht="10.5" customHeight="1" x14ac:dyDescent="0.2">
      <c r="G335" s="889"/>
    </row>
    <row r="336" spans="7:7" ht="10.5" customHeight="1" x14ac:dyDescent="0.2">
      <c r="G336" s="889"/>
    </row>
    <row r="337" spans="7:7" ht="10.5" customHeight="1" x14ac:dyDescent="0.2">
      <c r="G337" s="889"/>
    </row>
    <row r="338" spans="7:7" ht="10.5" customHeight="1" x14ac:dyDescent="0.2">
      <c r="G338" s="889"/>
    </row>
    <row r="339" spans="7:7" ht="10.5" customHeight="1" x14ac:dyDescent="0.2">
      <c r="G339" s="889"/>
    </row>
    <row r="340" spans="7:7" ht="10.5" customHeight="1" x14ac:dyDescent="0.2">
      <c r="G340" s="889"/>
    </row>
    <row r="341" spans="7:7" ht="10.5" customHeight="1" x14ac:dyDescent="0.2">
      <c r="G341" s="889"/>
    </row>
    <row r="342" spans="7:7" ht="10.5" customHeight="1" x14ac:dyDescent="0.2">
      <c r="G342" s="889"/>
    </row>
    <row r="343" spans="7:7" ht="10.5" customHeight="1" x14ac:dyDescent="0.2">
      <c r="G343" s="889"/>
    </row>
    <row r="344" spans="7:7" ht="10.5" customHeight="1" x14ac:dyDescent="0.2">
      <c r="G344" s="889"/>
    </row>
    <row r="345" spans="7:7" ht="10.5" customHeight="1" x14ac:dyDescent="0.2">
      <c r="G345" s="889"/>
    </row>
    <row r="346" spans="7:7" ht="10.5" customHeight="1" x14ac:dyDescent="0.2">
      <c r="G346" s="889"/>
    </row>
    <row r="347" spans="7:7" ht="10.5" customHeight="1" x14ac:dyDescent="0.2">
      <c r="G347" s="889"/>
    </row>
    <row r="348" spans="7:7" ht="10.5" customHeight="1" x14ac:dyDescent="0.2">
      <c r="G348" s="889"/>
    </row>
    <row r="349" spans="7:7" ht="10.5" customHeight="1" x14ac:dyDescent="0.2">
      <c r="G349" s="889"/>
    </row>
    <row r="350" spans="7:7" ht="10.5" customHeight="1" x14ac:dyDescent="0.2">
      <c r="G350" s="889"/>
    </row>
    <row r="351" spans="7:7" ht="10.5" customHeight="1" x14ac:dyDescent="0.2">
      <c r="G351" s="889"/>
    </row>
    <row r="352" spans="7:7" ht="10.5" customHeight="1" x14ac:dyDescent="0.2">
      <c r="G352" s="889"/>
    </row>
    <row r="353" spans="7:7" ht="10.5" customHeight="1" x14ac:dyDescent="0.2">
      <c r="G353" s="889"/>
    </row>
    <row r="354" spans="7:7" ht="10.5" customHeight="1" x14ac:dyDescent="0.2">
      <c r="G354" s="889"/>
    </row>
    <row r="355" spans="7:7" ht="10.5" customHeight="1" x14ac:dyDescent="0.2">
      <c r="G355" s="889"/>
    </row>
    <row r="356" spans="7:7" ht="10.5" customHeight="1" x14ac:dyDescent="0.2">
      <c r="G356" s="889"/>
    </row>
    <row r="357" spans="7:7" ht="10.5" customHeight="1" x14ac:dyDescent="0.2">
      <c r="G357" s="889"/>
    </row>
    <row r="358" spans="7:7" ht="10.5" customHeight="1" x14ac:dyDescent="0.2">
      <c r="G358" s="889"/>
    </row>
    <row r="359" spans="7:7" ht="10.5" customHeight="1" x14ac:dyDescent="0.2">
      <c r="G359" s="889"/>
    </row>
    <row r="360" spans="7:7" ht="10.5" customHeight="1" x14ac:dyDescent="0.2">
      <c r="G360" s="889"/>
    </row>
    <row r="361" spans="7:7" ht="10.5" customHeight="1" x14ac:dyDescent="0.2">
      <c r="G361" s="889"/>
    </row>
    <row r="362" spans="7:7" ht="10.5" customHeight="1" x14ac:dyDescent="0.2">
      <c r="G362" s="889"/>
    </row>
    <row r="363" spans="7:7" ht="10.5" customHeight="1" x14ac:dyDescent="0.2">
      <c r="G363" s="889"/>
    </row>
    <row r="364" spans="7:7" ht="10.5" customHeight="1" x14ac:dyDescent="0.2">
      <c r="G364" s="889"/>
    </row>
    <row r="365" spans="7:7" ht="10.5" customHeight="1" x14ac:dyDescent="0.2">
      <c r="G365" s="889"/>
    </row>
    <row r="366" spans="7:7" ht="10.5" customHeight="1" x14ac:dyDescent="0.2">
      <c r="G366" s="889"/>
    </row>
    <row r="367" spans="7:7" ht="10.5" customHeight="1" x14ac:dyDescent="0.2">
      <c r="G367" s="889"/>
    </row>
    <row r="368" spans="7:7" ht="10.5" customHeight="1" x14ac:dyDescent="0.2">
      <c r="G368" s="889"/>
    </row>
    <row r="369" spans="7:7" ht="10.5" customHeight="1" x14ac:dyDescent="0.2">
      <c r="G369" s="889"/>
    </row>
    <row r="370" spans="7:7" ht="10.5" customHeight="1" x14ac:dyDescent="0.2">
      <c r="G370" s="889"/>
    </row>
    <row r="371" spans="7:7" ht="10.5" customHeight="1" x14ac:dyDescent="0.2">
      <c r="G371" s="889"/>
    </row>
    <row r="372" spans="7:7" ht="10.5" customHeight="1" x14ac:dyDescent="0.2">
      <c r="G372" s="889"/>
    </row>
    <row r="373" spans="7:7" ht="10.5" customHeight="1" x14ac:dyDescent="0.2">
      <c r="G373" s="889"/>
    </row>
    <row r="374" spans="7:7" ht="10.5" customHeight="1" x14ac:dyDescent="0.2">
      <c r="G374" s="889"/>
    </row>
    <row r="375" spans="7:7" ht="10.5" customHeight="1" x14ac:dyDescent="0.2">
      <c r="G375" s="889"/>
    </row>
    <row r="376" spans="7:7" ht="10.5" customHeight="1" x14ac:dyDescent="0.2">
      <c r="G376" s="889"/>
    </row>
    <row r="377" spans="7:7" ht="10.5" customHeight="1" x14ac:dyDescent="0.2">
      <c r="G377" s="889"/>
    </row>
    <row r="378" spans="7:7" ht="10.5" customHeight="1" x14ac:dyDescent="0.2">
      <c r="G378" s="889"/>
    </row>
    <row r="379" spans="7:7" ht="10.5" customHeight="1" x14ac:dyDescent="0.2">
      <c r="G379" s="889"/>
    </row>
    <row r="380" spans="7:7" ht="10.5" customHeight="1" x14ac:dyDescent="0.2">
      <c r="G380" s="889"/>
    </row>
    <row r="381" spans="7:7" ht="10.5" customHeight="1" x14ac:dyDescent="0.2">
      <c r="G381" s="889"/>
    </row>
    <row r="382" spans="7:7" ht="10.5" customHeight="1" x14ac:dyDescent="0.2">
      <c r="G382" s="889"/>
    </row>
    <row r="383" spans="7:7" ht="10.5" customHeight="1" x14ac:dyDescent="0.2">
      <c r="G383" s="889"/>
    </row>
    <row r="384" spans="7:7" ht="10.5" customHeight="1" x14ac:dyDescent="0.2">
      <c r="G384" s="889"/>
    </row>
    <row r="385" spans="7:7" ht="10.5" customHeight="1" x14ac:dyDescent="0.2">
      <c r="G385" s="889"/>
    </row>
    <row r="386" spans="7:7" ht="10.5" customHeight="1" x14ac:dyDescent="0.2">
      <c r="G386" s="889"/>
    </row>
    <row r="387" spans="7:7" ht="10.5" customHeight="1" x14ac:dyDescent="0.2">
      <c r="G387" s="889"/>
    </row>
    <row r="388" spans="7:7" ht="10.5" customHeight="1" x14ac:dyDescent="0.2">
      <c r="G388" s="889"/>
    </row>
    <row r="389" spans="7:7" ht="10.5" customHeight="1" x14ac:dyDescent="0.2">
      <c r="G389" s="889"/>
    </row>
    <row r="390" spans="7:7" ht="10.5" customHeight="1" x14ac:dyDescent="0.2">
      <c r="G390" s="889"/>
    </row>
    <row r="391" spans="7:7" ht="10.5" customHeight="1" x14ac:dyDescent="0.2">
      <c r="G391" s="889"/>
    </row>
    <row r="392" spans="7:7" ht="10.5" customHeight="1" x14ac:dyDescent="0.2">
      <c r="G392" s="889"/>
    </row>
    <row r="393" spans="7:7" ht="10.5" customHeight="1" x14ac:dyDescent="0.2">
      <c r="G393" s="889"/>
    </row>
    <row r="394" spans="7:7" ht="10.5" customHeight="1" x14ac:dyDescent="0.2">
      <c r="G394" s="889"/>
    </row>
    <row r="395" spans="7:7" ht="10.5" customHeight="1" x14ac:dyDescent="0.2">
      <c r="G395" s="889"/>
    </row>
    <row r="396" spans="7:7" ht="10.5" customHeight="1" x14ac:dyDescent="0.2">
      <c r="G396" s="889"/>
    </row>
    <row r="397" spans="7:7" ht="10.5" customHeight="1" x14ac:dyDescent="0.2">
      <c r="G397" s="889"/>
    </row>
    <row r="398" spans="7:7" ht="10.5" customHeight="1" x14ac:dyDescent="0.2">
      <c r="G398" s="889"/>
    </row>
    <row r="399" spans="7:7" ht="10.5" customHeight="1" x14ac:dyDescent="0.2">
      <c r="G399" s="889"/>
    </row>
    <row r="400" spans="7:7" ht="10.5" customHeight="1" x14ac:dyDescent="0.2">
      <c r="G400" s="889"/>
    </row>
    <row r="401" spans="7:7" ht="10.5" customHeight="1" x14ac:dyDescent="0.2">
      <c r="G401" s="889"/>
    </row>
    <row r="402" spans="7:7" ht="10.5" customHeight="1" x14ac:dyDescent="0.2">
      <c r="G402" s="889"/>
    </row>
    <row r="403" spans="7:7" ht="10.5" customHeight="1" x14ac:dyDescent="0.2">
      <c r="G403" s="889"/>
    </row>
    <row r="404" spans="7:7" ht="10.5" customHeight="1" x14ac:dyDescent="0.2">
      <c r="G404" s="889"/>
    </row>
    <row r="405" spans="7:7" ht="10.5" customHeight="1" x14ac:dyDescent="0.2">
      <c r="G405" s="889"/>
    </row>
    <row r="406" spans="7:7" ht="10.5" customHeight="1" x14ac:dyDescent="0.2">
      <c r="G406" s="889"/>
    </row>
    <row r="407" spans="7:7" ht="10.5" customHeight="1" x14ac:dyDescent="0.2">
      <c r="G407" s="889"/>
    </row>
    <row r="408" spans="7:7" ht="10.5" customHeight="1" x14ac:dyDescent="0.2">
      <c r="G408" s="889"/>
    </row>
    <row r="409" spans="7:7" ht="10.5" customHeight="1" x14ac:dyDescent="0.2">
      <c r="G409" s="889"/>
    </row>
    <row r="410" spans="7:7" ht="10.5" customHeight="1" x14ac:dyDescent="0.2">
      <c r="G410" s="889"/>
    </row>
    <row r="411" spans="7:7" ht="10.5" customHeight="1" x14ac:dyDescent="0.2">
      <c r="G411" s="889"/>
    </row>
    <row r="412" spans="7:7" ht="10.5" customHeight="1" x14ac:dyDescent="0.2">
      <c r="G412" s="889"/>
    </row>
    <row r="413" spans="7:7" ht="10.5" customHeight="1" x14ac:dyDescent="0.2">
      <c r="G413" s="889"/>
    </row>
    <row r="414" spans="7:7" ht="10.5" customHeight="1" x14ac:dyDescent="0.2">
      <c r="G414" s="889"/>
    </row>
    <row r="415" spans="7:7" ht="10.5" customHeight="1" x14ac:dyDescent="0.2">
      <c r="G415" s="889"/>
    </row>
    <row r="416" spans="7:7" ht="10.5" customHeight="1" x14ac:dyDescent="0.2">
      <c r="G416" s="889"/>
    </row>
    <row r="417" spans="7:7" ht="10.5" customHeight="1" x14ac:dyDescent="0.2">
      <c r="G417" s="889"/>
    </row>
    <row r="418" spans="7:7" ht="10.5" customHeight="1" x14ac:dyDescent="0.2">
      <c r="G418" s="889"/>
    </row>
    <row r="419" spans="7:7" ht="10.5" customHeight="1" x14ac:dyDescent="0.2">
      <c r="G419" s="889"/>
    </row>
    <row r="420" spans="7:7" ht="10.5" customHeight="1" x14ac:dyDescent="0.2">
      <c r="G420" s="889"/>
    </row>
    <row r="421" spans="7:7" ht="10.5" customHeight="1" x14ac:dyDescent="0.2">
      <c r="G421" s="889"/>
    </row>
    <row r="422" spans="7:7" ht="10.5" customHeight="1" x14ac:dyDescent="0.2">
      <c r="G422" s="889"/>
    </row>
    <row r="423" spans="7:7" ht="10.5" customHeight="1" x14ac:dyDescent="0.2">
      <c r="G423" s="889"/>
    </row>
    <row r="424" spans="7:7" ht="10.5" customHeight="1" x14ac:dyDescent="0.2">
      <c r="G424" s="889"/>
    </row>
    <row r="425" spans="7:7" ht="10.5" customHeight="1" x14ac:dyDescent="0.2">
      <c r="G425" s="889"/>
    </row>
    <row r="426" spans="7:7" ht="10.5" customHeight="1" x14ac:dyDescent="0.2">
      <c r="G426" s="889"/>
    </row>
    <row r="427" spans="7:7" ht="10.5" customHeight="1" x14ac:dyDescent="0.2">
      <c r="G427" s="889"/>
    </row>
    <row r="428" spans="7:7" ht="10.5" customHeight="1" x14ac:dyDescent="0.2">
      <c r="G428" s="889"/>
    </row>
    <row r="429" spans="7:7" ht="10.5" customHeight="1" x14ac:dyDescent="0.2">
      <c r="G429" s="889"/>
    </row>
    <row r="430" spans="7:7" ht="10.5" customHeight="1" x14ac:dyDescent="0.2">
      <c r="G430" s="889"/>
    </row>
    <row r="431" spans="7:7" ht="10.5" customHeight="1" x14ac:dyDescent="0.2">
      <c r="G431" s="889"/>
    </row>
    <row r="432" spans="7:7" ht="10.5" customHeight="1" x14ac:dyDescent="0.2">
      <c r="G432" s="889"/>
    </row>
    <row r="433" spans="7:7" ht="10.5" customHeight="1" x14ac:dyDescent="0.2">
      <c r="G433" s="889"/>
    </row>
    <row r="434" spans="7:7" ht="10.5" customHeight="1" x14ac:dyDescent="0.2">
      <c r="G434" s="889"/>
    </row>
    <row r="435" spans="7:7" ht="10.5" customHeight="1" x14ac:dyDescent="0.2">
      <c r="G435" s="889"/>
    </row>
    <row r="436" spans="7:7" ht="10.5" customHeight="1" x14ac:dyDescent="0.2">
      <c r="G436" s="889"/>
    </row>
    <row r="437" spans="7:7" ht="10.5" customHeight="1" x14ac:dyDescent="0.2">
      <c r="G437" s="889"/>
    </row>
    <row r="438" spans="7:7" ht="10.5" customHeight="1" x14ac:dyDescent="0.2">
      <c r="G438" s="889"/>
    </row>
    <row r="439" spans="7:7" ht="10.5" customHeight="1" x14ac:dyDescent="0.2">
      <c r="G439" s="889"/>
    </row>
    <row r="440" spans="7:7" ht="10.5" customHeight="1" x14ac:dyDescent="0.2">
      <c r="G440" s="889"/>
    </row>
    <row r="441" spans="7:7" ht="10.5" customHeight="1" x14ac:dyDescent="0.2">
      <c r="G441" s="889"/>
    </row>
    <row r="442" spans="7:7" ht="10.5" customHeight="1" x14ac:dyDescent="0.2">
      <c r="G442" s="889"/>
    </row>
    <row r="443" spans="7:7" ht="10.5" customHeight="1" x14ac:dyDescent="0.2">
      <c r="G443" s="889"/>
    </row>
    <row r="444" spans="7:7" ht="10.5" customHeight="1" x14ac:dyDescent="0.2">
      <c r="G444" s="889"/>
    </row>
    <row r="445" spans="7:7" ht="10.5" customHeight="1" x14ac:dyDescent="0.2">
      <c r="G445" s="889"/>
    </row>
    <row r="446" spans="7:7" ht="10.5" customHeight="1" x14ac:dyDescent="0.2">
      <c r="G446" s="889"/>
    </row>
    <row r="447" spans="7:7" ht="10.5" customHeight="1" x14ac:dyDescent="0.2">
      <c r="G447" s="889"/>
    </row>
    <row r="448" spans="7:7" ht="10.5" customHeight="1" x14ac:dyDescent="0.2">
      <c r="G448" s="889"/>
    </row>
    <row r="449" spans="7:7" ht="10.5" customHeight="1" x14ac:dyDescent="0.2">
      <c r="G449" s="889"/>
    </row>
    <row r="450" spans="7:7" ht="10.5" customHeight="1" x14ac:dyDescent="0.2">
      <c r="G450" s="889"/>
    </row>
    <row r="451" spans="7:7" ht="10.5" customHeight="1" x14ac:dyDescent="0.2">
      <c r="G451" s="889"/>
    </row>
    <row r="452" spans="7:7" ht="10.5" customHeight="1" x14ac:dyDescent="0.2">
      <c r="G452" s="889"/>
    </row>
    <row r="453" spans="7:7" ht="10.5" customHeight="1" x14ac:dyDescent="0.2">
      <c r="G453" s="889"/>
    </row>
    <row r="454" spans="7:7" ht="10.5" customHeight="1" x14ac:dyDescent="0.2">
      <c r="G454" s="889"/>
    </row>
    <row r="455" spans="7:7" ht="10.5" customHeight="1" x14ac:dyDescent="0.2">
      <c r="G455" s="889"/>
    </row>
    <row r="456" spans="7:7" ht="10.5" customHeight="1" x14ac:dyDescent="0.2">
      <c r="G456" s="889"/>
    </row>
    <row r="457" spans="7:7" ht="10.5" customHeight="1" x14ac:dyDescent="0.2">
      <c r="G457" s="889"/>
    </row>
    <row r="458" spans="7:7" ht="10.5" customHeight="1" x14ac:dyDescent="0.2">
      <c r="G458" s="889"/>
    </row>
    <row r="459" spans="7:7" ht="10.5" customHeight="1" x14ac:dyDescent="0.2">
      <c r="G459" s="889"/>
    </row>
    <row r="460" spans="7:7" ht="10.5" customHeight="1" x14ac:dyDescent="0.2">
      <c r="G460" s="889"/>
    </row>
    <row r="461" spans="7:7" ht="10.5" customHeight="1" x14ac:dyDescent="0.2">
      <c r="G461" s="889"/>
    </row>
    <row r="462" spans="7:7" ht="10.5" customHeight="1" x14ac:dyDescent="0.2">
      <c r="G462" s="889"/>
    </row>
    <row r="463" spans="7:7" ht="10.5" customHeight="1" x14ac:dyDescent="0.2">
      <c r="G463" s="889"/>
    </row>
    <row r="464" spans="7:7" ht="10.5" customHeight="1" x14ac:dyDescent="0.2">
      <c r="G464" s="889"/>
    </row>
    <row r="465" spans="7:7" ht="10.5" customHeight="1" x14ac:dyDescent="0.2">
      <c r="G465" s="889"/>
    </row>
    <row r="466" spans="7:7" ht="10.5" customHeight="1" x14ac:dyDescent="0.2">
      <c r="G466" s="889"/>
    </row>
    <row r="467" spans="7:7" ht="10.5" customHeight="1" x14ac:dyDescent="0.2">
      <c r="G467" s="889"/>
    </row>
    <row r="468" spans="7:7" ht="10.5" customHeight="1" x14ac:dyDescent="0.2">
      <c r="G468" s="889"/>
    </row>
    <row r="469" spans="7:7" ht="10.5" customHeight="1" x14ac:dyDescent="0.2">
      <c r="G469" s="889"/>
    </row>
    <row r="470" spans="7:7" ht="10.5" customHeight="1" x14ac:dyDescent="0.2">
      <c r="G470" s="889"/>
    </row>
    <row r="471" spans="7:7" ht="10.5" customHeight="1" x14ac:dyDescent="0.2">
      <c r="G471" s="889"/>
    </row>
    <row r="472" spans="7:7" ht="10.5" customHeight="1" x14ac:dyDescent="0.2">
      <c r="G472" s="889"/>
    </row>
    <row r="473" spans="7:7" ht="10.5" customHeight="1" x14ac:dyDescent="0.2">
      <c r="G473" s="889"/>
    </row>
    <row r="474" spans="7:7" ht="10.5" customHeight="1" x14ac:dyDescent="0.2">
      <c r="G474" s="889"/>
    </row>
    <row r="475" spans="7:7" ht="10.5" customHeight="1" x14ac:dyDescent="0.2">
      <c r="G475" s="889"/>
    </row>
    <row r="476" spans="7:7" ht="10.5" customHeight="1" x14ac:dyDescent="0.2">
      <c r="G476" s="889"/>
    </row>
    <row r="477" spans="7:7" ht="10.5" customHeight="1" x14ac:dyDescent="0.2">
      <c r="G477" s="889"/>
    </row>
    <row r="478" spans="7:7" ht="10.5" customHeight="1" x14ac:dyDescent="0.2">
      <c r="G478" s="889"/>
    </row>
    <row r="479" spans="7:7" ht="10.5" customHeight="1" x14ac:dyDescent="0.2">
      <c r="G479" s="889"/>
    </row>
    <row r="480" spans="7:7" ht="10.5" customHeight="1" x14ac:dyDescent="0.2">
      <c r="G480" s="889"/>
    </row>
    <row r="481" spans="7:7" ht="10.5" customHeight="1" x14ac:dyDescent="0.2">
      <c r="G481" s="889"/>
    </row>
    <row r="482" spans="7:7" ht="10.5" customHeight="1" x14ac:dyDescent="0.2">
      <c r="G482" s="889"/>
    </row>
    <row r="483" spans="7:7" ht="10.5" customHeight="1" x14ac:dyDescent="0.2">
      <c r="G483" s="889"/>
    </row>
    <row r="484" spans="7:7" ht="10.5" customHeight="1" x14ac:dyDescent="0.2">
      <c r="G484" s="889"/>
    </row>
    <row r="485" spans="7:7" ht="10.5" customHeight="1" x14ac:dyDescent="0.2">
      <c r="G485" s="889"/>
    </row>
    <row r="486" spans="7:7" ht="10.5" customHeight="1" x14ac:dyDescent="0.2">
      <c r="G486" s="889"/>
    </row>
    <row r="487" spans="7:7" ht="10.5" customHeight="1" x14ac:dyDescent="0.2">
      <c r="G487" s="889"/>
    </row>
    <row r="488" spans="7:7" ht="10.5" customHeight="1" x14ac:dyDescent="0.2">
      <c r="G488" s="889"/>
    </row>
    <row r="489" spans="7:7" ht="10.5" customHeight="1" x14ac:dyDescent="0.2">
      <c r="G489" s="889"/>
    </row>
    <row r="490" spans="7:7" ht="10.5" customHeight="1" x14ac:dyDescent="0.2">
      <c r="G490" s="889"/>
    </row>
    <row r="491" spans="7:7" ht="10.5" customHeight="1" x14ac:dyDescent="0.2">
      <c r="G491" s="889"/>
    </row>
    <row r="492" spans="7:7" ht="10.5" customHeight="1" x14ac:dyDescent="0.2">
      <c r="G492" s="889"/>
    </row>
    <row r="493" spans="7:7" ht="10.5" customHeight="1" x14ac:dyDescent="0.2">
      <c r="G493" s="889"/>
    </row>
    <row r="494" spans="7:7" ht="10.5" customHeight="1" x14ac:dyDescent="0.2">
      <c r="G494" s="889"/>
    </row>
    <row r="495" spans="7:7" ht="10.5" customHeight="1" x14ac:dyDescent="0.2">
      <c r="G495" s="889"/>
    </row>
    <row r="496" spans="7:7" ht="10.5" customHeight="1" x14ac:dyDescent="0.2">
      <c r="G496" s="889"/>
    </row>
    <row r="497" spans="7:7" ht="10.5" customHeight="1" x14ac:dyDescent="0.2">
      <c r="G497" s="889"/>
    </row>
    <row r="498" spans="7:7" ht="10.5" customHeight="1" x14ac:dyDescent="0.2">
      <c r="G498" s="889"/>
    </row>
    <row r="499" spans="7:7" ht="10.5" customHeight="1" x14ac:dyDescent="0.2">
      <c r="G499" s="889"/>
    </row>
    <row r="500" spans="7:7" ht="10.5" customHeight="1" x14ac:dyDescent="0.2">
      <c r="G500" s="889"/>
    </row>
    <row r="501" spans="7:7" ht="10.5" customHeight="1" x14ac:dyDescent="0.2">
      <c r="G501" s="889"/>
    </row>
    <row r="502" spans="7:7" ht="10.5" customHeight="1" x14ac:dyDescent="0.2">
      <c r="G502" s="889"/>
    </row>
    <row r="503" spans="7:7" ht="10.5" customHeight="1" x14ac:dyDescent="0.2">
      <c r="G503" s="889"/>
    </row>
    <row r="504" spans="7:7" ht="10.5" customHeight="1" x14ac:dyDescent="0.2">
      <c r="G504" s="889"/>
    </row>
    <row r="505" spans="7:7" ht="10.5" customHeight="1" x14ac:dyDescent="0.2">
      <c r="G505" s="889"/>
    </row>
    <row r="506" spans="7:7" ht="10.5" customHeight="1" x14ac:dyDescent="0.2">
      <c r="G506" s="889"/>
    </row>
    <row r="507" spans="7:7" ht="10.5" customHeight="1" x14ac:dyDescent="0.2">
      <c r="G507" s="889"/>
    </row>
    <row r="508" spans="7:7" ht="10.5" customHeight="1" x14ac:dyDescent="0.2">
      <c r="G508" s="889"/>
    </row>
    <row r="509" spans="7:7" ht="10.5" customHeight="1" x14ac:dyDescent="0.2">
      <c r="G509" s="889"/>
    </row>
    <row r="510" spans="7:7" ht="10.5" customHeight="1" x14ac:dyDescent="0.2">
      <c r="G510" s="889"/>
    </row>
    <row r="511" spans="7:7" ht="10.5" customHeight="1" x14ac:dyDescent="0.2">
      <c r="G511" s="889"/>
    </row>
    <row r="512" spans="7:7" ht="10.5" customHeight="1" x14ac:dyDescent="0.2">
      <c r="G512" s="889"/>
    </row>
    <row r="513" spans="7:7" ht="10.5" customHeight="1" x14ac:dyDescent="0.2">
      <c r="G513" s="889"/>
    </row>
    <row r="514" spans="7:7" ht="10.5" customHeight="1" x14ac:dyDescent="0.2">
      <c r="G514" s="889"/>
    </row>
    <row r="515" spans="7:7" ht="10.5" customHeight="1" x14ac:dyDescent="0.2">
      <c r="G515" s="889"/>
    </row>
    <row r="516" spans="7:7" ht="10.5" customHeight="1" x14ac:dyDescent="0.2">
      <c r="G516" s="889"/>
    </row>
    <row r="517" spans="7:7" ht="10.5" customHeight="1" x14ac:dyDescent="0.2">
      <c r="G517" s="889"/>
    </row>
    <row r="518" spans="7:7" ht="10.5" customHeight="1" x14ac:dyDescent="0.2">
      <c r="G518" s="889"/>
    </row>
    <row r="519" spans="7:7" ht="10.5" customHeight="1" x14ac:dyDescent="0.2">
      <c r="G519" s="889"/>
    </row>
    <row r="520" spans="7:7" ht="10.5" customHeight="1" x14ac:dyDescent="0.2">
      <c r="G520" s="889"/>
    </row>
    <row r="521" spans="7:7" ht="10.5" customHeight="1" x14ac:dyDescent="0.2">
      <c r="G521" s="889"/>
    </row>
    <row r="522" spans="7:7" ht="10.5" customHeight="1" x14ac:dyDescent="0.2">
      <c r="G522" s="889"/>
    </row>
    <row r="523" spans="7:7" ht="10.5" customHeight="1" x14ac:dyDescent="0.2">
      <c r="G523" s="889"/>
    </row>
    <row r="524" spans="7:7" ht="10.5" customHeight="1" x14ac:dyDescent="0.2">
      <c r="G524" s="889"/>
    </row>
    <row r="525" spans="7:7" ht="10.5" customHeight="1" x14ac:dyDescent="0.2">
      <c r="G525" s="889"/>
    </row>
    <row r="526" spans="7:7" ht="10.5" customHeight="1" x14ac:dyDescent="0.2">
      <c r="G526" s="889"/>
    </row>
    <row r="527" spans="7:7" ht="10.5" customHeight="1" x14ac:dyDescent="0.2">
      <c r="G527" s="889"/>
    </row>
    <row r="528" spans="7:7" ht="10.5" customHeight="1" x14ac:dyDescent="0.2">
      <c r="G528" s="889"/>
    </row>
    <row r="529" spans="7:7" ht="10.5" customHeight="1" x14ac:dyDescent="0.2">
      <c r="G529" s="889"/>
    </row>
    <row r="530" spans="7:7" ht="10.5" customHeight="1" x14ac:dyDescent="0.2">
      <c r="G530" s="889"/>
    </row>
    <row r="531" spans="7:7" ht="10.5" customHeight="1" x14ac:dyDescent="0.2">
      <c r="G531" s="889"/>
    </row>
    <row r="532" spans="7:7" ht="10.5" customHeight="1" x14ac:dyDescent="0.2">
      <c r="G532" s="889"/>
    </row>
    <row r="533" spans="7:7" ht="10.5" customHeight="1" x14ac:dyDescent="0.2">
      <c r="G533" s="889"/>
    </row>
    <row r="534" spans="7:7" ht="10.5" customHeight="1" x14ac:dyDescent="0.2">
      <c r="G534" s="889"/>
    </row>
    <row r="535" spans="7:7" ht="10.5" customHeight="1" x14ac:dyDescent="0.2">
      <c r="G535" s="889"/>
    </row>
    <row r="536" spans="7:7" ht="10.5" customHeight="1" x14ac:dyDescent="0.2">
      <c r="G536" s="889"/>
    </row>
    <row r="537" spans="7:7" ht="10.5" customHeight="1" x14ac:dyDescent="0.2">
      <c r="G537" s="889"/>
    </row>
    <row r="538" spans="7:7" ht="10.5" customHeight="1" x14ac:dyDescent="0.2">
      <c r="G538" s="889"/>
    </row>
    <row r="539" spans="7:7" ht="10.5" customHeight="1" x14ac:dyDescent="0.2">
      <c r="G539" s="889"/>
    </row>
    <row r="540" spans="7:7" ht="10.5" customHeight="1" x14ac:dyDescent="0.2">
      <c r="G540" s="889"/>
    </row>
    <row r="541" spans="7:7" ht="10.5" customHeight="1" x14ac:dyDescent="0.2">
      <c r="G541" s="889"/>
    </row>
    <row r="542" spans="7:7" ht="10.5" customHeight="1" x14ac:dyDescent="0.2">
      <c r="G542" s="889"/>
    </row>
    <row r="543" spans="7:7" ht="10.5" customHeight="1" x14ac:dyDescent="0.2">
      <c r="G543" s="889"/>
    </row>
    <row r="544" spans="7:7" ht="10.5" customHeight="1" x14ac:dyDescent="0.2">
      <c r="G544" s="889"/>
    </row>
    <row r="545" spans="7:7" ht="10.5" customHeight="1" x14ac:dyDescent="0.2">
      <c r="G545" s="889"/>
    </row>
    <row r="546" spans="7:7" ht="10.5" customHeight="1" x14ac:dyDescent="0.2">
      <c r="G546" s="889"/>
    </row>
    <row r="547" spans="7:7" ht="10.5" customHeight="1" x14ac:dyDescent="0.2">
      <c r="G547" s="889"/>
    </row>
    <row r="548" spans="7:7" ht="10.5" customHeight="1" x14ac:dyDescent="0.2">
      <c r="G548" s="889"/>
    </row>
    <row r="549" spans="7:7" ht="10.5" customHeight="1" x14ac:dyDescent="0.2">
      <c r="G549" s="889"/>
    </row>
    <row r="550" spans="7:7" ht="10.5" customHeight="1" x14ac:dyDescent="0.2">
      <c r="G550" s="889"/>
    </row>
    <row r="551" spans="7:7" ht="10.5" customHeight="1" x14ac:dyDescent="0.2">
      <c r="G551" s="889"/>
    </row>
    <row r="552" spans="7:7" ht="10.5" customHeight="1" x14ac:dyDescent="0.2">
      <c r="G552" s="889"/>
    </row>
    <row r="553" spans="7:7" ht="10.5" customHeight="1" x14ac:dyDescent="0.2">
      <c r="G553" s="889"/>
    </row>
    <row r="554" spans="7:7" ht="10.5" customHeight="1" x14ac:dyDescent="0.2">
      <c r="G554" s="889"/>
    </row>
    <row r="555" spans="7:7" ht="10.5" customHeight="1" x14ac:dyDescent="0.2">
      <c r="G555" s="889"/>
    </row>
    <row r="556" spans="7:7" ht="10.5" customHeight="1" x14ac:dyDescent="0.2">
      <c r="G556" s="889"/>
    </row>
    <row r="557" spans="7:7" ht="10.5" customHeight="1" x14ac:dyDescent="0.2">
      <c r="G557" s="889"/>
    </row>
    <row r="558" spans="7:7" ht="10.5" customHeight="1" x14ac:dyDescent="0.2">
      <c r="G558" s="889"/>
    </row>
    <row r="559" spans="7:7" ht="10.5" customHeight="1" x14ac:dyDescent="0.2">
      <c r="G559" s="889"/>
    </row>
    <row r="560" spans="7:7" ht="10.5" customHeight="1" x14ac:dyDescent="0.2">
      <c r="G560" s="889"/>
    </row>
    <row r="561" spans="7:7" ht="10.5" customHeight="1" x14ac:dyDescent="0.2">
      <c r="G561" s="889"/>
    </row>
    <row r="562" spans="7:7" ht="10.5" customHeight="1" x14ac:dyDescent="0.2">
      <c r="G562" s="889"/>
    </row>
    <row r="563" spans="7:7" ht="10.5" customHeight="1" x14ac:dyDescent="0.2">
      <c r="G563" s="889"/>
    </row>
    <row r="564" spans="7:7" ht="10.5" customHeight="1" x14ac:dyDescent="0.2">
      <c r="G564" s="889"/>
    </row>
    <row r="565" spans="7:7" ht="10.5" customHeight="1" x14ac:dyDescent="0.2">
      <c r="G565" s="889"/>
    </row>
    <row r="566" spans="7:7" ht="10.5" customHeight="1" x14ac:dyDescent="0.2">
      <c r="G566" s="889"/>
    </row>
    <row r="567" spans="7:7" ht="10.5" customHeight="1" x14ac:dyDescent="0.2">
      <c r="G567" s="889"/>
    </row>
    <row r="568" spans="7:7" ht="10.5" customHeight="1" x14ac:dyDescent="0.2">
      <c r="G568" s="889"/>
    </row>
    <row r="569" spans="7:7" ht="10.5" customHeight="1" x14ac:dyDescent="0.2">
      <c r="G569" s="889"/>
    </row>
    <row r="570" spans="7:7" ht="10.5" customHeight="1" x14ac:dyDescent="0.2">
      <c r="G570" s="889"/>
    </row>
    <row r="571" spans="7:7" ht="10.5" customHeight="1" x14ac:dyDescent="0.2">
      <c r="G571" s="889"/>
    </row>
    <row r="572" spans="7:7" ht="10.5" customHeight="1" x14ac:dyDescent="0.2">
      <c r="G572" s="889"/>
    </row>
    <row r="573" spans="7:7" ht="10.5" customHeight="1" x14ac:dyDescent="0.2">
      <c r="G573" s="889"/>
    </row>
    <row r="574" spans="7:7" ht="10.5" customHeight="1" x14ac:dyDescent="0.2">
      <c r="G574" s="889"/>
    </row>
    <row r="575" spans="7:7" ht="10.5" customHeight="1" x14ac:dyDescent="0.2">
      <c r="G575" s="889"/>
    </row>
    <row r="576" spans="7:7" ht="10.5" customHeight="1" x14ac:dyDescent="0.2">
      <c r="G576" s="889"/>
    </row>
    <row r="577" spans="7:7" ht="10.5" customHeight="1" x14ac:dyDescent="0.2">
      <c r="G577" s="889"/>
    </row>
    <row r="578" spans="7:7" ht="10.5" customHeight="1" x14ac:dyDescent="0.2">
      <c r="G578" s="889"/>
    </row>
    <row r="579" spans="7:7" ht="10.5" customHeight="1" x14ac:dyDescent="0.2">
      <c r="G579" s="889"/>
    </row>
    <row r="580" spans="7:7" ht="10.5" customHeight="1" x14ac:dyDescent="0.2">
      <c r="G580" s="889"/>
    </row>
    <row r="581" spans="7:7" ht="10.5" customHeight="1" x14ac:dyDescent="0.2">
      <c r="G581" s="889"/>
    </row>
    <row r="582" spans="7:7" ht="10.5" customHeight="1" x14ac:dyDescent="0.2">
      <c r="G582" s="889"/>
    </row>
    <row r="583" spans="7:7" ht="10.5" customHeight="1" x14ac:dyDescent="0.2">
      <c r="G583" s="889"/>
    </row>
    <row r="584" spans="7:7" ht="10.5" customHeight="1" x14ac:dyDescent="0.2">
      <c r="G584" s="889"/>
    </row>
    <row r="585" spans="7:7" ht="10.5" customHeight="1" x14ac:dyDescent="0.2">
      <c r="G585" s="889"/>
    </row>
    <row r="586" spans="7:7" ht="10.5" customHeight="1" x14ac:dyDescent="0.2">
      <c r="G586" s="889"/>
    </row>
    <row r="587" spans="7:7" ht="10.5" customHeight="1" x14ac:dyDescent="0.2">
      <c r="G587" s="889"/>
    </row>
    <row r="588" spans="7:7" ht="10.5" customHeight="1" x14ac:dyDescent="0.2">
      <c r="G588" s="889"/>
    </row>
    <row r="589" spans="7:7" ht="10.5" customHeight="1" x14ac:dyDescent="0.2">
      <c r="G589" s="889"/>
    </row>
    <row r="590" spans="7:7" ht="10.5" customHeight="1" x14ac:dyDescent="0.2">
      <c r="G590" s="889"/>
    </row>
    <row r="591" spans="7:7" ht="10.5" customHeight="1" x14ac:dyDescent="0.2">
      <c r="G591" s="889"/>
    </row>
    <row r="592" spans="7:7" ht="10.5" customHeight="1" x14ac:dyDescent="0.2">
      <c r="G592" s="889"/>
    </row>
    <row r="593" spans="7:7" ht="10.5" customHeight="1" x14ac:dyDescent="0.2">
      <c r="G593" s="889"/>
    </row>
    <row r="594" spans="7:7" ht="10.5" customHeight="1" x14ac:dyDescent="0.2">
      <c r="G594" s="889"/>
    </row>
    <row r="595" spans="7:7" ht="10.5" customHeight="1" x14ac:dyDescent="0.2">
      <c r="G595" s="889"/>
    </row>
    <row r="596" spans="7:7" ht="10.5" customHeight="1" x14ac:dyDescent="0.2">
      <c r="G596" s="889"/>
    </row>
    <row r="597" spans="7:7" ht="10.5" customHeight="1" x14ac:dyDescent="0.2">
      <c r="G597" s="889"/>
    </row>
    <row r="598" spans="7:7" ht="10.5" customHeight="1" x14ac:dyDescent="0.2">
      <c r="G598" s="889"/>
    </row>
    <row r="599" spans="7:7" ht="10.5" customHeight="1" x14ac:dyDescent="0.2">
      <c r="G599" s="889"/>
    </row>
    <row r="600" spans="7:7" ht="10.5" customHeight="1" x14ac:dyDescent="0.2">
      <c r="G600" s="889"/>
    </row>
    <row r="601" spans="7:7" ht="10.5" customHeight="1" x14ac:dyDescent="0.2">
      <c r="G601" s="889"/>
    </row>
    <row r="602" spans="7:7" ht="10.5" customHeight="1" x14ac:dyDescent="0.2">
      <c r="G602" s="889"/>
    </row>
    <row r="603" spans="7:7" ht="10.5" customHeight="1" x14ac:dyDescent="0.2">
      <c r="G603" s="889"/>
    </row>
    <row r="604" spans="7:7" ht="10.5" customHeight="1" x14ac:dyDescent="0.2">
      <c r="G604" s="889"/>
    </row>
    <row r="605" spans="7:7" ht="10.5" customHeight="1" x14ac:dyDescent="0.2">
      <c r="G605" s="889"/>
    </row>
    <row r="606" spans="7:7" ht="10.5" customHeight="1" x14ac:dyDescent="0.2">
      <c r="G606" s="889"/>
    </row>
    <row r="607" spans="7:7" ht="10.5" customHeight="1" x14ac:dyDescent="0.2">
      <c r="G607" s="889"/>
    </row>
    <row r="608" spans="7:7" ht="10.5" customHeight="1" x14ac:dyDescent="0.2">
      <c r="G608" s="889"/>
    </row>
    <row r="609" spans="7:7" ht="10.5" customHeight="1" x14ac:dyDescent="0.2">
      <c r="G609" s="889"/>
    </row>
    <row r="610" spans="7:7" ht="10.5" customHeight="1" x14ac:dyDescent="0.2">
      <c r="G610" s="889"/>
    </row>
    <row r="611" spans="7:7" ht="10.5" customHeight="1" x14ac:dyDescent="0.2">
      <c r="G611" s="889"/>
    </row>
    <row r="612" spans="7:7" ht="10.5" customHeight="1" x14ac:dyDescent="0.2">
      <c r="G612" s="889"/>
    </row>
    <row r="613" spans="7:7" ht="10.5" customHeight="1" x14ac:dyDescent="0.2">
      <c r="G613" s="889"/>
    </row>
    <row r="614" spans="7:7" ht="10.5" customHeight="1" x14ac:dyDescent="0.2">
      <c r="G614" s="889"/>
    </row>
    <row r="615" spans="7:7" ht="10.5" customHeight="1" x14ac:dyDescent="0.2">
      <c r="G615" s="889"/>
    </row>
    <row r="616" spans="7:7" ht="10.5" customHeight="1" x14ac:dyDescent="0.2">
      <c r="G616" s="889"/>
    </row>
    <row r="617" spans="7:7" ht="10.5" customHeight="1" x14ac:dyDescent="0.2">
      <c r="G617" s="889"/>
    </row>
    <row r="618" spans="7:7" ht="10.5" customHeight="1" x14ac:dyDescent="0.2">
      <c r="G618" s="889"/>
    </row>
    <row r="619" spans="7:7" ht="10.5" customHeight="1" x14ac:dyDescent="0.2">
      <c r="G619" s="889"/>
    </row>
    <row r="620" spans="7:7" ht="10.5" customHeight="1" x14ac:dyDescent="0.2">
      <c r="G620" s="889"/>
    </row>
    <row r="621" spans="7:7" ht="10.5" customHeight="1" x14ac:dyDescent="0.2">
      <c r="G621" s="889"/>
    </row>
    <row r="622" spans="7:7" ht="10.5" customHeight="1" x14ac:dyDescent="0.2">
      <c r="G622" s="889"/>
    </row>
    <row r="623" spans="7:7" ht="10.5" customHeight="1" x14ac:dyDescent="0.2">
      <c r="G623" s="889"/>
    </row>
    <row r="624" spans="7:7" ht="10.5" customHeight="1" x14ac:dyDescent="0.2">
      <c r="G624" s="889"/>
    </row>
    <row r="625" spans="7:7" ht="10.5" customHeight="1" x14ac:dyDescent="0.2">
      <c r="G625" s="889"/>
    </row>
    <row r="626" spans="7:7" ht="10.5" customHeight="1" x14ac:dyDescent="0.2">
      <c r="G626" s="889"/>
    </row>
    <row r="627" spans="7:7" ht="10.5" customHeight="1" x14ac:dyDescent="0.2">
      <c r="G627" s="889"/>
    </row>
    <row r="628" spans="7:7" ht="10.5" customHeight="1" x14ac:dyDescent="0.2">
      <c r="G628" s="889"/>
    </row>
    <row r="629" spans="7:7" ht="10.5" customHeight="1" x14ac:dyDescent="0.2">
      <c r="G629" s="889"/>
    </row>
    <row r="630" spans="7:7" ht="10.5" customHeight="1" x14ac:dyDescent="0.2">
      <c r="G630" s="889"/>
    </row>
    <row r="631" spans="7:7" ht="10.5" customHeight="1" x14ac:dyDescent="0.2">
      <c r="G631" s="889"/>
    </row>
    <row r="632" spans="7:7" ht="10.5" customHeight="1" x14ac:dyDescent="0.2">
      <c r="G632" s="889"/>
    </row>
    <row r="633" spans="7:7" ht="10.5" customHeight="1" x14ac:dyDescent="0.2">
      <c r="G633" s="889"/>
    </row>
    <row r="634" spans="7:7" ht="10.5" customHeight="1" x14ac:dyDescent="0.2">
      <c r="G634" s="889"/>
    </row>
    <row r="635" spans="7:7" ht="10.5" customHeight="1" x14ac:dyDescent="0.2">
      <c r="G635" s="889"/>
    </row>
    <row r="636" spans="7:7" ht="10.5" customHeight="1" x14ac:dyDescent="0.2">
      <c r="G636" s="889"/>
    </row>
    <row r="637" spans="7:7" ht="10.5" customHeight="1" x14ac:dyDescent="0.2">
      <c r="G637" s="889"/>
    </row>
    <row r="638" spans="7:7" ht="10.5" customHeight="1" x14ac:dyDescent="0.2">
      <c r="G638" s="889"/>
    </row>
    <row r="639" spans="7:7" ht="10.5" customHeight="1" x14ac:dyDescent="0.2">
      <c r="G639" s="889"/>
    </row>
    <row r="640" spans="7:7" ht="10.5" customHeight="1" x14ac:dyDescent="0.2">
      <c r="G640" s="889"/>
    </row>
    <row r="641" spans="7:7" ht="10.5" customHeight="1" x14ac:dyDescent="0.2">
      <c r="G641" s="889"/>
    </row>
    <row r="642" spans="7:7" ht="10.5" customHeight="1" x14ac:dyDescent="0.2">
      <c r="G642" s="889"/>
    </row>
    <row r="643" spans="7:7" ht="10.5" customHeight="1" x14ac:dyDescent="0.2">
      <c r="G643" s="889"/>
    </row>
    <row r="644" spans="7:7" ht="10.5" customHeight="1" x14ac:dyDescent="0.2">
      <c r="G644" s="889"/>
    </row>
    <row r="645" spans="7:7" ht="10.5" customHeight="1" x14ac:dyDescent="0.2">
      <c r="G645" s="889"/>
    </row>
    <row r="646" spans="7:7" ht="10.5" customHeight="1" x14ac:dyDescent="0.2">
      <c r="G646" s="889"/>
    </row>
    <row r="647" spans="7:7" ht="10.5" customHeight="1" x14ac:dyDescent="0.2">
      <c r="G647" s="889"/>
    </row>
    <row r="648" spans="7:7" ht="10.5" customHeight="1" x14ac:dyDescent="0.2">
      <c r="G648" s="889"/>
    </row>
    <row r="649" spans="7:7" ht="10.5" customHeight="1" x14ac:dyDescent="0.2">
      <c r="G649" s="889"/>
    </row>
    <row r="650" spans="7:7" ht="10.5" customHeight="1" x14ac:dyDescent="0.2">
      <c r="G650" s="889"/>
    </row>
    <row r="651" spans="7:7" ht="10.5" customHeight="1" x14ac:dyDescent="0.2">
      <c r="G651" s="889"/>
    </row>
    <row r="652" spans="7:7" ht="10.5" customHeight="1" x14ac:dyDescent="0.2">
      <c r="G652" s="889"/>
    </row>
    <row r="653" spans="7:7" ht="10.5" customHeight="1" x14ac:dyDescent="0.2">
      <c r="G653" s="889"/>
    </row>
    <row r="654" spans="7:7" ht="10.5" customHeight="1" x14ac:dyDescent="0.2">
      <c r="G654" s="889"/>
    </row>
    <row r="655" spans="7:7" ht="10.5" customHeight="1" x14ac:dyDescent="0.2">
      <c r="G655" s="889"/>
    </row>
    <row r="656" spans="7:7" ht="10.5" customHeight="1" x14ac:dyDescent="0.2">
      <c r="G656" s="889"/>
    </row>
    <row r="657" spans="7:7" ht="10.5" customHeight="1" x14ac:dyDescent="0.2">
      <c r="G657" s="889"/>
    </row>
    <row r="658" spans="7:7" ht="10.5" customHeight="1" x14ac:dyDescent="0.2">
      <c r="G658" s="889"/>
    </row>
    <row r="659" spans="7:7" ht="10.5" customHeight="1" x14ac:dyDescent="0.2">
      <c r="G659" s="889"/>
    </row>
    <row r="660" spans="7:7" ht="10.5" customHeight="1" x14ac:dyDescent="0.2">
      <c r="G660" s="889"/>
    </row>
    <row r="661" spans="7:7" ht="10.5" customHeight="1" x14ac:dyDescent="0.2">
      <c r="G661" s="889"/>
    </row>
    <row r="662" spans="7:7" ht="10.5" customHeight="1" x14ac:dyDescent="0.2">
      <c r="G662" s="889"/>
    </row>
    <row r="663" spans="7:7" ht="10.5" customHeight="1" x14ac:dyDescent="0.2">
      <c r="G663" s="889"/>
    </row>
    <row r="664" spans="7:7" ht="10.5" customHeight="1" x14ac:dyDescent="0.2">
      <c r="G664" s="889"/>
    </row>
    <row r="665" spans="7:7" ht="10.5" customHeight="1" x14ac:dyDescent="0.2">
      <c r="G665" s="889"/>
    </row>
    <row r="666" spans="7:7" ht="10.5" customHeight="1" x14ac:dyDescent="0.2">
      <c r="G666" s="889"/>
    </row>
    <row r="667" spans="7:7" ht="10.5" customHeight="1" x14ac:dyDescent="0.2">
      <c r="G667" s="889"/>
    </row>
    <row r="668" spans="7:7" ht="10.5" customHeight="1" x14ac:dyDescent="0.2">
      <c r="G668" s="889"/>
    </row>
    <row r="669" spans="7:7" ht="10.5" customHeight="1" x14ac:dyDescent="0.2">
      <c r="G669" s="889"/>
    </row>
    <row r="670" spans="7:7" ht="10.5" customHeight="1" x14ac:dyDescent="0.2">
      <c r="G670" s="889"/>
    </row>
    <row r="671" spans="7:7" ht="10.5" customHeight="1" x14ac:dyDescent="0.2">
      <c r="G671" s="889"/>
    </row>
    <row r="672" spans="7:7" ht="10.5" customHeight="1" x14ac:dyDescent="0.2">
      <c r="G672" s="889"/>
    </row>
    <row r="673" spans="7:7" ht="10.5" customHeight="1" x14ac:dyDescent="0.2">
      <c r="G673" s="889"/>
    </row>
    <row r="674" spans="7:7" ht="10.5" customHeight="1" x14ac:dyDescent="0.2">
      <c r="G674" s="889"/>
    </row>
    <row r="675" spans="7:7" ht="10.5" customHeight="1" x14ac:dyDescent="0.2">
      <c r="G675" s="889"/>
    </row>
    <row r="676" spans="7:7" ht="10.5" customHeight="1" x14ac:dyDescent="0.2">
      <c r="G676" s="889"/>
    </row>
    <row r="677" spans="7:7" ht="10.5" customHeight="1" x14ac:dyDescent="0.2">
      <c r="G677" s="889"/>
    </row>
    <row r="678" spans="7:7" ht="10.5" customHeight="1" x14ac:dyDescent="0.2">
      <c r="G678" s="889"/>
    </row>
    <row r="679" spans="7:7" ht="10.5" customHeight="1" x14ac:dyDescent="0.2">
      <c r="G679" s="889"/>
    </row>
    <row r="680" spans="7:7" ht="10.5" customHeight="1" x14ac:dyDescent="0.2">
      <c r="G680" s="889"/>
    </row>
    <row r="681" spans="7:7" ht="10.5" customHeight="1" x14ac:dyDescent="0.2">
      <c r="G681" s="889"/>
    </row>
    <row r="682" spans="7:7" ht="10.5" customHeight="1" x14ac:dyDescent="0.2">
      <c r="G682" s="889"/>
    </row>
    <row r="683" spans="7:7" ht="10.5" customHeight="1" x14ac:dyDescent="0.2">
      <c r="G683" s="889"/>
    </row>
    <row r="684" spans="7:7" ht="10.5" customHeight="1" x14ac:dyDescent="0.2">
      <c r="G684" s="889"/>
    </row>
    <row r="685" spans="7:7" ht="10.5" customHeight="1" x14ac:dyDescent="0.2">
      <c r="G685" s="889"/>
    </row>
    <row r="686" spans="7:7" ht="10.5" customHeight="1" x14ac:dyDescent="0.2">
      <c r="G686" s="889"/>
    </row>
    <row r="687" spans="7:7" ht="10.5" customHeight="1" x14ac:dyDescent="0.2">
      <c r="G687" s="889"/>
    </row>
    <row r="688" spans="7:7" ht="10.5" customHeight="1" x14ac:dyDescent="0.2">
      <c r="G688" s="889"/>
    </row>
    <row r="689" spans="7:7" ht="10.5" customHeight="1" x14ac:dyDescent="0.2">
      <c r="G689" s="889"/>
    </row>
    <row r="690" spans="7:7" ht="10.5" customHeight="1" x14ac:dyDescent="0.2">
      <c r="G690" s="889"/>
    </row>
    <row r="691" spans="7:7" ht="10.5" customHeight="1" x14ac:dyDescent="0.2">
      <c r="G691" s="889"/>
    </row>
    <row r="692" spans="7:7" ht="10.5" customHeight="1" x14ac:dyDescent="0.2">
      <c r="G692" s="889"/>
    </row>
    <row r="693" spans="7:7" ht="10.5" customHeight="1" x14ac:dyDescent="0.2">
      <c r="G693" s="889"/>
    </row>
    <row r="694" spans="7:7" ht="10.5" customHeight="1" x14ac:dyDescent="0.2">
      <c r="G694" s="889"/>
    </row>
    <row r="695" spans="7:7" ht="10.5" customHeight="1" x14ac:dyDescent="0.2">
      <c r="G695" s="889"/>
    </row>
    <row r="696" spans="7:7" ht="10.5" customHeight="1" x14ac:dyDescent="0.2">
      <c r="G696" s="889"/>
    </row>
    <row r="697" spans="7:7" ht="10.5" customHeight="1" x14ac:dyDescent="0.2">
      <c r="G697" s="889"/>
    </row>
    <row r="698" spans="7:7" ht="10.5" customHeight="1" x14ac:dyDescent="0.2">
      <c r="G698" s="889"/>
    </row>
    <row r="699" spans="7:7" ht="10.5" customHeight="1" x14ac:dyDescent="0.2">
      <c r="G699" s="889"/>
    </row>
    <row r="700" spans="7:7" ht="10.5" customHeight="1" x14ac:dyDescent="0.2">
      <c r="G700" s="889"/>
    </row>
    <row r="701" spans="7:7" ht="10.5" customHeight="1" x14ac:dyDescent="0.2">
      <c r="G701" s="889"/>
    </row>
    <row r="702" spans="7:7" ht="10.5" customHeight="1" x14ac:dyDescent="0.2">
      <c r="G702" s="889"/>
    </row>
    <row r="703" spans="7:7" ht="10.5" customHeight="1" x14ac:dyDescent="0.2">
      <c r="G703" s="889"/>
    </row>
    <row r="704" spans="7:7" ht="10.5" customHeight="1" x14ac:dyDescent="0.2">
      <c r="G704" s="889"/>
    </row>
    <row r="705" spans="7:7" ht="10.5" customHeight="1" x14ac:dyDescent="0.2">
      <c r="G705" s="889"/>
    </row>
    <row r="706" spans="7:7" ht="10.5" customHeight="1" x14ac:dyDescent="0.2">
      <c r="G706" s="889"/>
    </row>
    <row r="707" spans="7:7" ht="10.5" customHeight="1" x14ac:dyDescent="0.2">
      <c r="G707" s="889"/>
    </row>
    <row r="708" spans="7:7" ht="10.5" customHeight="1" x14ac:dyDescent="0.2">
      <c r="G708" s="889"/>
    </row>
    <row r="709" spans="7:7" ht="10.5" customHeight="1" x14ac:dyDescent="0.2">
      <c r="G709" s="889"/>
    </row>
    <row r="710" spans="7:7" ht="10.5" customHeight="1" x14ac:dyDescent="0.2">
      <c r="G710" s="889"/>
    </row>
    <row r="711" spans="7:7" ht="10.5" customHeight="1" x14ac:dyDescent="0.2">
      <c r="G711" s="889"/>
    </row>
    <row r="712" spans="7:7" ht="10.5" customHeight="1" x14ac:dyDescent="0.2">
      <c r="G712" s="889"/>
    </row>
    <row r="713" spans="7:7" ht="10.5" customHeight="1" x14ac:dyDescent="0.2">
      <c r="G713" s="889"/>
    </row>
    <row r="714" spans="7:7" ht="10.5" customHeight="1" x14ac:dyDescent="0.2">
      <c r="G714" s="889"/>
    </row>
    <row r="715" spans="7:7" ht="10.5" customHeight="1" x14ac:dyDescent="0.2">
      <c r="G715" s="889"/>
    </row>
    <row r="716" spans="7:7" ht="10.5" customHeight="1" x14ac:dyDescent="0.2">
      <c r="G716" s="889"/>
    </row>
    <row r="717" spans="7:7" ht="10.5" customHeight="1" x14ac:dyDescent="0.2">
      <c r="G717" s="889"/>
    </row>
    <row r="718" spans="7:7" ht="10.5" customHeight="1" x14ac:dyDescent="0.2">
      <c r="G718" s="889"/>
    </row>
    <row r="719" spans="7:7" ht="10.5" customHeight="1" x14ac:dyDescent="0.2">
      <c r="G719" s="889"/>
    </row>
    <row r="720" spans="7:7" ht="10.5" customHeight="1" x14ac:dyDescent="0.2">
      <c r="G720" s="889"/>
    </row>
    <row r="721" spans="7:7" ht="10.5" customHeight="1" x14ac:dyDescent="0.2">
      <c r="G721" s="889"/>
    </row>
    <row r="722" spans="7:7" ht="10.5" customHeight="1" x14ac:dyDescent="0.2">
      <c r="G722" s="889"/>
    </row>
    <row r="723" spans="7:7" ht="10.5" customHeight="1" x14ac:dyDescent="0.2">
      <c r="G723" s="889"/>
    </row>
    <row r="724" spans="7:7" ht="10.5" customHeight="1" x14ac:dyDescent="0.2">
      <c r="G724" s="889"/>
    </row>
    <row r="725" spans="7:7" ht="10.5" customHeight="1" x14ac:dyDescent="0.2">
      <c r="G725" s="889"/>
    </row>
    <row r="726" spans="7:7" ht="10.5" customHeight="1" x14ac:dyDescent="0.2">
      <c r="G726" s="889"/>
    </row>
    <row r="727" spans="7:7" ht="10.5" customHeight="1" x14ac:dyDescent="0.2">
      <c r="G727" s="889"/>
    </row>
    <row r="728" spans="7:7" ht="10.5" customHeight="1" x14ac:dyDescent="0.2">
      <c r="G728" s="889"/>
    </row>
    <row r="729" spans="7:7" ht="10.5" customHeight="1" x14ac:dyDescent="0.2">
      <c r="G729" s="889"/>
    </row>
    <row r="730" spans="7:7" ht="10.5" customHeight="1" x14ac:dyDescent="0.2">
      <c r="G730" s="889"/>
    </row>
    <row r="731" spans="7:7" ht="10.5" customHeight="1" x14ac:dyDescent="0.2">
      <c r="G731" s="889"/>
    </row>
    <row r="732" spans="7:7" ht="10.5" customHeight="1" x14ac:dyDescent="0.2">
      <c r="G732" s="889"/>
    </row>
    <row r="733" spans="7:7" ht="10.5" customHeight="1" x14ac:dyDescent="0.2">
      <c r="G733" s="889"/>
    </row>
    <row r="734" spans="7:7" ht="10.5" customHeight="1" x14ac:dyDescent="0.2">
      <c r="G734" s="889"/>
    </row>
    <row r="735" spans="7:7" ht="10.5" customHeight="1" x14ac:dyDescent="0.2">
      <c r="G735" s="889"/>
    </row>
    <row r="736" spans="7:7" ht="10.5" customHeight="1" x14ac:dyDescent="0.2">
      <c r="G736" s="889"/>
    </row>
    <row r="737" spans="7:7" ht="10.5" customHeight="1" x14ac:dyDescent="0.2">
      <c r="G737" s="889"/>
    </row>
    <row r="738" spans="7:7" ht="10.5" customHeight="1" x14ac:dyDescent="0.2">
      <c r="G738" s="889"/>
    </row>
    <row r="739" spans="7:7" ht="10.5" customHeight="1" x14ac:dyDescent="0.2">
      <c r="G739" s="889"/>
    </row>
    <row r="740" spans="7:7" ht="10.5" customHeight="1" x14ac:dyDescent="0.2">
      <c r="G740" s="889"/>
    </row>
    <row r="741" spans="7:7" ht="10.5" customHeight="1" x14ac:dyDescent="0.2">
      <c r="G741" s="889"/>
    </row>
    <row r="742" spans="7:7" ht="10.5" customHeight="1" x14ac:dyDescent="0.2">
      <c r="G742" s="889"/>
    </row>
    <row r="743" spans="7:7" ht="10.5" customHeight="1" x14ac:dyDescent="0.2">
      <c r="G743" s="889"/>
    </row>
    <row r="744" spans="7:7" ht="10.5" customHeight="1" x14ac:dyDescent="0.2">
      <c r="G744" s="889"/>
    </row>
    <row r="745" spans="7:7" ht="10.5" customHeight="1" x14ac:dyDescent="0.2">
      <c r="G745" s="889"/>
    </row>
    <row r="746" spans="7:7" ht="10.5" customHeight="1" x14ac:dyDescent="0.2">
      <c r="G746" s="889"/>
    </row>
    <row r="747" spans="7:7" ht="10.5" customHeight="1" x14ac:dyDescent="0.2">
      <c r="G747" s="889"/>
    </row>
    <row r="748" spans="7:7" ht="10.5" customHeight="1" x14ac:dyDescent="0.2">
      <c r="G748" s="889"/>
    </row>
    <row r="749" spans="7:7" ht="10.5" customHeight="1" x14ac:dyDescent="0.2">
      <c r="G749" s="889"/>
    </row>
    <row r="750" spans="7:7" ht="10.5" customHeight="1" x14ac:dyDescent="0.2">
      <c r="G750" s="889"/>
    </row>
    <row r="751" spans="7:7" ht="10.5" customHeight="1" x14ac:dyDescent="0.2">
      <c r="G751" s="889"/>
    </row>
    <row r="752" spans="7:7" ht="10.5" customHeight="1" x14ac:dyDescent="0.2">
      <c r="G752" s="889"/>
    </row>
    <row r="753" spans="7:7" ht="10.5" customHeight="1" x14ac:dyDescent="0.2">
      <c r="G753" s="889"/>
    </row>
    <row r="754" spans="7:7" ht="10.5" customHeight="1" x14ac:dyDescent="0.2">
      <c r="G754" s="889"/>
    </row>
    <row r="755" spans="7:7" ht="10.5" customHeight="1" x14ac:dyDescent="0.2">
      <c r="G755" s="889"/>
    </row>
    <row r="756" spans="7:7" ht="10.5" customHeight="1" x14ac:dyDescent="0.2">
      <c r="G756" s="889"/>
    </row>
    <row r="757" spans="7:7" ht="10.5" customHeight="1" x14ac:dyDescent="0.2">
      <c r="G757" s="889"/>
    </row>
    <row r="758" spans="7:7" ht="10.5" customHeight="1" x14ac:dyDescent="0.2">
      <c r="G758" s="889"/>
    </row>
    <row r="759" spans="7:7" ht="10.5" customHeight="1" x14ac:dyDescent="0.2">
      <c r="G759" s="889"/>
    </row>
    <row r="760" spans="7:7" ht="10.5" customHeight="1" x14ac:dyDescent="0.2">
      <c r="G760" s="889"/>
    </row>
    <row r="761" spans="7:7" ht="10.5" customHeight="1" x14ac:dyDescent="0.2">
      <c r="G761" s="889"/>
    </row>
    <row r="762" spans="7:7" ht="10.5" customHeight="1" x14ac:dyDescent="0.2">
      <c r="G762" s="889"/>
    </row>
    <row r="763" spans="7:7" ht="10.5" customHeight="1" x14ac:dyDescent="0.2">
      <c r="G763" s="889"/>
    </row>
    <row r="764" spans="7:7" ht="10.5" customHeight="1" x14ac:dyDescent="0.2">
      <c r="G764" s="889"/>
    </row>
    <row r="765" spans="7:7" ht="10.5" customHeight="1" x14ac:dyDescent="0.2">
      <c r="G765" s="889"/>
    </row>
    <row r="766" spans="7:7" ht="10.5" customHeight="1" x14ac:dyDescent="0.2">
      <c r="G766" s="889"/>
    </row>
    <row r="767" spans="7:7" ht="10.5" customHeight="1" x14ac:dyDescent="0.2">
      <c r="G767" s="889"/>
    </row>
    <row r="768" spans="7:7" ht="10.5" customHeight="1" x14ac:dyDescent="0.2">
      <c r="G768" s="889"/>
    </row>
    <row r="769" spans="7:7" ht="10.5" customHeight="1" x14ac:dyDescent="0.2">
      <c r="G769" s="889"/>
    </row>
    <row r="770" spans="7:7" ht="10.5" customHeight="1" x14ac:dyDescent="0.2">
      <c r="G770" s="889"/>
    </row>
    <row r="771" spans="7:7" ht="10.5" customHeight="1" x14ac:dyDescent="0.2">
      <c r="G771" s="889"/>
    </row>
    <row r="772" spans="7:7" ht="10.5" customHeight="1" x14ac:dyDescent="0.2">
      <c r="G772" s="889"/>
    </row>
    <row r="773" spans="7:7" ht="10.5" customHeight="1" x14ac:dyDescent="0.2">
      <c r="G773" s="889"/>
    </row>
    <row r="774" spans="7:7" ht="10.5" customHeight="1" x14ac:dyDescent="0.2">
      <c r="G774" s="889"/>
    </row>
    <row r="775" spans="7:7" ht="10.5" customHeight="1" x14ac:dyDescent="0.2">
      <c r="G775" s="889"/>
    </row>
    <row r="776" spans="7:7" ht="10.5" customHeight="1" x14ac:dyDescent="0.2">
      <c r="G776" s="889"/>
    </row>
    <row r="777" spans="7:7" ht="10.5" customHeight="1" x14ac:dyDescent="0.2">
      <c r="G777" s="889"/>
    </row>
    <row r="778" spans="7:7" ht="10.5" customHeight="1" x14ac:dyDescent="0.2">
      <c r="G778" s="889"/>
    </row>
    <row r="779" spans="7:7" ht="10.5" customHeight="1" x14ac:dyDescent="0.2">
      <c r="G779" s="889"/>
    </row>
    <row r="780" spans="7:7" ht="10.5" customHeight="1" x14ac:dyDescent="0.2">
      <c r="G780" s="889"/>
    </row>
    <row r="781" spans="7:7" ht="10.5" customHeight="1" x14ac:dyDescent="0.2">
      <c r="G781" s="889"/>
    </row>
    <row r="782" spans="7:7" ht="10.5" customHeight="1" x14ac:dyDescent="0.2">
      <c r="G782" s="889"/>
    </row>
    <row r="783" spans="7:7" ht="10.5" customHeight="1" x14ac:dyDescent="0.2">
      <c r="G783" s="889"/>
    </row>
    <row r="784" spans="7:7" ht="10.5" customHeight="1" x14ac:dyDescent="0.2">
      <c r="G784" s="889"/>
    </row>
    <row r="785" spans="7:7" ht="10.5" customHeight="1" x14ac:dyDescent="0.2">
      <c r="G785" s="889"/>
    </row>
    <row r="786" spans="7:7" ht="10.5" customHeight="1" x14ac:dyDescent="0.2">
      <c r="G786" s="889"/>
    </row>
    <row r="787" spans="7:7" ht="10.5" customHeight="1" x14ac:dyDescent="0.2">
      <c r="G787" s="889"/>
    </row>
    <row r="788" spans="7:7" ht="10.5" customHeight="1" x14ac:dyDescent="0.2">
      <c r="G788" s="889"/>
    </row>
    <row r="789" spans="7:7" ht="10.5" customHeight="1" x14ac:dyDescent="0.2">
      <c r="G789" s="889"/>
    </row>
    <row r="790" spans="7:7" ht="10.5" customHeight="1" x14ac:dyDescent="0.2">
      <c r="G790" s="889"/>
    </row>
    <row r="791" spans="7:7" ht="10.5" customHeight="1" x14ac:dyDescent="0.2">
      <c r="G791" s="889"/>
    </row>
    <row r="792" spans="7:7" ht="10.5" customHeight="1" x14ac:dyDescent="0.2">
      <c r="G792" s="889"/>
    </row>
    <row r="793" spans="7:7" ht="10.5" customHeight="1" x14ac:dyDescent="0.2">
      <c r="G793" s="889"/>
    </row>
    <row r="794" spans="7:7" ht="10.5" customHeight="1" x14ac:dyDescent="0.2">
      <c r="G794" s="889"/>
    </row>
    <row r="795" spans="7:7" ht="10.5" customHeight="1" x14ac:dyDescent="0.2">
      <c r="G795" s="889"/>
    </row>
    <row r="796" spans="7:7" ht="10.5" customHeight="1" x14ac:dyDescent="0.2">
      <c r="G796" s="889"/>
    </row>
    <row r="797" spans="7:7" ht="10.5" customHeight="1" x14ac:dyDescent="0.2">
      <c r="G797" s="889"/>
    </row>
    <row r="798" spans="7:7" ht="10.5" customHeight="1" x14ac:dyDescent="0.2">
      <c r="G798" s="889"/>
    </row>
    <row r="799" spans="7:7" ht="10.5" customHeight="1" x14ac:dyDescent="0.2">
      <c r="G799" s="889"/>
    </row>
    <row r="800" spans="7:7" ht="10.5" customHeight="1" x14ac:dyDescent="0.2">
      <c r="G800" s="889"/>
    </row>
    <row r="801" spans="7:7" ht="10.5" customHeight="1" x14ac:dyDescent="0.2">
      <c r="G801" s="889"/>
    </row>
    <row r="802" spans="7:7" ht="10.5" customHeight="1" x14ac:dyDescent="0.2">
      <c r="G802" s="889"/>
    </row>
    <row r="803" spans="7:7" ht="10.5" customHeight="1" x14ac:dyDescent="0.2">
      <c r="G803" s="889"/>
    </row>
    <row r="804" spans="7:7" ht="10.5" customHeight="1" x14ac:dyDescent="0.2">
      <c r="G804" s="889"/>
    </row>
    <row r="805" spans="7:7" ht="10.5" customHeight="1" x14ac:dyDescent="0.2">
      <c r="G805" s="889"/>
    </row>
    <row r="806" spans="7:7" ht="10.5" customHeight="1" x14ac:dyDescent="0.2">
      <c r="G806" s="889"/>
    </row>
    <row r="807" spans="7:7" ht="10.5" customHeight="1" x14ac:dyDescent="0.2">
      <c r="G807" s="889"/>
    </row>
    <row r="808" spans="7:7" ht="10.5" customHeight="1" x14ac:dyDescent="0.2">
      <c r="G808" s="889"/>
    </row>
    <row r="809" spans="7:7" ht="10.5" customHeight="1" x14ac:dyDescent="0.2">
      <c r="G809" s="889"/>
    </row>
    <row r="810" spans="7:7" ht="10.5" customHeight="1" x14ac:dyDescent="0.2">
      <c r="G810" s="889"/>
    </row>
    <row r="811" spans="7:7" ht="10.5" customHeight="1" x14ac:dyDescent="0.2">
      <c r="G811" s="889"/>
    </row>
    <row r="812" spans="7:7" ht="10.5" customHeight="1" x14ac:dyDescent="0.2">
      <c r="G812" s="889"/>
    </row>
    <row r="813" spans="7:7" ht="10.5" customHeight="1" x14ac:dyDescent="0.2">
      <c r="G813" s="889"/>
    </row>
    <row r="814" spans="7:7" ht="10.5" customHeight="1" x14ac:dyDescent="0.2">
      <c r="G814" s="889"/>
    </row>
    <row r="815" spans="7:7" ht="10.5" customHeight="1" x14ac:dyDescent="0.2">
      <c r="G815" s="889"/>
    </row>
    <row r="816" spans="7:7" ht="10.5" customHeight="1" x14ac:dyDescent="0.2">
      <c r="G816" s="889"/>
    </row>
    <row r="817" spans="7:7" ht="10.5" customHeight="1" x14ac:dyDescent="0.2">
      <c r="G817" s="889"/>
    </row>
    <row r="818" spans="7:7" ht="10.5" customHeight="1" x14ac:dyDescent="0.2">
      <c r="G818" s="889"/>
    </row>
    <row r="819" spans="7:7" ht="10.5" customHeight="1" x14ac:dyDescent="0.2">
      <c r="G819" s="889"/>
    </row>
    <row r="820" spans="7:7" ht="10.5" customHeight="1" x14ac:dyDescent="0.2">
      <c r="G820" s="889"/>
    </row>
    <row r="821" spans="7:7" ht="10.5" customHeight="1" x14ac:dyDescent="0.2">
      <c r="G821" s="889"/>
    </row>
    <row r="822" spans="7:7" ht="10.5" customHeight="1" x14ac:dyDescent="0.2">
      <c r="G822" s="889"/>
    </row>
    <row r="823" spans="7:7" ht="10.5" customHeight="1" x14ac:dyDescent="0.2">
      <c r="G823" s="889"/>
    </row>
    <row r="824" spans="7:7" ht="10.5" customHeight="1" x14ac:dyDescent="0.2">
      <c r="G824" s="889"/>
    </row>
    <row r="825" spans="7:7" ht="10.5" customHeight="1" x14ac:dyDescent="0.2">
      <c r="G825" s="889"/>
    </row>
    <row r="826" spans="7:7" ht="10.5" customHeight="1" x14ac:dyDescent="0.2">
      <c r="G826" s="889"/>
    </row>
    <row r="827" spans="7:7" ht="10.5" customHeight="1" x14ac:dyDescent="0.2">
      <c r="G827" s="889"/>
    </row>
    <row r="828" spans="7:7" ht="10.5" customHeight="1" x14ac:dyDescent="0.2">
      <c r="G828" s="889"/>
    </row>
    <row r="829" spans="7:7" ht="10.5" customHeight="1" x14ac:dyDescent="0.2">
      <c r="G829" s="889"/>
    </row>
    <row r="830" spans="7:7" ht="10.5" customHeight="1" x14ac:dyDescent="0.2">
      <c r="G830" s="889"/>
    </row>
    <row r="831" spans="7:7" ht="10.5" customHeight="1" x14ac:dyDescent="0.2">
      <c r="G831" s="889"/>
    </row>
    <row r="832" spans="7:7" ht="10.5" customHeight="1" x14ac:dyDescent="0.2">
      <c r="G832" s="889"/>
    </row>
    <row r="833" spans="7:7" ht="10.5" customHeight="1" x14ac:dyDescent="0.2">
      <c r="G833" s="889"/>
    </row>
    <row r="834" spans="7:7" ht="10.5" customHeight="1" x14ac:dyDescent="0.2">
      <c r="G834" s="889"/>
    </row>
    <row r="835" spans="7:7" ht="10.5" customHeight="1" x14ac:dyDescent="0.2">
      <c r="G835" s="889"/>
    </row>
    <row r="836" spans="7:7" ht="10.5" customHeight="1" x14ac:dyDescent="0.2">
      <c r="G836" s="889"/>
    </row>
    <row r="837" spans="7:7" ht="10.5" customHeight="1" x14ac:dyDescent="0.2">
      <c r="G837" s="889"/>
    </row>
    <row r="838" spans="7:7" ht="10.5" customHeight="1" x14ac:dyDescent="0.2">
      <c r="G838" s="889"/>
    </row>
    <row r="839" spans="7:7" ht="10.5" customHeight="1" x14ac:dyDescent="0.2">
      <c r="G839" s="889"/>
    </row>
    <row r="840" spans="7:7" ht="10.5" customHeight="1" x14ac:dyDescent="0.2">
      <c r="G840" s="889"/>
    </row>
    <row r="841" spans="7:7" ht="10.5" customHeight="1" x14ac:dyDescent="0.2">
      <c r="G841" s="889"/>
    </row>
    <row r="842" spans="7:7" ht="10.5" customHeight="1" x14ac:dyDescent="0.2">
      <c r="G842" s="889"/>
    </row>
    <row r="843" spans="7:7" ht="10.5" customHeight="1" x14ac:dyDescent="0.2">
      <c r="G843" s="889"/>
    </row>
    <row r="844" spans="7:7" ht="10.5" customHeight="1" x14ac:dyDescent="0.2">
      <c r="G844" s="889"/>
    </row>
    <row r="845" spans="7:7" ht="10.5" customHeight="1" x14ac:dyDescent="0.2">
      <c r="G845" s="889"/>
    </row>
    <row r="846" spans="7:7" ht="10.5" customHeight="1" x14ac:dyDescent="0.2">
      <c r="G846" s="889"/>
    </row>
    <row r="847" spans="7:7" ht="10.5" customHeight="1" x14ac:dyDescent="0.2">
      <c r="G847" s="889"/>
    </row>
    <row r="848" spans="7:7" ht="10.5" customHeight="1" x14ac:dyDescent="0.2">
      <c r="G848" s="889"/>
    </row>
    <row r="849" spans="7:7" ht="10.5" customHeight="1" x14ac:dyDescent="0.2">
      <c r="G849" s="889"/>
    </row>
    <row r="850" spans="7:7" ht="10.5" customHeight="1" x14ac:dyDescent="0.2">
      <c r="G850" s="889"/>
    </row>
    <row r="851" spans="7:7" ht="10.5" customHeight="1" x14ac:dyDescent="0.2">
      <c r="G851" s="889"/>
    </row>
    <row r="852" spans="7:7" ht="10.5" customHeight="1" x14ac:dyDescent="0.2">
      <c r="G852" s="889"/>
    </row>
    <row r="853" spans="7:7" ht="10.5" customHeight="1" x14ac:dyDescent="0.2">
      <c r="G853" s="889"/>
    </row>
    <row r="854" spans="7:7" ht="10.5" customHeight="1" x14ac:dyDescent="0.2">
      <c r="G854" s="889"/>
    </row>
    <row r="855" spans="7:7" ht="10.5" customHeight="1" x14ac:dyDescent="0.2">
      <c r="G855" s="889"/>
    </row>
    <row r="856" spans="7:7" ht="10.5" customHeight="1" x14ac:dyDescent="0.2">
      <c r="G856" s="889"/>
    </row>
    <row r="857" spans="7:7" ht="10.5" customHeight="1" x14ac:dyDescent="0.2">
      <c r="G857" s="889"/>
    </row>
    <row r="858" spans="7:7" ht="10.5" customHeight="1" x14ac:dyDescent="0.2">
      <c r="G858" s="889"/>
    </row>
    <row r="859" spans="7:7" ht="10.5" customHeight="1" x14ac:dyDescent="0.2">
      <c r="G859" s="889"/>
    </row>
    <row r="860" spans="7:7" ht="10.5" customHeight="1" x14ac:dyDescent="0.2">
      <c r="G860" s="889"/>
    </row>
    <row r="861" spans="7:7" ht="10.5" customHeight="1" x14ac:dyDescent="0.2">
      <c r="G861" s="889"/>
    </row>
    <row r="862" spans="7:7" ht="10.5" customHeight="1" x14ac:dyDescent="0.2">
      <c r="G862" s="889"/>
    </row>
    <row r="863" spans="7:7" ht="10.5" customHeight="1" x14ac:dyDescent="0.2">
      <c r="G863" s="889"/>
    </row>
    <row r="864" spans="7:7" ht="10.5" customHeight="1" x14ac:dyDescent="0.2">
      <c r="G864" s="889"/>
    </row>
    <row r="865" spans="7:7" ht="10.5" customHeight="1" x14ac:dyDescent="0.2">
      <c r="G865" s="889"/>
    </row>
    <row r="866" spans="7:7" ht="10.5" customHeight="1" x14ac:dyDescent="0.2">
      <c r="G866" s="889"/>
    </row>
    <row r="867" spans="7:7" ht="10.5" customHeight="1" x14ac:dyDescent="0.2">
      <c r="G867" s="889"/>
    </row>
    <row r="868" spans="7:7" ht="10.5" customHeight="1" x14ac:dyDescent="0.2">
      <c r="G868" s="889"/>
    </row>
    <row r="869" spans="7:7" ht="10.5" customHeight="1" x14ac:dyDescent="0.2">
      <c r="G869" s="889"/>
    </row>
    <row r="870" spans="7:7" ht="10.5" customHeight="1" x14ac:dyDescent="0.2">
      <c r="G870" s="889"/>
    </row>
    <row r="871" spans="7:7" ht="10.5" customHeight="1" x14ac:dyDescent="0.2">
      <c r="G871" s="889"/>
    </row>
    <row r="872" spans="7:7" ht="10.5" customHeight="1" x14ac:dyDescent="0.2">
      <c r="G872" s="889"/>
    </row>
    <row r="873" spans="7:7" ht="10.5" customHeight="1" x14ac:dyDescent="0.2">
      <c r="G873" s="889"/>
    </row>
    <row r="874" spans="7:7" ht="10.5" customHeight="1" x14ac:dyDescent="0.2">
      <c r="G874" s="889"/>
    </row>
    <row r="875" spans="7:7" ht="10.5" customHeight="1" x14ac:dyDescent="0.2">
      <c r="G875" s="889"/>
    </row>
    <row r="876" spans="7:7" ht="10.5" customHeight="1" x14ac:dyDescent="0.2">
      <c r="G876" s="889"/>
    </row>
    <row r="877" spans="7:7" ht="10.5" customHeight="1" x14ac:dyDescent="0.2">
      <c r="G877" s="889"/>
    </row>
    <row r="878" spans="7:7" ht="10.5" customHeight="1" x14ac:dyDescent="0.2">
      <c r="G878" s="889"/>
    </row>
    <row r="879" spans="7:7" ht="10.5" customHeight="1" x14ac:dyDescent="0.2">
      <c r="G879" s="889"/>
    </row>
    <row r="880" spans="7:7" ht="10.5" customHeight="1" x14ac:dyDescent="0.2">
      <c r="G880" s="889"/>
    </row>
    <row r="881" spans="7:7" ht="10.5" customHeight="1" x14ac:dyDescent="0.2">
      <c r="G881" s="889"/>
    </row>
    <row r="882" spans="7:7" ht="10.5" customHeight="1" x14ac:dyDescent="0.2">
      <c r="G882" s="889"/>
    </row>
    <row r="883" spans="7:7" ht="10.5" customHeight="1" x14ac:dyDescent="0.2">
      <c r="G883" s="889"/>
    </row>
    <row r="884" spans="7:7" ht="10.5" customHeight="1" x14ac:dyDescent="0.2">
      <c r="G884" s="889"/>
    </row>
    <row r="885" spans="7:7" ht="10.5" customHeight="1" x14ac:dyDescent="0.2">
      <c r="G885" s="889"/>
    </row>
    <row r="886" spans="7:7" ht="10.5" customHeight="1" x14ac:dyDescent="0.2">
      <c r="G886" s="889"/>
    </row>
    <row r="887" spans="7:7" ht="10.5" customHeight="1" x14ac:dyDescent="0.2">
      <c r="G887" s="889"/>
    </row>
    <row r="888" spans="7:7" ht="10.5" customHeight="1" x14ac:dyDescent="0.2">
      <c r="G888" s="889"/>
    </row>
    <row r="889" spans="7:7" ht="10.5" customHeight="1" x14ac:dyDescent="0.2">
      <c r="G889" s="889"/>
    </row>
    <row r="890" spans="7:7" ht="10.5" customHeight="1" x14ac:dyDescent="0.2">
      <c r="G890" s="889"/>
    </row>
    <row r="891" spans="7:7" ht="10.5" customHeight="1" x14ac:dyDescent="0.2">
      <c r="G891" s="889"/>
    </row>
    <row r="892" spans="7:7" ht="10.5" customHeight="1" x14ac:dyDescent="0.2">
      <c r="G892" s="889"/>
    </row>
    <row r="893" spans="7:7" ht="10.5" customHeight="1" x14ac:dyDescent="0.2">
      <c r="G893" s="889"/>
    </row>
    <row r="894" spans="7:7" ht="10.5" customHeight="1" x14ac:dyDescent="0.2">
      <c r="G894" s="889"/>
    </row>
    <row r="895" spans="7:7" ht="10.5" customHeight="1" x14ac:dyDescent="0.2">
      <c r="G895" s="889"/>
    </row>
    <row r="896" spans="7:7" ht="10.5" customHeight="1" x14ac:dyDescent="0.2">
      <c r="G896" s="889"/>
    </row>
    <row r="897" spans="7:7" ht="10.5" customHeight="1" x14ac:dyDescent="0.2">
      <c r="G897" s="889"/>
    </row>
    <row r="898" spans="7:7" ht="10.5" customHeight="1" x14ac:dyDescent="0.2">
      <c r="G898" s="889"/>
    </row>
    <row r="899" spans="7:7" ht="10.5" customHeight="1" x14ac:dyDescent="0.2">
      <c r="G899" s="889"/>
    </row>
    <row r="900" spans="7:7" ht="10.5" customHeight="1" x14ac:dyDescent="0.2">
      <c r="G900" s="889"/>
    </row>
    <row r="901" spans="7:7" ht="10.5" customHeight="1" x14ac:dyDescent="0.2">
      <c r="G901" s="889"/>
    </row>
    <row r="902" spans="7:7" ht="10.5" customHeight="1" x14ac:dyDescent="0.2">
      <c r="G902" s="889"/>
    </row>
    <row r="903" spans="7:7" ht="10.5" customHeight="1" x14ac:dyDescent="0.2">
      <c r="G903" s="889"/>
    </row>
    <row r="904" spans="7:7" ht="10.5" customHeight="1" x14ac:dyDescent="0.2">
      <c r="G904" s="889"/>
    </row>
    <row r="905" spans="7:7" ht="10.5" customHeight="1" x14ac:dyDescent="0.2">
      <c r="G905" s="889"/>
    </row>
    <row r="906" spans="7:7" ht="10.5" customHeight="1" x14ac:dyDescent="0.2">
      <c r="G906" s="889"/>
    </row>
    <row r="907" spans="7:7" ht="10.5" customHeight="1" x14ac:dyDescent="0.2">
      <c r="G907" s="889"/>
    </row>
    <row r="908" spans="7:7" ht="10.5" customHeight="1" x14ac:dyDescent="0.2">
      <c r="G908" s="889"/>
    </row>
    <row r="909" spans="7:7" ht="10.5" customHeight="1" x14ac:dyDescent="0.2">
      <c r="G909" s="889"/>
    </row>
    <row r="910" spans="7:7" ht="10.5" customHeight="1" x14ac:dyDescent="0.2">
      <c r="G910" s="889"/>
    </row>
    <row r="911" spans="7:7" ht="10.5" customHeight="1" x14ac:dyDescent="0.2">
      <c r="G911" s="889"/>
    </row>
    <row r="912" spans="7:7" ht="10.5" customHeight="1" x14ac:dyDescent="0.2">
      <c r="G912" s="889"/>
    </row>
    <row r="913" spans="7:7" ht="10.5" customHeight="1" x14ac:dyDescent="0.2">
      <c r="G913" s="889"/>
    </row>
    <row r="914" spans="7:7" ht="10.5" customHeight="1" x14ac:dyDescent="0.2">
      <c r="G914" s="889"/>
    </row>
    <row r="915" spans="7:7" ht="10.5" customHeight="1" x14ac:dyDescent="0.2">
      <c r="G915" s="889"/>
    </row>
    <row r="916" spans="7:7" ht="10.5" customHeight="1" x14ac:dyDescent="0.2">
      <c r="G916" s="889"/>
    </row>
    <row r="917" spans="7:7" ht="10.5" customHeight="1" x14ac:dyDescent="0.2">
      <c r="G917" s="889"/>
    </row>
    <row r="918" spans="7:7" ht="10.5" customHeight="1" x14ac:dyDescent="0.2">
      <c r="G918" s="889"/>
    </row>
    <row r="919" spans="7:7" ht="10.5" customHeight="1" x14ac:dyDescent="0.2">
      <c r="G919" s="889"/>
    </row>
    <row r="920" spans="7:7" ht="10.5" customHeight="1" x14ac:dyDescent="0.2">
      <c r="G920" s="889"/>
    </row>
    <row r="921" spans="7:7" ht="10.5" customHeight="1" x14ac:dyDescent="0.2">
      <c r="G921" s="889"/>
    </row>
    <row r="922" spans="7:7" ht="10.5" customHeight="1" x14ac:dyDescent="0.2">
      <c r="G922" s="889"/>
    </row>
    <row r="923" spans="7:7" ht="10.5" customHeight="1" x14ac:dyDescent="0.2">
      <c r="G923" s="889"/>
    </row>
    <row r="924" spans="7:7" ht="10.5" customHeight="1" x14ac:dyDescent="0.2">
      <c r="G924" s="889"/>
    </row>
    <row r="925" spans="7:7" ht="10.5" customHeight="1" x14ac:dyDescent="0.2">
      <c r="G925" s="889"/>
    </row>
    <row r="926" spans="7:7" ht="10.5" customHeight="1" x14ac:dyDescent="0.2">
      <c r="G926" s="889"/>
    </row>
    <row r="927" spans="7:7" ht="10.5" customHeight="1" x14ac:dyDescent="0.2">
      <c r="G927" s="889"/>
    </row>
    <row r="928" spans="7:7" ht="10.5" customHeight="1" x14ac:dyDescent="0.2">
      <c r="G928" s="889"/>
    </row>
    <row r="929" spans="7:7" ht="10.5" customHeight="1" x14ac:dyDescent="0.2">
      <c r="G929" s="889"/>
    </row>
    <row r="930" spans="7:7" ht="10.5" customHeight="1" x14ac:dyDescent="0.2">
      <c r="G930" s="889"/>
    </row>
    <row r="931" spans="7:7" ht="10.5" customHeight="1" x14ac:dyDescent="0.2">
      <c r="G931" s="889"/>
    </row>
    <row r="932" spans="7:7" ht="10.5" customHeight="1" x14ac:dyDescent="0.2">
      <c r="G932" s="889"/>
    </row>
    <row r="933" spans="7:7" ht="10.5" customHeight="1" x14ac:dyDescent="0.2">
      <c r="G933" s="889"/>
    </row>
    <row r="934" spans="7:7" ht="10.5" customHeight="1" x14ac:dyDescent="0.2">
      <c r="G934" s="889"/>
    </row>
    <row r="935" spans="7:7" ht="10.5" customHeight="1" x14ac:dyDescent="0.2">
      <c r="G935" s="889"/>
    </row>
    <row r="936" spans="7:7" ht="10.5" customHeight="1" x14ac:dyDescent="0.2">
      <c r="G936" s="889"/>
    </row>
    <row r="937" spans="7:7" ht="10.5" customHeight="1" x14ac:dyDescent="0.2">
      <c r="G937" s="889"/>
    </row>
    <row r="938" spans="7:7" ht="10.5" customHeight="1" x14ac:dyDescent="0.2">
      <c r="G938" s="889"/>
    </row>
    <row r="939" spans="7:7" ht="10.5" customHeight="1" x14ac:dyDescent="0.2">
      <c r="G939" s="889"/>
    </row>
    <row r="940" spans="7:7" ht="10.5" customHeight="1" x14ac:dyDescent="0.2">
      <c r="G940" s="889"/>
    </row>
    <row r="941" spans="7:7" ht="10.5" customHeight="1" x14ac:dyDescent="0.2">
      <c r="G941" s="889"/>
    </row>
    <row r="942" spans="7:7" ht="10.5" customHeight="1" x14ac:dyDescent="0.2">
      <c r="G942" s="889"/>
    </row>
    <row r="943" spans="7:7" ht="10.5" customHeight="1" x14ac:dyDescent="0.2">
      <c r="G943" s="889"/>
    </row>
    <row r="944" spans="7:7" ht="10.5" customHeight="1" x14ac:dyDescent="0.2">
      <c r="G944" s="889"/>
    </row>
    <row r="945" spans="7:7" ht="10.5" customHeight="1" x14ac:dyDescent="0.2">
      <c r="G945" s="889"/>
    </row>
    <row r="946" spans="7:7" ht="10.5" customHeight="1" x14ac:dyDescent="0.2">
      <c r="G946" s="889"/>
    </row>
    <row r="947" spans="7:7" ht="10.5" customHeight="1" x14ac:dyDescent="0.2">
      <c r="G947" s="889"/>
    </row>
    <row r="948" spans="7:7" ht="10.5" customHeight="1" x14ac:dyDescent="0.2">
      <c r="G948" s="889"/>
    </row>
    <row r="949" spans="7:7" ht="10.5" customHeight="1" x14ac:dyDescent="0.2">
      <c r="G949" s="889"/>
    </row>
    <row r="950" spans="7:7" ht="10.5" customHeight="1" x14ac:dyDescent="0.2">
      <c r="G950" s="889"/>
    </row>
    <row r="951" spans="7:7" ht="10.5" customHeight="1" x14ac:dyDescent="0.2">
      <c r="G951" s="889"/>
    </row>
    <row r="952" spans="7:7" ht="10.5" customHeight="1" x14ac:dyDescent="0.2">
      <c r="G952" s="889"/>
    </row>
    <row r="953" spans="7:7" ht="10.5" customHeight="1" x14ac:dyDescent="0.2">
      <c r="G953" s="889"/>
    </row>
    <row r="954" spans="7:7" ht="10.5" customHeight="1" x14ac:dyDescent="0.2">
      <c r="G954" s="889"/>
    </row>
    <row r="955" spans="7:7" ht="10.5" customHeight="1" x14ac:dyDescent="0.2">
      <c r="G955" s="889"/>
    </row>
    <row r="956" spans="7:7" ht="10.5" customHeight="1" x14ac:dyDescent="0.2">
      <c r="G956" s="889"/>
    </row>
    <row r="957" spans="7:7" ht="10.5" customHeight="1" x14ac:dyDescent="0.2">
      <c r="G957" s="889"/>
    </row>
    <row r="958" spans="7:7" ht="10.5" customHeight="1" x14ac:dyDescent="0.2">
      <c r="G958" s="889"/>
    </row>
    <row r="959" spans="7:7" ht="10.5" customHeight="1" x14ac:dyDescent="0.2">
      <c r="G959" s="889"/>
    </row>
    <row r="960" spans="7:7" ht="10.5" customHeight="1" x14ac:dyDescent="0.2">
      <c r="G960" s="889"/>
    </row>
    <row r="961" spans="7:7" ht="10.5" customHeight="1" x14ac:dyDescent="0.2">
      <c r="G961" s="889"/>
    </row>
    <row r="962" spans="7:7" ht="10.5" customHeight="1" x14ac:dyDescent="0.2">
      <c r="G962" s="889"/>
    </row>
    <row r="963" spans="7:7" ht="10.5" customHeight="1" x14ac:dyDescent="0.2">
      <c r="G963" s="889"/>
    </row>
    <row r="964" spans="7:7" ht="10.5" customHeight="1" x14ac:dyDescent="0.2">
      <c r="G964" s="889"/>
    </row>
    <row r="965" spans="7:7" ht="10.5" customHeight="1" x14ac:dyDescent="0.2">
      <c r="G965" s="889"/>
    </row>
    <row r="966" spans="7:7" ht="10.5" customHeight="1" x14ac:dyDescent="0.2">
      <c r="G966" s="889"/>
    </row>
    <row r="967" spans="7:7" ht="10.5" customHeight="1" x14ac:dyDescent="0.2">
      <c r="G967" s="889"/>
    </row>
    <row r="968" spans="7:7" ht="10.5" customHeight="1" x14ac:dyDescent="0.2">
      <c r="G968" s="889"/>
    </row>
    <row r="969" spans="7:7" ht="10.5" customHeight="1" x14ac:dyDescent="0.2">
      <c r="G969" s="889"/>
    </row>
    <row r="970" spans="7:7" ht="10.5" customHeight="1" x14ac:dyDescent="0.2">
      <c r="G970" s="889"/>
    </row>
    <row r="971" spans="7:7" ht="10.5" customHeight="1" x14ac:dyDescent="0.2">
      <c r="G971" s="889"/>
    </row>
    <row r="972" spans="7:7" ht="10.5" customHeight="1" x14ac:dyDescent="0.2">
      <c r="G972" s="889"/>
    </row>
    <row r="973" spans="7:7" ht="10.5" customHeight="1" x14ac:dyDescent="0.2">
      <c r="G973" s="889"/>
    </row>
    <row r="974" spans="7:7" ht="10.5" customHeight="1" x14ac:dyDescent="0.2">
      <c r="G974" s="889"/>
    </row>
    <row r="975" spans="7:7" ht="10.5" customHeight="1" x14ac:dyDescent="0.2">
      <c r="G975" s="889"/>
    </row>
    <row r="976" spans="7:7" ht="10.5" customHeight="1" x14ac:dyDescent="0.2">
      <c r="G976" s="889"/>
    </row>
    <row r="977" spans="7:7" ht="10.5" customHeight="1" x14ac:dyDescent="0.2">
      <c r="G977" s="889"/>
    </row>
    <row r="978" spans="7:7" ht="10.5" customHeight="1" x14ac:dyDescent="0.2">
      <c r="G978" s="889"/>
    </row>
    <row r="979" spans="7:7" ht="10.5" customHeight="1" x14ac:dyDescent="0.2">
      <c r="G979" s="889"/>
    </row>
    <row r="980" spans="7:7" ht="10.5" customHeight="1" x14ac:dyDescent="0.2">
      <c r="G980" s="889"/>
    </row>
    <row r="981" spans="7:7" ht="10.5" customHeight="1" x14ac:dyDescent="0.2">
      <c r="G981" s="889"/>
    </row>
    <row r="982" spans="7:7" ht="10.5" customHeight="1" x14ac:dyDescent="0.2">
      <c r="G982" s="889"/>
    </row>
    <row r="983" spans="7:7" ht="10.5" customHeight="1" x14ac:dyDescent="0.2">
      <c r="G983" s="889"/>
    </row>
    <row r="984" spans="7:7" ht="10.5" customHeight="1" x14ac:dyDescent="0.2">
      <c r="G984" s="889"/>
    </row>
    <row r="985" spans="7:7" ht="10.5" customHeight="1" x14ac:dyDescent="0.2">
      <c r="G985" s="889"/>
    </row>
    <row r="986" spans="7:7" ht="10.5" customHeight="1" x14ac:dyDescent="0.2">
      <c r="G986" s="889"/>
    </row>
    <row r="987" spans="7:7" ht="10.5" customHeight="1" x14ac:dyDescent="0.2">
      <c r="G987" s="889"/>
    </row>
    <row r="988" spans="7:7" ht="10.5" customHeight="1" x14ac:dyDescent="0.2">
      <c r="G988" s="889"/>
    </row>
    <row r="989" spans="7:7" ht="10.5" customHeight="1" x14ac:dyDescent="0.2">
      <c r="G989" s="889"/>
    </row>
    <row r="990" spans="7:7" ht="10.5" customHeight="1" x14ac:dyDescent="0.2">
      <c r="G990" s="889"/>
    </row>
    <row r="991" spans="7:7" ht="10.5" customHeight="1" x14ac:dyDescent="0.2">
      <c r="G991" s="889"/>
    </row>
    <row r="992" spans="7:7" ht="10.5" customHeight="1" x14ac:dyDescent="0.2">
      <c r="G992" s="889"/>
    </row>
    <row r="993" spans="7:7" ht="10.5" customHeight="1" x14ac:dyDescent="0.2">
      <c r="G993" s="889"/>
    </row>
    <row r="994" spans="7:7" ht="10.5" customHeight="1" x14ac:dyDescent="0.2">
      <c r="G994" s="889"/>
    </row>
    <row r="995" spans="7:7" ht="10.5" customHeight="1" x14ac:dyDescent="0.2">
      <c r="G995" s="889"/>
    </row>
    <row r="996" spans="7:7" ht="10.5" customHeight="1" x14ac:dyDescent="0.2">
      <c r="G996" s="889"/>
    </row>
    <row r="997" spans="7:7" ht="10.5" customHeight="1" x14ac:dyDescent="0.2">
      <c r="G997" s="889"/>
    </row>
    <row r="998" spans="7:7" ht="10.5" customHeight="1" x14ac:dyDescent="0.2">
      <c r="G998" s="889"/>
    </row>
    <row r="999" spans="7:7" ht="10.5" customHeight="1" x14ac:dyDescent="0.2">
      <c r="G999" s="889"/>
    </row>
    <row r="1000" spans="7:7" ht="10.5" customHeight="1" x14ac:dyDescent="0.2">
      <c r="G1000" s="889"/>
    </row>
    <row r="1001" spans="7:7" ht="10.5" customHeight="1" x14ac:dyDescent="0.2">
      <c r="G1001" s="889"/>
    </row>
    <row r="1002" spans="7:7" ht="10.5" customHeight="1" x14ac:dyDescent="0.2">
      <c r="G1002" s="889"/>
    </row>
    <row r="1003" spans="7:7" ht="10.5" customHeight="1" x14ac:dyDescent="0.2">
      <c r="G1003" s="889"/>
    </row>
    <row r="1004" spans="7:7" ht="10.5" customHeight="1" x14ac:dyDescent="0.2">
      <c r="G1004" s="889"/>
    </row>
    <row r="1005" spans="7:7" ht="10.5" customHeight="1" x14ac:dyDescent="0.2">
      <c r="G1005" s="889"/>
    </row>
    <row r="1006" spans="7:7" ht="10.5" customHeight="1" x14ac:dyDescent="0.2">
      <c r="G1006" s="889"/>
    </row>
    <row r="1007" spans="7:7" ht="10.5" customHeight="1" x14ac:dyDescent="0.2">
      <c r="G1007" s="889"/>
    </row>
    <row r="1008" spans="7:7" ht="10.5" customHeight="1" x14ac:dyDescent="0.2">
      <c r="G1008" s="889"/>
    </row>
    <row r="1009" spans="7:7" ht="10.5" customHeight="1" x14ac:dyDescent="0.2">
      <c r="G1009" s="889"/>
    </row>
    <row r="1010" spans="7:7" ht="10.5" customHeight="1" x14ac:dyDescent="0.2">
      <c r="G1010" s="889"/>
    </row>
    <row r="1011" spans="7:7" ht="10.5" customHeight="1" x14ac:dyDescent="0.2">
      <c r="G1011" s="889"/>
    </row>
    <row r="1012" spans="7:7" ht="10.5" customHeight="1" x14ac:dyDescent="0.2">
      <c r="G1012" s="889"/>
    </row>
    <row r="1013" spans="7:7" ht="10.5" customHeight="1" x14ac:dyDescent="0.2">
      <c r="G1013" s="889"/>
    </row>
    <row r="1014" spans="7:7" ht="10.5" customHeight="1" x14ac:dyDescent="0.2">
      <c r="G1014" s="889"/>
    </row>
    <row r="1015" spans="7:7" ht="10.5" customHeight="1" x14ac:dyDescent="0.2">
      <c r="G1015" s="889"/>
    </row>
    <row r="1016" spans="7:7" ht="10.5" customHeight="1" x14ac:dyDescent="0.2">
      <c r="G1016" s="889"/>
    </row>
    <row r="1017" spans="7:7" ht="10.5" customHeight="1" x14ac:dyDescent="0.2">
      <c r="G1017" s="889"/>
    </row>
    <row r="1018" spans="7:7" ht="10.5" customHeight="1" x14ac:dyDescent="0.2">
      <c r="G1018" s="889"/>
    </row>
    <row r="1019" spans="7:7" ht="10.5" customHeight="1" x14ac:dyDescent="0.2">
      <c r="G1019" s="889"/>
    </row>
    <row r="1020" spans="7:7" ht="10.5" customHeight="1" x14ac:dyDescent="0.2">
      <c r="G1020" s="889"/>
    </row>
    <row r="1021" spans="7:7" ht="10.5" customHeight="1" x14ac:dyDescent="0.2">
      <c r="G1021" s="889"/>
    </row>
    <row r="1022" spans="7:7" ht="10.5" customHeight="1" x14ac:dyDescent="0.2">
      <c r="G1022" s="889"/>
    </row>
    <row r="1023" spans="7:7" ht="10.5" customHeight="1" x14ac:dyDescent="0.2">
      <c r="G1023" s="889"/>
    </row>
    <row r="1024" spans="7:7" ht="10.5" customHeight="1" x14ac:dyDescent="0.2">
      <c r="G1024" s="889"/>
    </row>
    <row r="1025" spans="7:7" ht="10.5" customHeight="1" x14ac:dyDescent="0.2">
      <c r="G1025" s="889"/>
    </row>
    <row r="1026" spans="7:7" ht="10.5" customHeight="1" x14ac:dyDescent="0.2">
      <c r="G1026" s="889"/>
    </row>
    <row r="1027" spans="7:7" ht="10.5" customHeight="1" x14ac:dyDescent="0.2">
      <c r="G1027" s="889"/>
    </row>
    <row r="1028" spans="7:7" ht="10.5" customHeight="1" x14ac:dyDescent="0.2">
      <c r="G1028" s="889"/>
    </row>
    <row r="1029" spans="7:7" ht="10.5" customHeight="1" x14ac:dyDescent="0.2">
      <c r="G1029" s="889"/>
    </row>
    <row r="1030" spans="7:7" ht="10.5" customHeight="1" x14ac:dyDescent="0.2">
      <c r="G1030" s="889"/>
    </row>
    <row r="1031" spans="7:7" ht="10.5" customHeight="1" x14ac:dyDescent="0.2">
      <c r="G1031" s="889"/>
    </row>
    <row r="1032" spans="7:7" ht="10.5" customHeight="1" x14ac:dyDescent="0.2">
      <c r="G1032" s="889"/>
    </row>
    <row r="1033" spans="7:7" ht="10.5" customHeight="1" x14ac:dyDescent="0.2">
      <c r="G1033" s="889"/>
    </row>
    <row r="1034" spans="7:7" ht="10.5" customHeight="1" x14ac:dyDescent="0.2">
      <c r="G1034" s="889"/>
    </row>
    <row r="1035" spans="7:7" ht="10.5" customHeight="1" x14ac:dyDescent="0.2">
      <c r="G1035" s="889"/>
    </row>
    <row r="1036" spans="7:7" ht="10.5" customHeight="1" x14ac:dyDescent="0.2">
      <c r="G1036" s="889"/>
    </row>
    <row r="1037" spans="7:7" ht="10.5" customHeight="1" x14ac:dyDescent="0.2">
      <c r="G1037" s="889"/>
    </row>
    <row r="1038" spans="7:7" ht="10.5" customHeight="1" x14ac:dyDescent="0.2">
      <c r="G1038" s="889"/>
    </row>
    <row r="1039" spans="7:7" ht="10.5" customHeight="1" x14ac:dyDescent="0.2">
      <c r="G1039" s="889"/>
    </row>
    <row r="1040" spans="7:7" ht="10.5" customHeight="1" x14ac:dyDescent="0.2">
      <c r="G1040" s="889"/>
    </row>
    <row r="1041" spans="7:7" ht="10.5" customHeight="1" x14ac:dyDescent="0.2">
      <c r="G1041" s="889"/>
    </row>
    <row r="1042" spans="7:7" ht="10.5" customHeight="1" x14ac:dyDescent="0.2">
      <c r="G1042" s="889"/>
    </row>
    <row r="1043" spans="7:7" ht="10.5" customHeight="1" x14ac:dyDescent="0.2">
      <c r="G1043" s="889"/>
    </row>
    <row r="1044" spans="7:7" ht="10.5" customHeight="1" x14ac:dyDescent="0.2">
      <c r="G1044" s="889"/>
    </row>
    <row r="1045" spans="7:7" ht="10.5" customHeight="1" x14ac:dyDescent="0.2">
      <c r="G1045" s="889"/>
    </row>
    <row r="1046" spans="7:7" ht="10.5" customHeight="1" x14ac:dyDescent="0.2">
      <c r="G1046" s="889"/>
    </row>
    <row r="1047" spans="7:7" ht="10.5" customHeight="1" x14ac:dyDescent="0.2">
      <c r="G1047" s="889"/>
    </row>
    <row r="1048" spans="7:7" ht="10.5" customHeight="1" x14ac:dyDescent="0.2">
      <c r="G1048" s="889"/>
    </row>
    <row r="1049" spans="7:7" ht="10.5" customHeight="1" x14ac:dyDescent="0.2">
      <c r="G1049" s="889"/>
    </row>
    <row r="1050" spans="7:7" ht="10.5" customHeight="1" x14ac:dyDescent="0.2">
      <c r="G1050" s="889"/>
    </row>
    <row r="1051" spans="7:7" ht="10.5" customHeight="1" x14ac:dyDescent="0.2">
      <c r="G1051" s="889"/>
    </row>
    <row r="1052" spans="7:7" ht="10.5" customHeight="1" x14ac:dyDescent="0.2">
      <c r="G1052" s="889"/>
    </row>
    <row r="1053" spans="7:7" ht="10.5" customHeight="1" x14ac:dyDescent="0.2">
      <c r="G1053" s="889"/>
    </row>
    <row r="1054" spans="7:7" ht="10.5" customHeight="1" x14ac:dyDescent="0.2">
      <c r="G1054" s="889"/>
    </row>
    <row r="1055" spans="7:7" ht="10.5" customHeight="1" x14ac:dyDescent="0.2">
      <c r="G1055" s="889"/>
    </row>
    <row r="1056" spans="7:7" ht="10.5" customHeight="1" x14ac:dyDescent="0.2">
      <c r="G1056" s="889"/>
    </row>
    <row r="1057" spans="7:7" ht="10.5" customHeight="1" x14ac:dyDescent="0.2">
      <c r="G1057" s="889"/>
    </row>
    <row r="1058" spans="7:7" ht="10.5" customHeight="1" x14ac:dyDescent="0.2">
      <c r="G1058" s="889"/>
    </row>
    <row r="1059" spans="7:7" ht="10.5" customHeight="1" x14ac:dyDescent="0.2">
      <c r="G1059" s="889"/>
    </row>
    <row r="1060" spans="7:7" ht="10.5" customHeight="1" x14ac:dyDescent="0.2">
      <c r="G1060" s="889"/>
    </row>
    <row r="1061" spans="7:7" ht="10.5" customHeight="1" x14ac:dyDescent="0.2">
      <c r="G1061" s="889"/>
    </row>
    <row r="1062" spans="7:7" ht="10.5" customHeight="1" x14ac:dyDescent="0.2">
      <c r="G1062" s="889"/>
    </row>
    <row r="1063" spans="7:7" ht="10.5" customHeight="1" x14ac:dyDescent="0.2">
      <c r="G1063" s="889"/>
    </row>
    <row r="1064" spans="7:7" ht="10.5" customHeight="1" x14ac:dyDescent="0.2">
      <c r="G1064" s="889"/>
    </row>
    <row r="1065" spans="7:7" ht="10.5" customHeight="1" x14ac:dyDescent="0.2">
      <c r="G1065" s="889"/>
    </row>
    <row r="1066" spans="7:7" ht="10.5" customHeight="1" x14ac:dyDescent="0.2">
      <c r="G1066" s="889"/>
    </row>
    <row r="1067" spans="7:7" ht="10.5" customHeight="1" x14ac:dyDescent="0.2">
      <c r="G1067" s="889"/>
    </row>
    <row r="1068" spans="7:7" ht="10.5" customHeight="1" x14ac:dyDescent="0.2">
      <c r="G1068" s="889"/>
    </row>
    <row r="1069" spans="7:7" ht="10.5" customHeight="1" x14ac:dyDescent="0.2">
      <c r="G1069" s="889"/>
    </row>
    <row r="1070" spans="7:7" ht="10.5" customHeight="1" x14ac:dyDescent="0.2">
      <c r="G1070" s="889"/>
    </row>
    <row r="1071" spans="7:7" ht="10.5" customHeight="1" x14ac:dyDescent="0.2">
      <c r="G1071" s="889"/>
    </row>
    <row r="1072" spans="7:7" ht="10.5" customHeight="1" x14ac:dyDescent="0.2">
      <c r="G1072" s="889"/>
    </row>
    <row r="1073" spans="7:7" ht="10.5" customHeight="1" x14ac:dyDescent="0.2">
      <c r="G1073" s="889"/>
    </row>
    <row r="1074" spans="7:7" ht="10.5" customHeight="1" x14ac:dyDescent="0.2">
      <c r="G1074" s="889"/>
    </row>
    <row r="1075" spans="7:7" ht="10.5" customHeight="1" x14ac:dyDescent="0.2">
      <c r="G1075" s="889"/>
    </row>
    <row r="1076" spans="7:7" ht="10.5" customHeight="1" x14ac:dyDescent="0.2">
      <c r="G1076" s="889"/>
    </row>
    <row r="1077" spans="7:7" ht="10.5" customHeight="1" x14ac:dyDescent="0.2">
      <c r="G1077" s="889"/>
    </row>
    <row r="1078" spans="7:7" ht="10.5" customHeight="1" x14ac:dyDescent="0.2">
      <c r="G1078" s="889"/>
    </row>
    <row r="1079" spans="7:7" ht="10.5" customHeight="1" x14ac:dyDescent="0.2">
      <c r="G1079" s="889"/>
    </row>
    <row r="1080" spans="7:7" ht="10.5" customHeight="1" x14ac:dyDescent="0.2">
      <c r="G1080" s="889"/>
    </row>
    <row r="1081" spans="7:7" ht="10.5" customHeight="1" x14ac:dyDescent="0.2">
      <c r="G1081" s="889"/>
    </row>
    <row r="1082" spans="7:7" ht="10.5" customHeight="1" x14ac:dyDescent="0.2">
      <c r="G1082" s="889"/>
    </row>
    <row r="1083" spans="7:7" ht="10.5" customHeight="1" x14ac:dyDescent="0.2">
      <c r="G1083" s="889"/>
    </row>
    <row r="1084" spans="7:7" ht="10.5" customHeight="1" x14ac:dyDescent="0.2">
      <c r="G1084" s="889"/>
    </row>
    <row r="1085" spans="7:7" ht="10.5" customHeight="1" x14ac:dyDescent="0.2">
      <c r="G1085" s="889"/>
    </row>
    <row r="1086" spans="7:7" ht="10.5" customHeight="1" x14ac:dyDescent="0.2">
      <c r="G1086" s="889"/>
    </row>
    <row r="1087" spans="7:7" ht="10.5" customHeight="1" x14ac:dyDescent="0.2">
      <c r="G1087" s="889"/>
    </row>
    <row r="1088" spans="7:7" ht="10.5" customHeight="1" x14ac:dyDescent="0.2">
      <c r="G1088" s="889"/>
    </row>
    <row r="1089" spans="7:7" ht="10.5" customHeight="1" x14ac:dyDescent="0.2">
      <c r="G1089" s="889"/>
    </row>
    <row r="1090" spans="7:7" ht="10.5" customHeight="1" x14ac:dyDescent="0.2">
      <c r="G1090" s="889"/>
    </row>
    <row r="1091" spans="7:7" ht="10.5" customHeight="1" x14ac:dyDescent="0.2">
      <c r="G1091" s="889"/>
    </row>
    <row r="1092" spans="7:7" ht="10.5" customHeight="1" x14ac:dyDescent="0.2">
      <c r="G1092" s="889"/>
    </row>
    <row r="1093" spans="7:7" ht="10.5" customHeight="1" x14ac:dyDescent="0.2">
      <c r="G1093" s="889"/>
    </row>
    <row r="1094" spans="7:7" ht="10.5" customHeight="1" x14ac:dyDescent="0.2">
      <c r="G1094" s="889"/>
    </row>
    <row r="1095" spans="7:7" ht="10.5" customHeight="1" x14ac:dyDescent="0.2">
      <c r="G1095" s="889"/>
    </row>
    <row r="1096" spans="7:7" ht="10.5" customHeight="1" x14ac:dyDescent="0.2">
      <c r="G1096" s="889"/>
    </row>
    <row r="1097" spans="7:7" ht="10.5" customHeight="1" x14ac:dyDescent="0.2">
      <c r="G1097" s="889"/>
    </row>
    <row r="1098" spans="7:7" ht="10.5" customHeight="1" x14ac:dyDescent="0.2">
      <c r="G1098" s="889"/>
    </row>
    <row r="1099" spans="7:7" ht="10.5" customHeight="1" x14ac:dyDescent="0.2">
      <c r="G1099" s="889"/>
    </row>
    <row r="1100" spans="7:7" ht="10.5" customHeight="1" x14ac:dyDescent="0.2">
      <c r="G1100" s="889"/>
    </row>
    <row r="1101" spans="7:7" ht="10.5" customHeight="1" x14ac:dyDescent="0.2">
      <c r="G1101" s="889"/>
    </row>
    <row r="1102" spans="7:7" ht="10.5" customHeight="1" x14ac:dyDescent="0.2">
      <c r="G1102" s="889"/>
    </row>
    <row r="1103" spans="7:7" ht="10.5" customHeight="1" x14ac:dyDescent="0.2">
      <c r="G1103" s="889"/>
    </row>
    <row r="1104" spans="7:7" ht="10.5" customHeight="1" x14ac:dyDescent="0.2">
      <c r="G1104" s="889"/>
    </row>
    <row r="1105" spans="7:7" ht="10.5" customHeight="1" x14ac:dyDescent="0.2">
      <c r="G1105" s="889"/>
    </row>
    <row r="1106" spans="7:7" ht="10.5" customHeight="1" x14ac:dyDescent="0.2">
      <c r="G1106" s="889"/>
    </row>
    <row r="1107" spans="7:7" ht="10.5" customHeight="1" x14ac:dyDescent="0.2">
      <c r="G1107" s="889"/>
    </row>
    <row r="1108" spans="7:7" ht="10.5" customHeight="1" x14ac:dyDescent="0.2">
      <c r="G1108" s="889"/>
    </row>
    <row r="1109" spans="7:7" ht="10.5" customHeight="1" x14ac:dyDescent="0.2">
      <c r="G1109" s="889"/>
    </row>
    <row r="1110" spans="7:7" ht="10.5" customHeight="1" x14ac:dyDescent="0.2">
      <c r="G1110" s="889"/>
    </row>
    <row r="1111" spans="7:7" ht="10.5" customHeight="1" x14ac:dyDescent="0.2">
      <c r="G1111" s="889"/>
    </row>
    <row r="1112" spans="7:7" ht="10.5" customHeight="1" x14ac:dyDescent="0.2">
      <c r="G1112" s="889"/>
    </row>
    <row r="1113" spans="7:7" ht="10.5" customHeight="1" x14ac:dyDescent="0.2">
      <c r="G1113" s="889"/>
    </row>
    <row r="1114" spans="7:7" ht="10.5" customHeight="1" x14ac:dyDescent="0.2">
      <c r="G1114" s="889"/>
    </row>
    <row r="1115" spans="7:7" ht="10.5" customHeight="1" x14ac:dyDescent="0.2">
      <c r="G1115" s="889"/>
    </row>
    <row r="1116" spans="7:7" ht="10.5" customHeight="1" x14ac:dyDescent="0.2">
      <c r="G1116" s="889"/>
    </row>
    <row r="1117" spans="7:7" ht="10.5" customHeight="1" x14ac:dyDescent="0.2">
      <c r="G1117" s="889"/>
    </row>
    <row r="1118" spans="7:7" ht="10.5" customHeight="1" x14ac:dyDescent="0.2">
      <c r="G1118" s="889"/>
    </row>
    <row r="1119" spans="7:7" ht="10.5" customHeight="1" x14ac:dyDescent="0.2">
      <c r="G1119" s="889"/>
    </row>
    <row r="1120" spans="7:7" ht="10.5" customHeight="1" x14ac:dyDescent="0.2">
      <c r="G1120" s="889"/>
    </row>
    <row r="1121" spans="7:7" ht="10.5" customHeight="1" x14ac:dyDescent="0.2">
      <c r="G1121" s="889"/>
    </row>
    <row r="1122" spans="7:7" ht="10.5" customHeight="1" x14ac:dyDescent="0.2">
      <c r="G1122" s="889"/>
    </row>
    <row r="1123" spans="7:7" ht="10.5" customHeight="1" x14ac:dyDescent="0.2">
      <c r="G1123" s="889"/>
    </row>
    <row r="1124" spans="7:7" ht="10.5" customHeight="1" x14ac:dyDescent="0.2">
      <c r="G1124" s="889"/>
    </row>
    <row r="1125" spans="7:7" ht="10.5" customHeight="1" x14ac:dyDescent="0.2">
      <c r="G1125" s="889"/>
    </row>
    <row r="1126" spans="7:7" ht="10.5" customHeight="1" x14ac:dyDescent="0.2">
      <c r="G1126" s="889"/>
    </row>
    <row r="1127" spans="7:7" ht="10.5" customHeight="1" x14ac:dyDescent="0.2">
      <c r="G1127" s="889"/>
    </row>
    <row r="1128" spans="7:7" ht="10.5" customHeight="1" x14ac:dyDescent="0.2">
      <c r="G1128" s="889"/>
    </row>
    <row r="1129" spans="7:7" ht="10.5" customHeight="1" x14ac:dyDescent="0.2">
      <c r="G1129" s="889"/>
    </row>
    <row r="1130" spans="7:7" ht="10.5" customHeight="1" x14ac:dyDescent="0.2">
      <c r="G1130" s="889"/>
    </row>
    <row r="1131" spans="7:7" ht="10.5" customHeight="1" x14ac:dyDescent="0.2">
      <c r="G1131" s="889"/>
    </row>
    <row r="1132" spans="7:7" ht="10.5" customHeight="1" x14ac:dyDescent="0.2">
      <c r="G1132" s="889"/>
    </row>
    <row r="1133" spans="7:7" ht="10.5" customHeight="1" x14ac:dyDescent="0.2">
      <c r="G1133" s="889"/>
    </row>
    <row r="1134" spans="7:7" ht="10.5" customHeight="1" x14ac:dyDescent="0.2">
      <c r="G1134" s="889"/>
    </row>
    <row r="1135" spans="7:7" ht="10.5" customHeight="1" x14ac:dyDescent="0.2">
      <c r="G1135" s="889"/>
    </row>
    <row r="1136" spans="7:7" ht="10.5" customHeight="1" x14ac:dyDescent="0.2">
      <c r="G1136" s="889"/>
    </row>
    <row r="1137" spans="7:7" ht="10.5" customHeight="1" x14ac:dyDescent="0.2">
      <c r="G1137" s="889"/>
    </row>
    <row r="1138" spans="7:7" ht="10.5" customHeight="1" x14ac:dyDescent="0.2">
      <c r="G1138" s="889"/>
    </row>
    <row r="1139" spans="7:7" ht="10.5" customHeight="1" x14ac:dyDescent="0.2">
      <c r="G1139" s="889"/>
    </row>
    <row r="1140" spans="7:7" ht="10.5" customHeight="1" x14ac:dyDescent="0.2">
      <c r="G1140" s="889"/>
    </row>
    <row r="1141" spans="7:7" ht="10.5" customHeight="1" x14ac:dyDescent="0.2">
      <c r="G1141" s="889"/>
    </row>
    <row r="1142" spans="7:7" ht="10.5" customHeight="1" x14ac:dyDescent="0.2">
      <c r="G1142" s="889"/>
    </row>
    <row r="1143" spans="7:7" ht="10.5" customHeight="1" x14ac:dyDescent="0.2">
      <c r="G1143" s="889"/>
    </row>
    <row r="1144" spans="7:7" ht="10.5" customHeight="1" x14ac:dyDescent="0.2">
      <c r="G1144" s="889"/>
    </row>
    <row r="1145" spans="7:7" ht="10.5" customHeight="1" x14ac:dyDescent="0.2">
      <c r="G1145" s="889"/>
    </row>
    <row r="1146" spans="7:7" ht="10.5" customHeight="1" x14ac:dyDescent="0.2">
      <c r="G1146" s="889"/>
    </row>
    <row r="1147" spans="7:7" ht="10.5" customHeight="1" x14ac:dyDescent="0.2">
      <c r="G1147" s="889"/>
    </row>
    <row r="1148" spans="7:7" ht="10.5" customHeight="1" x14ac:dyDescent="0.2">
      <c r="G1148" s="889"/>
    </row>
    <row r="1149" spans="7:7" ht="10.5" customHeight="1" x14ac:dyDescent="0.2">
      <c r="G1149" s="889"/>
    </row>
    <row r="1150" spans="7:7" ht="10.5" customHeight="1" x14ac:dyDescent="0.2">
      <c r="G1150" s="889"/>
    </row>
    <row r="1151" spans="7:7" ht="10.5" customHeight="1" x14ac:dyDescent="0.2">
      <c r="G1151" s="889"/>
    </row>
    <row r="1152" spans="7:7" ht="10.5" customHeight="1" x14ac:dyDescent="0.2">
      <c r="G1152" s="889"/>
    </row>
    <row r="1153" spans="7:7" ht="10.5" customHeight="1" x14ac:dyDescent="0.2">
      <c r="G1153" s="889"/>
    </row>
    <row r="1154" spans="7:7" ht="10.5" customHeight="1" x14ac:dyDescent="0.2">
      <c r="G1154" s="889"/>
    </row>
    <row r="1155" spans="7:7" ht="10.5" customHeight="1" x14ac:dyDescent="0.2">
      <c r="G1155" s="889"/>
    </row>
    <row r="1156" spans="7:7" ht="10.5" customHeight="1" x14ac:dyDescent="0.2">
      <c r="G1156" s="889"/>
    </row>
    <row r="1157" spans="7:7" ht="10.5" customHeight="1" x14ac:dyDescent="0.2">
      <c r="G1157" s="889"/>
    </row>
    <row r="1158" spans="7:7" ht="10.5" customHeight="1" x14ac:dyDescent="0.2">
      <c r="G1158" s="889"/>
    </row>
    <row r="1159" spans="7:7" ht="10.5" customHeight="1" x14ac:dyDescent="0.2">
      <c r="G1159" s="889"/>
    </row>
    <row r="1160" spans="7:7" ht="10.5" customHeight="1" x14ac:dyDescent="0.2">
      <c r="G1160" s="889"/>
    </row>
    <row r="1161" spans="7:7" ht="10.5" customHeight="1" x14ac:dyDescent="0.2">
      <c r="G1161" s="889"/>
    </row>
    <row r="1162" spans="7:7" ht="10.5" customHeight="1" x14ac:dyDescent="0.2">
      <c r="G1162" s="889"/>
    </row>
    <row r="1163" spans="7:7" ht="10.5" customHeight="1" x14ac:dyDescent="0.2">
      <c r="G1163" s="889"/>
    </row>
    <row r="1164" spans="7:7" ht="10.5" customHeight="1" x14ac:dyDescent="0.2">
      <c r="G1164" s="889"/>
    </row>
    <row r="1165" spans="7:7" ht="10.5" customHeight="1" x14ac:dyDescent="0.2">
      <c r="G1165" s="889"/>
    </row>
    <row r="1166" spans="7:7" ht="10.5" customHeight="1" x14ac:dyDescent="0.2">
      <c r="G1166" s="889"/>
    </row>
    <row r="1167" spans="7:7" ht="10.5" customHeight="1" x14ac:dyDescent="0.2">
      <c r="G1167" s="889"/>
    </row>
    <row r="1168" spans="7:7" ht="10.5" customHeight="1" x14ac:dyDescent="0.2">
      <c r="G1168" s="889"/>
    </row>
    <row r="1169" spans="7:7" ht="10.5" customHeight="1" x14ac:dyDescent="0.2">
      <c r="G1169" s="889"/>
    </row>
    <row r="1170" spans="7:7" ht="10.5" customHeight="1" x14ac:dyDescent="0.2">
      <c r="G1170" s="889"/>
    </row>
    <row r="1171" spans="7:7" ht="10.5" customHeight="1" x14ac:dyDescent="0.2">
      <c r="G1171" s="889"/>
    </row>
    <row r="1172" spans="7:7" ht="10.5" customHeight="1" x14ac:dyDescent="0.2">
      <c r="G1172" s="889"/>
    </row>
    <row r="1173" spans="7:7" ht="10.5" customHeight="1" x14ac:dyDescent="0.2">
      <c r="G1173" s="889"/>
    </row>
    <row r="1174" spans="7:7" ht="10.5" customHeight="1" x14ac:dyDescent="0.2">
      <c r="G1174" s="889"/>
    </row>
    <row r="1175" spans="7:7" ht="10.5" customHeight="1" x14ac:dyDescent="0.2">
      <c r="G1175" s="889"/>
    </row>
    <row r="1176" spans="7:7" ht="10.5" customHeight="1" x14ac:dyDescent="0.2">
      <c r="G1176" s="889"/>
    </row>
    <row r="1177" spans="7:7" ht="10.5" customHeight="1" x14ac:dyDescent="0.2">
      <c r="G1177" s="889"/>
    </row>
    <row r="1178" spans="7:7" ht="10.5" customHeight="1" x14ac:dyDescent="0.2">
      <c r="G1178" s="889"/>
    </row>
    <row r="1179" spans="7:7" ht="10.5" customHeight="1" x14ac:dyDescent="0.2">
      <c r="G1179" s="889"/>
    </row>
    <row r="1180" spans="7:7" ht="10.5" customHeight="1" x14ac:dyDescent="0.2">
      <c r="G1180" s="889"/>
    </row>
    <row r="1181" spans="7:7" ht="10.5" customHeight="1" x14ac:dyDescent="0.2">
      <c r="G1181" s="889"/>
    </row>
    <row r="1182" spans="7:7" ht="10.5" customHeight="1" x14ac:dyDescent="0.2">
      <c r="G1182" s="889"/>
    </row>
    <row r="1183" spans="7:7" ht="10.5" customHeight="1" x14ac:dyDescent="0.2">
      <c r="G1183" s="889"/>
    </row>
    <row r="1184" spans="7:7" ht="10.5" customHeight="1" x14ac:dyDescent="0.2">
      <c r="G1184" s="889"/>
    </row>
    <row r="1185" spans="7:7" ht="10.5" customHeight="1" x14ac:dyDescent="0.2">
      <c r="G1185" s="889"/>
    </row>
    <row r="1186" spans="7:7" ht="10.5" customHeight="1" x14ac:dyDescent="0.2">
      <c r="G1186" s="889"/>
    </row>
    <row r="1187" spans="7:7" ht="10.5" customHeight="1" x14ac:dyDescent="0.2">
      <c r="G1187" s="889"/>
    </row>
    <row r="1188" spans="7:7" ht="10.5" customHeight="1" x14ac:dyDescent="0.2">
      <c r="G1188" s="889"/>
    </row>
    <row r="1189" spans="7:7" ht="10.5" customHeight="1" x14ac:dyDescent="0.2">
      <c r="G1189" s="889"/>
    </row>
    <row r="1190" spans="7:7" ht="10.5" customHeight="1" x14ac:dyDescent="0.2">
      <c r="G1190" s="889"/>
    </row>
    <row r="1191" spans="7:7" ht="10.5" customHeight="1" x14ac:dyDescent="0.2">
      <c r="G1191" s="889"/>
    </row>
    <row r="1192" spans="7:7" ht="10.5" customHeight="1" x14ac:dyDescent="0.2">
      <c r="G1192" s="889"/>
    </row>
    <row r="1193" spans="7:7" ht="10.5" customHeight="1" x14ac:dyDescent="0.2">
      <c r="G1193" s="889"/>
    </row>
    <row r="1194" spans="7:7" ht="10.5" customHeight="1" x14ac:dyDescent="0.2">
      <c r="G1194" s="889"/>
    </row>
    <row r="1195" spans="7:7" ht="10.5" customHeight="1" x14ac:dyDescent="0.2">
      <c r="G1195" s="889"/>
    </row>
    <row r="1196" spans="7:7" ht="10.5" customHeight="1" x14ac:dyDescent="0.2">
      <c r="G1196" s="889"/>
    </row>
    <row r="1197" spans="7:7" ht="10.5" customHeight="1" x14ac:dyDescent="0.2">
      <c r="G1197" s="889"/>
    </row>
    <row r="1198" spans="7:7" ht="10.5" customHeight="1" x14ac:dyDescent="0.2">
      <c r="G1198" s="889"/>
    </row>
    <row r="1199" spans="7:7" ht="10.5" customHeight="1" x14ac:dyDescent="0.2">
      <c r="G1199" s="889"/>
    </row>
    <row r="1200" spans="7:7" ht="10.5" customHeight="1" x14ac:dyDescent="0.2">
      <c r="G1200" s="889"/>
    </row>
    <row r="1201" spans="7:7" ht="10.5" customHeight="1" x14ac:dyDescent="0.2">
      <c r="G1201" s="889"/>
    </row>
    <row r="1202" spans="7:7" ht="10.5" customHeight="1" x14ac:dyDescent="0.2">
      <c r="G1202" s="889"/>
    </row>
    <row r="1203" spans="7:7" ht="10.5" customHeight="1" x14ac:dyDescent="0.2">
      <c r="G1203" s="889"/>
    </row>
    <row r="1204" spans="7:7" ht="10.5" customHeight="1" x14ac:dyDescent="0.2">
      <c r="G1204" s="889"/>
    </row>
    <row r="1205" spans="7:7" ht="10.5" customHeight="1" x14ac:dyDescent="0.2">
      <c r="G1205" s="889"/>
    </row>
    <row r="1206" spans="7:7" ht="10.5" customHeight="1" x14ac:dyDescent="0.2">
      <c r="G1206" s="889"/>
    </row>
    <row r="1207" spans="7:7" ht="10.5" customHeight="1" x14ac:dyDescent="0.2">
      <c r="G1207" s="889"/>
    </row>
    <row r="1208" spans="7:7" ht="10.5" customHeight="1" x14ac:dyDescent="0.2">
      <c r="G1208" s="889"/>
    </row>
    <row r="1209" spans="7:7" ht="10.5" customHeight="1" x14ac:dyDescent="0.2">
      <c r="G1209" s="889"/>
    </row>
    <row r="1210" spans="7:7" ht="10.5" customHeight="1" x14ac:dyDescent="0.2">
      <c r="G1210" s="889"/>
    </row>
    <row r="1211" spans="7:7" ht="10.5" customHeight="1" x14ac:dyDescent="0.2">
      <c r="G1211" s="889"/>
    </row>
    <row r="1212" spans="7:7" ht="10.5" customHeight="1" x14ac:dyDescent="0.2">
      <c r="G1212" s="889"/>
    </row>
    <row r="1213" spans="7:7" ht="10.5" customHeight="1" x14ac:dyDescent="0.2">
      <c r="G1213" s="889"/>
    </row>
    <row r="1214" spans="7:7" ht="10.5" customHeight="1" x14ac:dyDescent="0.2">
      <c r="G1214" s="889"/>
    </row>
    <row r="1215" spans="7:7" ht="10.5" customHeight="1" x14ac:dyDescent="0.2">
      <c r="G1215" s="889"/>
    </row>
    <row r="1216" spans="7:7" ht="10.5" customHeight="1" x14ac:dyDescent="0.2">
      <c r="G1216" s="889"/>
    </row>
    <row r="1217" spans="7:7" ht="10.5" customHeight="1" x14ac:dyDescent="0.2">
      <c r="G1217" s="889"/>
    </row>
    <row r="1218" spans="7:7" ht="10.5" customHeight="1" x14ac:dyDescent="0.2">
      <c r="G1218" s="889"/>
    </row>
    <row r="1219" spans="7:7" ht="10.5" customHeight="1" x14ac:dyDescent="0.2">
      <c r="G1219" s="889"/>
    </row>
    <row r="1220" spans="7:7" ht="10.5" customHeight="1" x14ac:dyDescent="0.2">
      <c r="G1220" s="889"/>
    </row>
    <row r="1221" spans="7:7" ht="10.5" customHeight="1" x14ac:dyDescent="0.2">
      <c r="G1221" s="889"/>
    </row>
    <row r="1222" spans="7:7" ht="10.5" customHeight="1" x14ac:dyDescent="0.2">
      <c r="G1222" s="889"/>
    </row>
    <row r="1223" spans="7:7" ht="10.5" customHeight="1" x14ac:dyDescent="0.2">
      <c r="G1223" s="889"/>
    </row>
    <row r="1224" spans="7:7" ht="10.5" customHeight="1" x14ac:dyDescent="0.2">
      <c r="G1224" s="889"/>
    </row>
    <row r="1225" spans="7:7" ht="10.5" customHeight="1" x14ac:dyDescent="0.2">
      <c r="G1225" s="889"/>
    </row>
    <row r="1226" spans="7:7" ht="10.5" customHeight="1" x14ac:dyDescent="0.2">
      <c r="G1226" s="889"/>
    </row>
    <row r="1227" spans="7:7" ht="10.5" customHeight="1" x14ac:dyDescent="0.2">
      <c r="G1227" s="889"/>
    </row>
    <row r="1228" spans="7:7" ht="10.5" customHeight="1" x14ac:dyDescent="0.2">
      <c r="G1228" s="889"/>
    </row>
    <row r="1229" spans="7:7" ht="10.5" customHeight="1" x14ac:dyDescent="0.2">
      <c r="G1229" s="889"/>
    </row>
    <row r="1230" spans="7:7" ht="10.5" customHeight="1" x14ac:dyDescent="0.2">
      <c r="G1230" s="889"/>
    </row>
    <row r="1231" spans="7:7" ht="10.5" customHeight="1" x14ac:dyDescent="0.2">
      <c r="G1231" s="889"/>
    </row>
    <row r="1232" spans="7:7" ht="10.5" customHeight="1" x14ac:dyDescent="0.2">
      <c r="G1232" s="889"/>
    </row>
    <row r="1233" spans="7:7" ht="10.5" customHeight="1" x14ac:dyDescent="0.2">
      <c r="G1233" s="889"/>
    </row>
    <row r="1234" spans="7:7" ht="10.5" customHeight="1" x14ac:dyDescent="0.2">
      <c r="G1234" s="889"/>
    </row>
    <row r="1235" spans="7:7" ht="10.5" customHeight="1" x14ac:dyDescent="0.2">
      <c r="G1235" s="889"/>
    </row>
    <row r="1236" spans="7:7" ht="10.5" customHeight="1" x14ac:dyDescent="0.2">
      <c r="G1236" s="889"/>
    </row>
    <row r="1237" spans="7:7" ht="10.5" customHeight="1" x14ac:dyDescent="0.2">
      <c r="G1237" s="889"/>
    </row>
    <row r="1238" spans="7:7" ht="10.5" customHeight="1" x14ac:dyDescent="0.2">
      <c r="G1238" s="889"/>
    </row>
    <row r="1239" spans="7:7" ht="10.5" customHeight="1" x14ac:dyDescent="0.2">
      <c r="G1239" s="889"/>
    </row>
    <row r="1240" spans="7:7" ht="10.5" customHeight="1" x14ac:dyDescent="0.2">
      <c r="G1240" s="889"/>
    </row>
    <row r="1241" spans="7:7" ht="10.5" customHeight="1" x14ac:dyDescent="0.2">
      <c r="G1241" s="889"/>
    </row>
    <row r="1242" spans="7:7" ht="10.5" customHeight="1" x14ac:dyDescent="0.2">
      <c r="G1242" s="889"/>
    </row>
    <row r="1243" spans="7:7" ht="10.5" customHeight="1" x14ac:dyDescent="0.2">
      <c r="G1243" s="889"/>
    </row>
    <row r="1244" spans="7:7" ht="10.5" customHeight="1" x14ac:dyDescent="0.2">
      <c r="G1244" s="889"/>
    </row>
    <row r="1245" spans="7:7" ht="10.5" customHeight="1" x14ac:dyDescent="0.2">
      <c r="G1245" s="889"/>
    </row>
    <row r="1246" spans="7:7" ht="10.5" customHeight="1" x14ac:dyDescent="0.2">
      <c r="G1246" s="889"/>
    </row>
    <row r="1247" spans="7:7" ht="10.5" customHeight="1" x14ac:dyDescent="0.2">
      <c r="G1247" s="889"/>
    </row>
    <row r="1248" spans="7:7" ht="10.5" customHeight="1" x14ac:dyDescent="0.2">
      <c r="G1248" s="889"/>
    </row>
    <row r="1249" spans="7:7" ht="10.5" customHeight="1" x14ac:dyDescent="0.2">
      <c r="G1249" s="889"/>
    </row>
    <row r="1250" spans="7:7" ht="10.5" customHeight="1" x14ac:dyDescent="0.2">
      <c r="G1250" s="889"/>
    </row>
    <row r="1251" spans="7:7" ht="10.5" customHeight="1" x14ac:dyDescent="0.2">
      <c r="G1251" s="889"/>
    </row>
    <row r="1252" spans="7:7" ht="10.5" customHeight="1" x14ac:dyDescent="0.2">
      <c r="G1252" s="889"/>
    </row>
    <row r="1253" spans="7:7" ht="10.5" customHeight="1" x14ac:dyDescent="0.2">
      <c r="G1253" s="889"/>
    </row>
    <row r="1254" spans="7:7" ht="10.5" customHeight="1" x14ac:dyDescent="0.2">
      <c r="G1254" s="889"/>
    </row>
    <row r="1255" spans="7:7" ht="10.5" customHeight="1" x14ac:dyDescent="0.2">
      <c r="G1255" s="889"/>
    </row>
    <row r="1256" spans="7:7" ht="10.5" customHeight="1" x14ac:dyDescent="0.2">
      <c r="G1256" s="889"/>
    </row>
    <row r="1257" spans="7:7" ht="10.5" customHeight="1" x14ac:dyDescent="0.2">
      <c r="G1257" s="889"/>
    </row>
    <row r="1258" spans="7:7" ht="10.5" customHeight="1" x14ac:dyDescent="0.2">
      <c r="G1258" s="889"/>
    </row>
    <row r="1259" spans="7:7" ht="10.5" customHeight="1" x14ac:dyDescent="0.2">
      <c r="G1259" s="889"/>
    </row>
    <row r="1260" spans="7:7" ht="10.5" customHeight="1" x14ac:dyDescent="0.2">
      <c r="G1260" s="889"/>
    </row>
    <row r="1261" spans="7:7" ht="10.5" customHeight="1" x14ac:dyDescent="0.2">
      <c r="G1261" s="889"/>
    </row>
    <row r="1262" spans="7:7" ht="10.5" customHeight="1" x14ac:dyDescent="0.2">
      <c r="G1262" s="889"/>
    </row>
    <row r="1263" spans="7:7" ht="10.5" customHeight="1" x14ac:dyDescent="0.2">
      <c r="G1263" s="889"/>
    </row>
    <row r="1264" spans="7:7" ht="10.5" customHeight="1" x14ac:dyDescent="0.2">
      <c r="G1264" s="889"/>
    </row>
    <row r="1265" spans="7:7" ht="10.5" customHeight="1" x14ac:dyDescent="0.2">
      <c r="G1265" s="889"/>
    </row>
    <row r="1266" spans="7:7" ht="10.5" customHeight="1" x14ac:dyDescent="0.2">
      <c r="G1266" s="889"/>
    </row>
    <row r="1267" spans="7:7" ht="10.5" customHeight="1" x14ac:dyDescent="0.2">
      <c r="G1267" s="889"/>
    </row>
    <row r="1268" spans="7:7" ht="10.5" customHeight="1" x14ac:dyDescent="0.2">
      <c r="G1268" s="889"/>
    </row>
    <row r="1269" spans="7:7" ht="10.5" customHeight="1" x14ac:dyDescent="0.2">
      <c r="G1269" s="889"/>
    </row>
    <row r="1270" spans="7:7" ht="10.5" customHeight="1" x14ac:dyDescent="0.2">
      <c r="G1270" s="889"/>
    </row>
    <row r="1271" spans="7:7" ht="10.5" customHeight="1" x14ac:dyDescent="0.2">
      <c r="G1271" s="889"/>
    </row>
    <row r="1272" spans="7:7" ht="10.5" customHeight="1" x14ac:dyDescent="0.2">
      <c r="G1272" s="889"/>
    </row>
    <row r="1273" spans="7:7" ht="10.5" customHeight="1" x14ac:dyDescent="0.2">
      <c r="G1273" s="889"/>
    </row>
    <row r="1274" spans="7:7" ht="10.5" customHeight="1" x14ac:dyDescent="0.2">
      <c r="G1274" s="889"/>
    </row>
    <row r="1275" spans="7:7" ht="10.5" customHeight="1" x14ac:dyDescent="0.2">
      <c r="G1275" s="889"/>
    </row>
    <row r="1276" spans="7:7" ht="10.5" customHeight="1" x14ac:dyDescent="0.2">
      <c r="G1276" s="889"/>
    </row>
    <row r="1277" spans="7:7" ht="10.5" customHeight="1" x14ac:dyDescent="0.2">
      <c r="G1277" s="889"/>
    </row>
    <row r="1278" spans="7:7" ht="10.5" customHeight="1" x14ac:dyDescent="0.2">
      <c r="G1278" s="889"/>
    </row>
    <row r="1279" spans="7:7" ht="10.5" customHeight="1" x14ac:dyDescent="0.2">
      <c r="G1279" s="889"/>
    </row>
    <row r="1280" spans="7:7" ht="10.5" customHeight="1" x14ac:dyDescent="0.2">
      <c r="G1280" s="889"/>
    </row>
    <row r="1281" spans="7:7" ht="10.5" customHeight="1" x14ac:dyDescent="0.2">
      <c r="G1281" s="889"/>
    </row>
    <row r="1282" spans="7:7" ht="10.5" customHeight="1" x14ac:dyDescent="0.2">
      <c r="G1282" s="889"/>
    </row>
    <row r="1283" spans="7:7" ht="10.5" customHeight="1" x14ac:dyDescent="0.2">
      <c r="G1283" s="889"/>
    </row>
    <row r="1284" spans="7:7" ht="10.5" customHeight="1" x14ac:dyDescent="0.2">
      <c r="G1284" s="889"/>
    </row>
    <row r="1285" spans="7:7" ht="10.5" customHeight="1" x14ac:dyDescent="0.2">
      <c r="G1285" s="889"/>
    </row>
    <row r="1286" spans="7:7" ht="10.5" customHeight="1" x14ac:dyDescent="0.2">
      <c r="G1286" s="889"/>
    </row>
    <row r="1287" spans="7:7" ht="10.5" customHeight="1" x14ac:dyDescent="0.2">
      <c r="G1287" s="889"/>
    </row>
    <row r="1288" spans="7:7" ht="10.5" customHeight="1" x14ac:dyDescent="0.2">
      <c r="G1288" s="889"/>
    </row>
    <row r="1289" spans="7:7" ht="10.5" customHeight="1" x14ac:dyDescent="0.2">
      <c r="G1289" s="889"/>
    </row>
    <row r="1290" spans="7:7" ht="10.5" customHeight="1" x14ac:dyDescent="0.2">
      <c r="G1290" s="889"/>
    </row>
    <row r="1291" spans="7:7" ht="10.5" customHeight="1" x14ac:dyDescent="0.2">
      <c r="G1291" s="889"/>
    </row>
    <row r="1292" spans="7:7" ht="10.5" customHeight="1" x14ac:dyDescent="0.2">
      <c r="G1292" s="889"/>
    </row>
    <row r="1293" spans="7:7" ht="10.5" customHeight="1" x14ac:dyDescent="0.2">
      <c r="G1293" s="889"/>
    </row>
    <row r="1294" spans="7:7" ht="10.5" customHeight="1" x14ac:dyDescent="0.2">
      <c r="G1294" s="889"/>
    </row>
    <row r="1295" spans="7:7" ht="10.5" customHeight="1" x14ac:dyDescent="0.2">
      <c r="G1295" s="889"/>
    </row>
    <row r="1296" spans="7:7" ht="10.5" customHeight="1" x14ac:dyDescent="0.2">
      <c r="G1296" s="889"/>
    </row>
    <row r="1297" spans="7:7" ht="10.5" customHeight="1" x14ac:dyDescent="0.2">
      <c r="G1297" s="889"/>
    </row>
    <row r="1298" spans="7:7" ht="10.5" customHeight="1" x14ac:dyDescent="0.2">
      <c r="G1298" s="889"/>
    </row>
    <row r="1299" spans="7:7" ht="10.5" customHeight="1" x14ac:dyDescent="0.2">
      <c r="G1299" s="889"/>
    </row>
    <row r="1300" spans="7:7" ht="10.5" customHeight="1" x14ac:dyDescent="0.2">
      <c r="G1300" s="889"/>
    </row>
    <row r="1301" spans="7:7" ht="10.5" customHeight="1" x14ac:dyDescent="0.2">
      <c r="G1301" s="889"/>
    </row>
    <row r="1302" spans="7:7" ht="10.5" customHeight="1" x14ac:dyDescent="0.2">
      <c r="G1302" s="889"/>
    </row>
    <row r="1303" spans="7:7" ht="10.5" customHeight="1" x14ac:dyDescent="0.2">
      <c r="G1303" s="889"/>
    </row>
    <row r="1304" spans="7:7" ht="10.5" customHeight="1" x14ac:dyDescent="0.2">
      <c r="G1304" s="889"/>
    </row>
    <row r="1305" spans="7:7" ht="10.5" customHeight="1" x14ac:dyDescent="0.2">
      <c r="G1305" s="889"/>
    </row>
    <row r="1306" spans="7:7" ht="10.5" customHeight="1" x14ac:dyDescent="0.2">
      <c r="G1306" s="889"/>
    </row>
    <row r="1307" spans="7:7" ht="10.5" customHeight="1" x14ac:dyDescent="0.2">
      <c r="G1307" s="889"/>
    </row>
    <row r="1308" spans="7:7" ht="10.5" customHeight="1" x14ac:dyDescent="0.2">
      <c r="G1308" s="889"/>
    </row>
    <row r="1309" spans="7:7" ht="10.5" customHeight="1" x14ac:dyDescent="0.2">
      <c r="G1309" s="889"/>
    </row>
    <row r="1310" spans="7:7" ht="10.5" customHeight="1" x14ac:dyDescent="0.2">
      <c r="G1310" s="889"/>
    </row>
    <row r="1311" spans="7:7" ht="10.5" customHeight="1" x14ac:dyDescent="0.2">
      <c r="G1311" s="889"/>
    </row>
    <row r="1312" spans="7:7" ht="10.5" customHeight="1" x14ac:dyDescent="0.2">
      <c r="G1312" s="889"/>
    </row>
    <row r="1313" spans="7:7" ht="10.5" customHeight="1" x14ac:dyDescent="0.2">
      <c r="G1313" s="889"/>
    </row>
    <row r="1314" spans="7:7" ht="10.5" customHeight="1" x14ac:dyDescent="0.2">
      <c r="G1314" s="889"/>
    </row>
    <row r="1315" spans="7:7" ht="10.5" customHeight="1" x14ac:dyDescent="0.2">
      <c r="G1315" s="889"/>
    </row>
    <row r="1316" spans="7:7" ht="10.5" customHeight="1" x14ac:dyDescent="0.2">
      <c r="G1316" s="889"/>
    </row>
    <row r="1317" spans="7:7" ht="10.5" customHeight="1" x14ac:dyDescent="0.2">
      <c r="G1317" s="889"/>
    </row>
    <row r="1318" spans="7:7" ht="10.5" customHeight="1" x14ac:dyDescent="0.2">
      <c r="G1318" s="889"/>
    </row>
    <row r="1319" spans="7:7" ht="10.5" customHeight="1" x14ac:dyDescent="0.2">
      <c r="G1319" s="889"/>
    </row>
    <row r="1320" spans="7:7" ht="10.5" customHeight="1" x14ac:dyDescent="0.2">
      <c r="G1320" s="889"/>
    </row>
    <row r="1321" spans="7:7" ht="10.5" customHeight="1" x14ac:dyDescent="0.2">
      <c r="G1321" s="889"/>
    </row>
    <row r="1322" spans="7:7" ht="10.5" customHeight="1" x14ac:dyDescent="0.2">
      <c r="G1322" s="889"/>
    </row>
    <row r="1323" spans="7:7" ht="10.5" customHeight="1" x14ac:dyDescent="0.2">
      <c r="G1323" s="889"/>
    </row>
    <row r="1324" spans="7:7" ht="10.5" customHeight="1" x14ac:dyDescent="0.2">
      <c r="G1324" s="889"/>
    </row>
    <row r="1325" spans="7:7" ht="10.5" customHeight="1" x14ac:dyDescent="0.2">
      <c r="G1325" s="889"/>
    </row>
    <row r="1326" spans="7:7" ht="10.5" customHeight="1" x14ac:dyDescent="0.2">
      <c r="G1326" s="889"/>
    </row>
    <row r="1327" spans="7:7" ht="10.5" customHeight="1" x14ac:dyDescent="0.2">
      <c r="G1327" s="889"/>
    </row>
    <row r="1328" spans="7:7" ht="10.5" customHeight="1" x14ac:dyDescent="0.2">
      <c r="G1328" s="889"/>
    </row>
    <row r="1329" spans="7:7" ht="10.5" customHeight="1" x14ac:dyDescent="0.2">
      <c r="G1329" s="889"/>
    </row>
    <row r="1330" spans="7:7" ht="10.5" customHeight="1" x14ac:dyDescent="0.2">
      <c r="G1330" s="889"/>
    </row>
    <row r="1331" spans="7:7" ht="10.5" customHeight="1" x14ac:dyDescent="0.2">
      <c r="G1331" s="889"/>
    </row>
    <row r="1332" spans="7:7" ht="10.5" customHeight="1" x14ac:dyDescent="0.2">
      <c r="G1332" s="889"/>
    </row>
    <row r="1333" spans="7:7" ht="10.5" customHeight="1" x14ac:dyDescent="0.2">
      <c r="G1333" s="889"/>
    </row>
    <row r="1334" spans="7:7" ht="10.5" customHeight="1" x14ac:dyDescent="0.2">
      <c r="G1334" s="889"/>
    </row>
    <row r="1335" spans="7:7" ht="10.5" customHeight="1" x14ac:dyDescent="0.2">
      <c r="G1335" s="889"/>
    </row>
    <row r="1336" spans="7:7" ht="10.5" customHeight="1" x14ac:dyDescent="0.2">
      <c r="G1336" s="889"/>
    </row>
    <row r="1337" spans="7:7" ht="10.5" customHeight="1" x14ac:dyDescent="0.2">
      <c r="G1337" s="889"/>
    </row>
    <row r="1338" spans="7:7" ht="10.5" customHeight="1" x14ac:dyDescent="0.2">
      <c r="G1338" s="889"/>
    </row>
    <row r="1339" spans="7:7" ht="10.5" customHeight="1" x14ac:dyDescent="0.2">
      <c r="G1339" s="889"/>
    </row>
    <row r="1340" spans="7:7" ht="10.5" customHeight="1" x14ac:dyDescent="0.2">
      <c r="G1340" s="889"/>
    </row>
    <row r="1341" spans="7:7" ht="10.5" customHeight="1" x14ac:dyDescent="0.2">
      <c r="G1341" s="889"/>
    </row>
    <row r="1342" spans="7:7" ht="10.5" customHeight="1" x14ac:dyDescent="0.2">
      <c r="G1342" s="889"/>
    </row>
    <row r="1343" spans="7:7" ht="10.5" customHeight="1" x14ac:dyDescent="0.2">
      <c r="G1343" s="889"/>
    </row>
    <row r="1344" spans="7:7" ht="10.5" customHeight="1" x14ac:dyDescent="0.2">
      <c r="G1344" s="889"/>
    </row>
    <row r="1345" spans="7:7" ht="10.5" customHeight="1" x14ac:dyDescent="0.2">
      <c r="G1345" s="889"/>
    </row>
    <row r="1346" spans="7:7" ht="10.5" customHeight="1" x14ac:dyDescent="0.2">
      <c r="G1346" s="889"/>
    </row>
    <row r="1347" spans="7:7" ht="10.5" customHeight="1" x14ac:dyDescent="0.2">
      <c r="G1347" s="889"/>
    </row>
    <row r="1348" spans="7:7" ht="10.5" customHeight="1" x14ac:dyDescent="0.2">
      <c r="G1348" s="889"/>
    </row>
    <row r="1349" spans="7:7" ht="10.5" customHeight="1" x14ac:dyDescent="0.2">
      <c r="G1349" s="889"/>
    </row>
    <row r="1350" spans="7:7" ht="10.5" customHeight="1" x14ac:dyDescent="0.2">
      <c r="G1350" s="889"/>
    </row>
    <row r="1351" spans="7:7" ht="10.5" customHeight="1" x14ac:dyDescent="0.2">
      <c r="G1351" s="889"/>
    </row>
    <row r="1352" spans="7:7" ht="10.5" customHeight="1" x14ac:dyDescent="0.2">
      <c r="G1352" s="889"/>
    </row>
    <row r="1353" spans="7:7" ht="10.5" customHeight="1" x14ac:dyDescent="0.2">
      <c r="G1353" s="889"/>
    </row>
    <row r="1354" spans="7:7" ht="10.5" customHeight="1" x14ac:dyDescent="0.2">
      <c r="G1354" s="889"/>
    </row>
    <row r="1355" spans="7:7" ht="10.5" customHeight="1" x14ac:dyDescent="0.2">
      <c r="G1355" s="889"/>
    </row>
    <row r="1356" spans="7:7" ht="10.5" customHeight="1" x14ac:dyDescent="0.2">
      <c r="G1356" s="889"/>
    </row>
    <row r="1357" spans="7:7" ht="10.5" customHeight="1" x14ac:dyDescent="0.2">
      <c r="G1357" s="889"/>
    </row>
    <row r="1358" spans="7:7" ht="10.5" customHeight="1" x14ac:dyDescent="0.2">
      <c r="G1358" s="889"/>
    </row>
    <row r="1359" spans="7:7" ht="10.5" customHeight="1" x14ac:dyDescent="0.2">
      <c r="G1359" s="889"/>
    </row>
    <row r="1360" spans="7:7" ht="10.5" customHeight="1" x14ac:dyDescent="0.2">
      <c r="G1360" s="889"/>
    </row>
    <row r="1361" spans="7:7" ht="10.5" customHeight="1" x14ac:dyDescent="0.2">
      <c r="G1361" s="889"/>
    </row>
    <row r="1362" spans="7:7" ht="10.5" customHeight="1" x14ac:dyDescent="0.2">
      <c r="G1362" s="889"/>
    </row>
    <row r="1363" spans="7:7" ht="10.5" customHeight="1" x14ac:dyDescent="0.2">
      <c r="G1363" s="889"/>
    </row>
    <row r="1364" spans="7:7" ht="10.5" customHeight="1" x14ac:dyDescent="0.2">
      <c r="G1364" s="889"/>
    </row>
    <row r="1365" spans="7:7" ht="10.5" customHeight="1" x14ac:dyDescent="0.2">
      <c r="G1365" s="889"/>
    </row>
    <row r="1366" spans="7:7" ht="10.5" customHeight="1" x14ac:dyDescent="0.2">
      <c r="G1366" s="889"/>
    </row>
    <row r="1367" spans="7:7" ht="10.5" customHeight="1" x14ac:dyDescent="0.2">
      <c r="G1367" s="889"/>
    </row>
    <row r="1368" spans="7:7" ht="10.5" customHeight="1" x14ac:dyDescent="0.2">
      <c r="G1368" s="889"/>
    </row>
    <row r="1369" spans="7:7" ht="10.5" customHeight="1" x14ac:dyDescent="0.2">
      <c r="G1369" s="889"/>
    </row>
    <row r="1370" spans="7:7" ht="10.5" customHeight="1" x14ac:dyDescent="0.2">
      <c r="G1370" s="889"/>
    </row>
    <row r="1371" spans="7:7" ht="10.5" customHeight="1" x14ac:dyDescent="0.2">
      <c r="G1371" s="889"/>
    </row>
    <row r="1372" spans="7:7" ht="10.5" customHeight="1" x14ac:dyDescent="0.2">
      <c r="G1372" s="889"/>
    </row>
    <row r="1373" spans="7:7" ht="10.5" customHeight="1" x14ac:dyDescent="0.2">
      <c r="G1373" s="889"/>
    </row>
    <row r="1374" spans="7:7" ht="10.5" customHeight="1" x14ac:dyDescent="0.2">
      <c r="G1374" s="889"/>
    </row>
    <row r="1375" spans="7:7" ht="10.5" customHeight="1" x14ac:dyDescent="0.2">
      <c r="G1375" s="889"/>
    </row>
    <row r="1376" spans="7:7" ht="10.5" customHeight="1" x14ac:dyDescent="0.2">
      <c r="G1376" s="889"/>
    </row>
    <row r="1377" spans="7:7" ht="10.5" customHeight="1" x14ac:dyDescent="0.2">
      <c r="G1377" s="889"/>
    </row>
    <row r="1378" spans="7:7" ht="10.5" customHeight="1" x14ac:dyDescent="0.2">
      <c r="G1378" s="889"/>
    </row>
    <row r="1379" spans="7:7" ht="10.5" customHeight="1" x14ac:dyDescent="0.2">
      <c r="G1379" s="889"/>
    </row>
    <row r="1380" spans="7:7" ht="10.5" customHeight="1" x14ac:dyDescent="0.2">
      <c r="G1380" s="889"/>
    </row>
    <row r="1381" spans="7:7" ht="10.5" customHeight="1" x14ac:dyDescent="0.2">
      <c r="G1381" s="889"/>
    </row>
    <row r="1382" spans="7:7" ht="10.5" customHeight="1" x14ac:dyDescent="0.2">
      <c r="G1382" s="889"/>
    </row>
    <row r="1383" spans="7:7" ht="10.5" customHeight="1" x14ac:dyDescent="0.2">
      <c r="G1383" s="889"/>
    </row>
    <row r="1384" spans="7:7" ht="10.5" customHeight="1" x14ac:dyDescent="0.2">
      <c r="G1384" s="889"/>
    </row>
    <row r="1385" spans="7:7" ht="10.5" customHeight="1" x14ac:dyDescent="0.2">
      <c r="G1385" s="889"/>
    </row>
    <row r="1386" spans="7:7" ht="10.5" customHeight="1" x14ac:dyDescent="0.2">
      <c r="G1386" s="889"/>
    </row>
    <row r="1387" spans="7:7" ht="10.5" customHeight="1" x14ac:dyDescent="0.2">
      <c r="G1387" s="889"/>
    </row>
    <row r="1388" spans="7:7" ht="10.5" customHeight="1" x14ac:dyDescent="0.2">
      <c r="G1388" s="889"/>
    </row>
    <row r="1389" spans="7:7" ht="10.5" customHeight="1" x14ac:dyDescent="0.2">
      <c r="G1389" s="889"/>
    </row>
    <row r="1390" spans="7:7" ht="10.5" customHeight="1" x14ac:dyDescent="0.2">
      <c r="G1390" s="889"/>
    </row>
    <row r="1391" spans="7:7" ht="10.5" customHeight="1" x14ac:dyDescent="0.2">
      <c r="G1391" s="889"/>
    </row>
    <row r="1392" spans="7:7" ht="10.5" customHeight="1" x14ac:dyDescent="0.2">
      <c r="G1392" s="889"/>
    </row>
    <row r="1393" spans="7:7" ht="10.5" customHeight="1" x14ac:dyDescent="0.2">
      <c r="G1393" s="889"/>
    </row>
    <row r="1394" spans="7:7" ht="10.5" customHeight="1" x14ac:dyDescent="0.2">
      <c r="G1394" s="889"/>
    </row>
    <row r="1395" spans="7:7" ht="10.5" customHeight="1" x14ac:dyDescent="0.2">
      <c r="G1395" s="889"/>
    </row>
    <row r="1396" spans="7:7" ht="10.5" customHeight="1" x14ac:dyDescent="0.2">
      <c r="G1396" s="889"/>
    </row>
    <row r="1397" spans="7:7" ht="10.5" customHeight="1" x14ac:dyDescent="0.2">
      <c r="G1397" s="889"/>
    </row>
    <row r="1398" spans="7:7" ht="10.5" customHeight="1" x14ac:dyDescent="0.2">
      <c r="G1398" s="889"/>
    </row>
    <row r="1399" spans="7:7" ht="10.5" customHeight="1" x14ac:dyDescent="0.2">
      <c r="G1399" s="889"/>
    </row>
    <row r="1400" spans="7:7" ht="10.5" customHeight="1" x14ac:dyDescent="0.2">
      <c r="G1400" s="889"/>
    </row>
    <row r="1401" spans="7:7" ht="10.5" customHeight="1" x14ac:dyDescent="0.2">
      <c r="G1401" s="889"/>
    </row>
    <row r="1402" spans="7:7" ht="10.5" customHeight="1" x14ac:dyDescent="0.2">
      <c r="G1402" s="889"/>
    </row>
    <row r="1403" spans="7:7" ht="10.5" customHeight="1" x14ac:dyDescent="0.2">
      <c r="G1403" s="889"/>
    </row>
    <row r="1404" spans="7:7" ht="10.5" customHeight="1" x14ac:dyDescent="0.2">
      <c r="G1404" s="889"/>
    </row>
    <row r="1405" spans="7:7" ht="10.5" customHeight="1" x14ac:dyDescent="0.2">
      <c r="G1405" s="889"/>
    </row>
    <row r="1406" spans="7:7" ht="10.5" customHeight="1" x14ac:dyDescent="0.2">
      <c r="G1406" s="889"/>
    </row>
    <row r="1407" spans="7:7" ht="10.5" customHeight="1" x14ac:dyDescent="0.2">
      <c r="G1407" s="889"/>
    </row>
    <row r="1408" spans="7:7" ht="10.5" customHeight="1" x14ac:dyDescent="0.2">
      <c r="G1408" s="889"/>
    </row>
    <row r="1409" spans="7:7" ht="10.5" customHeight="1" x14ac:dyDescent="0.2">
      <c r="G1409" s="889"/>
    </row>
    <row r="1410" spans="7:7" ht="10.5" customHeight="1" x14ac:dyDescent="0.2">
      <c r="G1410" s="889"/>
    </row>
    <row r="1411" spans="7:7" ht="10.5" customHeight="1" x14ac:dyDescent="0.2">
      <c r="G1411" s="889"/>
    </row>
    <row r="1412" spans="7:7" ht="10.5" customHeight="1" x14ac:dyDescent="0.2">
      <c r="G1412" s="889"/>
    </row>
    <row r="1413" spans="7:7" ht="10.5" customHeight="1" x14ac:dyDescent="0.2">
      <c r="G1413" s="889"/>
    </row>
    <row r="1414" spans="7:7" ht="10.5" customHeight="1" x14ac:dyDescent="0.2">
      <c r="G1414" s="889"/>
    </row>
    <row r="1415" spans="7:7" ht="10.5" customHeight="1" x14ac:dyDescent="0.2">
      <c r="G1415" s="889"/>
    </row>
    <row r="1416" spans="7:7" ht="10.5" customHeight="1" x14ac:dyDescent="0.2">
      <c r="G1416" s="889"/>
    </row>
    <row r="1417" spans="7:7" ht="10.5" customHeight="1" x14ac:dyDescent="0.2">
      <c r="G1417" s="889"/>
    </row>
    <row r="1418" spans="7:7" ht="10.5" customHeight="1" x14ac:dyDescent="0.2">
      <c r="G1418" s="889"/>
    </row>
    <row r="1419" spans="7:7" ht="10.5" customHeight="1" x14ac:dyDescent="0.2">
      <c r="G1419" s="889"/>
    </row>
    <row r="1420" spans="7:7" ht="10.5" customHeight="1" x14ac:dyDescent="0.2">
      <c r="G1420" s="889"/>
    </row>
    <row r="1421" spans="7:7" ht="10.5" customHeight="1" x14ac:dyDescent="0.2">
      <c r="G1421" s="889"/>
    </row>
    <row r="1422" spans="7:7" ht="10.5" customHeight="1" x14ac:dyDescent="0.2">
      <c r="G1422" s="889"/>
    </row>
    <row r="1423" spans="7:7" ht="10.5" customHeight="1" x14ac:dyDescent="0.2">
      <c r="G1423" s="889"/>
    </row>
    <row r="1424" spans="7:7" ht="10.5" customHeight="1" x14ac:dyDescent="0.2">
      <c r="G1424" s="889"/>
    </row>
    <row r="1425" spans="7:7" ht="10.5" customHeight="1" x14ac:dyDescent="0.2">
      <c r="G1425" s="889"/>
    </row>
    <row r="1426" spans="7:7" ht="10.5" customHeight="1" x14ac:dyDescent="0.2">
      <c r="G1426" s="889"/>
    </row>
    <row r="1427" spans="7:7" ht="10.5" customHeight="1" x14ac:dyDescent="0.2">
      <c r="G1427" s="889"/>
    </row>
    <row r="1428" spans="7:7" ht="10.5" customHeight="1" x14ac:dyDescent="0.2">
      <c r="G1428" s="889"/>
    </row>
    <row r="1429" spans="7:7" ht="10.5" customHeight="1" x14ac:dyDescent="0.2">
      <c r="G1429" s="889"/>
    </row>
    <row r="1430" spans="7:7" ht="10.5" customHeight="1" x14ac:dyDescent="0.2">
      <c r="G1430" s="889"/>
    </row>
    <row r="1431" spans="7:7" ht="10.5" customHeight="1" x14ac:dyDescent="0.2">
      <c r="G1431" s="889"/>
    </row>
    <row r="1432" spans="7:7" ht="10.5" customHeight="1" x14ac:dyDescent="0.2">
      <c r="G1432" s="889"/>
    </row>
    <row r="1433" spans="7:7" ht="10.5" customHeight="1" x14ac:dyDescent="0.2">
      <c r="G1433" s="889"/>
    </row>
    <row r="1434" spans="7:7" ht="10.5" customHeight="1" x14ac:dyDescent="0.2">
      <c r="G1434" s="889"/>
    </row>
    <row r="1435" spans="7:7" ht="10.5" customHeight="1" x14ac:dyDescent="0.2">
      <c r="G1435" s="889"/>
    </row>
    <row r="1436" spans="7:7" ht="10.5" customHeight="1" x14ac:dyDescent="0.2">
      <c r="G1436" s="889"/>
    </row>
    <row r="1437" spans="7:7" ht="10.5" customHeight="1" x14ac:dyDescent="0.2">
      <c r="G1437" s="889"/>
    </row>
    <row r="1438" spans="7:7" ht="10.5" customHeight="1" x14ac:dyDescent="0.2">
      <c r="G1438" s="889"/>
    </row>
    <row r="1439" spans="7:7" ht="10.5" customHeight="1" x14ac:dyDescent="0.2">
      <c r="G1439" s="889"/>
    </row>
    <row r="1440" spans="7:7" ht="10.5" customHeight="1" x14ac:dyDescent="0.2">
      <c r="G1440" s="889"/>
    </row>
    <row r="1441" spans="7:7" ht="10.5" customHeight="1" x14ac:dyDescent="0.2">
      <c r="G1441" s="889"/>
    </row>
    <row r="1442" spans="7:7" ht="10.5" customHeight="1" x14ac:dyDescent="0.2">
      <c r="G1442" s="889"/>
    </row>
    <row r="1443" spans="7:7" ht="10.5" customHeight="1" x14ac:dyDescent="0.2">
      <c r="G1443" s="889"/>
    </row>
    <row r="1444" spans="7:7" ht="10.5" customHeight="1" x14ac:dyDescent="0.2">
      <c r="G1444" s="889"/>
    </row>
    <row r="1445" spans="7:7" ht="10.5" customHeight="1" x14ac:dyDescent="0.2">
      <c r="G1445" s="889"/>
    </row>
    <row r="1446" spans="7:7" ht="10.5" customHeight="1" x14ac:dyDescent="0.2">
      <c r="G1446" s="889"/>
    </row>
    <row r="1447" spans="7:7" ht="10.5" customHeight="1" x14ac:dyDescent="0.2">
      <c r="G1447" s="889"/>
    </row>
    <row r="1448" spans="7:7" ht="10.5" customHeight="1" x14ac:dyDescent="0.2">
      <c r="G1448" s="889"/>
    </row>
    <row r="1449" spans="7:7" ht="10.5" customHeight="1" x14ac:dyDescent="0.2">
      <c r="G1449" s="889"/>
    </row>
    <row r="1450" spans="7:7" ht="10.5" customHeight="1" x14ac:dyDescent="0.2">
      <c r="G1450" s="889"/>
    </row>
    <row r="1451" spans="7:7" ht="10.5" customHeight="1" x14ac:dyDescent="0.2">
      <c r="G1451" s="889"/>
    </row>
    <row r="1452" spans="7:7" ht="10.5" customHeight="1" x14ac:dyDescent="0.2">
      <c r="G1452" s="889"/>
    </row>
    <row r="1453" spans="7:7" ht="10.5" customHeight="1" x14ac:dyDescent="0.2">
      <c r="G1453" s="889"/>
    </row>
    <row r="1454" spans="7:7" ht="10.5" customHeight="1" x14ac:dyDescent="0.2">
      <c r="G1454" s="889"/>
    </row>
    <row r="1455" spans="7:7" ht="10.5" customHeight="1" x14ac:dyDescent="0.2">
      <c r="G1455" s="889"/>
    </row>
    <row r="1456" spans="7:7" ht="10.5" customHeight="1" x14ac:dyDescent="0.2">
      <c r="G1456" s="889"/>
    </row>
    <row r="1457" spans="7:7" ht="10.5" customHeight="1" x14ac:dyDescent="0.2">
      <c r="G1457" s="889"/>
    </row>
    <row r="1458" spans="7:7" ht="10.5" customHeight="1" x14ac:dyDescent="0.2">
      <c r="G1458" s="889"/>
    </row>
    <row r="1459" spans="7:7" ht="10.5" customHeight="1" x14ac:dyDescent="0.2">
      <c r="G1459" s="889"/>
    </row>
    <row r="1460" spans="7:7" ht="10.5" customHeight="1" x14ac:dyDescent="0.2">
      <c r="G1460" s="889"/>
    </row>
    <row r="1461" spans="7:7" ht="10.5" customHeight="1" x14ac:dyDescent="0.2">
      <c r="G1461" s="889"/>
    </row>
    <row r="1462" spans="7:7" ht="10.5" customHeight="1" x14ac:dyDescent="0.2">
      <c r="G1462" s="889"/>
    </row>
    <row r="1463" spans="7:7" ht="10.5" customHeight="1" x14ac:dyDescent="0.2">
      <c r="G1463" s="889"/>
    </row>
    <row r="1464" spans="7:7" ht="10.5" customHeight="1" x14ac:dyDescent="0.2">
      <c r="G1464" s="889"/>
    </row>
    <row r="1465" spans="7:7" ht="10.5" customHeight="1" x14ac:dyDescent="0.2">
      <c r="G1465" s="889"/>
    </row>
    <row r="1466" spans="7:7" ht="10.5" customHeight="1" x14ac:dyDescent="0.2">
      <c r="G1466" s="889"/>
    </row>
    <row r="1467" spans="7:7" ht="10.5" customHeight="1" x14ac:dyDescent="0.2">
      <c r="G1467" s="889"/>
    </row>
    <row r="1468" spans="7:7" ht="10.5" customHeight="1" x14ac:dyDescent="0.2">
      <c r="G1468" s="889"/>
    </row>
    <row r="1469" spans="7:7" ht="10.5" customHeight="1" x14ac:dyDescent="0.2">
      <c r="G1469" s="889"/>
    </row>
    <row r="1470" spans="7:7" ht="10.5" customHeight="1" x14ac:dyDescent="0.2">
      <c r="G1470" s="889"/>
    </row>
    <row r="1471" spans="7:7" ht="10.5" customHeight="1" x14ac:dyDescent="0.2">
      <c r="G1471" s="889"/>
    </row>
    <row r="1472" spans="7:7" ht="10.5" customHeight="1" x14ac:dyDescent="0.2">
      <c r="G1472" s="889"/>
    </row>
    <row r="1473" spans="7:7" ht="10.5" customHeight="1" x14ac:dyDescent="0.2">
      <c r="G1473" s="889"/>
    </row>
    <row r="1474" spans="7:7" ht="10.5" customHeight="1" x14ac:dyDescent="0.2">
      <c r="G1474" s="889"/>
    </row>
    <row r="1475" spans="7:7" ht="10.5" customHeight="1" x14ac:dyDescent="0.2">
      <c r="G1475" s="889"/>
    </row>
    <row r="1476" spans="7:7" ht="10.5" customHeight="1" x14ac:dyDescent="0.2">
      <c r="G1476" s="889"/>
    </row>
    <row r="1477" spans="7:7" ht="10.5" customHeight="1" x14ac:dyDescent="0.2">
      <c r="G1477" s="889"/>
    </row>
    <row r="1478" spans="7:7" ht="10.5" customHeight="1" x14ac:dyDescent="0.2">
      <c r="G1478" s="889"/>
    </row>
    <row r="1479" spans="7:7" ht="10.5" customHeight="1" x14ac:dyDescent="0.2">
      <c r="G1479" s="889"/>
    </row>
    <row r="1480" spans="7:7" ht="10.5" customHeight="1" x14ac:dyDescent="0.2">
      <c r="G1480" s="889"/>
    </row>
    <row r="1481" spans="7:7" ht="10.5" customHeight="1" x14ac:dyDescent="0.2">
      <c r="G1481" s="889"/>
    </row>
    <row r="1482" spans="7:7" ht="10.5" customHeight="1" x14ac:dyDescent="0.2">
      <c r="G1482" s="889"/>
    </row>
    <row r="1483" spans="7:7" ht="10.5" customHeight="1" x14ac:dyDescent="0.2">
      <c r="G1483" s="889"/>
    </row>
    <row r="1484" spans="7:7" ht="10.5" customHeight="1" x14ac:dyDescent="0.2">
      <c r="G1484" s="889"/>
    </row>
    <row r="1485" spans="7:7" ht="10.5" customHeight="1" x14ac:dyDescent="0.2">
      <c r="G1485" s="889"/>
    </row>
    <row r="1486" spans="7:7" ht="10.5" customHeight="1" x14ac:dyDescent="0.2">
      <c r="G1486" s="889"/>
    </row>
    <row r="1487" spans="7:7" ht="10.5" customHeight="1" x14ac:dyDescent="0.2">
      <c r="G1487" s="889"/>
    </row>
    <row r="1488" spans="7:7" ht="10.5" customHeight="1" x14ac:dyDescent="0.2">
      <c r="G1488" s="889"/>
    </row>
    <row r="1489" spans="7:7" ht="10.5" customHeight="1" x14ac:dyDescent="0.2">
      <c r="G1489" s="889"/>
    </row>
    <row r="1490" spans="7:7" ht="10.5" customHeight="1" x14ac:dyDescent="0.2">
      <c r="G1490" s="889"/>
    </row>
    <row r="1491" spans="7:7" ht="10.5" customHeight="1" x14ac:dyDescent="0.2">
      <c r="G1491" s="889"/>
    </row>
    <row r="1492" spans="7:7" ht="10.5" customHeight="1" x14ac:dyDescent="0.2">
      <c r="G1492" s="889"/>
    </row>
    <row r="1493" spans="7:7" ht="10.5" customHeight="1" x14ac:dyDescent="0.2">
      <c r="G1493" s="889"/>
    </row>
    <row r="1494" spans="7:7" ht="10.5" customHeight="1" x14ac:dyDescent="0.2">
      <c r="G1494" s="889"/>
    </row>
    <row r="1495" spans="7:7" ht="10.5" customHeight="1" x14ac:dyDescent="0.2">
      <c r="G1495" s="889"/>
    </row>
    <row r="1496" spans="7:7" ht="10.5" customHeight="1" x14ac:dyDescent="0.2">
      <c r="G1496" s="889"/>
    </row>
    <row r="1497" spans="7:7" ht="10.5" customHeight="1" x14ac:dyDescent="0.2">
      <c r="G1497" s="889"/>
    </row>
    <row r="1498" spans="7:7" ht="10.5" customHeight="1" x14ac:dyDescent="0.2">
      <c r="G1498" s="889"/>
    </row>
    <row r="1499" spans="7:7" ht="10.5" customHeight="1" x14ac:dyDescent="0.2">
      <c r="G1499" s="889"/>
    </row>
    <row r="1500" spans="7:7" ht="10.5" customHeight="1" x14ac:dyDescent="0.2">
      <c r="G1500" s="889"/>
    </row>
    <row r="1501" spans="7:7" ht="10.5" customHeight="1" x14ac:dyDescent="0.2">
      <c r="G1501" s="889"/>
    </row>
    <row r="1502" spans="7:7" ht="10.5" customHeight="1" x14ac:dyDescent="0.2">
      <c r="G1502" s="889"/>
    </row>
    <row r="1503" spans="7:7" ht="10.5" customHeight="1" x14ac:dyDescent="0.2">
      <c r="G1503" s="889"/>
    </row>
    <row r="1504" spans="7:7" ht="10.5" customHeight="1" x14ac:dyDescent="0.2">
      <c r="G1504" s="889"/>
    </row>
    <row r="1505" spans="7:7" ht="10.5" customHeight="1" x14ac:dyDescent="0.2">
      <c r="G1505" s="889"/>
    </row>
    <row r="1506" spans="7:7" ht="10.5" customHeight="1" x14ac:dyDescent="0.2">
      <c r="G1506" s="889"/>
    </row>
    <row r="1507" spans="7:7" ht="10.5" customHeight="1" x14ac:dyDescent="0.2">
      <c r="G1507" s="889"/>
    </row>
    <row r="1508" spans="7:7" ht="10.5" customHeight="1" x14ac:dyDescent="0.2">
      <c r="G1508" s="889"/>
    </row>
    <row r="1509" spans="7:7" ht="10.5" customHeight="1" x14ac:dyDescent="0.2">
      <c r="G1509" s="889"/>
    </row>
    <row r="1510" spans="7:7" ht="10.5" customHeight="1" x14ac:dyDescent="0.2">
      <c r="G1510" s="889"/>
    </row>
    <row r="1511" spans="7:7" ht="10.5" customHeight="1" x14ac:dyDescent="0.2">
      <c r="G1511" s="889"/>
    </row>
    <row r="1512" spans="7:7" ht="10.5" customHeight="1" x14ac:dyDescent="0.2">
      <c r="G1512" s="889"/>
    </row>
    <row r="1513" spans="7:7" ht="10.5" customHeight="1" x14ac:dyDescent="0.2">
      <c r="G1513" s="889"/>
    </row>
    <row r="1514" spans="7:7" ht="10.5" customHeight="1" x14ac:dyDescent="0.2">
      <c r="G1514" s="889"/>
    </row>
    <row r="1515" spans="7:7" ht="10.5" customHeight="1" x14ac:dyDescent="0.2">
      <c r="G1515" s="889"/>
    </row>
    <row r="1516" spans="7:7" ht="10.5" customHeight="1" x14ac:dyDescent="0.2">
      <c r="G1516" s="889"/>
    </row>
    <row r="1517" spans="7:7" ht="10.5" customHeight="1" x14ac:dyDescent="0.2">
      <c r="G1517" s="889"/>
    </row>
    <row r="1518" spans="7:7" ht="10.5" customHeight="1" x14ac:dyDescent="0.2">
      <c r="G1518" s="889"/>
    </row>
    <row r="1519" spans="7:7" ht="10.5" customHeight="1" x14ac:dyDescent="0.2">
      <c r="G1519" s="889"/>
    </row>
    <row r="1520" spans="7:7" ht="10.5" customHeight="1" x14ac:dyDescent="0.2">
      <c r="G1520" s="889"/>
    </row>
    <row r="1521" spans="7:7" ht="10.5" customHeight="1" x14ac:dyDescent="0.2">
      <c r="G1521" s="889"/>
    </row>
    <row r="1522" spans="7:7" ht="10.5" customHeight="1" x14ac:dyDescent="0.2">
      <c r="G1522" s="889"/>
    </row>
    <row r="1523" spans="7:7" ht="10.5" customHeight="1" x14ac:dyDescent="0.2">
      <c r="G1523" s="889"/>
    </row>
    <row r="1524" spans="7:7" ht="10.5" customHeight="1" x14ac:dyDescent="0.2">
      <c r="G1524" s="889"/>
    </row>
    <row r="1525" spans="7:7" ht="10.5" customHeight="1" x14ac:dyDescent="0.2">
      <c r="G1525" s="889"/>
    </row>
    <row r="1526" spans="7:7" ht="10.5" customHeight="1" x14ac:dyDescent="0.2">
      <c r="G1526" s="889"/>
    </row>
    <row r="1527" spans="7:7" ht="10.5" customHeight="1" x14ac:dyDescent="0.2">
      <c r="G1527" s="889"/>
    </row>
    <row r="1528" spans="7:7" ht="10.5" customHeight="1" x14ac:dyDescent="0.2">
      <c r="G1528" s="889"/>
    </row>
    <row r="1529" spans="7:7" ht="10.5" customHeight="1" x14ac:dyDescent="0.2">
      <c r="G1529" s="889"/>
    </row>
    <row r="1530" spans="7:7" ht="10.5" customHeight="1" x14ac:dyDescent="0.2">
      <c r="G1530" s="889"/>
    </row>
    <row r="1531" spans="7:7" ht="10.5" customHeight="1" x14ac:dyDescent="0.2">
      <c r="G1531" s="889"/>
    </row>
    <row r="1532" spans="7:7" ht="10.5" customHeight="1" x14ac:dyDescent="0.2">
      <c r="G1532" s="889"/>
    </row>
    <row r="1533" spans="7:7" ht="10.5" customHeight="1" x14ac:dyDescent="0.2">
      <c r="G1533" s="889"/>
    </row>
    <row r="1534" spans="7:7" ht="10.5" customHeight="1" x14ac:dyDescent="0.2">
      <c r="G1534" s="889"/>
    </row>
    <row r="1535" spans="7:7" ht="10.5" customHeight="1" x14ac:dyDescent="0.2">
      <c r="G1535" s="889"/>
    </row>
    <row r="1536" spans="7:7" ht="10.5" customHeight="1" x14ac:dyDescent="0.2">
      <c r="G1536" s="889"/>
    </row>
    <row r="1537" spans="7:7" ht="10.5" customHeight="1" x14ac:dyDescent="0.2">
      <c r="G1537" s="889"/>
    </row>
    <row r="1538" spans="7:7" ht="10.5" customHeight="1" x14ac:dyDescent="0.2">
      <c r="G1538" s="889"/>
    </row>
    <row r="1539" spans="7:7" ht="10.5" customHeight="1" x14ac:dyDescent="0.2">
      <c r="G1539" s="889"/>
    </row>
    <row r="1540" spans="7:7" ht="10.5" customHeight="1" x14ac:dyDescent="0.2">
      <c r="G1540" s="889"/>
    </row>
    <row r="1541" spans="7:7" ht="10.5" customHeight="1" x14ac:dyDescent="0.2">
      <c r="G1541" s="889"/>
    </row>
    <row r="1542" spans="7:7" ht="10.5" customHeight="1" x14ac:dyDescent="0.2">
      <c r="G1542" s="889"/>
    </row>
    <row r="1543" spans="7:7" ht="10.5" customHeight="1" x14ac:dyDescent="0.2">
      <c r="G1543" s="889"/>
    </row>
    <row r="1544" spans="7:7" ht="10.5" customHeight="1" x14ac:dyDescent="0.2">
      <c r="G1544" s="889"/>
    </row>
    <row r="1545" spans="7:7" ht="10.5" customHeight="1" x14ac:dyDescent="0.2">
      <c r="G1545" s="889"/>
    </row>
    <row r="1546" spans="7:7" ht="10.5" customHeight="1" x14ac:dyDescent="0.2">
      <c r="G1546" s="889"/>
    </row>
    <row r="1547" spans="7:7" ht="10.5" customHeight="1" x14ac:dyDescent="0.2">
      <c r="G1547" s="889"/>
    </row>
    <row r="1548" spans="7:7" ht="10.5" customHeight="1" x14ac:dyDescent="0.2">
      <c r="G1548" s="889"/>
    </row>
    <row r="1549" spans="7:7" ht="10.5" customHeight="1" x14ac:dyDescent="0.2">
      <c r="G1549" s="889"/>
    </row>
    <row r="1550" spans="7:7" ht="10.5" customHeight="1" x14ac:dyDescent="0.2">
      <c r="G1550" s="889"/>
    </row>
    <row r="1551" spans="7:7" ht="10.5" customHeight="1" x14ac:dyDescent="0.2">
      <c r="G1551" s="889"/>
    </row>
    <row r="1552" spans="7:7" ht="10.5" customHeight="1" x14ac:dyDescent="0.2">
      <c r="G1552" s="889"/>
    </row>
    <row r="1553" spans="7:7" ht="10.5" customHeight="1" x14ac:dyDescent="0.2">
      <c r="G1553" s="889"/>
    </row>
    <row r="1554" spans="7:7" ht="10.5" customHeight="1" x14ac:dyDescent="0.2">
      <c r="G1554" s="889"/>
    </row>
    <row r="1555" spans="7:7" ht="10.5" customHeight="1" x14ac:dyDescent="0.2">
      <c r="G1555" s="889"/>
    </row>
    <row r="1556" spans="7:7" ht="10.5" customHeight="1" x14ac:dyDescent="0.2">
      <c r="G1556" s="889"/>
    </row>
    <row r="1557" spans="7:7" ht="10.5" customHeight="1" x14ac:dyDescent="0.2">
      <c r="G1557" s="889"/>
    </row>
    <row r="1558" spans="7:7" ht="10.5" customHeight="1" x14ac:dyDescent="0.2">
      <c r="G1558" s="889"/>
    </row>
    <row r="1559" spans="7:7" ht="10.5" customHeight="1" x14ac:dyDescent="0.2">
      <c r="G1559" s="889"/>
    </row>
    <row r="1560" spans="7:7" ht="10.5" customHeight="1" x14ac:dyDescent="0.2">
      <c r="G1560" s="889"/>
    </row>
    <row r="1561" spans="7:7" ht="10.5" customHeight="1" x14ac:dyDescent="0.2">
      <c r="G1561" s="889"/>
    </row>
    <row r="1562" spans="7:7" ht="10.5" customHeight="1" x14ac:dyDescent="0.2">
      <c r="G1562" s="889"/>
    </row>
    <row r="1563" spans="7:7" ht="10.5" customHeight="1" x14ac:dyDescent="0.2">
      <c r="G1563" s="889"/>
    </row>
    <row r="1564" spans="7:7" ht="10.5" customHeight="1" x14ac:dyDescent="0.2">
      <c r="G1564" s="889"/>
    </row>
    <row r="1565" spans="7:7" ht="10.5" customHeight="1" x14ac:dyDescent="0.2">
      <c r="G1565" s="889"/>
    </row>
    <row r="1566" spans="7:7" ht="10.5" customHeight="1" x14ac:dyDescent="0.2">
      <c r="G1566" s="889"/>
    </row>
    <row r="1567" spans="7:7" ht="10.5" customHeight="1" x14ac:dyDescent="0.2">
      <c r="G1567" s="889"/>
    </row>
    <row r="1568" spans="7:7" ht="10.5" customHeight="1" x14ac:dyDescent="0.2">
      <c r="G1568" s="889"/>
    </row>
    <row r="1569" spans="7:7" ht="10.5" customHeight="1" x14ac:dyDescent="0.2">
      <c r="G1569" s="889"/>
    </row>
    <row r="1570" spans="7:7" ht="10.5" customHeight="1" x14ac:dyDescent="0.2">
      <c r="G1570" s="889"/>
    </row>
    <row r="1571" spans="7:7" ht="10.5" customHeight="1" x14ac:dyDescent="0.2">
      <c r="G1571" s="889"/>
    </row>
    <row r="1572" spans="7:7" ht="10.5" customHeight="1" x14ac:dyDescent="0.2">
      <c r="G1572" s="889"/>
    </row>
    <row r="1573" spans="7:7" ht="10.5" customHeight="1" x14ac:dyDescent="0.2">
      <c r="G1573" s="889"/>
    </row>
    <row r="1574" spans="7:7" ht="10.5" customHeight="1" x14ac:dyDescent="0.2">
      <c r="G1574" s="889"/>
    </row>
    <row r="1575" spans="7:7" ht="10.5" customHeight="1" x14ac:dyDescent="0.2">
      <c r="G1575" s="889"/>
    </row>
    <row r="1576" spans="7:7" ht="10.5" customHeight="1" x14ac:dyDescent="0.2">
      <c r="G1576" s="889"/>
    </row>
    <row r="1577" spans="7:7" ht="10.5" customHeight="1" x14ac:dyDescent="0.2">
      <c r="G1577" s="889"/>
    </row>
    <row r="1578" spans="7:7" ht="10.5" customHeight="1" x14ac:dyDescent="0.2">
      <c r="G1578" s="889"/>
    </row>
    <row r="1579" spans="7:7" ht="10.5" customHeight="1" x14ac:dyDescent="0.2">
      <c r="G1579" s="889"/>
    </row>
    <row r="1580" spans="7:7" ht="10.5" customHeight="1" x14ac:dyDescent="0.2">
      <c r="G1580" s="889"/>
    </row>
    <row r="1581" spans="7:7" ht="10.5" customHeight="1" x14ac:dyDescent="0.2">
      <c r="G1581" s="889"/>
    </row>
    <row r="1582" spans="7:7" ht="10.5" customHeight="1" x14ac:dyDescent="0.2">
      <c r="G1582" s="889"/>
    </row>
    <row r="1583" spans="7:7" ht="10.5" customHeight="1" x14ac:dyDescent="0.2">
      <c r="G1583" s="889"/>
    </row>
    <row r="1584" spans="7:7" ht="10.5" customHeight="1" x14ac:dyDescent="0.2">
      <c r="G1584" s="889"/>
    </row>
    <row r="1585" spans="7:7" ht="10.5" customHeight="1" x14ac:dyDescent="0.2">
      <c r="G1585" s="889"/>
    </row>
    <row r="1586" spans="7:7" ht="10.5" customHeight="1" x14ac:dyDescent="0.2">
      <c r="G1586" s="889"/>
    </row>
    <row r="1587" spans="7:7" ht="10.5" customHeight="1" x14ac:dyDescent="0.2">
      <c r="G1587" s="889"/>
    </row>
    <row r="1588" spans="7:7" ht="10.5" customHeight="1" x14ac:dyDescent="0.2">
      <c r="G1588" s="889"/>
    </row>
    <row r="1589" spans="7:7" ht="10.5" customHeight="1" x14ac:dyDescent="0.2">
      <c r="G1589" s="889"/>
    </row>
    <row r="1590" spans="7:7" ht="10.5" customHeight="1" x14ac:dyDescent="0.2">
      <c r="G1590" s="889"/>
    </row>
    <row r="1591" spans="7:7" ht="10.5" customHeight="1" x14ac:dyDescent="0.2">
      <c r="G1591" s="889"/>
    </row>
    <row r="1592" spans="7:7" ht="10.5" customHeight="1" x14ac:dyDescent="0.2">
      <c r="G1592" s="889"/>
    </row>
    <row r="1593" spans="7:7" ht="10.5" customHeight="1" x14ac:dyDescent="0.2">
      <c r="G1593" s="889"/>
    </row>
    <row r="1594" spans="7:7" ht="10.5" customHeight="1" x14ac:dyDescent="0.2">
      <c r="G1594" s="889"/>
    </row>
    <row r="1595" spans="7:7" ht="10.5" customHeight="1" x14ac:dyDescent="0.2">
      <c r="G1595" s="889"/>
    </row>
    <row r="1596" spans="7:7" ht="10.5" customHeight="1" x14ac:dyDescent="0.2">
      <c r="G1596" s="889"/>
    </row>
    <row r="1597" spans="7:7" ht="10.5" customHeight="1" x14ac:dyDescent="0.2">
      <c r="G1597" s="889"/>
    </row>
    <row r="1598" spans="7:7" ht="10.5" customHeight="1" x14ac:dyDescent="0.2">
      <c r="G1598" s="889"/>
    </row>
    <row r="1599" spans="7:7" ht="10.5" customHeight="1" x14ac:dyDescent="0.2">
      <c r="G1599" s="889"/>
    </row>
    <row r="1600" spans="7:7" ht="10.5" customHeight="1" x14ac:dyDescent="0.2">
      <c r="G1600" s="889"/>
    </row>
    <row r="1601" spans="7:7" ht="10.5" customHeight="1" x14ac:dyDescent="0.2">
      <c r="G1601" s="889"/>
    </row>
    <row r="1602" spans="7:7" ht="10.5" customHeight="1" x14ac:dyDescent="0.2">
      <c r="G1602" s="889"/>
    </row>
    <row r="1603" spans="7:7" ht="10.5" customHeight="1" x14ac:dyDescent="0.2">
      <c r="G1603" s="889"/>
    </row>
    <row r="1604" spans="7:7" ht="10.5" customHeight="1" x14ac:dyDescent="0.2">
      <c r="G1604" s="889"/>
    </row>
    <row r="1605" spans="7:7" ht="10.5" customHeight="1" x14ac:dyDescent="0.2">
      <c r="G1605" s="889"/>
    </row>
    <row r="1606" spans="7:7" ht="10.5" customHeight="1" x14ac:dyDescent="0.2">
      <c r="G1606" s="889"/>
    </row>
    <row r="1607" spans="7:7" ht="10.5" customHeight="1" x14ac:dyDescent="0.2">
      <c r="G1607" s="889"/>
    </row>
    <row r="1608" spans="7:7" ht="10.5" customHeight="1" x14ac:dyDescent="0.2">
      <c r="G1608" s="889"/>
    </row>
    <row r="1609" spans="7:7" ht="10.5" customHeight="1" x14ac:dyDescent="0.2">
      <c r="G1609" s="889"/>
    </row>
    <row r="1610" spans="7:7" ht="10.5" customHeight="1" x14ac:dyDescent="0.2">
      <c r="G1610" s="889"/>
    </row>
    <row r="1611" spans="7:7" ht="10.5" customHeight="1" x14ac:dyDescent="0.2">
      <c r="G1611" s="889"/>
    </row>
    <row r="1612" spans="7:7" ht="10.5" customHeight="1" x14ac:dyDescent="0.2">
      <c r="G1612" s="889"/>
    </row>
    <row r="1613" spans="7:7" ht="10.5" customHeight="1" x14ac:dyDescent="0.2">
      <c r="G1613" s="889"/>
    </row>
    <row r="1614" spans="7:7" ht="10.5" customHeight="1" x14ac:dyDescent="0.2">
      <c r="G1614" s="889"/>
    </row>
    <row r="1615" spans="7:7" ht="10.5" customHeight="1" x14ac:dyDescent="0.2">
      <c r="G1615" s="889"/>
    </row>
    <row r="1616" spans="7:7" ht="10.5" customHeight="1" x14ac:dyDescent="0.2">
      <c r="G1616" s="889"/>
    </row>
    <row r="1617" spans="7:7" ht="10.5" customHeight="1" x14ac:dyDescent="0.2">
      <c r="G1617" s="889"/>
    </row>
    <row r="1618" spans="7:7" ht="10.5" customHeight="1" x14ac:dyDescent="0.2">
      <c r="G1618" s="889"/>
    </row>
    <row r="1619" spans="7:7" ht="10.5" customHeight="1" x14ac:dyDescent="0.2">
      <c r="G1619" s="889"/>
    </row>
    <row r="1620" spans="7:7" ht="10.5" customHeight="1" x14ac:dyDescent="0.2">
      <c r="G1620" s="889"/>
    </row>
    <row r="1621" spans="7:7" ht="10.5" customHeight="1" x14ac:dyDescent="0.2">
      <c r="G1621" s="889"/>
    </row>
    <row r="1622" spans="7:7" ht="10.5" customHeight="1" x14ac:dyDescent="0.2">
      <c r="G1622" s="889"/>
    </row>
    <row r="1623" spans="7:7" ht="10.5" customHeight="1" x14ac:dyDescent="0.2">
      <c r="G1623" s="889"/>
    </row>
    <row r="1624" spans="7:7" ht="10.5" customHeight="1" x14ac:dyDescent="0.2">
      <c r="G1624" s="889"/>
    </row>
    <row r="1625" spans="7:7" ht="10.5" customHeight="1" x14ac:dyDescent="0.2">
      <c r="G1625" s="889"/>
    </row>
    <row r="1626" spans="7:7" ht="10.5" customHeight="1" x14ac:dyDescent="0.2">
      <c r="G1626" s="889"/>
    </row>
    <row r="1627" spans="7:7" ht="10.5" customHeight="1" x14ac:dyDescent="0.2">
      <c r="G1627" s="889"/>
    </row>
    <row r="1628" spans="7:7" ht="10.5" customHeight="1" x14ac:dyDescent="0.2">
      <c r="G1628" s="889"/>
    </row>
    <row r="1629" spans="7:7" ht="10.5" customHeight="1" x14ac:dyDescent="0.2">
      <c r="G1629" s="889"/>
    </row>
    <row r="1630" spans="7:7" ht="10.5" customHeight="1" x14ac:dyDescent="0.2">
      <c r="G1630" s="889"/>
    </row>
    <row r="1631" spans="7:7" ht="10.5" customHeight="1" x14ac:dyDescent="0.2">
      <c r="G1631" s="889"/>
    </row>
    <row r="1632" spans="7:7" ht="10.5" customHeight="1" x14ac:dyDescent="0.2">
      <c r="G1632" s="889"/>
    </row>
    <row r="1633" spans="7:7" ht="10.5" customHeight="1" x14ac:dyDescent="0.2">
      <c r="G1633" s="889"/>
    </row>
    <row r="1634" spans="7:7" ht="10.5" customHeight="1" x14ac:dyDescent="0.2">
      <c r="G1634" s="889"/>
    </row>
    <row r="1635" spans="7:7" ht="10.5" customHeight="1" x14ac:dyDescent="0.2">
      <c r="G1635" s="889"/>
    </row>
    <row r="1636" spans="7:7" ht="10.5" customHeight="1" x14ac:dyDescent="0.2">
      <c r="G1636" s="889"/>
    </row>
    <row r="1637" spans="7:7" ht="10.5" customHeight="1" x14ac:dyDescent="0.2">
      <c r="G1637" s="889"/>
    </row>
    <row r="1638" spans="7:7" ht="10.5" customHeight="1" x14ac:dyDescent="0.2">
      <c r="G1638" s="889"/>
    </row>
    <row r="1639" spans="7:7" ht="10.5" customHeight="1" x14ac:dyDescent="0.2">
      <c r="G1639" s="889"/>
    </row>
    <row r="1640" spans="7:7" ht="10.5" customHeight="1" x14ac:dyDescent="0.2">
      <c r="G1640" s="889"/>
    </row>
    <row r="1641" spans="7:7" ht="10.5" customHeight="1" x14ac:dyDescent="0.2">
      <c r="G1641" s="889"/>
    </row>
    <row r="1642" spans="7:7" ht="10.5" customHeight="1" x14ac:dyDescent="0.2">
      <c r="G1642" s="889"/>
    </row>
    <row r="1643" spans="7:7" ht="10.5" customHeight="1" x14ac:dyDescent="0.2">
      <c r="G1643" s="889"/>
    </row>
    <row r="1644" spans="7:7" ht="10.5" customHeight="1" x14ac:dyDescent="0.2">
      <c r="G1644" s="889"/>
    </row>
    <row r="1645" spans="7:7" ht="10.5" customHeight="1" x14ac:dyDescent="0.2">
      <c r="G1645" s="889"/>
    </row>
    <row r="1646" spans="7:7" ht="10.5" customHeight="1" x14ac:dyDescent="0.2">
      <c r="G1646" s="889"/>
    </row>
    <row r="1647" spans="7:7" ht="10.5" customHeight="1" x14ac:dyDescent="0.2">
      <c r="G1647" s="889"/>
    </row>
    <row r="1648" spans="7:7" ht="10.5" customHeight="1" x14ac:dyDescent="0.2">
      <c r="G1648" s="889"/>
    </row>
    <row r="1649" spans="7:7" ht="10.5" customHeight="1" x14ac:dyDescent="0.2">
      <c r="G1649" s="889"/>
    </row>
    <row r="1650" spans="7:7" ht="10.5" customHeight="1" x14ac:dyDescent="0.2">
      <c r="G1650" s="889"/>
    </row>
    <row r="1651" spans="7:7" ht="10.5" customHeight="1" x14ac:dyDescent="0.2">
      <c r="G1651" s="889"/>
    </row>
    <row r="1652" spans="7:7" ht="10.5" customHeight="1" x14ac:dyDescent="0.2">
      <c r="G1652" s="889"/>
    </row>
    <row r="1653" spans="7:7" ht="10.5" customHeight="1" x14ac:dyDescent="0.2">
      <c r="G1653" s="889"/>
    </row>
    <row r="1654" spans="7:7" ht="10.5" customHeight="1" x14ac:dyDescent="0.2">
      <c r="G1654" s="889"/>
    </row>
    <row r="1655" spans="7:7" ht="10.5" customHeight="1" x14ac:dyDescent="0.2">
      <c r="G1655" s="889"/>
    </row>
    <row r="1656" spans="7:7" ht="10.5" customHeight="1" x14ac:dyDescent="0.2">
      <c r="G1656" s="889"/>
    </row>
    <row r="1657" spans="7:7" ht="10.5" customHeight="1" x14ac:dyDescent="0.2">
      <c r="G1657" s="889"/>
    </row>
    <row r="1658" spans="7:7" ht="10.5" customHeight="1" x14ac:dyDescent="0.2">
      <c r="G1658" s="889"/>
    </row>
    <row r="1659" spans="7:7" ht="10.5" customHeight="1" x14ac:dyDescent="0.2">
      <c r="G1659" s="889"/>
    </row>
    <row r="1660" spans="7:7" ht="10.5" customHeight="1" x14ac:dyDescent="0.2">
      <c r="G1660" s="889"/>
    </row>
    <row r="1661" spans="7:7" ht="10.5" customHeight="1" x14ac:dyDescent="0.2">
      <c r="G1661" s="889"/>
    </row>
    <row r="1662" spans="7:7" ht="10.5" customHeight="1" x14ac:dyDescent="0.2">
      <c r="G1662" s="889"/>
    </row>
    <row r="1663" spans="7:7" ht="10.5" customHeight="1" x14ac:dyDescent="0.2">
      <c r="G1663" s="889"/>
    </row>
    <row r="1664" spans="7:7" ht="10.5" customHeight="1" x14ac:dyDescent="0.2">
      <c r="G1664" s="889"/>
    </row>
    <row r="1665" spans="7:7" ht="10.5" customHeight="1" x14ac:dyDescent="0.2">
      <c r="G1665" s="889"/>
    </row>
    <row r="1666" spans="7:7" ht="10.5" customHeight="1" x14ac:dyDescent="0.2">
      <c r="G1666" s="889"/>
    </row>
    <row r="1667" spans="7:7" ht="10.5" customHeight="1" x14ac:dyDescent="0.2">
      <c r="G1667" s="889"/>
    </row>
    <row r="1668" spans="7:7" ht="10.5" customHeight="1" x14ac:dyDescent="0.2">
      <c r="G1668" s="889"/>
    </row>
    <row r="1669" spans="7:7" ht="10.5" customHeight="1" x14ac:dyDescent="0.2">
      <c r="G1669" s="889"/>
    </row>
    <row r="1670" spans="7:7" ht="10.5" customHeight="1" x14ac:dyDescent="0.2">
      <c r="G1670" s="889"/>
    </row>
    <row r="1671" spans="7:7" ht="10.5" customHeight="1" x14ac:dyDescent="0.2">
      <c r="G1671" s="889"/>
    </row>
    <row r="1672" spans="7:7" ht="10.5" customHeight="1" x14ac:dyDescent="0.2">
      <c r="G1672" s="889"/>
    </row>
    <row r="1673" spans="7:7" ht="10.5" customHeight="1" x14ac:dyDescent="0.2">
      <c r="G1673" s="889"/>
    </row>
    <row r="1674" spans="7:7" ht="10.5" customHeight="1" x14ac:dyDescent="0.2">
      <c r="G1674" s="889"/>
    </row>
    <row r="1675" spans="7:7" ht="10.5" customHeight="1" x14ac:dyDescent="0.2">
      <c r="G1675" s="889"/>
    </row>
    <row r="1676" spans="7:7" ht="10.5" customHeight="1" x14ac:dyDescent="0.2">
      <c r="G1676" s="889"/>
    </row>
    <row r="1677" spans="7:7" ht="10.5" customHeight="1" x14ac:dyDescent="0.2">
      <c r="G1677" s="889"/>
    </row>
    <row r="1678" spans="7:7" ht="10.5" customHeight="1" x14ac:dyDescent="0.2">
      <c r="G1678" s="889"/>
    </row>
    <row r="1679" spans="7:7" ht="10.5" customHeight="1" x14ac:dyDescent="0.2">
      <c r="G1679" s="889"/>
    </row>
    <row r="1680" spans="7:7" ht="10.5" customHeight="1" x14ac:dyDescent="0.2">
      <c r="G1680" s="889"/>
    </row>
    <row r="1681" spans="7:7" ht="10.5" customHeight="1" x14ac:dyDescent="0.2">
      <c r="G1681" s="889"/>
    </row>
    <row r="1682" spans="7:7" ht="10.5" customHeight="1" x14ac:dyDescent="0.2">
      <c r="G1682" s="889"/>
    </row>
    <row r="1683" spans="7:7" ht="10.5" customHeight="1" x14ac:dyDescent="0.2">
      <c r="G1683" s="889"/>
    </row>
    <row r="1684" spans="7:7" ht="10.5" customHeight="1" x14ac:dyDescent="0.2">
      <c r="G1684" s="889"/>
    </row>
    <row r="1685" spans="7:7" ht="10.5" customHeight="1" x14ac:dyDescent="0.2">
      <c r="G1685" s="889"/>
    </row>
    <row r="1686" spans="7:7" ht="10.5" customHeight="1" x14ac:dyDescent="0.2">
      <c r="G1686" s="889"/>
    </row>
    <row r="1687" spans="7:7" ht="10.5" customHeight="1" x14ac:dyDescent="0.2">
      <c r="G1687" s="889"/>
    </row>
    <row r="1688" spans="7:7" ht="10.5" customHeight="1" x14ac:dyDescent="0.2">
      <c r="G1688" s="889"/>
    </row>
    <row r="1689" spans="7:7" ht="10.5" customHeight="1" x14ac:dyDescent="0.2">
      <c r="G1689" s="889"/>
    </row>
    <row r="1690" spans="7:7" ht="10.5" customHeight="1" x14ac:dyDescent="0.2">
      <c r="G1690" s="889"/>
    </row>
    <row r="1691" spans="7:7" ht="10.5" customHeight="1" x14ac:dyDescent="0.2">
      <c r="G1691" s="889"/>
    </row>
    <row r="1692" spans="7:7" ht="10.5" customHeight="1" x14ac:dyDescent="0.2">
      <c r="G1692" s="889"/>
    </row>
    <row r="1693" spans="7:7" ht="10.5" customHeight="1" x14ac:dyDescent="0.2">
      <c r="G1693" s="889"/>
    </row>
    <row r="1694" spans="7:7" ht="10.5" customHeight="1" x14ac:dyDescent="0.2">
      <c r="G1694" s="889"/>
    </row>
    <row r="1695" spans="7:7" ht="10.5" customHeight="1" x14ac:dyDescent="0.2">
      <c r="G1695" s="889"/>
    </row>
    <row r="1696" spans="7:7" ht="10.5" customHeight="1" x14ac:dyDescent="0.2">
      <c r="G1696" s="889"/>
    </row>
    <row r="1697" spans="7:7" ht="10.5" customHeight="1" x14ac:dyDescent="0.2">
      <c r="G1697" s="889"/>
    </row>
    <row r="1698" spans="7:7" ht="10.5" customHeight="1" x14ac:dyDescent="0.2">
      <c r="G1698" s="889"/>
    </row>
    <row r="1699" spans="7:7" ht="10.5" customHeight="1" x14ac:dyDescent="0.2">
      <c r="G1699" s="889"/>
    </row>
    <row r="1700" spans="7:7" ht="10.5" customHeight="1" x14ac:dyDescent="0.2">
      <c r="G1700" s="889"/>
    </row>
    <row r="1701" spans="7:7" ht="10.5" customHeight="1" x14ac:dyDescent="0.2">
      <c r="G1701" s="889"/>
    </row>
    <row r="1702" spans="7:7" ht="10.5" customHeight="1" x14ac:dyDescent="0.2">
      <c r="G1702" s="889"/>
    </row>
    <row r="1703" spans="7:7" ht="10.5" customHeight="1" x14ac:dyDescent="0.2">
      <c r="G1703" s="889"/>
    </row>
    <row r="1704" spans="7:7" ht="10.5" customHeight="1" x14ac:dyDescent="0.2">
      <c r="G1704" s="889"/>
    </row>
    <row r="1705" spans="7:7" ht="10.5" customHeight="1" x14ac:dyDescent="0.2">
      <c r="G1705" s="889"/>
    </row>
    <row r="1706" spans="7:7" ht="10.5" customHeight="1" x14ac:dyDescent="0.2">
      <c r="G1706" s="889"/>
    </row>
    <row r="1707" spans="7:7" ht="10.5" customHeight="1" x14ac:dyDescent="0.2">
      <c r="G1707" s="889"/>
    </row>
    <row r="1708" spans="7:7" ht="10.5" customHeight="1" x14ac:dyDescent="0.2">
      <c r="G1708" s="889"/>
    </row>
    <row r="1709" spans="7:7" ht="10.5" customHeight="1" x14ac:dyDescent="0.2">
      <c r="G1709" s="889"/>
    </row>
    <row r="1710" spans="7:7" ht="10.5" customHeight="1" x14ac:dyDescent="0.2">
      <c r="G1710" s="889"/>
    </row>
    <row r="1711" spans="7:7" ht="10.5" customHeight="1" x14ac:dyDescent="0.2">
      <c r="G1711" s="889"/>
    </row>
    <row r="1712" spans="7:7" ht="10.5" customHeight="1" x14ac:dyDescent="0.2">
      <c r="G1712" s="889"/>
    </row>
    <row r="1713" spans="7:7" ht="10.5" customHeight="1" x14ac:dyDescent="0.2">
      <c r="G1713" s="889"/>
    </row>
    <row r="1714" spans="7:7" ht="10.5" customHeight="1" x14ac:dyDescent="0.2">
      <c r="G1714" s="889"/>
    </row>
    <row r="1715" spans="7:7" ht="10.5" customHeight="1" x14ac:dyDescent="0.2">
      <c r="G1715" s="889"/>
    </row>
    <row r="1716" spans="7:7" ht="10.5" customHeight="1" x14ac:dyDescent="0.2">
      <c r="G1716" s="889"/>
    </row>
    <row r="1717" spans="7:7" ht="10.5" customHeight="1" x14ac:dyDescent="0.2">
      <c r="G1717" s="889"/>
    </row>
    <row r="1718" spans="7:7" ht="10.5" customHeight="1" x14ac:dyDescent="0.2">
      <c r="G1718" s="889"/>
    </row>
    <row r="1719" spans="7:7" ht="10.5" customHeight="1" x14ac:dyDescent="0.2">
      <c r="G1719" s="889"/>
    </row>
    <row r="1720" spans="7:7" ht="10.5" customHeight="1" x14ac:dyDescent="0.2">
      <c r="G1720" s="889"/>
    </row>
    <row r="1721" spans="7:7" ht="10.5" customHeight="1" x14ac:dyDescent="0.2">
      <c r="G1721" s="889"/>
    </row>
    <row r="1722" spans="7:7" ht="10.5" customHeight="1" x14ac:dyDescent="0.2">
      <c r="G1722" s="889"/>
    </row>
    <row r="1723" spans="7:7" ht="10.5" customHeight="1" x14ac:dyDescent="0.2">
      <c r="G1723" s="889"/>
    </row>
    <row r="1724" spans="7:7" ht="10.5" customHeight="1" x14ac:dyDescent="0.2">
      <c r="G1724" s="889"/>
    </row>
    <row r="1725" spans="7:7" ht="10.5" customHeight="1" x14ac:dyDescent="0.2">
      <c r="G1725" s="889"/>
    </row>
    <row r="1726" spans="7:7" ht="10.5" customHeight="1" x14ac:dyDescent="0.2">
      <c r="G1726" s="889"/>
    </row>
    <row r="1727" spans="7:7" ht="10.5" customHeight="1" x14ac:dyDescent="0.2">
      <c r="G1727" s="889"/>
    </row>
    <row r="1728" spans="7:7" ht="10.5" customHeight="1" x14ac:dyDescent="0.2">
      <c r="G1728" s="889"/>
    </row>
    <row r="1729" spans="7:7" ht="10.5" customHeight="1" x14ac:dyDescent="0.2">
      <c r="G1729" s="889"/>
    </row>
    <row r="1730" spans="7:7" ht="10.5" customHeight="1" x14ac:dyDescent="0.2">
      <c r="G1730" s="889"/>
    </row>
    <row r="1731" spans="7:7" ht="10.5" customHeight="1" x14ac:dyDescent="0.2">
      <c r="G1731" s="889"/>
    </row>
    <row r="1732" spans="7:7" ht="10.5" customHeight="1" x14ac:dyDescent="0.2">
      <c r="G1732" s="889"/>
    </row>
    <row r="1733" spans="7:7" ht="10.5" customHeight="1" x14ac:dyDescent="0.2">
      <c r="G1733" s="889"/>
    </row>
    <row r="1734" spans="7:7" ht="10.5" customHeight="1" x14ac:dyDescent="0.2">
      <c r="G1734" s="889"/>
    </row>
    <row r="1735" spans="7:7" ht="10.5" customHeight="1" x14ac:dyDescent="0.2">
      <c r="G1735" s="889"/>
    </row>
    <row r="1736" spans="7:7" ht="10.5" customHeight="1" x14ac:dyDescent="0.2">
      <c r="G1736" s="889"/>
    </row>
    <row r="1737" spans="7:7" ht="10.5" customHeight="1" x14ac:dyDescent="0.2">
      <c r="G1737" s="889"/>
    </row>
    <row r="1738" spans="7:7" ht="10.5" customHeight="1" x14ac:dyDescent="0.2">
      <c r="G1738" s="889"/>
    </row>
    <row r="1739" spans="7:7" ht="10.5" customHeight="1" x14ac:dyDescent="0.2">
      <c r="G1739" s="889"/>
    </row>
    <row r="1740" spans="7:7" ht="10.5" customHeight="1" x14ac:dyDescent="0.2">
      <c r="G1740" s="889"/>
    </row>
    <row r="1741" spans="7:7" ht="10.5" customHeight="1" x14ac:dyDescent="0.2">
      <c r="G1741" s="889"/>
    </row>
    <row r="1742" spans="7:7" ht="10.5" customHeight="1" x14ac:dyDescent="0.2">
      <c r="G1742" s="889"/>
    </row>
    <row r="1743" spans="7:7" ht="10.5" customHeight="1" x14ac:dyDescent="0.2">
      <c r="G1743" s="889"/>
    </row>
    <row r="1744" spans="7:7" ht="10.5" customHeight="1" x14ac:dyDescent="0.2">
      <c r="G1744" s="889"/>
    </row>
    <row r="1745" spans="7:7" ht="10.5" customHeight="1" x14ac:dyDescent="0.2">
      <c r="G1745" s="889"/>
    </row>
    <row r="1746" spans="7:7" ht="10.5" customHeight="1" x14ac:dyDescent="0.2">
      <c r="G1746" s="889"/>
    </row>
    <row r="1747" spans="7:7" ht="10.5" customHeight="1" x14ac:dyDescent="0.2">
      <c r="G1747" s="889"/>
    </row>
    <row r="1748" spans="7:7" ht="10.5" customHeight="1" x14ac:dyDescent="0.2">
      <c r="G1748" s="889"/>
    </row>
    <row r="1749" spans="7:7" ht="10.5" customHeight="1" x14ac:dyDescent="0.2">
      <c r="G1749" s="889"/>
    </row>
    <row r="1750" spans="7:7" ht="10.5" customHeight="1" x14ac:dyDescent="0.2">
      <c r="G1750" s="889"/>
    </row>
    <row r="1751" spans="7:7" ht="10.5" customHeight="1" x14ac:dyDescent="0.2">
      <c r="G1751" s="889"/>
    </row>
    <row r="1752" spans="7:7" ht="10.5" customHeight="1" x14ac:dyDescent="0.2">
      <c r="G1752" s="889"/>
    </row>
    <row r="1753" spans="7:7" ht="10.5" customHeight="1" x14ac:dyDescent="0.2">
      <c r="G1753" s="889"/>
    </row>
    <row r="1754" spans="7:7" ht="10.5" customHeight="1" x14ac:dyDescent="0.2">
      <c r="G1754" s="889"/>
    </row>
    <row r="1755" spans="7:7" ht="10.5" customHeight="1" x14ac:dyDescent="0.2">
      <c r="G1755" s="889"/>
    </row>
    <row r="1756" spans="7:7" ht="10.5" customHeight="1" x14ac:dyDescent="0.2">
      <c r="G1756" s="889"/>
    </row>
    <row r="1757" spans="7:7" ht="10.5" customHeight="1" x14ac:dyDescent="0.2">
      <c r="G1757" s="889"/>
    </row>
    <row r="1758" spans="7:7" ht="10.5" customHeight="1" x14ac:dyDescent="0.2">
      <c r="G1758" s="889"/>
    </row>
    <row r="1759" spans="7:7" ht="10.5" customHeight="1" x14ac:dyDescent="0.2">
      <c r="G1759" s="889"/>
    </row>
    <row r="1760" spans="7:7" ht="10.5" customHeight="1" x14ac:dyDescent="0.2">
      <c r="G1760" s="889"/>
    </row>
    <row r="1761" spans="7:7" ht="10.5" customHeight="1" x14ac:dyDescent="0.2">
      <c r="G1761" s="889"/>
    </row>
    <row r="1762" spans="7:7" ht="10.5" customHeight="1" x14ac:dyDescent="0.2">
      <c r="G1762" s="889"/>
    </row>
    <row r="1763" spans="7:7" ht="10.5" customHeight="1" x14ac:dyDescent="0.2">
      <c r="G1763" s="889"/>
    </row>
    <row r="1764" spans="7:7" ht="10.5" customHeight="1" x14ac:dyDescent="0.2">
      <c r="G1764" s="889"/>
    </row>
    <row r="1765" spans="7:7" ht="10.5" customHeight="1" x14ac:dyDescent="0.2">
      <c r="G1765" s="889"/>
    </row>
    <row r="1766" spans="7:7" ht="10.5" customHeight="1" x14ac:dyDescent="0.2">
      <c r="G1766" s="889"/>
    </row>
    <row r="1767" spans="7:7" ht="10.5" customHeight="1" x14ac:dyDescent="0.2">
      <c r="G1767" s="889"/>
    </row>
    <row r="1768" spans="7:7" ht="10.5" customHeight="1" x14ac:dyDescent="0.2">
      <c r="G1768" s="889"/>
    </row>
    <row r="1769" spans="7:7" ht="10.5" customHeight="1" x14ac:dyDescent="0.2">
      <c r="G1769" s="889"/>
    </row>
    <row r="1770" spans="7:7" ht="10.5" customHeight="1" x14ac:dyDescent="0.2">
      <c r="G1770" s="889"/>
    </row>
    <row r="1771" spans="7:7" ht="10.5" customHeight="1" x14ac:dyDescent="0.2">
      <c r="G1771" s="889"/>
    </row>
    <row r="1772" spans="7:7" ht="10.5" customHeight="1" x14ac:dyDescent="0.2">
      <c r="G1772" s="889"/>
    </row>
    <row r="1773" spans="7:7" ht="10.5" customHeight="1" x14ac:dyDescent="0.2">
      <c r="G1773" s="889"/>
    </row>
    <row r="1774" spans="7:7" ht="10.5" customHeight="1" x14ac:dyDescent="0.2">
      <c r="G1774" s="889"/>
    </row>
    <row r="1775" spans="7:7" ht="10.5" customHeight="1" x14ac:dyDescent="0.2">
      <c r="G1775" s="889"/>
    </row>
    <row r="1776" spans="7:7" ht="10.5" customHeight="1" x14ac:dyDescent="0.2">
      <c r="G1776" s="889"/>
    </row>
    <row r="1777" spans="7:7" ht="10.5" customHeight="1" x14ac:dyDescent="0.2">
      <c r="G1777" s="889"/>
    </row>
    <row r="1778" spans="7:7" ht="10.5" customHeight="1" x14ac:dyDescent="0.2">
      <c r="G1778" s="889"/>
    </row>
    <row r="1779" spans="7:7" ht="10.5" customHeight="1" x14ac:dyDescent="0.2">
      <c r="G1779" s="889"/>
    </row>
    <row r="1780" spans="7:7" ht="10.5" customHeight="1" x14ac:dyDescent="0.2">
      <c r="G1780" s="889"/>
    </row>
    <row r="1781" spans="7:7" ht="10.5" customHeight="1" x14ac:dyDescent="0.2">
      <c r="G1781" s="889"/>
    </row>
    <row r="1782" spans="7:7" ht="10.5" customHeight="1" x14ac:dyDescent="0.2">
      <c r="G1782" s="889"/>
    </row>
    <row r="1783" spans="7:7" ht="10.5" customHeight="1" x14ac:dyDescent="0.2">
      <c r="G1783" s="889"/>
    </row>
    <row r="1784" spans="7:7" ht="10.5" customHeight="1" x14ac:dyDescent="0.2">
      <c r="G1784" s="889"/>
    </row>
    <row r="1785" spans="7:7" ht="10.5" customHeight="1" x14ac:dyDescent="0.2">
      <c r="G1785" s="889"/>
    </row>
    <row r="1786" spans="7:7" ht="10.5" customHeight="1" x14ac:dyDescent="0.2">
      <c r="G1786" s="889"/>
    </row>
    <row r="1787" spans="7:7" ht="10.5" customHeight="1" x14ac:dyDescent="0.2">
      <c r="G1787" s="889"/>
    </row>
    <row r="1788" spans="7:7" ht="10.5" customHeight="1" x14ac:dyDescent="0.2">
      <c r="G1788" s="889"/>
    </row>
    <row r="1789" spans="7:7" ht="10.5" customHeight="1" x14ac:dyDescent="0.2">
      <c r="G1789" s="889"/>
    </row>
    <row r="1790" spans="7:7" ht="10.5" customHeight="1" x14ac:dyDescent="0.2">
      <c r="G1790" s="889"/>
    </row>
    <row r="1791" spans="7:7" ht="10.5" customHeight="1" x14ac:dyDescent="0.2">
      <c r="G1791" s="889"/>
    </row>
    <row r="1792" spans="7:7" ht="10.5" customHeight="1" x14ac:dyDescent="0.2">
      <c r="G1792" s="889"/>
    </row>
    <row r="1793" spans="7:7" ht="10.5" customHeight="1" x14ac:dyDescent="0.2">
      <c r="G1793" s="889"/>
    </row>
    <row r="1794" spans="7:7" ht="10.5" customHeight="1" x14ac:dyDescent="0.2">
      <c r="G1794" s="889"/>
    </row>
    <row r="1795" spans="7:7" ht="10.5" customHeight="1" x14ac:dyDescent="0.2">
      <c r="G1795" s="889"/>
    </row>
    <row r="1796" spans="7:7" ht="10.5" customHeight="1" x14ac:dyDescent="0.2">
      <c r="G1796" s="889"/>
    </row>
    <row r="1797" spans="7:7" ht="10.5" customHeight="1" x14ac:dyDescent="0.2">
      <c r="G1797" s="889"/>
    </row>
    <row r="1798" spans="7:7" ht="10.5" customHeight="1" x14ac:dyDescent="0.2">
      <c r="G1798" s="889"/>
    </row>
    <row r="1799" spans="7:7" ht="10.5" customHeight="1" x14ac:dyDescent="0.2">
      <c r="G1799" s="889"/>
    </row>
    <row r="1800" spans="7:7" ht="10.5" customHeight="1" x14ac:dyDescent="0.2">
      <c r="G1800" s="889"/>
    </row>
    <row r="1801" spans="7:7" ht="10.5" customHeight="1" x14ac:dyDescent="0.2">
      <c r="G1801" s="889"/>
    </row>
    <row r="1802" spans="7:7" ht="10.5" customHeight="1" x14ac:dyDescent="0.2">
      <c r="G1802" s="889"/>
    </row>
    <row r="1803" spans="7:7" ht="10.5" customHeight="1" x14ac:dyDescent="0.2">
      <c r="G1803" s="889"/>
    </row>
    <row r="1804" spans="7:7" ht="10.5" customHeight="1" x14ac:dyDescent="0.2">
      <c r="G1804" s="889"/>
    </row>
    <row r="1805" spans="7:7" ht="10.5" customHeight="1" x14ac:dyDescent="0.2">
      <c r="G1805" s="889"/>
    </row>
    <row r="1806" spans="7:7" ht="10.5" customHeight="1" x14ac:dyDescent="0.2">
      <c r="G1806" s="889"/>
    </row>
    <row r="1807" spans="7:7" ht="10.5" customHeight="1" x14ac:dyDescent="0.2">
      <c r="G1807" s="889"/>
    </row>
    <row r="1808" spans="7:7" ht="10.5" customHeight="1" x14ac:dyDescent="0.2">
      <c r="G1808" s="889"/>
    </row>
    <row r="1809" spans="7:7" ht="10.5" customHeight="1" x14ac:dyDescent="0.2">
      <c r="G1809" s="889"/>
    </row>
    <row r="1810" spans="7:7" ht="10.5" customHeight="1" x14ac:dyDescent="0.2">
      <c r="G1810" s="889"/>
    </row>
    <row r="1811" spans="7:7" ht="10.5" customHeight="1" x14ac:dyDescent="0.2">
      <c r="G1811" s="889"/>
    </row>
    <row r="1812" spans="7:7" ht="10.5" customHeight="1" x14ac:dyDescent="0.2">
      <c r="G1812" s="889"/>
    </row>
    <row r="1813" spans="7:7" ht="10.5" customHeight="1" x14ac:dyDescent="0.2">
      <c r="G1813" s="889"/>
    </row>
    <row r="1814" spans="7:7" ht="10.5" customHeight="1" x14ac:dyDescent="0.2">
      <c r="G1814" s="889"/>
    </row>
    <row r="1815" spans="7:7" ht="10.5" customHeight="1" x14ac:dyDescent="0.2">
      <c r="G1815" s="889"/>
    </row>
    <row r="1816" spans="7:7" ht="10.5" customHeight="1" x14ac:dyDescent="0.2">
      <c r="G1816" s="889"/>
    </row>
    <row r="1817" spans="7:7" ht="10.5" customHeight="1" x14ac:dyDescent="0.2">
      <c r="G1817" s="889"/>
    </row>
    <row r="1818" spans="7:7" ht="10.5" customHeight="1" x14ac:dyDescent="0.2">
      <c r="G1818" s="889"/>
    </row>
    <row r="1819" spans="7:7" ht="10.5" customHeight="1" x14ac:dyDescent="0.2">
      <c r="G1819" s="889"/>
    </row>
    <row r="1820" spans="7:7" ht="10.5" customHeight="1" x14ac:dyDescent="0.2">
      <c r="G1820" s="889"/>
    </row>
    <row r="1821" spans="7:7" ht="10.5" customHeight="1" x14ac:dyDescent="0.2">
      <c r="G1821" s="889"/>
    </row>
    <row r="1822" spans="7:7" ht="10.5" customHeight="1" x14ac:dyDescent="0.2">
      <c r="G1822" s="889"/>
    </row>
    <row r="1823" spans="7:7" ht="10.5" customHeight="1" x14ac:dyDescent="0.2">
      <c r="G1823" s="889"/>
    </row>
    <row r="1824" spans="7:7" ht="10.5" customHeight="1" x14ac:dyDescent="0.2">
      <c r="G1824" s="889"/>
    </row>
    <row r="1825" spans="7:7" ht="10.5" customHeight="1" x14ac:dyDescent="0.2">
      <c r="G1825" s="889"/>
    </row>
    <row r="1826" spans="7:7" ht="10.5" customHeight="1" x14ac:dyDescent="0.2">
      <c r="G1826" s="889"/>
    </row>
    <row r="1827" spans="7:7" ht="10.5" customHeight="1" x14ac:dyDescent="0.2">
      <c r="G1827" s="889"/>
    </row>
    <row r="1828" spans="7:7" ht="10.5" customHeight="1" x14ac:dyDescent="0.2">
      <c r="G1828" s="889"/>
    </row>
    <row r="1829" spans="7:7" ht="10.5" customHeight="1" x14ac:dyDescent="0.2">
      <c r="G1829" s="889"/>
    </row>
    <row r="1830" spans="7:7" ht="10.5" customHeight="1" x14ac:dyDescent="0.2">
      <c r="G1830" s="889"/>
    </row>
    <row r="1831" spans="7:7" ht="10.5" customHeight="1" x14ac:dyDescent="0.2">
      <c r="G1831" s="889"/>
    </row>
    <row r="1832" spans="7:7" ht="10.5" customHeight="1" x14ac:dyDescent="0.2">
      <c r="G1832" s="889"/>
    </row>
    <row r="1833" spans="7:7" ht="10.5" customHeight="1" x14ac:dyDescent="0.2">
      <c r="G1833" s="889"/>
    </row>
    <row r="1834" spans="7:7" ht="10.5" customHeight="1" x14ac:dyDescent="0.2">
      <c r="G1834" s="889"/>
    </row>
    <row r="1835" spans="7:7" ht="10.5" customHeight="1" x14ac:dyDescent="0.2">
      <c r="G1835" s="889"/>
    </row>
    <row r="1836" spans="7:7" ht="10.5" customHeight="1" x14ac:dyDescent="0.2">
      <c r="G1836" s="889"/>
    </row>
    <row r="1837" spans="7:7" ht="10.5" customHeight="1" x14ac:dyDescent="0.2">
      <c r="G1837" s="889"/>
    </row>
    <row r="1838" spans="7:7" ht="10.5" customHeight="1" x14ac:dyDescent="0.2">
      <c r="G1838" s="889"/>
    </row>
    <row r="1839" spans="7:7" ht="10.5" customHeight="1" x14ac:dyDescent="0.2">
      <c r="G1839" s="889"/>
    </row>
    <row r="1840" spans="7:7" ht="10.5" customHeight="1" x14ac:dyDescent="0.2">
      <c r="G1840" s="889"/>
    </row>
    <row r="1841" spans="7:7" ht="10.5" customHeight="1" x14ac:dyDescent="0.2">
      <c r="G1841" s="889"/>
    </row>
    <row r="1842" spans="7:7" ht="10.5" customHeight="1" x14ac:dyDescent="0.2">
      <c r="G1842" s="889"/>
    </row>
    <row r="1843" spans="7:7" ht="10.5" customHeight="1" x14ac:dyDescent="0.2">
      <c r="G1843" s="889"/>
    </row>
    <row r="1844" spans="7:7" ht="10.5" customHeight="1" x14ac:dyDescent="0.2">
      <c r="G1844" s="889"/>
    </row>
    <row r="1845" spans="7:7" ht="10.5" customHeight="1" x14ac:dyDescent="0.2">
      <c r="G1845" s="889"/>
    </row>
    <row r="1846" spans="7:7" ht="10.5" customHeight="1" x14ac:dyDescent="0.2">
      <c r="G1846" s="889"/>
    </row>
    <row r="1847" spans="7:7" ht="10.5" customHeight="1" x14ac:dyDescent="0.2">
      <c r="G1847" s="889"/>
    </row>
    <row r="1848" spans="7:7" ht="10.5" customHeight="1" x14ac:dyDescent="0.2">
      <c r="G1848" s="889"/>
    </row>
    <row r="1849" spans="7:7" ht="10.5" customHeight="1" x14ac:dyDescent="0.2">
      <c r="G1849" s="889"/>
    </row>
    <row r="1850" spans="7:7" ht="10.5" customHeight="1" x14ac:dyDescent="0.2">
      <c r="G1850" s="889"/>
    </row>
    <row r="1851" spans="7:7" ht="10.5" customHeight="1" x14ac:dyDescent="0.2">
      <c r="G1851" s="889"/>
    </row>
    <row r="1852" spans="7:7" ht="10.5" customHeight="1" x14ac:dyDescent="0.2">
      <c r="G1852" s="889"/>
    </row>
    <row r="1853" spans="7:7" ht="10.5" customHeight="1" x14ac:dyDescent="0.2">
      <c r="G1853" s="889"/>
    </row>
    <row r="1854" spans="7:7" ht="10.5" customHeight="1" x14ac:dyDescent="0.2">
      <c r="G1854" s="889"/>
    </row>
    <row r="1855" spans="7:7" ht="10.5" customHeight="1" x14ac:dyDescent="0.2">
      <c r="G1855" s="889"/>
    </row>
    <row r="1856" spans="7:7" ht="10.5" customHeight="1" x14ac:dyDescent="0.2">
      <c r="G1856" s="889"/>
    </row>
    <row r="1857" spans="7:7" ht="10.5" customHeight="1" x14ac:dyDescent="0.2">
      <c r="G1857" s="889"/>
    </row>
    <row r="1858" spans="7:7" ht="10.5" customHeight="1" x14ac:dyDescent="0.2">
      <c r="G1858" s="889"/>
    </row>
    <row r="1859" spans="7:7" ht="10.5" customHeight="1" x14ac:dyDescent="0.2">
      <c r="G1859" s="889"/>
    </row>
    <row r="1860" spans="7:7" ht="10.5" customHeight="1" x14ac:dyDescent="0.2">
      <c r="G1860" s="889"/>
    </row>
    <row r="1861" spans="7:7" ht="10.5" customHeight="1" x14ac:dyDescent="0.2">
      <c r="G1861" s="889"/>
    </row>
    <row r="1862" spans="7:7" ht="10.5" customHeight="1" x14ac:dyDescent="0.2">
      <c r="G1862" s="889"/>
    </row>
    <row r="1863" spans="7:7" ht="10.5" customHeight="1" x14ac:dyDescent="0.2">
      <c r="G1863" s="889"/>
    </row>
    <row r="1864" spans="7:7" ht="10.5" customHeight="1" x14ac:dyDescent="0.2">
      <c r="G1864" s="889"/>
    </row>
    <row r="1865" spans="7:7" ht="10.5" customHeight="1" x14ac:dyDescent="0.2">
      <c r="G1865" s="889"/>
    </row>
    <row r="1866" spans="7:7" ht="10.5" customHeight="1" x14ac:dyDescent="0.2">
      <c r="G1866" s="889"/>
    </row>
    <row r="1867" spans="7:7" ht="10.5" customHeight="1" x14ac:dyDescent="0.2">
      <c r="G1867" s="889"/>
    </row>
    <row r="1868" spans="7:7" ht="10.5" customHeight="1" x14ac:dyDescent="0.2">
      <c r="G1868" s="889"/>
    </row>
    <row r="1869" spans="7:7" ht="10.5" customHeight="1" x14ac:dyDescent="0.2">
      <c r="G1869" s="889"/>
    </row>
    <row r="1870" spans="7:7" ht="10.5" customHeight="1" x14ac:dyDescent="0.2">
      <c r="G1870" s="889"/>
    </row>
    <row r="1871" spans="7:7" ht="10.5" customHeight="1" x14ac:dyDescent="0.2">
      <c r="G1871" s="889"/>
    </row>
    <row r="1872" spans="7:7" ht="10.5" customHeight="1" x14ac:dyDescent="0.2">
      <c r="G1872" s="889"/>
    </row>
    <row r="1873" spans="7:7" ht="10.5" customHeight="1" x14ac:dyDescent="0.2">
      <c r="G1873" s="889"/>
    </row>
    <row r="1874" spans="7:7" ht="10.5" customHeight="1" x14ac:dyDescent="0.2">
      <c r="G1874" s="889"/>
    </row>
    <row r="1875" spans="7:7" ht="10.5" customHeight="1" x14ac:dyDescent="0.2">
      <c r="G1875" s="889"/>
    </row>
    <row r="1876" spans="7:7" ht="10.5" customHeight="1" x14ac:dyDescent="0.2">
      <c r="G1876" s="889"/>
    </row>
    <row r="1877" spans="7:7" ht="10.5" customHeight="1" x14ac:dyDescent="0.2">
      <c r="G1877" s="889"/>
    </row>
    <row r="1878" spans="7:7" ht="10.5" customHeight="1" x14ac:dyDescent="0.2">
      <c r="G1878" s="889"/>
    </row>
    <row r="1879" spans="7:7" ht="10.5" customHeight="1" x14ac:dyDescent="0.2">
      <c r="G1879" s="889"/>
    </row>
    <row r="1880" spans="7:7" ht="10.5" customHeight="1" x14ac:dyDescent="0.2">
      <c r="G1880" s="889"/>
    </row>
    <row r="1881" spans="7:7" ht="10.5" customHeight="1" x14ac:dyDescent="0.2">
      <c r="G1881" s="889"/>
    </row>
    <row r="1882" spans="7:7" ht="10.5" customHeight="1" x14ac:dyDescent="0.2">
      <c r="G1882" s="889"/>
    </row>
    <row r="1883" spans="7:7" ht="10.5" customHeight="1" x14ac:dyDescent="0.2">
      <c r="G1883" s="889"/>
    </row>
    <row r="1884" spans="7:7" ht="10.5" customHeight="1" x14ac:dyDescent="0.2">
      <c r="G1884" s="889"/>
    </row>
    <row r="1885" spans="7:7" ht="10.5" customHeight="1" x14ac:dyDescent="0.2">
      <c r="G1885" s="889"/>
    </row>
    <row r="1886" spans="7:7" ht="10.5" customHeight="1" x14ac:dyDescent="0.2">
      <c r="G1886" s="889"/>
    </row>
    <row r="1887" spans="7:7" ht="10.5" customHeight="1" x14ac:dyDescent="0.2">
      <c r="G1887" s="889"/>
    </row>
    <row r="1888" spans="7:7" ht="10.5" customHeight="1" x14ac:dyDescent="0.2">
      <c r="G1888" s="889"/>
    </row>
    <row r="1889" spans="7:7" ht="10.5" customHeight="1" x14ac:dyDescent="0.2">
      <c r="G1889" s="889"/>
    </row>
    <row r="1890" spans="7:7" ht="10.5" customHeight="1" x14ac:dyDescent="0.2">
      <c r="G1890" s="889"/>
    </row>
    <row r="1891" spans="7:7" ht="10.5" customHeight="1" x14ac:dyDescent="0.2">
      <c r="G1891" s="889"/>
    </row>
    <row r="1892" spans="7:7" ht="10.5" customHeight="1" x14ac:dyDescent="0.2">
      <c r="G1892" s="889"/>
    </row>
    <row r="1893" spans="7:7" ht="10.5" customHeight="1" x14ac:dyDescent="0.2">
      <c r="G1893" s="889"/>
    </row>
    <row r="1894" spans="7:7" ht="10.5" customHeight="1" x14ac:dyDescent="0.2">
      <c r="G1894" s="889"/>
    </row>
    <row r="1895" spans="7:7" ht="10.5" customHeight="1" x14ac:dyDescent="0.2">
      <c r="G1895" s="889"/>
    </row>
    <row r="1896" spans="7:7" ht="10.5" customHeight="1" x14ac:dyDescent="0.2">
      <c r="G1896" s="889"/>
    </row>
    <row r="1897" spans="7:7" ht="10.5" customHeight="1" x14ac:dyDescent="0.2">
      <c r="G1897" s="889"/>
    </row>
    <row r="1898" spans="7:7" ht="10.5" customHeight="1" x14ac:dyDescent="0.2">
      <c r="G1898" s="889"/>
    </row>
    <row r="1899" spans="7:7" ht="10.5" customHeight="1" x14ac:dyDescent="0.2">
      <c r="G1899" s="889"/>
    </row>
    <row r="1900" spans="7:7" ht="10.5" customHeight="1" x14ac:dyDescent="0.2">
      <c r="G1900" s="889"/>
    </row>
    <row r="1901" spans="7:7" ht="10.5" customHeight="1" x14ac:dyDescent="0.2">
      <c r="G1901" s="889"/>
    </row>
    <row r="1902" spans="7:7" ht="10.5" customHeight="1" x14ac:dyDescent="0.2">
      <c r="G1902" s="889"/>
    </row>
    <row r="1903" spans="7:7" ht="10.5" customHeight="1" x14ac:dyDescent="0.2">
      <c r="G1903" s="889"/>
    </row>
    <row r="1904" spans="7:7" ht="10.5" customHeight="1" x14ac:dyDescent="0.2">
      <c r="G1904" s="889"/>
    </row>
    <row r="1905" spans="7:7" ht="10.5" customHeight="1" x14ac:dyDescent="0.2">
      <c r="G1905" s="889"/>
    </row>
    <row r="1906" spans="7:7" ht="10.5" customHeight="1" x14ac:dyDescent="0.2">
      <c r="G1906" s="889"/>
    </row>
    <row r="1907" spans="7:7" ht="10.5" customHeight="1" x14ac:dyDescent="0.2">
      <c r="G1907" s="889"/>
    </row>
    <row r="1908" spans="7:7" ht="10.5" customHeight="1" x14ac:dyDescent="0.2">
      <c r="G1908" s="889"/>
    </row>
    <row r="1909" spans="7:7" ht="10.5" customHeight="1" x14ac:dyDescent="0.2">
      <c r="G1909" s="889"/>
    </row>
    <row r="1910" spans="7:7" ht="10.5" customHeight="1" x14ac:dyDescent="0.2">
      <c r="G1910" s="889"/>
    </row>
    <row r="1911" spans="7:7" ht="10.5" customHeight="1" x14ac:dyDescent="0.2">
      <c r="G1911" s="889"/>
    </row>
    <row r="1912" spans="7:7" ht="10.5" customHeight="1" x14ac:dyDescent="0.2">
      <c r="G1912" s="889"/>
    </row>
    <row r="1913" spans="7:7" ht="10.5" customHeight="1" x14ac:dyDescent="0.2">
      <c r="G1913" s="889"/>
    </row>
    <row r="1914" spans="7:7" ht="10.5" customHeight="1" x14ac:dyDescent="0.2">
      <c r="G1914" s="889"/>
    </row>
    <row r="1915" spans="7:7" ht="10.5" customHeight="1" x14ac:dyDescent="0.2">
      <c r="G1915" s="889"/>
    </row>
    <row r="1916" spans="7:7" ht="10.5" customHeight="1" x14ac:dyDescent="0.2">
      <c r="G1916" s="889"/>
    </row>
    <row r="1917" spans="7:7" ht="10.5" customHeight="1" x14ac:dyDescent="0.2">
      <c r="G1917" s="889"/>
    </row>
    <row r="1918" spans="7:7" ht="10.5" customHeight="1" x14ac:dyDescent="0.2">
      <c r="G1918" s="889"/>
    </row>
    <row r="1919" spans="7:7" ht="10.5" customHeight="1" x14ac:dyDescent="0.2">
      <c r="G1919" s="889"/>
    </row>
    <row r="1920" spans="7:7" ht="10.5" customHeight="1" x14ac:dyDescent="0.2">
      <c r="G1920" s="889"/>
    </row>
    <row r="1921" spans="7:7" ht="10.5" customHeight="1" x14ac:dyDescent="0.2">
      <c r="G1921" s="889"/>
    </row>
    <row r="1922" spans="7:7" ht="10.5" customHeight="1" x14ac:dyDescent="0.2">
      <c r="G1922" s="889"/>
    </row>
    <row r="1923" spans="7:7" ht="10.5" customHeight="1" x14ac:dyDescent="0.2">
      <c r="G1923" s="889"/>
    </row>
    <row r="1924" spans="7:7" ht="10.5" customHeight="1" x14ac:dyDescent="0.2">
      <c r="G1924" s="889"/>
    </row>
    <row r="1925" spans="7:7" ht="10.5" customHeight="1" x14ac:dyDescent="0.2">
      <c r="G1925" s="889"/>
    </row>
    <row r="1926" spans="7:7" ht="10.5" customHeight="1" x14ac:dyDescent="0.2">
      <c r="G1926" s="889"/>
    </row>
    <row r="1927" spans="7:7" ht="10.5" customHeight="1" x14ac:dyDescent="0.2">
      <c r="G1927" s="889"/>
    </row>
    <row r="1928" spans="7:7" ht="10.5" customHeight="1" x14ac:dyDescent="0.2">
      <c r="G1928" s="889"/>
    </row>
    <row r="1929" spans="7:7" ht="10.5" customHeight="1" x14ac:dyDescent="0.2">
      <c r="G1929" s="889"/>
    </row>
    <row r="1930" spans="7:7" ht="10.5" customHeight="1" x14ac:dyDescent="0.2">
      <c r="G1930" s="889"/>
    </row>
    <row r="1931" spans="7:7" ht="10.5" customHeight="1" x14ac:dyDescent="0.2">
      <c r="G1931" s="889"/>
    </row>
    <row r="1932" spans="7:7" ht="10.5" customHeight="1" x14ac:dyDescent="0.2">
      <c r="G1932" s="889"/>
    </row>
    <row r="1933" spans="7:7" ht="10.5" customHeight="1" x14ac:dyDescent="0.2">
      <c r="G1933" s="889"/>
    </row>
    <row r="1934" spans="7:7" ht="10.5" customHeight="1" x14ac:dyDescent="0.2">
      <c r="G1934" s="889"/>
    </row>
    <row r="1935" spans="7:7" ht="10.5" customHeight="1" x14ac:dyDescent="0.2">
      <c r="G1935" s="889"/>
    </row>
    <row r="1936" spans="7:7" ht="10.5" customHeight="1" x14ac:dyDescent="0.2">
      <c r="G1936" s="889"/>
    </row>
    <row r="1937" spans="7:7" ht="10.5" customHeight="1" x14ac:dyDescent="0.2">
      <c r="G1937" s="889"/>
    </row>
    <row r="1938" spans="7:7" ht="10.5" customHeight="1" x14ac:dyDescent="0.2">
      <c r="G1938" s="889"/>
    </row>
    <row r="1939" spans="7:7" ht="10.5" customHeight="1" x14ac:dyDescent="0.2">
      <c r="G1939" s="889"/>
    </row>
    <row r="1940" spans="7:7" ht="10.5" customHeight="1" x14ac:dyDescent="0.2">
      <c r="G1940" s="889"/>
    </row>
    <row r="1941" spans="7:7" ht="10.5" customHeight="1" x14ac:dyDescent="0.2">
      <c r="G1941" s="889"/>
    </row>
    <row r="1942" spans="7:7" ht="10.5" customHeight="1" x14ac:dyDescent="0.2">
      <c r="G1942" s="889"/>
    </row>
    <row r="1943" spans="7:7" ht="10.5" customHeight="1" x14ac:dyDescent="0.2">
      <c r="G1943" s="889"/>
    </row>
    <row r="1944" spans="7:7" ht="10.5" customHeight="1" x14ac:dyDescent="0.2">
      <c r="G1944" s="889"/>
    </row>
    <row r="1945" spans="7:7" ht="10.5" customHeight="1" x14ac:dyDescent="0.2">
      <c r="G1945" s="889"/>
    </row>
    <row r="1946" spans="7:7" ht="10.5" customHeight="1" x14ac:dyDescent="0.2">
      <c r="G1946" s="889"/>
    </row>
    <row r="1947" spans="7:7" ht="10.5" customHeight="1" x14ac:dyDescent="0.2">
      <c r="G1947" s="889"/>
    </row>
    <row r="1948" spans="7:7" ht="10.5" customHeight="1" x14ac:dyDescent="0.2">
      <c r="G1948" s="889"/>
    </row>
    <row r="1949" spans="7:7" ht="10.5" customHeight="1" x14ac:dyDescent="0.2">
      <c r="G1949" s="889"/>
    </row>
    <row r="1950" spans="7:7" ht="10.5" customHeight="1" x14ac:dyDescent="0.2">
      <c r="G1950" s="889"/>
    </row>
    <row r="1951" spans="7:7" ht="10.5" customHeight="1" x14ac:dyDescent="0.2">
      <c r="G1951" s="889"/>
    </row>
    <row r="1952" spans="7:7" ht="10.5" customHeight="1" x14ac:dyDescent="0.2">
      <c r="G1952" s="889"/>
    </row>
    <row r="1953" spans="7:7" ht="10.5" customHeight="1" x14ac:dyDescent="0.2">
      <c r="G1953" s="889"/>
    </row>
    <row r="1954" spans="7:7" ht="10.5" customHeight="1" x14ac:dyDescent="0.2">
      <c r="G1954" s="889"/>
    </row>
    <row r="1955" spans="7:7" ht="10.5" customHeight="1" x14ac:dyDescent="0.2">
      <c r="G1955" s="889"/>
    </row>
    <row r="1956" spans="7:7" ht="10.5" customHeight="1" x14ac:dyDescent="0.2">
      <c r="G1956" s="889"/>
    </row>
    <row r="1957" spans="7:7" ht="10.5" customHeight="1" x14ac:dyDescent="0.2">
      <c r="G1957" s="889"/>
    </row>
    <row r="1958" spans="7:7" ht="10.5" customHeight="1" x14ac:dyDescent="0.2">
      <c r="G1958" s="889"/>
    </row>
    <row r="1959" spans="7:7" ht="10.5" customHeight="1" x14ac:dyDescent="0.2">
      <c r="G1959" s="889"/>
    </row>
    <row r="1960" spans="7:7" ht="10.5" customHeight="1" x14ac:dyDescent="0.2">
      <c r="G1960" s="889"/>
    </row>
    <row r="1961" spans="7:7" ht="10.5" customHeight="1" x14ac:dyDescent="0.2">
      <c r="G1961" s="889"/>
    </row>
    <row r="1962" spans="7:7" ht="10.5" customHeight="1" x14ac:dyDescent="0.2">
      <c r="G1962" s="889"/>
    </row>
    <row r="1963" spans="7:7" ht="10.5" customHeight="1" x14ac:dyDescent="0.2">
      <c r="G1963" s="889"/>
    </row>
    <row r="1964" spans="7:7" ht="10.5" customHeight="1" x14ac:dyDescent="0.2">
      <c r="G1964" s="889"/>
    </row>
    <row r="1965" spans="7:7" ht="10.5" customHeight="1" x14ac:dyDescent="0.2">
      <c r="G1965" s="889"/>
    </row>
    <row r="1966" spans="7:7" ht="10.5" customHeight="1" x14ac:dyDescent="0.2">
      <c r="G1966" s="889"/>
    </row>
    <row r="1967" spans="7:7" ht="10.5" customHeight="1" x14ac:dyDescent="0.2">
      <c r="G1967" s="889"/>
    </row>
    <row r="1968" spans="7:7" ht="10.5" customHeight="1" x14ac:dyDescent="0.2">
      <c r="G1968" s="889"/>
    </row>
    <row r="1969" spans="7:7" ht="10.5" customHeight="1" x14ac:dyDescent="0.2">
      <c r="G1969" s="889"/>
    </row>
    <row r="1970" spans="7:7" ht="10.5" customHeight="1" x14ac:dyDescent="0.2">
      <c r="G1970" s="889"/>
    </row>
    <row r="1971" spans="7:7" ht="10.5" customHeight="1" x14ac:dyDescent="0.2">
      <c r="G1971" s="889"/>
    </row>
    <row r="1972" spans="7:7" ht="10.5" customHeight="1" x14ac:dyDescent="0.2">
      <c r="G1972" s="889"/>
    </row>
    <row r="1973" spans="7:7" ht="10.5" customHeight="1" x14ac:dyDescent="0.2">
      <c r="G1973" s="889"/>
    </row>
    <row r="1974" spans="7:7" ht="10.5" customHeight="1" x14ac:dyDescent="0.2">
      <c r="G1974" s="889"/>
    </row>
    <row r="1975" spans="7:7" ht="10.5" customHeight="1" x14ac:dyDescent="0.2">
      <c r="G1975" s="889"/>
    </row>
    <row r="1976" spans="7:7" ht="10.5" customHeight="1" x14ac:dyDescent="0.2">
      <c r="G1976" s="889"/>
    </row>
    <row r="1977" spans="7:7" ht="10.5" customHeight="1" x14ac:dyDescent="0.2">
      <c r="G1977" s="889"/>
    </row>
    <row r="1978" spans="7:7" ht="10.5" customHeight="1" x14ac:dyDescent="0.2">
      <c r="G1978" s="889"/>
    </row>
    <row r="1979" spans="7:7" ht="10.5" customHeight="1" x14ac:dyDescent="0.2">
      <c r="G1979" s="889"/>
    </row>
    <row r="1980" spans="7:7" ht="10.5" customHeight="1" x14ac:dyDescent="0.2">
      <c r="G1980" s="889"/>
    </row>
    <row r="1981" spans="7:7" ht="10.5" customHeight="1" x14ac:dyDescent="0.2">
      <c r="G1981" s="889"/>
    </row>
    <row r="1982" spans="7:7" ht="10.5" customHeight="1" x14ac:dyDescent="0.2">
      <c r="G1982" s="889"/>
    </row>
    <row r="1983" spans="7:7" ht="10.5" customHeight="1" x14ac:dyDescent="0.2">
      <c r="G1983" s="889"/>
    </row>
    <row r="1984" spans="7:7" ht="10.5" customHeight="1" x14ac:dyDescent="0.2">
      <c r="G1984" s="889"/>
    </row>
    <row r="1985" spans="7:7" ht="10.5" customHeight="1" x14ac:dyDescent="0.2">
      <c r="G1985" s="889"/>
    </row>
    <row r="1986" spans="7:7" ht="10.5" customHeight="1" x14ac:dyDescent="0.2">
      <c r="G1986" s="889"/>
    </row>
    <row r="1987" spans="7:7" ht="10.5" customHeight="1" x14ac:dyDescent="0.2">
      <c r="G1987" s="889"/>
    </row>
    <row r="1988" spans="7:7" ht="10.5" customHeight="1" x14ac:dyDescent="0.2">
      <c r="G1988" s="889"/>
    </row>
    <row r="1989" spans="7:7" ht="10.5" customHeight="1" x14ac:dyDescent="0.2">
      <c r="G1989" s="889"/>
    </row>
    <row r="1990" spans="7:7" ht="10.5" customHeight="1" x14ac:dyDescent="0.2">
      <c r="G1990" s="889"/>
    </row>
    <row r="1991" spans="7:7" ht="10.5" customHeight="1" x14ac:dyDescent="0.2">
      <c r="G1991" s="889"/>
    </row>
    <row r="1992" spans="7:7" ht="10.5" customHeight="1" x14ac:dyDescent="0.2">
      <c r="G1992" s="889"/>
    </row>
    <row r="1993" spans="7:7" ht="10.5" customHeight="1" x14ac:dyDescent="0.2">
      <c r="G1993" s="889"/>
    </row>
    <row r="1994" spans="7:7" ht="10.5" customHeight="1" x14ac:dyDescent="0.2">
      <c r="G1994" s="889"/>
    </row>
    <row r="1995" spans="7:7" ht="10.5" customHeight="1" x14ac:dyDescent="0.2">
      <c r="G1995" s="889"/>
    </row>
    <row r="1996" spans="7:7" ht="10.5" customHeight="1" x14ac:dyDescent="0.2">
      <c r="G1996" s="889"/>
    </row>
    <row r="1997" spans="7:7" ht="10.5" customHeight="1" x14ac:dyDescent="0.2">
      <c r="G1997" s="889"/>
    </row>
    <row r="1998" spans="7:7" ht="10.5" customHeight="1" x14ac:dyDescent="0.2">
      <c r="G1998" s="889"/>
    </row>
    <row r="1999" spans="7:7" ht="10.5" customHeight="1" x14ac:dyDescent="0.2">
      <c r="G1999" s="889"/>
    </row>
    <row r="2000" spans="7:7" ht="10.5" customHeight="1" x14ac:dyDescent="0.2">
      <c r="G2000" s="889"/>
    </row>
    <row r="2001" spans="7:7" ht="10.5" customHeight="1" x14ac:dyDescent="0.2">
      <c r="G2001" s="889"/>
    </row>
    <row r="2002" spans="7:7" ht="10.5" customHeight="1" x14ac:dyDescent="0.2">
      <c r="G2002" s="889"/>
    </row>
    <row r="2003" spans="7:7" ht="10.5" customHeight="1" x14ac:dyDescent="0.2">
      <c r="G2003" s="889"/>
    </row>
    <row r="2004" spans="7:7" ht="10.5" customHeight="1" x14ac:dyDescent="0.2">
      <c r="G2004" s="889"/>
    </row>
    <row r="2005" spans="7:7" ht="10.5" customHeight="1" x14ac:dyDescent="0.2">
      <c r="G2005" s="889"/>
    </row>
    <row r="2006" spans="7:7" ht="10.5" customHeight="1" x14ac:dyDescent="0.2">
      <c r="G2006" s="889"/>
    </row>
    <row r="2007" spans="7:7" ht="10.5" customHeight="1" x14ac:dyDescent="0.2">
      <c r="G2007" s="889"/>
    </row>
    <row r="2008" spans="7:7" ht="10.5" customHeight="1" x14ac:dyDescent="0.2">
      <c r="G2008" s="889"/>
    </row>
    <row r="2009" spans="7:7" ht="10.5" customHeight="1" x14ac:dyDescent="0.2">
      <c r="G2009" s="889"/>
    </row>
    <row r="2010" spans="7:7" ht="10.5" customHeight="1" x14ac:dyDescent="0.2">
      <c r="G2010" s="889"/>
    </row>
    <row r="2011" spans="7:7" ht="10.5" customHeight="1" x14ac:dyDescent="0.2">
      <c r="G2011" s="889"/>
    </row>
    <row r="2012" spans="7:7" ht="10.5" customHeight="1" x14ac:dyDescent="0.2">
      <c r="G2012" s="889"/>
    </row>
    <row r="2013" spans="7:7" ht="10.5" customHeight="1" x14ac:dyDescent="0.2">
      <c r="G2013" s="889"/>
    </row>
    <row r="2014" spans="7:7" ht="10.5" customHeight="1" x14ac:dyDescent="0.2">
      <c r="G2014" s="889"/>
    </row>
    <row r="2015" spans="7:7" ht="10.5" customHeight="1" x14ac:dyDescent="0.2">
      <c r="G2015" s="889"/>
    </row>
    <row r="2016" spans="7:7" ht="10.5" customHeight="1" x14ac:dyDescent="0.2">
      <c r="G2016" s="889"/>
    </row>
    <row r="2017" spans="7:7" ht="10.5" customHeight="1" x14ac:dyDescent="0.2">
      <c r="G2017" s="889"/>
    </row>
    <row r="2018" spans="7:7" ht="10.5" customHeight="1" x14ac:dyDescent="0.2">
      <c r="G2018" s="889"/>
    </row>
    <row r="2019" spans="7:7" ht="10.5" customHeight="1" x14ac:dyDescent="0.2">
      <c r="G2019" s="889"/>
    </row>
    <row r="2020" spans="7:7" ht="10.5" customHeight="1" x14ac:dyDescent="0.2">
      <c r="G2020" s="889"/>
    </row>
    <row r="2021" spans="7:7" ht="10.5" customHeight="1" x14ac:dyDescent="0.2">
      <c r="G2021" s="889"/>
    </row>
    <row r="2022" spans="7:7" ht="10.5" customHeight="1" x14ac:dyDescent="0.2">
      <c r="G2022" s="889"/>
    </row>
    <row r="2023" spans="7:7" ht="10.5" customHeight="1" x14ac:dyDescent="0.2">
      <c r="G2023" s="889"/>
    </row>
    <row r="2024" spans="7:7" ht="10.5" customHeight="1" x14ac:dyDescent="0.2">
      <c r="G2024" s="889"/>
    </row>
    <row r="2025" spans="7:7" ht="10.5" customHeight="1" x14ac:dyDescent="0.2">
      <c r="G2025" s="889"/>
    </row>
    <row r="2026" spans="7:7" ht="10.5" customHeight="1" x14ac:dyDescent="0.2">
      <c r="G2026" s="889"/>
    </row>
    <row r="2027" spans="7:7" ht="10.5" customHeight="1" x14ac:dyDescent="0.2">
      <c r="G2027" s="889"/>
    </row>
    <row r="2028" spans="7:7" ht="10.5" customHeight="1" x14ac:dyDescent="0.2">
      <c r="G2028" s="889"/>
    </row>
    <row r="2029" spans="7:7" ht="10.5" customHeight="1" x14ac:dyDescent="0.2">
      <c r="G2029" s="889"/>
    </row>
    <row r="2030" spans="7:7" ht="10.5" customHeight="1" x14ac:dyDescent="0.2">
      <c r="G2030" s="889"/>
    </row>
    <row r="2031" spans="7:7" ht="10.5" customHeight="1" x14ac:dyDescent="0.2">
      <c r="G2031" s="889"/>
    </row>
    <row r="2032" spans="7:7" ht="10.5" customHeight="1" x14ac:dyDescent="0.2">
      <c r="G2032" s="889"/>
    </row>
    <row r="2033" spans="7:7" ht="10.5" customHeight="1" x14ac:dyDescent="0.2">
      <c r="G2033" s="889"/>
    </row>
    <row r="2034" spans="7:7" ht="10.5" customHeight="1" x14ac:dyDescent="0.2">
      <c r="G2034" s="889"/>
    </row>
    <row r="2035" spans="7:7" ht="10.5" customHeight="1" x14ac:dyDescent="0.2">
      <c r="G2035" s="889"/>
    </row>
    <row r="2036" spans="7:7" ht="10.5" customHeight="1" x14ac:dyDescent="0.2">
      <c r="G2036" s="889"/>
    </row>
    <row r="2037" spans="7:7" ht="10.5" customHeight="1" x14ac:dyDescent="0.2">
      <c r="G2037" s="889"/>
    </row>
    <row r="2038" spans="7:7" ht="10.5" customHeight="1" x14ac:dyDescent="0.2">
      <c r="G2038" s="889"/>
    </row>
    <row r="2039" spans="7:7" ht="10.5" customHeight="1" x14ac:dyDescent="0.2">
      <c r="G2039" s="889"/>
    </row>
    <row r="2040" spans="7:7" ht="10.5" customHeight="1" x14ac:dyDescent="0.2">
      <c r="G2040" s="889"/>
    </row>
    <row r="2041" spans="7:7" ht="10.5" customHeight="1" x14ac:dyDescent="0.2">
      <c r="G2041" s="889"/>
    </row>
    <row r="2042" spans="7:7" ht="10.5" customHeight="1" x14ac:dyDescent="0.2">
      <c r="G2042" s="889"/>
    </row>
    <row r="2043" spans="7:7" ht="10.5" customHeight="1" x14ac:dyDescent="0.2">
      <c r="G2043" s="889"/>
    </row>
    <row r="2044" spans="7:7" ht="10.5" customHeight="1" x14ac:dyDescent="0.2">
      <c r="G2044" s="889"/>
    </row>
    <row r="2045" spans="7:7" ht="10.5" customHeight="1" x14ac:dyDescent="0.2">
      <c r="G2045" s="889"/>
    </row>
    <row r="2046" spans="7:7" ht="10.5" customHeight="1" x14ac:dyDescent="0.2">
      <c r="G2046" s="889"/>
    </row>
    <row r="2047" spans="7:7" ht="10.5" customHeight="1" x14ac:dyDescent="0.2">
      <c r="G2047" s="889"/>
    </row>
    <row r="2048" spans="7:7" ht="10.5" customHeight="1" x14ac:dyDescent="0.2">
      <c r="G2048" s="889"/>
    </row>
    <row r="2049" spans="7:7" ht="10.5" customHeight="1" x14ac:dyDescent="0.2">
      <c r="G2049" s="889"/>
    </row>
    <row r="2050" spans="7:7" ht="10.5" customHeight="1" x14ac:dyDescent="0.2">
      <c r="G2050" s="889"/>
    </row>
    <row r="2051" spans="7:7" ht="10.5" customHeight="1" x14ac:dyDescent="0.2">
      <c r="G2051" s="889"/>
    </row>
    <row r="2052" spans="7:7" ht="10.5" customHeight="1" x14ac:dyDescent="0.2">
      <c r="G2052" s="889"/>
    </row>
    <row r="2053" spans="7:7" ht="10.5" customHeight="1" x14ac:dyDescent="0.2">
      <c r="G2053" s="889"/>
    </row>
    <row r="2054" spans="7:7" ht="10.5" customHeight="1" x14ac:dyDescent="0.2">
      <c r="G2054" s="889"/>
    </row>
    <row r="2055" spans="7:7" ht="10.5" customHeight="1" x14ac:dyDescent="0.2">
      <c r="G2055" s="889"/>
    </row>
    <row r="2056" spans="7:7" ht="10.5" customHeight="1" x14ac:dyDescent="0.2">
      <c r="G2056" s="889"/>
    </row>
    <row r="2057" spans="7:7" ht="10.5" customHeight="1" x14ac:dyDescent="0.2">
      <c r="G2057" s="889"/>
    </row>
    <row r="2058" spans="7:7" ht="10.5" customHeight="1" x14ac:dyDescent="0.2">
      <c r="G2058" s="889"/>
    </row>
    <row r="2059" spans="7:7" ht="10.5" customHeight="1" x14ac:dyDescent="0.2">
      <c r="G2059" s="889"/>
    </row>
    <row r="2060" spans="7:7" ht="10.5" customHeight="1" x14ac:dyDescent="0.2">
      <c r="G2060" s="889"/>
    </row>
    <row r="2061" spans="7:7" ht="10.5" customHeight="1" x14ac:dyDescent="0.2">
      <c r="G2061" s="889"/>
    </row>
    <row r="2062" spans="7:7" ht="10.5" customHeight="1" x14ac:dyDescent="0.2">
      <c r="G2062" s="889"/>
    </row>
    <row r="2063" spans="7:7" ht="10.5" customHeight="1" x14ac:dyDescent="0.2">
      <c r="G2063" s="889"/>
    </row>
    <row r="2064" spans="7:7" ht="10.5" customHeight="1" x14ac:dyDescent="0.2">
      <c r="G2064" s="889"/>
    </row>
    <row r="2065" spans="7:7" ht="10.5" customHeight="1" x14ac:dyDescent="0.2">
      <c r="G2065" s="889"/>
    </row>
    <row r="2066" spans="7:7" ht="10.5" customHeight="1" x14ac:dyDescent="0.2">
      <c r="G2066" s="889"/>
    </row>
    <row r="2067" spans="7:7" ht="10.5" customHeight="1" x14ac:dyDescent="0.2">
      <c r="G2067" s="889"/>
    </row>
    <row r="2068" spans="7:7" ht="10.5" customHeight="1" x14ac:dyDescent="0.2">
      <c r="G2068" s="889"/>
    </row>
    <row r="2069" spans="7:7" ht="10.5" customHeight="1" x14ac:dyDescent="0.2">
      <c r="G2069" s="889"/>
    </row>
    <row r="2070" spans="7:7" ht="10.5" customHeight="1" x14ac:dyDescent="0.2">
      <c r="G2070" s="889"/>
    </row>
    <row r="2071" spans="7:7" ht="10.5" customHeight="1" x14ac:dyDescent="0.2">
      <c r="G2071" s="889"/>
    </row>
    <row r="2072" spans="7:7" ht="10.5" customHeight="1" x14ac:dyDescent="0.2">
      <c r="G2072" s="889"/>
    </row>
    <row r="2073" spans="7:7" ht="10.5" customHeight="1" x14ac:dyDescent="0.2">
      <c r="G2073" s="889"/>
    </row>
    <row r="2074" spans="7:7" ht="10.5" customHeight="1" x14ac:dyDescent="0.2">
      <c r="G2074" s="889"/>
    </row>
    <row r="2075" spans="7:7" ht="10.5" customHeight="1" x14ac:dyDescent="0.2">
      <c r="G2075" s="889"/>
    </row>
    <row r="2076" spans="7:7" ht="10.5" customHeight="1" x14ac:dyDescent="0.2">
      <c r="G2076" s="889"/>
    </row>
    <row r="2077" spans="7:7" ht="10.5" customHeight="1" x14ac:dyDescent="0.2">
      <c r="G2077" s="889"/>
    </row>
    <row r="2078" spans="7:7" ht="10.5" customHeight="1" x14ac:dyDescent="0.2">
      <c r="G2078" s="889"/>
    </row>
    <row r="2079" spans="7:7" ht="10.5" customHeight="1" x14ac:dyDescent="0.2">
      <c r="G2079" s="889"/>
    </row>
    <row r="2080" spans="7:7" ht="10.5" customHeight="1" x14ac:dyDescent="0.2">
      <c r="G2080" s="889"/>
    </row>
    <row r="2081" spans="7:7" ht="10.5" customHeight="1" x14ac:dyDescent="0.2">
      <c r="G2081" s="889"/>
    </row>
    <row r="2082" spans="7:7" ht="10.5" customHeight="1" x14ac:dyDescent="0.2">
      <c r="G2082" s="889"/>
    </row>
    <row r="2083" spans="7:7" ht="10.5" customHeight="1" x14ac:dyDescent="0.2">
      <c r="G2083" s="889"/>
    </row>
    <row r="2084" spans="7:7" ht="10.5" customHeight="1" x14ac:dyDescent="0.2">
      <c r="G2084" s="889"/>
    </row>
    <row r="2085" spans="7:7" ht="10.5" customHeight="1" x14ac:dyDescent="0.2">
      <c r="G2085" s="889"/>
    </row>
    <row r="2086" spans="7:7" ht="10.5" customHeight="1" x14ac:dyDescent="0.2">
      <c r="G2086" s="889"/>
    </row>
    <row r="2087" spans="7:7" ht="10.5" customHeight="1" x14ac:dyDescent="0.2">
      <c r="G2087" s="889"/>
    </row>
    <row r="2088" spans="7:7" ht="10.5" customHeight="1" x14ac:dyDescent="0.2">
      <c r="G2088" s="889"/>
    </row>
    <row r="2089" spans="7:7" ht="10.5" customHeight="1" x14ac:dyDescent="0.2">
      <c r="G2089" s="889"/>
    </row>
    <row r="2090" spans="7:7" ht="10.5" customHeight="1" x14ac:dyDescent="0.2">
      <c r="G2090" s="889"/>
    </row>
    <row r="2091" spans="7:7" ht="10.5" customHeight="1" x14ac:dyDescent="0.2">
      <c r="G2091" s="889"/>
    </row>
    <row r="2092" spans="7:7" ht="10.5" customHeight="1" x14ac:dyDescent="0.2">
      <c r="G2092" s="889"/>
    </row>
    <row r="2093" spans="7:7" ht="10.5" customHeight="1" x14ac:dyDescent="0.2">
      <c r="G2093" s="889"/>
    </row>
    <row r="2094" spans="7:7" ht="10.5" customHeight="1" x14ac:dyDescent="0.2">
      <c r="G2094" s="889"/>
    </row>
    <row r="2095" spans="7:7" ht="10.5" customHeight="1" x14ac:dyDescent="0.2">
      <c r="G2095" s="889"/>
    </row>
    <row r="2096" spans="7:7" ht="10.5" customHeight="1" x14ac:dyDescent="0.2">
      <c r="G2096" s="889"/>
    </row>
    <row r="2097" spans="7:7" ht="10.5" customHeight="1" x14ac:dyDescent="0.2">
      <c r="G2097" s="889"/>
    </row>
    <row r="2098" spans="7:7" ht="10.5" customHeight="1" x14ac:dyDescent="0.2">
      <c r="G2098" s="889"/>
    </row>
    <row r="2099" spans="7:7" ht="10.5" customHeight="1" x14ac:dyDescent="0.2">
      <c r="G2099" s="889"/>
    </row>
    <row r="2100" spans="7:7" ht="10.5" customHeight="1" x14ac:dyDescent="0.2">
      <c r="G2100" s="889"/>
    </row>
    <row r="2101" spans="7:7" ht="10.5" customHeight="1" x14ac:dyDescent="0.2">
      <c r="G2101" s="889"/>
    </row>
    <row r="2102" spans="7:7" ht="10.5" customHeight="1" x14ac:dyDescent="0.2">
      <c r="G2102" s="889"/>
    </row>
    <row r="2103" spans="7:7" ht="10.5" customHeight="1" x14ac:dyDescent="0.2">
      <c r="G2103" s="889"/>
    </row>
    <row r="2104" spans="7:7" ht="10.5" customHeight="1" x14ac:dyDescent="0.2">
      <c r="G2104" s="889"/>
    </row>
    <row r="2105" spans="7:7" ht="10.5" customHeight="1" x14ac:dyDescent="0.2">
      <c r="G2105" s="889"/>
    </row>
    <row r="2106" spans="7:7" ht="10.5" customHeight="1" x14ac:dyDescent="0.2">
      <c r="G2106" s="889"/>
    </row>
    <row r="2107" spans="7:7" ht="10.5" customHeight="1" x14ac:dyDescent="0.2">
      <c r="G2107" s="889"/>
    </row>
    <row r="2108" spans="7:7" ht="10.5" customHeight="1" x14ac:dyDescent="0.2">
      <c r="G2108" s="889"/>
    </row>
    <row r="2109" spans="7:7" ht="10.5" customHeight="1" x14ac:dyDescent="0.2">
      <c r="G2109" s="889"/>
    </row>
    <row r="2110" spans="7:7" ht="10.5" customHeight="1" x14ac:dyDescent="0.2">
      <c r="G2110" s="889"/>
    </row>
    <row r="2111" spans="7:7" ht="10.5" customHeight="1" x14ac:dyDescent="0.2">
      <c r="G2111" s="889"/>
    </row>
    <row r="2112" spans="7:7" ht="10.5" customHeight="1" x14ac:dyDescent="0.2">
      <c r="G2112" s="889"/>
    </row>
    <row r="2113" spans="7:7" ht="10.5" customHeight="1" x14ac:dyDescent="0.2">
      <c r="G2113" s="889"/>
    </row>
    <row r="2114" spans="7:7" ht="10.5" customHeight="1" x14ac:dyDescent="0.2">
      <c r="G2114" s="889"/>
    </row>
    <row r="2115" spans="7:7" ht="10.5" customHeight="1" x14ac:dyDescent="0.2">
      <c r="G2115" s="889"/>
    </row>
    <row r="2116" spans="7:7" ht="10.5" customHeight="1" x14ac:dyDescent="0.2">
      <c r="G2116" s="889"/>
    </row>
    <row r="2117" spans="7:7" ht="10.5" customHeight="1" x14ac:dyDescent="0.2">
      <c r="G2117" s="889"/>
    </row>
    <row r="2118" spans="7:7" ht="10.5" customHeight="1" x14ac:dyDescent="0.2">
      <c r="G2118" s="889"/>
    </row>
    <row r="2119" spans="7:7" ht="10.5" customHeight="1" x14ac:dyDescent="0.2">
      <c r="G2119" s="889"/>
    </row>
    <row r="2120" spans="7:7" ht="10.5" customHeight="1" x14ac:dyDescent="0.2">
      <c r="G2120" s="889"/>
    </row>
    <row r="2121" spans="7:7" ht="10.5" customHeight="1" x14ac:dyDescent="0.2">
      <c r="G2121" s="889"/>
    </row>
    <row r="2122" spans="7:7" ht="10.5" customHeight="1" x14ac:dyDescent="0.2">
      <c r="G2122" s="889"/>
    </row>
    <row r="2123" spans="7:7" ht="10.5" customHeight="1" x14ac:dyDescent="0.2">
      <c r="G2123" s="889"/>
    </row>
    <row r="2124" spans="7:7" ht="10.5" customHeight="1" x14ac:dyDescent="0.2">
      <c r="G2124" s="889"/>
    </row>
    <row r="2125" spans="7:7" ht="10.5" customHeight="1" x14ac:dyDescent="0.2">
      <c r="G2125" s="889"/>
    </row>
    <row r="2126" spans="7:7" ht="10.5" customHeight="1" x14ac:dyDescent="0.2">
      <c r="G2126" s="889"/>
    </row>
    <row r="2127" spans="7:7" ht="10.5" customHeight="1" x14ac:dyDescent="0.2">
      <c r="G2127" s="889"/>
    </row>
    <row r="2128" spans="7:7" ht="10.5" customHeight="1" x14ac:dyDescent="0.2">
      <c r="G2128" s="889"/>
    </row>
    <row r="2129" spans="7:7" ht="10.5" customHeight="1" x14ac:dyDescent="0.2">
      <c r="G2129" s="889"/>
    </row>
    <row r="2130" spans="7:7" ht="10.5" customHeight="1" x14ac:dyDescent="0.2">
      <c r="G2130" s="889"/>
    </row>
    <row r="2131" spans="7:7" ht="10.5" customHeight="1" x14ac:dyDescent="0.2">
      <c r="G2131" s="889"/>
    </row>
    <row r="2132" spans="7:7" ht="10.5" customHeight="1" x14ac:dyDescent="0.2">
      <c r="G2132" s="889"/>
    </row>
    <row r="2133" spans="7:7" ht="10.5" customHeight="1" x14ac:dyDescent="0.2">
      <c r="G2133" s="889"/>
    </row>
    <row r="2134" spans="7:7" ht="10.5" customHeight="1" x14ac:dyDescent="0.2">
      <c r="G2134" s="889"/>
    </row>
    <row r="2135" spans="7:7" ht="10.5" customHeight="1" x14ac:dyDescent="0.2">
      <c r="G2135" s="889"/>
    </row>
    <row r="2136" spans="7:7" ht="10.5" customHeight="1" x14ac:dyDescent="0.2">
      <c r="G2136" s="889"/>
    </row>
    <row r="2137" spans="7:7" ht="10.5" customHeight="1" x14ac:dyDescent="0.2">
      <c r="G2137" s="889"/>
    </row>
    <row r="2138" spans="7:7" ht="10.5" customHeight="1" x14ac:dyDescent="0.2">
      <c r="G2138" s="889"/>
    </row>
    <row r="2139" spans="7:7" ht="10.5" customHeight="1" x14ac:dyDescent="0.2">
      <c r="G2139" s="889"/>
    </row>
    <row r="2140" spans="7:7" ht="10.5" customHeight="1" x14ac:dyDescent="0.2">
      <c r="G2140" s="889"/>
    </row>
    <row r="2141" spans="7:7" ht="10.5" customHeight="1" x14ac:dyDescent="0.2">
      <c r="G2141" s="889"/>
    </row>
    <row r="2142" spans="7:7" ht="10.5" customHeight="1" x14ac:dyDescent="0.2">
      <c r="G2142" s="889"/>
    </row>
    <row r="2143" spans="7:7" ht="10.5" customHeight="1" x14ac:dyDescent="0.2">
      <c r="G2143" s="889"/>
    </row>
    <row r="2144" spans="7:7" ht="10.5" customHeight="1" x14ac:dyDescent="0.2">
      <c r="G2144" s="889"/>
    </row>
    <row r="2145" spans="7:7" ht="10.5" customHeight="1" x14ac:dyDescent="0.2">
      <c r="G2145" s="889"/>
    </row>
    <row r="2146" spans="7:7" ht="10.5" customHeight="1" x14ac:dyDescent="0.2">
      <c r="G2146" s="889"/>
    </row>
    <row r="2147" spans="7:7" ht="10.5" customHeight="1" x14ac:dyDescent="0.2">
      <c r="G2147" s="889"/>
    </row>
    <row r="2148" spans="7:7" ht="10.5" customHeight="1" x14ac:dyDescent="0.2">
      <c r="G2148" s="889"/>
    </row>
    <row r="2149" spans="7:7" ht="10.5" customHeight="1" x14ac:dyDescent="0.2">
      <c r="G2149" s="889"/>
    </row>
    <row r="2150" spans="7:7" ht="10.5" customHeight="1" x14ac:dyDescent="0.2">
      <c r="G2150" s="889"/>
    </row>
    <row r="2151" spans="7:7" ht="10.5" customHeight="1" x14ac:dyDescent="0.2">
      <c r="G2151" s="889"/>
    </row>
    <row r="2152" spans="7:7" ht="10.5" customHeight="1" x14ac:dyDescent="0.2">
      <c r="G2152" s="889"/>
    </row>
    <row r="2153" spans="7:7" ht="10.5" customHeight="1" x14ac:dyDescent="0.2">
      <c r="G2153" s="889"/>
    </row>
    <row r="2154" spans="7:7" ht="10.5" customHeight="1" x14ac:dyDescent="0.2">
      <c r="G2154" s="889"/>
    </row>
    <row r="2155" spans="7:7" ht="10.5" customHeight="1" x14ac:dyDescent="0.2">
      <c r="G2155" s="889"/>
    </row>
    <row r="2156" spans="7:7" ht="10.5" customHeight="1" x14ac:dyDescent="0.2">
      <c r="G2156" s="889"/>
    </row>
    <row r="2157" spans="7:7" ht="10.5" customHeight="1" x14ac:dyDescent="0.2">
      <c r="G2157" s="889"/>
    </row>
    <row r="2158" spans="7:7" ht="10.5" customHeight="1" x14ac:dyDescent="0.2">
      <c r="G2158" s="889"/>
    </row>
    <row r="2159" spans="7:7" ht="10.5" customHeight="1" x14ac:dyDescent="0.2">
      <c r="G2159" s="889"/>
    </row>
    <row r="2160" spans="7:7" ht="10.5" customHeight="1" x14ac:dyDescent="0.2">
      <c r="G2160" s="889"/>
    </row>
    <row r="2161" spans="7:7" ht="10.5" customHeight="1" x14ac:dyDescent="0.2">
      <c r="G2161" s="889"/>
    </row>
    <row r="2162" spans="7:7" ht="10.5" customHeight="1" x14ac:dyDescent="0.2">
      <c r="G2162" s="889"/>
    </row>
    <row r="2163" spans="7:7" ht="10.5" customHeight="1" x14ac:dyDescent="0.2">
      <c r="G2163" s="889"/>
    </row>
    <row r="2164" spans="7:7" ht="10.5" customHeight="1" x14ac:dyDescent="0.2">
      <c r="G2164" s="889"/>
    </row>
    <row r="2165" spans="7:7" ht="10.5" customHeight="1" x14ac:dyDescent="0.2">
      <c r="G2165" s="889"/>
    </row>
    <row r="2166" spans="7:7" ht="10.5" customHeight="1" x14ac:dyDescent="0.2">
      <c r="G2166" s="889"/>
    </row>
    <row r="2167" spans="7:7" ht="10.5" customHeight="1" x14ac:dyDescent="0.2">
      <c r="G2167" s="889"/>
    </row>
    <row r="2168" spans="7:7" ht="10.5" customHeight="1" x14ac:dyDescent="0.2">
      <c r="G2168" s="889"/>
    </row>
    <row r="2169" spans="7:7" ht="10.5" customHeight="1" x14ac:dyDescent="0.2">
      <c r="G2169" s="889"/>
    </row>
    <row r="2170" spans="7:7" ht="10.5" customHeight="1" x14ac:dyDescent="0.2">
      <c r="G2170" s="889"/>
    </row>
    <row r="2171" spans="7:7" ht="10.5" customHeight="1" x14ac:dyDescent="0.2">
      <c r="G2171" s="889"/>
    </row>
    <row r="2172" spans="7:7" ht="10.5" customHeight="1" x14ac:dyDescent="0.2">
      <c r="G2172" s="889"/>
    </row>
    <row r="2173" spans="7:7" ht="10.5" customHeight="1" x14ac:dyDescent="0.2">
      <c r="G2173" s="889"/>
    </row>
    <row r="2174" spans="7:7" ht="10.5" customHeight="1" x14ac:dyDescent="0.2">
      <c r="G2174" s="889"/>
    </row>
    <row r="2175" spans="7:7" ht="10.5" customHeight="1" x14ac:dyDescent="0.2">
      <c r="G2175" s="889"/>
    </row>
    <row r="2176" spans="7:7" ht="10.5" customHeight="1" x14ac:dyDescent="0.2">
      <c r="G2176" s="889"/>
    </row>
    <row r="2177" spans="7:7" ht="10.5" customHeight="1" x14ac:dyDescent="0.2">
      <c r="G2177" s="889"/>
    </row>
    <row r="2178" spans="7:7" ht="10.5" customHeight="1" x14ac:dyDescent="0.2">
      <c r="G2178" s="889"/>
    </row>
    <row r="2179" spans="7:7" ht="10.5" customHeight="1" x14ac:dyDescent="0.2">
      <c r="G2179" s="889"/>
    </row>
    <row r="2180" spans="7:7" ht="10.5" customHeight="1" x14ac:dyDescent="0.2">
      <c r="G2180" s="889"/>
    </row>
    <row r="2181" spans="7:7" ht="10.5" customHeight="1" x14ac:dyDescent="0.2">
      <c r="G2181" s="889"/>
    </row>
    <row r="2182" spans="7:7" ht="10.5" customHeight="1" x14ac:dyDescent="0.2">
      <c r="G2182" s="889"/>
    </row>
    <row r="2183" spans="7:7" ht="10.5" customHeight="1" x14ac:dyDescent="0.2">
      <c r="G2183" s="889"/>
    </row>
    <row r="2184" spans="7:7" ht="10.5" customHeight="1" x14ac:dyDescent="0.2">
      <c r="G2184" s="889"/>
    </row>
    <row r="2185" spans="7:7" ht="10.5" customHeight="1" x14ac:dyDescent="0.2">
      <c r="G2185" s="889"/>
    </row>
    <row r="2186" spans="7:7" ht="10.5" customHeight="1" x14ac:dyDescent="0.2">
      <c r="G2186" s="889"/>
    </row>
    <row r="2187" spans="7:7" ht="10.5" customHeight="1" x14ac:dyDescent="0.2">
      <c r="G2187" s="889"/>
    </row>
    <row r="2188" spans="7:7" ht="10.5" customHeight="1" x14ac:dyDescent="0.2">
      <c r="G2188" s="889"/>
    </row>
    <row r="2189" spans="7:7" ht="10.5" customHeight="1" x14ac:dyDescent="0.2">
      <c r="G2189" s="889"/>
    </row>
    <row r="2190" spans="7:7" ht="10.5" customHeight="1" x14ac:dyDescent="0.2">
      <c r="G2190" s="889"/>
    </row>
    <row r="2191" spans="7:7" ht="10.5" customHeight="1" x14ac:dyDescent="0.2">
      <c r="G2191" s="889"/>
    </row>
    <row r="2192" spans="7:7" ht="10.5" customHeight="1" x14ac:dyDescent="0.2">
      <c r="G2192" s="889"/>
    </row>
    <row r="2193" spans="7:7" ht="10.5" customHeight="1" x14ac:dyDescent="0.2">
      <c r="G2193" s="889"/>
    </row>
    <row r="2194" spans="7:7" ht="10.5" customHeight="1" x14ac:dyDescent="0.2">
      <c r="G2194" s="889"/>
    </row>
    <row r="2195" spans="7:7" ht="10.5" customHeight="1" x14ac:dyDescent="0.2">
      <c r="G2195" s="889"/>
    </row>
    <row r="2196" spans="7:7" ht="10.5" customHeight="1" x14ac:dyDescent="0.2">
      <c r="G2196" s="889"/>
    </row>
    <row r="2197" spans="7:7" ht="10.5" customHeight="1" x14ac:dyDescent="0.2">
      <c r="G2197" s="889"/>
    </row>
    <row r="2198" spans="7:7" ht="10.5" customHeight="1" x14ac:dyDescent="0.2">
      <c r="G2198" s="889"/>
    </row>
    <row r="2199" spans="7:7" ht="10.5" customHeight="1" x14ac:dyDescent="0.2">
      <c r="G2199" s="889"/>
    </row>
    <row r="2200" spans="7:7" ht="10.5" customHeight="1" x14ac:dyDescent="0.2">
      <c r="G2200" s="889"/>
    </row>
    <row r="2201" spans="7:7" ht="10.5" customHeight="1" x14ac:dyDescent="0.2">
      <c r="G2201" s="889"/>
    </row>
    <row r="2202" spans="7:7" ht="10.5" customHeight="1" x14ac:dyDescent="0.2">
      <c r="G2202" s="889"/>
    </row>
    <row r="2203" spans="7:7" ht="10.5" customHeight="1" x14ac:dyDescent="0.2">
      <c r="G2203" s="889"/>
    </row>
    <row r="2204" spans="7:7" ht="10.5" customHeight="1" x14ac:dyDescent="0.2">
      <c r="G2204" s="889"/>
    </row>
    <row r="2205" spans="7:7" ht="10.5" customHeight="1" x14ac:dyDescent="0.2">
      <c r="G2205" s="889"/>
    </row>
    <row r="2206" spans="7:7" ht="10.5" customHeight="1" x14ac:dyDescent="0.2">
      <c r="G2206" s="889"/>
    </row>
    <row r="2207" spans="7:7" ht="10.5" customHeight="1" x14ac:dyDescent="0.2">
      <c r="G2207" s="889"/>
    </row>
    <row r="2208" spans="7:7" ht="10.5" customHeight="1" x14ac:dyDescent="0.2">
      <c r="G2208" s="889"/>
    </row>
    <row r="2209" spans="7:7" ht="10.5" customHeight="1" x14ac:dyDescent="0.2">
      <c r="G2209" s="889"/>
    </row>
    <row r="2210" spans="7:7" ht="10.5" customHeight="1" x14ac:dyDescent="0.2">
      <c r="G2210" s="889"/>
    </row>
    <row r="2211" spans="7:7" ht="10.5" customHeight="1" x14ac:dyDescent="0.2">
      <c r="G2211" s="889"/>
    </row>
    <row r="2212" spans="7:7" ht="10.5" customHeight="1" x14ac:dyDescent="0.2">
      <c r="G2212" s="889"/>
    </row>
    <row r="2213" spans="7:7" ht="10.5" customHeight="1" x14ac:dyDescent="0.2">
      <c r="G2213" s="889"/>
    </row>
    <row r="2214" spans="7:7" ht="10.5" customHeight="1" x14ac:dyDescent="0.2">
      <c r="G2214" s="889"/>
    </row>
    <row r="2215" spans="7:7" ht="10.5" customHeight="1" x14ac:dyDescent="0.2">
      <c r="G2215" s="889"/>
    </row>
    <row r="2216" spans="7:7" ht="10.5" customHeight="1" x14ac:dyDescent="0.2">
      <c r="G2216" s="889"/>
    </row>
    <row r="2217" spans="7:7" ht="10.5" customHeight="1" x14ac:dyDescent="0.2">
      <c r="G2217" s="889"/>
    </row>
    <row r="2218" spans="7:7" ht="10.5" customHeight="1" x14ac:dyDescent="0.2">
      <c r="G2218" s="889"/>
    </row>
    <row r="2219" spans="7:7" ht="10.5" customHeight="1" x14ac:dyDescent="0.2">
      <c r="G2219" s="889"/>
    </row>
    <row r="2220" spans="7:7" ht="10.5" customHeight="1" x14ac:dyDescent="0.2">
      <c r="G2220" s="889"/>
    </row>
    <row r="2221" spans="7:7" ht="10.5" customHeight="1" x14ac:dyDescent="0.2">
      <c r="G2221" s="889"/>
    </row>
    <row r="2222" spans="7:7" ht="10.5" customHeight="1" x14ac:dyDescent="0.2">
      <c r="G2222" s="889"/>
    </row>
    <row r="2223" spans="7:7" ht="10.5" customHeight="1" x14ac:dyDescent="0.2">
      <c r="G2223" s="889"/>
    </row>
    <row r="2224" spans="7:7" ht="10.5" customHeight="1" x14ac:dyDescent="0.2">
      <c r="G2224" s="889"/>
    </row>
    <row r="2225" spans="7:7" ht="10.5" customHeight="1" x14ac:dyDescent="0.2">
      <c r="G2225" s="889"/>
    </row>
    <row r="2226" spans="7:7" ht="10.5" customHeight="1" x14ac:dyDescent="0.2">
      <c r="G2226" s="889"/>
    </row>
    <row r="2227" spans="7:7" ht="10.5" customHeight="1" x14ac:dyDescent="0.2">
      <c r="G2227" s="889"/>
    </row>
    <row r="2228" spans="7:7" ht="10.5" customHeight="1" x14ac:dyDescent="0.2">
      <c r="G2228" s="889"/>
    </row>
    <row r="2229" spans="7:7" ht="10.5" customHeight="1" x14ac:dyDescent="0.2">
      <c r="G2229" s="889"/>
    </row>
    <row r="2230" spans="7:7" ht="10.5" customHeight="1" x14ac:dyDescent="0.2">
      <c r="G2230" s="889"/>
    </row>
    <row r="2231" spans="7:7" ht="10.5" customHeight="1" x14ac:dyDescent="0.2">
      <c r="G2231" s="889"/>
    </row>
    <row r="2232" spans="7:7" ht="10.5" customHeight="1" x14ac:dyDescent="0.2">
      <c r="G2232" s="889"/>
    </row>
    <row r="2233" spans="7:7" ht="10.5" customHeight="1" x14ac:dyDescent="0.2">
      <c r="G2233" s="889"/>
    </row>
    <row r="2234" spans="7:7" ht="10.5" customHeight="1" x14ac:dyDescent="0.2">
      <c r="G2234" s="889"/>
    </row>
    <row r="2235" spans="7:7" ht="10.5" customHeight="1" x14ac:dyDescent="0.2">
      <c r="G2235" s="889"/>
    </row>
    <row r="2236" spans="7:7" ht="10.5" customHeight="1" x14ac:dyDescent="0.2">
      <c r="G2236" s="889"/>
    </row>
    <row r="2237" spans="7:7" ht="10.5" customHeight="1" x14ac:dyDescent="0.2">
      <c r="G2237" s="889"/>
    </row>
    <row r="2238" spans="7:7" ht="10.5" customHeight="1" x14ac:dyDescent="0.2">
      <c r="G2238" s="889"/>
    </row>
    <row r="2239" spans="7:7" ht="10.5" customHeight="1" x14ac:dyDescent="0.2">
      <c r="G2239" s="889"/>
    </row>
    <row r="2240" spans="7:7" ht="10.5" customHeight="1" x14ac:dyDescent="0.2">
      <c r="G2240" s="889"/>
    </row>
    <row r="2241" spans="7:7" ht="10.5" customHeight="1" x14ac:dyDescent="0.2">
      <c r="G2241" s="889"/>
    </row>
    <row r="2242" spans="7:7" ht="10.5" customHeight="1" x14ac:dyDescent="0.2">
      <c r="G2242" s="889"/>
    </row>
    <row r="2243" spans="7:7" ht="10.5" customHeight="1" x14ac:dyDescent="0.2">
      <c r="G2243" s="889"/>
    </row>
    <row r="2244" spans="7:7" ht="10.5" customHeight="1" x14ac:dyDescent="0.2">
      <c r="G2244" s="889"/>
    </row>
    <row r="2245" spans="7:7" ht="10.5" customHeight="1" x14ac:dyDescent="0.2">
      <c r="G2245" s="889"/>
    </row>
    <row r="2246" spans="7:7" ht="10.5" customHeight="1" x14ac:dyDescent="0.2">
      <c r="G2246" s="889"/>
    </row>
    <row r="2247" spans="7:7" ht="10.5" customHeight="1" x14ac:dyDescent="0.2">
      <c r="G2247" s="889"/>
    </row>
    <row r="2248" spans="7:7" ht="10.5" customHeight="1" x14ac:dyDescent="0.2">
      <c r="G2248" s="889"/>
    </row>
    <row r="2249" spans="7:7" ht="10.5" customHeight="1" x14ac:dyDescent="0.2">
      <c r="G2249" s="889"/>
    </row>
    <row r="2250" spans="7:7" ht="10.5" customHeight="1" x14ac:dyDescent="0.2">
      <c r="G2250" s="889"/>
    </row>
    <row r="2251" spans="7:7" ht="10.5" customHeight="1" x14ac:dyDescent="0.2">
      <c r="G2251" s="889"/>
    </row>
    <row r="2252" spans="7:7" ht="10.5" customHeight="1" x14ac:dyDescent="0.2">
      <c r="G2252" s="889"/>
    </row>
    <row r="2253" spans="7:7" ht="10.5" customHeight="1" x14ac:dyDescent="0.2">
      <c r="G2253" s="889"/>
    </row>
    <row r="2254" spans="7:7" ht="10.5" customHeight="1" x14ac:dyDescent="0.2">
      <c r="G2254" s="889"/>
    </row>
    <row r="2255" spans="7:7" ht="10.5" customHeight="1" x14ac:dyDescent="0.2">
      <c r="G2255" s="889"/>
    </row>
    <row r="2256" spans="7:7" ht="10.5" customHeight="1" x14ac:dyDescent="0.2">
      <c r="G2256" s="889"/>
    </row>
    <row r="2257" spans="7:7" ht="10.5" customHeight="1" x14ac:dyDescent="0.2">
      <c r="G2257" s="889"/>
    </row>
    <row r="2258" spans="7:7" ht="10.5" customHeight="1" x14ac:dyDescent="0.2">
      <c r="G2258" s="889"/>
    </row>
    <row r="2259" spans="7:7" ht="10.5" customHeight="1" x14ac:dyDescent="0.2">
      <c r="G2259" s="889"/>
    </row>
    <row r="2260" spans="7:7" ht="10.5" customHeight="1" x14ac:dyDescent="0.2">
      <c r="G2260" s="889"/>
    </row>
    <row r="2261" spans="7:7" ht="10.5" customHeight="1" x14ac:dyDescent="0.2">
      <c r="G2261" s="889"/>
    </row>
    <row r="2262" spans="7:7" ht="10.5" customHeight="1" x14ac:dyDescent="0.2">
      <c r="G2262" s="889"/>
    </row>
    <row r="2263" spans="7:7" ht="10.5" customHeight="1" x14ac:dyDescent="0.2">
      <c r="G2263" s="889"/>
    </row>
    <row r="2264" spans="7:7" ht="10.5" customHeight="1" x14ac:dyDescent="0.2">
      <c r="G2264" s="889"/>
    </row>
    <row r="2265" spans="7:7" ht="10.5" customHeight="1" x14ac:dyDescent="0.2">
      <c r="G2265" s="889"/>
    </row>
    <row r="2266" spans="7:7" ht="10.5" customHeight="1" x14ac:dyDescent="0.2">
      <c r="G2266" s="889"/>
    </row>
    <row r="2267" spans="7:7" ht="10.5" customHeight="1" x14ac:dyDescent="0.2">
      <c r="G2267" s="889"/>
    </row>
    <row r="2268" spans="7:7" ht="10.5" customHeight="1" x14ac:dyDescent="0.2">
      <c r="G2268" s="889"/>
    </row>
    <row r="2269" spans="7:7" ht="10.5" customHeight="1" x14ac:dyDescent="0.2">
      <c r="G2269" s="889"/>
    </row>
    <row r="2270" spans="7:7" ht="10.5" customHeight="1" x14ac:dyDescent="0.2">
      <c r="G2270" s="889"/>
    </row>
    <row r="2271" spans="7:7" ht="10.5" customHeight="1" x14ac:dyDescent="0.2">
      <c r="G2271" s="889"/>
    </row>
    <row r="2272" spans="7:7" ht="10.5" customHeight="1" x14ac:dyDescent="0.2">
      <c r="G2272" s="889"/>
    </row>
    <row r="2273" spans="7:7" ht="10.5" customHeight="1" x14ac:dyDescent="0.2">
      <c r="G2273" s="889"/>
    </row>
    <row r="2274" spans="7:7" ht="10.5" customHeight="1" x14ac:dyDescent="0.2">
      <c r="G2274" s="889"/>
    </row>
    <row r="2275" spans="7:7" ht="10.5" customHeight="1" x14ac:dyDescent="0.2">
      <c r="G2275" s="889"/>
    </row>
    <row r="2276" spans="7:7" ht="10.5" customHeight="1" x14ac:dyDescent="0.2">
      <c r="G2276" s="889"/>
    </row>
    <row r="2277" spans="7:7" ht="10.5" customHeight="1" x14ac:dyDescent="0.2">
      <c r="G2277" s="889"/>
    </row>
    <row r="2278" spans="7:7" ht="10.5" customHeight="1" x14ac:dyDescent="0.2">
      <c r="G2278" s="889"/>
    </row>
    <row r="2279" spans="7:7" ht="10.5" customHeight="1" x14ac:dyDescent="0.2">
      <c r="G2279" s="889"/>
    </row>
    <row r="2280" spans="7:7" ht="10.5" customHeight="1" x14ac:dyDescent="0.2">
      <c r="G2280" s="889"/>
    </row>
    <row r="2281" spans="7:7" ht="10.5" customHeight="1" x14ac:dyDescent="0.2">
      <c r="G2281" s="889"/>
    </row>
    <row r="2282" spans="7:7" ht="10.5" customHeight="1" x14ac:dyDescent="0.2">
      <c r="G2282" s="889"/>
    </row>
    <row r="2283" spans="7:7" ht="10.5" customHeight="1" x14ac:dyDescent="0.2">
      <c r="G2283" s="889"/>
    </row>
    <row r="2284" spans="7:7" ht="10.5" customHeight="1" x14ac:dyDescent="0.2">
      <c r="G2284" s="889"/>
    </row>
    <row r="2285" spans="7:7" ht="10.5" customHeight="1" x14ac:dyDescent="0.2">
      <c r="G2285" s="889"/>
    </row>
    <row r="2286" spans="7:7" ht="10.5" customHeight="1" x14ac:dyDescent="0.2">
      <c r="G2286" s="889"/>
    </row>
    <row r="2287" spans="7:7" ht="10.5" customHeight="1" x14ac:dyDescent="0.2">
      <c r="G2287" s="889"/>
    </row>
    <row r="2288" spans="7:7" ht="10.5" customHeight="1" x14ac:dyDescent="0.2">
      <c r="G2288" s="889"/>
    </row>
    <row r="2289" spans="7:7" ht="10.5" customHeight="1" x14ac:dyDescent="0.2">
      <c r="G2289" s="889"/>
    </row>
    <row r="2290" spans="7:7" ht="10.5" customHeight="1" x14ac:dyDescent="0.2">
      <c r="G2290" s="889"/>
    </row>
    <row r="2291" spans="7:7" ht="10.5" customHeight="1" x14ac:dyDescent="0.2">
      <c r="G2291" s="889"/>
    </row>
    <row r="2292" spans="7:7" ht="10.5" customHeight="1" x14ac:dyDescent="0.2">
      <c r="G2292" s="889"/>
    </row>
    <row r="2293" spans="7:7" ht="10.5" customHeight="1" x14ac:dyDescent="0.2">
      <c r="G2293" s="889"/>
    </row>
    <row r="2294" spans="7:7" ht="10.5" customHeight="1" x14ac:dyDescent="0.2">
      <c r="G2294" s="889"/>
    </row>
    <row r="2295" spans="7:7" ht="10.5" customHeight="1" x14ac:dyDescent="0.2">
      <c r="G2295" s="889"/>
    </row>
    <row r="2296" spans="7:7" ht="10.5" customHeight="1" x14ac:dyDescent="0.2">
      <c r="G2296" s="889"/>
    </row>
    <row r="2297" spans="7:7" ht="10.5" customHeight="1" x14ac:dyDescent="0.2">
      <c r="G2297" s="889"/>
    </row>
    <row r="2298" spans="7:7" ht="10.5" customHeight="1" x14ac:dyDescent="0.2">
      <c r="G2298" s="889"/>
    </row>
    <row r="2299" spans="7:7" ht="10.5" customHeight="1" x14ac:dyDescent="0.2">
      <c r="G2299" s="889"/>
    </row>
    <row r="2300" spans="7:7" ht="10.5" customHeight="1" x14ac:dyDescent="0.2">
      <c r="G2300" s="889"/>
    </row>
    <row r="2301" spans="7:7" ht="10.5" customHeight="1" x14ac:dyDescent="0.2">
      <c r="G2301" s="889"/>
    </row>
    <row r="2302" spans="7:7" ht="10.5" customHeight="1" x14ac:dyDescent="0.2">
      <c r="G2302" s="889"/>
    </row>
    <row r="2303" spans="7:7" ht="10.5" customHeight="1" x14ac:dyDescent="0.2">
      <c r="G2303" s="889"/>
    </row>
    <row r="2304" spans="7:7" ht="10.5" customHeight="1" x14ac:dyDescent="0.2">
      <c r="G2304" s="889"/>
    </row>
    <row r="2305" spans="7:7" ht="10.5" customHeight="1" x14ac:dyDescent="0.2">
      <c r="G2305" s="889"/>
    </row>
    <row r="2306" spans="7:7" ht="10.5" customHeight="1" x14ac:dyDescent="0.2">
      <c r="G2306" s="889"/>
    </row>
    <row r="2307" spans="7:7" ht="10.5" customHeight="1" x14ac:dyDescent="0.2">
      <c r="G2307" s="889"/>
    </row>
    <row r="2308" spans="7:7" ht="10.5" customHeight="1" x14ac:dyDescent="0.2">
      <c r="G2308" s="889"/>
    </row>
    <row r="2309" spans="7:7" ht="10.5" customHeight="1" x14ac:dyDescent="0.2">
      <c r="G2309" s="889"/>
    </row>
    <row r="2310" spans="7:7" ht="10.5" customHeight="1" x14ac:dyDescent="0.2">
      <c r="G2310" s="889"/>
    </row>
    <row r="2311" spans="7:7" ht="10.5" customHeight="1" x14ac:dyDescent="0.2">
      <c r="G2311" s="889"/>
    </row>
    <row r="2312" spans="7:7" ht="10.5" customHeight="1" x14ac:dyDescent="0.2">
      <c r="G2312" s="889"/>
    </row>
    <row r="2313" spans="7:7" ht="10.5" customHeight="1" x14ac:dyDescent="0.2">
      <c r="G2313" s="889"/>
    </row>
    <row r="2314" spans="7:7" ht="10.5" customHeight="1" x14ac:dyDescent="0.2">
      <c r="G2314" s="889"/>
    </row>
    <row r="2315" spans="7:7" ht="10.5" customHeight="1" x14ac:dyDescent="0.2">
      <c r="G2315" s="889"/>
    </row>
    <row r="2316" spans="7:7" ht="10.5" customHeight="1" x14ac:dyDescent="0.2">
      <c r="G2316" s="889"/>
    </row>
    <row r="2317" spans="7:7" ht="10.5" customHeight="1" x14ac:dyDescent="0.2">
      <c r="G2317" s="889"/>
    </row>
    <row r="2318" spans="7:7" ht="10.5" customHeight="1" x14ac:dyDescent="0.2">
      <c r="G2318" s="889"/>
    </row>
    <row r="2319" spans="7:7" ht="10.5" customHeight="1" x14ac:dyDescent="0.2">
      <c r="G2319" s="889"/>
    </row>
    <row r="2320" spans="7:7" ht="10.5" customHeight="1" x14ac:dyDescent="0.2">
      <c r="G2320" s="889"/>
    </row>
    <row r="2321" spans="7:7" ht="10.5" customHeight="1" x14ac:dyDescent="0.2">
      <c r="G2321" s="889"/>
    </row>
    <row r="2322" spans="7:7" ht="10.5" customHeight="1" x14ac:dyDescent="0.2">
      <c r="G2322" s="889"/>
    </row>
    <row r="2323" spans="7:7" ht="10.5" customHeight="1" x14ac:dyDescent="0.2">
      <c r="G2323" s="889"/>
    </row>
    <row r="2324" spans="7:7" ht="10.5" customHeight="1" x14ac:dyDescent="0.2">
      <c r="G2324" s="889"/>
    </row>
    <row r="2325" spans="7:7" ht="10.5" customHeight="1" x14ac:dyDescent="0.2">
      <c r="G2325" s="889"/>
    </row>
    <row r="2326" spans="7:7" ht="10.5" customHeight="1" x14ac:dyDescent="0.2">
      <c r="G2326" s="889"/>
    </row>
    <row r="2327" spans="7:7" ht="10.5" customHeight="1" x14ac:dyDescent="0.2">
      <c r="G2327" s="889"/>
    </row>
    <row r="2328" spans="7:7" ht="10.5" customHeight="1" x14ac:dyDescent="0.2">
      <c r="G2328" s="889"/>
    </row>
    <row r="2329" spans="7:7" ht="10.5" customHeight="1" x14ac:dyDescent="0.2">
      <c r="G2329" s="889"/>
    </row>
    <row r="2330" spans="7:7" ht="10.5" customHeight="1" x14ac:dyDescent="0.2">
      <c r="G2330" s="889"/>
    </row>
    <row r="2331" spans="7:7" ht="10.5" customHeight="1" x14ac:dyDescent="0.2">
      <c r="G2331" s="889"/>
    </row>
    <row r="2332" spans="7:7" ht="10.5" customHeight="1" x14ac:dyDescent="0.2">
      <c r="G2332" s="889"/>
    </row>
    <row r="2333" spans="7:7" ht="10.5" customHeight="1" x14ac:dyDescent="0.2">
      <c r="G2333" s="889"/>
    </row>
    <row r="2334" spans="7:7" ht="10.5" customHeight="1" x14ac:dyDescent="0.2">
      <c r="G2334" s="889"/>
    </row>
    <row r="2335" spans="7:7" ht="10.5" customHeight="1" x14ac:dyDescent="0.2">
      <c r="G2335" s="889"/>
    </row>
    <row r="2336" spans="7:7" ht="10.5" customHeight="1" x14ac:dyDescent="0.2">
      <c r="G2336" s="889"/>
    </row>
    <row r="2337" spans="7:7" ht="10.5" customHeight="1" x14ac:dyDescent="0.2">
      <c r="G2337" s="889"/>
    </row>
    <row r="2338" spans="7:7" ht="10.5" customHeight="1" x14ac:dyDescent="0.2">
      <c r="G2338" s="889"/>
    </row>
    <row r="2339" spans="7:7" ht="10.5" customHeight="1" x14ac:dyDescent="0.2">
      <c r="G2339" s="889"/>
    </row>
    <row r="2340" spans="7:7" ht="10.5" customHeight="1" x14ac:dyDescent="0.2">
      <c r="G2340" s="889"/>
    </row>
    <row r="2341" spans="7:7" ht="10.5" customHeight="1" x14ac:dyDescent="0.2">
      <c r="G2341" s="889"/>
    </row>
    <row r="2342" spans="7:7" ht="10.5" customHeight="1" x14ac:dyDescent="0.2">
      <c r="G2342" s="889"/>
    </row>
    <row r="2343" spans="7:7" ht="10.5" customHeight="1" x14ac:dyDescent="0.2">
      <c r="G2343" s="889"/>
    </row>
    <row r="2344" spans="7:7" ht="10.5" customHeight="1" x14ac:dyDescent="0.2">
      <c r="G2344" s="889"/>
    </row>
    <row r="2345" spans="7:7" ht="10.5" customHeight="1" x14ac:dyDescent="0.2">
      <c r="G2345" s="889"/>
    </row>
    <row r="2346" spans="7:7" ht="10.5" customHeight="1" x14ac:dyDescent="0.2">
      <c r="G2346" s="889"/>
    </row>
    <row r="2347" spans="7:7" ht="10.5" customHeight="1" x14ac:dyDescent="0.2">
      <c r="G2347" s="889"/>
    </row>
    <row r="2348" spans="7:7" ht="10.5" customHeight="1" x14ac:dyDescent="0.2">
      <c r="G2348" s="889"/>
    </row>
    <row r="2349" spans="7:7" ht="10.5" customHeight="1" x14ac:dyDescent="0.2">
      <c r="G2349" s="889"/>
    </row>
    <row r="2350" spans="7:7" ht="10.5" customHeight="1" x14ac:dyDescent="0.2">
      <c r="G2350" s="889"/>
    </row>
    <row r="2351" spans="7:7" ht="10.5" customHeight="1" x14ac:dyDescent="0.2">
      <c r="G2351" s="889"/>
    </row>
    <row r="2352" spans="7:7" ht="10.5" customHeight="1" x14ac:dyDescent="0.2">
      <c r="G2352" s="889"/>
    </row>
    <row r="2353" spans="7:7" ht="10.5" customHeight="1" x14ac:dyDescent="0.2">
      <c r="G2353" s="889"/>
    </row>
    <row r="2354" spans="7:7" ht="10.5" customHeight="1" x14ac:dyDescent="0.2">
      <c r="G2354" s="889"/>
    </row>
    <row r="2355" spans="7:7" ht="10.5" customHeight="1" x14ac:dyDescent="0.2">
      <c r="G2355" s="889"/>
    </row>
    <row r="2356" spans="7:7" ht="10.5" customHeight="1" x14ac:dyDescent="0.2">
      <c r="G2356" s="889"/>
    </row>
    <row r="2357" spans="7:7" ht="10.5" customHeight="1" x14ac:dyDescent="0.2">
      <c r="G2357" s="889"/>
    </row>
    <row r="2358" spans="7:7" ht="10.5" customHeight="1" x14ac:dyDescent="0.2">
      <c r="G2358" s="889"/>
    </row>
    <row r="2359" spans="7:7" ht="10.5" customHeight="1" x14ac:dyDescent="0.2">
      <c r="G2359" s="889"/>
    </row>
    <row r="2360" spans="7:7" ht="10.5" customHeight="1" x14ac:dyDescent="0.2">
      <c r="G2360" s="889"/>
    </row>
    <row r="2361" spans="7:7" ht="10.5" customHeight="1" x14ac:dyDescent="0.2">
      <c r="G2361" s="889"/>
    </row>
    <row r="2362" spans="7:7" ht="10.5" customHeight="1" x14ac:dyDescent="0.2">
      <c r="G2362" s="889"/>
    </row>
    <row r="2363" spans="7:7" ht="10.5" customHeight="1" x14ac:dyDescent="0.2">
      <c r="G2363" s="889"/>
    </row>
    <row r="2364" spans="7:7" ht="10.5" customHeight="1" x14ac:dyDescent="0.2">
      <c r="G2364" s="889"/>
    </row>
    <row r="2365" spans="7:7" ht="10.5" customHeight="1" x14ac:dyDescent="0.2">
      <c r="G2365" s="889"/>
    </row>
    <row r="2366" spans="7:7" ht="10.5" customHeight="1" x14ac:dyDescent="0.2">
      <c r="G2366" s="889"/>
    </row>
    <row r="2367" spans="7:7" ht="10.5" customHeight="1" x14ac:dyDescent="0.2">
      <c r="G2367" s="889"/>
    </row>
    <row r="2368" spans="7:7" ht="10.5" customHeight="1" x14ac:dyDescent="0.2">
      <c r="G2368" s="889"/>
    </row>
    <row r="2369" spans="7:7" ht="10.5" customHeight="1" x14ac:dyDescent="0.2">
      <c r="G2369" s="889"/>
    </row>
    <row r="2370" spans="7:7" ht="10.5" customHeight="1" x14ac:dyDescent="0.2">
      <c r="G2370" s="889"/>
    </row>
    <row r="2371" spans="7:7" ht="10.5" customHeight="1" x14ac:dyDescent="0.2">
      <c r="G2371" s="889"/>
    </row>
    <row r="2372" spans="7:7" ht="10.5" customHeight="1" x14ac:dyDescent="0.2">
      <c r="G2372" s="889"/>
    </row>
    <row r="2373" spans="7:7" ht="10.5" customHeight="1" x14ac:dyDescent="0.2">
      <c r="G2373" s="889"/>
    </row>
    <row r="2374" spans="7:7" ht="10.5" customHeight="1" x14ac:dyDescent="0.2">
      <c r="G2374" s="889"/>
    </row>
    <row r="2375" spans="7:7" ht="10.5" customHeight="1" x14ac:dyDescent="0.2">
      <c r="G2375" s="889"/>
    </row>
    <row r="2376" spans="7:7" ht="10.5" customHeight="1" x14ac:dyDescent="0.2">
      <c r="G2376" s="889"/>
    </row>
    <row r="2377" spans="7:7" ht="10.5" customHeight="1" x14ac:dyDescent="0.2">
      <c r="G2377" s="889"/>
    </row>
    <row r="2378" spans="7:7" ht="10.5" customHeight="1" x14ac:dyDescent="0.2">
      <c r="G2378" s="889"/>
    </row>
    <row r="2379" spans="7:7" ht="10.5" customHeight="1" x14ac:dyDescent="0.2">
      <c r="G2379" s="889"/>
    </row>
    <row r="2380" spans="7:7" ht="10.5" customHeight="1" x14ac:dyDescent="0.2">
      <c r="G2380" s="889"/>
    </row>
    <row r="2381" spans="7:7" ht="10.5" customHeight="1" x14ac:dyDescent="0.2">
      <c r="G2381" s="889"/>
    </row>
    <row r="2382" spans="7:7" ht="10.5" customHeight="1" x14ac:dyDescent="0.2">
      <c r="G2382" s="889"/>
    </row>
    <row r="2383" spans="7:7" ht="10.5" customHeight="1" x14ac:dyDescent="0.2">
      <c r="G2383" s="889"/>
    </row>
    <row r="2384" spans="7:7" ht="10.5" customHeight="1" x14ac:dyDescent="0.2">
      <c r="G2384" s="889"/>
    </row>
    <row r="2385" spans="7:7" ht="10.5" customHeight="1" x14ac:dyDescent="0.2">
      <c r="G2385" s="889"/>
    </row>
    <row r="2386" spans="7:7" ht="10.5" customHeight="1" x14ac:dyDescent="0.2">
      <c r="G2386" s="889"/>
    </row>
    <row r="2387" spans="7:7" ht="10.5" customHeight="1" x14ac:dyDescent="0.2">
      <c r="G2387" s="889"/>
    </row>
    <row r="2388" spans="7:7" ht="10.5" customHeight="1" x14ac:dyDescent="0.2">
      <c r="G2388" s="889"/>
    </row>
    <row r="2389" spans="7:7" ht="10.5" customHeight="1" x14ac:dyDescent="0.2">
      <c r="G2389" s="889"/>
    </row>
    <row r="2390" spans="7:7" ht="10.5" customHeight="1" x14ac:dyDescent="0.2">
      <c r="G2390" s="889"/>
    </row>
    <row r="2391" spans="7:7" ht="10.5" customHeight="1" x14ac:dyDescent="0.2">
      <c r="G2391" s="889"/>
    </row>
    <row r="2392" spans="7:7" ht="10.5" customHeight="1" x14ac:dyDescent="0.2">
      <c r="G2392" s="889"/>
    </row>
    <row r="2393" spans="7:7" ht="10.5" customHeight="1" x14ac:dyDescent="0.2">
      <c r="G2393" s="889"/>
    </row>
    <row r="2394" spans="7:7" ht="10.5" customHeight="1" x14ac:dyDescent="0.2">
      <c r="G2394" s="889"/>
    </row>
    <row r="2395" spans="7:7" ht="10.5" customHeight="1" x14ac:dyDescent="0.2">
      <c r="G2395" s="889"/>
    </row>
    <row r="2396" spans="7:7" ht="10.5" customHeight="1" x14ac:dyDescent="0.2">
      <c r="G2396" s="889"/>
    </row>
    <row r="2397" spans="7:7" ht="10.5" customHeight="1" x14ac:dyDescent="0.2">
      <c r="G2397" s="889"/>
    </row>
    <row r="2398" spans="7:7" ht="10.5" customHeight="1" x14ac:dyDescent="0.2">
      <c r="G2398" s="889"/>
    </row>
    <row r="2399" spans="7:7" ht="10.5" customHeight="1" x14ac:dyDescent="0.2">
      <c r="G2399" s="889"/>
    </row>
    <row r="2400" spans="7:7" ht="10.5" customHeight="1" x14ac:dyDescent="0.2">
      <c r="G2400" s="889"/>
    </row>
    <row r="2401" spans="7:7" ht="10.5" customHeight="1" x14ac:dyDescent="0.2">
      <c r="G2401" s="889"/>
    </row>
    <row r="2402" spans="7:7" ht="10.5" customHeight="1" x14ac:dyDescent="0.2">
      <c r="G2402" s="889"/>
    </row>
    <row r="2403" spans="7:7" ht="10.5" customHeight="1" x14ac:dyDescent="0.2">
      <c r="G2403" s="889"/>
    </row>
    <row r="2404" spans="7:7" ht="10.5" customHeight="1" x14ac:dyDescent="0.2">
      <c r="G2404" s="889"/>
    </row>
    <row r="2405" spans="7:7" ht="10.5" customHeight="1" x14ac:dyDescent="0.2">
      <c r="G2405" s="889"/>
    </row>
    <row r="2406" spans="7:7" ht="10.5" customHeight="1" x14ac:dyDescent="0.2">
      <c r="G2406" s="889"/>
    </row>
    <row r="2407" spans="7:7" ht="10.5" customHeight="1" x14ac:dyDescent="0.2">
      <c r="G2407" s="889"/>
    </row>
    <row r="2408" spans="7:7" ht="10.5" customHeight="1" x14ac:dyDescent="0.2">
      <c r="G2408" s="889"/>
    </row>
    <row r="2409" spans="7:7" ht="10.5" customHeight="1" x14ac:dyDescent="0.2">
      <c r="G2409" s="889"/>
    </row>
    <row r="2410" spans="7:7" ht="10.5" customHeight="1" x14ac:dyDescent="0.2">
      <c r="G2410" s="889"/>
    </row>
    <row r="2411" spans="7:7" ht="10.5" customHeight="1" x14ac:dyDescent="0.2">
      <c r="G2411" s="889"/>
    </row>
    <row r="2412" spans="7:7" ht="10.5" customHeight="1" x14ac:dyDescent="0.2">
      <c r="G2412" s="889"/>
    </row>
    <row r="2413" spans="7:7" ht="10.5" customHeight="1" x14ac:dyDescent="0.2">
      <c r="G2413" s="889"/>
    </row>
    <row r="2414" spans="7:7" ht="10.5" customHeight="1" x14ac:dyDescent="0.2">
      <c r="G2414" s="889"/>
    </row>
    <row r="2415" spans="7:7" ht="10.5" customHeight="1" x14ac:dyDescent="0.2">
      <c r="G2415" s="889"/>
    </row>
    <row r="2416" spans="7:7" ht="10.5" customHeight="1" x14ac:dyDescent="0.2">
      <c r="G2416" s="889"/>
    </row>
    <row r="2417" spans="7:7" ht="10.5" customHeight="1" x14ac:dyDescent="0.2">
      <c r="G2417" s="889"/>
    </row>
    <row r="2418" spans="7:7" ht="10.5" customHeight="1" x14ac:dyDescent="0.2">
      <c r="G2418" s="889"/>
    </row>
    <row r="2419" spans="7:7" ht="10.5" customHeight="1" x14ac:dyDescent="0.2">
      <c r="G2419" s="889"/>
    </row>
    <row r="2420" spans="7:7" ht="10.5" customHeight="1" x14ac:dyDescent="0.2">
      <c r="G2420" s="889"/>
    </row>
    <row r="2421" spans="7:7" ht="10.5" customHeight="1" x14ac:dyDescent="0.2">
      <c r="G2421" s="889"/>
    </row>
    <row r="2422" spans="7:7" ht="10.5" customHeight="1" x14ac:dyDescent="0.2">
      <c r="G2422" s="889"/>
    </row>
    <row r="2423" spans="7:7" ht="10.5" customHeight="1" x14ac:dyDescent="0.2">
      <c r="G2423" s="889"/>
    </row>
    <row r="2424" spans="7:7" ht="10.5" customHeight="1" x14ac:dyDescent="0.2">
      <c r="G2424" s="889"/>
    </row>
    <row r="2425" spans="7:7" ht="10.5" customHeight="1" x14ac:dyDescent="0.2">
      <c r="G2425" s="889"/>
    </row>
    <row r="2426" spans="7:7" ht="10.5" customHeight="1" x14ac:dyDescent="0.2">
      <c r="G2426" s="889"/>
    </row>
    <row r="2427" spans="7:7" ht="10.5" customHeight="1" x14ac:dyDescent="0.2">
      <c r="G2427" s="889"/>
    </row>
    <row r="2428" spans="7:7" ht="10.5" customHeight="1" x14ac:dyDescent="0.2">
      <c r="G2428" s="889"/>
    </row>
    <row r="2429" spans="7:7" ht="10.5" customHeight="1" x14ac:dyDescent="0.2">
      <c r="G2429" s="889"/>
    </row>
    <row r="2430" spans="7:7" ht="10.5" customHeight="1" x14ac:dyDescent="0.2">
      <c r="G2430" s="889"/>
    </row>
    <row r="2431" spans="7:7" ht="10.5" customHeight="1" x14ac:dyDescent="0.2">
      <c r="G2431" s="889"/>
    </row>
    <row r="2432" spans="7:7" ht="10.5" customHeight="1" x14ac:dyDescent="0.2">
      <c r="G2432" s="889"/>
    </row>
    <row r="2433" spans="7:7" ht="10.5" customHeight="1" x14ac:dyDescent="0.2">
      <c r="G2433" s="889"/>
    </row>
    <row r="2434" spans="7:7" ht="10.5" customHeight="1" x14ac:dyDescent="0.2">
      <c r="G2434" s="889"/>
    </row>
    <row r="2435" spans="7:7" ht="10.5" customHeight="1" x14ac:dyDescent="0.2">
      <c r="G2435" s="889"/>
    </row>
    <row r="2436" spans="7:7" ht="10.5" customHeight="1" x14ac:dyDescent="0.2">
      <c r="G2436" s="889"/>
    </row>
    <row r="2437" spans="7:7" ht="10.5" customHeight="1" x14ac:dyDescent="0.2">
      <c r="G2437" s="889"/>
    </row>
    <row r="2438" spans="7:7" ht="10.5" customHeight="1" x14ac:dyDescent="0.2">
      <c r="G2438" s="889"/>
    </row>
    <row r="2439" spans="7:7" ht="10.5" customHeight="1" x14ac:dyDescent="0.2">
      <c r="G2439" s="889"/>
    </row>
    <row r="2440" spans="7:7" ht="10.5" customHeight="1" x14ac:dyDescent="0.2">
      <c r="G2440" s="889"/>
    </row>
    <row r="2441" spans="7:7" ht="10.5" customHeight="1" x14ac:dyDescent="0.2">
      <c r="G2441" s="889"/>
    </row>
    <row r="2442" spans="7:7" ht="10.5" customHeight="1" x14ac:dyDescent="0.2">
      <c r="G2442" s="889"/>
    </row>
    <row r="2443" spans="7:7" ht="10.5" customHeight="1" x14ac:dyDescent="0.2">
      <c r="G2443" s="889"/>
    </row>
    <row r="2444" spans="7:7" ht="10.5" customHeight="1" x14ac:dyDescent="0.2">
      <c r="G2444" s="889"/>
    </row>
    <row r="2445" spans="7:7" ht="10.5" customHeight="1" x14ac:dyDescent="0.2">
      <c r="G2445" s="889"/>
    </row>
    <row r="2446" spans="7:7" ht="10.5" customHeight="1" x14ac:dyDescent="0.2">
      <c r="G2446" s="889"/>
    </row>
    <row r="2447" spans="7:7" ht="10.5" customHeight="1" x14ac:dyDescent="0.2">
      <c r="G2447" s="889"/>
    </row>
    <row r="2448" spans="7:7" ht="10.5" customHeight="1" x14ac:dyDescent="0.2">
      <c r="G2448" s="889"/>
    </row>
    <row r="2449" spans="7:7" ht="10.5" customHeight="1" x14ac:dyDescent="0.2">
      <c r="G2449" s="889"/>
    </row>
    <row r="2450" spans="7:7" ht="10.5" customHeight="1" x14ac:dyDescent="0.2">
      <c r="G2450" s="889"/>
    </row>
    <row r="2451" spans="7:7" ht="10.5" customHeight="1" x14ac:dyDescent="0.2">
      <c r="G2451" s="889"/>
    </row>
    <row r="2452" spans="7:7" ht="10.5" customHeight="1" x14ac:dyDescent="0.2">
      <c r="G2452" s="889"/>
    </row>
    <row r="2453" spans="7:7" ht="10.5" customHeight="1" x14ac:dyDescent="0.2">
      <c r="G2453" s="889"/>
    </row>
    <row r="2454" spans="7:7" ht="10.5" customHeight="1" x14ac:dyDescent="0.2">
      <c r="G2454" s="889"/>
    </row>
    <row r="2455" spans="7:7" ht="10.5" customHeight="1" x14ac:dyDescent="0.2">
      <c r="G2455" s="889"/>
    </row>
    <row r="2456" spans="7:7" ht="10.5" customHeight="1" x14ac:dyDescent="0.2">
      <c r="G2456" s="889"/>
    </row>
    <row r="2457" spans="7:7" ht="10.5" customHeight="1" x14ac:dyDescent="0.2">
      <c r="G2457" s="889"/>
    </row>
    <row r="2458" spans="7:7" ht="10.5" customHeight="1" x14ac:dyDescent="0.2">
      <c r="G2458" s="889"/>
    </row>
    <row r="2459" spans="7:7" ht="10.5" customHeight="1" x14ac:dyDescent="0.2">
      <c r="G2459" s="889"/>
    </row>
    <row r="2460" spans="7:7" ht="10.5" customHeight="1" x14ac:dyDescent="0.2">
      <c r="G2460" s="889"/>
    </row>
    <row r="2461" spans="7:7" ht="10.5" customHeight="1" x14ac:dyDescent="0.2">
      <c r="G2461" s="889"/>
    </row>
    <row r="2462" spans="7:7" ht="10.5" customHeight="1" x14ac:dyDescent="0.2">
      <c r="G2462" s="889"/>
    </row>
    <row r="2463" spans="7:7" ht="10.5" customHeight="1" x14ac:dyDescent="0.2">
      <c r="G2463" s="889"/>
    </row>
    <row r="2464" spans="7:7" ht="10.5" customHeight="1" x14ac:dyDescent="0.2">
      <c r="G2464" s="889"/>
    </row>
    <row r="2465" spans="7:7" ht="10.5" customHeight="1" x14ac:dyDescent="0.2">
      <c r="G2465" s="889"/>
    </row>
    <row r="2466" spans="7:7" ht="10.5" customHeight="1" x14ac:dyDescent="0.2">
      <c r="G2466" s="889"/>
    </row>
    <row r="2467" spans="7:7" ht="10.5" customHeight="1" x14ac:dyDescent="0.2">
      <c r="G2467" s="889"/>
    </row>
    <row r="2468" spans="7:7" ht="10.5" customHeight="1" x14ac:dyDescent="0.2">
      <c r="G2468" s="889"/>
    </row>
    <row r="2469" spans="7:7" ht="10.5" customHeight="1" x14ac:dyDescent="0.2">
      <c r="G2469" s="889"/>
    </row>
    <row r="2470" spans="7:7" ht="10.5" customHeight="1" x14ac:dyDescent="0.2">
      <c r="G2470" s="889"/>
    </row>
    <row r="2471" spans="7:7" ht="10.5" customHeight="1" x14ac:dyDescent="0.2">
      <c r="G2471" s="889"/>
    </row>
    <row r="2472" spans="7:7" ht="10.5" customHeight="1" x14ac:dyDescent="0.2">
      <c r="G2472" s="889"/>
    </row>
    <row r="2473" spans="7:7" ht="10.5" customHeight="1" x14ac:dyDescent="0.2">
      <c r="G2473" s="889"/>
    </row>
    <row r="2474" spans="7:7" ht="10.5" customHeight="1" x14ac:dyDescent="0.2">
      <c r="G2474" s="889"/>
    </row>
    <row r="2475" spans="7:7" ht="10.5" customHeight="1" x14ac:dyDescent="0.2">
      <c r="G2475" s="889"/>
    </row>
    <row r="2476" spans="7:7" ht="10.5" customHeight="1" x14ac:dyDescent="0.2">
      <c r="G2476" s="889"/>
    </row>
    <row r="2477" spans="7:7" ht="10.5" customHeight="1" x14ac:dyDescent="0.2">
      <c r="G2477" s="889"/>
    </row>
    <row r="2478" spans="7:7" ht="10.5" customHeight="1" x14ac:dyDescent="0.2">
      <c r="G2478" s="889"/>
    </row>
    <row r="2479" spans="7:7" ht="10.5" customHeight="1" x14ac:dyDescent="0.2">
      <c r="G2479" s="889"/>
    </row>
    <row r="2480" spans="7:7" ht="10.5" customHeight="1" x14ac:dyDescent="0.2">
      <c r="G2480" s="889"/>
    </row>
    <row r="2481" spans="7:7" ht="10.5" customHeight="1" x14ac:dyDescent="0.2">
      <c r="G2481" s="889"/>
    </row>
    <row r="2482" spans="7:7" ht="10.5" customHeight="1" x14ac:dyDescent="0.2">
      <c r="G2482" s="889"/>
    </row>
    <row r="2483" spans="7:7" ht="10.5" customHeight="1" x14ac:dyDescent="0.2">
      <c r="G2483" s="889"/>
    </row>
    <row r="2484" spans="7:7" ht="10.5" customHeight="1" x14ac:dyDescent="0.2">
      <c r="G2484" s="889"/>
    </row>
    <row r="2485" spans="7:7" ht="10.5" customHeight="1" x14ac:dyDescent="0.2">
      <c r="G2485" s="889"/>
    </row>
    <row r="2486" spans="7:7" ht="10.5" customHeight="1" x14ac:dyDescent="0.2">
      <c r="G2486" s="889"/>
    </row>
    <row r="2487" spans="7:7" ht="10.5" customHeight="1" x14ac:dyDescent="0.2">
      <c r="G2487" s="889"/>
    </row>
    <row r="2488" spans="7:7" ht="10.5" customHeight="1" x14ac:dyDescent="0.2">
      <c r="G2488" s="889"/>
    </row>
    <row r="2489" spans="7:7" ht="10.5" customHeight="1" x14ac:dyDescent="0.2">
      <c r="G2489" s="889"/>
    </row>
    <row r="2490" spans="7:7" ht="10.5" customHeight="1" x14ac:dyDescent="0.2">
      <c r="G2490" s="889"/>
    </row>
    <row r="2491" spans="7:7" ht="10.5" customHeight="1" x14ac:dyDescent="0.2">
      <c r="G2491" s="889"/>
    </row>
    <row r="2492" spans="7:7" ht="10.5" customHeight="1" x14ac:dyDescent="0.2">
      <c r="G2492" s="889"/>
    </row>
    <row r="2493" spans="7:7" ht="10.5" customHeight="1" x14ac:dyDescent="0.2">
      <c r="G2493" s="889"/>
    </row>
    <row r="2494" spans="7:7" ht="10.5" customHeight="1" x14ac:dyDescent="0.2">
      <c r="G2494" s="889"/>
    </row>
    <row r="2495" spans="7:7" ht="10.5" customHeight="1" x14ac:dyDescent="0.2">
      <c r="G2495" s="889"/>
    </row>
    <row r="2496" spans="7:7" ht="10.5" customHeight="1" x14ac:dyDescent="0.2">
      <c r="G2496" s="889"/>
    </row>
    <row r="2497" spans="7:7" ht="10.5" customHeight="1" x14ac:dyDescent="0.2">
      <c r="G2497" s="889"/>
    </row>
    <row r="2498" spans="7:7" ht="10.5" customHeight="1" x14ac:dyDescent="0.2">
      <c r="G2498" s="889"/>
    </row>
    <row r="2499" spans="7:7" ht="10.5" customHeight="1" x14ac:dyDescent="0.2">
      <c r="G2499" s="889"/>
    </row>
    <row r="2500" spans="7:7" ht="10.5" customHeight="1" x14ac:dyDescent="0.2">
      <c r="G2500" s="889"/>
    </row>
    <row r="2501" spans="7:7" ht="10.5" customHeight="1" x14ac:dyDescent="0.2">
      <c r="G2501" s="889"/>
    </row>
    <row r="2502" spans="7:7" ht="10.5" customHeight="1" x14ac:dyDescent="0.2">
      <c r="G2502" s="889"/>
    </row>
    <row r="2503" spans="7:7" ht="10.5" customHeight="1" x14ac:dyDescent="0.2">
      <c r="G2503" s="889"/>
    </row>
    <row r="2504" spans="7:7" ht="10.5" customHeight="1" x14ac:dyDescent="0.2">
      <c r="G2504" s="889"/>
    </row>
    <row r="2505" spans="7:7" ht="10.5" customHeight="1" x14ac:dyDescent="0.2">
      <c r="G2505" s="889"/>
    </row>
    <row r="2506" spans="7:7" ht="10.5" customHeight="1" x14ac:dyDescent="0.2">
      <c r="G2506" s="889"/>
    </row>
    <row r="2507" spans="7:7" ht="10.5" customHeight="1" x14ac:dyDescent="0.2">
      <c r="G2507" s="889"/>
    </row>
    <row r="2508" spans="7:7" ht="10.5" customHeight="1" x14ac:dyDescent="0.2">
      <c r="G2508" s="889"/>
    </row>
    <row r="2509" spans="7:7" ht="10.5" customHeight="1" x14ac:dyDescent="0.2">
      <c r="G2509" s="889"/>
    </row>
    <row r="2510" spans="7:7" ht="10.5" customHeight="1" x14ac:dyDescent="0.2">
      <c r="G2510" s="889"/>
    </row>
    <row r="2511" spans="7:7" ht="10.5" customHeight="1" x14ac:dyDescent="0.2">
      <c r="G2511" s="889"/>
    </row>
    <row r="2512" spans="7:7" ht="10.5" customHeight="1" x14ac:dyDescent="0.2">
      <c r="G2512" s="889"/>
    </row>
    <row r="2513" spans="7:7" ht="10.5" customHeight="1" x14ac:dyDescent="0.2">
      <c r="G2513" s="889"/>
    </row>
    <row r="2514" spans="7:7" ht="10.5" customHeight="1" x14ac:dyDescent="0.2">
      <c r="G2514" s="889"/>
    </row>
    <row r="2515" spans="7:7" ht="10.5" customHeight="1" x14ac:dyDescent="0.2">
      <c r="G2515" s="889"/>
    </row>
    <row r="2516" spans="7:7" ht="10.5" customHeight="1" x14ac:dyDescent="0.2">
      <c r="G2516" s="889"/>
    </row>
    <row r="2517" spans="7:7" ht="10.5" customHeight="1" x14ac:dyDescent="0.2">
      <c r="G2517" s="889"/>
    </row>
    <row r="2518" spans="7:7" ht="10.5" customHeight="1" x14ac:dyDescent="0.2">
      <c r="G2518" s="889"/>
    </row>
    <row r="2519" spans="7:7" ht="10.5" customHeight="1" x14ac:dyDescent="0.2">
      <c r="G2519" s="889"/>
    </row>
    <row r="2520" spans="7:7" ht="10.5" customHeight="1" x14ac:dyDescent="0.2">
      <c r="G2520" s="889"/>
    </row>
    <row r="2521" spans="7:7" ht="10.5" customHeight="1" x14ac:dyDescent="0.2">
      <c r="G2521" s="889"/>
    </row>
    <row r="2522" spans="7:7" ht="10.5" customHeight="1" x14ac:dyDescent="0.2">
      <c r="G2522" s="889"/>
    </row>
    <row r="2523" spans="7:7" ht="10.5" customHeight="1" x14ac:dyDescent="0.2">
      <c r="G2523" s="889"/>
    </row>
    <row r="2524" spans="7:7" ht="10.5" customHeight="1" x14ac:dyDescent="0.2">
      <c r="G2524" s="889"/>
    </row>
    <row r="2525" spans="7:7" ht="10.5" customHeight="1" x14ac:dyDescent="0.2">
      <c r="G2525" s="889"/>
    </row>
    <row r="2526" spans="7:7" ht="10.5" customHeight="1" x14ac:dyDescent="0.2">
      <c r="G2526" s="889"/>
    </row>
    <row r="2527" spans="7:7" ht="10.5" customHeight="1" x14ac:dyDescent="0.2">
      <c r="G2527" s="889"/>
    </row>
    <row r="2528" spans="7:7" ht="10.5" customHeight="1" x14ac:dyDescent="0.2">
      <c r="G2528" s="889"/>
    </row>
    <row r="2529" spans="7:7" ht="10.5" customHeight="1" x14ac:dyDescent="0.2">
      <c r="G2529" s="889"/>
    </row>
    <row r="2530" spans="7:7" ht="10.5" customHeight="1" x14ac:dyDescent="0.2">
      <c r="G2530" s="889"/>
    </row>
    <row r="2531" spans="7:7" ht="10.5" customHeight="1" x14ac:dyDescent="0.2">
      <c r="G2531" s="889"/>
    </row>
    <row r="2532" spans="7:7" ht="10.5" customHeight="1" x14ac:dyDescent="0.2">
      <c r="G2532" s="889"/>
    </row>
    <row r="2533" spans="7:7" ht="10.5" customHeight="1" x14ac:dyDescent="0.2">
      <c r="G2533" s="889"/>
    </row>
    <row r="2534" spans="7:7" ht="10.5" customHeight="1" x14ac:dyDescent="0.2">
      <c r="G2534" s="889"/>
    </row>
    <row r="2535" spans="7:7" ht="10.5" customHeight="1" x14ac:dyDescent="0.2">
      <c r="G2535" s="889"/>
    </row>
    <row r="2536" spans="7:7" ht="10.5" customHeight="1" x14ac:dyDescent="0.2">
      <c r="G2536" s="889"/>
    </row>
    <row r="2537" spans="7:7" ht="10.5" customHeight="1" x14ac:dyDescent="0.2">
      <c r="G2537" s="889"/>
    </row>
    <row r="2538" spans="7:7" ht="10.5" customHeight="1" x14ac:dyDescent="0.2">
      <c r="G2538" s="889"/>
    </row>
    <row r="2539" spans="7:7" ht="10.5" customHeight="1" x14ac:dyDescent="0.2">
      <c r="G2539" s="889"/>
    </row>
    <row r="2540" spans="7:7" ht="10.5" customHeight="1" x14ac:dyDescent="0.2">
      <c r="G2540" s="889"/>
    </row>
    <row r="2541" spans="7:7" ht="10.5" customHeight="1" x14ac:dyDescent="0.2">
      <c r="G2541" s="889"/>
    </row>
    <row r="2542" spans="7:7" ht="10.5" customHeight="1" x14ac:dyDescent="0.2">
      <c r="G2542" s="889"/>
    </row>
    <row r="2543" spans="7:7" ht="10.5" customHeight="1" x14ac:dyDescent="0.2">
      <c r="G2543" s="889"/>
    </row>
    <row r="2544" spans="7:7" ht="10.5" customHeight="1" x14ac:dyDescent="0.2">
      <c r="G2544" s="889"/>
    </row>
    <row r="2545" spans="7:7" ht="10.5" customHeight="1" x14ac:dyDescent="0.2">
      <c r="G2545" s="889"/>
    </row>
    <row r="2546" spans="7:7" ht="10.5" customHeight="1" x14ac:dyDescent="0.2">
      <c r="G2546" s="889"/>
    </row>
    <row r="2547" spans="7:7" ht="10.5" customHeight="1" x14ac:dyDescent="0.2">
      <c r="G2547" s="889"/>
    </row>
    <row r="2548" spans="7:7" ht="10.5" customHeight="1" x14ac:dyDescent="0.2">
      <c r="G2548" s="889"/>
    </row>
    <row r="2549" spans="7:7" ht="10.5" customHeight="1" x14ac:dyDescent="0.2">
      <c r="G2549" s="889"/>
    </row>
    <row r="2550" spans="7:7" ht="10.5" customHeight="1" x14ac:dyDescent="0.2">
      <c r="G2550" s="889"/>
    </row>
    <row r="2551" spans="7:7" ht="10.5" customHeight="1" x14ac:dyDescent="0.2">
      <c r="G2551" s="889"/>
    </row>
    <row r="2552" spans="7:7" ht="10.5" customHeight="1" x14ac:dyDescent="0.2">
      <c r="G2552" s="889"/>
    </row>
    <row r="2553" spans="7:7" ht="10.5" customHeight="1" x14ac:dyDescent="0.2">
      <c r="G2553" s="889"/>
    </row>
    <row r="2554" spans="7:7" ht="10.5" customHeight="1" x14ac:dyDescent="0.2">
      <c r="G2554" s="889"/>
    </row>
    <row r="2555" spans="7:7" ht="10.5" customHeight="1" x14ac:dyDescent="0.2">
      <c r="G2555" s="889"/>
    </row>
    <row r="2556" spans="7:7" ht="10.5" customHeight="1" x14ac:dyDescent="0.2">
      <c r="G2556" s="889"/>
    </row>
    <row r="2557" spans="7:7" ht="10.5" customHeight="1" x14ac:dyDescent="0.2">
      <c r="G2557" s="889"/>
    </row>
    <row r="2558" spans="7:7" ht="10.5" customHeight="1" x14ac:dyDescent="0.2">
      <c r="G2558" s="889"/>
    </row>
    <row r="2559" spans="7:7" ht="10.5" customHeight="1" x14ac:dyDescent="0.2">
      <c r="G2559" s="889"/>
    </row>
    <row r="2560" spans="7:7" ht="10.5" customHeight="1" x14ac:dyDescent="0.2">
      <c r="G2560" s="889"/>
    </row>
    <row r="2561" spans="7:7" ht="10.5" customHeight="1" x14ac:dyDescent="0.2">
      <c r="G2561" s="889"/>
    </row>
    <row r="2562" spans="7:7" ht="10.5" customHeight="1" x14ac:dyDescent="0.2">
      <c r="G2562" s="889"/>
    </row>
    <row r="2563" spans="7:7" ht="10.5" customHeight="1" x14ac:dyDescent="0.2">
      <c r="G2563" s="889"/>
    </row>
    <row r="2564" spans="7:7" ht="10.5" customHeight="1" x14ac:dyDescent="0.2">
      <c r="G2564" s="889"/>
    </row>
    <row r="2565" spans="7:7" ht="10.5" customHeight="1" x14ac:dyDescent="0.2">
      <c r="G2565" s="889"/>
    </row>
    <row r="2566" spans="7:7" ht="10.5" customHeight="1" x14ac:dyDescent="0.2">
      <c r="G2566" s="889"/>
    </row>
    <row r="2567" spans="7:7" ht="10.5" customHeight="1" x14ac:dyDescent="0.2">
      <c r="G2567" s="889"/>
    </row>
    <row r="2568" spans="7:7" ht="10.5" customHeight="1" x14ac:dyDescent="0.2">
      <c r="G2568" s="889"/>
    </row>
    <row r="2569" spans="7:7" ht="10.5" customHeight="1" x14ac:dyDescent="0.2">
      <c r="G2569" s="889"/>
    </row>
    <row r="2570" spans="7:7" ht="10.5" customHeight="1" x14ac:dyDescent="0.2">
      <c r="G2570" s="889"/>
    </row>
    <row r="2571" spans="7:7" ht="10.5" customHeight="1" x14ac:dyDescent="0.2">
      <c r="G2571" s="889"/>
    </row>
    <row r="2572" spans="7:7" ht="10.5" customHeight="1" x14ac:dyDescent="0.2">
      <c r="G2572" s="889"/>
    </row>
    <row r="2573" spans="7:7" ht="10.5" customHeight="1" x14ac:dyDescent="0.2">
      <c r="G2573" s="889"/>
    </row>
    <row r="2574" spans="7:7" ht="10.5" customHeight="1" x14ac:dyDescent="0.2">
      <c r="G2574" s="889"/>
    </row>
    <row r="2575" spans="7:7" ht="10.5" customHeight="1" x14ac:dyDescent="0.2">
      <c r="G2575" s="889"/>
    </row>
    <row r="2576" spans="7:7" ht="10.5" customHeight="1" x14ac:dyDescent="0.2">
      <c r="G2576" s="889"/>
    </row>
    <row r="2577" spans="7:7" ht="10.5" customHeight="1" x14ac:dyDescent="0.2">
      <c r="G2577" s="889"/>
    </row>
    <row r="2578" spans="7:7" ht="10.5" customHeight="1" x14ac:dyDescent="0.2">
      <c r="G2578" s="889"/>
    </row>
    <row r="2579" spans="7:7" ht="10.5" customHeight="1" x14ac:dyDescent="0.2">
      <c r="G2579" s="889"/>
    </row>
    <row r="2580" spans="7:7" ht="10.5" customHeight="1" x14ac:dyDescent="0.2">
      <c r="G2580" s="889"/>
    </row>
    <row r="2581" spans="7:7" ht="10.5" customHeight="1" x14ac:dyDescent="0.2">
      <c r="G2581" s="889"/>
    </row>
    <row r="2582" spans="7:7" ht="10.5" customHeight="1" x14ac:dyDescent="0.2">
      <c r="G2582" s="889"/>
    </row>
    <row r="2583" spans="7:7" ht="10.5" customHeight="1" x14ac:dyDescent="0.2">
      <c r="G2583" s="889"/>
    </row>
    <row r="2584" spans="7:7" ht="10.5" customHeight="1" x14ac:dyDescent="0.2">
      <c r="G2584" s="889"/>
    </row>
    <row r="2585" spans="7:7" ht="10.5" customHeight="1" x14ac:dyDescent="0.2">
      <c r="G2585" s="889"/>
    </row>
    <row r="2586" spans="7:7" ht="10.5" customHeight="1" x14ac:dyDescent="0.2">
      <c r="G2586" s="889"/>
    </row>
    <row r="2587" spans="7:7" ht="10.5" customHeight="1" x14ac:dyDescent="0.2">
      <c r="G2587" s="889"/>
    </row>
    <row r="2588" spans="7:7" ht="10.5" customHeight="1" x14ac:dyDescent="0.2">
      <c r="G2588" s="889"/>
    </row>
    <row r="2589" spans="7:7" ht="10.5" customHeight="1" x14ac:dyDescent="0.2">
      <c r="G2589" s="889"/>
    </row>
    <row r="2590" spans="7:7" ht="10.5" customHeight="1" x14ac:dyDescent="0.2">
      <c r="G2590" s="889"/>
    </row>
    <row r="2591" spans="7:7" ht="10.5" customHeight="1" x14ac:dyDescent="0.2">
      <c r="G2591" s="889"/>
    </row>
    <row r="2592" spans="7:7" ht="10.5" customHeight="1" x14ac:dyDescent="0.2">
      <c r="G2592" s="889"/>
    </row>
    <row r="2593" spans="7:7" ht="10.5" customHeight="1" x14ac:dyDescent="0.2">
      <c r="G2593" s="889"/>
    </row>
    <row r="2594" spans="7:7" ht="10.5" customHeight="1" x14ac:dyDescent="0.2">
      <c r="G2594" s="889"/>
    </row>
    <row r="2595" spans="7:7" ht="10.5" customHeight="1" x14ac:dyDescent="0.2">
      <c r="G2595" s="889"/>
    </row>
    <row r="2596" spans="7:7" ht="10.5" customHeight="1" x14ac:dyDescent="0.2">
      <c r="G2596" s="889"/>
    </row>
    <row r="2597" spans="7:7" ht="10.5" customHeight="1" x14ac:dyDescent="0.2">
      <c r="G2597" s="889"/>
    </row>
    <row r="2598" spans="7:7" ht="10.5" customHeight="1" x14ac:dyDescent="0.2">
      <c r="G2598" s="889"/>
    </row>
    <row r="2599" spans="7:7" ht="10.5" customHeight="1" x14ac:dyDescent="0.2">
      <c r="G2599" s="889"/>
    </row>
    <row r="2600" spans="7:7" ht="10.5" customHeight="1" x14ac:dyDescent="0.2">
      <c r="G2600" s="889"/>
    </row>
    <row r="2601" spans="7:7" ht="10.5" customHeight="1" x14ac:dyDescent="0.2">
      <c r="G2601" s="889"/>
    </row>
    <row r="2602" spans="7:7" ht="10.5" customHeight="1" x14ac:dyDescent="0.2">
      <c r="G2602" s="889"/>
    </row>
    <row r="2603" spans="7:7" ht="10.5" customHeight="1" x14ac:dyDescent="0.2">
      <c r="G2603" s="889"/>
    </row>
    <row r="2604" spans="7:7" ht="10.5" customHeight="1" x14ac:dyDescent="0.2">
      <c r="G2604" s="889"/>
    </row>
    <row r="2605" spans="7:7" ht="10.5" customHeight="1" x14ac:dyDescent="0.2">
      <c r="G2605" s="889"/>
    </row>
    <row r="2606" spans="7:7" ht="10.5" customHeight="1" x14ac:dyDescent="0.2">
      <c r="G2606" s="889"/>
    </row>
    <row r="2607" spans="7:7" ht="10.5" customHeight="1" x14ac:dyDescent="0.2">
      <c r="G2607" s="889"/>
    </row>
    <row r="2608" spans="7:7" ht="10.5" customHeight="1" x14ac:dyDescent="0.2">
      <c r="G2608" s="889"/>
    </row>
    <row r="2609" spans="7:7" ht="10.5" customHeight="1" x14ac:dyDescent="0.2">
      <c r="G2609" s="889"/>
    </row>
    <row r="2610" spans="7:7" ht="10.5" customHeight="1" x14ac:dyDescent="0.2">
      <c r="G2610" s="889"/>
    </row>
    <row r="2611" spans="7:7" ht="10.5" customHeight="1" x14ac:dyDescent="0.2">
      <c r="G2611" s="889"/>
    </row>
    <row r="2612" spans="7:7" ht="10.5" customHeight="1" x14ac:dyDescent="0.2">
      <c r="G2612" s="889"/>
    </row>
    <row r="2613" spans="7:7" ht="10.5" customHeight="1" x14ac:dyDescent="0.2">
      <c r="G2613" s="889"/>
    </row>
    <row r="2614" spans="7:7" ht="10.5" customHeight="1" x14ac:dyDescent="0.2">
      <c r="G2614" s="889"/>
    </row>
    <row r="2615" spans="7:7" ht="10.5" customHeight="1" x14ac:dyDescent="0.2">
      <c r="G2615" s="889"/>
    </row>
    <row r="2616" spans="7:7" ht="10.5" customHeight="1" x14ac:dyDescent="0.2">
      <c r="G2616" s="889"/>
    </row>
    <row r="2617" spans="7:7" ht="10.5" customHeight="1" x14ac:dyDescent="0.2">
      <c r="G2617" s="889"/>
    </row>
    <row r="2618" spans="7:7" ht="10.5" customHeight="1" x14ac:dyDescent="0.2">
      <c r="G2618" s="889"/>
    </row>
    <row r="2619" spans="7:7" ht="10.5" customHeight="1" x14ac:dyDescent="0.2">
      <c r="G2619" s="889"/>
    </row>
    <row r="2620" spans="7:7" ht="10.5" customHeight="1" x14ac:dyDescent="0.2">
      <c r="G2620" s="889"/>
    </row>
    <row r="2621" spans="7:7" ht="10.5" customHeight="1" x14ac:dyDescent="0.2">
      <c r="G2621" s="889"/>
    </row>
    <row r="2622" spans="7:7" ht="10.5" customHeight="1" x14ac:dyDescent="0.2">
      <c r="G2622" s="889"/>
    </row>
    <row r="2623" spans="7:7" ht="10.5" customHeight="1" x14ac:dyDescent="0.2">
      <c r="G2623" s="889"/>
    </row>
    <row r="2624" spans="7:7" ht="10.5" customHeight="1" x14ac:dyDescent="0.2">
      <c r="G2624" s="889"/>
    </row>
    <row r="2625" spans="7:7" ht="10.5" customHeight="1" x14ac:dyDescent="0.2">
      <c r="G2625" s="889"/>
    </row>
    <row r="2626" spans="7:7" ht="10.5" customHeight="1" x14ac:dyDescent="0.2">
      <c r="G2626" s="889"/>
    </row>
    <row r="2627" spans="7:7" ht="10.5" customHeight="1" x14ac:dyDescent="0.2">
      <c r="G2627" s="889"/>
    </row>
    <row r="2628" spans="7:7" ht="10.5" customHeight="1" x14ac:dyDescent="0.2">
      <c r="G2628" s="889"/>
    </row>
    <row r="2629" spans="7:7" ht="10.5" customHeight="1" x14ac:dyDescent="0.2">
      <c r="G2629" s="889"/>
    </row>
    <row r="2630" spans="7:7" ht="10.5" customHeight="1" x14ac:dyDescent="0.2">
      <c r="G2630" s="889"/>
    </row>
    <row r="2631" spans="7:7" ht="10.5" customHeight="1" x14ac:dyDescent="0.2">
      <c r="G2631" s="889"/>
    </row>
    <row r="2632" spans="7:7" ht="10.5" customHeight="1" x14ac:dyDescent="0.2">
      <c r="G2632" s="889"/>
    </row>
    <row r="2633" spans="7:7" ht="10.5" customHeight="1" x14ac:dyDescent="0.2">
      <c r="G2633" s="889"/>
    </row>
    <row r="2634" spans="7:7" ht="10.5" customHeight="1" x14ac:dyDescent="0.2">
      <c r="G2634" s="889"/>
    </row>
    <row r="2635" spans="7:7" ht="10.5" customHeight="1" x14ac:dyDescent="0.2">
      <c r="G2635" s="889"/>
    </row>
    <row r="2636" spans="7:7" ht="10.5" customHeight="1" x14ac:dyDescent="0.2">
      <c r="G2636" s="889"/>
    </row>
    <row r="2637" spans="7:7" ht="10.5" customHeight="1" x14ac:dyDescent="0.2">
      <c r="G2637" s="889"/>
    </row>
    <row r="2638" spans="7:7" ht="10.5" customHeight="1" x14ac:dyDescent="0.2">
      <c r="G2638" s="889"/>
    </row>
    <row r="2639" spans="7:7" ht="10.5" customHeight="1" x14ac:dyDescent="0.2">
      <c r="G2639" s="889"/>
    </row>
    <row r="2640" spans="7:7" ht="10.5" customHeight="1" x14ac:dyDescent="0.2">
      <c r="G2640" s="889"/>
    </row>
    <row r="2641" spans="7:7" ht="10.5" customHeight="1" x14ac:dyDescent="0.2">
      <c r="G2641" s="889"/>
    </row>
    <row r="2642" spans="7:7" ht="10.5" customHeight="1" x14ac:dyDescent="0.2">
      <c r="G2642" s="889"/>
    </row>
    <row r="2643" spans="7:7" ht="10.5" customHeight="1" x14ac:dyDescent="0.2">
      <c r="G2643" s="889"/>
    </row>
    <row r="2644" spans="7:7" ht="10.5" customHeight="1" x14ac:dyDescent="0.2">
      <c r="G2644" s="889"/>
    </row>
    <row r="2645" spans="7:7" ht="10.5" customHeight="1" x14ac:dyDescent="0.2">
      <c r="G2645" s="889"/>
    </row>
    <row r="2646" spans="7:7" ht="10.5" customHeight="1" x14ac:dyDescent="0.2">
      <c r="G2646" s="889"/>
    </row>
    <row r="2647" spans="7:7" ht="10.5" customHeight="1" x14ac:dyDescent="0.2">
      <c r="G2647" s="889"/>
    </row>
    <row r="2648" spans="7:7" ht="10.5" customHeight="1" x14ac:dyDescent="0.2">
      <c r="G2648" s="889"/>
    </row>
    <row r="2649" spans="7:7" ht="10.5" customHeight="1" x14ac:dyDescent="0.2">
      <c r="G2649" s="889"/>
    </row>
    <row r="2650" spans="7:7" ht="10.5" customHeight="1" x14ac:dyDescent="0.2">
      <c r="G2650" s="889"/>
    </row>
    <row r="2651" spans="7:7" ht="10.5" customHeight="1" x14ac:dyDescent="0.2">
      <c r="G2651" s="889"/>
    </row>
    <row r="2652" spans="7:7" ht="10.5" customHeight="1" x14ac:dyDescent="0.2">
      <c r="G2652" s="889"/>
    </row>
    <row r="2653" spans="7:7" ht="10.5" customHeight="1" x14ac:dyDescent="0.2">
      <c r="G2653" s="889"/>
    </row>
    <row r="2654" spans="7:7" ht="10.5" customHeight="1" x14ac:dyDescent="0.2">
      <c r="G2654" s="889"/>
    </row>
    <row r="2655" spans="7:7" ht="10.5" customHeight="1" x14ac:dyDescent="0.2">
      <c r="G2655" s="889"/>
    </row>
    <row r="2656" spans="7:7" ht="10.5" customHeight="1" x14ac:dyDescent="0.2">
      <c r="G2656" s="889"/>
    </row>
    <row r="2657" spans="7:7" ht="10.5" customHeight="1" x14ac:dyDescent="0.2">
      <c r="G2657" s="889"/>
    </row>
    <row r="2658" spans="7:7" ht="10.5" customHeight="1" x14ac:dyDescent="0.2">
      <c r="G2658" s="889"/>
    </row>
    <row r="2659" spans="7:7" ht="10.5" customHeight="1" x14ac:dyDescent="0.2">
      <c r="G2659" s="889"/>
    </row>
    <row r="2660" spans="7:7" ht="10.5" customHeight="1" x14ac:dyDescent="0.2">
      <c r="G2660" s="889"/>
    </row>
    <row r="2661" spans="7:7" ht="10.5" customHeight="1" x14ac:dyDescent="0.2">
      <c r="G2661" s="889"/>
    </row>
    <row r="2662" spans="7:7" ht="10.5" customHeight="1" x14ac:dyDescent="0.2">
      <c r="G2662" s="889"/>
    </row>
    <row r="2663" spans="7:7" ht="10.5" customHeight="1" x14ac:dyDescent="0.2">
      <c r="G2663" s="889"/>
    </row>
    <row r="2664" spans="7:7" ht="10.5" customHeight="1" x14ac:dyDescent="0.2">
      <c r="G2664" s="889"/>
    </row>
    <row r="2665" spans="7:7" ht="10.5" customHeight="1" x14ac:dyDescent="0.2">
      <c r="G2665" s="889"/>
    </row>
    <row r="2666" spans="7:7" ht="10.5" customHeight="1" x14ac:dyDescent="0.2">
      <c r="G2666" s="889"/>
    </row>
    <row r="2667" spans="7:7" ht="10.5" customHeight="1" x14ac:dyDescent="0.2">
      <c r="G2667" s="889"/>
    </row>
    <row r="2668" spans="7:7" ht="10.5" customHeight="1" x14ac:dyDescent="0.2">
      <c r="G2668" s="889"/>
    </row>
    <row r="2669" spans="7:7" ht="10.5" customHeight="1" x14ac:dyDescent="0.2">
      <c r="G2669" s="889"/>
    </row>
    <row r="2670" spans="7:7" ht="10.5" customHeight="1" x14ac:dyDescent="0.2">
      <c r="G2670" s="889"/>
    </row>
    <row r="2671" spans="7:7" ht="10.5" customHeight="1" x14ac:dyDescent="0.2">
      <c r="G2671" s="889"/>
    </row>
    <row r="2672" spans="7:7" ht="10.5" customHeight="1" x14ac:dyDescent="0.2">
      <c r="G2672" s="889"/>
    </row>
    <row r="2673" spans="7:7" ht="10.5" customHeight="1" x14ac:dyDescent="0.2">
      <c r="G2673" s="889"/>
    </row>
    <row r="2674" spans="7:7" ht="10.5" customHeight="1" x14ac:dyDescent="0.2">
      <c r="G2674" s="889"/>
    </row>
    <row r="2675" spans="7:7" ht="10.5" customHeight="1" x14ac:dyDescent="0.2">
      <c r="G2675" s="889"/>
    </row>
    <row r="2676" spans="7:7" ht="10.5" customHeight="1" x14ac:dyDescent="0.2">
      <c r="G2676" s="889"/>
    </row>
    <row r="2677" spans="7:7" ht="10.5" customHeight="1" x14ac:dyDescent="0.2">
      <c r="G2677" s="889"/>
    </row>
    <row r="2678" spans="7:7" ht="10.5" customHeight="1" x14ac:dyDescent="0.2">
      <c r="G2678" s="889"/>
    </row>
    <row r="2679" spans="7:7" ht="10.5" customHeight="1" x14ac:dyDescent="0.2">
      <c r="G2679" s="889"/>
    </row>
    <row r="2680" spans="7:7" ht="10.5" customHeight="1" x14ac:dyDescent="0.2">
      <c r="G2680" s="889"/>
    </row>
    <row r="2681" spans="7:7" ht="10.5" customHeight="1" x14ac:dyDescent="0.2">
      <c r="G2681" s="889"/>
    </row>
    <row r="2682" spans="7:7" ht="10.5" customHeight="1" x14ac:dyDescent="0.2">
      <c r="G2682" s="889"/>
    </row>
    <row r="2683" spans="7:7" ht="10.5" customHeight="1" x14ac:dyDescent="0.2">
      <c r="G2683" s="889"/>
    </row>
    <row r="2684" spans="7:7" ht="10.5" customHeight="1" x14ac:dyDescent="0.2">
      <c r="G2684" s="889"/>
    </row>
    <row r="2685" spans="7:7" ht="10.5" customHeight="1" x14ac:dyDescent="0.2">
      <c r="G2685" s="889"/>
    </row>
    <row r="2686" spans="7:7" ht="10.5" customHeight="1" x14ac:dyDescent="0.2">
      <c r="G2686" s="889"/>
    </row>
    <row r="2687" spans="7:7" ht="10.5" customHeight="1" x14ac:dyDescent="0.2">
      <c r="G2687" s="889"/>
    </row>
    <row r="2688" spans="7:7" ht="10.5" customHeight="1" x14ac:dyDescent="0.2">
      <c r="G2688" s="889"/>
    </row>
    <row r="2689" spans="7:7" ht="10.5" customHeight="1" x14ac:dyDescent="0.2">
      <c r="G2689" s="889"/>
    </row>
    <row r="2690" spans="7:7" ht="10.5" customHeight="1" x14ac:dyDescent="0.2">
      <c r="G2690" s="889"/>
    </row>
    <row r="2691" spans="7:7" ht="10.5" customHeight="1" x14ac:dyDescent="0.2">
      <c r="G2691" s="889"/>
    </row>
    <row r="2692" spans="7:7" ht="10.5" customHeight="1" x14ac:dyDescent="0.2">
      <c r="G2692" s="889"/>
    </row>
    <row r="2693" spans="7:7" ht="10.5" customHeight="1" x14ac:dyDescent="0.2">
      <c r="G2693" s="889"/>
    </row>
    <row r="2694" spans="7:7" ht="10.5" customHeight="1" x14ac:dyDescent="0.2">
      <c r="G2694" s="889"/>
    </row>
    <row r="2695" spans="7:7" ht="10.5" customHeight="1" x14ac:dyDescent="0.2">
      <c r="G2695" s="889"/>
    </row>
    <row r="2696" spans="7:7" ht="10.5" customHeight="1" x14ac:dyDescent="0.2">
      <c r="G2696" s="889"/>
    </row>
    <row r="2697" spans="7:7" ht="10.5" customHeight="1" x14ac:dyDescent="0.2">
      <c r="G2697" s="889"/>
    </row>
    <row r="2698" spans="7:7" ht="10.5" customHeight="1" x14ac:dyDescent="0.2">
      <c r="G2698" s="889"/>
    </row>
    <row r="2699" spans="7:7" ht="10.5" customHeight="1" x14ac:dyDescent="0.2">
      <c r="G2699" s="889"/>
    </row>
    <row r="2700" spans="7:7" ht="10.5" customHeight="1" x14ac:dyDescent="0.2">
      <c r="G2700" s="889"/>
    </row>
    <row r="2701" spans="7:7" ht="10.5" customHeight="1" x14ac:dyDescent="0.2">
      <c r="G2701" s="889"/>
    </row>
    <row r="2702" spans="7:7" ht="10.5" customHeight="1" x14ac:dyDescent="0.2">
      <c r="G2702" s="889"/>
    </row>
    <row r="2703" spans="7:7" ht="10.5" customHeight="1" x14ac:dyDescent="0.2">
      <c r="G2703" s="889"/>
    </row>
    <row r="2704" spans="7:7" ht="10.5" customHeight="1" x14ac:dyDescent="0.2">
      <c r="G2704" s="889"/>
    </row>
    <row r="2705" spans="7:7" ht="10.5" customHeight="1" x14ac:dyDescent="0.2">
      <c r="G2705" s="889"/>
    </row>
    <row r="2706" spans="7:7" ht="10.5" customHeight="1" x14ac:dyDescent="0.2">
      <c r="G2706" s="889"/>
    </row>
    <row r="2707" spans="7:7" ht="10.5" customHeight="1" x14ac:dyDescent="0.2">
      <c r="G2707" s="889"/>
    </row>
    <row r="2708" spans="7:7" ht="10.5" customHeight="1" x14ac:dyDescent="0.2">
      <c r="G2708" s="889"/>
    </row>
    <row r="2709" spans="7:7" ht="10.5" customHeight="1" x14ac:dyDescent="0.2">
      <c r="G2709" s="889"/>
    </row>
    <row r="2710" spans="7:7" ht="10.5" customHeight="1" x14ac:dyDescent="0.2">
      <c r="G2710" s="889"/>
    </row>
    <row r="2711" spans="7:7" ht="10.5" customHeight="1" x14ac:dyDescent="0.2">
      <c r="G2711" s="889"/>
    </row>
    <row r="2712" spans="7:7" ht="10.5" customHeight="1" x14ac:dyDescent="0.2">
      <c r="G2712" s="889"/>
    </row>
    <row r="2713" spans="7:7" ht="10.5" customHeight="1" x14ac:dyDescent="0.2">
      <c r="G2713" s="889"/>
    </row>
    <row r="2714" spans="7:7" ht="10.5" customHeight="1" x14ac:dyDescent="0.2">
      <c r="G2714" s="889"/>
    </row>
    <row r="2715" spans="7:7" ht="10.5" customHeight="1" x14ac:dyDescent="0.2">
      <c r="G2715" s="889"/>
    </row>
    <row r="2716" spans="7:7" ht="10.5" customHeight="1" x14ac:dyDescent="0.2">
      <c r="G2716" s="889"/>
    </row>
    <row r="2717" spans="7:7" ht="10.5" customHeight="1" x14ac:dyDescent="0.2">
      <c r="G2717" s="889"/>
    </row>
    <row r="2718" spans="7:7" ht="10.5" customHeight="1" x14ac:dyDescent="0.2">
      <c r="G2718" s="889"/>
    </row>
    <row r="2719" spans="7:7" ht="10.5" customHeight="1" x14ac:dyDescent="0.2">
      <c r="G2719" s="889"/>
    </row>
    <row r="2720" spans="7:7" ht="10.5" customHeight="1" x14ac:dyDescent="0.2">
      <c r="G2720" s="889"/>
    </row>
    <row r="2721" spans="7:7" ht="10.5" customHeight="1" x14ac:dyDescent="0.2">
      <c r="G2721" s="889"/>
    </row>
    <row r="2722" spans="7:7" ht="10.5" customHeight="1" x14ac:dyDescent="0.2">
      <c r="G2722" s="889"/>
    </row>
    <row r="2723" spans="7:7" ht="10.5" customHeight="1" x14ac:dyDescent="0.2">
      <c r="G2723" s="889"/>
    </row>
    <row r="2724" spans="7:7" ht="10.5" customHeight="1" x14ac:dyDescent="0.2">
      <c r="G2724" s="889"/>
    </row>
    <row r="2725" spans="7:7" ht="10.5" customHeight="1" x14ac:dyDescent="0.2">
      <c r="G2725" s="889"/>
    </row>
    <row r="2726" spans="7:7" ht="10.5" customHeight="1" x14ac:dyDescent="0.2">
      <c r="G2726" s="889"/>
    </row>
    <row r="2727" spans="7:7" ht="10.5" customHeight="1" x14ac:dyDescent="0.2">
      <c r="G2727" s="889"/>
    </row>
    <row r="2728" spans="7:7" ht="10.5" customHeight="1" x14ac:dyDescent="0.2">
      <c r="G2728" s="889"/>
    </row>
    <row r="2729" spans="7:7" ht="10.5" customHeight="1" x14ac:dyDescent="0.2">
      <c r="G2729" s="889"/>
    </row>
    <row r="2730" spans="7:7" ht="10.5" customHeight="1" x14ac:dyDescent="0.2">
      <c r="G2730" s="889"/>
    </row>
    <row r="2731" spans="7:7" ht="10.5" customHeight="1" x14ac:dyDescent="0.2">
      <c r="G2731" s="889"/>
    </row>
    <row r="2732" spans="7:7" ht="10.5" customHeight="1" x14ac:dyDescent="0.2">
      <c r="G2732" s="889"/>
    </row>
    <row r="2733" spans="7:7" ht="10.5" customHeight="1" x14ac:dyDescent="0.2">
      <c r="G2733" s="889"/>
    </row>
    <row r="2734" spans="7:7" ht="10.5" customHeight="1" x14ac:dyDescent="0.2">
      <c r="G2734" s="889"/>
    </row>
    <row r="2735" spans="7:7" ht="10.5" customHeight="1" x14ac:dyDescent="0.2">
      <c r="G2735" s="889"/>
    </row>
    <row r="2736" spans="7:7" ht="10.5" customHeight="1" x14ac:dyDescent="0.2">
      <c r="G2736" s="889"/>
    </row>
    <row r="2737" spans="7:7" ht="10.5" customHeight="1" x14ac:dyDescent="0.2">
      <c r="G2737" s="889"/>
    </row>
    <row r="2738" spans="7:7" ht="10.5" customHeight="1" x14ac:dyDescent="0.2">
      <c r="G2738" s="889"/>
    </row>
    <row r="2739" spans="7:7" ht="10.5" customHeight="1" x14ac:dyDescent="0.2">
      <c r="G2739" s="889"/>
    </row>
    <row r="2740" spans="7:7" ht="10.5" customHeight="1" x14ac:dyDescent="0.2">
      <c r="G2740" s="889"/>
    </row>
    <row r="2741" spans="7:7" ht="10.5" customHeight="1" x14ac:dyDescent="0.2">
      <c r="G2741" s="889"/>
    </row>
    <row r="2742" spans="7:7" ht="10.5" customHeight="1" x14ac:dyDescent="0.2">
      <c r="G2742" s="889"/>
    </row>
    <row r="2743" spans="7:7" ht="10.5" customHeight="1" x14ac:dyDescent="0.2">
      <c r="G2743" s="889"/>
    </row>
    <row r="2744" spans="7:7" ht="10.5" customHeight="1" x14ac:dyDescent="0.2">
      <c r="G2744" s="889"/>
    </row>
    <row r="2745" spans="7:7" ht="10.5" customHeight="1" x14ac:dyDescent="0.2">
      <c r="G2745" s="889"/>
    </row>
    <row r="2746" spans="7:7" ht="10.5" customHeight="1" x14ac:dyDescent="0.2">
      <c r="G2746" s="889"/>
    </row>
    <row r="2747" spans="7:7" ht="10.5" customHeight="1" x14ac:dyDescent="0.2">
      <c r="G2747" s="889"/>
    </row>
    <row r="2748" spans="7:7" ht="10.5" customHeight="1" x14ac:dyDescent="0.2">
      <c r="G2748" s="889"/>
    </row>
    <row r="2749" spans="7:7" ht="10.5" customHeight="1" x14ac:dyDescent="0.2">
      <c r="G2749" s="889"/>
    </row>
    <row r="2750" spans="7:7" ht="10.5" customHeight="1" x14ac:dyDescent="0.2">
      <c r="G2750" s="889"/>
    </row>
    <row r="2751" spans="7:7" ht="10.5" customHeight="1" x14ac:dyDescent="0.2">
      <c r="G2751" s="889"/>
    </row>
    <row r="2752" spans="7:7" ht="10.5" customHeight="1" x14ac:dyDescent="0.2">
      <c r="G2752" s="889"/>
    </row>
    <row r="2753" spans="7:7" ht="10.5" customHeight="1" x14ac:dyDescent="0.2">
      <c r="G2753" s="889"/>
    </row>
    <row r="2754" spans="7:7" ht="10.5" customHeight="1" x14ac:dyDescent="0.2">
      <c r="G2754" s="889"/>
    </row>
    <row r="2755" spans="7:7" ht="10.5" customHeight="1" x14ac:dyDescent="0.2">
      <c r="G2755" s="889"/>
    </row>
    <row r="2756" spans="7:7" ht="10.5" customHeight="1" x14ac:dyDescent="0.2">
      <c r="G2756" s="889"/>
    </row>
    <row r="2757" spans="7:7" ht="10.5" customHeight="1" x14ac:dyDescent="0.2">
      <c r="G2757" s="889"/>
    </row>
    <row r="2758" spans="7:7" ht="10.5" customHeight="1" x14ac:dyDescent="0.2">
      <c r="G2758" s="889"/>
    </row>
    <row r="2759" spans="7:7" ht="10.5" customHeight="1" x14ac:dyDescent="0.2">
      <c r="G2759" s="889"/>
    </row>
    <row r="2760" spans="7:7" ht="10.5" customHeight="1" x14ac:dyDescent="0.2">
      <c r="G2760" s="889"/>
    </row>
    <row r="2761" spans="7:7" ht="10.5" customHeight="1" x14ac:dyDescent="0.2">
      <c r="G2761" s="889"/>
    </row>
    <row r="2762" spans="7:7" ht="10.5" customHeight="1" x14ac:dyDescent="0.2">
      <c r="G2762" s="889"/>
    </row>
    <row r="2763" spans="7:7" ht="10.5" customHeight="1" x14ac:dyDescent="0.2">
      <c r="G2763" s="889"/>
    </row>
    <row r="2764" spans="7:7" ht="10.5" customHeight="1" x14ac:dyDescent="0.2">
      <c r="G2764" s="889"/>
    </row>
    <row r="2765" spans="7:7" ht="10.5" customHeight="1" x14ac:dyDescent="0.2">
      <c r="G2765" s="889"/>
    </row>
    <row r="2766" spans="7:7" ht="10.5" customHeight="1" x14ac:dyDescent="0.2">
      <c r="G2766" s="889"/>
    </row>
    <row r="2767" spans="7:7" ht="10.5" customHeight="1" x14ac:dyDescent="0.2">
      <c r="G2767" s="889"/>
    </row>
    <row r="2768" spans="7:7" ht="10.5" customHeight="1" x14ac:dyDescent="0.2">
      <c r="G2768" s="889"/>
    </row>
    <row r="2769" spans="7:7" ht="10.5" customHeight="1" x14ac:dyDescent="0.2">
      <c r="G2769" s="889"/>
    </row>
    <row r="2770" spans="7:7" ht="10.5" customHeight="1" x14ac:dyDescent="0.2">
      <c r="G2770" s="889"/>
    </row>
    <row r="2771" spans="7:7" ht="10.5" customHeight="1" x14ac:dyDescent="0.2">
      <c r="G2771" s="889"/>
    </row>
    <row r="2772" spans="7:7" ht="10.5" customHeight="1" x14ac:dyDescent="0.2">
      <c r="G2772" s="889"/>
    </row>
    <row r="2773" spans="7:7" ht="10.5" customHeight="1" x14ac:dyDescent="0.2">
      <c r="G2773" s="889"/>
    </row>
    <row r="2774" spans="7:7" ht="10.5" customHeight="1" x14ac:dyDescent="0.2">
      <c r="G2774" s="889"/>
    </row>
    <row r="2775" spans="7:7" ht="10.5" customHeight="1" x14ac:dyDescent="0.2">
      <c r="G2775" s="889"/>
    </row>
    <row r="2776" spans="7:7" ht="10.5" customHeight="1" x14ac:dyDescent="0.2">
      <c r="G2776" s="889"/>
    </row>
    <row r="2777" spans="7:7" ht="10.5" customHeight="1" x14ac:dyDescent="0.2">
      <c r="G2777" s="889"/>
    </row>
    <row r="2778" spans="7:7" ht="10.5" customHeight="1" x14ac:dyDescent="0.2">
      <c r="G2778" s="889"/>
    </row>
    <row r="2779" spans="7:7" ht="10.5" customHeight="1" x14ac:dyDescent="0.2">
      <c r="G2779" s="889"/>
    </row>
    <row r="2780" spans="7:7" ht="10.5" customHeight="1" x14ac:dyDescent="0.2">
      <c r="G2780" s="889"/>
    </row>
    <row r="2781" spans="7:7" ht="10.5" customHeight="1" x14ac:dyDescent="0.2">
      <c r="G2781" s="889"/>
    </row>
    <row r="2782" spans="7:7" ht="10.5" customHeight="1" x14ac:dyDescent="0.2">
      <c r="G2782" s="889"/>
    </row>
    <row r="2783" spans="7:7" ht="10.5" customHeight="1" x14ac:dyDescent="0.2">
      <c r="G2783" s="889"/>
    </row>
    <row r="2784" spans="7:7" ht="10.5" customHeight="1" x14ac:dyDescent="0.2">
      <c r="G2784" s="889"/>
    </row>
    <row r="2785" spans="7:7" ht="10.5" customHeight="1" x14ac:dyDescent="0.2">
      <c r="G2785" s="889"/>
    </row>
    <row r="2786" spans="7:7" ht="10.5" customHeight="1" x14ac:dyDescent="0.2">
      <c r="G2786" s="889"/>
    </row>
    <row r="2787" spans="7:7" ht="10.5" customHeight="1" x14ac:dyDescent="0.2">
      <c r="G2787" s="889"/>
    </row>
    <row r="2788" spans="7:7" ht="10.5" customHeight="1" x14ac:dyDescent="0.2">
      <c r="G2788" s="889"/>
    </row>
    <row r="2789" spans="7:7" ht="10.5" customHeight="1" x14ac:dyDescent="0.2">
      <c r="G2789" s="889"/>
    </row>
    <row r="2790" spans="7:7" ht="10.5" customHeight="1" x14ac:dyDescent="0.2">
      <c r="G2790" s="889"/>
    </row>
    <row r="2791" spans="7:7" ht="10.5" customHeight="1" x14ac:dyDescent="0.2">
      <c r="G2791" s="889"/>
    </row>
    <row r="2792" spans="7:7" ht="10.5" customHeight="1" x14ac:dyDescent="0.2">
      <c r="G2792" s="889"/>
    </row>
    <row r="2793" spans="7:7" ht="10.5" customHeight="1" x14ac:dyDescent="0.2">
      <c r="G2793" s="889"/>
    </row>
    <row r="2794" spans="7:7" ht="10.5" customHeight="1" x14ac:dyDescent="0.2">
      <c r="G2794" s="889"/>
    </row>
    <row r="2795" spans="7:7" ht="10.5" customHeight="1" x14ac:dyDescent="0.2">
      <c r="G2795" s="889"/>
    </row>
    <row r="2796" spans="7:7" ht="10.5" customHeight="1" x14ac:dyDescent="0.2">
      <c r="G2796" s="889"/>
    </row>
    <row r="2797" spans="7:7" ht="10.5" customHeight="1" x14ac:dyDescent="0.2">
      <c r="G2797" s="889"/>
    </row>
    <row r="2798" spans="7:7" ht="10.5" customHeight="1" x14ac:dyDescent="0.2">
      <c r="G2798" s="889"/>
    </row>
    <row r="2799" spans="7:7" ht="10.5" customHeight="1" x14ac:dyDescent="0.2">
      <c r="G2799" s="889"/>
    </row>
    <row r="2800" spans="7:7" ht="10.5" customHeight="1" x14ac:dyDescent="0.2">
      <c r="G2800" s="889"/>
    </row>
    <row r="2801" spans="7:7" ht="10.5" customHeight="1" x14ac:dyDescent="0.2">
      <c r="G2801" s="889"/>
    </row>
    <row r="2802" spans="7:7" ht="10.5" customHeight="1" x14ac:dyDescent="0.2">
      <c r="G2802" s="889"/>
    </row>
    <row r="2803" spans="7:7" ht="10.5" customHeight="1" x14ac:dyDescent="0.2">
      <c r="G2803" s="889"/>
    </row>
    <row r="2804" spans="7:7" ht="10.5" customHeight="1" x14ac:dyDescent="0.2">
      <c r="G2804" s="889"/>
    </row>
    <row r="2805" spans="7:7" ht="10.5" customHeight="1" x14ac:dyDescent="0.2">
      <c r="G2805" s="889"/>
    </row>
    <row r="2806" spans="7:7" ht="10.5" customHeight="1" x14ac:dyDescent="0.2">
      <c r="G2806" s="889"/>
    </row>
    <row r="2807" spans="7:7" ht="10.5" customHeight="1" x14ac:dyDescent="0.2">
      <c r="G2807" s="889"/>
    </row>
    <row r="2808" spans="7:7" ht="10.5" customHeight="1" x14ac:dyDescent="0.2">
      <c r="G2808" s="889"/>
    </row>
    <row r="2809" spans="7:7" ht="10.5" customHeight="1" x14ac:dyDescent="0.2">
      <c r="G2809" s="889"/>
    </row>
    <row r="2810" spans="7:7" ht="10.5" customHeight="1" x14ac:dyDescent="0.2">
      <c r="G2810" s="889"/>
    </row>
    <row r="2811" spans="7:7" ht="10.5" customHeight="1" x14ac:dyDescent="0.2">
      <c r="G2811" s="889"/>
    </row>
    <row r="2812" spans="7:7" ht="10.5" customHeight="1" x14ac:dyDescent="0.2">
      <c r="G2812" s="889"/>
    </row>
    <row r="2813" spans="7:7" ht="10.5" customHeight="1" x14ac:dyDescent="0.2">
      <c r="G2813" s="889"/>
    </row>
    <row r="2814" spans="7:7" ht="10.5" customHeight="1" x14ac:dyDescent="0.2">
      <c r="G2814" s="889"/>
    </row>
    <row r="2815" spans="7:7" ht="10.5" customHeight="1" x14ac:dyDescent="0.2">
      <c r="G2815" s="889"/>
    </row>
    <row r="2816" spans="7:7" ht="10.5" customHeight="1" x14ac:dyDescent="0.2">
      <c r="G2816" s="889"/>
    </row>
    <row r="2817" spans="7:7" ht="10.5" customHeight="1" x14ac:dyDescent="0.2">
      <c r="G2817" s="889"/>
    </row>
    <row r="2818" spans="7:7" ht="10.5" customHeight="1" x14ac:dyDescent="0.2">
      <c r="G2818" s="889"/>
    </row>
    <row r="2819" spans="7:7" ht="10.5" customHeight="1" x14ac:dyDescent="0.2">
      <c r="G2819" s="889"/>
    </row>
    <row r="2820" spans="7:7" ht="10.5" customHeight="1" x14ac:dyDescent="0.2">
      <c r="G2820" s="889"/>
    </row>
    <row r="2821" spans="7:7" ht="10.5" customHeight="1" x14ac:dyDescent="0.2">
      <c r="G2821" s="889"/>
    </row>
    <row r="2822" spans="7:7" ht="10.5" customHeight="1" x14ac:dyDescent="0.2">
      <c r="G2822" s="889"/>
    </row>
    <row r="2823" spans="7:7" ht="10.5" customHeight="1" x14ac:dyDescent="0.2">
      <c r="G2823" s="889"/>
    </row>
    <row r="2824" spans="7:7" ht="10.5" customHeight="1" x14ac:dyDescent="0.2">
      <c r="G2824" s="889"/>
    </row>
    <row r="2825" spans="7:7" ht="10.5" customHeight="1" x14ac:dyDescent="0.2">
      <c r="G2825" s="889"/>
    </row>
    <row r="2826" spans="7:7" ht="10.5" customHeight="1" x14ac:dyDescent="0.2">
      <c r="G2826" s="889"/>
    </row>
    <row r="2827" spans="7:7" ht="10.5" customHeight="1" x14ac:dyDescent="0.2">
      <c r="G2827" s="889"/>
    </row>
    <row r="2828" spans="7:7" ht="10.5" customHeight="1" x14ac:dyDescent="0.2">
      <c r="G2828" s="889"/>
    </row>
    <row r="2829" spans="7:7" ht="10.5" customHeight="1" x14ac:dyDescent="0.2">
      <c r="G2829" s="889"/>
    </row>
    <row r="2830" spans="7:7" ht="10.5" customHeight="1" x14ac:dyDescent="0.2">
      <c r="G2830" s="889"/>
    </row>
    <row r="2831" spans="7:7" ht="10.5" customHeight="1" x14ac:dyDescent="0.2">
      <c r="G2831" s="889"/>
    </row>
    <row r="2832" spans="7:7" ht="10.5" customHeight="1" x14ac:dyDescent="0.2">
      <c r="G2832" s="889"/>
    </row>
    <row r="2833" spans="7:7" ht="10.5" customHeight="1" x14ac:dyDescent="0.2">
      <c r="G2833" s="889"/>
    </row>
    <row r="2834" spans="7:7" ht="10.5" customHeight="1" x14ac:dyDescent="0.2">
      <c r="G2834" s="889"/>
    </row>
    <row r="2835" spans="7:7" ht="10.5" customHeight="1" x14ac:dyDescent="0.2">
      <c r="G2835" s="889"/>
    </row>
    <row r="2836" spans="7:7" ht="10.5" customHeight="1" x14ac:dyDescent="0.2">
      <c r="G2836" s="889"/>
    </row>
    <row r="2837" spans="7:7" ht="10.5" customHeight="1" x14ac:dyDescent="0.2">
      <c r="G2837" s="889"/>
    </row>
    <row r="2838" spans="7:7" ht="10.5" customHeight="1" x14ac:dyDescent="0.2">
      <c r="G2838" s="889"/>
    </row>
    <row r="2839" spans="7:7" ht="10.5" customHeight="1" x14ac:dyDescent="0.2">
      <c r="G2839" s="889"/>
    </row>
    <row r="2840" spans="7:7" ht="10.5" customHeight="1" x14ac:dyDescent="0.2">
      <c r="G2840" s="889"/>
    </row>
    <row r="2841" spans="7:7" ht="10.5" customHeight="1" x14ac:dyDescent="0.2">
      <c r="G2841" s="889"/>
    </row>
    <row r="2842" spans="7:7" ht="10.5" customHeight="1" x14ac:dyDescent="0.2">
      <c r="G2842" s="889"/>
    </row>
    <row r="2843" spans="7:7" ht="10.5" customHeight="1" x14ac:dyDescent="0.2">
      <c r="G2843" s="889"/>
    </row>
    <row r="2844" spans="7:7" ht="10.5" customHeight="1" x14ac:dyDescent="0.2">
      <c r="G2844" s="889"/>
    </row>
    <row r="2845" spans="7:7" ht="10.5" customHeight="1" x14ac:dyDescent="0.2">
      <c r="G2845" s="889"/>
    </row>
    <row r="2846" spans="7:7" ht="10.5" customHeight="1" x14ac:dyDescent="0.2">
      <c r="G2846" s="889"/>
    </row>
    <row r="2847" spans="7:7" ht="10.5" customHeight="1" x14ac:dyDescent="0.2">
      <c r="G2847" s="889"/>
    </row>
    <row r="2848" spans="7:7" ht="10.5" customHeight="1" x14ac:dyDescent="0.2">
      <c r="G2848" s="889"/>
    </row>
    <row r="2849" spans="7:7" ht="10.5" customHeight="1" x14ac:dyDescent="0.2">
      <c r="G2849" s="889"/>
    </row>
    <row r="2850" spans="7:7" ht="10.5" customHeight="1" x14ac:dyDescent="0.2">
      <c r="G2850" s="889"/>
    </row>
    <row r="2851" spans="7:7" ht="10.5" customHeight="1" x14ac:dyDescent="0.2">
      <c r="G2851" s="889"/>
    </row>
    <row r="2852" spans="7:7" ht="10.5" customHeight="1" x14ac:dyDescent="0.2">
      <c r="G2852" s="889"/>
    </row>
    <row r="2853" spans="7:7" ht="10.5" customHeight="1" x14ac:dyDescent="0.2">
      <c r="G2853" s="889"/>
    </row>
    <row r="2854" spans="7:7" ht="10.5" customHeight="1" x14ac:dyDescent="0.2">
      <c r="G2854" s="889"/>
    </row>
    <row r="2855" spans="7:7" ht="10.5" customHeight="1" x14ac:dyDescent="0.2">
      <c r="G2855" s="889"/>
    </row>
    <row r="2856" spans="7:7" ht="10.5" customHeight="1" x14ac:dyDescent="0.2">
      <c r="G2856" s="889"/>
    </row>
    <row r="2857" spans="7:7" ht="10.5" customHeight="1" x14ac:dyDescent="0.2">
      <c r="G2857" s="889"/>
    </row>
    <row r="2858" spans="7:7" ht="10.5" customHeight="1" x14ac:dyDescent="0.2">
      <c r="G2858" s="889"/>
    </row>
    <row r="2859" spans="7:7" ht="10.5" customHeight="1" x14ac:dyDescent="0.2">
      <c r="G2859" s="889"/>
    </row>
    <row r="2860" spans="7:7" ht="10.5" customHeight="1" x14ac:dyDescent="0.2">
      <c r="G2860" s="889"/>
    </row>
    <row r="2861" spans="7:7" ht="10.5" customHeight="1" x14ac:dyDescent="0.2">
      <c r="G2861" s="889"/>
    </row>
    <row r="2862" spans="7:7" ht="10.5" customHeight="1" x14ac:dyDescent="0.2">
      <c r="G2862" s="889"/>
    </row>
    <row r="2863" spans="7:7" ht="10.5" customHeight="1" x14ac:dyDescent="0.2">
      <c r="G2863" s="889"/>
    </row>
    <row r="2864" spans="7:7" ht="10.5" customHeight="1" x14ac:dyDescent="0.2">
      <c r="G2864" s="889"/>
    </row>
    <row r="2865" spans="7:7" ht="10.5" customHeight="1" x14ac:dyDescent="0.2">
      <c r="G2865" s="889"/>
    </row>
    <row r="2866" spans="7:7" ht="10.5" customHeight="1" x14ac:dyDescent="0.2">
      <c r="G2866" s="889"/>
    </row>
    <row r="2867" spans="7:7" ht="10.5" customHeight="1" x14ac:dyDescent="0.2">
      <c r="G2867" s="889"/>
    </row>
    <row r="2868" spans="7:7" ht="10.5" customHeight="1" x14ac:dyDescent="0.2">
      <c r="G2868" s="889"/>
    </row>
    <row r="2869" spans="7:7" ht="10.5" customHeight="1" x14ac:dyDescent="0.2">
      <c r="G2869" s="889"/>
    </row>
    <row r="2870" spans="7:7" ht="10.5" customHeight="1" x14ac:dyDescent="0.2">
      <c r="G2870" s="889"/>
    </row>
    <row r="2871" spans="7:7" ht="10.5" customHeight="1" x14ac:dyDescent="0.2">
      <c r="G2871" s="889"/>
    </row>
    <row r="2872" spans="7:7" ht="10.5" customHeight="1" x14ac:dyDescent="0.2">
      <c r="G2872" s="889"/>
    </row>
    <row r="2873" spans="7:7" ht="10.5" customHeight="1" x14ac:dyDescent="0.2">
      <c r="G2873" s="889"/>
    </row>
    <row r="2874" spans="7:7" ht="10.5" customHeight="1" x14ac:dyDescent="0.2">
      <c r="G2874" s="889"/>
    </row>
    <row r="2875" spans="7:7" ht="10.5" customHeight="1" x14ac:dyDescent="0.2">
      <c r="G2875" s="889"/>
    </row>
    <row r="2876" spans="7:7" ht="10.5" customHeight="1" x14ac:dyDescent="0.2">
      <c r="G2876" s="889"/>
    </row>
    <row r="2877" spans="7:7" ht="10.5" customHeight="1" x14ac:dyDescent="0.2">
      <c r="G2877" s="889"/>
    </row>
    <row r="2878" spans="7:7" ht="10.5" customHeight="1" x14ac:dyDescent="0.2">
      <c r="G2878" s="889"/>
    </row>
    <row r="2879" spans="7:7" ht="10.5" customHeight="1" x14ac:dyDescent="0.2">
      <c r="G2879" s="889"/>
    </row>
    <row r="2880" spans="7:7" ht="10.5" customHeight="1" x14ac:dyDescent="0.2">
      <c r="G2880" s="889"/>
    </row>
    <row r="2881" spans="7:7" ht="10.5" customHeight="1" x14ac:dyDescent="0.2">
      <c r="G2881" s="889"/>
    </row>
    <row r="2882" spans="7:7" ht="10.5" customHeight="1" x14ac:dyDescent="0.2">
      <c r="G2882" s="889"/>
    </row>
    <row r="2883" spans="7:7" ht="10.5" customHeight="1" x14ac:dyDescent="0.2">
      <c r="G2883" s="889"/>
    </row>
    <row r="2884" spans="7:7" ht="10.5" customHeight="1" x14ac:dyDescent="0.2">
      <c r="G2884" s="889"/>
    </row>
    <row r="2885" spans="7:7" ht="10.5" customHeight="1" x14ac:dyDescent="0.2">
      <c r="G2885" s="889"/>
    </row>
    <row r="2886" spans="7:7" ht="10.5" customHeight="1" x14ac:dyDescent="0.2">
      <c r="G2886" s="889"/>
    </row>
    <row r="2887" spans="7:7" ht="10.5" customHeight="1" x14ac:dyDescent="0.2">
      <c r="G2887" s="889"/>
    </row>
    <row r="2888" spans="7:7" ht="10.5" customHeight="1" x14ac:dyDescent="0.2">
      <c r="G2888" s="889"/>
    </row>
    <row r="2889" spans="7:7" ht="10.5" customHeight="1" x14ac:dyDescent="0.2">
      <c r="G2889" s="889"/>
    </row>
    <row r="2890" spans="7:7" ht="10.5" customHeight="1" x14ac:dyDescent="0.2">
      <c r="G2890" s="889"/>
    </row>
    <row r="2891" spans="7:7" ht="10.5" customHeight="1" x14ac:dyDescent="0.2">
      <c r="G2891" s="889"/>
    </row>
    <row r="2892" spans="7:7" ht="10.5" customHeight="1" x14ac:dyDescent="0.2">
      <c r="G2892" s="889"/>
    </row>
    <row r="2893" spans="7:7" ht="10.5" customHeight="1" x14ac:dyDescent="0.2">
      <c r="G2893" s="889"/>
    </row>
    <row r="2894" spans="7:7" ht="10.5" customHeight="1" x14ac:dyDescent="0.2">
      <c r="G2894" s="889"/>
    </row>
    <row r="2895" spans="7:7" ht="10.5" customHeight="1" x14ac:dyDescent="0.2">
      <c r="G2895" s="889"/>
    </row>
    <row r="2896" spans="7:7" ht="10.5" customHeight="1" x14ac:dyDescent="0.2">
      <c r="G2896" s="889"/>
    </row>
    <row r="2897" spans="7:7" ht="10.5" customHeight="1" x14ac:dyDescent="0.2">
      <c r="G2897" s="889"/>
    </row>
    <row r="2898" spans="7:7" ht="10.5" customHeight="1" x14ac:dyDescent="0.2">
      <c r="G2898" s="889"/>
    </row>
    <row r="2899" spans="7:7" ht="10.5" customHeight="1" x14ac:dyDescent="0.2">
      <c r="G2899" s="889"/>
    </row>
    <row r="2900" spans="7:7" ht="10.5" customHeight="1" x14ac:dyDescent="0.2">
      <c r="G2900" s="889"/>
    </row>
    <row r="2901" spans="7:7" ht="10.5" customHeight="1" x14ac:dyDescent="0.2">
      <c r="G2901" s="889"/>
    </row>
    <row r="2902" spans="7:7" ht="10.5" customHeight="1" x14ac:dyDescent="0.2">
      <c r="G2902" s="889"/>
    </row>
    <row r="2903" spans="7:7" ht="10.5" customHeight="1" x14ac:dyDescent="0.2">
      <c r="G2903" s="889"/>
    </row>
    <row r="2904" spans="7:7" ht="10.5" customHeight="1" x14ac:dyDescent="0.2">
      <c r="G2904" s="889"/>
    </row>
    <row r="2905" spans="7:7" ht="10.5" customHeight="1" x14ac:dyDescent="0.2">
      <c r="G2905" s="889"/>
    </row>
    <row r="2906" spans="7:7" ht="10.5" customHeight="1" x14ac:dyDescent="0.2">
      <c r="G2906" s="889"/>
    </row>
    <row r="2907" spans="7:7" ht="10.5" customHeight="1" x14ac:dyDescent="0.2">
      <c r="G2907" s="889"/>
    </row>
    <row r="2908" spans="7:7" ht="10.5" customHeight="1" x14ac:dyDescent="0.2">
      <c r="G2908" s="889"/>
    </row>
    <row r="2909" spans="7:7" ht="10.5" customHeight="1" x14ac:dyDescent="0.2">
      <c r="G2909" s="889"/>
    </row>
    <row r="2910" spans="7:7" ht="10.5" customHeight="1" x14ac:dyDescent="0.2">
      <c r="G2910" s="889"/>
    </row>
    <row r="2911" spans="7:7" ht="10.5" customHeight="1" x14ac:dyDescent="0.2">
      <c r="G2911" s="889"/>
    </row>
    <row r="2912" spans="7:7" ht="10.5" customHeight="1" x14ac:dyDescent="0.2">
      <c r="G2912" s="889"/>
    </row>
    <row r="2913" spans="7:7" ht="10.5" customHeight="1" x14ac:dyDescent="0.2">
      <c r="G2913" s="889"/>
    </row>
    <row r="2914" spans="7:7" ht="10.5" customHeight="1" x14ac:dyDescent="0.2">
      <c r="G2914" s="889"/>
    </row>
    <row r="2915" spans="7:7" ht="10.5" customHeight="1" x14ac:dyDescent="0.2">
      <c r="G2915" s="889"/>
    </row>
    <row r="2916" spans="7:7" ht="10.5" customHeight="1" x14ac:dyDescent="0.2">
      <c r="G2916" s="889"/>
    </row>
    <row r="2917" spans="7:7" ht="10.5" customHeight="1" x14ac:dyDescent="0.2">
      <c r="G2917" s="889"/>
    </row>
    <row r="2918" spans="7:7" ht="10.5" customHeight="1" x14ac:dyDescent="0.2">
      <c r="G2918" s="889"/>
    </row>
    <row r="2919" spans="7:7" ht="10.5" customHeight="1" x14ac:dyDescent="0.2">
      <c r="G2919" s="889"/>
    </row>
    <row r="2920" spans="7:7" ht="10.5" customHeight="1" x14ac:dyDescent="0.2">
      <c r="G2920" s="889"/>
    </row>
    <row r="2921" spans="7:7" ht="10.5" customHeight="1" x14ac:dyDescent="0.2">
      <c r="G2921" s="889"/>
    </row>
    <row r="2922" spans="7:7" ht="10.5" customHeight="1" x14ac:dyDescent="0.2">
      <c r="G2922" s="889"/>
    </row>
    <row r="2923" spans="7:7" ht="10.5" customHeight="1" x14ac:dyDescent="0.2">
      <c r="G2923" s="889"/>
    </row>
    <row r="2924" spans="7:7" ht="10.5" customHeight="1" x14ac:dyDescent="0.2">
      <c r="G2924" s="889"/>
    </row>
    <row r="2925" spans="7:7" ht="10.5" customHeight="1" x14ac:dyDescent="0.2">
      <c r="G2925" s="889"/>
    </row>
    <row r="2926" spans="7:7" ht="10.5" customHeight="1" x14ac:dyDescent="0.2">
      <c r="G2926" s="889"/>
    </row>
    <row r="2927" spans="7:7" ht="10.5" customHeight="1" x14ac:dyDescent="0.2">
      <c r="G2927" s="889"/>
    </row>
    <row r="2928" spans="7:7" ht="10.5" customHeight="1" x14ac:dyDescent="0.2">
      <c r="G2928" s="889"/>
    </row>
    <row r="2929" spans="7:7" ht="10.5" customHeight="1" x14ac:dyDescent="0.2">
      <c r="G2929" s="889"/>
    </row>
    <row r="2930" spans="7:7" ht="10.5" customHeight="1" x14ac:dyDescent="0.2">
      <c r="G2930" s="889"/>
    </row>
    <row r="2931" spans="7:7" ht="10.5" customHeight="1" x14ac:dyDescent="0.2">
      <c r="G2931" s="889"/>
    </row>
    <row r="2932" spans="7:7" ht="10.5" customHeight="1" x14ac:dyDescent="0.2">
      <c r="G2932" s="889"/>
    </row>
    <row r="2933" spans="7:7" ht="10.5" customHeight="1" x14ac:dyDescent="0.2">
      <c r="G2933" s="889"/>
    </row>
    <row r="2934" spans="7:7" ht="10.5" customHeight="1" x14ac:dyDescent="0.2">
      <c r="G2934" s="889"/>
    </row>
    <row r="2935" spans="7:7" ht="10.5" customHeight="1" x14ac:dyDescent="0.2">
      <c r="G2935" s="889"/>
    </row>
    <row r="2936" spans="7:7" ht="10.5" customHeight="1" x14ac:dyDescent="0.2">
      <c r="G2936" s="889"/>
    </row>
    <row r="2937" spans="7:7" ht="10.5" customHeight="1" x14ac:dyDescent="0.2">
      <c r="G2937" s="889"/>
    </row>
    <row r="2938" spans="7:7" ht="10.5" customHeight="1" x14ac:dyDescent="0.2">
      <c r="G2938" s="889"/>
    </row>
    <row r="2939" spans="7:7" ht="10.5" customHeight="1" x14ac:dyDescent="0.2">
      <c r="G2939" s="889"/>
    </row>
    <row r="2940" spans="7:7" ht="10.5" customHeight="1" x14ac:dyDescent="0.2">
      <c r="G2940" s="889"/>
    </row>
    <row r="2941" spans="7:7" ht="10.5" customHeight="1" x14ac:dyDescent="0.2">
      <c r="G2941" s="889"/>
    </row>
    <row r="2942" spans="7:7" ht="10.5" customHeight="1" x14ac:dyDescent="0.2">
      <c r="G2942" s="889"/>
    </row>
    <row r="2943" spans="7:7" ht="10.5" customHeight="1" x14ac:dyDescent="0.2">
      <c r="G2943" s="889"/>
    </row>
    <row r="2944" spans="7:7" ht="10.5" customHeight="1" x14ac:dyDescent="0.2">
      <c r="G2944" s="889"/>
    </row>
    <row r="2945" spans="7:7" ht="10.5" customHeight="1" x14ac:dyDescent="0.2">
      <c r="G2945" s="889"/>
    </row>
    <row r="2946" spans="7:7" ht="10.5" customHeight="1" x14ac:dyDescent="0.2">
      <c r="G2946" s="889"/>
    </row>
    <row r="2947" spans="7:7" ht="10.5" customHeight="1" x14ac:dyDescent="0.2">
      <c r="G2947" s="889"/>
    </row>
    <row r="2948" spans="7:7" ht="10.5" customHeight="1" x14ac:dyDescent="0.2">
      <c r="G2948" s="889"/>
    </row>
    <row r="2949" spans="7:7" ht="10.5" customHeight="1" x14ac:dyDescent="0.2">
      <c r="G2949" s="889"/>
    </row>
    <row r="2950" spans="7:7" ht="10.5" customHeight="1" x14ac:dyDescent="0.2">
      <c r="G2950" s="889"/>
    </row>
    <row r="2951" spans="7:7" ht="10.5" customHeight="1" x14ac:dyDescent="0.2">
      <c r="G2951" s="889"/>
    </row>
    <row r="2952" spans="7:7" ht="10.5" customHeight="1" x14ac:dyDescent="0.2">
      <c r="G2952" s="889"/>
    </row>
    <row r="2953" spans="7:7" ht="10.5" customHeight="1" x14ac:dyDescent="0.2">
      <c r="G2953" s="889"/>
    </row>
    <row r="2954" spans="7:7" ht="10.5" customHeight="1" x14ac:dyDescent="0.2">
      <c r="G2954" s="889"/>
    </row>
    <row r="2955" spans="7:7" ht="10.5" customHeight="1" x14ac:dyDescent="0.2">
      <c r="G2955" s="889"/>
    </row>
    <row r="2956" spans="7:7" ht="10.5" customHeight="1" x14ac:dyDescent="0.2">
      <c r="G2956" s="889"/>
    </row>
    <row r="2957" spans="7:7" ht="10.5" customHeight="1" x14ac:dyDescent="0.2">
      <c r="G2957" s="889"/>
    </row>
    <row r="2958" spans="7:7" ht="10.5" customHeight="1" x14ac:dyDescent="0.2">
      <c r="G2958" s="889"/>
    </row>
    <row r="2959" spans="7:7" ht="10.5" customHeight="1" x14ac:dyDescent="0.2">
      <c r="G2959" s="889"/>
    </row>
    <row r="2960" spans="7:7" ht="10.5" customHeight="1" x14ac:dyDescent="0.2">
      <c r="G2960" s="889"/>
    </row>
    <row r="2961" spans="7:7" ht="10.5" customHeight="1" x14ac:dyDescent="0.2">
      <c r="G2961" s="889"/>
    </row>
    <row r="2962" spans="7:7" ht="10.5" customHeight="1" x14ac:dyDescent="0.2">
      <c r="G2962" s="889"/>
    </row>
    <row r="2963" spans="7:7" ht="10.5" customHeight="1" x14ac:dyDescent="0.2">
      <c r="G2963" s="889"/>
    </row>
    <row r="2964" spans="7:7" ht="10.5" customHeight="1" x14ac:dyDescent="0.2">
      <c r="G2964" s="889"/>
    </row>
    <row r="2965" spans="7:7" ht="10.5" customHeight="1" x14ac:dyDescent="0.2">
      <c r="G2965" s="889"/>
    </row>
    <row r="2966" spans="7:7" ht="10.5" customHeight="1" x14ac:dyDescent="0.2">
      <c r="G2966" s="889"/>
    </row>
    <row r="2967" spans="7:7" ht="10.5" customHeight="1" x14ac:dyDescent="0.2">
      <c r="G2967" s="889"/>
    </row>
    <row r="2968" spans="7:7" ht="10.5" customHeight="1" x14ac:dyDescent="0.2">
      <c r="G2968" s="889"/>
    </row>
    <row r="2969" spans="7:7" ht="10.5" customHeight="1" x14ac:dyDescent="0.2">
      <c r="G2969" s="889"/>
    </row>
    <row r="2970" spans="7:7" ht="10.5" customHeight="1" x14ac:dyDescent="0.2">
      <c r="G2970" s="889"/>
    </row>
    <row r="2971" spans="7:7" ht="10.5" customHeight="1" x14ac:dyDescent="0.2">
      <c r="G2971" s="889"/>
    </row>
    <row r="2972" spans="7:7" ht="10.5" customHeight="1" x14ac:dyDescent="0.2">
      <c r="G2972" s="889"/>
    </row>
    <row r="2973" spans="7:7" ht="10.5" customHeight="1" x14ac:dyDescent="0.2">
      <c r="G2973" s="889"/>
    </row>
    <row r="2974" spans="7:7" ht="10.5" customHeight="1" x14ac:dyDescent="0.2">
      <c r="G2974" s="889"/>
    </row>
    <row r="2975" spans="7:7" ht="10.5" customHeight="1" x14ac:dyDescent="0.2">
      <c r="G2975" s="889"/>
    </row>
    <row r="2976" spans="7:7" ht="10.5" customHeight="1" x14ac:dyDescent="0.2">
      <c r="G2976" s="889"/>
    </row>
    <row r="2977" spans="7:7" ht="10.5" customHeight="1" x14ac:dyDescent="0.2">
      <c r="G2977" s="889"/>
    </row>
    <row r="2978" spans="7:7" ht="10.5" customHeight="1" x14ac:dyDescent="0.2">
      <c r="G2978" s="889"/>
    </row>
    <row r="2979" spans="7:7" ht="10.5" customHeight="1" x14ac:dyDescent="0.2">
      <c r="G2979" s="889"/>
    </row>
    <row r="2980" spans="7:7" ht="10.5" customHeight="1" x14ac:dyDescent="0.2">
      <c r="G2980" s="889"/>
    </row>
    <row r="2981" spans="7:7" ht="10.5" customHeight="1" x14ac:dyDescent="0.2">
      <c r="G2981" s="889"/>
    </row>
    <row r="2982" spans="7:7" ht="10.5" customHeight="1" x14ac:dyDescent="0.2">
      <c r="G2982" s="889"/>
    </row>
    <row r="2983" spans="7:7" ht="10.5" customHeight="1" x14ac:dyDescent="0.2">
      <c r="G2983" s="889"/>
    </row>
    <row r="2984" spans="7:7" ht="10.5" customHeight="1" x14ac:dyDescent="0.2">
      <c r="G2984" s="889"/>
    </row>
    <row r="2985" spans="7:7" ht="10.5" customHeight="1" x14ac:dyDescent="0.2">
      <c r="G2985" s="889"/>
    </row>
    <row r="2986" spans="7:7" ht="10.5" customHeight="1" x14ac:dyDescent="0.2">
      <c r="G2986" s="889"/>
    </row>
    <row r="2987" spans="7:7" ht="10.5" customHeight="1" x14ac:dyDescent="0.2">
      <c r="G2987" s="889"/>
    </row>
    <row r="2988" spans="7:7" ht="10.5" customHeight="1" x14ac:dyDescent="0.2">
      <c r="G2988" s="889"/>
    </row>
    <row r="2989" spans="7:7" ht="10.5" customHeight="1" x14ac:dyDescent="0.2">
      <c r="G2989" s="889"/>
    </row>
    <row r="2990" spans="7:7" ht="10.5" customHeight="1" x14ac:dyDescent="0.2">
      <c r="G2990" s="889"/>
    </row>
    <row r="2991" spans="7:7" ht="10.5" customHeight="1" x14ac:dyDescent="0.2">
      <c r="G2991" s="889"/>
    </row>
    <row r="2992" spans="7:7" ht="10.5" customHeight="1" x14ac:dyDescent="0.2">
      <c r="G2992" s="889"/>
    </row>
    <row r="2993" spans="7:7" ht="10.5" customHeight="1" x14ac:dyDescent="0.2">
      <c r="G2993" s="889"/>
    </row>
    <row r="2994" spans="7:7" ht="10.5" customHeight="1" x14ac:dyDescent="0.2">
      <c r="G2994" s="889"/>
    </row>
    <row r="2995" spans="7:7" ht="10.5" customHeight="1" x14ac:dyDescent="0.2">
      <c r="G2995" s="889"/>
    </row>
    <row r="2996" spans="7:7" ht="10.5" customHeight="1" x14ac:dyDescent="0.2">
      <c r="G2996" s="889"/>
    </row>
    <row r="2997" spans="7:7" ht="10.5" customHeight="1" x14ac:dyDescent="0.2">
      <c r="G2997" s="889"/>
    </row>
    <row r="2998" spans="7:7" ht="10.5" customHeight="1" x14ac:dyDescent="0.2">
      <c r="G2998" s="889"/>
    </row>
    <row r="2999" spans="7:7" ht="10.5" customHeight="1" x14ac:dyDescent="0.2">
      <c r="G2999" s="889"/>
    </row>
    <row r="3000" spans="7:7" ht="10.5" customHeight="1" x14ac:dyDescent="0.2">
      <c r="G3000" s="889"/>
    </row>
    <row r="3001" spans="7:7" ht="10.5" customHeight="1" x14ac:dyDescent="0.2">
      <c r="G3001" s="889"/>
    </row>
    <row r="3002" spans="7:7" ht="10.5" customHeight="1" x14ac:dyDescent="0.2">
      <c r="G3002" s="889"/>
    </row>
    <row r="3003" spans="7:7" ht="10.5" customHeight="1" x14ac:dyDescent="0.2">
      <c r="G3003" s="889"/>
    </row>
    <row r="3004" spans="7:7" ht="10.5" customHeight="1" x14ac:dyDescent="0.2">
      <c r="G3004" s="889"/>
    </row>
    <row r="3005" spans="7:7" ht="10.5" customHeight="1" x14ac:dyDescent="0.2">
      <c r="G3005" s="889"/>
    </row>
    <row r="3006" spans="7:7" ht="10.5" customHeight="1" x14ac:dyDescent="0.2">
      <c r="G3006" s="889"/>
    </row>
    <row r="3007" spans="7:7" ht="10.5" customHeight="1" x14ac:dyDescent="0.2">
      <c r="G3007" s="889"/>
    </row>
    <row r="3008" spans="7:7" ht="10.5" customHeight="1" x14ac:dyDescent="0.2">
      <c r="G3008" s="889"/>
    </row>
    <row r="3009" spans="7:7" ht="10.5" customHeight="1" x14ac:dyDescent="0.2">
      <c r="G3009" s="889"/>
    </row>
    <row r="3010" spans="7:7" ht="10.5" customHeight="1" x14ac:dyDescent="0.2">
      <c r="G3010" s="889"/>
    </row>
    <row r="3011" spans="7:7" ht="10.5" customHeight="1" x14ac:dyDescent="0.2">
      <c r="G3011" s="889"/>
    </row>
    <row r="3012" spans="7:7" ht="10.5" customHeight="1" x14ac:dyDescent="0.2">
      <c r="G3012" s="889"/>
    </row>
    <row r="3013" spans="7:7" ht="10.5" customHeight="1" x14ac:dyDescent="0.2">
      <c r="G3013" s="889"/>
    </row>
    <row r="3014" spans="7:7" ht="10.5" customHeight="1" x14ac:dyDescent="0.2">
      <c r="G3014" s="889"/>
    </row>
    <row r="3015" spans="7:7" ht="10.5" customHeight="1" x14ac:dyDescent="0.2">
      <c r="G3015" s="889"/>
    </row>
    <row r="3016" spans="7:7" ht="10.5" customHeight="1" x14ac:dyDescent="0.2">
      <c r="G3016" s="889"/>
    </row>
    <row r="3017" spans="7:7" ht="10.5" customHeight="1" x14ac:dyDescent="0.2">
      <c r="G3017" s="889"/>
    </row>
    <row r="3018" spans="7:7" ht="10.5" customHeight="1" x14ac:dyDescent="0.2">
      <c r="G3018" s="889"/>
    </row>
    <row r="3019" spans="7:7" ht="10.5" customHeight="1" x14ac:dyDescent="0.2">
      <c r="G3019" s="889"/>
    </row>
    <row r="3020" spans="7:7" ht="10.5" customHeight="1" x14ac:dyDescent="0.2">
      <c r="G3020" s="889"/>
    </row>
    <row r="3021" spans="7:7" ht="10.5" customHeight="1" x14ac:dyDescent="0.2">
      <c r="G3021" s="889"/>
    </row>
    <row r="3022" spans="7:7" ht="10.5" customHeight="1" x14ac:dyDescent="0.2">
      <c r="G3022" s="889"/>
    </row>
    <row r="3023" spans="7:7" ht="10.5" customHeight="1" x14ac:dyDescent="0.2">
      <c r="G3023" s="889"/>
    </row>
    <row r="3024" spans="7:7" ht="10.5" customHeight="1" x14ac:dyDescent="0.2">
      <c r="G3024" s="889"/>
    </row>
    <row r="3025" spans="7:7" ht="10.5" customHeight="1" x14ac:dyDescent="0.2">
      <c r="G3025" s="889"/>
    </row>
    <row r="3026" spans="7:7" ht="10.5" customHeight="1" x14ac:dyDescent="0.2">
      <c r="G3026" s="889"/>
    </row>
    <row r="3027" spans="7:7" ht="10.5" customHeight="1" x14ac:dyDescent="0.2">
      <c r="G3027" s="889"/>
    </row>
    <row r="3028" spans="7:7" ht="10.5" customHeight="1" x14ac:dyDescent="0.2">
      <c r="G3028" s="889"/>
    </row>
    <row r="3029" spans="7:7" ht="10.5" customHeight="1" x14ac:dyDescent="0.2">
      <c r="G3029" s="889"/>
    </row>
    <row r="3030" spans="7:7" ht="10.5" customHeight="1" x14ac:dyDescent="0.2">
      <c r="G3030" s="889"/>
    </row>
    <row r="3031" spans="7:7" ht="10.5" customHeight="1" x14ac:dyDescent="0.2">
      <c r="G3031" s="889"/>
    </row>
    <row r="3032" spans="7:7" ht="10.5" customHeight="1" x14ac:dyDescent="0.2">
      <c r="G3032" s="889"/>
    </row>
    <row r="3033" spans="7:7" ht="10.5" customHeight="1" x14ac:dyDescent="0.2">
      <c r="G3033" s="889"/>
    </row>
    <row r="3034" spans="7:7" ht="10.5" customHeight="1" x14ac:dyDescent="0.2">
      <c r="G3034" s="889"/>
    </row>
    <row r="3035" spans="7:7" ht="10.5" customHeight="1" x14ac:dyDescent="0.2">
      <c r="G3035" s="889"/>
    </row>
    <row r="3036" spans="7:7" ht="10.5" customHeight="1" x14ac:dyDescent="0.2">
      <c r="G3036" s="889"/>
    </row>
    <row r="3037" spans="7:7" ht="10.5" customHeight="1" x14ac:dyDescent="0.2">
      <c r="G3037" s="889"/>
    </row>
    <row r="3038" spans="7:7" ht="10.5" customHeight="1" x14ac:dyDescent="0.2">
      <c r="G3038" s="889"/>
    </row>
    <row r="3039" spans="7:7" ht="10.5" customHeight="1" x14ac:dyDescent="0.2">
      <c r="G3039" s="889"/>
    </row>
    <row r="3040" spans="7:7" ht="10.5" customHeight="1" x14ac:dyDescent="0.2">
      <c r="G3040" s="889"/>
    </row>
    <row r="3041" spans="7:7" ht="10.5" customHeight="1" x14ac:dyDescent="0.2">
      <c r="G3041" s="889"/>
    </row>
    <row r="3042" spans="7:7" ht="10.5" customHeight="1" x14ac:dyDescent="0.2">
      <c r="G3042" s="889"/>
    </row>
    <row r="3043" spans="7:7" ht="10.5" customHeight="1" x14ac:dyDescent="0.2">
      <c r="G3043" s="889"/>
    </row>
    <row r="3044" spans="7:7" ht="10.5" customHeight="1" x14ac:dyDescent="0.2">
      <c r="G3044" s="889"/>
    </row>
    <row r="3045" spans="7:7" ht="10.5" customHeight="1" x14ac:dyDescent="0.2">
      <c r="G3045" s="889"/>
    </row>
    <row r="3046" spans="7:7" ht="10.5" customHeight="1" x14ac:dyDescent="0.2">
      <c r="G3046" s="889"/>
    </row>
    <row r="3047" spans="7:7" ht="10.5" customHeight="1" x14ac:dyDescent="0.2">
      <c r="G3047" s="889"/>
    </row>
    <row r="3048" spans="7:7" ht="10.5" customHeight="1" x14ac:dyDescent="0.2">
      <c r="G3048" s="889"/>
    </row>
    <row r="3049" spans="7:7" ht="10.5" customHeight="1" x14ac:dyDescent="0.2">
      <c r="G3049" s="889"/>
    </row>
    <row r="3050" spans="7:7" ht="10.5" customHeight="1" x14ac:dyDescent="0.2">
      <c r="G3050" s="889"/>
    </row>
    <row r="3051" spans="7:7" ht="10.5" customHeight="1" x14ac:dyDescent="0.2">
      <c r="G3051" s="889"/>
    </row>
    <row r="3052" spans="7:7" ht="10.5" customHeight="1" x14ac:dyDescent="0.2">
      <c r="G3052" s="889"/>
    </row>
    <row r="3053" spans="7:7" ht="10.5" customHeight="1" x14ac:dyDescent="0.2">
      <c r="G3053" s="889"/>
    </row>
    <row r="3054" spans="7:7" ht="10.5" customHeight="1" x14ac:dyDescent="0.2">
      <c r="G3054" s="889"/>
    </row>
    <row r="3055" spans="7:7" ht="10.5" customHeight="1" x14ac:dyDescent="0.2">
      <c r="G3055" s="889"/>
    </row>
    <row r="3056" spans="7:7" ht="10.5" customHeight="1" x14ac:dyDescent="0.2">
      <c r="G3056" s="889"/>
    </row>
    <row r="3057" spans="7:7" ht="10.5" customHeight="1" x14ac:dyDescent="0.2">
      <c r="G3057" s="889"/>
    </row>
    <row r="3058" spans="7:7" ht="10.5" customHeight="1" x14ac:dyDescent="0.2">
      <c r="G3058" s="889"/>
    </row>
    <row r="3059" spans="7:7" ht="10.5" customHeight="1" x14ac:dyDescent="0.2">
      <c r="G3059" s="889"/>
    </row>
    <row r="3060" spans="7:7" ht="10.5" customHeight="1" x14ac:dyDescent="0.2">
      <c r="G3060" s="889"/>
    </row>
    <row r="3061" spans="7:7" ht="10.5" customHeight="1" x14ac:dyDescent="0.2">
      <c r="G3061" s="889"/>
    </row>
    <row r="3062" spans="7:7" ht="10.5" customHeight="1" x14ac:dyDescent="0.2">
      <c r="G3062" s="889"/>
    </row>
    <row r="3063" spans="7:7" ht="10.5" customHeight="1" x14ac:dyDescent="0.2">
      <c r="G3063" s="889"/>
    </row>
    <row r="3064" spans="7:7" ht="10.5" customHeight="1" x14ac:dyDescent="0.2">
      <c r="G3064" s="889"/>
    </row>
    <row r="3065" spans="7:7" ht="10.5" customHeight="1" x14ac:dyDescent="0.2">
      <c r="G3065" s="889"/>
    </row>
    <row r="3066" spans="7:7" ht="10.5" customHeight="1" x14ac:dyDescent="0.2">
      <c r="G3066" s="889"/>
    </row>
    <row r="3067" spans="7:7" ht="10.5" customHeight="1" x14ac:dyDescent="0.2">
      <c r="G3067" s="889"/>
    </row>
    <row r="3068" spans="7:7" ht="10.5" customHeight="1" x14ac:dyDescent="0.2">
      <c r="G3068" s="889"/>
    </row>
    <row r="3069" spans="7:7" ht="10.5" customHeight="1" x14ac:dyDescent="0.2">
      <c r="G3069" s="889"/>
    </row>
    <row r="3070" spans="7:7" ht="10.5" customHeight="1" x14ac:dyDescent="0.2">
      <c r="G3070" s="889"/>
    </row>
    <row r="3071" spans="7:7" ht="10.5" customHeight="1" x14ac:dyDescent="0.2">
      <c r="G3071" s="889"/>
    </row>
    <row r="3072" spans="7:7" ht="10.5" customHeight="1" x14ac:dyDescent="0.2">
      <c r="G3072" s="889"/>
    </row>
    <row r="3073" spans="7:7" ht="10.5" customHeight="1" x14ac:dyDescent="0.2">
      <c r="G3073" s="889"/>
    </row>
    <row r="3074" spans="7:7" ht="10.5" customHeight="1" x14ac:dyDescent="0.2">
      <c r="G3074" s="889"/>
    </row>
    <row r="3075" spans="7:7" ht="10.5" customHeight="1" x14ac:dyDescent="0.2">
      <c r="G3075" s="889"/>
    </row>
    <row r="3076" spans="7:7" ht="10.5" customHeight="1" x14ac:dyDescent="0.2">
      <c r="G3076" s="889"/>
    </row>
    <row r="3077" spans="7:7" ht="10.5" customHeight="1" x14ac:dyDescent="0.2">
      <c r="G3077" s="889"/>
    </row>
    <row r="3078" spans="7:7" ht="10.5" customHeight="1" x14ac:dyDescent="0.2">
      <c r="G3078" s="889"/>
    </row>
    <row r="3079" spans="7:7" ht="10.5" customHeight="1" x14ac:dyDescent="0.2">
      <c r="G3079" s="889"/>
    </row>
    <row r="3080" spans="7:7" ht="10.5" customHeight="1" x14ac:dyDescent="0.2">
      <c r="G3080" s="889"/>
    </row>
    <row r="3081" spans="7:7" ht="10.5" customHeight="1" x14ac:dyDescent="0.2">
      <c r="G3081" s="889"/>
    </row>
    <row r="3082" spans="7:7" ht="10.5" customHeight="1" x14ac:dyDescent="0.2">
      <c r="G3082" s="889"/>
    </row>
    <row r="3083" spans="7:7" ht="10.5" customHeight="1" x14ac:dyDescent="0.2">
      <c r="G3083" s="889"/>
    </row>
    <row r="3084" spans="7:7" ht="10.5" customHeight="1" x14ac:dyDescent="0.2">
      <c r="G3084" s="889"/>
    </row>
    <row r="3085" spans="7:7" ht="10.5" customHeight="1" x14ac:dyDescent="0.2">
      <c r="G3085" s="889"/>
    </row>
    <row r="3086" spans="7:7" ht="10.5" customHeight="1" x14ac:dyDescent="0.2">
      <c r="G3086" s="889"/>
    </row>
    <row r="3087" spans="7:7" ht="10.5" customHeight="1" x14ac:dyDescent="0.2">
      <c r="G3087" s="889"/>
    </row>
    <row r="3088" spans="7:7" ht="10.5" customHeight="1" x14ac:dyDescent="0.2">
      <c r="G3088" s="889"/>
    </row>
    <row r="3089" spans="7:7" ht="10.5" customHeight="1" x14ac:dyDescent="0.2">
      <c r="G3089" s="889"/>
    </row>
    <row r="3090" spans="7:7" ht="10.5" customHeight="1" x14ac:dyDescent="0.2">
      <c r="G3090" s="889"/>
    </row>
    <row r="3091" spans="7:7" ht="10.5" customHeight="1" x14ac:dyDescent="0.2">
      <c r="G3091" s="889"/>
    </row>
    <row r="3092" spans="7:7" ht="10.5" customHeight="1" x14ac:dyDescent="0.2">
      <c r="G3092" s="889"/>
    </row>
    <row r="3093" spans="7:7" ht="10.5" customHeight="1" x14ac:dyDescent="0.2">
      <c r="G3093" s="889"/>
    </row>
    <row r="3094" spans="7:7" ht="10.5" customHeight="1" x14ac:dyDescent="0.2">
      <c r="G3094" s="889"/>
    </row>
    <row r="3095" spans="7:7" ht="10.5" customHeight="1" x14ac:dyDescent="0.2">
      <c r="G3095" s="889"/>
    </row>
    <row r="3096" spans="7:7" ht="10.5" customHeight="1" x14ac:dyDescent="0.2">
      <c r="G3096" s="889"/>
    </row>
    <row r="3097" spans="7:7" ht="10.5" customHeight="1" x14ac:dyDescent="0.2">
      <c r="G3097" s="889"/>
    </row>
    <row r="3098" spans="7:7" ht="10.5" customHeight="1" x14ac:dyDescent="0.2">
      <c r="G3098" s="889"/>
    </row>
    <row r="3099" spans="7:7" ht="10.5" customHeight="1" x14ac:dyDescent="0.2">
      <c r="G3099" s="889"/>
    </row>
    <row r="3100" spans="7:7" ht="10.5" customHeight="1" x14ac:dyDescent="0.2">
      <c r="G3100" s="889"/>
    </row>
    <row r="3101" spans="7:7" ht="10.5" customHeight="1" x14ac:dyDescent="0.2">
      <c r="G3101" s="889"/>
    </row>
    <row r="3102" spans="7:7" ht="10.5" customHeight="1" x14ac:dyDescent="0.2">
      <c r="G3102" s="889"/>
    </row>
    <row r="3103" spans="7:7" ht="10.5" customHeight="1" x14ac:dyDescent="0.2">
      <c r="G3103" s="889"/>
    </row>
    <row r="3104" spans="7:7" ht="10.5" customHeight="1" x14ac:dyDescent="0.2">
      <c r="G3104" s="889"/>
    </row>
    <row r="3105" spans="7:7" ht="10.5" customHeight="1" x14ac:dyDescent="0.2">
      <c r="G3105" s="889"/>
    </row>
    <row r="3106" spans="7:7" ht="10.5" customHeight="1" x14ac:dyDescent="0.2">
      <c r="G3106" s="889"/>
    </row>
    <row r="3107" spans="7:7" ht="10.5" customHeight="1" x14ac:dyDescent="0.2">
      <c r="G3107" s="889"/>
    </row>
    <row r="3108" spans="7:7" ht="10.5" customHeight="1" x14ac:dyDescent="0.2">
      <c r="G3108" s="889"/>
    </row>
    <row r="3109" spans="7:7" ht="10.5" customHeight="1" x14ac:dyDescent="0.2">
      <c r="G3109" s="889"/>
    </row>
    <row r="3110" spans="7:7" ht="10.5" customHeight="1" x14ac:dyDescent="0.2">
      <c r="G3110" s="889"/>
    </row>
    <row r="3111" spans="7:7" ht="10.5" customHeight="1" x14ac:dyDescent="0.2">
      <c r="G3111" s="889"/>
    </row>
    <row r="3112" spans="7:7" ht="10.5" customHeight="1" x14ac:dyDescent="0.2">
      <c r="G3112" s="889"/>
    </row>
    <row r="3113" spans="7:7" ht="10.5" customHeight="1" x14ac:dyDescent="0.2">
      <c r="G3113" s="889"/>
    </row>
    <row r="3114" spans="7:7" ht="10.5" customHeight="1" x14ac:dyDescent="0.2">
      <c r="G3114" s="889"/>
    </row>
    <row r="3115" spans="7:7" ht="10.5" customHeight="1" x14ac:dyDescent="0.2">
      <c r="G3115" s="889"/>
    </row>
    <row r="3116" spans="7:7" ht="10.5" customHeight="1" x14ac:dyDescent="0.2">
      <c r="G3116" s="889"/>
    </row>
    <row r="3117" spans="7:7" ht="10.5" customHeight="1" x14ac:dyDescent="0.2">
      <c r="G3117" s="889"/>
    </row>
    <row r="3118" spans="7:7" ht="10.5" customHeight="1" x14ac:dyDescent="0.2">
      <c r="G3118" s="889"/>
    </row>
    <row r="3119" spans="7:7" ht="10.5" customHeight="1" x14ac:dyDescent="0.2">
      <c r="G3119" s="889"/>
    </row>
    <row r="3120" spans="7:7" ht="10.5" customHeight="1" x14ac:dyDescent="0.2">
      <c r="G3120" s="889"/>
    </row>
    <row r="3121" spans="7:7" ht="10.5" customHeight="1" x14ac:dyDescent="0.2">
      <c r="G3121" s="889"/>
    </row>
    <row r="3122" spans="7:7" ht="10.5" customHeight="1" x14ac:dyDescent="0.2">
      <c r="G3122" s="889"/>
    </row>
    <row r="3123" spans="7:7" ht="10.5" customHeight="1" x14ac:dyDescent="0.2">
      <c r="G3123" s="889"/>
    </row>
    <row r="3124" spans="7:7" ht="10.5" customHeight="1" x14ac:dyDescent="0.2">
      <c r="G3124" s="889"/>
    </row>
    <row r="3125" spans="7:7" ht="10.5" customHeight="1" x14ac:dyDescent="0.2">
      <c r="G3125" s="889"/>
    </row>
    <row r="3126" spans="7:7" ht="10.5" customHeight="1" x14ac:dyDescent="0.2">
      <c r="G3126" s="889"/>
    </row>
    <row r="3127" spans="7:7" ht="10.5" customHeight="1" x14ac:dyDescent="0.2">
      <c r="G3127" s="889"/>
    </row>
    <row r="3128" spans="7:7" ht="10.5" customHeight="1" x14ac:dyDescent="0.2">
      <c r="G3128" s="889"/>
    </row>
    <row r="3129" spans="7:7" ht="10.5" customHeight="1" x14ac:dyDescent="0.2">
      <c r="G3129" s="889"/>
    </row>
    <row r="3130" spans="7:7" ht="10.5" customHeight="1" x14ac:dyDescent="0.2">
      <c r="G3130" s="889"/>
    </row>
    <row r="3131" spans="7:7" ht="10.5" customHeight="1" x14ac:dyDescent="0.2">
      <c r="G3131" s="889"/>
    </row>
    <row r="3132" spans="7:7" ht="10.5" customHeight="1" x14ac:dyDescent="0.2">
      <c r="G3132" s="889"/>
    </row>
    <row r="3133" spans="7:7" ht="10.5" customHeight="1" x14ac:dyDescent="0.2">
      <c r="G3133" s="889"/>
    </row>
    <row r="3134" spans="7:7" ht="10.5" customHeight="1" x14ac:dyDescent="0.2">
      <c r="G3134" s="889"/>
    </row>
    <row r="3135" spans="7:7" ht="10.5" customHeight="1" x14ac:dyDescent="0.2">
      <c r="G3135" s="889"/>
    </row>
    <row r="3136" spans="7:7" ht="10.5" customHeight="1" x14ac:dyDescent="0.2">
      <c r="G3136" s="889"/>
    </row>
    <row r="3137" spans="7:7" ht="10.5" customHeight="1" x14ac:dyDescent="0.2">
      <c r="G3137" s="889"/>
    </row>
    <row r="3138" spans="7:7" ht="10.5" customHeight="1" x14ac:dyDescent="0.2">
      <c r="G3138" s="889"/>
    </row>
    <row r="3139" spans="7:7" ht="10.5" customHeight="1" x14ac:dyDescent="0.2">
      <c r="G3139" s="889"/>
    </row>
    <row r="3140" spans="7:7" ht="10.5" customHeight="1" x14ac:dyDescent="0.2">
      <c r="G3140" s="889"/>
    </row>
    <row r="3141" spans="7:7" ht="10.5" customHeight="1" x14ac:dyDescent="0.2">
      <c r="G3141" s="889"/>
    </row>
    <row r="3142" spans="7:7" ht="10.5" customHeight="1" x14ac:dyDescent="0.2">
      <c r="G3142" s="889"/>
    </row>
    <row r="3143" spans="7:7" ht="10.5" customHeight="1" x14ac:dyDescent="0.2">
      <c r="G3143" s="889"/>
    </row>
    <row r="3144" spans="7:7" ht="10.5" customHeight="1" x14ac:dyDescent="0.2">
      <c r="G3144" s="889"/>
    </row>
    <row r="3145" spans="7:7" ht="10.5" customHeight="1" x14ac:dyDescent="0.2">
      <c r="G3145" s="889"/>
    </row>
    <row r="3146" spans="7:7" ht="10.5" customHeight="1" x14ac:dyDescent="0.2">
      <c r="G3146" s="889"/>
    </row>
    <row r="3147" spans="7:7" ht="10.5" customHeight="1" x14ac:dyDescent="0.2">
      <c r="G3147" s="889"/>
    </row>
    <row r="3148" spans="7:7" ht="10.5" customHeight="1" x14ac:dyDescent="0.2">
      <c r="G3148" s="889"/>
    </row>
    <row r="3149" spans="7:7" ht="10.5" customHeight="1" x14ac:dyDescent="0.2">
      <c r="G3149" s="889"/>
    </row>
    <row r="3150" spans="7:7" ht="10.5" customHeight="1" x14ac:dyDescent="0.2">
      <c r="G3150" s="889"/>
    </row>
    <row r="3151" spans="7:7" ht="10.5" customHeight="1" x14ac:dyDescent="0.2">
      <c r="G3151" s="889"/>
    </row>
    <row r="3152" spans="7:7" ht="10.5" customHeight="1" x14ac:dyDescent="0.2">
      <c r="G3152" s="889"/>
    </row>
    <row r="3153" spans="7:7" ht="10.5" customHeight="1" x14ac:dyDescent="0.2">
      <c r="G3153" s="889"/>
    </row>
    <row r="3154" spans="7:7" ht="10.5" customHeight="1" x14ac:dyDescent="0.2">
      <c r="G3154" s="889"/>
    </row>
    <row r="3155" spans="7:7" ht="10.5" customHeight="1" x14ac:dyDescent="0.2">
      <c r="G3155" s="889"/>
    </row>
    <row r="3156" spans="7:7" ht="10.5" customHeight="1" x14ac:dyDescent="0.2">
      <c r="G3156" s="889"/>
    </row>
    <row r="3157" spans="7:7" ht="10.5" customHeight="1" x14ac:dyDescent="0.2">
      <c r="G3157" s="889"/>
    </row>
    <row r="3158" spans="7:7" ht="10.5" customHeight="1" x14ac:dyDescent="0.2">
      <c r="G3158" s="889"/>
    </row>
    <row r="3159" spans="7:7" ht="10.5" customHeight="1" x14ac:dyDescent="0.2">
      <c r="G3159" s="889"/>
    </row>
    <row r="3160" spans="7:7" ht="10.5" customHeight="1" x14ac:dyDescent="0.2">
      <c r="G3160" s="889"/>
    </row>
    <row r="3161" spans="7:7" ht="10.5" customHeight="1" x14ac:dyDescent="0.2">
      <c r="G3161" s="889"/>
    </row>
    <row r="3162" spans="7:7" ht="10.5" customHeight="1" x14ac:dyDescent="0.2">
      <c r="G3162" s="889"/>
    </row>
    <row r="3163" spans="7:7" ht="10.5" customHeight="1" x14ac:dyDescent="0.2">
      <c r="G3163" s="889"/>
    </row>
    <row r="3164" spans="7:7" ht="10.5" customHeight="1" x14ac:dyDescent="0.2">
      <c r="G3164" s="889"/>
    </row>
    <row r="3165" spans="7:7" ht="10.5" customHeight="1" x14ac:dyDescent="0.2">
      <c r="G3165" s="889"/>
    </row>
    <row r="3166" spans="7:7" ht="10.5" customHeight="1" x14ac:dyDescent="0.2">
      <c r="G3166" s="889"/>
    </row>
    <row r="3167" spans="7:7" ht="10.5" customHeight="1" x14ac:dyDescent="0.2">
      <c r="G3167" s="889"/>
    </row>
    <row r="3168" spans="7:7" ht="10.5" customHeight="1" x14ac:dyDescent="0.2">
      <c r="G3168" s="889"/>
    </row>
    <row r="3169" spans="7:7" ht="10.5" customHeight="1" x14ac:dyDescent="0.2">
      <c r="G3169" s="889"/>
    </row>
    <row r="3170" spans="7:7" ht="10.5" customHeight="1" x14ac:dyDescent="0.2">
      <c r="G3170" s="889"/>
    </row>
    <row r="3171" spans="7:7" ht="10.5" customHeight="1" x14ac:dyDescent="0.2">
      <c r="G3171" s="889"/>
    </row>
    <row r="3172" spans="7:7" ht="10.5" customHeight="1" x14ac:dyDescent="0.2">
      <c r="G3172" s="889"/>
    </row>
    <row r="3173" spans="7:7" ht="10.5" customHeight="1" x14ac:dyDescent="0.2">
      <c r="G3173" s="889"/>
    </row>
    <row r="3174" spans="7:7" ht="10.5" customHeight="1" x14ac:dyDescent="0.2">
      <c r="G3174" s="889"/>
    </row>
    <row r="3175" spans="7:7" ht="10.5" customHeight="1" x14ac:dyDescent="0.2">
      <c r="G3175" s="889"/>
    </row>
    <row r="3176" spans="7:7" ht="10.5" customHeight="1" x14ac:dyDescent="0.2">
      <c r="G3176" s="889"/>
    </row>
    <row r="3177" spans="7:7" ht="10.5" customHeight="1" x14ac:dyDescent="0.2">
      <c r="G3177" s="889"/>
    </row>
    <row r="3178" spans="7:7" ht="10.5" customHeight="1" x14ac:dyDescent="0.2">
      <c r="G3178" s="889"/>
    </row>
    <row r="3179" spans="7:7" ht="10.5" customHeight="1" x14ac:dyDescent="0.2">
      <c r="G3179" s="889"/>
    </row>
    <row r="3180" spans="7:7" ht="10.5" customHeight="1" x14ac:dyDescent="0.2">
      <c r="G3180" s="889"/>
    </row>
    <row r="3181" spans="7:7" ht="10.5" customHeight="1" x14ac:dyDescent="0.2">
      <c r="G3181" s="889"/>
    </row>
    <row r="3182" spans="7:7" ht="10.5" customHeight="1" x14ac:dyDescent="0.2">
      <c r="G3182" s="889"/>
    </row>
    <row r="3183" spans="7:7" ht="10.5" customHeight="1" x14ac:dyDescent="0.2">
      <c r="G3183" s="889"/>
    </row>
    <row r="3184" spans="7:7" ht="10.5" customHeight="1" x14ac:dyDescent="0.2">
      <c r="G3184" s="889"/>
    </row>
    <row r="3185" spans="7:7" ht="10.5" customHeight="1" x14ac:dyDescent="0.2">
      <c r="G3185" s="889"/>
    </row>
    <row r="3186" spans="7:7" ht="10.5" customHeight="1" x14ac:dyDescent="0.2">
      <c r="G3186" s="889"/>
    </row>
    <row r="3187" spans="7:7" ht="10.5" customHeight="1" x14ac:dyDescent="0.2">
      <c r="G3187" s="889"/>
    </row>
    <row r="3188" spans="7:7" ht="10.5" customHeight="1" x14ac:dyDescent="0.2">
      <c r="G3188" s="889"/>
    </row>
    <row r="3189" spans="7:7" ht="10.5" customHeight="1" x14ac:dyDescent="0.2">
      <c r="G3189" s="889"/>
    </row>
    <row r="3190" spans="7:7" ht="10.5" customHeight="1" x14ac:dyDescent="0.2">
      <c r="G3190" s="889"/>
    </row>
    <row r="3191" spans="7:7" ht="10.5" customHeight="1" x14ac:dyDescent="0.2">
      <c r="G3191" s="889"/>
    </row>
    <row r="3192" spans="7:7" ht="10.5" customHeight="1" x14ac:dyDescent="0.2">
      <c r="G3192" s="889"/>
    </row>
    <row r="3193" spans="7:7" ht="10.5" customHeight="1" x14ac:dyDescent="0.2">
      <c r="G3193" s="889"/>
    </row>
    <row r="3194" spans="7:7" ht="10.5" customHeight="1" x14ac:dyDescent="0.2">
      <c r="G3194" s="889"/>
    </row>
    <row r="3195" spans="7:7" ht="10.5" customHeight="1" x14ac:dyDescent="0.2">
      <c r="G3195" s="889"/>
    </row>
    <row r="3196" spans="7:7" ht="10.5" customHeight="1" x14ac:dyDescent="0.2">
      <c r="G3196" s="889"/>
    </row>
    <row r="3197" spans="7:7" ht="10.5" customHeight="1" x14ac:dyDescent="0.2">
      <c r="G3197" s="889"/>
    </row>
    <row r="3198" spans="7:7" ht="10.5" customHeight="1" x14ac:dyDescent="0.2">
      <c r="G3198" s="889"/>
    </row>
    <row r="3199" spans="7:7" ht="10.5" customHeight="1" x14ac:dyDescent="0.2">
      <c r="G3199" s="889"/>
    </row>
    <row r="3200" spans="7:7" ht="10.5" customHeight="1" x14ac:dyDescent="0.2">
      <c r="G3200" s="889"/>
    </row>
    <row r="3201" spans="7:7" ht="10.5" customHeight="1" x14ac:dyDescent="0.2">
      <c r="G3201" s="889"/>
    </row>
    <row r="3202" spans="7:7" ht="10.5" customHeight="1" x14ac:dyDescent="0.2">
      <c r="G3202" s="889"/>
    </row>
    <row r="3203" spans="7:7" ht="10.5" customHeight="1" x14ac:dyDescent="0.2">
      <c r="G3203" s="889"/>
    </row>
    <row r="3204" spans="7:7" ht="10.5" customHeight="1" x14ac:dyDescent="0.2">
      <c r="G3204" s="889"/>
    </row>
    <row r="3205" spans="7:7" ht="10.5" customHeight="1" x14ac:dyDescent="0.2">
      <c r="G3205" s="889"/>
    </row>
    <row r="3206" spans="7:7" ht="10.5" customHeight="1" x14ac:dyDescent="0.2">
      <c r="G3206" s="889"/>
    </row>
    <row r="3207" spans="7:7" ht="10.5" customHeight="1" x14ac:dyDescent="0.2">
      <c r="G3207" s="889"/>
    </row>
    <row r="3208" spans="7:7" ht="10.5" customHeight="1" x14ac:dyDescent="0.2">
      <c r="G3208" s="889"/>
    </row>
    <row r="3209" spans="7:7" ht="10.5" customHeight="1" x14ac:dyDescent="0.2">
      <c r="G3209" s="889"/>
    </row>
    <row r="3210" spans="7:7" ht="10.5" customHeight="1" x14ac:dyDescent="0.2">
      <c r="G3210" s="889"/>
    </row>
    <row r="3211" spans="7:7" ht="10.5" customHeight="1" x14ac:dyDescent="0.2">
      <c r="G3211" s="889"/>
    </row>
    <row r="3212" spans="7:7" ht="10.5" customHeight="1" x14ac:dyDescent="0.2">
      <c r="G3212" s="889"/>
    </row>
    <row r="3213" spans="7:7" ht="10.5" customHeight="1" x14ac:dyDescent="0.2">
      <c r="G3213" s="889"/>
    </row>
    <row r="3214" spans="7:7" ht="10.5" customHeight="1" x14ac:dyDescent="0.2">
      <c r="G3214" s="889"/>
    </row>
    <row r="3215" spans="7:7" ht="10.5" customHeight="1" x14ac:dyDescent="0.2">
      <c r="G3215" s="889"/>
    </row>
    <row r="3216" spans="7:7" ht="10.5" customHeight="1" x14ac:dyDescent="0.2">
      <c r="G3216" s="889"/>
    </row>
    <row r="3217" spans="7:7" ht="10.5" customHeight="1" x14ac:dyDescent="0.2">
      <c r="G3217" s="889"/>
    </row>
    <row r="3218" spans="7:7" ht="10.5" customHeight="1" x14ac:dyDescent="0.2">
      <c r="G3218" s="889"/>
    </row>
    <row r="3219" spans="7:7" ht="10.5" customHeight="1" x14ac:dyDescent="0.2">
      <c r="G3219" s="889"/>
    </row>
    <row r="3220" spans="7:7" ht="10.5" customHeight="1" x14ac:dyDescent="0.2">
      <c r="G3220" s="889"/>
    </row>
    <row r="3221" spans="7:7" ht="10.5" customHeight="1" x14ac:dyDescent="0.2">
      <c r="G3221" s="889"/>
    </row>
    <row r="3222" spans="7:7" ht="10.5" customHeight="1" x14ac:dyDescent="0.2">
      <c r="G3222" s="889"/>
    </row>
    <row r="3223" spans="7:7" ht="10.5" customHeight="1" x14ac:dyDescent="0.2">
      <c r="G3223" s="889"/>
    </row>
    <row r="3224" spans="7:7" ht="10.5" customHeight="1" x14ac:dyDescent="0.2">
      <c r="G3224" s="889"/>
    </row>
    <row r="3225" spans="7:7" ht="10.5" customHeight="1" x14ac:dyDescent="0.2">
      <c r="G3225" s="889"/>
    </row>
    <row r="3226" spans="7:7" ht="10.5" customHeight="1" x14ac:dyDescent="0.2">
      <c r="G3226" s="889"/>
    </row>
    <row r="3227" spans="7:7" ht="10.5" customHeight="1" x14ac:dyDescent="0.2">
      <c r="G3227" s="889"/>
    </row>
    <row r="3228" spans="7:7" ht="10.5" customHeight="1" x14ac:dyDescent="0.2">
      <c r="G3228" s="889"/>
    </row>
    <row r="3229" spans="7:7" ht="10.5" customHeight="1" x14ac:dyDescent="0.2">
      <c r="G3229" s="889"/>
    </row>
    <row r="3230" spans="7:7" ht="10.5" customHeight="1" x14ac:dyDescent="0.2">
      <c r="G3230" s="889"/>
    </row>
    <row r="3231" spans="7:7" ht="10.5" customHeight="1" x14ac:dyDescent="0.2">
      <c r="G3231" s="889"/>
    </row>
    <row r="3232" spans="7:7" ht="10.5" customHeight="1" x14ac:dyDescent="0.2">
      <c r="G3232" s="889"/>
    </row>
    <row r="3233" spans="7:7" ht="10.5" customHeight="1" x14ac:dyDescent="0.2">
      <c r="G3233" s="889"/>
    </row>
    <row r="3234" spans="7:7" ht="10.5" customHeight="1" x14ac:dyDescent="0.2">
      <c r="G3234" s="889"/>
    </row>
    <row r="3235" spans="7:7" ht="10.5" customHeight="1" x14ac:dyDescent="0.2">
      <c r="G3235" s="889"/>
    </row>
    <row r="3236" spans="7:7" ht="10.5" customHeight="1" x14ac:dyDescent="0.2">
      <c r="G3236" s="889"/>
    </row>
    <row r="3237" spans="7:7" ht="10.5" customHeight="1" x14ac:dyDescent="0.2">
      <c r="G3237" s="889"/>
    </row>
    <row r="3238" spans="7:7" ht="10.5" customHeight="1" x14ac:dyDescent="0.2">
      <c r="G3238" s="889"/>
    </row>
    <row r="3239" spans="7:7" ht="10.5" customHeight="1" x14ac:dyDescent="0.2">
      <c r="G3239" s="889"/>
    </row>
    <row r="3240" spans="7:7" ht="10.5" customHeight="1" x14ac:dyDescent="0.2">
      <c r="G3240" s="889"/>
    </row>
    <row r="3241" spans="7:7" ht="10.5" customHeight="1" x14ac:dyDescent="0.2">
      <c r="G3241" s="889"/>
    </row>
    <row r="3242" spans="7:7" ht="10.5" customHeight="1" x14ac:dyDescent="0.2">
      <c r="G3242" s="889"/>
    </row>
    <row r="3243" spans="7:7" ht="10.5" customHeight="1" x14ac:dyDescent="0.2">
      <c r="G3243" s="889"/>
    </row>
    <row r="3244" spans="7:7" ht="10.5" customHeight="1" x14ac:dyDescent="0.2">
      <c r="G3244" s="889"/>
    </row>
    <row r="3245" spans="7:7" ht="10.5" customHeight="1" x14ac:dyDescent="0.2">
      <c r="G3245" s="889"/>
    </row>
    <row r="3246" spans="7:7" ht="10.5" customHeight="1" x14ac:dyDescent="0.2">
      <c r="G3246" s="889"/>
    </row>
    <row r="3247" spans="7:7" ht="10.5" customHeight="1" x14ac:dyDescent="0.2">
      <c r="G3247" s="889"/>
    </row>
    <row r="3248" spans="7:7" ht="10.5" customHeight="1" x14ac:dyDescent="0.2">
      <c r="G3248" s="889"/>
    </row>
    <row r="3249" spans="7:7" ht="10.5" customHeight="1" x14ac:dyDescent="0.2">
      <c r="G3249" s="889"/>
    </row>
    <row r="3250" spans="7:7" ht="10.5" customHeight="1" x14ac:dyDescent="0.2">
      <c r="G3250" s="889"/>
    </row>
    <row r="3251" spans="7:7" ht="10.5" customHeight="1" x14ac:dyDescent="0.2">
      <c r="G3251" s="889"/>
    </row>
    <row r="3252" spans="7:7" ht="10.5" customHeight="1" x14ac:dyDescent="0.2">
      <c r="G3252" s="889"/>
    </row>
    <row r="3253" spans="7:7" ht="10.5" customHeight="1" x14ac:dyDescent="0.2">
      <c r="G3253" s="889"/>
    </row>
    <row r="3254" spans="7:7" ht="10.5" customHeight="1" x14ac:dyDescent="0.2">
      <c r="G3254" s="889"/>
    </row>
    <row r="3255" spans="7:7" ht="10.5" customHeight="1" x14ac:dyDescent="0.2">
      <c r="G3255" s="889"/>
    </row>
    <row r="3256" spans="7:7" ht="10.5" customHeight="1" x14ac:dyDescent="0.2">
      <c r="G3256" s="889"/>
    </row>
    <row r="3257" spans="7:7" ht="10.5" customHeight="1" x14ac:dyDescent="0.2">
      <c r="G3257" s="889"/>
    </row>
    <row r="3258" spans="7:7" ht="10.5" customHeight="1" x14ac:dyDescent="0.2">
      <c r="G3258" s="889"/>
    </row>
    <row r="3259" spans="7:7" ht="10.5" customHeight="1" x14ac:dyDescent="0.2">
      <c r="G3259" s="889"/>
    </row>
    <row r="3260" spans="7:7" ht="10.5" customHeight="1" x14ac:dyDescent="0.2">
      <c r="G3260" s="889"/>
    </row>
    <row r="3261" spans="7:7" ht="10.5" customHeight="1" x14ac:dyDescent="0.2">
      <c r="G3261" s="889"/>
    </row>
    <row r="3262" spans="7:7" ht="10.5" customHeight="1" x14ac:dyDescent="0.2">
      <c r="G3262" s="889"/>
    </row>
    <row r="3263" spans="7:7" ht="10.5" customHeight="1" x14ac:dyDescent="0.2">
      <c r="G3263" s="889"/>
    </row>
    <row r="3264" spans="7:7" ht="10.5" customHeight="1" x14ac:dyDescent="0.2">
      <c r="G3264" s="889"/>
    </row>
    <row r="3265" spans="7:7" ht="10.5" customHeight="1" x14ac:dyDescent="0.2">
      <c r="G3265" s="889"/>
    </row>
    <row r="3266" spans="7:7" ht="10.5" customHeight="1" x14ac:dyDescent="0.2">
      <c r="G3266" s="889"/>
    </row>
    <row r="3267" spans="7:7" ht="10.5" customHeight="1" x14ac:dyDescent="0.2">
      <c r="G3267" s="889"/>
    </row>
    <row r="3268" spans="7:7" ht="10.5" customHeight="1" x14ac:dyDescent="0.2">
      <c r="G3268" s="889"/>
    </row>
    <row r="3269" spans="7:7" ht="10.5" customHeight="1" x14ac:dyDescent="0.2">
      <c r="G3269" s="889"/>
    </row>
    <row r="3270" spans="7:7" ht="10.5" customHeight="1" x14ac:dyDescent="0.2">
      <c r="G3270" s="889"/>
    </row>
    <row r="3271" spans="7:7" ht="10.5" customHeight="1" x14ac:dyDescent="0.2">
      <c r="G3271" s="889"/>
    </row>
    <row r="3272" spans="7:7" ht="10.5" customHeight="1" x14ac:dyDescent="0.2">
      <c r="G3272" s="889"/>
    </row>
    <row r="3273" spans="7:7" ht="10.5" customHeight="1" x14ac:dyDescent="0.2">
      <c r="G3273" s="889"/>
    </row>
    <row r="3274" spans="7:7" ht="10.5" customHeight="1" x14ac:dyDescent="0.2">
      <c r="G3274" s="889"/>
    </row>
    <row r="3275" spans="7:7" ht="10.5" customHeight="1" x14ac:dyDescent="0.2">
      <c r="G3275" s="889"/>
    </row>
    <row r="3276" spans="7:7" ht="10.5" customHeight="1" x14ac:dyDescent="0.2">
      <c r="G3276" s="889"/>
    </row>
    <row r="3277" spans="7:7" ht="10.5" customHeight="1" x14ac:dyDescent="0.2">
      <c r="G3277" s="889"/>
    </row>
    <row r="3278" spans="7:7" ht="10.5" customHeight="1" x14ac:dyDescent="0.2">
      <c r="G3278" s="889"/>
    </row>
    <row r="3279" spans="7:7" ht="10.5" customHeight="1" x14ac:dyDescent="0.2">
      <c r="G3279" s="889"/>
    </row>
    <row r="3280" spans="7:7" ht="10.5" customHeight="1" x14ac:dyDescent="0.2">
      <c r="G3280" s="889"/>
    </row>
    <row r="3281" spans="7:7" ht="10.5" customHeight="1" x14ac:dyDescent="0.2">
      <c r="G3281" s="889"/>
    </row>
    <row r="3282" spans="7:7" ht="10.5" customHeight="1" x14ac:dyDescent="0.2">
      <c r="G3282" s="889"/>
    </row>
    <row r="3283" spans="7:7" ht="10.5" customHeight="1" x14ac:dyDescent="0.2">
      <c r="G3283" s="889"/>
    </row>
    <row r="3284" spans="7:7" ht="10.5" customHeight="1" x14ac:dyDescent="0.2">
      <c r="G3284" s="889"/>
    </row>
    <row r="3285" spans="7:7" ht="10.5" customHeight="1" x14ac:dyDescent="0.2">
      <c r="G3285" s="889"/>
    </row>
    <row r="3286" spans="7:7" ht="10.5" customHeight="1" x14ac:dyDescent="0.2">
      <c r="G3286" s="889"/>
    </row>
    <row r="3287" spans="7:7" ht="10.5" customHeight="1" x14ac:dyDescent="0.2">
      <c r="G3287" s="889"/>
    </row>
    <row r="3288" spans="7:7" ht="10.5" customHeight="1" x14ac:dyDescent="0.2">
      <c r="G3288" s="889"/>
    </row>
    <row r="3289" spans="7:7" ht="10.5" customHeight="1" x14ac:dyDescent="0.2">
      <c r="G3289" s="889"/>
    </row>
    <row r="3290" spans="7:7" ht="10.5" customHeight="1" x14ac:dyDescent="0.2">
      <c r="G3290" s="889"/>
    </row>
    <row r="3291" spans="7:7" ht="10.5" customHeight="1" x14ac:dyDescent="0.2">
      <c r="G3291" s="889"/>
    </row>
    <row r="3292" spans="7:7" ht="10.5" customHeight="1" x14ac:dyDescent="0.2">
      <c r="G3292" s="889"/>
    </row>
    <row r="3293" spans="7:7" ht="10.5" customHeight="1" x14ac:dyDescent="0.2">
      <c r="G3293" s="889"/>
    </row>
    <row r="3294" spans="7:7" ht="10.5" customHeight="1" x14ac:dyDescent="0.2">
      <c r="G3294" s="889"/>
    </row>
    <row r="3295" spans="7:7" ht="10.5" customHeight="1" x14ac:dyDescent="0.2">
      <c r="G3295" s="889"/>
    </row>
    <row r="3296" spans="7:7" ht="10.5" customHeight="1" x14ac:dyDescent="0.2">
      <c r="G3296" s="889"/>
    </row>
    <row r="3297" spans="7:7" ht="10.5" customHeight="1" x14ac:dyDescent="0.2">
      <c r="G3297" s="889"/>
    </row>
    <row r="3298" spans="7:7" ht="10.5" customHeight="1" x14ac:dyDescent="0.2">
      <c r="G3298" s="889"/>
    </row>
    <row r="3299" spans="7:7" ht="10.5" customHeight="1" x14ac:dyDescent="0.2">
      <c r="G3299" s="889"/>
    </row>
    <row r="3300" spans="7:7" ht="10.5" customHeight="1" x14ac:dyDescent="0.2">
      <c r="G3300" s="889"/>
    </row>
    <row r="3301" spans="7:7" ht="10.5" customHeight="1" x14ac:dyDescent="0.2">
      <c r="G3301" s="889"/>
    </row>
    <row r="3302" spans="7:7" ht="10.5" customHeight="1" x14ac:dyDescent="0.2">
      <c r="G3302" s="889"/>
    </row>
    <row r="3303" spans="7:7" ht="10.5" customHeight="1" x14ac:dyDescent="0.2">
      <c r="G3303" s="889"/>
    </row>
    <row r="3304" spans="7:7" ht="10.5" customHeight="1" x14ac:dyDescent="0.2">
      <c r="G3304" s="889"/>
    </row>
    <row r="3305" spans="7:7" ht="10.5" customHeight="1" x14ac:dyDescent="0.2">
      <c r="G3305" s="889"/>
    </row>
    <row r="3306" spans="7:7" ht="10.5" customHeight="1" x14ac:dyDescent="0.2">
      <c r="G3306" s="889"/>
    </row>
    <row r="3307" spans="7:7" ht="10.5" customHeight="1" x14ac:dyDescent="0.2">
      <c r="G3307" s="889"/>
    </row>
    <row r="3308" spans="7:7" ht="10.5" customHeight="1" x14ac:dyDescent="0.2">
      <c r="G3308" s="889"/>
    </row>
    <row r="3309" spans="7:7" ht="10.5" customHeight="1" x14ac:dyDescent="0.2">
      <c r="G3309" s="889"/>
    </row>
    <row r="3310" spans="7:7" ht="10.5" customHeight="1" x14ac:dyDescent="0.2">
      <c r="G3310" s="889"/>
    </row>
    <row r="3311" spans="7:7" ht="10.5" customHeight="1" x14ac:dyDescent="0.2">
      <c r="G3311" s="889"/>
    </row>
    <row r="3312" spans="7:7" ht="10.5" customHeight="1" x14ac:dyDescent="0.2">
      <c r="G3312" s="889"/>
    </row>
    <row r="3313" spans="7:7" ht="10.5" customHeight="1" x14ac:dyDescent="0.2">
      <c r="G3313" s="889"/>
    </row>
    <row r="3314" spans="7:7" ht="10.5" customHeight="1" x14ac:dyDescent="0.2">
      <c r="G3314" s="889"/>
    </row>
    <row r="3315" spans="7:7" ht="10.5" customHeight="1" x14ac:dyDescent="0.2">
      <c r="G3315" s="889"/>
    </row>
    <row r="3316" spans="7:7" ht="10.5" customHeight="1" x14ac:dyDescent="0.2">
      <c r="G3316" s="889"/>
    </row>
    <row r="3317" spans="7:7" ht="10.5" customHeight="1" x14ac:dyDescent="0.2">
      <c r="G3317" s="889"/>
    </row>
    <row r="3318" spans="7:7" ht="10.5" customHeight="1" x14ac:dyDescent="0.2">
      <c r="G3318" s="889"/>
    </row>
    <row r="3319" spans="7:7" ht="10.5" customHeight="1" x14ac:dyDescent="0.2">
      <c r="G3319" s="889"/>
    </row>
    <row r="3320" spans="7:7" ht="10.5" customHeight="1" x14ac:dyDescent="0.2">
      <c r="G3320" s="889"/>
    </row>
    <row r="3321" spans="7:7" ht="10.5" customHeight="1" x14ac:dyDescent="0.2">
      <c r="G3321" s="889"/>
    </row>
    <row r="3322" spans="7:7" ht="10.5" customHeight="1" x14ac:dyDescent="0.2">
      <c r="G3322" s="889"/>
    </row>
    <row r="3323" spans="7:7" ht="10.5" customHeight="1" x14ac:dyDescent="0.2">
      <c r="G3323" s="889"/>
    </row>
    <row r="3324" spans="7:7" ht="10.5" customHeight="1" x14ac:dyDescent="0.2">
      <c r="G3324" s="889"/>
    </row>
    <row r="3325" spans="7:7" ht="10.5" customHeight="1" x14ac:dyDescent="0.2">
      <c r="G3325" s="889"/>
    </row>
    <row r="3326" spans="7:7" ht="10.5" customHeight="1" x14ac:dyDescent="0.2">
      <c r="G3326" s="889"/>
    </row>
    <row r="3327" spans="7:7" ht="10.5" customHeight="1" x14ac:dyDescent="0.2">
      <c r="G3327" s="889"/>
    </row>
    <row r="3328" spans="7:7" ht="10.5" customHeight="1" x14ac:dyDescent="0.2">
      <c r="G3328" s="889"/>
    </row>
    <row r="3329" spans="7:7" ht="10.5" customHeight="1" x14ac:dyDescent="0.2">
      <c r="G3329" s="889"/>
    </row>
    <row r="3330" spans="7:7" ht="10.5" customHeight="1" x14ac:dyDescent="0.2">
      <c r="G3330" s="889"/>
    </row>
    <row r="3331" spans="7:7" ht="10.5" customHeight="1" x14ac:dyDescent="0.2">
      <c r="G3331" s="889"/>
    </row>
    <row r="3332" spans="7:7" ht="10.5" customHeight="1" x14ac:dyDescent="0.2">
      <c r="G3332" s="889"/>
    </row>
    <row r="3333" spans="7:7" ht="10.5" customHeight="1" x14ac:dyDescent="0.2">
      <c r="G3333" s="889"/>
    </row>
    <row r="3334" spans="7:7" ht="10.5" customHeight="1" x14ac:dyDescent="0.2">
      <c r="G3334" s="889"/>
    </row>
    <row r="3335" spans="7:7" ht="10.5" customHeight="1" x14ac:dyDescent="0.2">
      <c r="G3335" s="889"/>
    </row>
    <row r="3336" spans="7:7" ht="10.5" customHeight="1" x14ac:dyDescent="0.2">
      <c r="G3336" s="889"/>
    </row>
    <row r="3337" spans="7:7" ht="10.5" customHeight="1" x14ac:dyDescent="0.2">
      <c r="G3337" s="889"/>
    </row>
    <row r="3338" spans="7:7" ht="10.5" customHeight="1" x14ac:dyDescent="0.2">
      <c r="G3338" s="889"/>
    </row>
    <row r="3339" spans="7:7" ht="10.5" customHeight="1" x14ac:dyDescent="0.2">
      <c r="G3339" s="889"/>
    </row>
    <row r="3340" spans="7:7" ht="10.5" customHeight="1" x14ac:dyDescent="0.2">
      <c r="G3340" s="889"/>
    </row>
    <row r="3341" spans="7:7" ht="10.5" customHeight="1" x14ac:dyDescent="0.2">
      <c r="G3341" s="889"/>
    </row>
    <row r="3342" spans="7:7" ht="10.5" customHeight="1" x14ac:dyDescent="0.2">
      <c r="G3342" s="889"/>
    </row>
    <row r="3343" spans="7:7" ht="10.5" customHeight="1" x14ac:dyDescent="0.2">
      <c r="G3343" s="889"/>
    </row>
    <row r="3344" spans="7:7" ht="10.5" customHeight="1" x14ac:dyDescent="0.2">
      <c r="G3344" s="889"/>
    </row>
    <row r="3345" spans="7:7" ht="10.5" customHeight="1" x14ac:dyDescent="0.2">
      <c r="G3345" s="889"/>
    </row>
    <row r="3346" spans="7:7" ht="10.5" customHeight="1" x14ac:dyDescent="0.2">
      <c r="G3346" s="889"/>
    </row>
    <row r="3347" spans="7:7" ht="10.5" customHeight="1" x14ac:dyDescent="0.2">
      <c r="G3347" s="889"/>
    </row>
    <row r="3348" spans="7:7" ht="10.5" customHeight="1" x14ac:dyDescent="0.2">
      <c r="G3348" s="889"/>
    </row>
    <row r="3349" spans="7:7" ht="10.5" customHeight="1" x14ac:dyDescent="0.2">
      <c r="G3349" s="889"/>
    </row>
    <row r="3350" spans="7:7" ht="10.5" customHeight="1" x14ac:dyDescent="0.2">
      <c r="G3350" s="889"/>
    </row>
    <row r="3351" spans="7:7" ht="10.5" customHeight="1" x14ac:dyDescent="0.2">
      <c r="G3351" s="889"/>
    </row>
    <row r="3352" spans="7:7" ht="10.5" customHeight="1" x14ac:dyDescent="0.2">
      <c r="G3352" s="889"/>
    </row>
    <row r="3353" spans="7:7" ht="10.5" customHeight="1" x14ac:dyDescent="0.2">
      <c r="G3353" s="889"/>
    </row>
    <row r="3354" spans="7:7" ht="10.5" customHeight="1" x14ac:dyDescent="0.2">
      <c r="G3354" s="889"/>
    </row>
    <row r="3355" spans="7:7" ht="10.5" customHeight="1" x14ac:dyDescent="0.2">
      <c r="G3355" s="889"/>
    </row>
    <row r="3356" spans="7:7" ht="10.5" customHeight="1" x14ac:dyDescent="0.2">
      <c r="G3356" s="889"/>
    </row>
    <row r="3357" spans="7:7" ht="10.5" customHeight="1" x14ac:dyDescent="0.2">
      <c r="G3357" s="889"/>
    </row>
    <row r="3358" spans="7:7" ht="10.5" customHeight="1" x14ac:dyDescent="0.2">
      <c r="G3358" s="889"/>
    </row>
    <row r="3359" spans="7:7" ht="10.5" customHeight="1" x14ac:dyDescent="0.2">
      <c r="G3359" s="889"/>
    </row>
    <row r="3360" spans="7:7" ht="10.5" customHeight="1" x14ac:dyDescent="0.2">
      <c r="G3360" s="889"/>
    </row>
    <row r="3361" spans="7:7" ht="10.5" customHeight="1" x14ac:dyDescent="0.2">
      <c r="G3361" s="889"/>
    </row>
    <row r="3362" spans="7:7" ht="10.5" customHeight="1" x14ac:dyDescent="0.2">
      <c r="G3362" s="889"/>
    </row>
    <row r="3363" spans="7:7" ht="10.5" customHeight="1" x14ac:dyDescent="0.2">
      <c r="G3363" s="889"/>
    </row>
    <row r="3364" spans="7:7" ht="10.5" customHeight="1" x14ac:dyDescent="0.2">
      <c r="G3364" s="889"/>
    </row>
    <row r="3365" spans="7:7" ht="10.5" customHeight="1" x14ac:dyDescent="0.2">
      <c r="G3365" s="889"/>
    </row>
    <row r="3366" spans="7:7" ht="10.5" customHeight="1" x14ac:dyDescent="0.2">
      <c r="G3366" s="889"/>
    </row>
    <row r="3367" spans="7:7" ht="10.5" customHeight="1" x14ac:dyDescent="0.2">
      <c r="G3367" s="889"/>
    </row>
    <row r="3368" spans="7:7" ht="10.5" customHeight="1" x14ac:dyDescent="0.2">
      <c r="G3368" s="889"/>
    </row>
    <row r="3369" spans="7:7" ht="10.5" customHeight="1" x14ac:dyDescent="0.2">
      <c r="G3369" s="889"/>
    </row>
    <row r="3370" spans="7:7" ht="10.5" customHeight="1" x14ac:dyDescent="0.2">
      <c r="G3370" s="889"/>
    </row>
    <row r="3371" spans="7:7" ht="10.5" customHeight="1" x14ac:dyDescent="0.2">
      <c r="G3371" s="889"/>
    </row>
    <row r="3372" spans="7:7" ht="10.5" customHeight="1" x14ac:dyDescent="0.2">
      <c r="G3372" s="889"/>
    </row>
    <row r="3373" spans="7:7" ht="10.5" customHeight="1" x14ac:dyDescent="0.2">
      <c r="G3373" s="889"/>
    </row>
    <row r="3374" spans="7:7" ht="10.5" customHeight="1" x14ac:dyDescent="0.2">
      <c r="G3374" s="889"/>
    </row>
    <row r="3375" spans="7:7" ht="10.5" customHeight="1" x14ac:dyDescent="0.2">
      <c r="G3375" s="889"/>
    </row>
    <row r="3376" spans="7:7" ht="10.5" customHeight="1" x14ac:dyDescent="0.2">
      <c r="G3376" s="889"/>
    </row>
    <row r="3377" spans="7:7" ht="10.5" customHeight="1" x14ac:dyDescent="0.2">
      <c r="G3377" s="889"/>
    </row>
    <row r="3378" spans="7:7" ht="10.5" customHeight="1" x14ac:dyDescent="0.2">
      <c r="G3378" s="889"/>
    </row>
    <row r="3379" spans="7:7" ht="10.5" customHeight="1" x14ac:dyDescent="0.2">
      <c r="G3379" s="889"/>
    </row>
    <row r="3380" spans="7:7" ht="10.5" customHeight="1" x14ac:dyDescent="0.2">
      <c r="G3380" s="889"/>
    </row>
    <row r="3381" spans="7:7" ht="10.5" customHeight="1" x14ac:dyDescent="0.2">
      <c r="G3381" s="889"/>
    </row>
    <row r="3382" spans="7:7" ht="10.5" customHeight="1" x14ac:dyDescent="0.2">
      <c r="G3382" s="889"/>
    </row>
    <row r="3383" spans="7:7" ht="10.5" customHeight="1" x14ac:dyDescent="0.2">
      <c r="G3383" s="889"/>
    </row>
    <row r="3384" spans="7:7" ht="10.5" customHeight="1" x14ac:dyDescent="0.2">
      <c r="G3384" s="889"/>
    </row>
    <row r="3385" spans="7:7" ht="10.5" customHeight="1" x14ac:dyDescent="0.2">
      <c r="G3385" s="889"/>
    </row>
    <row r="3386" spans="7:7" ht="10.5" customHeight="1" x14ac:dyDescent="0.2">
      <c r="G3386" s="889"/>
    </row>
    <row r="3387" spans="7:7" ht="10.5" customHeight="1" x14ac:dyDescent="0.2">
      <c r="G3387" s="889"/>
    </row>
    <row r="3388" spans="7:7" ht="10.5" customHeight="1" x14ac:dyDescent="0.2">
      <c r="G3388" s="889"/>
    </row>
    <row r="3389" spans="7:7" ht="10.5" customHeight="1" x14ac:dyDescent="0.2">
      <c r="G3389" s="889"/>
    </row>
    <row r="3390" spans="7:7" ht="10.5" customHeight="1" x14ac:dyDescent="0.2">
      <c r="G3390" s="889"/>
    </row>
    <row r="3391" spans="7:7" ht="10.5" customHeight="1" x14ac:dyDescent="0.2">
      <c r="G3391" s="889"/>
    </row>
    <row r="3392" spans="7:7" ht="10.5" customHeight="1" x14ac:dyDescent="0.2">
      <c r="G3392" s="889"/>
    </row>
    <row r="3393" spans="7:7" ht="10.5" customHeight="1" x14ac:dyDescent="0.2">
      <c r="G3393" s="889"/>
    </row>
    <row r="3394" spans="7:7" ht="10.5" customHeight="1" x14ac:dyDescent="0.2">
      <c r="G3394" s="889"/>
    </row>
    <row r="3395" spans="7:7" ht="10.5" customHeight="1" x14ac:dyDescent="0.2">
      <c r="G3395" s="889"/>
    </row>
    <row r="3396" spans="7:7" ht="10.5" customHeight="1" x14ac:dyDescent="0.2">
      <c r="G3396" s="889"/>
    </row>
    <row r="3397" spans="7:7" ht="10.5" customHeight="1" x14ac:dyDescent="0.2">
      <c r="G3397" s="889"/>
    </row>
    <row r="3398" spans="7:7" ht="10.5" customHeight="1" x14ac:dyDescent="0.2">
      <c r="G3398" s="889"/>
    </row>
    <row r="3399" spans="7:7" ht="10.5" customHeight="1" x14ac:dyDescent="0.2">
      <c r="G3399" s="889"/>
    </row>
    <row r="3400" spans="7:7" ht="10.5" customHeight="1" x14ac:dyDescent="0.2">
      <c r="G3400" s="889"/>
    </row>
    <row r="3401" spans="7:7" ht="10.5" customHeight="1" x14ac:dyDescent="0.2">
      <c r="G3401" s="889"/>
    </row>
    <row r="3402" spans="7:7" ht="10.5" customHeight="1" x14ac:dyDescent="0.2">
      <c r="G3402" s="889"/>
    </row>
    <row r="3403" spans="7:7" ht="10.5" customHeight="1" x14ac:dyDescent="0.2">
      <c r="G3403" s="889"/>
    </row>
    <row r="3404" spans="7:7" ht="10.5" customHeight="1" x14ac:dyDescent="0.2">
      <c r="G3404" s="889"/>
    </row>
    <row r="3405" spans="7:7" ht="10.5" customHeight="1" x14ac:dyDescent="0.2">
      <c r="G3405" s="889"/>
    </row>
    <row r="3406" spans="7:7" ht="10.5" customHeight="1" x14ac:dyDescent="0.2">
      <c r="G3406" s="889"/>
    </row>
    <row r="3407" spans="7:7" ht="10.5" customHeight="1" x14ac:dyDescent="0.2">
      <c r="G3407" s="889"/>
    </row>
    <row r="3408" spans="7:7" ht="10.5" customHeight="1" x14ac:dyDescent="0.2">
      <c r="G3408" s="889"/>
    </row>
    <row r="3409" spans="7:7" ht="10.5" customHeight="1" x14ac:dyDescent="0.2">
      <c r="G3409" s="889"/>
    </row>
    <row r="3410" spans="7:7" ht="10.5" customHeight="1" x14ac:dyDescent="0.2">
      <c r="G3410" s="889"/>
    </row>
    <row r="3411" spans="7:7" ht="10.5" customHeight="1" x14ac:dyDescent="0.2">
      <c r="G3411" s="889"/>
    </row>
    <row r="3412" spans="7:7" ht="10.5" customHeight="1" x14ac:dyDescent="0.2">
      <c r="G3412" s="889"/>
    </row>
    <row r="3413" spans="7:7" ht="10.5" customHeight="1" x14ac:dyDescent="0.2">
      <c r="G3413" s="889"/>
    </row>
    <row r="3414" spans="7:7" ht="10.5" customHeight="1" x14ac:dyDescent="0.2">
      <c r="G3414" s="889"/>
    </row>
    <row r="3415" spans="7:7" ht="10.5" customHeight="1" x14ac:dyDescent="0.2">
      <c r="G3415" s="889"/>
    </row>
    <row r="3416" spans="7:7" ht="10.5" customHeight="1" x14ac:dyDescent="0.2">
      <c r="G3416" s="889"/>
    </row>
    <row r="3417" spans="7:7" ht="10.5" customHeight="1" x14ac:dyDescent="0.2">
      <c r="G3417" s="889"/>
    </row>
    <row r="3418" spans="7:7" ht="10.5" customHeight="1" x14ac:dyDescent="0.2">
      <c r="G3418" s="889"/>
    </row>
    <row r="3419" spans="7:7" ht="10.5" customHeight="1" x14ac:dyDescent="0.2">
      <c r="G3419" s="889"/>
    </row>
    <row r="3420" spans="7:7" ht="10.5" customHeight="1" x14ac:dyDescent="0.2">
      <c r="G3420" s="889"/>
    </row>
    <row r="3421" spans="7:7" ht="10.5" customHeight="1" x14ac:dyDescent="0.2">
      <c r="G3421" s="889"/>
    </row>
    <row r="3422" spans="7:7" ht="10.5" customHeight="1" x14ac:dyDescent="0.2">
      <c r="G3422" s="889"/>
    </row>
    <row r="3423" spans="7:7" ht="10.5" customHeight="1" x14ac:dyDescent="0.2">
      <c r="G3423" s="889"/>
    </row>
    <row r="3424" spans="7:7" ht="10.5" customHeight="1" x14ac:dyDescent="0.2">
      <c r="G3424" s="889"/>
    </row>
    <row r="3425" spans="7:7" ht="10.5" customHeight="1" x14ac:dyDescent="0.2">
      <c r="G3425" s="889"/>
    </row>
    <row r="3426" spans="7:7" ht="10.5" customHeight="1" x14ac:dyDescent="0.2">
      <c r="G3426" s="889"/>
    </row>
    <row r="3427" spans="7:7" ht="10.5" customHeight="1" x14ac:dyDescent="0.2">
      <c r="G3427" s="889"/>
    </row>
    <row r="3428" spans="7:7" ht="10.5" customHeight="1" x14ac:dyDescent="0.2">
      <c r="G3428" s="889"/>
    </row>
    <row r="3429" spans="7:7" ht="10.5" customHeight="1" x14ac:dyDescent="0.2">
      <c r="G3429" s="889"/>
    </row>
    <row r="3430" spans="7:7" ht="10.5" customHeight="1" x14ac:dyDescent="0.2">
      <c r="G3430" s="889"/>
    </row>
    <row r="3431" spans="7:7" ht="10.5" customHeight="1" x14ac:dyDescent="0.2">
      <c r="G3431" s="889"/>
    </row>
    <row r="3432" spans="7:7" ht="10.5" customHeight="1" x14ac:dyDescent="0.2">
      <c r="G3432" s="889"/>
    </row>
    <row r="3433" spans="7:7" ht="10.5" customHeight="1" x14ac:dyDescent="0.2">
      <c r="G3433" s="889"/>
    </row>
    <row r="3434" spans="7:7" ht="10.5" customHeight="1" x14ac:dyDescent="0.2">
      <c r="G3434" s="889"/>
    </row>
    <row r="3435" spans="7:7" ht="10.5" customHeight="1" x14ac:dyDescent="0.2">
      <c r="G3435" s="889"/>
    </row>
    <row r="3436" spans="7:7" ht="10.5" customHeight="1" x14ac:dyDescent="0.2">
      <c r="G3436" s="889"/>
    </row>
    <row r="3437" spans="7:7" ht="10.5" customHeight="1" x14ac:dyDescent="0.2">
      <c r="G3437" s="889"/>
    </row>
    <row r="3438" spans="7:7" ht="10.5" customHeight="1" x14ac:dyDescent="0.2">
      <c r="G3438" s="889"/>
    </row>
    <row r="3439" spans="7:7" ht="10.5" customHeight="1" x14ac:dyDescent="0.2">
      <c r="G3439" s="889"/>
    </row>
    <row r="3440" spans="7:7" ht="10.5" customHeight="1" x14ac:dyDescent="0.2">
      <c r="G3440" s="889"/>
    </row>
    <row r="3441" spans="7:7" ht="10.5" customHeight="1" x14ac:dyDescent="0.2">
      <c r="G3441" s="889"/>
    </row>
    <row r="3442" spans="7:7" ht="10.5" customHeight="1" x14ac:dyDescent="0.2">
      <c r="G3442" s="889"/>
    </row>
    <row r="3443" spans="7:7" ht="10.5" customHeight="1" x14ac:dyDescent="0.2">
      <c r="G3443" s="889"/>
    </row>
    <row r="3444" spans="7:7" ht="10.5" customHeight="1" x14ac:dyDescent="0.2">
      <c r="G3444" s="889"/>
    </row>
    <row r="3445" spans="7:7" ht="10.5" customHeight="1" x14ac:dyDescent="0.2">
      <c r="G3445" s="889"/>
    </row>
    <row r="3446" spans="7:7" ht="10.5" customHeight="1" x14ac:dyDescent="0.2">
      <c r="G3446" s="889"/>
    </row>
    <row r="3447" spans="7:7" ht="10.5" customHeight="1" x14ac:dyDescent="0.2">
      <c r="G3447" s="889"/>
    </row>
    <row r="3448" spans="7:7" ht="10.5" customHeight="1" x14ac:dyDescent="0.2">
      <c r="G3448" s="889"/>
    </row>
    <row r="3449" spans="7:7" ht="10.5" customHeight="1" x14ac:dyDescent="0.2">
      <c r="G3449" s="889"/>
    </row>
    <row r="3450" spans="7:7" ht="10.5" customHeight="1" x14ac:dyDescent="0.2">
      <c r="G3450" s="889"/>
    </row>
    <row r="3451" spans="7:7" ht="10.5" customHeight="1" x14ac:dyDescent="0.2">
      <c r="G3451" s="889"/>
    </row>
    <row r="3452" spans="7:7" ht="10.5" customHeight="1" x14ac:dyDescent="0.2">
      <c r="G3452" s="889"/>
    </row>
    <row r="3453" spans="7:7" ht="10.5" customHeight="1" x14ac:dyDescent="0.2">
      <c r="G3453" s="889"/>
    </row>
    <row r="3454" spans="7:7" ht="10.5" customHeight="1" x14ac:dyDescent="0.2">
      <c r="G3454" s="889"/>
    </row>
    <row r="3455" spans="7:7" ht="10.5" customHeight="1" x14ac:dyDescent="0.2">
      <c r="G3455" s="889"/>
    </row>
    <row r="3456" spans="7:7" ht="10.5" customHeight="1" x14ac:dyDescent="0.2">
      <c r="G3456" s="889"/>
    </row>
    <row r="3457" spans="7:7" ht="10.5" customHeight="1" x14ac:dyDescent="0.2">
      <c r="G3457" s="889"/>
    </row>
    <row r="3458" spans="7:7" ht="10.5" customHeight="1" x14ac:dyDescent="0.2">
      <c r="G3458" s="889"/>
    </row>
    <row r="3459" spans="7:7" ht="10.5" customHeight="1" x14ac:dyDescent="0.2">
      <c r="G3459" s="889"/>
    </row>
    <row r="3460" spans="7:7" ht="10.5" customHeight="1" x14ac:dyDescent="0.2">
      <c r="G3460" s="889"/>
    </row>
    <row r="3461" spans="7:7" ht="10.5" customHeight="1" x14ac:dyDescent="0.2">
      <c r="G3461" s="889"/>
    </row>
    <row r="3462" spans="7:7" ht="10.5" customHeight="1" x14ac:dyDescent="0.2">
      <c r="G3462" s="889"/>
    </row>
    <row r="3463" spans="7:7" ht="10.5" customHeight="1" x14ac:dyDescent="0.2">
      <c r="G3463" s="889"/>
    </row>
    <row r="3464" spans="7:7" ht="10.5" customHeight="1" x14ac:dyDescent="0.2">
      <c r="G3464" s="889"/>
    </row>
    <row r="3465" spans="7:7" ht="10.5" customHeight="1" x14ac:dyDescent="0.2">
      <c r="G3465" s="889"/>
    </row>
    <row r="3466" spans="7:7" ht="10.5" customHeight="1" x14ac:dyDescent="0.2">
      <c r="G3466" s="889"/>
    </row>
    <row r="3467" spans="7:7" ht="10.5" customHeight="1" x14ac:dyDescent="0.2">
      <c r="G3467" s="889"/>
    </row>
    <row r="3468" spans="7:7" ht="10.5" customHeight="1" x14ac:dyDescent="0.2">
      <c r="G3468" s="889"/>
    </row>
    <row r="3469" spans="7:7" ht="10.5" customHeight="1" x14ac:dyDescent="0.2">
      <c r="G3469" s="889"/>
    </row>
    <row r="3470" spans="7:7" ht="10.5" customHeight="1" x14ac:dyDescent="0.2">
      <c r="G3470" s="889"/>
    </row>
    <row r="3471" spans="7:7" ht="10.5" customHeight="1" x14ac:dyDescent="0.2">
      <c r="G3471" s="889"/>
    </row>
    <row r="3472" spans="7:7" ht="10.5" customHeight="1" x14ac:dyDescent="0.2">
      <c r="G3472" s="889"/>
    </row>
    <row r="3473" spans="7:7" ht="10.5" customHeight="1" x14ac:dyDescent="0.2">
      <c r="G3473" s="889"/>
    </row>
    <row r="3474" spans="7:7" ht="10.5" customHeight="1" x14ac:dyDescent="0.2">
      <c r="G3474" s="889"/>
    </row>
    <row r="3475" spans="7:7" ht="10.5" customHeight="1" x14ac:dyDescent="0.2">
      <c r="G3475" s="889"/>
    </row>
    <row r="3476" spans="7:7" ht="10.5" customHeight="1" x14ac:dyDescent="0.2">
      <c r="G3476" s="889"/>
    </row>
    <row r="3477" spans="7:7" ht="10.5" customHeight="1" x14ac:dyDescent="0.2">
      <c r="G3477" s="889"/>
    </row>
    <row r="3478" spans="7:7" ht="10.5" customHeight="1" x14ac:dyDescent="0.2">
      <c r="G3478" s="889"/>
    </row>
    <row r="3479" spans="7:7" ht="10.5" customHeight="1" x14ac:dyDescent="0.2">
      <c r="G3479" s="889"/>
    </row>
    <row r="3480" spans="7:7" ht="10.5" customHeight="1" x14ac:dyDescent="0.2">
      <c r="G3480" s="889"/>
    </row>
    <row r="3481" spans="7:7" ht="10.5" customHeight="1" x14ac:dyDescent="0.2">
      <c r="G3481" s="889"/>
    </row>
    <row r="3482" spans="7:7" ht="10.5" customHeight="1" x14ac:dyDescent="0.2">
      <c r="G3482" s="889"/>
    </row>
    <row r="3483" spans="7:7" ht="10.5" customHeight="1" x14ac:dyDescent="0.2">
      <c r="G3483" s="889"/>
    </row>
    <row r="3484" spans="7:7" ht="10.5" customHeight="1" x14ac:dyDescent="0.2">
      <c r="G3484" s="889"/>
    </row>
    <row r="3485" spans="7:7" ht="10.5" customHeight="1" x14ac:dyDescent="0.2">
      <c r="G3485" s="889"/>
    </row>
    <row r="3486" spans="7:7" ht="10.5" customHeight="1" x14ac:dyDescent="0.2">
      <c r="G3486" s="889"/>
    </row>
    <row r="3487" spans="7:7" ht="10.5" customHeight="1" x14ac:dyDescent="0.2">
      <c r="G3487" s="889"/>
    </row>
    <row r="3488" spans="7:7" ht="10.5" customHeight="1" x14ac:dyDescent="0.2">
      <c r="G3488" s="889"/>
    </row>
    <row r="3489" spans="7:7" ht="10.5" customHeight="1" x14ac:dyDescent="0.2">
      <c r="G3489" s="889"/>
    </row>
    <row r="3490" spans="7:7" ht="10.5" customHeight="1" x14ac:dyDescent="0.2">
      <c r="G3490" s="889"/>
    </row>
    <row r="3491" spans="7:7" ht="10.5" customHeight="1" x14ac:dyDescent="0.2">
      <c r="G3491" s="889"/>
    </row>
    <row r="3492" spans="7:7" ht="10.5" customHeight="1" x14ac:dyDescent="0.2">
      <c r="G3492" s="889"/>
    </row>
    <row r="3493" spans="7:7" ht="10.5" customHeight="1" x14ac:dyDescent="0.2">
      <c r="G3493" s="889"/>
    </row>
    <row r="3494" spans="7:7" ht="10.5" customHeight="1" x14ac:dyDescent="0.2">
      <c r="G3494" s="889"/>
    </row>
    <row r="3495" spans="7:7" ht="10.5" customHeight="1" x14ac:dyDescent="0.2">
      <c r="G3495" s="889"/>
    </row>
    <row r="3496" spans="7:7" ht="10.5" customHeight="1" x14ac:dyDescent="0.2">
      <c r="G3496" s="889"/>
    </row>
    <row r="3497" spans="7:7" ht="10.5" customHeight="1" x14ac:dyDescent="0.2">
      <c r="G3497" s="889"/>
    </row>
    <row r="3498" spans="7:7" ht="10.5" customHeight="1" x14ac:dyDescent="0.2">
      <c r="G3498" s="889"/>
    </row>
    <row r="3499" spans="7:7" ht="10.5" customHeight="1" x14ac:dyDescent="0.2">
      <c r="G3499" s="889"/>
    </row>
    <row r="3500" spans="7:7" ht="10.5" customHeight="1" x14ac:dyDescent="0.2">
      <c r="G3500" s="889"/>
    </row>
    <row r="3501" spans="7:7" ht="10.5" customHeight="1" x14ac:dyDescent="0.2">
      <c r="G3501" s="889"/>
    </row>
    <row r="3502" spans="7:7" ht="10.5" customHeight="1" x14ac:dyDescent="0.2">
      <c r="G3502" s="889"/>
    </row>
    <row r="3503" spans="7:7" ht="10.5" customHeight="1" x14ac:dyDescent="0.2">
      <c r="G3503" s="889"/>
    </row>
    <row r="3504" spans="7:7" ht="10.5" customHeight="1" x14ac:dyDescent="0.2">
      <c r="G3504" s="889"/>
    </row>
    <row r="3505" spans="7:7" ht="10.5" customHeight="1" x14ac:dyDescent="0.2">
      <c r="G3505" s="889"/>
    </row>
    <row r="3506" spans="7:7" ht="10.5" customHeight="1" x14ac:dyDescent="0.2">
      <c r="G3506" s="889"/>
    </row>
    <row r="3507" spans="7:7" ht="10.5" customHeight="1" x14ac:dyDescent="0.2">
      <c r="G3507" s="889"/>
    </row>
    <row r="3508" spans="7:7" ht="10.5" customHeight="1" x14ac:dyDescent="0.2">
      <c r="G3508" s="889"/>
    </row>
    <row r="3509" spans="7:7" ht="10.5" customHeight="1" x14ac:dyDescent="0.2">
      <c r="G3509" s="889"/>
    </row>
    <row r="3510" spans="7:7" ht="10.5" customHeight="1" x14ac:dyDescent="0.2">
      <c r="G3510" s="889"/>
    </row>
    <row r="3511" spans="7:7" ht="10.5" customHeight="1" x14ac:dyDescent="0.2">
      <c r="G3511" s="889"/>
    </row>
    <row r="3512" spans="7:7" ht="10.5" customHeight="1" x14ac:dyDescent="0.2">
      <c r="G3512" s="889"/>
    </row>
    <row r="3513" spans="7:7" ht="10.5" customHeight="1" x14ac:dyDescent="0.2">
      <c r="G3513" s="889"/>
    </row>
    <row r="3514" spans="7:7" ht="10.5" customHeight="1" x14ac:dyDescent="0.2">
      <c r="G3514" s="889"/>
    </row>
    <row r="3515" spans="7:7" ht="10.5" customHeight="1" x14ac:dyDescent="0.2">
      <c r="G3515" s="889"/>
    </row>
    <row r="3516" spans="7:7" ht="10.5" customHeight="1" x14ac:dyDescent="0.2">
      <c r="G3516" s="889"/>
    </row>
    <row r="3517" spans="7:7" ht="10.5" customHeight="1" x14ac:dyDescent="0.2">
      <c r="G3517" s="889"/>
    </row>
    <row r="3518" spans="7:7" ht="10.5" customHeight="1" x14ac:dyDescent="0.2">
      <c r="G3518" s="889"/>
    </row>
    <row r="3519" spans="7:7" ht="10.5" customHeight="1" x14ac:dyDescent="0.2">
      <c r="G3519" s="889"/>
    </row>
    <row r="3520" spans="7:7" ht="10.5" customHeight="1" x14ac:dyDescent="0.2">
      <c r="G3520" s="889"/>
    </row>
    <row r="3521" spans="7:7" ht="10.5" customHeight="1" x14ac:dyDescent="0.2">
      <c r="G3521" s="889"/>
    </row>
    <row r="3522" spans="7:7" ht="10.5" customHeight="1" x14ac:dyDescent="0.2">
      <c r="G3522" s="889"/>
    </row>
    <row r="3523" spans="7:7" ht="10.5" customHeight="1" x14ac:dyDescent="0.2">
      <c r="G3523" s="889"/>
    </row>
    <row r="3524" spans="7:7" ht="10.5" customHeight="1" x14ac:dyDescent="0.2">
      <c r="G3524" s="889"/>
    </row>
    <row r="3525" spans="7:7" ht="10.5" customHeight="1" x14ac:dyDescent="0.2">
      <c r="G3525" s="889"/>
    </row>
    <row r="3526" spans="7:7" ht="10.5" customHeight="1" x14ac:dyDescent="0.2">
      <c r="G3526" s="889"/>
    </row>
    <row r="3527" spans="7:7" ht="10.5" customHeight="1" x14ac:dyDescent="0.2">
      <c r="G3527" s="889"/>
    </row>
    <row r="3528" spans="7:7" ht="10.5" customHeight="1" x14ac:dyDescent="0.2">
      <c r="G3528" s="889"/>
    </row>
    <row r="3529" spans="7:7" ht="10.5" customHeight="1" x14ac:dyDescent="0.2">
      <c r="G3529" s="889"/>
    </row>
    <row r="3530" spans="7:7" ht="10.5" customHeight="1" x14ac:dyDescent="0.2">
      <c r="G3530" s="889"/>
    </row>
    <row r="3531" spans="7:7" ht="10.5" customHeight="1" x14ac:dyDescent="0.2">
      <c r="G3531" s="889"/>
    </row>
    <row r="3532" spans="7:7" ht="10.5" customHeight="1" x14ac:dyDescent="0.2">
      <c r="G3532" s="889"/>
    </row>
    <row r="3533" spans="7:7" ht="10.5" customHeight="1" x14ac:dyDescent="0.2">
      <c r="G3533" s="889"/>
    </row>
    <row r="3534" spans="7:7" ht="10.5" customHeight="1" x14ac:dyDescent="0.2">
      <c r="G3534" s="889"/>
    </row>
    <row r="3535" spans="7:7" ht="10.5" customHeight="1" x14ac:dyDescent="0.2">
      <c r="G3535" s="889"/>
    </row>
    <row r="3536" spans="7:7" ht="10.5" customHeight="1" x14ac:dyDescent="0.2">
      <c r="G3536" s="889"/>
    </row>
    <row r="3537" spans="7:7" ht="10.5" customHeight="1" x14ac:dyDescent="0.2">
      <c r="G3537" s="889"/>
    </row>
    <row r="3538" spans="7:7" ht="10.5" customHeight="1" x14ac:dyDescent="0.2">
      <c r="G3538" s="889"/>
    </row>
    <row r="3539" spans="7:7" ht="10.5" customHeight="1" x14ac:dyDescent="0.2">
      <c r="G3539" s="889"/>
    </row>
    <row r="3540" spans="7:7" ht="10.5" customHeight="1" x14ac:dyDescent="0.2">
      <c r="G3540" s="889"/>
    </row>
    <row r="3541" spans="7:7" ht="10.5" customHeight="1" x14ac:dyDescent="0.2">
      <c r="G3541" s="889"/>
    </row>
    <row r="3542" spans="7:7" ht="10.5" customHeight="1" x14ac:dyDescent="0.2">
      <c r="G3542" s="889"/>
    </row>
    <row r="3543" spans="7:7" ht="10.5" customHeight="1" x14ac:dyDescent="0.2">
      <c r="G3543" s="889"/>
    </row>
    <row r="3544" spans="7:7" ht="10.5" customHeight="1" x14ac:dyDescent="0.2">
      <c r="G3544" s="889"/>
    </row>
    <row r="3545" spans="7:7" ht="10.5" customHeight="1" x14ac:dyDescent="0.2">
      <c r="G3545" s="889"/>
    </row>
    <row r="3546" spans="7:7" ht="10.5" customHeight="1" x14ac:dyDescent="0.2">
      <c r="G3546" s="889"/>
    </row>
    <row r="3547" spans="7:7" ht="10.5" customHeight="1" x14ac:dyDescent="0.2">
      <c r="G3547" s="889"/>
    </row>
    <row r="3548" spans="7:7" ht="10.5" customHeight="1" x14ac:dyDescent="0.2">
      <c r="G3548" s="889"/>
    </row>
    <row r="3549" spans="7:7" ht="10.5" customHeight="1" x14ac:dyDescent="0.2">
      <c r="G3549" s="889"/>
    </row>
    <row r="3550" spans="7:7" ht="10.5" customHeight="1" x14ac:dyDescent="0.2">
      <c r="G3550" s="889"/>
    </row>
    <row r="3551" spans="7:7" ht="10.5" customHeight="1" x14ac:dyDescent="0.2">
      <c r="G3551" s="889"/>
    </row>
    <row r="3552" spans="7:7" ht="10.5" customHeight="1" x14ac:dyDescent="0.2">
      <c r="G3552" s="889"/>
    </row>
    <row r="3553" spans="7:7" ht="10.5" customHeight="1" x14ac:dyDescent="0.2">
      <c r="G3553" s="889"/>
    </row>
    <row r="3554" spans="7:7" ht="10.5" customHeight="1" x14ac:dyDescent="0.2">
      <c r="G3554" s="889"/>
    </row>
    <row r="3555" spans="7:7" ht="10.5" customHeight="1" x14ac:dyDescent="0.2">
      <c r="G3555" s="889"/>
    </row>
    <row r="3556" spans="7:7" ht="10.5" customHeight="1" x14ac:dyDescent="0.2">
      <c r="G3556" s="889"/>
    </row>
    <row r="3557" spans="7:7" ht="10.5" customHeight="1" x14ac:dyDescent="0.2">
      <c r="G3557" s="889"/>
    </row>
    <row r="3558" spans="7:7" ht="10.5" customHeight="1" x14ac:dyDescent="0.2">
      <c r="G3558" s="889"/>
    </row>
    <row r="3559" spans="7:7" ht="10.5" customHeight="1" x14ac:dyDescent="0.2">
      <c r="G3559" s="889"/>
    </row>
    <row r="3560" spans="7:7" ht="10.5" customHeight="1" x14ac:dyDescent="0.2">
      <c r="G3560" s="889"/>
    </row>
    <row r="3561" spans="7:7" ht="10.5" customHeight="1" x14ac:dyDescent="0.2">
      <c r="G3561" s="889"/>
    </row>
    <row r="3562" spans="7:7" ht="10.5" customHeight="1" x14ac:dyDescent="0.2">
      <c r="G3562" s="889"/>
    </row>
    <row r="3563" spans="7:7" ht="10.5" customHeight="1" x14ac:dyDescent="0.2">
      <c r="G3563" s="889"/>
    </row>
    <row r="3564" spans="7:7" ht="10.5" customHeight="1" x14ac:dyDescent="0.2">
      <c r="G3564" s="889"/>
    </row>
    <row r="3565" spans="7:7" ht="10.5" customHeight="1" x14ac:dyDescent="0.2">
      <c r="G3565" s="889"/>
    </row>
    <row r="3566" spans="7:7" ht="10.5" customHeight="1" x14ac:dyDescent="0.2">
      <c r="G3566" s="889"/>
    </row>
    <row r="3567" spans="7:7" ht="10.5" customHeight="1" x14ac:dyDescent="0.2">
      <c r="G3567" s="889"/>
    </row>
    <row r="3568" spans="7:7" ht="10.5" customHeight="1" x14ac:dyDescent="0.2">
      <c r="G3568" s="889"/>
    </row>
    <row r="3569" spans="7:7" ht="10.5" customHeight="1" x14ac:dyDescent="0.2">
      <c r="G3569" s="889"/>
    </row>
    <row r="3570" spans="7:7" ht="10.5" customHeight="1" x14ac:dyDescent="0.2">
      <c r="G3570" s="889"/>
    </row>
    <row r="3571" spans="7:7" ht="10.5" customHeight="1" x14ac:dyDescent="0.2">
      <c r="G3571" s="889"/>
    </row>
    <row r="3572" spans="7:7" ht="10.5" customHeight="1" x14ac:dyDescent="0.2">
      <c r="G3572" s="889"/>
    </row>
    <row r="3573" spans="7:7" ht="10.5" customHeight="1" x14ac:dyDescent="0.2">
      <c r="G3573" s="889"/>
    </row>
    <row r="3574" spans="7:7" ht="10.5" customHeight="1" x14ac:dyDescent="0.2">
      <c r="G3574" s="889"/>
    </row>
    <row r="3575" spans="7:7" ht="10.5" customHeight="1" x14ac:dyDescent="0.2">
      <c r="G3575" s="889"/>
    </row>
    <row r="3576" spans="7:7" ht="10.5" customHeight="1" x14ac:dyDescent="0.2">
      <c r="G3576" s="889"/>
    </row>
    <row r="3577" spans="7:7" ht="10.5" customHeight="1" x14ac:dyDescent="0.2">
      <c r="G3577" s="889"/>
    </row>
    <row r="3578" spans="7:7" ht="10.5" customHeight="1" x14ac:dyDescent="0.2">
      <c r="G3578" s="889"/>
    </row>
    <row r="3579" spans="7:7" ht="10.5" customHeight="1" x14ac:dyDescent="0.2">
      <c r="G3579" s="889"/>
    </row>
    <row r="3580" spans="7:7" ht="10.5" customHeight="1" x14ac:dyDescent="0.2">
      <c r="G3580" s="889"/>
    </row>
    <row r="3581" spans="7:7" ht="10.5" customHeight="1" x14ac:dyDescent="0.2">
      <c r="G3581" s="889"/>
    </row>
    <row r="3582" spans="7:7" ht="10.5" customHeight="1" x14ac:dyDescent="0.2">
      <c r="G3582" s="889"/>
    </row>
    <row r="3583" spans="7:7" ht="10.5" customHeight="1" x14ac:dyDescent="0.2">
      <c r="G3583" s="889"/>
    </row>
    <row r="3584" spans="7:7" ht="10.5" customHeight="1" x14ac:dyDescent="0.2">
      <c r="G3584" s="889"/>
    </row>
    <row r="3585" spans="7:7" ht="10.5" customHeight="1" x14ac:dyDescent="0.2">
      <c r="G3585" s="889"/>
    </row>
    <row r="3586" spans="7:7" ht="10.5" customHeight="1" x14ac:dyDescent="0.2">
      <c r="G3586" s="889"/>
    </row>
    <row r="3587" spans="7:7" ht="10.5" customHeight="1" x14ac:dyDescent="0.2">
      <c r="G3587" s="889"/>
    </row>
    <row r="3588" spans="7:7" ht="10.5" customHeight="1" x14ac:dyDescent="0.2">
      <c r="G3588" s="889"/>
    </row>
    <row r="3589" spans="7:7" ht="10.5" customHeight="1" x14ac:dyDescent="0.2">
      <c r="G3589" s="889"/>
    </row>
    <row r="3590" spans="7:7" ht="10.5" customHeight="1" x14ac:dyDescent="0.2">
      <c r="G3590" s="889"/>
    </row>
    <row r="3591" spans="7:7" ht="10.5" customHeight="1" x14ac:dyDescent="0.2">
      <c r="G3591" s="889"/>
    </row>
    <row r="3592" spans="7:7" ht="10.5" customHeight="1" x14ac:dyDescent="0.2">
      <c r="G3592" s="889"/>
    </row>
    <row r="3593" spans="7:7" ht="10.5" customHeight="1" x14ac:dyDescent="0.2">
      <c r="G3593" s="889"/>
    </row>
    <row r="3594" spans="7:7" ht="10.5" customHeight="1" x14ac:dyDescent="0.2">
      <c r="G3594" s="889"/>
    </row>
    <row r="3595" spans="7:7" ht="10.5" customHeight="1" x14ac:dyDescent="0.2">
      <c r="G3595" s="889"/>
    </row>
    <row r="3596" spans="7:7" ht="10.5" customHeight="1" x14ac:dyDescent="0.2">
      <c r="G3596" s="889"/>
    </row>
    <row r="3597" spans="7:7" ht="10.5" customHeight="1" x14ac:dyDescent="0.2">
      <c r="G3597" s="889"/>
    </row>
    <row r="3598" spans="7:7" ht="10.5" customHeight="1" x14ac:dyDescent="0.2">
      <c r="G3598" s="889"/>
    </row>
    <row r="3599" spans="7:7" ht="10.5" customHeight="1" x14ac:dyDescent="0.2">
      <c r="G3599" s="889"/>
    </row>
    <row r="3600" spans="7:7" ht="10.5" customHeight="1" x14ac:dyDescent="0.2">
      <c r="G3600" s="889"/>
    </row>
    <row r="3601" spans="7:7" ht="10.5" customHeight="1" x14ac:dyDescent="0.2">
      <c r="G3601" s="889"/>
    </row>
    <row r="3602" spans="7:7" ht="10.5" customHeight="1" x14ac:dyDescent="0.2">
      <c r="G3602" s="889"/>
    </row>
    <row r="3603" spans="7:7" ht="10.5" customHeight="1" x14ac:dyDescent="0.2">
      <c r="G3603" s="889"/>
    </row>
    <row r="3604" spans="7:7" ht="10.5" customHeight="1" x14ac:dyDescent="0.2">
      <c r="G3604" s="889"/>
    </row>
    <row r="3605" spans="7:7" ht="10.5" customHeight="1" x14ac:dyDescent="0.2">
      <c r="G3605" s="889"/>
    </row>
    <row r="3606" spans="7:7" ht="10.5" customHeight="1" x14ac:dyDescent="0.2">
      <c r="G3606" s="889"/>
    </row>
    <row r="3607" spans="7:7" ht="10.5" customHeight="1" x14ac:dyDescent="0.2">
      <c r="G3607" s="889"/>
    </row>
    <row r="3608" spans="7:7" ht="10.5" customHeight="1" x14ac:dyDescent="0.2">
      <c r="G3608" s="889"/>
    </row>
    <row r="3609" spans="7:7" ht="10.5" customHeight="1" x14ac:dyDescent="0.2">
      <c r="G3609" s="889"/>
    </row>
    <row r="3610" spans="7:7" ht="10.5" customHeight="1" x14ac:dyDescent="0.2">
      <c r="G3610" s="889"/>
    </row>
    <row r="3611" spans="7:7" ht="10.5" customHeight="1" x14ac:dyDescent="0.2">
      <c r="G3611" s="889"/>
    </row>
    <row r="3612" spans="7:7" ht="10.5" customHeight="1" x14ac:dyDescent="0.2">
      <c r="G3612" s="889"/>
    </row>
    <row r="3613" spans="7:7" ht="10.5" customHeight="1" x14ac:dyDescent="0.2">
      <c r="G3613" s="889"/>
    </row>
    <row r="3614" spans="7:7" ht="10.5" customHeight="1" x14ac:dyDescent="0.2">
      <c r="G3614" s="889"/>
    </row>
    <row r="3615" spans="7:7" ht="10.5" customHeight="1" x14ac:dyDescent="0.2">
      <c r="G3615" s="889"/>
    </row>
    <row r="3616" spans="7:7" ht="10.5" customHeight="1" x14ac:dyDescent="0.2">
      <c r="G3616" s="889"/>
    </row>
    <row r="3617" spans="7:7" ht="10.5" customHeight="1" x14ac:dyDescent="0.2">
      <c r="G3617" s="889"/>
    </row>
    <row r="3618" spans="7:7" ht="10.5" customHeight="1" x14ac:dyDescent="0.2">
      <c r="G3618" s="889"/>
    </row>
    <row r="3619" spans="7:7" ht="10.5" customHeight="1" x14ac:dyDescent="0.2">
      <c r="G3619" s="889"/>
    </row>
    <row r="3620" spans="7:7" ht="10.5" customHeight="1" x14ac:dyDescent="0.2">
      <c r="G3620" s="889"/>
    </row>
    <row r="3621" spans="7:7" ht="10.5" customHeight="1" x14ac:dyDescent="0.2">
      <c r="G3621" s="889"/>
    </row>
    <row r="3622" spans="7:7" ht="10.5" customHeight="1" x14ac:dyDescent="0.2">
      <c r="G3622" s="889"/>
    </row>
    <row r="3623" spans="7:7" ht="10.5" customHeight="1" x14ac:dyDescent="0.2">
      <c r="G3623" s="889"/>
    </row>
    <row r="3624" spans="7:7" ht="10.5" customHeight="1" x14ac:dyDescent="0.2">
      <c r="G3624" s="889"/>
    </row>
    <row r="3625" spans="7:7" ht="10.5" customHeight="1" x14ac:dyDescent="0.2">
      <c r="G3625" s="889"/>
    </row>
    <row r="3626" spans="7:7" ht="10.5" customHeight="1" x14ac:dyDescent="0.2">
      <c r="G3626" s="889"/>
    </row>
    <row r="3627" spans="7:7" ht="10.5" customHeight="1" x14ac:dyDescent="0.2">
      <c r="G3627" s="889"/>
    </row>
    <row r="3628" spans="7:7" ht="10.5" customHeight="1" x14ac:dyDescent="0.2">
      <c r="G3628" s="889"/>
    </row>
    <row r="3629" spans="7:7" ht="10.5" customHeight="1" x14ac:dyDescent="0.2">
      <c r="G3629" s="889"/>
    </row>
    <row r="3630" spans="7:7" ht="10.5" customHeight="1" x14ac:dyDescent="0.2">
      <c r="G3630" s="889"/>
    </row>
    <row r="3631" spans="7:7" ht="10.5" customHeight="1" x14ac:dyDescent="0.2">
      <c r="G3631" s="889"/>
    </row>
    <row r="3632" spans="7:7" ht="10.5" customHeight="1" x14ac:dyDescent="0.2">
      <c r="G3632" s="889"/>
    </row>
    <row r="3633" spans="7:7" ht="10.5" customHeight="1" x14ac:dyDescent="0.2">
      <c r="G3633" s="889"/>
    </row>
    <row r="3634" spans="7:7" ht="10.5" customHeight="1" x14ac:dyDescent="0.2">
      <c r="G3634" s="889"/>
    </row>
    <row r="3635" spans="7:7" ht="10.5" customHeight="1" x14ac:dyDescent="0.2">
      <c r="G3635" s="889"/>
    </row>
    <row r="3636" spans="7:7" ht="10.5" customHeight="1" x14ac:dyDescent="0.2">
      <c r="G3636" s="889"/>
    </row>
    <row r="3637" spans="7:7" ht="10.5" customHeight="1" x14ac:dyDescent="0.2">
      <c r="G3637" s="889"/>
    </row>
    <row r="3638" spans="7:7" ht="10.5" customHeight="1" x14ac:dyDescent="0.2">
      <c r="G3638" s="889"/>
    </row>
    <row r="3639" spans="7:7" ht="10.5" customHeight="1" x14ac:dyDescent="0.2">
      <c r="G3639" s="889"/>
    </row>
    <row r="3640" spans="7:7" ht="10.5" customHeight="1" x14ac:dyDescent="0.2">
      <c r="G3640" s="889"/>
    </row>
    <row r="3641" spans="7:7" ht="10.5" customHeight="1" x14ac:dyDescent="0.2">
      <c r="G3641" s="889"/>
    </row>
    <row r="3642" spans="7:7" ht="10.5" customHeight="1" x14ac:dyDescent="0.2">
      <c r="G3642" s="889"/>
    </row>
    <row r="3643" spans="7:7" ht="10.5" customHeight="1" x14ac:dyDescent="0.2">
      <c r="G3643" s="889"/>
    </row>
    <row r="3644" spans="7:7" ht="10.5" customHeight="1" x14ac:dyDescent="0.2">
      <c r="G3644" s="889"/>
    </row>
    <row r="3645" spans="7:7" ht="10.5" customHeight="1" x14ac:dyDescent="0.2">
      <c r="G3645" s="889"/>
    </row>
    <row r="3646" spans="7:7" ht="10.5" customHeight="1" x14ac:dyDescent="0.2">
      <c r="G3646" s="889"/>
    </row>
    <row r="3647" spans="7:7" ht="10.5" customHeight="1" x14ac:dyDescent="0.2">
      <c r="G3647" s="889"/>
    </row>
    <row r="3648" spans="7:7" ht="10.5" customHeight="1" x14ac:dyDescent="0.2">
      <c r="G3648" s="889"/>
    </row>
    <row r="3649" spans="7:7" ht="10.5" customHeight="1" x14ac:dyDescent="0.2">
      <c r="G3649" s="889"/>
    </row>
    <row r="3650" spans="7:7" ht="10.5" customHeight="1" x14ac:dyDescent="0.2">
      <c r="G3650" s="889"/>
    </row>
    <row r="3651" spans="7:7" ht="10.5" customHeight="1" x14ac:dyDescent="0.2">
      <c r="G3651" s="889"/>
    </row>
    <row r="3652" spans="7:7" ht="10.5" customHeight="1" x14ac:dyDescent="0.2">
      <c r="G3652" s="889"/>
    </row>
    <row r="3653" spans="7:7" ht="10.5" customHeight="1" x14ac:dyDescent="0.2">
      <c r="G3653" s="889"/>
    </row>
    <row r="3654" spans="7:7" ht="10.5" customHeight="1" x14ac:dyDescent="0.2">
      <c r="G3654" s="889"/>
    </row>
    <row r="3655" spans="7:7" ht="10.5" customHeight="1" x14ac:dyDescent="0.2">
      <c r="G3655" s="889"/>
    </row>
    <row r="3656" spans="7:7" ht="10.5" customHeight="1" x14ac:dyDescent="0.2">
      <c r="G3656" s="889"/>
    </row>
    <row r="3657" spans="7:7" ht="10.5" customHeight="1" x14ac:dyDescent="0.2">
      <c r="G3657" s="889"/>
    </row>
    <row r="3658" spans="7:7" ht="10.5" customHeight="1" x14ac:dyDescent="0.2">
      <c r="G3658" s="889"/>
    </row>
    <row r="3659" spans="7:7" ht="10.5" customHeight="1" x14ac:dyDescent="0.2">
      <c r="G3659" s="889"/>
    </row>
    <row r="3660" spans="7:7" ht="10.5" customHeight="1" x14ac:dyDescent="0.2">
      <c r="G3660" s="889"/>
    </row>
    <row r="3661" spans="7:7" ht="10.5" customHeight="1" x14ac:dyDescent="0.2">
      <c r="G3661" s="889"/>
    </row>
    <row r="3662" spans="7:7" ht="10.5" customHeight="1" x14ac:dyDescent="0.2">
      <c r="G3662" s="889"/>
    </row>
    <row r="3663" spans="7:7" ht="10.5" customHeight="1" x14ac:dyDescent="0.2">
      <c r="G3663" s="889"/>
    </row>
    <row r="3664" spans="7:7" ht="10.5" customHeight="1" x14ac:dyDescent="0.2">
      <c r="G3664" s="889"/>
    </row>
    <row r="3665" spans="7:7" ht="10.5" customHeight="1" x14ac:dyDescent="0.2">
      <c r="G3665" s="889"/>
    </row>
    <row r="3666" spans="7:7" ht="10.5" customHeight="1" x14ac:dyDescent="0.2">
      <c r="G3666" s="889"/>
    </row>
    <row r="3667" spans="7:7" ht="10.5" customHeight="1" x14ac:dyDescent="0.2">
      <c r="G3667" s="889"/>
    </row>
    <row r="3668" spans="7:7" ht="10.5" customHeight="1" x14ac:dyDescent="0.2">
      <c r="G3668" s="889"/>
    </row>
    <row r="3669" spans="7:7" ht="10.5" customHeight="1" x14ac:dyDescent="0.2">
      <c r="G3669" s="889"/>
    </row>
    <row r="3670" spans="7:7" ht="10.5" customHeight="1" x14ac:dyDescent="0.2">
      <c r="G3670" s="889"/>
    </row>
    <row r="3671" spans="7:7" ht="10.5" customHeight="1" x14ac:dyDescent="0.2">
      <c r="G3671" s="889"/>
    </row>
    <row r="3672" spans="7:7" ht="10.5" customHeight="1" x14ac:dyDescent="0.2">
      <c r="G3672" s="889"/>
    </row>
    <row r="3673" spans="7:7" ht="10.5" customHeight="1" x14ac:dyDescent="0.2">
      <c r="G3673" s="889"/>
    </row>
    <row r="3674" spans="7:7" ht="10.5" customHeight="1" x14ac:dyDescent="0.2">
      <c r="G3674" s="889"/>
    </row>
    <row r="3675" spans="7:7" ht="10.5" customHeight="1" x14ac:dyDescent="0.2">
      <c r="G3675" s="889"/>
    </row>
    <row r="3676" spans="7:7" ht="10.5" customHeight="1" x14ac:dyDescent="0.2">
      <c r="G3676" s="889"/>
    </row>
    <row r="3677" spans="7:7" ht="10.5" customHeight="1" x14ac:dyDescent="0.2">
      <c r="G3677" s="889"/>
    </row>
    <row r="3678" spans="7:7" ht="10.5" customHeight="1" x14ac:dyDescent="0.2">
      <c r="G3678" s="889"/>
    </row>
    <row r="3679" spans="7:7" ht="10.5" customHeight="1" x14ac:dyDescent="0.2">
      <c r="G3679" s="889"/>
    </row>
    <row r="3680" spans="7:7" ht="10.5" customHeight="1" x14ac:dyDescent="0.2">
      <c r="G3680" s="889"/>
    </row>
    <row r="3681" spans="7:7" ht="10.5" customHeight="1" x14ac:dyDescent="0.2">
      <c r="G3681" s="889"/>
    </row>
    <row r="3682" spans="7:7" ht="10.5" customHeight="1" x14ac:dyDescent="0.2">
      <c r="G3682" s="889"/>
    </row>
    <row r="3683" spans="7:7" ht="10.5" customHeight="1" x14ac:dyDescent="0.2">
      <c r="G3683" s="889"/>
    </row>
    <row r="3684" spans="7:7" ht="10.5" customHeight="1" x14ac:dyDescent="0.2">
      <c r="G3684" s="889"/>
    </row>
    <row r="3685" spans="7:7" ht="10.5" customHeight="1" x14ac:dyDescent="0.2">
      <c r="G3685" s="889"/>
    </row>
    <row r="3686" spans="7:7" ht="10.5" customHeight="1" x14ac:dyDescent="0.2">
      <c r="G3686" s="889"/>
    </row>
    <row r="3687" spans="7:7" ht="10.5" customHeight="1" x14ac:dyDescent="0.2">
      <c r="G3687" s="889"/>
    </row>
    <row r="3688" spans="7:7" ht="10.5" customHeight="1" x14ac:dyDescent="0.2">
      <c r="G3688" s="889"/>
    </row>
    <row r="3689" spans="7:7" ht="10.5" customHeight="1" x14ac:dyDescent="0.2">
      <c r="G3689" s="889"/>
    </row>
    <row r="3690" spans="7:7" ht="10.5" customHeight="1" x14ac:dyDescent="0.2">
      <c r="G3690" s="889"/>
    </row>
    <row r="3691" spans="7:7" ht="10.5" customHeight="1" x14ac:dyDescent="0.2">
      <c r="G3691" s="889"/>
    </row>
    <row r="3692" spans="7:7" ht="10.5" customHeight="1" x14ac:dyDescent="0.2">
      <c r="G3692" s="889"/>
    </row>
    <row r="3693" spans="7:7" ht="10.5" customHeight="1" x14ac:dyDescent="0.2">
      <c r="G3693" s="889"/>
    </row>
    <row r="3694" spans="7:7" ht="10.5" customHeight="1" x14ac:dyDescent="0.2">
      <c r="G3694" s="889"/>
    </row>
    <row r="3695" spans="7:7" ht="10.5" customHeight="1" x14ac:dyDescent="0.2">
      <c r="G3695" s="889"/>
    </row>
    <row r="3696" spans="7:7" ht="10.5" customHeight="1" x14ac:dyDescent="0.2">
      <c r="G3696" s="889"/>
    </row>
    <row r="3697" spans="7:7" ht="10.5" customHeight="1" x14ac:dyDescent="0.2">
      <c r="G3697" s="889"/>
    </row>
    <row r="3698" spans="7:7" ht="10.5" customHeight="1" x14ac:dyDescent="0.2">
      <c r="G3698" s="889"/>
    </row>
    <row r="3699" spans="7:7" ht="10.5" customHeight="1" x14ac:dyDescent="0.2">
      <c r="G3699" s="889"/>
    </row>
    <row r="3700" spans="7:7" ht="10.5" customHeight="1" x14ac:dyDescent="0.2">
      <c r="G3700" s="889"/>
    </row>
    <row r="3701" spans="7:7" ht="10.5" customHeight="1" x14ac:dyDescent="0.2">
      <c r="G3701" s="889"/>
    </row>
    <row r="3702" spans="7:7" ht="10.5" customHeight="1" x14ac:dyDescent="0.2">
      <c r="G3702" s="889"/>
    </row>
    <row r="3703" spans="7:7" ht="10.5" customHeight="1" x14ac:dyDescent="0.2">
      <c r="G3703" s="889"/>
    </row>
    <row r="3704" spans="7:7" ht="10.5" customHeight="1" x14ac:dyDescent="0.2">
      <c r="G3704" s="889"/>
    </row>
    <row r="3705" spans="7:7" ht="10.5" customHeight="1" x14ac:dyDescent="0.2">
      <c r="G3705" s="889"/>
    </row>
    <row r="3706" spans="7:7" ht="10.5" customHeight="1" x14ac:dyDescent="0.2">
      <c r="G3706" s="889"/>
    </row>
    <row r="3707" spans="7:7" ht="10.5" customHeight="1" x14ac:dyDescent="0.2">
      <c r="G3707" s="889"/>
    </row>
    <row r="3708" spans="7:7" ht="10.5" customHeight="1" x14ac:dyDescent="0.2">
      <c r="G3708" s="889"/>
    </row>
    <row r="3709" spans="7:7" ht="10.5" customHeight="1" x14ac:dyDescent="0.2">
      <c r="G3709" s="889"/>
    </row>
    <row r="3710" spans="7:7" ht="10.5" customHeight="1" x14ac:dyDescent="0.2">
      <c r="G3710" s="889"/>
    </row>
    <row r="3711" spans="7:7" ht="10.5" customHeight="1" x14ac:dyDescent="0.2">
      <c r="G3711" s="889"/>
    </row>
    <row r="3712" spans="7:7" ht="10.5" customHeight="1" x14ac:dyDescent="0.2">
      <c r="G3712" s="889"/>
    </row>
    <row r="3713" spans="7:7" ht="10.5" customHeight="1" x14ac:dyDescent="0.2">
      <c r="G3713" s="889"/>
    </row>
    <row r="3714" spans="7:7" ht="10.5" customHeight="1" x14ac:dyDescent="0.2">
      <c r="G3714" s="889"/>
    </row>
    <row r="3715" spans="7:7" ht="10.5" customHeight="1" x14ac:dyDescent="0.2">
      <c r="G3715" s="889"/>
    </row>
    <row r="3716" spans="7:7" ht="10.5" customHeight="1" x14ac:dyDescent="0.2">
      <c r="G3716" s="889"/>
    </row>
    <row r="3717" spans="7:7" ht="10.5" customHeight="1" x14ac:dyDescent="0.2">
      <c r="G3717" s="889"/>
    </row>
    <row r="3718" spans="7:7" ht="10.5" customHeight="1" x14ac:dyDescent="0.2">
      <c r="G3718" s="889"/>
    </row>
    <row r="3719" spans="7:7" ht="10.5" customHeight="1" x14ac:dyDescent="0.2">
      <c r="G3719" s="889"/>
    </row>
    <row r="3720" spans="7:7" ht="10.5" customHeight="1" x14ac:dyDescent="0.2">
      <c r="G3720" s="889"/>
    </row>
    <row r="3721" spans="7:7" ht="10.5" customHeight="1" x14ac:dyDescent="0.2">
      <c r="G3721" s="889"/>
    </row>
    <row r="3722" spans="7:7" ht="10.5" customHeight="1" x14ac:dyDescent="0.2">
      <c r="G3722" s="889"/>
    </row>
    <row r="3723" spans="7:7" ht="10.5" customHeight="1" x14ac:dyDescent="0.2">
      <c r="G3723" s="889"/>
    </row>
    <row r="3724" spans="7:7" ht="10.5" customHeight="1" x14ac:dyDescent="0.2">
      <c r="G3724" s="889"/>
    </row>
    <row r="3725" spans="7:7" ht="10.5" customHeight="1" x14ac:dyDescent="0.2">
      <c r="G3725" s="889"/>
    </row>
    <row r="3726" spans="7:7" ht="10.5" customHeight="1" x14ac:dyDescent="0.2">
      <c r="G3726" s="889"/>
    </row>
    <row r="3727" spans="7:7" ht="10.5" customHeight="1" x14ac:dyDescent="0.2">
      <c r="G3727" s="889"/>
    </row>
    <row r="3728" spans="7:7" ht="10.5" customHeight="1" x14ac:dyDescent="0.2">
      <c r="G3728" s="889"/>
    </row>
    <row r="3729" spans="7:7" ht="10.5" customHeight="1" x14ac:dyDescent="0.2">
      <c r="G3729" s="889"/>
    </row>
    <row r="3730" spans="7:7" ht="10.5" customHeight="1" x14ac:dyDescent="0.2">
      <c r="G3730" s="889"/>
    </row>
    <row r="3731" spans="7:7" ht="10.5" customHeight="1" x14ac:dyDescent="0.2">
      <c r="G3731" s="889"/>
    </row>
    <row r="3732" spans="7:7" ht="10.5" customHeight="1" x14ac:dyDescent="0.2">
      <c r="G3732" s="889"/>
    </row>
    <row r="3733" spans="7:7" ht="10.5" customHeight="1" x14ac:dyDescent="0.2">
      <c r="G3733" s="889"/>
    </row>
    <row r="3734" spans="7:7" ht="10.5" customHeight="1" x14ac:dyDescent="0.2">
      <c r="G3734" s="889"/>
    </row>
    <row r="3735" spans="7:7" ht="10.5" customHeight="1" x14ac:dyDescent="0.2">
      <c r="G3735" s="889"/>
    </row>
    <row r="3736" spans="7:7" ht="10.5" customHeight="1" x14ac:dyDescent="0.2">
      <c r="G3736" s="889"/>
    </row>
    <row r="3737" spans="7:7" ht="10.5" customHeight="1" x14ac:dyDescent="0.2">
      <c r="G3737" s="889"/>
    </row>
    <row r="3738" spans="7:7" ht="10.5" customHeight="1" x14ac:dyDescent="0.2">
      <c r="G3738" s="889"/>
    </row>
    <row r="3739" spans="7:7" ht="10.5" customHeight="1" x14ac:dyDescent="0.2">
      <c r="G3739" s="889"/>
    </row>
    <row r="3740" spans="7:7" ht="10.5" customHeight="1" x14ac:dyDescent="0.2">
      <c r="G3740" s="889"/>
    </row>
    <row r="3741" spans="7:7" ht="10.5" customHeight="1" x14ac:dyDescent="0.2">
      <c r="G3741" s="889"/>
    </row>
    <row r="3742" spans="7:7" ht="10.5" customHeight="1" x14ac:dyDescent="0.2">
      <c r="G3742" s="889"/>
    </row>
    <row r="3743" spans="7:7" ht="10.5" customHeight="1" x14ac:dyDescent="0.2">
      <c r="G3743" s="889"/>
    </row>
    <row r="3744" spans="7:7" ht="10.5" customHeight="1" x14ac:dyDescent="0.2">
      <c r="G3744" s="889"/>
    </row>
    <row r="3745" spans="7:7" ht="10.5" customHeight="1" x14ac:dyDescent="0.2">
      <c r="G3745" s="889"/>
    </row>
    <row r="3746" spans="7:7" ht="10.5" customHeight="1" x14ac:dyDescent="0.2">
      <c r="G3746" s="889"/>
    </row>
    <row r="3747" spans="7:7" ht="10.5" customHeight="1" x14ac:dyDescent="0.2">
      <c r="G3747" s="889"/>
    </row>
    <row r="3748" spans="7:7" ht="10.5" customHeight="1" x14ac:dyDescent="0.2">
      <c r="G3748" s="889"/>
    </row>
    <row r="3749" spans="7:7" ht="10.5" customHeight="1" x14ac:dyDescent="0.2">
      <c r="G3749" s="889"/>
    </row>
    <row r="3750" spans="7:7" ht="10.5" customHeight="1" x14ac:dyDescent="0.2">
      <c r="G3750" s="889"/>
    </row>
    <row r="3751" spans="7:7" ht="10.5" customHeight="1" x14ac:dyDescent="0.2">
      <c r="G3751" s="889"/>
    </row>
    <row r="3752" spans="7:7" ht="10.5" customHeight="1" x14ac:dyDescent="0.2">
      <c r="G3752" s="889"/>
    </row>
    <row r="3753" spans="7:7" ht="10.5" customHeight="1" x14ac:dyDescent="0.2">
      <c r="G3753" s="889"/>
    </row>
    <row r="3754" spans="7:7" ht="10.5" customHeight="1" x14ac:dyDescent="0.2">
      <c r="G3754" s="889"/>
    </row>
    <row r="3755" spans="7:7" ht="10.5" customHeight="1" x14ac:dyDescent="0.2">
      <c r="G3755" s="889"/>
    </row>
    <row r="3756" spans="7:7" ht="10.5" customHeight="1" x14ac:dyDescent="0.2">
      <c r="G3756" s="889"/>
    </row>
    <row r="3757" spans="7:7" ht="10.5" customHeight="1" x14ac:dyDescent="0.2">
      <c r="G3757" s="889"/>
    </row>
    <row r="3758" spans="7:7" ht="10.5" customHeight="1" x14ac:dyDescent="0.2">
      <c r="G3758" s="889"/>
    </row>
    <row r="3759" spans="7:7" ht="10.5" customHeight="1" x14ac:dyDescent="0.2">
      <c r="G3759" s="889"/>
    </row>
    <row r="3760" spans="7:7" ht="10.5" customHeight="1" x14ac:dyDescent="0.2">
      <c r="G3760" s="889"/>
    </row>
    <row r="3761" spans="7:7" ht="10.5" customHeight="1" x14ac:dyDescent="0.2">
      <c r="G3761" s="889"/>
    </row>
    <row r="3762" spans="7:7" ht="10.5" customHeight="1" x14ac:dyDescent="0.2">
      <c r="G3762" s="889"/>
    </row>
    <row r="3763" spans="7:7" ht="10.5" customHeight="1" x14ac:dyDescent="0.2">
      <c r="G3763" s="889"/>
    </row>
    <row r="3764" spans="7:7" ht="10.5" customHeight="1" x14ac:dyDescent="0.2">
      <c r="G3764" s="889"/>
    </row>
    <row r="3765" spans="7:7" ht="10.5" customHeight="1" x14ac:dyDescent="0.2">
      <c r="G3765" s="889"/>
    </row>
    <row r="3766" spans="7:7" ht="10.5" customHeight="1" x14ac:dyDescent="0.2">
      <c r="G3766" s="889"/>
    </row>
    <row r="3767" spans="7:7" ht="10.5" customHeight="1" x14ac:dyDescent="0.2">
      <c r="G3767" s="889"/>
    </row>
    <row r="3768" spans="7:7" ht="10.5" customHeight="1" x14ac:dyDescent="0.2">
      <c r="G3768" s="889"/>
    </row>
    <row r="3769" spans="7:7" ht="10.5" customHeight="1" x14ac:dyDescent="0.2">
      <c r="G3769" s="889"/>
    </row>
    <row r="3770" spans="7:7" ht="10.5" customHeight="1" x14ac:dyDescent="0.2">
      <c r="G3770" s="889"/>
    </row>
    <row r="3771" spans="7:7" ht="10.5" customHeight="1" x14ac:dyDescent="0.2">
      <c r="G3771" s="889"/>
    </row>
    <row r="3772" spans="7:7" ht="10.5" customHeight="1" x14ac:dyDescent="0.2">
      <c r="G3772" s="889"/>
    </row>
    <row r="3773" spans="7:7" ht="10.5" customHeight="1" x14ac:dyDescent="0.2">
      <c r="G3773" s="889"/>
    </row>
    <row r="3774" spans="7:7" ht="10.5" customHeight="1" x14ac:dyDescent="0.2">
      <c r="G3774" s="889"/>
    </row>
    <row r="3775" spans="7:7" ht="10.5" customHeight="1" x14ac:dyDescent="0.2">
      <c r="G3775" s="889"/>
    </row>
    <row r="3776" spans="7:7" ht="10.5" customHeight="1" x14ac:dyDescent="0.2">
      <c r="G3776" s="889"/>
    </row>
    <row r="3777" spans="7:7" ht="10.5" customHeight="1" x14ac:dyDescent="0.2">
      <c r="G3777" s="889"/>
    </row>
    <row r="3778" spans="7:7" ht="10.5" customHeight="1" x14ac:dyDescent="0.2">
      <c r="G3778" s="889"/>
    </row>
    <row r="3779" spans="7:7" ht="10.5" customHeight="1" x14ac:dyDescent="0.2">
      <c r="G3779" s="889"/>
    </row>
    <row r="3780" spans="7:7" ht="10.5" customHeight="1" x14ac:dyDescent="0.2">
      <c r="G3780" s="889"/>
    </row>
    <row r="3781" spans="7:7" ht="10.5" customHeight="1" x14ac:dyDescent="0.2">
      <c r="G3781" s="889"/>
    </row>
    <row r="3782" spans="7:7" ht="10.5" customHeight="1" x14ac:dyDescent="0.2">
      <c r="G3782" s="889"/>
    </row>
    <row r="3783" spans="7:7" ht="10.5" customHeight="1" x14ac:dyDescent="0.2">
      <c r="G3783" s="889"/>
    </row>
    <row r="3784" spans="7:7" ht="10.5" customHeight="1" x14ac:dyDescent="0.2">
      <c r="G3784" s="889"/>
    </row>
    <row r="3785" spans="7:7" ht="10.5" customHeight="1" x14ac:dyDescent="0.2">
      <c r="G3785" s="889"/>
    </row>
    <row r="3786" spans="7:7" ht="10.5" customHeight="1" x14ac:dyDescent="0.2">
      <c r="G3786" s="889"/>
    </row>
    <row r="3787" spans="7:7" ht="10.5" customHeight="1" x14ac:dyDescent="0.2">
      <c r="G3787" s="889"/>
    </row>
    <row r="3788" spans="7:7" ht="10.5" customHeight="1" x14ac:dyDescent="0.2">
      <c r="G3788" s="889"/>
    </row>
    <row r="3789" spans="7:7" ht="10.5" customHeight="1" x14ac:dyDescent="0.2">
      <c r="G3789" s="889"/>
    </row>
    <row r="3790" spans="7:7" ht="10.5" customHeight="1" x14ac:dyDescent="0.2">
      <c r="G3790" s="889"/>
    </row>
    <row r="3791" spans="7:7" ht="10.5" customHeight="1" x14ac:dyDescent="0.2">
      <c r="G3791" s="889"/>
    </row>
    <row r="3792" spans="7:7" ht="10.5" customHeight="1" x14ac:dyDescent="0.2">
      <c r="G3792" s="889"/>
    </row>
    <row r="3793" spans="7:7" ht="10.5" customHeight="1" x14ac:dyDescent="0.2">
      <c r="G3793" s="889"/>
    </row>
    <row r="3794" spans="7:7" ht="10.5" customHeight="1" x14ac:dyDescent="0.2">
      <c r="G3794" s="889"/>
    </row>
    <row r="3795" spans="7:7" ht="10.5" customHeight="1" x14ac:dyDescent="0.2">
      <c r="G3795" s="889"/>
    </row>
    <row r="3796" spans="7:7" ht="10.5" customHeight="1" x14ac:dyDescent="0.2">
      <c r="G3796" s="889"/>
    </row>
    <row r="3797" spans="7:7" ht="10.5" customHeight="1" x14ac:dyDescent="0.2">
      <c r="G3797" s="889"/>
    </row>
    <row r="3798" spans="7:7" ht="10.5" customHeight="1" x14ac:dyDescent="0.2">
      <c r="G3798" s="889"/>
    </row>
    <row r="3799" spans="7:7" ht="10.5" customHeight="1" x14ac:dyDescent="0.2">
      <c r="G3799" s="889"/>
    </row>
    <row r="3800" spans="7:7" ht="10.5" customHeight="1" x14ac:dyDescent="0.2">
      <c r="G3800" s="889"/>
    </row>
    <row r="3801" spans="7:7" ht="10.5" customHeight="1" x14ac:dyDescent="0.2">
      <c r="G3801" s="889"/>
    </row>
    <row r="3802" spans="7:7" ht="10.5" customHeight="1" x14ac:dyDescent="0.2">
      <c r="G3802" s="889"/>
    </row>
    <row r="3803" spans="7:7" ht="10.5" customHeight="1" x14ac:dyDescent="0.2">
      <c r="G3803" s="889"/>
    </row>
    <row r="3804" spans="7:7" ht="10.5" customHeight="1" x14ac:dyDescent="0.2">
      <c r="G3804" s="889"/>
    </row>
    <row r="3805" spans="7:7" ht="10.5" customHeight="1" x14ac:dyDescent="0.2">
      <c r="G3805" s="889"/>
    </row>
    <row r="3806" spans="7:7" ht="10.5" customHeight="1" x14ac:dyDescent="0.2">
      <c r="G3806" s="889"/>
    </row>
    <row r="3807" spans="7:7" ht="10.5" customHeight="1" x14ac:dyDescent="0.2">
      <c r="G3807" s="889"/>
    </row>
    <row r="3808" spans="7:7" ht="10.5" customHeight="1" x14ac:dyDescent="0.2">
      <c r="G3808" s="889"/>
    </row>
    <row r="3809" spans="7:7" ht="10.5" customHeight="1" x14ac:dyDescent="0.2">
      <c r="G3809" s="889"/>
    </row>
    <row r="3810" spans="7:7" ht="10.5" customHeight="1" x14ac:dyDescent="0.2">
      <c r="G3810" s="889"/>
    </row>
    <row r="3811" spans="7:7" ht="10.5" customHeight="1" x14ac:dyDescent="0.2">
      <c r="G3811" s="889"/>
    </row>
    <row r="3812" spans="7:7" ht="10.5" customHeight="1" x14ac:dyDescent="0.2">
      <c r="G3812" s="889"/>
    </row>
    <row r="3813" spans="7:7" ht="10.5" customHeight="1" x14ac:dyDescent="0.2">
      <c r="G3813" s="889"/>
    </row>
    <row r="3814" spans="7:7" ht="10.5" customHeight="1" x14ac:dyDescent="0.2">
      <c r="G3814" s="889"/>
    </row>
    <row r="3815" spans="7:7" ht="10.5" customHeight="1" x14ac:dyDescent="0.2">
      <c r="G3815" s="889"/>
    </row>
    <row r="3816" spans="7:7" ht="10.5" customHeight="1" x14ac:dyDescent="0.2">
      <c r="G3816" s="889"/>
    </row>
    <row r="3817" spans="7:7" ht="10.5" customHeight="1" x14ac:dyDescent="0.2">
      <c r="G3817" s="889"/>
    </row>
    <row r="3818" spans="7:7" ht="10.5" customHeight="1" x14ac:dyDescent="0.2">
      <c r="G3818" s="889"/>
    </row>
    <row r="3819" spans="7:7" ht="10.5" customHeight="1" x14ac:dyDescent="0.2">
      <c r="G3819" s="889"/>
    </row>
    <row r="3820" spans="7:7" ht="10.5" customHeight="1" x14ac:dyDescent="0.2">
      <c r="G3820" s="889"/>
    </row>
    <row r="3821" spans="7:7" ht="10.5" customHeight="1" x14ac:dyDescent="0.2">
      <c r="G3821" s="889"/>
    </row>
    <row r="3822" spans="7:7" ht="10.5" customHeight="1" x14ac:dyDescent="0.2">
      <c r="G3822" s="889"/>
    </row>
    <row r="3823" spans="7:7" ht="10.5" customHeight="1" x14ac:dyDescent="0.2">
      <c r="G3823" s="889"/>
    </row>
    <row r="3824" spans="7:7" ht="10.5" customHeight="1" x14ac:dyDescent="0.2">
      <c r="G3824" s="889"/>
    </row>
    <row r="3825" spans="7:7" ht="10.5" customHeight="1" x14ac:dyDescent="0.2">
      <c r="G3825" s="889"/>
    </row>
    <row r="3826" spans="7:7" ht="10.5" customHeight="1" x14ac:dyDescent="0.2">
      <c r="G3826" s="889"/>
    </row>
    <row r="3827" spans="7:7" ht="10.5" customHeight="1" x14ac:dyDescent="0.2">
      <c r="G3827" s="889"/>
    </row>
    <row r="3828" spans="7:7" ht="10.5" customHeight="1" x14ac:dyDescent="0.2">
      <c r="G3828" s="889"/>
    </row>
    <row r="3829" spans="7:7" ht="10.5" customHeight="1" x14ac:dyDescent="0.2">
      <c r="G3829" s="889"/>
    </row>
    <row r="3830" spans="7:7" ht="10.5" customHeight="1" x14ac:dyDescent="0.2">
      <c r="G3830" s="889"/>
    </row>
    <row r="3831" spans="7:7" ht="10.5" customHeight="1" x14ac:dyDescent="0.2">
      <c r="G3831" s="889"/>
    </row>
    <row r="3832" spans="7:7" ht="10.5" customHeight="1" x14ac:dyDescent="0.2">
      <c r="G3832" s="889"/>
    </row>
    <row r="3833" spans="7:7" ht="10.5" customHeight="1" x14ac:dyDescent="0.2">
      <c r="G3833" s="889"/>
    </row>
    <row r="3834" spans="7:7" ht="10.5" customHeight="1" x14ac:dyDescent="0.2">
      <c r="G3834" s="889"/>
    </row>
    <row r="3835" spans="7:7" ht="10.5" customHeight="1" x14ac:dyDescent="0.2">
      <c r="G3835" s="889"/>
    </row>
    <row r="3836" spans="7:7" ht="10.5" customHeight="1" x14ac:dyDescent="0.2">
      <c r="G3836" s="889"/>
    </row>
    <row r="3837" spans="7:7" ht="10.5" customHeight="1" x14ac:dyDescent="0.2">
      <c r="G3837" s="889"/>
    </row>
    <row r="3838" spans="7:7" ht="10.5" customHeight="1" x14ac:dyDescent="0.2">
      <c r="G3838" s="889"/>
    </row>
    <row r="3839" spans="7:7" ht="10.5" customHeight="1" x14ac:dyDescent="0.2">
      <c r="G3839" s="889"/>
    </row>
    <row r="3840" spans="7:7" ht="10.5" customHeight="1" x14ac:dyDescent="0.2">
      <c r="G3840" s="889"/>
    </row>
    <row r="3841" spans="7:7" ht="10.5" customHeight="1" x14ac:dyDescent="0.2">
      <c r="G3841" s="889"/>
    </row>
    <row r="3842" spans="7:7" ht="10.5" customHeight="1" x14ac:dyDescent="0.2">
      <c r="G3842" s="889"/>
    </row>
    <row r="3843" spans="7:7" ht="10.5" customHeight="1" x14ac:dyDescent="0.2">
      <c r="G3843" s="889"/>
    </row>
    <row r="3844" spans="7:7" ht="10.5" customHeight="1" x14ac:dyDescent="0.2">
      <c r="G3844" s="889"/>
    </row>
    <row r="3845" spans="7:7" ht="10.5" customHeight="1" x14ac:dyDescent="0.2">
      <c r="G3845" s="889"/>
    </row>
    <row r="3846" spans="7:7" ht="10.5" customHeight="1" x14ac:dyDescent="0.2">
      <c r="G3846" s="889"/>
    </row>
    <row r="3847" spans="7:7" ht="10.5" customHeight="1" x14ac:dyDescent="0.2">
      <c r="G3847" s="889"/>
    </row>
    <row r="3848" spans="7:7" ht="10.5" customHeight="1" x14ac:dyDescent="0.2">
      <c r="G3848" s="889"/>
    </row>
    <row r="3849" spans="7:7" ht="10.5" customHeight="1" x14ac:dyDescent="0.2">
      <c r="G3849" s="889"/>
    </row>
    <row r="3850" spans="7:7" ht="10.5" customHeight="1" x14ac:dyDescent="0.2">
      <c r="G3850" s="889"/>
    </row>
    <row r="3851" spans="7:7" ht="10.5" customHeight="1" x14ac:dyDescent="0.2">
      <c r="G3851" s="889"/>
    </row>
    <row r="3852" spans="7:7" ht="10.5" customHeight="1" x14ac:dyDescent="0.2">
      <c r="G3852" s="889"/>
    </row>
    <row r="3853" spans="7:7" ht="10.5" customHeight="1" x14ac:dyDescent="0.2">
      <c r="G3853" s="889"/>
    </row>
    <row r="3854" spans="7:7" ht="10.5" customHeight="1" x14ac:dyDescent="0.2">
      <c r="G3854" s="889"/>
    </row>
    <row r="3855" spans="7:7" ht="10.5" customHeight="1" x14ac:dyDescent="0.2">
      <c r="G3855" s="889"/>
    </row>
    <row r="3856" spans="7:7" ht="10.5" customHeight="1" x14ac:dyDescent="0.2">
      <c r="G3856" s="889"/>
    </row>
    <row r="3857" spans="7:7" ht="10.5" customHeight="1" x14ac:dyDescent="0.2">
      <c r="G3857" s="889"/>
    </row>
    <row r="3858" spans="7:7" ht="10.5" customHeight="1" x14ac:dyDescent="0.2">
      <c r="G3858" s="889"/>
    </row>
    <row r="3859" spans="7:7" ht="10.5" customHeight="1" x14ac:dyDescent="0.2">
      <c r="G3859" s="889"/>
    </row>
    <row r="3860" spans="7:7" ht="10.5" customHeight="1" x14ac:dyDescent="0.2">
      <c r="G3860" s="889"/>
    </row>
    <row r="3861" spans="7:7" ht="10.5" customHeight="1" x14ac:dyDescent="0.2">
      <c r="G3861" s="889"/>
    </row>
    <row r="3862" spans="7:7" ht="10.5" customHeight="1" x14ac:dyDescent="0.2">
      <c r="G3862" s="889"/>
    </row>
    <row r="3863" spans="7:7" ht="10.5" customHeight="1" x14ac:dyDescent="0.2">
      <c r="G3863" s="889"/>
    </row>
    <row r="3864" spans="7:7" ht="10.5" customHeight="1" x14ac:dyDescent="0.2">
      <c r="G3864" s="889"/>
    </row>
    <row r="3865" spans="7:7" ht="10.5" customHeight="1" x14ac:dyDescent="0.2">
      <c r="G3865" s="889"/>
    </row>
    <row r="3866" spans="7:7" ht="10.5" customHeight="1" x14ac:dyDescent="0.2">
      <c r="G3866" s="889"/>
    </row>
    <row r="3867" spans="7:7" ht="10.5" customHeight="1" x14ac:dyDescent="0.2">
      <c r="G3867" s="889"/>
    </row>
    <row r="3868" spans="7:7" ht="10.5" customHeight="1" x14ac:dyDescent="0.2">
      <c r="G3868" s="889"/>
    </row>
    <row r="3869" spans="7:7" ht="10.5" customHeight="1" x14ac:dyDescent="0.2">
      <c r="G3869" s="889"/>
    </row>
    <row r="3870" spans="7:7" ht="10.5" customHeight="1" x14ac:dyDescent="0.2">
      <c r="G3870" s="889"/>
    </row>
    <row r="3871" spans="7:7" ht="10.5" customHeight="1" x14ac:dyDescent="0.2">
      <c r="G3871" s="889"/>
    </row>
    <row r="3872" spans="7:7" ht="10.5" customHeight="1" x14ac:dyDescent="0.2">
      <c r="G3872" s="889"/>
    </row>
    <row r="3873" spans="7:7" ht="10.5" customHeight="1" x14ac:dyDescent="0.2">
      <c r="G3873" s="889"/>
    </row>
    <row r="3874" spans="7:7" ht="10.5" customHeight="1" x14ac:dyDescent="0.2">
      <c r="G3874" s="889"/>
    </row>
    <row r="3875" spans="7:7" ht="10.5" customHeight="1" x14ac:dyDescent="0.2">
      <c r="G3875" s="889"/>
    </row>
    <row r="3876" spans="7:7" ht="10.5" customHeight="1" x14ac:dyDescent="0.2">
      <c r="G3876" s="889"/>
    </row>
    <row r="3877" spans="7:7" ht="10.5" customHeight="1" x14ac:dyDescent="0.2">
      <c r="G3877" s="889"/>
    </row>
    <row r="3878" spans="7:7" ht="10.5" customHeight="1" x14ac:dyDescent="0.2">
      <c r="G3878" s="889"/>
    </row>
    <row r="3879" spans="7:7" ht="10.5" customHeight="1" x14ac:dyDescent="0.2">
      <c r="G3879" s="889"/>
    </row>
    <row r="3880" spans="7:7" ht="10.5" customHeight="1" x14ac:dyDescent="0.2">
      <c r="G3880" s="889"/>
    </row>
    <row r="3881" spans="7:7" ht="10.5" customHeight="1" x14ac:dyDescent="0.2">
      <c r="G3881" s="889"/>
    </row>
    <row r="3882" spans="7:7" ht="10.5" customHeight="1" x14ac:dyDescent="0.2">
      <c r="G3882" s="889"/>
    </row>
    <row r="3883" spans="7:7" ht="10.5" customHeight="1" x14ac:dyDescent="0.2">
      <c r="G3883" s="889"/>
    </row>
    <row r="3884" spans="7:7" ht="10.5" customHeight="1" x14ac:dyDescent="0.2">
      <c r="G3884" s="889"/>
    </row>
    <row r="3885" spans="7:7" ht="10.5" customHeight="1" x14ac:dyDescent="0.2">
      <c r="G3885" s="889"/>
    </row>
    <row r="3886" spans="7:7" ht="10.5" customHeight="1" x14ac:dyDescent="0.2">
      <c r="G3886" s="889"/>
    </row>
    <row r="3887" spans="7:7" ht="10.5" customHeight="1" x14ac:dyDescent="0.2">
      <c r="G3887" s="889"/>
    </row>
    <row r="3888" spans="7:7" ht="10.5" customHeight="1" x14ac:dyDescent="0.2">
      <c r="G3888" s="889"/>
    </row>
    <row r="3889" spans="7:7" ht="10.5" customHeight="1" x14ac:dyDescent="0.2">
      <c r="G3889" s="889"/>
    </row>
    <row r="3890" spans="7:7" ht="10.5" customHeight="1" x14ac:dyDescent="0.2">
      <c r="G3890" s="889"/>
    </row>
    <row r="3891" spans="7:7" ht="10.5" customHeight="1" x14ac:dyDescent="0.2">
      <c r="G3891" s="889"/>
    </row>
    <row r="3892" spans="7:7" ht="10.5" customHeight="1" x14ac:dyDescent="0.2">
      <c r="G3892" s="889"/>
    </row>
    <row r="3893" spans="7:7" ht="10.5" customHeight="1" x14ac:dyDescent="0.2">
      <c r="G3893" s="889"/>
    </row>
    <row r="3894" spans="7:7" ht="10.5" customHeight="1" x14ac:dyDescent="0.2">
      <c r="G3894" s="889"/>
    </row>
    <row r="3895" spans="7:7" ht="10.5" customHeight="1" x14ac:dyDescent="0.2">
      <c r="G3895" s="889"/>
    </row>
    <row r="3896" spans="7:7" ht="10.5" customHeight="1" x14ac:dyDescent="0.2">
      <c r="G3896" s="889"/>
    </row>
    <row r="3897" spans="7:7" ht="10.5" customHeight="1" x14ac:dyDescent="0.2">
      <c r="G3897" s="889"/>
    </row>
    <row r="3898" spans="7:7" ht="10.5" customHeight="1" x14ac:dyDescent="0.2">
      <c r="G3898" s="889"/>
    </row>
    <row r="3899" spans="7:7" ht="10.5" customHeight="1" x14ac:dyDescent="0.2">
      <c r="G3899" s="889"/>
    </row>
    <row r="3900" spans="7:7" ht="10.5" customHeight="1" x14ac:dyDescent="0.2">
      <c r="G3900" s="889"/>
    </row>
    <row r="3901" spans="7:7" ht="10.5" customHeight="1" x14ac:dyDescent="0.2">
      <c r="G3901" s="889"/>
    </row>
    <row r="3902" spans="7:7" ht="10.5" customHeight="1" x14ac:dyDescent="0.2">
      <c r="G3902" s="889"/>
    </row>
    <row r="3903" spans="7:7" ht="10.5" customHeight="1" x14ac:dyDescent="0.2">
      <c r="G3903" s="889"/>
    </row>
    <row r="3904" spans="7:7" ht="10.5" customHeight="1" x14ac:dyDescent="0.2">
      <c r="G3904" s="889"/>
    </row>
    <row r="3905" spans="7:7" ht="10.5" customHeight="1" x14ac:dyDescent="0.2">
      <c r="G3905" s="889"/>
    </row>
    <row r="3906" spans="7:7" ht="10.5" customHeight="1" x14ac:dyDescent="0.2">
      <c r="G3906" s="889"/>
    </row>
    <row r="3907" spans="7:7" ht="10.5" customHeight="1" x14ac:dyDescent="0.2">
      <c r="G3907" s="889"/>
    </row>
    <row r="3908" spans="7:7" ht="10.5" customHeight="1" x14ac:dyDescent="0.2">
      <c r="G3908" s="889"/>
    </row>
    <row r="3909" spans="7:7" ht="10.5" customHeight="1" x14ac:dyDescent="0.2">
      <c r="G3909" s="889"/>
    </row>
    <row r="3910" spans="7:7" ht="10.5" customHeight="1" x14ac:dyDescent="0.2">
      <c r="G3910" s="889"/>
    </row>
    <row r="3911" spans="7:7" ht="10.5" customHeight="1" x14ac:dyDescent="0.2">
      <c r="G3911" s="889"/>
    </row>
    <row r="3912" spans="7:7" ht="10.5" customHeight="1" x14ac:dyDescent="0.2">
      <c r="G3912" s="889"/>
    </row>
    <row r="3913" spans="7:7" ht="10.5" customHeight="1" x14ac:dyDescent="0.2">
      <c r="G3913" s="889"/>
    </row>
    <row r="3914" spans="7:7" ht="10.5" customHeight="1" x14ac:dyDescent="0.2">
      <c r="G3914" s="889"/>
    </row>
    <row r="3915" spans="7:7" ht="10.5" customHeight="1" x14ac:dyDescent="0.2">
      <c r="G3915" s="889"/>
    </row>
    <row r="3916" spans="7:7" ht="10.5" customHeight="1" x14ac:dyDescent="0.2">
      <c r="G3916" s="889"/>
    </row>
    <row r="3917" spans="7:7" ht="10.5" customHeight="1" x14ac:dyDescent="0.2">
      <c r="G3917" s="889"/>
    </row>
    <row r="3918" spans="7:7" ht="10.5" customHeight="1" x14ac:dyDescent="0.2">
      <c r="G3918" s="889"/>
    </row>
    <row r="3919" spans="7:7" ht="10.5" customHeight="1" x14ac:dyDescent="0.2">
      <c r="G3919" s="889"/>
    </row>
    <row r="3920" spans="7:7" ht="10.5" customHeight="1" x14ac:dyDescent="0.2">
      <c r="G3920" s="889"/>
    </row>
    <row r="3921" spans="7:7" ht="10.5" customHeight="1" x14ac:dyDescent="0.2">
      <c r="G3921" s="889"/>
    </row>
    <row r="3922" spans="7:7" ht="10.5" customHeight="1" x14ac:dyDescent="0.2">
      <c r="G3922" s="889"/>
    </row>
    <row r="3923" spans="7:7" ht="10.5" customHeight="1" x14ac:dyDescent="0.2">
      <c r="G3923" s="889"/>
    </row>
    <row r="3924" spans="7:7" ht="10.5" customHeight="1" x14ac:dyDescent="0.2">
      <c r="G3924" s="889"/>
    </row>
    <row r="3925" spans="7:7" ht="10.5" customHeight="1" x14ac:dyDescent="0.2">
      <c r="G3925" s="889"/>
    </row>
    <row r="3926" spans="7:7" ht="10.5" customHeight="1" x14ac:dyDescent="0.2">
      <c r="G3926" s="889"/>
    </row>
    <row r="3927" spans="7:7" ht="10.5" customHeight="1" x14ac:dyDescent="0.2">
      <c r="G3927" s="889"/>
    </row>
    <row r="3928" spans="7:7" ht="10.5" customHeight="1" x14ac:dyDescent="0.2">
      <c r="G3928" s="889"/>
    </row>
    <row r="3929" spans="7:7" ht="10.5" customHeight="1" x14ac:dyDescent="0.2">
      <c r="G3929" s="889"/>
    </row>
    <row r="3930" spans="7:7" ht="10.5" customHeight="1" x14ac:dyDescent="0.2">
      <c r="G3930" s="889"/>
    </row>
    <row r="3931" spans="7:7" ht="10.5" customHeight="1" x14ac:dyDescent="0.2">
      <c r="G3931" s="889"/>
    </row>
    <row r="3932" spans="7:7" ht="10.5" customHeight="1" x14ac:dyDescent="0.2">
      <c r="G3932" s="889"/>
    </row>
    <row r="3933" spans="7:7" ht="10.5" customHeight="1" x14ac:dyDescent="0.2">
      <c r="G3933" s="889"/>
    </row>
    <row r="3934" spans="7:7" ht="10.5" customHeight="1" x14ac:dyDescent="0.2">
      <c r="G3934" s="889"/>
    </row>
    <row r="3935" spans="7:7" ht="10.5" customHeight="1" x14ac:dyDescent="0.2">
      <c r="G3935" s="889"/>
    </row>
    <row r="3936" spans="7:7" ht="10.5" customHeight="1" x14ac:dyDescent="0.2">
      <c r="G3936" s="889"/>
    </row>
    <row r="3937" spans="7:7" ht="10.5" customHeight="1" x14ac:dyDescent="0.2">
      <c r="G3937" s="889"/>
    </row>
    <row r="3938" spans="7:7" ht="10.5" customHeight="1" x14ac:dyDescent="0.2">
      <c r="G3938" s="889"/>
    </row>
    <row r="3939" spans="7:7" ht="10.5" customHeight="1" x14ac:dyDescent="0.2">
      <c r="G3939" s="889"/>
    </row>
    <row r="3940" spans="7:7" ht="10.5" customHeight="1" x14ac:dyDescent="0.2">
      <c r="G3940" s="889"/>
    </row>
    <row r="3941" spans="7:7" ht="10.5" customHeight="1" x14ac:dyDescent="0.2">
      <c r="G3941" s="889"/>
    </row>
    <row r="3942" spans="7:7" ht="10.5" customHeight="1" x14ac:dyDescent="0.2">
      <c r="G3942" s="889"/>
    </row>
    <row r="3943" spans="7:7" ht="10.5" customHeight="1" x14ac:dyDescent="0.2">
      <c r="G3943" s="889"/>
    </row>
    <row r="3944" spans="7:7" ht="10.5" customHeight="1" x14ac:dyDescent="0.2">
      <c r="G3944" s="889"/>
    </row>
    <row r="3945" spans="7:7" ht="10.5" customHeight="1" x14ac:dyDescent="0.2">
      <c r="G3945" s="889"/>
    </row>
    <row r="3946" spans="7:7" ht="10.5" customHeight="1" x14ac:dyDescent="0.2">
      <c r="G3946" s="889"/>
    </row>
    <row r="3947" spans="7:7" ht="10.5" customHeight="1" x14ac:dyDescent="0.2">
      <c r="G3947" s="889"/>
    </row>
    <row r="3948" spans="7:7" ht="10.5" customHeight="1" x14ac:dyDescent="0.2">
      <c r="G3948" s="889"/>
    </row>
    <row r="3949" spans="7:7" ht="10.5" customHeight="1" x14ac:dyDescent="0.2">
      <c r="G3949" s="889"/>
    </row>
    <row r="3950" spans="7:7" ht="10.5" customHeight="1" x14ac:dyDescent="0.2">
      <c r="G3950" s="889"/>
    </row>
    <row r="3951" spans="7:7" ht="10.5" customHeight="1" x14ac:dyDescent="0.2">
      <c r="G3951" s="889"/>
    </row>
    <row r="3952" spans="7:7" ht="10.5" customHeight="1" x14ac:dyDescent="0.2">
      <c r="G3952" s="889"/>
    </row>
    <row r="3953" spans="7:7" ht="10.5" customHeight="1" x14ac:dyDescent="0.2">
      <c r="G3953" s="889"/>
    </row>
    <row r="3954" spans="7:7" ht="10.5" customHeight="1" x14ac:dyDescent="0.2">
      <c r="G3954" s="889"/>
    </row>
    <row r="3955" spans="7:7" ht="10.5" customHeight="1" x14ac:dyDescent="0.2">
      <c r="G3955" s="889"/>
    </row>
    <row r="3956" spans="7:7" ht="10.5" customHeight="1" x14ac:dyDescent="0.2">
      <c r="G3956" s="889"/>
    </row>
    <row r="3957" spans="7:7" ht="10.5" customHeight="1" x14ac:dyDescent="0.2">
      <c r="G3957" s="889"/>
    </row>
    <row r="3958" spans="7:7" ht="10.5" customHeight="1" x14ac:dyDescent="0.2">
      <c r="G3958" s="889"/>
    </row>
    <row r="3959" spans="7:7" ht="10.5" customHeight="1" x14ac:dyDescent="0.2">
      <c r="G3959" s="889"/>
    </row>
    <row r="3960" spans="7:7" ht="10.5" customHeight="1" x14ac:dyDescent="0.2">
      <c r="G3960" s="889"/>
    </row>
    <row r="3961" spans="7:7" ht="10.5" customHeight="1" x14ac:dyDescent="0.2">
      <c r="G3961" s="889"/>
    </row>
    <row r="3962" spans="7:7" ht="10.5" customHeight="1" x14ac:dyDescent="0.2">
      <c r="G3962" s="889"/>
    </row>
    <row r="3963" spans="7:7" ht="10.5" customHeight="1" x14ac:dyDescent="0.2">
      <c r="G3963" s="889"/>
    </row>
    <row r="3964" spans="7:7" ht="10.5" customHeight="1" x14ac:dyDescent="0.2">
      <c r="G3964" s="889"/>
    </row>
    <row r="3965" spans="7:7" ht="10.5" customHeight="1" x14ac:dyDescent="0.2">
      <c r="G3965" s="889"/>
    </row>
    <row r="3966" spans="7:7" ht="10.5" customHeight="1" x14ac:dyDescent="0.2">
      <c r="G3966" s="889"/>
    </row>
    <row r="3967" spans="7:7" ht="10.5" customHeight="1" x14ac:dyDescent="0.2">
      <c r="G3967" s="889"/>
    </row>
    <row r="3968" spans="7:7" ht="10.5" customHeight="1" x14ac:dyDescent="0.2">
      <c r="G3968" s="889"/>
    </row>
    <row r="3969" spans="7:7" ht="10.5" customHeight="1" x14ac:dyDescent="0.2">
      <c r="G3969" s="889"/>
    </row>
    <row r="3970" spans="7:7" ht="10.5" customHeight="1" x14ac:dyDescent="0.2">
      <c r="G3970" s="889"/>
    </row>
    <row r="3971" spans="7:7" ht="10.5" customHeight="1" x14ac:dyDescent="0.2">
      <c r="G3971" s="889"/>
    </row>
    <row r="3972" spans="7:7" ht="10.5" customHeight="1" x14ac:dyDescent="0.2">
      <c r="G3972" s="889"/>
    </row>
    <row r="3973" spans="7:7" ht="10.5" customHeight="1" x14ac:dyDescent="0.2">
      <c r="G3973" s="889"/>
    </row>
    <row r="3974" spans="7:7" ht="10.5" customHeight="1" x14ac:dyDescent="0.2">
      <c r="G3974" s="889"/>
    </row>
    <row r="3975" spans="7:7" ht="10.5" customHeight="1" x14ac:dyDescent="0.2">
      <c r="G3975" s="889"/>
    </row>
    <row r="3976" spans="7:7" ht="10.5" customHeight="1" x14ac:dyDescent="0.2">
      <c r="G3976" s="889"/>
    </row>
    <row r="3977" spans="7:7" ht="10.5" customHeight="1" x14ac:dyDescent="0.2">
      <c r="G3977" s="889"/>
    </row>
    <row r="3978" spans="7:7" ht="10.5" customHeight="1" x14ac:dyDescent="0.2">
      <c r="G3978" s="889"/>
    </row>
    <row r="3979" spans="7:7" ht="10.5" customHeight="1" x14ac:dyDescent="0.2">
      <c r="G3979" s="889"/>
    </row>
    <row r="3980" spans="7:7" ht="10.5" customHeight="1" x14ac:dyDescent="0.2">
      <c r="G3980" s="889"/>
    </row>
    <row r="3981" spans="7:7" ht="10.5" customHeight="1" x14ac:dyDescent="0.2">
      <c r="G3981" s="889"/>
    </row>
    <row r="3982" spans="7:7" ht="10.5" customHeight="1" x14ac:dyDescent="0.2">
      <c r="G3982" s="889"/>
    </row>
    <row r="3983" spans="7:7" ht="10.5" customHeight="1" x14ac:dyDescent="0.2">
      <c r="G3983" s="889"/>
    </row>
    <row r="3984" spans="7:7" ht="10.5" customHeight="1" x14ac:dyDescent="0.2">
      <c r="G3984" s="889"/>
    </row>
    <row r="3985" spans="7:7" ht="10.5" customHeight="1" x14ac:dyDescent="0.2">
      <c r="G3985" s="889"/>
    </row>
    <row r="3986" spans="7:7" ht="10.5" customHeight="1" x14ac:dyDescent="0.2">
      <c r="G3986" s="889"/>
    </row>
    <row r="3987" spans="7:7" ht="10.5" customHeight="1" x14ac:dyDescent="0.2">
      <c r="G3987" s="889"/>
    </row>
    <row r="3988" spans="7:7" ht="10.5" customHeight="1" x14ac:dyDescent="0.2">
      <c r="G3988" s="889"/>
    </row>
    <row r="3989" spans="7:7" ht="10.5" customHeight="1" x14ac:dyDescent="0.2">
      <c r="G3989" s="889"/>
    </row>
    <row r="3990" spans="7:7" ht="10.5" customHeight="1" x14ac:dyDescent="0.2">
      <c r="G3990" s="889"/>
    </row>
    <row r="3991" spans="7:7" ht="10.5" customHeight="1" x14ac:dyDescent="0.2">
      <c r="G3991" s="889"/>
    </row>
    <row r="3992" spans="7:7" ht="10.5" customHeight="1" x14ac:dyDescent="0.2">
      <c r="G3992" s="889"/>
    </row>
    <row r="3993" spans="7:7" ht="10.5" customHeight="1" x14ac:dyDescent="0.2">
      <c r="G3993" s="889"/>
    </row>
    <row r="3994" spans="7:7" ht="10.5" customHeight="1" x14ac:dyDescent="0.2">
      <c r="G3994" s="889"/>
    </row>
    <row r="3995" spans="7:7" ht="10.5" customHeight="1" x14ac:dyDescent="0.2">
      <c r="G3995" s="889"/>
    </row>
    <row r="3996" spans="7:7" ht="10.5" customHeight="1" x14ac:dyDescent="0.2">
      <c r="G3996" s="889"/>
    </row>
    <row r="3997" spans="7:7" ht="10.5" customHeight="1" x14ac:dyDescent="0.2">
      <c r="G3997" s="889"/>
    </row>
    <row r="3998" spans="7:7" ht="10.5" customHeight="1" x14ac:dyDescent="0.2">
      <c r="G3998" s="889"/>
    </row>
    <row r="3999" spans="7:7" ht="10.5" customHeight="1" x14ac:dyDescent="0.2">
      <c r="G3999" s="889"/>
    </row>
    <row r="4000" spans="7:7" ht="10.5" customHeight="1" x14ac:dyDescent="0.2">
      <c r="G4000" s="889"/>
    </row>
    <row r="4001" spans="7:7" ht="10.5" customHeight="1" x14ac:dyDescent="0.2">
      <c r="G4001" s="889"/>
    </row>
    <row r="4002" spans="7:7" ht="10.5" customHeight="1" x14ac:dyDescent="0.2">
      <c r="G4002" s="889"/>
    </row>
    <row r="4003" spans="7:7" ht="10.5" customHeight="1" x14ac:dyDescent="0.2">
      <c r="G4003" s="889"/>
    </row>
    <row r="4004" spans="7:7" ht="10.5" customHeight="1" x14ac:dyDescent="0.2">
      <c r="G4004" s="889"/>
    </row>
    <row r="4005" spans="7:7" ht="10.5" customHeight="1" x14ac:dyDescent="0.2">
      <c r="G4005" s="889"/>
    </row>
    <row r="4006" spans="7:7" ht="10.5" customHeight="1" x14ac:dyDescent="0.2">
      <c r="G4006" s="889"/>
    </row>
    <row r="4007" spans="7:7" ht="10.5" customHeight="1" x14ac:dyDescent="0.2">
      <c r="G4007" s="889"/>
    </row>
    <row r="4008" spans="7:7" ht="10.5" customHeight="1" x14ac:dyDescent="0.2">
      <c r="G4008" s="889"/>
    </row>
    <row r="4009" spans="7:7" ht="10.5" customHeight="1" x14ac:dyDescent="0.2">
      <c r="G4009" s="889"/>
    </row>
    <row r="4010" spans="7:7" ht="10.5" customHeight="1" x14ac:dyDescent="0.2">
      <c r="G4010" s="889"/>
    </row>
    <row r="4011" spans="7:7" ht="10.5" customHeight="1" x14ac:dyDescent="0.2">
      <c r="G4011" s="889"/>
    </row>
    <row r="4012" spans="7:7" ht="10.5" customHeight="1" x14ac:dyDescent="0.2">
      <c r="G4012" s="889"/>
    </row>
    <row r="4013" spans="7:7" ht="10.5" customHeight="1" x14ac:dyDescent="0.2">
      <c r="G4013" s="889"/>
    </row>
    <row r="4014" spans="7:7" ht="10.5" customHeight="1" x14ac:dyDescent="0.2">
      <c r="G4014" s="889"/>
    </row>
    <row r="4015" spans="7:7" ht="10.5" customHeight="1" x14ac:dyDescent="0.2">
      <c r="G4015" s="889"/>
    </row>
    <row r="4016" spans="7:7" ht="10.5" customHeight="1" x14ac:dyDescent="0.2">
      <c r="G4016" s="889"/>
    </row>
    <row r="4017" spans="7:7" ht="10.5" customHeight="1" x14ac:dyDescent="0.2">
      <c r="G4017" s="889"/>
    </row>
    <row r="4018" spans="7:7" ht="10.5" customHeight="1" x14ac:dyDescent="0.2">
      <c r="G4018" s="889"/>
    </row>
    <row r="4019" spans="7:7" ht="10.5" customHeight="1" x14ac:dyDescent="0.2">
      <c r="G4019" s="889"/>
    </row>
    <row r="4020" spans="7:7" ht="10.5" customHeight="1" x14ac:dyDescent="0.2">
      <c r="G4020" s="889"/>
    </row>
    <row r="4021" spans="7:7" ht="10.5" customHeight="1" x14ac:dyDescent="0.2">
      <c r="G4021" s="889"/>
    </row>
    <row r="4022" spans="7:7" ht="10.5" customHeight="1" x14ac:dyDescent="0.2">
      <c r="G4022" s="889"/>
    </row>
    <row r="4023" spans="7:7" ht="10.5" customHeight="1" x14ac:dyDescent="0.2">
      <c r="G4023" s="889"/>
    </row>
    <row r="4024" spans="7:7" ht="10.5" customHeight="1" x14ac:dyDescent="0.2">
      <c r="G4024" s="889"/>
    </row>
    <row r="4025" spans="7:7" ht="10.5" customHeight="1" x14ac:dyDescent="0.2">
      <c r="G4025" s="889"/>
    </row>
    <row r="4026" spans="7:7" ht="10.5" customHeight="1" x14ac:dyDescent="0.2">
      <c r="G4026" s="889"/>
    </row>
    <row r="4027" spans="7:7" ht="10.5" customHeight="1" x14ac:dyDescent="0.2">
      <c r="G4027" s="889"/>
    </row>
    <row r="4028" spans="7:7" ht="10.5" customHeight="1" x14ac:dyDescent="0.2">
      <c r="G4028" s="889"/>
    </row>
    <row r="4029" spans="7:7" ht="10.5" customHeight="1" x14ac:dyDescent="0.2">
      <c r="G4029" s="889"/>
    </row>
    <row r="4030" spans="7:7" ht="10.5" customHeight="1" x14ac:dyDescent="0.2">
      <c r="G4030" s="889"/>
    </row>
    <row r="4031" spans="7:7" ht="10.5" customHeight="1" x14ac:dyDescent="0.2">
      <c r="G4031" s="889"/>
    </row>
    <row r="4032" spans="7:7" ht="10.5" customHeight="1" x14ac:dyDescent="0.2">
      <c r="G4032" s="889"/>
    </row>
    <row r="4033" spans="7:7" ht="10.5" customHeight="1" x14ac:dyDescent="0.2">
      <c r="G4033" s="889"/>
    </row>
    <row r="4034" spans="7:7" ht="10.5" customHeight="1" x14ac:dyDescent="0.2">
      <c r="G4034" s="889"/>
    </row>
    <row r="4035" spans="7:7" ht="10.5" customHeight="1" x14ac:dyDescent="0.2">
      <c r="G4035" s="889"/>
    </row>
    <row r="4036" spans="7:7" ht="10.5" customHeight="1" x14ac:dyDescent="0.2">
      <c r="G4036" s="889"/>
    </row>
    <row r="4037" spans="7:7" ht="10.5" customHeight="1" x14ac:dyDescent="0.2">
      <c r="G4037" s="889"/>
    </row>
    <row r="4038" spans="7:7" ht="10.5" customHeight="1" x14ac:dyDescent="0.2">
      <c r="G4038" s="889"/>
    </row>
    <row r="4039" spans="7:7" ht="10.5" customHeight="1" x14ac:dyDescent="0.2">
      <c r="G4039" s="889"/>
    </row>
    <row r="4040" spans="7:7" ht="10.5" customHeight="1" x14ac:dyDescent="0.2">
      <c r="G4040" s="889"/>
    </row>
    <row r="4041" spans="7:7" ht="10.5" customHeight="1" x14ac:dyDescent="0.2">
      <c r="G4041" s="889"/>
    </row>
    <row r="4042" spans="7:7" ht="10.5" customHeight="1" x14ac:dyDescent="0.2">
      <c r="G4042" s="889"/>
    </row>
    <row r="4043" spans="7:7" ht="10.5" customHeight="1" x14ac:dyDescent="0.2">
      <c r="G4043" s="889"/>
    </row>
    <row r="4044" spans="7:7" ht="10.5" customHeight="1" x14ac:dyDescent="0.2">
      <c r="G4044" s="889"/>
    </row>
    <row r="4045" spans="7:7" ht="10.5" customHeight="1" x14ac:dyDescent="0.2">
      <c r="G4045" s="889"/>
    </row>
    <row r="4046" spans="7:7" ht="10.5" customHeight="1" x14ac:dyDescent="0.2">
      <c r="G4046" s="889"/>
    </row>
    <row r="4047" spans="7:7" ht="10.5" customHeight="1" x14ac:dyDescent="0.2">
      <c r="G4047" s="889"/>
    </row>
    <row r="4048" spans="7:7" ht="10.5" customHeight="1" x14ac:dyDescent="0.2">
      <c r="G4048" s="889"/>
    </row>
    <row r="4049" spans="7:7" ht="10.5" customHeight="1" x14ac:dyDescent="0.2">
      <c r="G4049" s="889"/>
    </row>
    <row r="4050" spans="7:7" ht="10.5" customHeight="1" x14ac:dyDescent="0.2">
      <c r="G4050" s="889"/>
    </row>
    <row r="4051" spans="7:7" ht="10.5" customHeight="1" x14ac:dyDescent="0.2">
      <c r="G4051" s="889"/>
    </row>
    <row r="4052" spans="7:7" ht="10.5" customHeight="1" x14ac:dyDescent="0.2">
      <c r="G4052" s="889"/>
    </row>
    <row r="4053" spans="7:7" ht="10.5" customHeight="1" x14ac:dyDescent="0.2">
      <c r="G4053" s="889"/>
    </row>
    <row r="4054" spans="7:7" ht="10.5" customHeight="1" x14ac:dyDescent="0.2">
      <c r="G4054" s="889"/>
    </row>
    <row r="4055" spans="7:7" ht="10.5" customHeight="1" x14ac:dyDescent="0.2">
      <c r="G4055" s="889"/>
    </row>
    <row r="4056" spans="7:7" ht="10.5" customHeight="1" x14ac:dyDescent="0.2">
      <c r="G4056" s="889"/>
    </row>
    <row r="4057" spans="7:7" ht="10.5" customHeight="1" x14ac:dyDescent="0.2">
      <c r="G4057" s="889"/>
    </row>
    <row r="4058" spans="7:7" ht="10.5" customHeight="1" x14ac:dyDescent="0.2">
      <c r="G4058" s="889"/>
    </row>
    <row r="4059" spans="7:7" ht="10.5" customHeight="1" x14ac:dyDescent="0.2">
      <c r="G4059" s="889"/>
    </row>
    <row r="4060" spans="7:7" ht="10.5" customHeight="1" x14ac:dyDescent="0.2">
      <c r="G4060" s="889"/>
    </row>
    <row r="4061" spans="7:7" ht="10.5" customHeight="1" x14ac:dyDescent="0.2">
      <c r="G4061" s="889"/>
    </row>
    <row r="4062" spans="7:7" ht="10.5" customHeight="1" x14ac:dyDescent="0.2">
      <c r="G4062" s="889"/>
    </row>
    <row r="4063" spans="7:7" ht="10.5" customHeight="1" x14ac:dyDescent="0.2">
      <c r="G4063" s="889"/>
    </row>
    <row r="4064" spans="7:7" ht="10.5" customHeight="1" x14ac:dyDescent="0.2">
      <c r="G4064" s="889"/>
    </row>
    <row r="4065" spans="7:7" ht="10.5" customHeight="1" x14ac:dyDescent="0.2">
      <c r="G4065" s="889"/>
    </row>
    <row r="4066" spans="7:7" ht="10.5" customHeight="1" x14ac:dyDescent="0.2">
      <c r="G4066" s="889"/>
    </row>
    <row r="4067" spans="7:7" ht="10.5" customHeight="1" x14ac:dyDescent="0.2">
      <c r="G4067" s="889"/>
    </row>
    <row r="4068" spans="7:7" ht="10.5" customHeight="1" x14ac:dyDescent="0.2">
      <c r="G4068" s="889"/>
    </row>
    <row r="4069" spans="7:7" ht="10.5" customHeight="1" x14ac:dyDescent="0.2">
      <c r="G4069" s="889"/>
    </row>
    <row r="4070" spans="7:7" ht="10.5" customHeight="1" x14ac:dyDescent="0.2">
      <c r="G4070" s="889"/>
    </row>
    <row r="4071" spans="7:7" ht="10.5" customHeight="1" x14ac:dyDescent="0.2">
      <c r="G4071" s="889"/>
    </row>
    <row r="4072" spans="7:7" ht="10.5" customHeight="1" x14ac:dyDescent="0.2">
      <c r="G4072" s="889"/>
    </row>
    <row r="4073" spans="7:7" ht="10.5" customHeight="1" x14ac:dyDescent="0.2">
      <c r="G4073" s="889"/>
    </row>
    <row r="4074" spans="7:7" ht="10.5" customHeight="1" x14ac:dyDescent="0.2">
      <c r="G4074" s="889"/>
    </row>
    <row r="4075" spans="7:7" ht="10.5" customHeight="1" x14ac:dyDescent="0.2">
      <c r="G4075" s="889"/>
    </row>
    <row r="4076" spans="7:7" ht="10.5" customHeight="1" x14ac:dyDescent="0.2">
      <c r="G4076" s="889"/>
    </row>
    <row r="4077" spans="7:7" ht="10.5" customHeight="1" x14ac:dyDescent="0.2">
      <c r="G4077" s="889"/>
    </row>
    <row r="4078" spans="7:7" ht="10.5" customHeight="1" x14ac:dyDescent="0.2">
      <c r="G4078" s="889"/>
    </row>
    <row r="4079" spans="7:7" ht="10.5" customHeight="1" x14ac:dyDescent="0.2">
      <c r="G4079" s="889"/>
    </row>
    <row r="4080" spans="7:7" ht="10.5" customHeight="1" x14ac:dyDescent="0.2">
      <c r="G4080" s="889"/>
    </row>
    <row r="4081" spans="7:7" ht="10.5" customHeight="1" x14ac:dyDescent="0.2">
      <c r="G4081" s="889"/>
    </row>
    <row r="4082" spans="7:7" ht="10.5" customHeight="1" x14ac:dyDescent="0.2">
      <c r="G4082" s="889"/>
    </row>
    <row r="4083" spans="7:7" ht="10.5" customHeight="1" x14ac:dyDescent="0.2">
      <c r="G4083" s="889"/>
    </row>
    <row r="4084" spans="7:7" ht="10.5" customHeight="1" x14ac:dyDescent="0.2">
      <c r="G4084" s="889"/>
    </row>
    <row r="4085" spans="7:7" ht="10.5" customHeight="1" x14ac:dyDescent="0.2">
      <c r="G4085" s="889"/>
    </row>
    <row r="4086" spans="7:7" ht="10.5" customHeight="1" x14ac:dyDescent="0.2">
      <c r="G4086" s="889"/>
    </row>
    <row r="4087" spans="7:7" ht="10.5" customHeight="1" x14ac:dyDescent="0.2">
      <c r="G4087" s="889"/>
    </row>
    <row r="4088" spans="7:7" ht="10.5" customHeight="1" x14ac:dyDescent="0.2">
      <c r="G4088" s="889"/>
    </row>
    <row r="4089" spans="7:7" ht="10.5" customHeight="1" x14ac:dyDescent="0.2">
      <c r="G4089" s="889"/>
    </row>
    <row r="4090" spans="7:7" ht="10.5" customHeight="1" x14ac:dyDescent="0.2">
      <c r="G4090" s="889"/>
    </row>
    <row r="4091" spans="7:7" ht="10.5" customHeight="1" x14ac:dyDescent="0.2">
      <c r="G4091" s="889"/>
    </row>
    <row r="4092" spans="7:7" ht="10.5" customHeight="1" x14ac:dyDescent="0.2">
      <c r="G4092" s="889"/>
    </row>
    <row r="4093" spans="7:7" ht="10.5" customHeight="1" x14ac:dyDescent="0.2">
      <c r="G4093" s="889"/>
    </row>
    <row r="4094" spans="7:7" ht="10.5" customHeight="1" x14ac:dyDescent="0.2">
      <c r="G4094" s="889"/>
    </row>
    <row r="4095" spans="7:7" ht="10.5" customHeight="1" x14ac:dyDescent="0.2">
      <c r="G4095" s="889"/>
    </row>
    <row r="4096" spans="7:7" ht="10.5" customHeight="1" x14ac:dyDescent="0.2">
      <c r="G4096" s="889"/>
    </row>
    <row r="4097" spans="7:7" ht="10.5" customHeight="1" x14ac:dyDescent="0.2">
      <c r="G4097" s="889"/>
    </row>
    <row r="4098" spans="7:7" ht="10.5" customHeight="1" x14ac:dyDescent="0.2">
      <c r="G4098" s="889"/>
    </row>
    <row r="4099" spans="7:7" ht="10.5" customHeight="1" x14ac:dyDescent="0.2">
      <c r="G4099" s="889"/>
    </row>
    <row r="4100" spans="7:7" ht="10.5" customHeight="1" x14ac:dyDescent="0.2">
      <c r="G4100" s="889"/>
    </row>
    <row r="4101" spans="7:7" ht="10.5" customHeight="1" x14ac:dyDescent="0.2">
      <c r="G4101" s="889"/>
    </row>
    <row r="4102" spans="7:7" ht="10.5" customHeight="1" x14ac:dyDescent="0.2">
      <c r="G4102" s="889"/>
    </row>
    <row r="4103" spans="7:7" ht="10.5" customHeight="1" x14ac:dyDescent="0.2">
      <c r="G4103" s="889"/>
    </row>
    <row r="4104" spans="7:7" ht="10.5" customHeight="1" x14ac:dyDescent="0.2">
      <c r="G4104" s="889"/>
    </row>
    <row r="4105" spans="7:7" ht="10.5" customHeight="1" x14ac:dyDescent="0.2">
      <c r="G4105" s="889"/>
    </row>
    <row r="4106" spans="7:7" ht="10.5" customHeight="1" x14ac:dyDescent="0.2">
      <c r="G4106" s="889"/>
    </row>
    <row r="4107" spans="7:7" ht="10.5" customHeight="1" x14ac:dyDescent="0.2">
      <c r="G4107" s="889"/>
    </row>
    <row r="4108" spans="7:7" ht="10.5" customHeight="1" x14ac:dyDescent="0.2">
      <c r="G4108" s="889"/>
    </row>
    <row r="4109" spans="7:7" ht="10.5" customHeight="1" x14ac:dyDescent="0.2">
      <c r="G4109" s="889"/>
    </row>
    <row r="4110" spans="7:7" ht="10.5" customHeight="1" x14ac:dyDescent="0.2">
      <c r="G4110" s="889"/>
    </row>
    <row r="4111" spans="7:7" ht="10.5" customHeight="1" x14ac:dyDescent="0.2">
      <c r="G4111" s="889"/>
    </row>
    <row r="4112" spans="7:7" ht="10.5" customHeight="1" x14ac:dyDescent="0.2">
      <c r="G4112" s="889"/>
    </row>
    <row r="4113" spans="7:7" ht="10.5" customHeight="1" x14ac:dyDescent="0.2">
      <c r="G4113" s="889"/>
    </row>
    <row r="4114" spans="7:7" ht="10.5" customHeight="1" x14ac:dyDescent="0.2">
      <c r="G4114" s="889"/>
    </row>
    <row r="4115" spans="7:7" ht="10.5" customHeight="1" x14ac:dyDescent="0.2">
      <c r="G4115" s="889"/>
    </row>
    <row r="4116" spans="7:7" ht="10.5" customHeight="1" x14ac:dyDescent="0.2">
      <c r="G4116" s="889"/>
    </row>
    <row r="4117" spans="7:7" ht="10.5" customHeight="1" x14ac:dyDescent="0.2">
      <c r="G4117" s="889"/>
    </row>
    <row r="4118" spans="7:7" ht="10.5" customHeight="1" x14ac:dyDescent="0.2">
      <c r="G4118" s="889"/>
    </row>
    <row r="4119" spans="7:7" ht="10.5" customHeight="1" x14ac:dyDescent="0.2">
      <c r="G4119" s="889"/>
    </row>
    <row r="4120" spans="7:7" ht="10.5" customHeight="1" x14ac:dyDescent="0.2">
      <c r="G4120" s="889"/>
    </row>
    <row r="4121" spans="7:7" ht="10.5" customHeight="1" x14ac:dyDescent="0.2">
      <c r="G4121" s="889"/>
    </row>
    <row r="4122" spans="7:7" ht="10.5" customHeight="1" x14ac:dyDescent="0.2">
      <c r="G4122" s="889"/>
    </row>
    <row r="4123" spans="7:7" ht="10.5" customHeight="1" x14ac:dyDescent="0.2">
      <c r="G4123" s="889"/>
    </row>
    <row r="4124" spans="7:7" ht="10.5" customHeight="1" x14ac:dyDescent="0.2">
      <c r="G4124" s="889"/>
    </row>
    <row r="4125" spans="7:7" ht="10.5" customHeight="1" x14ac:dyDescent="0.2">
      <c r="G4125" s="889"/>
    </row>
    <row r="4126" spans="7:7" ht="10.5" customHeight="1" x14ac:dyDescent="0.2">
      <c r="G4126" s="889"/>
    </row>
    <row r="4127" spans="7:7" ht="10.5" customHeight="1" x14ac:dyDescent="0.2">
      <c r="G4127" s="889"/>
    </row>
    <row r="4128" spans="7:7" ht="10.5" customHeight="1" x14ac:dyDescent="0.2">
      <c r="G4128" s="889"/>
    </row>
    <row r="4129" spans="7:7" ht="10.5" customHeight="1" x14ac:dyDescent="0.2">
      <c r="G4129" s="889"/>
    </row>
    <row r="4130" spans="7:7" ht="10.5" customHeight="1" x14ac:dyDescent="0.2">
      <c r="G4130" s="889"/>
    </row>
    <row r="4131" spans="7:7" ht="10.5" customHeight="1" x14ac:dyDescent="0.2">
      <c r="G4131" s="889"/>
    </row>
    <row r="4132" spans="7:7" ht="10.5" customHeight="1" x14ac:dyDescent="0.2">
      <c r="G4132" s="889"/>
    </row>
    <row r="4133" spans="7:7" ht="10.5" customHeight="1" x14ac:dyDescent="0.2">
      <c r="G4133" s="889"/>
    </row>
    <row r="4134" spans="7:7" ht="10.5" customHeight="1" x14ac:dyDescent="0.2">
      <c r="G4134" s="889"/>
    </row>
    <row r="4135" spans="7:7" ht="10.5" customHeight="1" x14ac:dyDescent="0.2">
      <c r="G4135" s="889"/>
    </row>
    <row r="4136" spans="7:7" ht="10.5" customHeight="1" x14ac:dyDescent="0.2">
      <c r="G4136" s="889"/>
    </row>
    <row r="4137" spans="7:7" ht="10.5" customHeight="1" x14ac:dyDescent="0.2">
      <c r="G4137" s="889"/>
    </row>
    <row r="4138" spans="7:7" ht="10.5" customHeight="1" x14ac:dyDescent="0.2">
      <c r="G4138" s="889"/>
    </row>
    <row r="4139" spans="7:7" ht="10.5" customHeight="1" x14ac:dyDescent="0.2">
      <c r="G4139" s="889"/>
    </row>
    <row r="4140" spans="7:7" ht="10.5" customHeight="1" x14ac:dyDescent="0.2">
      <c r="G4140" s="889"/>
    </row>
    <row r="4141" spans="7:7" ht="10.5" customHeight="1" x14ac:dyDescent="0.2">
      <c r="G4141" s="889"/>
    </row>
    <row r="4142" spans="7:7" ht="10.5" customHeight="1" x14ac:dyDescent="0.2">
      <c r="G4142" s="889"/>
    </row>
    <row r="4143" spans="7:7" ht="10.5" customHeight="1" x14ac:dyDescent="0.2">
      <c r="G4143" s="889"/>
    </row>
    <row r="4144" spans="7:7" ht="10.5" customHeight="1" x14ac:dyDescent="0.2">
      <c r="G4144" s="889"/>
    </row>
    <row r="4145" spans="7:7" ht="10.5" customHeight="1" x14ac:dyDescent="0.2">
      <c r="G4145" s="889"/>
    </row>
    <row r="4146" spans="7:7" ht="10.5" customHeight="1" x14ac:dyDescent="0.2">
      <c r="G4146" s="889"/>
    </row>
    <row r="4147" spans="7:7" ht="10.5" customHeight="1" x14ac:dyDescent="0.2">
      <c r="G4147" s="889"/>
    </row>
    <row r="4148" spans="7:7" ht="10.5" customHeight="1" x14ac:dyDescent="0.2">
      <c r="G4148" s="889"/>
    </row>
    <row r="4149" spans="7:7" ht="10.5" customHeight="1" x14ac:dyDescent="0.2">
      <c r="G4149" s="889"/>
    </row>
    <row r="4150" spans="7:7" ht="10.5" customHeight="1" x14ac:dyDescent="0.2">
      <c r="G4150" s="889"/>
    </row>
    <row r="4151" spans="7:7" ht="10.5" customHeight="1" x14ac:dyDescent="0.2">
      <c r="G4151" s="889"/>
    </row>
    <row r="4152" spans="7:7" ht="10.5" customHeight="1" x14ac:dyDescent="0.2">
      <c r="G4152" s="889"/>
    </row>
    <row r="4153" spans="7:7" ht="10.5" customHeight="1" x14ac:dyDescent="0.2">
      <c r="G4153" s="889"/>
    </row>
    <row r="4154" spans="7:7" ht="10.5" customHeight="1" x14ac:dyDescent="0.2">
      <c r="G4154" s="889"/>
    </row>
    <row r="4155" spans="7:7" ht="10.5" customHeight="1" x14ac:dyDescent="0.2">
      <c r="G4155" s="889"/>
    </row>
    <row r="4156" spans="7:7" ht="10.5" customHeight="1" x14ac:dyDescent="0.2">
      <c r="G4156" s="889"/>
    </row>
    <row r="4157" spans="7:7" ht="10.5" customHeight="1" x14ac:dyDescent="0.2">
      <c r="G4157" s="889"/>
    </row>
    <row r="4158" spans="7:7" ht="10.5" customHeight="1" x14ac:dyDescent="0.2">
      <c r="G4158" s="889"/>
    </row>
    <row r="4159" spans="7:7" ht="10.5" customHeight="1" x14ac:dyDescent="0.2">
      <c r="G4159" s="889"/>
    </row>
    <row r="4160" spans="7:7" ht="10.5" customHeight="1" x14ac:dyDescent="0.2">
      <c r="G4160" s="889"/>
    </row>
    <row r="4161" spans="7:7" ht="10.5" customHeight="1" x14ac:dyDescent="0.2">
      <c r="G4161" s="889"/>
    </row>
    <row r="4162" spans="7:7" ht="10.5" customHeight="1" x14ac:dyDescent="0.2">
      <c r="G4162" s="889"/>
    </row>
    <row r="4163" spans="7:7" ht="10.5" customHeight="1" x14ac:dyDescent="0.2">
      <c r="G4163" s="889"/>
    </row>
    <row r="4164" spans="7:7" ht="10.5" customHeight="1" x14ac:dyDescent="0.2">
      <c r="G4164" s="889"/>
    </row>
    <row r="4165" spans="7:7" ht="10.5" customHeight="1" x14ac:dyDescent="0.2">
      <c r="G4165" s="889"/>
    </row>
    <row r="4166" spans="7:7" ht="10.5" customHeight="1" x14ac:dyDescent="0.2">
      <c r="G4166" s="889"/>
    </row>
    <row r="4167" spans="7:7" ht="10.5" customHeight="1" x14ac:dyDescent="0.2">
      <c r="G4167" s="889"/>
    </row>
    <row r="4168" spans="7:7" ht="10.5" customHeight="1" x14ac:dyDescent="0.2">
      <c r="G4168" s="889"/>
    </row>
    <row r="4169" spans="7:7" ht="10.5" customHeight="1" x14ac:dyDescent="0.2">
      <c r="G4169" s="889"/>
    </row>
    <row r="4170" spans="7:7" ht="10.5" customHeight="1" x14ac:dyDescent="0.2">
      <c r="G4170" s="889"/>
    </row>
    <row r="4171" spans="7:7" ht="10.5" customHeight="1" x14ac:dyDescent="0.2">
      <c r="G4171" s="889"/>
    </row>
    <row r="4172" spans="7:7" ht="10.5" customHeight="1" x14ac:dyDescent="0.2">
      <c r="G4172" s="889"/>
    </row>
    <row r="4173" spans="7:7" ht="10.5" customHeight="1" x14ac:dyDescent="0.2">
      <c r="G4173" s="889"/>
    </row>
    <row r="4174" spans="7:7" ht="10.5" customHeight="1" x14ac:dyDescent="0.2">
      <c r="G4174" s="889"/>
    </row>
    <row r="4175" spans="7:7" ht="10.5" customHeight="1" x14ac:dyDescent="0.2">
      <c r="G4175" s="889"/>
    </row>
    <row r="4176" spans="7:7" ht="10.5" customHeight="1" x14ac:dyDescent="0.2">
      <c r="G4176" s="889"/>
    </row>
    <row r="4177" spans="7:7" ht="10.5" customHeight="1" x14ac:dyDescent="0.2">
      <c r="G4177" s="889"/>
    </row>
    <row r="4178" spans="7:7" ht="10.5" customHeight="1" x14ac:dyDescent="0.2">
      <c r="G4178" s="889"/>
    </row>
    <row r="4179" spans="7:7" ht="10.5" customHeight="1" x14ac:dyDescent="0.2">
      <c r="G4179" s="889"/>
    </row>
    <row r="4180" spans="7:7" ht="10.5" customHeight="1" x14ac:dyDescent="0.2">
      <c r="G4180" s="889"/>
    </row>
    <row r="4181" spans="7:7" ht="10.5" customHeight="1" x14ac:dyDescent="0.2">
      <c r="G4181" s="889"/>
    </row>
    <row r="4182" spans="7:7" ht="10.5" customHeight="1" x14ac:dyDescent="0.2">
      <c r="G4182" s="889"/>
    </row>
    <row r="4183" spans="7:7" ht="10.5" customHeight="1" x14ac:dyDescent="0.2">
      <c r="G4183" s="889"/>
    </row>
    <row r="4184" spans="7:7" ht="10.5" customHeight="1" x14ac:dyDescent="0.2">
      <c r="G4184" s="889"/>
    </row>
    <row r="4185" spans="7:7" ht="10.5" customHeight="1" x14ac:dyDescent="0.2">
      <c r="G4185" s="889"/>
    </row>
    <row r="4186" spans="7:7" ht="10.5" customHeight="1" x14ac:dyDescent="0.2">
      <c r="G4186" s="889"/>
    </row>
    <row r="4187" spans="7:7" ht="10.5" customHeight="1" x14ac:dyDescent="0.2">
      <c r="G4187" s="889"/>
    </row>
    <row r="4188" spans="7:7" ht="10.5" customHeight="1" x14ac:dyDescent="0.2">
      <c r="G4188" s="889"/>
    </row>
    <row r="4189" spans="7:7" ht="10.5" customHeight="1" x14ac:dyDescent="0.2">
      <c r="G4189" s="889"/>
    </row>
    <row r="4190" spans="7:7" ht="10.5" customHeight="1" x14ac:dyDescent="0.2">
      <c r="G4190" s="889"/>
    </row>
    <row r="4191" spans="7:7" ht="10.5" customHeight="1" x14ac:dyDescent="0.2">
      <c r="G4191" s="889"/>
    </row>
    <row r="4192" spans="7:7" ht="10.5" customHeight="1" x14ac:dyDescent="0.2">
      <c r="G4192" s="889"/>
    </row>
    <row r="4193" spans="7:7" ht="10.5" customHeight="1" x14ac:dyDescent="0.2">
      <c r="G4193" s="889"/>
    </row>
    <row r="4194" spans="7:7" ht="10.5" customHeight="1" x14ac:dyDescent="0.2">
      <c r="G4194" s="889"/>
    </row>
    <row r="4195" spans="7:7" ht="10.5" customHeight="1" x14ac:dyDescent="0.2">
      <c r="G4195" s="889"/>
    </row>
    <row r="4196" spans="7:7" ht="10.5" customHeight="1" x14ac:dyDescent="0.2">
      <c r="G4196" s="889"/>
    </row>
    <row r="4197" spans="7:7" ht="10.5" customHeight="1" x14ac:dyDescent="0.2">
      <c r="G4197" s="889"/>
    </row>
    <row r="4198" spans="7:7" ht="10.5" customHeight="1" x14ac:dyDescent="0.2">
      <c r="G4198" s="889"/>
    </row>
    <row r="4199" spans="7:7" ht="10.5" customHeight="1" x14ac:dyDescent="0.2">
      <c r="G4199" s="889"/>
    </row>
    <row r="4200" spans="7:7" ht="10.5" customHeight="1" x14ac:dyDescent="0.2">
      <c r="G4200" s="889"/>
    </row>
    <row r="4201" spans="7:7" ht="10.5" customHeight="1" x14ac:dyDescent="0.2">
      <c r="G4201" s="889"/>
    </row>
    <row r="4202" spans="7:7" ht="10.5" customHeight="1" x14ac:dyDescent="0.2">
      <c r="G4202" s="889"/>
    </row>
    <row r="4203" spans="7:7" ht="10.5" customHeight="1" x14ac:dyDescent="0.2">
      <c r="G4203" s="889"/>
    </row>
    <row r="4204" spans="7:7" ht="10.5" customHeight="1" x14ac:dyDescent="0.2">
      <c r="G4204" s="889"/>
    </row>
    <row r="4205" spans="7:7" ht="10.5" customHeight="1" x14ac:dyDescent="0.2">
      <c r="G4205" s="889"/>
    </row>
    <row r="4206" spans="7:7" ht="10.5" customHeight="1" x14ac:dyDescent="0.2">
      <c r="G4206" s="889"/>
    </row>
    <row r="4207" spans="7:7" ht="10.5" customHeight="1" x14ac:dyDescent="0.2">
      <c r="G4207" s="889"/>
    </row>
    <row r="4208" spans="7:7" ht="10.5" customHeight="1" x14ac:dyDescent="0.2">
      <c r="G4208" s="889"/>
    </row>
    <row r="4209" spans="7:7" ht="10.5" customHeight="1" x14ac:dyDescent="0.2">
      <c r="G4209" s="889"/>
    </row>
    <row r="4210" spans="7:7" ht="10.5" customHeight="1" x14ac:dyDescent="0.2">
      <c r="G4210" s="889"/>
    </row>
    <row r="4211" spans="7:7" ht="10.5" customHeight="1" x14ac:dyDescent="0.2">
      <c r="G4211" s="889"/>
    </row>
    <row r="4212" spans="7:7" ht="10.5" customHeight="1" x14ac:dyDescent="0.2">
      <c r="G4212" s="889"/>
    </row>
    <row r="4213" spans="7:7" ht="10.5" customHeight="1" x14ac:dyDescent="0.2">
      <c r="G4213" s="889"/>
    </row>
    <row r="4214" spans="7:7" ht="10.5" customHeight="1" x14ac:dyDescent="0.2">
      <c r="G4214" s="889"/>
    </row>
    <row r="4215" spans="7:7" ht="10.5" customHeight="1" x14ac:dyDescent="0.2">
      <c r="G4215" s="889"/>
    </row>
    <row r="4216" spans="7:7" ht="10.5" customHeight="1" x14ac:dyDescent="0.2">
      <c r="G4216" s="889"/>
    </row>
    <row r="4217" spans="7:7" ht="10.5" customHeight="1" x14ac:dyDescent="0.2">
      <c r="G4217" s="889"/>
    </row>
    <row r="4218" spans="7:7" ht="10.5" customHeight="1" x14ac:dyDescent="0.2">
      <c r="G4218" s="889"/>
    </row>
    <row r="4219" spans="7:7" ht="10.5" customHeight="1" x14ac:dyDescent="0.2">
      <c r="G4219" s="889"/>
    </row>
    <row r="4220" spans="7:7" ht="10.5" customHeight="1" x14ac:dyDescent="0.2">
      <c r="G4220" s="889"/>
    </row>
    <row r="4221" spans="7:7" ht="10.5" customHeight="1" x14ac:dyDescent="0.2">
      <c r="G4221" s="889"/>
    </row>
    <row r="4222" spans="7:7" ht="10.5" customHeight="1" x14ac:dyDescent="0.2">
      <c r="G4222" s="889"/>
    </row>
    <row r="4223" spans="7:7" ht="10.5" customHeight="1" x14ac:dyDescent="0.2">
      <c r="G4223" s="889"/>
    </row>
    <row r="4224" spans="7:7" ht="10.5" customHeight="1" x14ac:dyDescent="0.2">
      <c r="G4224" s="889"/>
    </row>
    <row r="4225" spans="7:7" ht="10.5" customHeight="1" x14ac:dyDescent="0.2">
      <c r="G4225" s="889"/>
    </row>
    <row r="4226" spans="7:7" ht="10.5" customHeight="1" x14ac:dyDescent="0.2">
      <c r="G4226" s="889"/>
    </row>
    <row r="4227" spans="7:7" ht="10.5" customHeight="1" x14ac:dyDescent="0.2">
      <c r="G4227" s="889"/>
    </row>
    <row r="4228" spans="7:7" ht="10.5" customHeight="1" x14ac:dyDescent="0.2">
      <c r="G4228" s="889"/>
    </row>
    <row r="4229" spans="7:7" ht="10.5" customHeight="1" x14ac:dyDescent="0.2">
      <c r="G4229" s="889"/>
    </row>
    <row r="4230" spans="7:7" ht="10.5" customHeight="1" x14ac:dyDescent="0.2">
      <c r="G4230" s="889"/>
    </row>
    <row r="4231" spans="7:7" ht="10.5" customHeight="1" x14ac:dyDescent="0.2">
      <c r="G4231" s="889"/>
    </row>
    <row r="4232" spans="7:7" ht="10.5" customHeight="1" x14ac:dyDescent="0.2">
      <c r="G4232" s="889"/>
    </row>
    <row r="4233" spans="7:7" ht="10.5" customHeight="1" x14ac:dyDescent="0.2">
      <c r="G4233" s="889"/>
    </row>
    <row r="4234" spans="7:7" ht="10.5" customHeight="1" x14ac:dyDescent="0.2">
      <c r="G4234" s="889"/>
    </row>
    <row r="4235" spans="7:7" ht="10.5" customHeight="1" x14ac:dyDescent="0.2">
      <c r="G4235" s="889"/>
    </row>
    <row r="4236" spans="7:7" ht="10.5" customHeight="1" x14ac:dyDescent="0.2">
      <c r="G4236" s="889"/>
    </row>
    <row r="4237" spans="7:7" ht="10.5" customHeight="1" x14ac:dyDescent="0.2">
      <c r="G4237" s="889"/>
    </row>
    <row r="4238" spans="7:7" ht="10.5" customHeight="1" x14ac:dyDescent="0.2">
      <c r="G4238" s="889"/>
    </row>
    <row r="4239" spans="7:7" ht="10.5" customHeight="1" x14ac:dyDescent="0.2">
      <c r="G4239" s="889"/>
    </row>
    <row r="4240" spans="7:7" ht="10.5" customHeight="1" x14ac:dyDescent="0.2">
      <c r="G4240" s="889"/>
    </row>
    <row r="4241" spans="7:7" ht="10.5" customHeight="1" x14ac:dyDescent="0.2">
      <c r="G4241" s="889"/>
    </row>
    <row r="4242" spans="7:7" ht="10.5" customHeight="1" x14ac:dyDescent="0.2">
      <c r="G4242" s="889"/>
    </row>
    <row r="4243" spans="7:7" ht="10.5" customHeight="1" x14ac:dyDescent="0.2">
      <c r="G4243" s="889"/>
    </row>
    <row r="4244" spans="7:7" ht="10.5" customHeight="1" x14ac:dyDescent="0.2">
      <c r="G4244" s="889"/>
    </row>
    <row r="4245" spans="7:7" ht="10.5" customHeight="1" x14ac:dyDescent="0.2">
      <c r="G4245" s="889"/>
    </row>
    <row r="4246" spans="7:7" ht="10.5" customHeight="1" x14ac:dyDescent="0.2">
      <c r="G4246" s="889"/>
    </row>
    <row r="4247" spans="7:7" ht="10.5" customHeight="1" x14ac:dyDescent="0.2">
      <c r="G4247" s="889"/>
    </row>
    <row r="4248" spans="7:7" ht="10.5" customHeight="1" x14ac:dyDescent="0.2">
      <c r="G4248" s="889"/>
    </row>
    <row r="4249" spans="7:7" ht="10.5" customHeight="1" x14ac:dyDescent="0.2">
      <c r="G4249" s="889"/>
    </row>
    <row r="4250" spans="7:7" ht="10.5" customHeight="1" x14ac:dyDescent="0.2">
      <c r="G4250" s="889"/>
    </row>
    <row r="4251" spans="7:7" ht="10.5" customHeight="1" x14ac:dyDescent="0.2">
      <c r="G4251" s="889"/>
    </row>
    <row r="4252" spans="7:7" ht="10.5" customHeight="1" x14ac:dyDescent="0.2">
      <c r="G4252" s="889"/>
    </row>
    <row r="4253" spans="7:7" ht="10.5" customHeight="1" x14ac:dyDescent="0.2">
      <c r="G4253" s="889"/>
    </row>
    <row r="4254" spans="7:7" ht="10.5" customHeight="1" x14ac:dyDescent="0.2">
      <c r="G4254" s="889"/>
    </row>
    <row r="4255" spans="7:7" ht="10.5" customHeight="1" x14ac:dyDescent="0.2">
      <c r="G4255" s="889"/>
    </row>
    <row r="4256" spans="7:7" ht="10.5" customHeight="1" x14ac:dyDescent="0.2">
      <c r="G4256" s="889"/>
    </row>
    <row r="4257" spans="7:7" ht="10.5" customHeight="1" x14ac:dyDescent="0.2">
      <c r="G4257" s="889"/>
    </row>
    <row r="4258" spans="7:7" ht="10.5" customHeight="1" x14ac:dyDescent="0.2">
      <c r="G4258" s="889"/>
    </row>
    <row r="4259" spans="7:7" ht="10.5" customHeight="1" x14ac:dyDescent="0.2">
      <c r="G4259" s="889"/>
    </row>
    <row r="4260" spans="7:7" ht="10.5" customHeight="1" x14ac:dyDescent="0.2">
      <c r="G4260" s="889"/>
    </row>
    <row r="4261" spans="7:7" ht="10.5" customHeight="1" x14ac:dyDescent="0.2">
      <c r="G4261" s="889"/>
    </row>
    <row r="4262" spans="7:7" ht="10.5" customHeight="1" x14ac:dyDescent="0.2">
      <c r="G4262" s="889"/>
    </row>
    <row r="4263" spans="7:7" ht="10.5" customHeight="1" x14ac:dyDescent="0.2">
      <c r="G4263" s="889"/>
    </row>
    <row r="4264" spans="7:7" ht="10.5" customHeight="1" x14ac:dyDescent="0.2">
      <c r="G4264" s="889"/>
    </row>
    <row r="4265" spans="7:7" ht="10.5" customHeight="1" x14ac:dyDescent="0.2">
      <c r="G4265" s="889"/>
    </row>
    <row r="4266" spans="7:7" ht="10.5" customHeight="1" x14ac:dyDescent="0.2">
      <c r="G4266" s="889"/>
    </row>
    <row r="4267" spans="7:7" ht="10.5" customHeight="1" x14ac:dyDescent="0.2">
      <c r="G4267" s="889"/>
    </row>
    <row r="4268" spans="7:7" ht="10.5" customHeight="1" x14ac:dyDescent="0.2">
      <c r="G4268" s="889"/>
    </row>
    <row r="4269" spans="7:7" ht="10.5" customHeight="1" x14ac:dyDescent="0.2">
      <c r="G4269" s="889"/>
    </row>
    <row r="4270" spans="7:7" ht="10.5" customHeight="1" x14ac:dyDescent="0.2">
      <c r="G4270" s="889"/>
    </row>
    <row r="4271" spans="7:7" ht="10.5" customHeight="1" x14ac:dyDescent="0.2">
      <c r="G4271" s="889"/>
    </row>
    <row r="4272" spans="7:7" ht="10.5" customHeight="1" x14ac:dyDescent="0.2">
      <c r="G4272" s="889"/>
    </row>
    <row r="4273" spans="7:7" ht="10.5" customHeight="1" x14ac:dyDescent="0.2">
      <c r="G4273" s="889"/>
    </row>
    <row r="4274" spans="7:7" ht="10.5" customHeight="1" x14ac:dyDescent="0.2">
      <c r="G4274" s="889"/>
    </row>
    <row r="4275" spans="7:7" ht="10.5" customHeight="1" x14ac:dyDescent="0.2">
      <c r="G4275" s="889"/>
    </row>
    <row r="4276" spans="7:7" ht="10.5" customHeight="1" x14ac:dyDescent="0.2">
      <c r="G4276" s="889"/>
    </row>
    <row r="4277" spans="7:7" ht="10.5" customHeight="1" x14ac:dyDescent="0.2">
      <c r="G4277" s="889"/>
    </row>
    <row r="4278" spans="7:7" ht="10.5" customHeight="1" x14ac:dyDescent="0.2">
      <c r="G4278" s="889"/>
    </row>
    <row r="4279" spans="7:7" ht="10.5" customHeight="1" x14ac:dyDescent="0.2">
      <c r="G4279" s="889"/>
    </row>
    <row r="4280" spans="7:7" ht="10.5" customHeight="1" x14ac:dyDescent="0.2">
      <c r="G4280" s="889"/>
    </row>
    <row r="4281" spans="7:7" ht="10.5" customHeight="1" x14ac:dyDescent="0.2">
      <c r="G4281" s="889"/>
    </row>
    <row r="4282" spans="7:7" ht="10.5" customHeight="1" x14ac:dyDescent="0.2">
      <c r="G4282" s="889"/>
    </row>
    <row r="4283" spans="7:7" ht="10.5" customHeight="1" x14ac:dyDescent="0.2">
      <c r="G4283" s="889"/>
    </row>
    <row r="4284" spans="7:7" ht="10.5" customHeight="1" x14ac:dyDescent="0.2">
      <c r="G4284" s="889"/>
    </row>
    <row r="4285" spans="7:7" ht="10.5" customHeight="1" x14ac:dyDescent="0.2">
      <c r="G4285" s="889"/>
    </row>
    <row r="4286" spans="7:7" ht="10.5" customHeight="1" x14ac:dyDescent="0.2">
      <c r="G4286" s="889"/>
    </row>
    <row r="4287" spans="7:7" ht="10.5" customHeight="1" x14ac:dyDescent="0.2">
      <c r="G4287" s="889"/>
    </row>
    <row r="4288" spans="7:7" ht="10.5" customHeight="1" x14ac:dyDescent="0.2">
      <c r="G4288" s="889"/>
    </row>
    <row r="4289" spans="7:7" ht="10.5" customHeight="1" x14ac:dyDescent="0.2">
      <c r="G4289" s="889"/>
    </row>
    <row r="4290" spans="7:7" ht="10.5" customHeight="1" x14ac:dyDescent="0.2">
      <c r="G4290" s="889"/>
    </row>
    <row r="4291" spans="7:7" ht="10.5" customHeight="1" x14ac:dyDescent="0.2">
      <c r="G4291" s="889"/>
    </row>
    <row r="4292" spans="7:7" ht="10.5" customHeight="1" x14ac:dyDescent="0.2">
      <c r="G4292" s="889"/>
    </row>
    <row r="4293" spans="7:7" ht="10.5" customHeight="1" x14ac:dyDescent="0.2">
      <c r="G4293" s="889"/>
    </row>
    <row r="4294" spans="7:7" ht="10.5" customHeight="1" x14ac:dyDescent="0.2">
      <c r="G4294" s="889"/>
    </row>
    <row r="4295" spans="7:7" ht="10.5" customHeight="1" x14ac:dyDescent="0.2">
      <c r="G4295" s="889"/>
    </row>
    <row r="4296" spans="7:7" ht="10.5" customHeight="1" x14ac:dyDescent="0.2">
      <c r="G4296" s="889"/>
    </row>
    <row r="4297" spans="7:7" ht="10.5" customHeight="1" x14ac:dyDescent="0.2">
      <c r="G4297" s="889"/>
    </row>
    <row r="4298" spans="7:7" ht="10.5" customHeight="1" x14ac:dyDescent="0.2">
      <c r="G4298" s="889"/>
    </row>
    <row r="4299" spans="7:7" ht="10.5" customHeight="1" x14ac:dyDescent="0.2">
      <c r="G4299" s="889"/>
    </row>
    <row r="4300" spans="7:7" ht="10.5" customHeight="1" x14ac:dyDescent="0.2">
      <c r="G4300" s="889"/>
    </row>
    <row r="4301" spans="7:7" ht="10.5" customHeight="1" x14ac:dyDescent="0.2">
      <c r="G4301" s="889"/>
    </row>
    <row r="4302" spans="7:7" ht="10.5" customHeight="1" x14ac:dyDescent="0.2">
      <c r="G4302" s="889"/>
    </row>
    <row r="4303" spans="7:7" ht="10.5" customHeight="1" x14ac:dyDescent="0.2">
      <c r="G4303" s="889"/>
    </row>
    <row r="4304" spans="7:7" ht="10.5" customHeight="1" x14ac:dyDescent="0.2">
      <c r="G4304" s="889"/>
    </row>
    <row r="4305" spans="7:7" ht="10.5" customHeight="1" x14ac:dyDescent="0.2">
      <c r="G4305" s="889"/>
    </row>
    <row r="4306" spans="7:7" ht="10.5" customHeight="1" x14ac:dyDescent="0.2">
      <c r="G4306" s="889"/>
    </row>
    <row r="4307" spans="7:7" ht="10.5" customHeight="1" x14ac:dyDescent="0.2">
      <c r="G4307" s="889"/>
    </row>
    <row r="4308" spans="7:7" ht="10.5" customHeight="1" x14ac:dyDescent="0.2">
      <c r="G4308" s="889"/>
    </row>
    <row r="4309" spans="7:7" ht="10.5" customHeight="1" x14ac:dyDescent="0.2">
      <c r="G4309" s="889"/>
    </row>
    <row r="4310" spans="7:7" ht="10.5" customHeight="1" x14ac:dyDescent="0.2">
      <c r="G4310" s="889"/>
    </row>
    <row r="4311" spans="7:7" ht="10.5" customHeight="1" x14ac:dyDescent="0.2">
      <c r="G4311" s="889"/>
    </row>
    <row r="4312" spans="7:7" ht="10.5" customHeight="1" x14ac:dyDescent="0.2">
      <c r="G4312" s="889"/>
    </row>
    <row r="4313" spans="7:7" ht="10.5" customHeight="1" x14ac:dyDescent="0.2">
      <c r="G4313" s="889"/>
    </row>
    <row r="4314" spans="7:7" ht="10.5" customHeight="1" x14ac:dyDescent="0.2">
      <c r="G4314" s="889"/>
    </row>
    <row r="4315" spans="7:7" ht="10.5" customHeight="1" x14ac:dyDescent="0.2">
      <c r="G4315" s="889"/>
    </row>
    <row r="4316" spans="7:7" ht="10.5" customHeight="1" x14ac:dyDescent="0.2">
      <c r="G4316" s="889"/>
    </row>
    <row r="4317" spans="7:7" ht="10.5" customHeight="1" x14ac:dyDescent="0.2">
      <c r="G4317" s="889"/>
    </row>
    <row r="4318" spans="7:7" ht="10.5" customHeight="1" x14ac:dyDescent="0.2">
      <c r="G4318" s="889"/>
    </row>
    <row r="4319" spans="7:7" ht="10.5" customHeight="1" x14ac:dyDescent="0.2">
      <c r="G4319" s="889"/>
    </row>
    <row r="4320" spans="7:7" ht="10.5" customHeight="1" x14ac:dyDescent="0.2">
      <c r="G4320" s="889"/>
    </row>
    <row r="4321" spans="7:7" ht="10.5" customHeight="1" x14ac:dyDescent="0.2">
      <c r="G4321" s="889"/>
    </row>
    <row r="4322" spans="7:7" ht="10.5" customHeight="1" x14ac:dyDescent="0.2">
      <c r="G4322" s="889"/>
    </row>
    <row r="4323" spans="7:7" ht="10.5" customHeight="1" x14ac:dyDescent="0.2">
      <c r="G4323" s="889"/>
    </row>
    <row r="4324" spans="7:7" ht="10.5" customHeight="1" x14ac:dyDescent="0.2">
      <c r="G4324" s="889"/>
    </row>
    <row r="4325" spans="7:7" ht="10.5" customHeight="1" x14ac:dyDescent="0.2">
      <c r="G4325" s="889"/>
    </row>
    <row r="4326" spans="7:7" ht="10.5" customHeight="1" x14ac:dyDescent="0.2">
      <c r="G4326" s="889"/>
    </row>
    <row r="4327" spans="7:7" ht="10.5" customHeight="1" x14ac:dyDescent="0.2">
      <c r="G4327" s="889"/>
    </row>
    <row r="4328" spans="7:7" ht="10.5" customHeight="1" x14ac:dyDescent="0.2">
      <c r="G4328" s="889"/>
    </row>
    <row r="4329" spans="7:7" ht="10.5" customHeight="1" x14ac:dyDescent="0.2">
      <c r="G4329" s="889"/>
    </row>
    <row r="4330" spans="7:7" ht="10.5" customHeight="1" x14ac:dyDescent="0.2">
      <c r="G4330" s="889"/>
    </row>
    <row r="4331" spans="7:7" ht="10.5" customHeight="1" x14ac:dyDescent="0.2">
      <c r="G4331" s="889"/>
    </row>
    <row r="4332" spans="7:7" ht="10.5" customHeight="1" x14ac:dyDescent="0.2">
      <c r="G4332" s="889"/>
    </row>
    <row r="4333" spans="7:7" ht="10.5" customHeight="1" x14ac:dyDescent="0.2">
      <c r="G4333" s="889"/>
    </row>
    <row r="4334" spans="7:7" ht="10.5" customHeight="1" x14ac:dyDescent="0.2">
      <c r="G4334" s="889"/>
    </row>
    <row r="4335" spans="7:7" ht="10.5" customHeight="1" x14ac:dyDescent="0.2">
      <c r="G4335" s="889"/>
    </row>
    <row r="4336" spans="7:7" ht="10.5" customHeight="1" x14ac:dyDescent="0.2">
      <c r="G4336" s="889"/>
    </row>
    <row r="4337" spans="7:7" ht="10.5" customHeight="1" x14ac:dyDescent="0.2">
      <c r="G4337" s="889"/>
    </row>
    <row r="4338" spans="7:7" ht="10.5" customHeight="1" x14ac:dyDescent="0.2">
      <c r="G4338" s="889"/>
    </row>
    <row r="4339" spans="7:7" ht="10.5" customHeight="1" x14ac:dyDescent="0.2">
      <c r="G4339" s="889"/>
    </row>
    <row r="4340" spans="7:7" ht="10.5" customHeight="1" x14ac:dyDescent="0.2">
      <c r="G4340" s="889"/>
    </row>
    <row r="4341" spans="7:7" ht="10.5" customHeight="1" x14ac:dyDescent="0.2">
      <c r="G4341" s="889"/>
    </row>
    <row r="4342" spans="7:7" ht="10.5" customHeight="1" x14ac:dyDescent="0.2">
      <c r="G4342" s="889"/>
    </row>
    <row r="4343" spans="7:7" ht="10.5" customHeight="1" x14ac:dyDescent="0.2">
      <c r="G4343" s="889"/>
    </row>
    <row r="4344" spans="7:7" ht="10.5" customHeight="1" x14ac:dyDescent="0.2">
      <c r="G4344" s="889"/>
    </row>
    <row r="4345" spans="7:7" ht="10.5" customHeight="1" x14ac:dyDescent="0.2">
      <c r="G4345" s="889"/>
    </row>
    <row r="4346" spans="7:7" ht="10.5" customHeight="1" x14ac:dyDescent="0.2">
      <c r="G4346" s="889"/>
    </row>
    <row r="4347" spans="7:7" ht="10.5" customHeight="1" x14ac:dyDescent="0.2">
      <c r="G4347" s="889"/>
    </row>
    <row r="4348" spans="7:7" ht="10.5" customHeight="1" x14ac:dyDescent="0.2">
      <c r="G4348" s="889"/>
    </row>
    <row r="4349" spans="7:7" ht="10.5" customHeight="1" x14ac:dyDescent="0.2">
      <c r="G4349" s="889"/>
    </row>
    <row r="4350" spans="7:7" ht="10.5" customHeight="1" x14ac:dyDescent="0.2">
      <c r="G4350" s="889"/>
    </row>
    <row r="4351" spans="7:7" ht="10.5" customHeight="1" x14ac:dyDescent="0.2">
      <c r="G4351" s="889"/>
    </row>
    <row r="4352" spans="7:7" ht="10.5" customHeight="1" x14ac:dyDescent="0.2">
      <c r="G4352" s="889"/>
    </row>
    <row r="4353" spans="7:7" ht="10.5" customHeight="1" x14ac:dyDescent="0.2">
      <c r="G4353" s="889"/>
    </row>
    <row r="4354" spans="7:7" ht="10.5" customHeight="1" x14ac:dyDescent="0.2">
      <c r="G4354" s="889"/>
    </row>
    <row r="4355" spans="7:7" ht="10.5" customHeight="1" x14ac:dyDescent="0.2">
      <c r="G4355" s="889"/>
    </row>
    <row r="4356" spans="7:7" ht="10.5" customHeight="1" x14ac:dyDescent="0.2">
      <c r="G4356" s="889"/>
    </row>
    <row r="4357" spans="7:7" ht="10.5" customHeight="1" x14ac:dyDescent="0.2">
      <c r="G4357" s="889"/>
    </row>
    <row r="4358" spans="7:7" ht="10.5" customHeight="1" x14ac:dyDescent="0.2">
      <c r="G4358" s="889"/>
    </row>
    <row r="4359" spans="7:7" ht="10.5" customHeight="1" x14ac:dyDescent="0.2">
      <c r="G4359" s="889"/>
    </row>
    <row r="4360" spans="7:7" ht="10.5" customHeight="1" x14ac:dyDescent="0.2">
      <c r="G4360" s="889"/>
    </row>
    <row r="4361" spans="7:7" ht="10.5" customHeight="1" x14ac:dyDescent="0.2">
      <c r="G4361" s="889"/>
    </row>
    <row r="4362" spans="7:7" ht="10.5" customHeight="1" x14ac:dyDescent="0.2">
      <c r="G4362" s="889"/>
    </row>
    <row r="4363" spans="7:7" ht="10.5" customHeight="1" x14ac:dyDescent="0.2">
      <c r="G4363" s="889"/>
    </row>
    <row r="4364" spans="7:7" ht="10.5" customHeight="1" x14ac:dyDescent="0.2">
      <c r="G4364" s="889"/>
    </row>
    <row r="4365" spans="7:7" ht="10.5" customHeight="1" x14ac:dyDescent="0.2">
      <c r="G4365" s="889"/>
    </row>
    <row r="4366" spans="7:7" ht="10.5" customHeight="1" x14ac:dyDescent="0.2">
      <c r="G4366" s="889"/>
    </row>
    <row r="4367" spans="7:7" ht="10.5" customHeight="1" x14ac:dyDescent="0.2">
      <c r="G4367" s="889"/>
    </row>
    <row r="4368" spans="7:7" ht="10.5" customHeight="1" x14ac:dyDescent="0.2">
      <c r="G4368" s="889"/>
    </row>
    <row r="4369" spans="7:7" ht="10.5" customHeight="1" x14ac:dyDescent="0.2">
      <c r="G4369" s="889"/>
    </row>
    <row r="4370" spans="7:7" ht="10.5" customHeight="1" x14ac:dyDescent="0.2">
      <c r="G4370" s="889"/>
    </row>
    <row r="4371" spans="7:7" ht="10.5" customHeight="1" x14ac:dyDescent="0.2">
      <c r="G4371" s="889"/>
    </row>
    <row r="4372" spans="7:7" ht="10.5" customHeight="1" x14ac:dyDescent="0.2">
      <c r="G4372" s="889"/>
    </row>
    <row r="4373" spans="7:7" ht="10.5" customHeight="1" x14ac:dyDescent="0.2">
      <c r="G4373" s="889"/>
    </row>
    <row r="4374" spans="7:7" ht="10.5" customHeight="1" x14ac:dyDescent="0.2">
      <c r="G4374" s="889"/>
    </row>
    <row r="4375" spans="7:7" ht="10.5" customHeight="1" x14ac:dyDescent="0.2">
      <c r="G4375" s="889"/>
    </row>
    <row r="4376" spans="7:7" ht="10.5" customHeight="1" x14ac:dyDescent="0.2">
      <c r="G4376" s="889"/>
    </row>
    <row r="4377" spans="7:7" ht="10.5" customHeight="1" x14ac:dyDescent="0.2">
      <c r="G4377" s="889"/>
    </row>
    <row r="4378" spans="7:7" ht="10.5" customHeight="1" x14ac:dyDescent="0.2">
      <c r="G4378" s="889"/>
    </row>
    <row r="4379" spans="7:7" ht="10.5" customHeight="1" x14ac:dyDescent="0.2">
      <c r="G4379" s="889"/>
    </row>
    <row r="4380" spans="7:7" ht="10.5" customHeight="1" x14ac:dyDescent="0.2">
      <c r="G4380" s="889"/>
    </row>
    <row r="4381" spans="7:7" ht="10.5" customHeight="1" x14ac:dyDescent="0.2">
      <c r="G4381" s="889"/>
    </row>
    <row r="4382" spans="7:7" ht="10.5" customHeight="1" x14ac:dyDescent="0.2">
      <c r="G4382" s="889"/>
    </row>
    <row r="4383" spans="7:7" ht="10.5" customHeight="1" x14ac:dyDescent="0.2">
      <c r="G4383" s="889"/>
    </row>
    <row r="4384" spans="7:7" ht="10.5" customHeight="1" x14ac:dyDescent="0.2">
      <c r="G4384" s="889"/>
    </row>
    <row r="4385" spans="7:7" ht="10.5" customHeight="1" x14ac:dyDescent="0.2">
      <c r="G4385" s="889"/>
    </row>
    <row r="4386" spans="7:7" ht="10.5" customHeight="1" x14ac:dyDescent="0.2">
      <c r="G4386" s="889"/>
    </row>
    <row r="4387" spans="7:7" ht="10.5" customHeight="1" x14ac:dyDescent="0.2">
      <c r="G4387" s="889"/>
    </row>
    <row r="4388" spans="7:7" ht="10.5" customHeight="1" x14ac:dyDescent="0.2">
      <c r="G4388" s="889"/>
    </row>
    <row r="4389" spans="7:7" ht="10.5" customHeight="1" x14ac:dyDescent="0.2">
      <c r="G4389" s="889"/>
    </row>
    <row r="4390" spans="7:7" ht="10.5" customHeight="1" x14ac:dyDescent="0.2">
      <c r="G4390" s="889"/>
    </row>
    <row r="4391" spans="7:7" ht="10.5" customHeight="1" x14ac:dyDescent="0.2">
      <c r="G4391" s="889"/>
    </row>
    <row r="4392" spans="7:7" ht="10.5" customHeight="1" x14ac:dyDescent="0.2">
      <c r="G4392" s="889"/>
    </row>
    <row r="4393" spans="7:7" ht="10.5" customHeight="1" x14ac:dyDescent="0.2">
      <c r="G4393" s="889"/>
    </row>
    <row r="4394" spans="7:7" ht="10.5" customHeight="1" x14ac:dyDescent="0.2">
      <c r="G4394" s="889"/>
    </row>
    <row r="4395" spans="7:7" ht="10.5" customHeight="1" x14ac:dyDescent="0.2">
      <c r="G4395" s="889"/>
    </row>
    <row r="4396" spans="7:7" ht="10.5" customHeight="1" x14ac:dyDescent="0.2">
      <c r="G4396" s="889"/>
    </row>
    <row r="4397" spans="7:7" ht="10.5" customHeight="1" x14ac:dyDescent="0.2">
      <c r="G4397" s="889"/>
    </row>
    <row r="4398" spans="7:7" ht="10.5" customHeight="1" x14ac:dyDescent="0.2">
      <c r="G4398" s="889"/>
    </row>
    <row r="4399" spans="7:7" ht="10.5" customHeight="1" x14ac:dyDescent="0.2">
      <c r="G4399" s="889"/>
    </row>
    <row r="4400" spans="7:7" ht="10.5" customHeight="1" x14ac:dyDescent="0.2">
      <c r="G4400" s="889"/>
    </row>
    <row r="4401" spans="7:7" ht="10.5" customHeight="1" x14ac:dyDescent="0.2">
      <c r="G4401" s="889"/>
    </row>
    <row r="4402" spans="7:7" ht="10.5" customHeight="1" x14ac:dyDescent="0.2">
      <c r="G4402" s="889"/>
    </row>
    <row r="4403" spans="7:7" ht="10.5" customHeight="1" x14ac:dyDescent="0.2">
      <c r="G4403" s="889"/>
    </row>
    <row r="4404" spans="7:7" ht="10.5" customHeight="1" x14ac:dyDescent="0.2">
      <c r="G4404" s="889"/>
    </row>
    <row r="4405" spans="7:7" ht="10.5" customHeight="1" x14ac:dyDescent="0.2">
      <c r="G4405" s="889"/>
    </row>
    <row r="4406" spans="7:7" ht="10.5" customHeight="1" x14ac:dyDescent="0.2">
      <c r="G4406" s="889"/>
    </row>
    <row r="4407" spans="7:7" ht="10.5" customHeight="1" x14ac:dyDescent="0.2">
      <c r="G4407" s="889"/>
    </row>
    <row r="4408" spans="7:7" ht="10.5" customHeight="1" x14ac:dyDescent="0.2">
      <c r="G4408" s="889"/>
    </row>
    <row r="4409" spans="7:7" ht="10.5" customHeight="1" x14ac:dyDescent="0.2">
      <c r="G4409" s="889"/>
    </row>
    <row r="4410" spans="7:7" ht="10.5" customHeight="1" x14ac:dyDescent="0.2">
      <c r="G4410" s="889"/>
    </row>
    <row r="4411" spans="7:7" ht="10.5" customHeight="1" x14ac:dyDescent="0.2">
      <c r="G4411" s="889"/>
    </row>
    <row r="4412" spans="7:7" ht="10.5" customHeight="1" x14ac:dyDescent="0.2">
      <c r="G4412" s="889"/>
    </row>
    <row r="4413" spans="7:7" ht="10.5" customHeight="1" x14ac:dyDescent="0.2">
      <c r="G4413" s="889"/>
    </row>
    <row r="4414" spans="7:7" ht="10.5" customHeight="1" x14ac:dyDescent="0.2">
      <c r="G4414" s="889"/>
    </row>
    <row r="4415" spans="7:7" ht="10.5" customHeight="1" x14ac:dyDescent="0.2">
      <c r="G4415" s="889"/>
    </row>
    <row r="4416" spans="7:7" ht="10.5" customHeight="1" x14ac:dyDescent="0.2">
      <c r="G4416" s="889"/>
    </row>
    <row r="4417" spans="7:7" ht="10.5" customHeight="1" x14ac:dyDescent="0.2">
      <c r="G4417" s="889"/>
    </row>
    <row r="4418" spans="7:7" ht="10.5" customHeight="1" x14ac:dyDescent="0.2">
      <c r="G4418" s="889"/>
    </row>
    <row r="4419" spans="7:7" ht="10.5" customHeight="1" x14ac:dyDescent="0.2">
      <c r="G4419" s="889"/>
    </row>
    <row r="4420" spans="7:7" ht="10.5" customHeight="1" x14ac:dyDescent="0.2">
      <c r="G4420" s="889"/>
    </row>
    <row r="4421" spans="7:7" ht="10.5" customHeight="1" x14ac:dyDescent="0.2">
      <c r="G4421" s="889"/>
    </row>
    <row r="4422" spans="7:7" ht="10.5" customHeight="1" x14ac:dyDescent="0.2">
      <c r="G4422" s="889"/>
    </row>
    <row r="4423" spans="7:7" ht="10.5" customHeight="1" x14ac:dyDescent="0.2">
      <c r="G4423" s="889"/>
    </row>
    <row r="4424" spans="7:7" ht="10.5" customHeight="1" x14ac:dyDescent="0.2">
      <c r="G4424" s="889"/>
    </row>
    <row r="4425" spans="7:7" ht="10.5" customHeight="1" x14ac:dyDescent="0.2">
      <c r="G4425" s="889"/>
    </row>
    <row r="4426" spans="7:7" ht="10.5" customHeight="1" x14ac:dyDescent="0.2">
      <c r="G4426" s="889"/>
    </row>
    <row r="4427" spans="7:7" ht="10.5" customHeight="1" x14ac:dyDescent="0.2">
      <c r="G4427" s="889"/>
    </row>
    <row r="4428" spans="7:7" ht="10.5" customHeight="1" x14ac:dyDescent="0.2">
      <c r="G4428" s="889"/>
    </row>
    <row r="4429" spans="7:7" ht="10.5" customHeight="1" x14ac:dyDescent="0.2">
      <c r="G4429" s="889"/>
    </row>
    <row r="4430" spans="7:7" ht="10.5" customHeight="1" x14ac:dyDescent="0.2">
      <c r="G4430" s="889"/>
    </row>
    <row r="4431" spans="7:7" ht="10.5" customHeight="1" x14ac:dyDescent="0.2">
      <c r="G4431" s="889"/>
    </row>
    <row r="4432" spans="7:7" ht="10.5" customHeight="1" x14ac:dyDescent="0.2">
      <c r="G4432" s="889"/>
    </row>
    <row r="4433" spans="7:7" ht="10.5" customHeight="1" x14ac:dyDescent="0.2">
      <c r="G4433" s="889"/>
    </row>
    <row r="4434" spans="7:7" ht="10.5" customHeight="1" x14ac:dyDescent="0.2">
      <c r="G4434" s="889"/>
    </row>
    <row r="4435" spans="7:7" ht="10.5" customHeight="1" x14ac:dyDescent="0.2">
      <c r="G4435" s="889"/>
    </row>
    <row r="4436" spans="7:7" ht="10.5" customHeight="1" x14ac:dyDescent="0.2">
      <c r="G4436" s="889"/>
    </row>
    <row r="4437" spans="7:7" ht="10.5" customHeight="1" x14ac:dyDescent="0.2">
      <c r="G4437" s="889"/>
    </row>
    <row r="4438" spans="7:7" ht="10.5" customHeight="1" x14ac:dyDescent="0.2">
      <c r="G4438" s="889"/>
    </row>
    <row r="4439" spans="7:7" ht="10.5" customHeight="1" x14ac:dyDescent="0.2">
      <c r="G4439" s="889"/>
    </row>
    <row r="4440" spans="7:7" ht="10.5" customHeight="1" x14ac:dyDescent="0.2">
      <c r="G4440" s="889"/>
    </row>
    <row r="4441" spans="7:7" ht="10.5" customHeight="1" x14ac:dyDescent="0.2">
      <c r="G4441" s="889"/>
    </row>
    <row r="4442" spans="7:7" ht="10.5" customHeight="1" x14ac:dyDescent="0.2">
      <c r="G4442" s="889"/>
    </row>
    <row r="4443" spans="7:7" ht="10.5" customHeight="1" x14ac:dyDescent="0.2">
      <c r="G4443" s="889"/>
    </row>
    <row r="4444" spans="7:7" ht="10.5" customHeight="1" x14ac:dyDescent="0.2">
      <c r="G4444" s="889"/>
    </row>
    <row r="4445" spans="7:7" ht="10.5" customHeight="1" x14ac:dyDescent="0.2">
      <c r="G4445" s="889"/>
    </row>
    <row r="4446" spans="7:7" ht="10.5" customHeight="1" x14ac:dyDescent="0.2">
      <c r="G4446" s="889"/>
    </row>
    <row r="4447" spans="7:7" ht="10.5" customHeight="1" x14ac:dyDescent="0.2">
      <c r="G4447" s="889"/>
    </row>
    <row r="4448" spans="7:7" ht="10.5" customHeight="1" x14ac:dyDescent="0.2">
      <c r="G4448" s="889"/>
    </row>
    <row r="4449" spans="7:7" ht="10.5" customHeight="1" x14ac:dyDescent="0.2">
      <c r="G4449" s="889"/>
    </row>
    <row r="4450" spans="7:7" ht="10.5" customHeight="1" x14ac:dyDescent="0.2">
      <c r="G4450" s="889"/>
    </row>
    <row r="4451" spans="7:7" ht="10.5" customHeight="1" x14ac:dyDescent="0.2">
      <c r="G4451" s="889"/>
    </row>
    <row r="4452" spans="7:7" ht="10.5" customHeight="1" x14ac:dyDescent="0.2">
      <c r="G4452" s="889"/>
    </row>
    <row r="4453" spans="7:7" ht="10.5" customHeight="1" x14ac:dyDescent="0.2">
      <c r="G4453" s="889"/>
    </row>
    <row r="4454" spans="7:7" ht="10.5" customHeight="1" x14ac:dyDescent="0.2">
      <c r="G4454" s="889"/>
    </row>
    <row r="4455" spans="7:7" ht="10.5" customHeight="1" x14ac:dyDescent="0.2">
      <c r="G4455" s="889"/>
    </row>
    <row r="4456" spans="7:7" ht="10.5" customHeight="1" x14ac:dyDescent="0.2">
      <c r="G4456" s="889"/>
    </row>
    <row r="4457" spans="7:7" ht="10.5" customHeight="1" x14ac:dyDescent="0.2">
      <c r="G4457" s="889"/>
    </row>
    <row r="4458" spans="7:7" ht="10.5" customHeight="1" x14ac:dyDescent="0.2">
      <c r="G4458" s="889"/>
    </row>
    <row r="4459" spans="7:7" ht="10.5" customHeight="1" x14ac:dyDescent="0.2">
      <c r="G4459" s="889"/>
    </row>
    <row r="4460" spans="7:7" ht="10.5" customHeight="1" x14ac:dyDescent="0.2">
      <c r="G4460" s="889"/>
    </row>
    <row r="4461" spans="7:7" ht="10.5" customHeight="1" x14ac:dyDescent="0.2">
      <c r="G4461" s="889"/>
    </row>
    <row r="4462" spans="7:7" ht="10.5" customHeight="1" x14ac:dyDescent="0.2">
      <c r="G4462" s="889"/>
    </row>
    <row r="4463" spans="7:7" ht="10.5" customHeight="1" x14ac:dyDescent="0.2">
      <c r="G4463" s="889"/>
    </row>
    <row r="4464" spans="7:7" ht="10.5" customHeight="1" x14ac:dyDescent="0.2">
      <c r="G4464" s="889"/>
    </row>
    <row r="4465" spans="7:7" ht="10.5" customHeight="1" x14ac:dyDescent="0.2">
      <c r="G4465" s="889"/>
    </row>
    <row r="4466" spans="7:7" ht="10.5" customHeight="1" x14ac:dyDescent="0.2">
      <c r="G4466" s="889"/>
    </row>
    <row r="4467" spans="7:7" ht="10.5" customHeight="1" x14ac:dyDescent="0.2">
      <c r="G4467" s="889"/>
    </row>
    <row r="4468" spans="7:7" ht="10.5" customHeight="1" x14ac:dyDescent="0.2">
      <c r="G4468" s="889"/>
    </row>
    <row r="4469" spans="7:7" ht="10.5" customHeight="1" x14ac:dyDescent="0.2">
      <c r="G4469" s="889"/>
    </row>
    <row r="4470" spans="7:7" ht="10.5" customHeight="1" x14ac:dyDescent="0.2">
      <c r="G4470" s="889"/>
    </row>
    <row r="4471" spans="7:7" ht="10.5" customHeight="1" x14ac:dyDescent="0.2">
      <c r="G4471" s="889"/>
    </row>
    <row r="4472" spans="7:7" ht="10.5" customHeight="1" x14ac:dyDescent="0.2">
      <c r="G4472" s="889"/>
    </row>
    <row r="4473" spans="7:7" ht="10.5" customHeight="1" x14ac:dyDescent="0.2">
      <c r="G4473" s="889"/>
    </row>
    <row r="4474" spans="7:7" ht="10.5" customHeight="1" x14ac:dyDescent="0.2">
      <c r="G4474" s="889"/>
    </row>
    <row r="4475" spans="7:7" ht="10.5" customHeight="1" x14ac:dyDescent="0.2">
      <c r="G4475" s="889"/>
    </row>
    <row r="4476" spans="7:7" ht="10.5" customHeight="1" x14ac:dyDescent="0.2">
      <c r="G4476" s="889"/>
    </row>
    <row r="4477" spans="7:7" ht="10.5" customHeight="1" x14ac:dyDescent="0.2">
      <c r="G4477" s="889"/>
    </row>
    <row r="4478" spans="7:7" ht="10.5" customHeight="1" x14ac:dyDescent="0.2">
      <c r="G4478" s="889"/>
    </row>
    <row r="4479" spans="7:7" ht="10.5" customHeight="1" x14ac:dyDescent="0.2">
      <c r="G4479" s="889"/>
    </row>
    <row r="4480" spans="7:7" ht="10.5" customHeight="1" x14ac:dyDescent="0.2">
      <c r="G4480" s="889"/>
    </row>
    <row r="4481" spans="7:7" ht="10.5" customHeight="1" x14ac:dyDescent="0.2">
      <c r="G4481" s="889"/>
    </row>
    <row r="4482" spans="7:7" ht="10.5" customHeight="1" x14ac:dyDescent="0.2">
      <c r="G4482" s="889"/>
    </row>
    <row r="4483" spans="7:7" ht="10.5" customHeight="1" x14ac:dyDescent="0.2">
      <c r="G4483" s="889"/>
    </row>
    <row r="4484" spans="7:7" ht="10.5" customHeight="1" x14ac:dyDescent="0.2">
      <c r="G4484" s="889"/>
    </row>
    <row r="4485" spans="7:7" ht="10.5" customHeight="1" x14ac:dyDescent="0.2">
      <c r="G4485" s="889"/>
    </row>
    <row r="4486" spans="7:7" ht="10.5" customHeight="1" x14ac:dyDescent="0.2">
      <c r="G4486" s="889"/>
    </row>
    <row r="4487" spans="7:7" ht="10.5" customHeight="1" x14ac:dyDescent="0.2">
      <c r="G4487" s="889"/>
    </row>
    <row r="4488" spans="7:7" ht="10.5" customHeight="1" x14ac:dyDescent="0.2">
      <c r="G4488" s="889"/>
    </row>
    <row r="4489" spans="7:7" ht="10.5" customHeight="1" x14ac:dyDescent="0.2">
      <c r="G4489" s="889"/>
    </row>
    <row r="4490" spans="7:7" ht="10.5" customHeight="1" x14ac:dyDescent="0.2">
      <c r="G4490" s="889"/>
    </row>
    <row r="4491" spans="7:7" ht="10.5" customHeight="1" x14ac:dyDescent="0.2">
      <c r="G4491" s="889"/>
    </row>
    <row r="4492" spans="7:7" ht="10.5" customHeight="1" x14ac:dyDescent="0.2">
      <c r="G4492" s="889"/>
    </row>
    <row r="4493" spans="7:7" ht="10.5" customHeight="1" x14ac:dyDescent="0.2">
      <c r="G4493" s="889"/>
    </row>
    <row r="4494" spans="7:7" ht="10.5" customHeight="1" x14ac:dyDescent="0.2">
      <c r="G4494" s="889"/>
    </row>
    <row r="4495" spans="7:7" ht="10.5" customHeight="1" x14ac:dyDescent="0.2">
      <c r="G4495" s="889"/>
    </row>
    <row r="4496" spans="7:7" ht="10.5" customHeight="1" x14ac:dyDescent="0.2">
      <c r="G4496" s="889"/>
    </row>
    <row r="4497" spans="7:7" ht="10.5" customHeight="1" x14ac:dyDescent="0.2">
      <c r="G4497" s="889"/>
    </row>
    <row r="4498" spans="7:7" ht="10.5" customHeight="1" x14ac:dyDescent="0.2">
      <c r="G4498" s="889"/>
    </row>
    <row r="4499" spans="7:7" ht="10.5" customHeight="1" x14ac:dyDescent="0.2">
      <c r="G4499" s="889"/>
    </row>
    <row r="4500" spans="7:7" ht="10.5" customHeight="1" x14ac:dyDescent="0.2">
      <c r="G4500" s="889"/>
    </row>
    <row r="4501" spans="7:7" ht="10.5" customHeight="1" x14ac:dyDescent="0.2">
      <c r="G4501" s="889"/>
    </row>
    <row r="4502" spans="7:7" ht="10.5" customHeight="1" x14ac:dyDescent="0.2">
      <c r="G4502" s="889"/>
    </row>
    <row r="4503" spans="7:7" ht="10.5" customHeight="1" x14ac:dyDescent="0.2">
      <c r="G4503" s="889"/>
    </row>
    <row r="4504" spans="7:7" ht="10.5" customHeight="1" x14ac:dyDescent="0.2">
      <c r="G4504" s="889"/>
    </row>
    <row r="4505" spans="7:7" ht="10.5" customHeight="1" x14ac:dyDescent="0.2">
      <c r="G4505" s="889"/>
    </row>
    <row r="4506" spans="7:7" ht="10.5" customHeight="1" x14ac:dyDescent="0.2">
      <c r="G4506" s="889"/>
    </row>
    <row r="4507" spans="7:7" ht="10.5" customHeight="1" x14ac:dyDescent="0.2">
      <c r="G4507" s="889"/>
    </row>
    <row r="4508" spans="7:7" ht="10.5" customHeight="1" x14ac:dyDescent="0.2">
      <c r="G4508" s="889"/>
    </row>
    <row r="4509" spans="7:7" ht="10.5" customHeight="1" x14ac:dyDescent="0.2">
      <c r="G4509" s="889"/>
    </row>
    <row r="4510" spans="7:7" ht="10.5" customHeight="1" x14ac:dyDescent="0.2">
      <c r="G4510" s="889"/>
    </row>
    <row r="4511" spans="7:7" ht="10.5" customHeight="1" x14ac:dyDescent="0.2">
      <c r="G4511" s="889"/>
    </row>
    <row r="4512" spans="7:7" ht="10.5" customHeight="1" x14ac:dyDescent="0.2">
      <c r="G4512" s="889"/>
    </row>
    <row r="4513" spans="7:7" ht="10.5" customHeight="1" x14ac:dyDescent="0.2">
      <c r="G4513" s="889"/>
    </row>
    <row r="4514" spans="7:7" ht="10.5" customHeight="1" x14ac:dyDescent="0.2">
      <c r="G4514" s="889"/>
    </row>
    <row r="4515" spans="7:7" ht="10.5" customHeight="1" x14ac:dyDescent="0.2">
      <c r="G4515" s="889"/>
    </row>
    <row r="4516" spans="7:7" ht="10.5" customHeight="1" x14ac:dyDescent="0.2">
      <c r="G4516" s="889"/>
    </row>
    <row r="4517" spans="7:7" ht="10.5" customHeight="1" x14ac:dyDescent="0.2">
      <c r="G4517" s="889"/>
    </row>
    <row r="4518" spans="7:7" ht="10.5" customHeight="1" x14ac:dyDescent="0.2">
      <c r="G4518" s="889"/>
    </row>
    <row r="4519" spans="7:7" ht="10.5" customHeight="1" x14ac:dyDescent="0.2">
      <c r="G4519" s="889"/>
    </row>
    <row r="4520" spans="7:7" ht="10.5" customHeight="1" x14ac:dyDescent="0.2">
      <c r="G4520" s="889"/>
    </row>
    <row r="4521" spans="7:7" ht="10.5" customHeight="1" x14ac:dyDescent="0.2">
      <c r="G4521" s="889"/>
    </row>
    <row r="4522" spans="7:7" ht="10.5" customHeight="1" x14ac:dyDescent="0.2">
      <c r="G4522" s="889"/>
    </row>
    <row r="4523" spans="7:7" ht="10.5" customHeight="1" x14ac:dyDescent="0.2">
      <c r="G4523" s="889"/>
    </row>
    <row r="4524" spans="7:7" ht="10.5" customHeight="1" x14ac:dyDescent="0.2">
      <c r="G4524" s="889"/>
    </row>
    <row r="4525" spans="7:7" ht="10.5" customHeight="1" x14ac:dyDescent="0.2">
      <c r="G4525" s="889"/>
    </row>
    <row r="4526" spans="7:7" ht="10.5" customHeight="1" x14ac:dyDescent="0.2">
      <c r="G4526" s="889"/>
    </row>
    <row r="4527" spans="7:7" ht="10.5" customHeight="1" x14ac:dyDescent="0.2">
      <c r="G4527" s="889"/>
    </row>
    <row r="4528" spans="7:7" ht="10.5" customHeight="1" x14ac:dyDescent="0.2">
      <c r="G4528" s="889"/>
    </row>
    <row r="4529" spans="7:7" ht="10.5" customHeight="1" x14ac:dyDescent="0.2">
      <c r="G4529" s="889"/>
    </row>
    <row r="4530" spans="7:7" ht="10.5" customHeight="1" x14ac:dyDescent="0.2">
      <c r="G4530" s="889"/>
    </row>
    <row r="4531" spans="7:7" ht="10.5" customHeight="1" x14ac:dyDescent="0.2">
      <c r="G4531" s="889"/>
    </row>
    <row r="4532" spans="7:7" ht="10.5" customHeight="1" x14ac:dyDescent="0.2">
      <c r="G4532" s="889"/>
    </row>
    <row r="4533" spans="7:7" ht="10.5" customHeight="1" x14ac:dyDescent="0.2">
      <c r="G4533" s="889"/>
    </row>
    <row r="4534" spans="7:7" ht="10.5" customHeight="1" x14ac:dyDescent="0.2">
      <c r="G4534" s="889"/>
    </row>
    <row r="4535" spans="7:7" ht="10.5" customHeight="1" x14ac:dyDescent="0.2">
      <c r="G4535" s="889"/>
    </row>
    <row r="4536" spans="7:7" ht="10.5" customHeight="1" x14ac:dyDescent="0.2">
      <c r="G4536" s="889"/>
    </row>
    <row r="4537" spans="7:7" ht="10.5" customHeight="1" x14ac:dyDescent="0.2">
      <c r="G4537" s="889"/>
    </row>
    <row r="4538" spans="7:7" ht="10.5" customHeight="1" x14ac:dyDescent="0.2">
      <c r="G4538" s="889"/>
    </row>
    <row r="4539" spans="7:7" ht="10.5" customHeight="1" x14ac:dyDescent="0.2">
      <c r="G4539" s="889"/>
    </row>
    <row r="4540" spans="7:7" ht="10.5" customHeight="1" x14ac:dyDescent="0.2">
      <c r="G4540" s="889"/>
    </row>
    <row r="4541" spans="7:7" ht="10.5" customHeight="1" x14ac:dyDescent="0.2">
      <c r="G4541" s="889"/>
    </row>
    <row r="4542" spans="7:7" ht="10.5" customHeight="1" x14ac:dyDescent="0.2">
      <c r="G4542" s="889"/>
    </row>
    <row r="4543" spans="7:7" ht="10.5" customHeight="1" x14ac:dyDescent="0.2">
      <c r="G4543" s="889"/>
    </row>
    <row r="4544" spans="7:7" ht="10.5" customHeight="1" x14ac:dyDescent="0.2">
      <c r="G4544" s="889"/>
    </row>
    <row r="4545" spans="7:7" ht="10.5" customHeight="1" x14ac:dyDescent="0.2">
      <c r="G4545" s="889"/>
    </row>
    <row r="4546" spans="7:7" ht="10.5" customHeight="1" x14ac:dyDescent="0.2">
      <c r="G4546" s="889"/>
    </row>
    <row r="4547" spans="7:7" ht="10.5" customHeight="1" x14ac:dyDescent="0.2">
      <c r="G4547" s="889"/>
    </row>
    <row r="4548" spans="7:7" ht="10.5" customHeight="1" x14ac:dyDescent="0.2">
      <c r="G4548" s="889"/>
    </row>
    <row r="4549" spans="7:7" ht="10.5" customHeight="1" x14ac:dyDescent="0.2">
      <c r="G4549" s="889"/>
    </row>
    <row r="4550" spans="7:7" ht="10.5" customHeight="1" x14ac:dyDescent="0.2">
      <c r="G4550" s="889"/>
    </row>
    <row r="4551" spans="7:7" ht="10.5" customHeight="1" x14ac:dyDescent="0.2">
      <c r="G4551" s="889"/>
    </row>
    <row r="4552" spans="7:7" ht="10.5" customHeight="1" x14ac:dyDescent="0.2">
      <c r="G4552" s="889"/>
    </row>
    <row r="4553" spans="7:7" ht="10.5" customHeight="1" x14ac:dyDescent="0.2">
      <c r="G4553" s="889"/>
    </row>
    <row r="4554" spans="7:7" ht="10.5" customHeight="1" x14ac:dyDescent="0.2">
      <c r="G4554" s="889"/>
    </row>
    <row r="4555" spans="7:7" ht="10.5" customHeight="1" x14ac:dyDescent="0.2">
      <c r="G4555" s="889"/>
    </row>
    <row r="4556" spans="7:7" ht="10.5" customHeight="1" x14ac:dyDescent="0.2">
      <c r="G4556" s="889"/>
    </row>
    <row r="4557" spans="7:7" ht="10.5" customHeight="1" x14ac:dyDescent="0.2">
      <c r="G4557" s="889"/>
    </row>
    <row r="4558" spans="7:7" ht="10.5" customHeight="1" x14ac:dyDescent="0.2">
      <c r="G4558" s="889"/>
    </row>
    <row r="4559" spans="7:7" ht="10.5" customHeight="1" x14ac:dyDescent="0.2">
      <c r="G4559" s="889"/>
    </row>
    <row r="4560" spans="7:7" ht="10.5" customHeight="1" x14ac:dyDescent="0.2">
      <c r="G4560" s="889"/>
    </row>
    <row r="4561" spans="7:7" ht="10.5" customHeight="1" x14ac:dyDescent="0.2">
      <c r="G4561" s="889"/>
    </row>
    <row r="4562" spans="7:7" ht="10.5" customHeight="1" x14ac:dyDescent="0.2">
      <c r="G4562" s="889"/>
    </row>
    <row r="4563" spans="7:7" ht="10.5" customHeight="1" x14ac:dyDescent="0.2">
      <c r="G4563" s="889"/>
    </row>
    <row r="4564" spans="7:7" ht="10.5" customHeight="1" x14ac:dyDescent="0.2">
      <c r="G4564" s="889"/>
    </row>
    <row r="4565" spans="7:7" ht="10.5" customHeight="1" x14ac:dyDescent="0.2">
      <c r="G4565" s="889"/>
    </row>
    <row r="4566" spans="7:7" ht="10.5" customHeight="1" x14ac:dyDescent="0.2">
      <c r="G4566" s="889"/>
    </row>
    <row r="4567" spans="7:7" ht="10.5" customHeight="1" x14ac:dyDescent="0.2">
      <c r="G4567" s="889"/>
    </row>
    <row r="4568" spans="7:7" ht="10.5" customHeight="1" x14ac:dyDescent="0.2">
      <c r="G4568" s="889"/>
    </row>
    <row r="4569" spans="7:7" ht="10.5" customHeight="1" x14ac:dyDescent="0.2">
      <c r="G4569" s="889"/>
    </row>
    <row r="4570" spans="7:7" ht="10.5" customHeight="1" x14ac:dyDescent="0.2">
      <c r="G4570" s="889"/>
    </row>
    <row r="4571" spans="7:7" ht="10.5" customHeight="1" x14ac:dyDescent="0.2">
      <c r="G4571" s="889"/>
    </row>
    <row r="4572" spans="7:7" ht="10.5" customHeight="1" x14ac:dyDescent="0.2">
      <c r="G4572" s="889"/>
    </row>
    <row r="4573" spans="7:7" ht="10.5" customHeight="1" x14ac:dyDescent="0.2">
      <c r="G4573" s="889"/>
    </row>
    <row r="4574" spans="7:7" ht="10.5" customHeight="1" x14ac:dyDescent="0.2">
      <c r="G4574" s="889"/>
    </row>
    <row r="4575" spans="7:7" ht="10.5" customHeight="1" x14ac:dyDescent="0.2">
      <c r="G4575" s="889"/>
    </row>
    <row r="4576" spans="7:7" ht="10.5" customHeight="1" x14ac:dyDescent="0.2">
      <c r="G4576" s="889"/>
    </row>
    <row r="4577" spans="7:7" ht="10.5" customHeight="1" x14ac:dyDescent="0.2">
      <c r="G4577" s="889"/>
    </row>
    <row r="4578" spans="7:7" ht="10.5" customHeight="1" x14ac:dyDescent="0.2">
      <c r="G4578" s="889"/>
    </row>
    <row r="4579" spans="7:7" ht="10.5" customHeight="1" x14ac:dyDescent="0.2">
      <c r="G4579" s="889"/>
    </row>
    <row r="4580" spans="7:7" ht="10.5" customHeight="1" x14ac:dyDescent="0.2">
      <c r="G4580" s="889"/>
    </row>
    <row r="4581" spans="7:7" ht="10.5" customHeight="1" x14ac:dyDescent="0.2">
      <c r="G4581" s="889"/>
    </row>
    <row r="4582" spans="7:7" ht="10.5" customHeight="1" x14ac:dyDescent="0.2">
      <c r="G4582" s="889"/>
    </row>
    <row r="4583" spans="7:7" ht="10.5" customHeight="1" x14ac:dyDescent="0.2">
      <c r="G4583" s="889"/>
    </row>
    <row r="4584" spans="7:7" ht="10.5" customHeight="1" x14ac:dyDescent="0.2">
      <c r="G4584" s="889"/>
    </row>
    <row r="4585" spans="7:7" ht="10.5" customHeight="1" x14ac:dyDescent="0.2">
      <c r="G4585" s="889"/>
    </row>
    <row r="4586" spans="7:7" ht="10.5" customHeight="1" x14ac:dyDescent="0.2">
      <c r="G4586" s="889"/>
    </row>
    <row r="4587" spans="7:7" ht="10.5" customHeight="1" x14ac:dyDescent="0.2">
      <c r="G4587" s="889"/>
    </row>
    <row r="4588" spans="7:7" ht="10.5" customHeight="1" x14ac:dyDescent="0.2">
      <c r="G4588" s="889"/>
    </row>
    <row r="4589" spans="7:7" ht="10.5" customHeight="1" x14ac:dyDescent="0.2">
      <c r="G4589" s="889"/>
    </row>
    <row r="4590" spans="7:7" ht="10.5" customHeight="1" x14ac:dyDescent="0.2">
      <c r="G4590" s="889"/>
    </row>
    <row r="4591" spans="7:7" ht="10.5" customHeight="1" x14ac:dyDescent="0.2">
      <c r="G4591" s="889"/>
    </row>
    <row r="4592" spans="7:7" ht="10.5" customHeight="1" x14ac:dyDescent="0.2">
      <c r="G4592" s="889"/>
    </row>
    <row r="4593" spans="7:7" ht="10.5" customHeight="1" x14ac:dyDescent="0.2">
      <c r="G4593" s="889"/>
    </row>
    <row r="4594" spans="7:7" ht="10.5" customHeight="1" x14ac:dyDescent="0.2">
      <c r="G4594" s="889"/>
    </row>
    <row r="4595" spans="7:7" ht="10.5" customHeight="1" x14ac:dyDescent="0.2">
      <c r="G4595" s="889"/>
    </row>
    <row r="4596" spans="7:7" ht="10.5" customHeight="1" x14ac:dyDescent="0.2">
      <c r="G4596" s="889"/>
    </row>
    <row r="4597" spans="7:7" ht="10.5" customHeight="1" x14ac:dyDescent="0.2">
      <c r="G4597" s="889"/>
    </row>
    <row r="4598" spans="7:7" ht="10.5" customHeight="1" x14ac:dyDescent="0.2">
      <c r="G4598" s="889"/>
    </row>
    <row r="4599" spans="7:7" ht="10.5" customHeight="1" x14ac:dyDescent="0.2">
      <c r="G4599" s="889"/>
    </row>
    <row r="4600" spans="7:7" ht="10.5" customHeight="1" x14ac:dyDescent="0.2">
      <c r="G4600" s="889"/>
    </row>
    <row r="4601" spans="7:7" ht="10.5" customHeight="1" x14ac:dyDescent="0.2">
      <c r="G4601" s="889"/>
    </row>
    <row r="4602" spans="7:7" ht="10.5" customHeight="1" x14ac:dyDescent="0.2">
      <c r="G4602" s="889"/>
    </row>
    <row r="4603" spans="7:7" ht="10.5" customHeight="1" x14ac:dyDescent="0.2">
      <c r="G4603" s="889"/>
    </row>
    <row r="4604" spans="7:7" ht="10.5" customHeight="1" x14ac:dyDescent="0.2">
      <c r="G4604" s="889"/>
    </row>
    <row r="4605" spans="7:7" ht="10.5" customHeight="1" x14ac:dyDescent="0.2">
      <c r="G4605" s="889"/>
    </row>
    <row r="4606" spans="7:7" ht="10.5" customHeight="1" x14ac:dyDescent="0.2">
      <c r="G4606" s="889"/>
    </row>
    <row r="4607" spans="7:7" ht="10.5" customHeight="1" x14ac:dyDescent="0.2">
      <c r="G4607" s="889"/>
    </row>
    <row r="4608" spans="7:7" ht="10.5" customHeight="1" x14ac:dyDescent="0.2">
      <c r="G4608" s="889"/>
    </row>
    <row r="4609" spans="7:7" ht="10.5" customHeight="1" x14ac:dyDescent="0.2">
      <c r="G4609" s="889"/>
    </row>
    <row r="4610" spans="7:7" ht="10.5" customHeight="1" x14ac:dyDescent="0.2">
      <c r="G4610" s="889"/>
    </row>
    <row r="4611" spans="7:7" ht="10.5" customHeight="1" x14ac:dyDescent="0.2">
      <c r="G4611" s="889"/>
    </row>
    <row r="4612" spans="7:7" ht="10.5" customHeight="1" x14ac:dyDescent="0.2">
      <c r="G4612" s="889"/>
    </row>
    <row r="4613" spans="7:7" ht="10.5" customHeight="1" x14ac:dyDescent="0.2">
      <c r="G4613" s="889"/>
    </row>
    <row r="4614" spans="7:7" ht="10.5" customHeight="1" x14ac:dyDescent="0.2">
      <c r="G4614" s="889"/>
    </row>
    <row r="4615" spans="7:7" ht="10.5" customHeight="1" x14ac:dyDescent="0.2">
      <c r="G4615" s="889"/>
    </row>
    <row r="4616" spans="7:7" ht="10.5" customHeight="1" x14ac:dyDescent="0.2">
      <c r="G4616" s="889"/>
    </row>
    <row r="4617" spans="7:7" ht="10.5" customHeight="1" x14ac:dyDescent="0.2">
      <c r="G4617" s="889"/>
    </row>
    <row r="4618" spans="7:7" ht="10.5" customHeight="1" x14ac:dyDescent="0.2">
      <c r="G4618" s="889"/>
    </row>
    <row r="4619" spans="7:7" ht="10.5" customHeight="1" x14ac:dyDescent="0.2">
      <c r="G4619" s="889"/>
    </row>
    <row r="4620" spans="7:7" ht="10.5" customHeight="1" x14ac:dyDescent="0.2">
      <c r="G4620" s="889"/>
    </row>
    <row r="4621" spans="7:7" ht="10.5" customHeight="1" x14ac:dyDescent="0.2">
      <c r="G4621" s="889"/>
    </row>
    <row r="4622" spans="7:7" ht="10.5" customHeight="1" x14ac:dyDescent="0.2">
      <c r="G4622" s="889"/>
    </row>
    <row r="4623" spans="7:7" ht="10.5" customHeight="1" x14ac:dyDescent="0.2">
      <c r="G4623" s="889"/>
    </row>
    <row r="4624" spans="7:7" ht="10.5" customHeight="1" x14ac:dyDescent="0.2">
      <c r="G4624" s="889"/>
    </row>
    <row r="4625" spans="7:7" ht="10.5" customHeight="1" x14ac:dyDescent="0.2">
      <c r="G4625" s="889"/>
    </row>
    <row r="4626" spans="7:7" ht="10.5" customHeight="1" x14ac:dyDescent="0.2">
      <c r="G4626" s="889"/>
    </row>
    <row r="4627" spans="7:7" ht="10.5" customHeight="1" x14ac:dyDescent="0.2">
      <c r="G4627" s="889"/>
    </row>
    <row r="4628" spans="7:7" ht="10.5" customHeight="1" x14ac:dyDescent="0.2">
      <c r="G4628" s="889"/>
    </row>
    <row r="4629" spans="7:7" ht="10.5" customHeight="1" x14ac:dyDescent="0.2">
      <c r="G4629" s="889"/>
    </row>
    <row r="4630" spans="7:7" ht="10.5" customHeight="1" x14ac:dyDescent="0.2">
      <c r="G4630" s="889"/>
    </row>
    <row r="4631" spans="7:7" ht="10.5" customHeight="1" x14ac:dyDescent="0.2">
      <c r="G4631" s="889"/>
    </row>
    <row r="4632" spans="7:7" ht="10.5" customHeight="1" x14ac:dyDescent="0.2">
      <c r="G4632" s="889"/>
    </row>
    <row r="4633" spans="7:7" ht="10.5" customHeight="1" x14ac:dyDescent="0.2">
      <c r="G4633" s="889"/>
    </row>
    <row r="4634" spans="7:7" ht="10.5" customHeight="1" x14ac:dyDescent="0.2">
      <c r="G4634" s="889"/>
    </row>
    <row r="4635" spans="7:7" ht="10.5" customHeight="1" x14ac:dyDescent="0.2">
      <c r="G4635" s="889"/>
    </row>
    <row r="4636" spans="7:7" ht="10.5" customHeight="1" x14ac:dyDescent="0.2">
      <c r="G4636" s="889"/>
    </row>
    <row r="4637" spans="7:7" ht="10.5" customHeight="1" x14ac:dyDescent="0.2">
      <c r="G4637" s="889"/>
    </row>
    <row r="4638" spans="7:7" ht="10.5" customHeight="1" x14ac:dyDescent="0.2">
      <c r="G4638" s="889"/>
    </row>
    <row r="4639" spans="7:7" ht="10.5" customHeight="1" x14ac:dyDescent="0.2">
      <c r="G4639" s="889"/>
    </row>
    <row r="4640" spans="7:7" ht="10.5" customHeight="1" x14ac:dyDescent="0.2">
      <c r="G4640" s="889"/>
    </row>
    <row r="4641" spans="7:7" ht="10.5" customHeight="1" x14ac:dyDescent="0.2">
      <c r="G4641" s="889"/>
    </row>
    <row r="4642" spans="7:7" ht="10.5" customHeight="1" x14ac:dyDescent="0.2">
      <c r="G4642" s="889"/>
    </row>
    <row r="4643" spans="7:7" ht="10.5" customHeight="1" x14ac:dyDescent="0.2">
      <c r="G4643" s="889"/>
    </row>
    <row r="4644" spans="7:7" ht="10.5" customHeight="1" x14ac:dyDescent="0.2">
      <c r="G4644" s="889"/>
    </row>
    <row r="4645" spans="7:7" ht="10.5" customHeight="1" x14ac:dyDescent="0.2">
      <c r="G4645" s="889"/>
    </row>
    <row r="4646" spans="7:7" ht="10.5" customHeight="1" x14ac:dyDescent="0.2">
      <c r="G4646" s="889"/>
    </row>
    <row r="4647" spans="7:7" ht="10.5" customHeight="1" x14ac:dyDescent="0.2">
      <c r="G4647" s="889"/>
    </row>
    <row r="4648" spans="7:7" ht="10.5" customHeight="1" x14ac:dyDescent="0.2">
      <c r="G4648" s="889"/>
    </row>
    <row r="4649" spans="7:7" ht="10.5" customHeight="1" x14ac:dyDescent="0.2">
      <c r="G4649" s="889"/>
    </row>
    <row r="4650" spans="7:7" ht="10.5" customHeight="1" x14ac:dyDescent="0.2">
      <c r="G4650" s="889"/>
    </row>
    <row r="4651" spans="7:7" ht="10.5" customHeight="1" x14ac:dyDescent="0.2">
      <c r="G4651" s="889"/>
    </row>
    <row r="4652" spans="7:7" ht="10.5" customHeight="1" x14ac:dyDescent="0.2">
      <c r="G4652" s="889"/>
    </row>
    <row r="4653" spans="7:7" ht="10.5" customHeight="1" x14ac:dyDescent="0.2">
      <c r="G4653" s="889"/>
    </row>
    <row r="4654" spans="7:7" ht="10.5" customHeight="1" x14ac:dyDescent="0.2">
      <c r="G4654" s="889"/>
    </row>
    <row r="4655" spans="7:7" ht="10.5" customHeight="1" x14ac:dyDescent="0.2">
      <c r="G4655" s="889"/>
    </row>
    <row r="4656" spans="7:7" ht="10.5" customHeight="1" x14ac:dyDescent="0.2">
      <c r="G4656" s="889"/>
    </row>
    <row r="4657" spans="7:7" ht="10.5" customHeight="1" x14ac:dyDescent="0.2">
      <c r="G4657" s="889"/>
    </row>
    <row r="4658" spans="7:7" ht="10.5" customHeight="1" x14ac:dyDescent="0.2">
      <c r="G4658" s="889"/>
    </row>
    <row r="4659" spans="7:7" ht="10.5" customHeight="1" x14ac:dyDescent="0.2">
      <c r="G4659" s="889"/>
    </row>
    <row r="4660" spans="7:7" ht="10.5" customHeight="1" x14ac:dyDescent="0.2">
      <c r="G4660" s="889"/>
    </row>
    <row r="4661" spans="7:7" ht="10.5" customHeight="1" x14ac:dyDescent="0.2">
      <c r="G4661" s="889"/>
    </row>
    <row r="4662" spans="7:7" ht="10.5" customHeight="1" x14ac:dyDescent="0.2">
      <c r="G4662" s="889"/>
    </row>
    <row r="4663" spans="7:7" ht="10.5" customHeight="1" x14ac:dyDescent="0.2">
      <c r="G4663" s="889"/>
    </row>
    <row r="4664" spans="7:7" ht="10.5" customHeight="1" x14ac:dyDescent="0.2">
      <c r="G4664" s="889"/>
    </row>
    <row r="4665" spans="7:7" ht="10.5" customHeight="1" x14ac:dyDescent="0.2">
      <c r="G4665" s="889"/>
    </row>
    <row r="4666" spans="7:7" ht="10.5" customHeight="1" x14ac:dyDescent="0.2">
      <c r="G4666" s="889"/>
    </row>
    <row r="4667" spans="7:7" ht="10.5" customHeight="1" x14ac:dyDescent="0.2">
      <c r="G4667" s="889"/>
    </row>
    <row r="4668" spans="7:7" ht="10.5" customHeight="1" x14ac:dyDescent="0.2">
      <c r="G4668" s="889"/>
    </row>
    <row r="4669" spans="7:7" ht="10.5" customHeight="1" x14ac:dyDescent="0.2">
      <c r="G4669" s="889"/>
    </row>
    <row r="4670" spans="7:7" ht="10.5" customHeight="1" x14ac:dyDescent="0.2">
      <c r="G4670" s="889"/>
    </row>
    <row r="4671" spans="7:7" ht="10.5" customHeight="1" x14ac:dyDescent="0.2">
      <c r="G4671" s="889"/>
    </row>
    <row r="4672" spans="7:7" ht="10.5" customHeight="1" x14ac:dyDescent="0.2">
      <c r="G4672" s="889"/>
    </row>
    <row r="4673" spans="7:7" ht="10.5" customHeight="1" x14ac:dyDescent="0.2">
      <c r="G4673" s="889"/>
    </row>
    <row r="4674" spans="7:7" ht="10.5" customHeight="1" x14ac:dyDescent="0.2">
      <c r="G4674" s="889"/>
    </row>
    <row r="4675" spans="7:7" ht="10.5" customHeight="1" x14ac:dyDescent="0.2">
      <c r="G4675" s="889"/>
    </row>
    <row r="4676" spans="7:7" ht="10.5" customHeight="1" x14ac:dyDescent="0.2">
      <c r="G4676" s="889"/>
    </row>
    <row r="4677" spans="7:7" ht="10.5" customHeight="1" x14ac:dyDescent="0.2">
      <c r="G4677" s="889"/>
    </row>
    <row r="4678" spans="7:7" ht="10.5" customHeight="1" x14ac:dyDescent="0.2">
      <c r="G4678" s="889"/>
    </row>
    <row r="4679" spans="7:7" ht="10.5" customHeight="1" x14ac:dyDescent="0.2">
      <c r="G4679" s="889"/>
    </row>
    <row r="4680" spans="7:7" ht="10.5" customHeight="1" x14ac:dyDescent="0.2">
      <c r="G4680" s="889"/>
    </row>
    <row r="4681" spans="7:7" ht="10.5" customHeight="1" x14ac:dyDescent="0.2">
      <c r="G4681" s="889"/>
    </row>
    <row r="4682" spans="7:7" ht="10.5" customHeight="1" x14ac:dyDescent="0.2">
      <c r="G4682" s="889"/>
    </row>
    <row r="4683" spans="7:7" ht="10.5" customHeight="1" x14ac:dyDescent="0.2">
      <c r="G4683" s="889"/>
    </row>
    <row r="4684" spans="7:7" ht="10.5" customHeight="1" x14ac:dyDescent="0.2">
      <c r="G4684" s="889"/>
    </row>
    <row r="4685" spans="7:7" ht="10.5" customHeight="1" x14ac:dyDescent="0.2">
      <c r="G4685" s="889"/>
    </row>
    <row r="4686" spans="7:7" ht="10.5" customHeight="1" x14ac:dyDescent="0.2">
      <c r="G4686" s="889"/>
    </row>
    <row r="4687" spans="7:7" ht="10.5" customHeight="1" x14ac:dyDescent="0.2">
      <c r="G4687" s="889"/>
    </row>
    <row r="4688" spans="7:7" ht="10.5" customHeight="1" x14ac:dyDescent="0.2">
      <c r="G4688" s="889"/>
    </row>
    <row r="4689" spans="7:7" ht="10.5" customHeight="1" x14ac:dyDescent="0.2">
      <c r="G4689" s="889"/>
    </row>
    <row r="4690" spans="7:7" ht="10.5" customHeight="1" x14ac:dyDescent="0.2">
      <c r="G4690" s="889"/>
    </row>
    <row r="4691" spans="7:7" ht="10.5" customHeight="1" x14ac:dyDescent="0.2">
      <c r="G4691" s="889"/>
    </row>
    <row r="4692" spans="7:7" ht="10.5" customHeight="1" x14ac:dyDescent="0.2">
      <c r="G4692" s="889"/>
    </row>
    <row r="4693" spans="7:7" ht="10.5" customHeight="1" x14ac:dyDescent="0.2">
      <c r="G4693" s="889"/>
    </row>
    <row r="4694" spans="7:7" ht="10.5" customHeight="1" x14ac:dyDescent="0.2">
      <c r="G4694" s="889"/>
    </row>
    <row r="4695" spans="7:7" ht="10.5" customHeight="1" x14ac:dyDescent="0.2">
      <c r="G4695" s="889"/>
    </row>
    <row r="4696" spans="7:7" ht="10.5" customHeight="1" x14ac:dyDescent="0.2">
      <c r="G4696" s="889"/>
    </row>
    <row r="4697" spans="7:7" ht="10.5" customHeight="1" x14ac:dyDescent="0.2">
      <c r="G4697" s="889"/>
    </row>
    <row r="4698" spans="7:7" ht="10.5" customHeight="1" x14ac:dyDescent="0.2">
      <c r="G4698" s="889"/>
    </row>
    <row r="4699" spans="7:7" ht="10.5" customHeight="1" x14ac:dyDescent="0.2">
      <c r="G4699" s="889"/>
    </row>
    <row r="4700" spans="7:7" ht="10.5" customHeight="1" x14ac:dyDescent="0.2">
      <c r="G4700" s="889"/>
    </row>
    <row r="4701" spans="7:7" ht="10.5" customHeight="1" x14ac:dyDescent="0.2">
      <c r="G4701" s="889"/>
    </row>
    <row r="4702" spans="7:7" ht="10.5" customHeight="1" x14ac:dyDescent="0.2">
      <c r="G4702" s="889"/>
    </row>
    <row r="4703" spans="7:7" ht="10.5" customHeight="1" x14ac:dyDescent="0.2">
      <c r="G4703" s="889"/>
    </row>
    <row r="4704" spans="7:7" ht="10.5" customHeight="1" x14ac:dyDescent="0.2">
      <c r="G4704" s="889"/>
    </row>
    <row r="4705" spans="7:7" ht="10.5" customHeight="1" x14ac:dyDescent="0.2">
      <c r="G4705" s="889"/>
    </row>
    <row r="4706" spans="7:7" ht="10.5" customHeight="1" x14ac:dyDescent="0.2">
      <c r="G4706" s="889"/>
    </row>
    <row r="4707" spans="7:7" ht="10.5" customHeight="1" x14ac:dyDescent="0.2">
      <c r="G4707" s="889"/>
    </row>
    <row r="4708" spans="7:7" ht="10.5" customHeight="1" x14ac:dyDescent="0.2">
      <c r="G4708" s="889"/>
    </row>
    <row r="4709" spans="7:7" ht="10.5" customHeight="1" x14ac:dyDescent="0.2">
      <c r="G4709" s="889"/>
    </row>
    <row r="4710" spans="7:7" ht="10.5" customHeight="1" x14ac:dyDescent="0.2">
      <c r="G4710" s="889"/>
    </row>
    <row r="4711" spans="7:7" ht="10.5" customHeight="1" x14ac:dyDescent="0.2">
      <c r="G4711" s="889"/>
    </row>
    <row r="4712" spans="7:7" ht="10.5" customHeight="1" x14ac:dyDescent="0.2">
      <c r="G4712" s="889"/>
    </row>
    <row r="4713" spans="7:7" ht="10.5" customHeight="1" x14ac:dyDescent="0.2">
      <c r="G4713" s="889"/>
    </row>
    <row r="4714" spans="7:7" ht="10.5" customHeight="1" x14ac:dyDescent="0.2">
      <c r="G4714" s="889"/>
    </row>
    <row r="4715" spans="7:7" ht="10.5" customHeight="1" x14ac:dyDescent="0.2">
      <c r="G4715" s="889"/>
    </row>
    <row r="4716" spans="7:7" ht="10.5" customHeight="1" x14ac:dyDescent="0.2">
      <c r="G4716" s="889"/>
    </row>
    <row r="4717" spans="7:7" ht="10.5" customHeight="1" x14ac:dyDescent="0.2">
      <c r="G4717" s="889"/>
    </row>
    <row r="4718" spans="7:7" ht="10.5" customHeight="1" x14ac:dyDescent="0.2">
      <c r="G4718" s="889"/>
    </row>
    <row r="4719" spans="7:7" ht="10.5" customHeight="1" x14ac:dyDescent="0.2">
      <c r="G4719" s="889"/>
    </row>
    <row r="4720" spans="7:7" ht="10.5" customHeight="1" x14ac:dyDescent="0.2">
      <c r="G4720" s="889"/>
    </row>
    <row r="4721" spans="7:7" ht="10.5" customHeight="1" x14ac:dyDescent="0.2">
      <c r="G4721" s="889"/>
    </row>
    <row r="4722" spans="7:7" ht="10.5" customHeight="1" x14ac:dyDescent="0.2">
      <c r="G4722" s="889"/>
    </row>
    <row r="4723" spans="7:7" ht="10.5" customHeight="1" x14ac:dyDescent="0.2">
      <c r="G4723" s="889"/>
    </row>
    <row r="4724" spans="7:7" ht="10.5" customHeight="1" x14ac:dyDescent="0.2">
      <c r="G4724" s="889"/>
    </row>
    <row r="4725" spans="7:7" ht="10.5" customHeight="1" x14ac:dyDescent="0.2">
      <c r="G4725" s="889"/>
    </row>
    <row r="4726" spans="7:7" ht="10.5" customHeight="1" x14ac:dyDescent="0.2">
      <c r="G4726" s="889"/>
    </row>
    <row r="4727" spans="7:7" ht="10.5" customHeight="1" x14ac:dyDescent="0.2">
      <c r="G4727" s="889"/>
    </row>
    <row r="4728" spans="7:7" ht="10.5" customHeight="1" x14ac:dyDescent="0.2">
      <c r="G4728" s="889"/>
    </row>
    <row r="4729" spans="7:7" ht="10.5" customHeight="1" x14ac:dyDescent="0.2">
      <c r="G4729" s="889"/>
    </row>
    <row r="4730" spans="7:7" ht="10.5" customHeight="1" x14ac:dyDescent="0.2">
      <c r="G4730" s="889"/>
    </row>
    <row r="4731" spans="7:7" ht="10.5" customHeight="1" x14ac:dyDescent="0.2">
      <c r="G4731" s="889"/>
    </row>
    <row r="4732" spans="7:7" ht="10.5" customHeight="1" x14ac:dyDescent="0.2">
      <c r="G4732" s="889"/>
    </row>
    <row r="4733" spans="7:7" ht="10.5" customHeight="1" x14ac:dyDescent="0.2">
      <c r="G4733" s="889"/>
    </row>
    <row r="4734" spans="7:7" ht="10.5" customHeight="1" x14ac:dyDescent="0.2">
      <c r="G4734" s="889"/>
    </row>
    <row r="4735" spans="7:7" ht="10.5" customHeight="1" x14ac:dyDescent="0.2">
      <c r="G4735" s="889"/>
    </row>
    <row r="4736" spans="7:7" ht="10.5" customHeight="1" x14ac:dyDescent="0.2">
      <c r="G4736" s="889"/>
    </row>
    <row r="4737" spans="7:7" ht="10.5" customHeight="1" x14ac:dyDescent="0.2">
      <c r="G4737" s="889"/>
    </row>
    <row r="4738" spans="7:7" ht="10.5" customHeight="1" x14ac:dyDescent="0.2">
      <c r="G4738" s="889"/>
    </row>
    <row r="4739" spans="7:7" ht="10.5" customHeight="1" x14ac:dyDescent="0.2">
      <c r="G4739" s="889"/>
    </row>
    <row r="4740" spans="7:7" ht="10.5" customHeight="1" x14ac:dyDescent="0.2">
      <c r="G4740" s="889"/>
    </row>
    <row r="4741" spans="7:7" ht="10.5" customHeight="1" x14ac:dyDescent="0.2">
      <c r="G4741" s="889"/>
    </row>
    <row r="4742" spans="7:7" ht="10.5" customHeight="1" x14ac:dyDescent="0.2">
      <c r="G4742" s="889"/>
    </row>
    <row r="4743" spans="7:7" ht="10.5" customHeight="1" x14ac:dyDescent="0.2">
      <c r="G4743" s="889"/>
    </row>
    <row r="4744" spans="7:7" ht="10.5" customHeight="1" x14ac:dyDescent="0.2">
      <c r="G4744" s="889"/>
    </row>
    <row r="4745" spans="7:7" ht="10.5" customHeight="1" x14ac:dyDescent="0.2">
      <c r="G4745" s="889"/>
    </row>
    <row r="4746" spans="7:7" ht="10.5" customHeight="1" x14ac:dyDescent="0.2">
      <c r="G4746" s="889"/>
    </row>
    <row r="4747" spans="7:7" ht="10.5" customHeight="1" x14ac:dyDescent="0.2">
      <c r="G4747" s="889"/>
    </row>
    <row r="4748" spans="7:7" ht="10.5" customHeight="1" x14ac:dyDescent="0.2">
      <c r="G4748" s="889"/>
    </row>
    <row r="4749" spans="7:7" ht="10.5" customHeight="1" x14ac:dyDescent="0.2">
      <c r="G4749" s="889"/>
    </row>
    <row r="4750" spans="7:7" ht="10.5" customHeight="1" x14ac:dyDescent="0.2">
      <c r="G4750" s="889"/>
    </row>
    <row r="4751" spans="7:7" ht="10.5" customHeight="1" x14ac:dyDescent="0.2">
      <c r="G4751" s="889"/>
    </row>
    <row r="4752" spans="7:7" ht="10.5" customHeight="1" x14ac:dyDescent="0.2">
      <c r="G4752" s="889"/>
    </row>
    <row r="4753" spans="7:7" ht="10.5" customHeight="1" x14ac:dyDescent="0.2">
      <c r="G4753" s="889"/>
    </row>
    <row r="4754" spans="7:7" ht="10.5" customHeight="1" x14ac:dyDescent="0.2">
      <c r="G4754" s="889"/>
    </row>
    <row r="4755" spans="7:7" ht="10.5" customHeight="1" x14ac:dyDescent="0.2">
      <c r="G4755" s="889"/>
    </row>
    <row r="4756" spans="7:7" ht="10.5" customHeight="1" x14ac:dyDescent="0.2">
      <c r="G4756" s="889"/>
    </row>
    <row r="4757" spans="7:7" ht="10.5" customHeight="1" x14ac:dyDescent="0.2">
      <c r="G4757" s="889"/>
    </row>
    <row r="4758" spans="7:7" ht="10.5" customHeight="1" x14ac:dyDescent="0.2">
      <c r="G4758" s="889"/>
    </row>
    <row r="4759" spans="7:7" ht="10.5" customHeight="1" x14ac:dyDescent="0.2">
      <c r="G4759" s="889"/>
    </row>
    <row r="4760" spans="7:7" ht="10.5" customHeight="1" x14ac:dyDescent="0.2">
      <c r="G4760" s="889"/>
    </row>
    <row r="4761" spans="7:7" ht="10.5" customHeight="1" x14ac:dyDescent="0.2">
      <c r="G4761" s="889"/>
    </row>
    <row r="4762" spans="7:7" ht="10.5" customHeight="1" x14ac:dyDescent="0.2">
      <c r="G4762" s="889"/>
    </row>
    <row r="4763" spans="7:7" ht="10.5" customHeight="1" x14ac:dyDescent="0.2">
      <c r="G4763" s="889"/>
    </row>
    <row r="4764" spans="7:7" ht="10.5" customHeight="1" x14ac:dyDescent="0.2">
      <c r="G4764" s="889"/>
    </row>
    <row r="4765" spans="7:7" ht="10.5" customHeight="1" x14ac:dyDescent="0.2">
      <c r="G4765" s="889"/>
    </row>
    <row r="4766" spans="7:7" ht="10.5" customHeight="1" x14ac:dyDescent="0.2">
      <c r="G4766" s="889"/>
    </row>
    <row r="4767" spans="7:7" ht="10.5" customHeight="1" x14ac:dyDescent="0.2">
      <c r="G4767" s="889"/>
    </row>
    <row r="4768" spans="7:7" ht="10.5" customHeight="1" x14ac:dyDescent="0.2">
      <c r="G4768" s="889"/>
    </row>
    <row r="4769" spans="7:7" ht="10.5" customHeight="1" x14ac:dyDescent="0.2">
      <c r="G4769" s="889"/>
    </row>
    <row r="4770" spans="7:7" ht="10.5" customHeight="1" x14ac:dyDescent="0.2">
      <c r="G4770" s="889"/>
    </row>
    <row r="4771" spans="7:7" ht="10.5" customHeight="1" x14ac:dyDescent="0.2">
      <c r="G4771" s="889"/>
    </row>
    <row r="4772" spans="7:7" ht="10.5" customHeight="1" x14ac:dyDescent="0.2">
      <c r="G4772" s="889"/>
    </row>
    <row r="4773" spans="7:7" ht="10.5" customHeight="1" x14ac:dyDescent="0.2">
      <c r="G4773" s="889"/>
    </row>
    <row r="4774" spans="7:7" ht="10.5" customHeight="1" x14ac:dyDescent="0.2">
      <c r="G4774" s="889"/>
    </row>
    <row r="4775" spans="7:7" ht="10.5" customHeight="1" x14ac:dyDescent="0.2">
      <c r="G4775" s="889"/>
    </row>
    <row r="4776" spans="7:7" ht="10.5" customHeight="1" x14ac:dyDescent="0.2">
      <c r="G4776" s="889"/>
    </row>
    <row r="4777" spans="7:7" ht="10.5" customHeight="1" x14ac:dyDescent="0.2">
      <c r="G4777" s="889"/>
    </row>
    <row r="4778" spans="7:7" ht="10.5" customHeight="1" x14ac:dyDescent="0.2">
      <c r="G4778" s="889"/>
    </row>
    <row r="4779" spans="7:7" ht="10.5" customHeight="1" x14ac:dyDescent="0.2">
      <c r="G4779" s="889"/>
    </row>
    <row r="4780" spans="7:7" ht="10.5" customHeight="1" x14ac:dyDescent="0.2">
      <c r="G4780" s="889"/>
    </row>
    <row r="4781" spans="7:7" ht="10.5" customHeight="1" x14ac:dyDescent="0.2">
      <c r="G4781" s="889"/>
    </row>
    <row r="4782" spans="7:7" ht="10.5" customHeight="1" x14ac:dyDescent="0.2">
      <c r="G4782" s="889"/>
    </row>
    <row r="4783" spans="7:7" ht="10.5" customHeight="1" x14ac:dyDescent="0.2">
      <c r="G4783" s="889"/>
    </row>
    <row r="4784" spans="7:7" ht="10.5" customHeight="1" x14ac:dyDescent="0.2">
      <c r="G4784" s="889"/>
    </row>
    <row r="4785" spans="7:7" ht="10.5" customHeight="1" x14ac:dyDescent="0.2">
      <c r="G4785" s="889"/>
    </row>
    <row r="4786" spans="7:7" ht="10.5" customHeight="1" x14ac:dyDescent="0.2">
      <c r="G4786" s="889"/>
    </row>
    <row r="4787" spans="7:7" ht="10.5" customHeight="1" x14ac:dyDescent="0.2">
      <c r="G4787" s="889"/>
    </row>
    <row r="4788" spans="7:7" ht="10.5" customHeight="1" x14ac:dyDescent="0.2">
      <c r="G4788" s="889"/>
    </row>
    <row r="4789" spans="7:7" ht="10.5" customHeight="1" x14ac:dyDescent="0.2">
      <c r="G4789" s="889"/>
    </row>
    <row r="4790" spans="7:7" ht="10.5" customHeight="1" x14ac:dyDescent="0.2">
      <c r="G4790" s="889"/>
    </row>
    <row r="4791" spans="7:7" ht="10.5" customHeight="1" x14ac:dyDescent="0.2">
      <c r="G4791" s="889"/>
    </row>
    <row r="4792" spans="7:7" ht="10.5" customHeight="1" x14ac:dyDescent="0.2">
      <c r="G4792" s="889"/>
    </row>
    <row r="4793" spans="7:7" ht="10.5" customHeight="1" x14ac:dyDescent="0.2">
      <c r="G4793" s="889"/>
    </row>
    <row r="4794" spans="7:7" ht="10.5" customHeight="1" x14ac:dyDescent="0.2">
      <c r="G4794" s="889"/>
    </row>
    <row r="4795" spans="7:7" ht="10.5" customHeight="1" x14ac:dyDescent="0.2">
      <c r="G4795" s="889"/>
    </row>
    <row r="4796" spans="7:7" ht="10.5" customHeight="1" x14ac:dyDescent="0.2">
      <c r="G4796" s="889"/>
    </row>
    <row r="4797" spans="7:7" ht="10.5" customHeight="1" x14ac:dyDescent="0.2">
      <c r="G4797" s="889"/>
    </row>
    <row r="4798" spans="7:7" ht="10.5" customHeight="1" x14ac:dyDescent="0.2">
      <c r="G4798" s="889"/>
    </row>
    <row r="4799" spans="7:7" ht="10.5" customHeight="1" x14ac:dyDescent="0.2">
      <c r="G4799" s="889"/>
    </row>
    <row r="4800" spans="7:7" ht="10.5" customHeight="1" x14ac:dyDescent="0.2">
      <c r="G4800" s="889"/>
    </row>
    <row r="4801" spans="7:7" ht="10.5" customHeight="1" x14ac:dyDescent="0.2">
      <c r="G4801" s="889"/>
    </row>
    <row r="4802" spans="7:7" ht="10.5" customHeight="1" x14ac:dyDescent="0.2">
      <c r="G4802" s="889"/>
    </row>
    <row r="4803" spans="7:7" ht="10.5" customHeight="1" x14ac:dyDescent="0.2">
      <c r="G4803" s="889"/>
    </row>
    <row r="4804" spans="7:7" ht="10.5" customHeight="1" x14ac:dyDescent="0.2">
      <c r="G4804" s="889"/>
    </row>
    <row r="4805" spans="7:7" ht="10.5" customHeight="1" x14ac:dyDescent="0.2">
      <c r="G4805" s="889"/>
    </row>
    <row r="4806" spans="7:7" ht="10.5" customHeight="1" x14ac:dyDescent="0.2">
      <c r="G4806" s="889"/>
    </row>
    <row r="4807" spans="7:7" ht="10.5" customHeight="1" x14ac:dyDescent="0.2">
      <c r="G4807" s="889"/>
    </row>
    <row r="4808" spans="7:7" ht="10.5" customHeight="1" x14ac:dyDescent="0.2">
      <c r="G4808" s="889"/>
    </row>
    <row r="4809" spans="7:7" ht="10.5" customHeight="1" x14ac:dyDescent="0.2">
      <c r="G4809" s="889"/>
    </row>
    <row r="4810" spans="7:7" ht="10.5" customHeight="1" x14ac:dyDescent="0.2">
      <c r="G4810" s="889"/>
    </row>
    <row r="4811" spans="7:7" ht="10.5" customHeight="1" x14ac:dyDescent="0.2">
      <c r="G4811" s="889"/>
    </row>
    <row r="4812" spans="7:7" ht="10.5" customHeight="1" x14ac:dyDescent="0.2">
      <c r="G4812" s="889"/>
    </row>
    <row r="4813" spans="7:7" ht="10.5" customHeight="1" x14ac:dyDescent="0.2">
      <c r="G4813" s="889"/>
    </row>
    <row r="4814" spans="7:7" ht="10.5" customHeight="1" x14ac:dyDescent="0.2">
      <c r="G4814" s="889"/>
    </row>
    <row r="4815" spans="7:7" ht="10.5" customHeight="1" x14ac:dyDescent="0.2">
      <c r="G4815" s="889"/>
    </row>
    <row r="4816" spans="7:7" ht="10.5" customHeight="1" x14ac:dyDescent="0.2">
      <c r="G4816" s="889"/>
    </row>
    <row r="4817" spans="7:7" ht="10.5" customHeight="1" x14ac:dyDescent="0.2">
      <c r="G4817" s="889"/>
    </row>
    <row r="4818" spans="7:7" ht="10.5" customHeight="1" x14ac:dyDescent="0.2">
      <c r="G4818" s="889"/>
    </row>
    <row r="4819" spans="7:7" ht="10.5" customHeight="1" x14ac:dyDescent="0.2">
      <c r="G4819" s="889"/>
    </row>
    <row r="4820" spans="7:7" ht="10.5" customHeight="1" x14ac:dyDescent="0.2">
      <c r="G4820" s="889"/>
    </row>
    <row r="4821" spans="7:7" ht="10.5" customHeight="1" x14ac:dyDescent="0.2">
      <c r="G4821" s="889"/>
    </row>
    <row r="4822" spans="7:7" ht="10.5" customHeight="1" x14ac:dyDescent="0.2">
      <c r="G4822" s="889"/>
    </row>
    <row r="4823" spans="7:7" ht="10.5" customHeight="1" x14ac:dyDescent="0.2">
      <c r="G4823" s="889"/>
    </row>
    <row r="4824" spans="7:7" ht="10.5" customHeight="1" x14ac:dyDescent="0.2">
      <c r="G4824" s="889"/>
    </row>
    <row r="4825" spans="7:7" ht="10.5" customHeight="1" x14ac:dyDescent="0.2">
      <c r="G4825" s="889"/>
    </row>
    <row r="4826" spans="7:7" ht="10.5" customHeight="1" x14ac:dyDescent="0.2">
      <c r="G4826" s="889"/>
    </row>
    <row r="4827" spans="7:7" ht="10.5" customHeight="1" x14ac:dyDescent="0.2">
      <c r="G4827" s="889"/>
    </row>
    <row r="4828" spans="7:7" ht="10.5" customHeight="1" x14ac:dyDescent="0.2">
      <c r="G4828" s="889"/>
    </row>
    <row r="4829" spans="7:7" ht="10.5" customHeight="1" x14ac:dyDescent="0.2">
      <c r="G4829" s="889"/>
    </row>
    <row r="4830" spans="7:7" ht="10.5" customHeight="1" x14ac:dyDescent="0.2">
      <c r="G4830" s="889"/>
    </row>
    <row r="4831" spans="7:7" ht="10.5" customHeight="1" x14ac:dyDescent="0.2">
      <c r="G4831" s="889"/>
    </row>
    <row r="4832" spans="7:7" ht="10.5" customHeight="1" x14ac:dyDescent="0.2">
      <c r="G4832" s="889"/>
    </row>
    <row r="4833" spans="7:7" ht="10.5" customHeight="1" x14ac:dyDescent="0.2">
      <c r="G4833" s="889"/>
    </row>
    <row r="4834" spans="7:7" ht="10.5" customHeight="1" x14ac:dyDescent="0.2">
      <c r="G4834" s="889"/>
    </row>
    <row r="4835" spans="7:7" ht="10.5" customHeight="1" x14ac:dyDescent="0.2">
      <c r="G4835" s="889"/>
    </row>
    <row r="4836" spans="7:7" ht="10.5" customHeight="1" x14ac:dyDescent="0.2">
      <c r="G4836" s="889"/>
    </row>
    <row r="4837" spans="7:7" ht="10.5" customHeight="1" x14ac:dyDescent="0.2">
      <c r="G4837" s="889"/>
    </row>
    <row r="4838" spans="7:7" ht="10.5" customHeight="1" x14ac:dyDescent="0.2">
      <c r="G4838" s="889"/>
    </row>
    <row r="4839" spans="7:7" ht="10.5" customHeight="1" x14ac:dyDescent="0.2">
      <c r="G4839" s="889"/>
    </row>
    <row r="4840" spans="7:7" ht="10.5" customHeight="1" x14ac:dyDescent="0.2">
      <c r="G4840" s="889"/>
    </row>
    <row r="4841" spans="7:7" ht="10.5" customHeight="1" x14ac:dyDescent="0.2">
      <c r="G4841" s="889"/>
    </row>
    <row r="4842" spans="7:7" ht="10.5" customHeight="1" x14ac:dyDescent="0.2">
      <c r="G4842" s="889"/>
    </row>
    <row r="4843" spans="7:7" ht="10.5" customHeight="1" x14ac:dyDescent="0.2">
      <c r="G4843" s="889"/>
    </row>
    <row r="4844" spans="7:7" ht="10.5" customHeight="1" x14ac:dyDescent="0.2">
      <c r="G4844" s="889"/>
    </row>
    <row r="4845" spans="7:7" ht="10.5" customHeight="1" x14ac:dyDescent="0.2">
      <c r="G4845" s="889"/>
    </row>
    <row r="4846" spans="7:7" ht="10.5" customHeight="1" x14ac:dyDescent="0.2">
      <c r="G4846" s="889"/>
    </row>
    <row r="4847" spans="7:7" ht="10.5" customHeight="1" x14ac:dyDescent="0.2">
      <c r="G4847" s="889"/>
    </row>
    <row r="4848" spans="7:7" ht="10.5" customHeight="1" x14ac:dyDescent="0.2">
      <c r="G4848" s="889"/>
    </row>
    <row r="4849" spans="7:7" ht="10.5" customHeight="1" x14ac:dyDescent="0.2">
      <c r="G4849" s="889"/>
    </row>
    <row r="4850" spans="7:7" ht="10.5" customHeight="1" x14ac:dyDescent="0.2">
      <c r="G4850" s="889"/>
    </row>
    <row r="4851" spans="7:7" ht="10.5" customHeight="1" x14ac:dyDescent="0.2">
      <c r="G4851" s="889"/>
    </row>
    <row r="4852" spans="7:7" ht="10.5" customHeight="1" x14ac:dyDescent="0.2">
      <c r="G4852" s="889"/>
    </row>
    <row r="4853" spans="7:7" ht="10.5" customHeight="1" x14ac:dyDescent="0.2">
      <c r="G4853" s="889"/>
    </row>
    <row r="4854" spans="7:7" ht="10.5" customHeight="1" x14ac:dyDescent="0.2">
      <c r="G4854" s="889"/>
    </row>
    <row r="4855" spans="7:7" ht="10.5" customHeight="1" x14ac:dyDescent="0.2">
      <c r="G4855" s="889"/>
    </row>
    <row r="4856" spans="7:7" ht="10.5" customHeight="1" x14ac:dyDescent="0.2">
      <c r="G4856" s="889"/>
    </row>
    <row r="4857" spans="7:7" ht="10.5" customHeight="1" x14ac:dyDescent="0.2">
      <c r="G4857" s="889"/>
    </row>
    <row r="4858" spans="7:7" ht="10.5" customHeight="1" x14ac:dyDescent="0.2">
      <c r="G4858" s="889"/>
    </row>
    <row r="4859" spans="7:7" ht="10.5" customHeight="1" x14ac:dyDescent="0.2">
      <c r="G4859" s="889"/>
    </row>
    <row r="4860" spans="7:7" ht="10.5" customHeight="1" x14ac:dyDescent="0.2">
      <c r="G4860" s="889"/>
    </row>
    <row r="4861" spans="7:7" ht="10.5" customHeight="1" x14ac:dyDescent="0.2">
      <c r="G4861" s="889"/>
    </row>
    <row r="4862" spans="7:7" ht="10.5" customHeight="1" x14ac:dyDescent="0.2">
      <c r="G4862" s="889"/>
    </row>
    <row r="4863" spans="7:7" ht="10.5" customHeight="1" x14ac:dyDescent="0.2">
      <c r="G4863" s="889"/>
    </row>
    <row r="4864" spans="7:7" ht="10.5" customHeight="1" x14ac:dyDescent="0.2">
      <c r="G4864" s="889"/>
    </row>
    <row r="4865" spans="7:7" ht="10.5" customHeight="1" x14ac:dyDescent="0.2">
      <c r="G4865" s="889"/>
    </row>
    <row r="4866" spans="7:7" ht="10.5" customHeight="1" x14ac:dyDescent="0.2">
      <c r="G4866" s="889"/>
    </row>
    <row r="4867" spans="7:7" ht="10.5" customHeight="1" x14ac:dyDescent="0.2">
      <c r="G4867" s="889"/>
    </row>
    <row r="4868" spans="7:7" ht="10.5" customHeight="1" x14ac:dyDescent="0.2">
      <c r="G4868" s="889"/>
    </row>
    <row r="4869" spans="7:7" ht="10.5" customHeight="1" x14ac:dyDescent="0.2">
      <c r="G4869" s="889"/>
    </row>
    <row r="4870" spans="7:7" ht="10.5" customHeight="1" x14ac:dyDescent="0.2">
      <c r="G4870" s="889"/>
    </row>
    <row r="4871" spans="7:7" ht="10.5" customHeight="1" x14ac:dyDescent="0.2">
      <c r="G4871" s="889"/>
    </row>
    <row r="4872" spans="7:7" ht="10.5" customHeight="1" x14ac:dyDescent="0.2">
      <c r="G4872" s="889"/>
    </row>
    <row r="4873" spans="7:7" ht="10.5" customHeight="1" x14ac:dyDescent="0.2">
      <c r="G4873" s="889"/>
    </row>
    <row r="4874" spans="7:7" ht="10.5" customHeight="1" x14ac:dyDescent="0.2">
      <c r="G4874" s="889"/>
    </row>
    <row r="4875" spans="7:7" ht="10.5" customHeight="1" x14ac:dyDescent="0.2">
      <c r="G4875" s="889"/>
    </row>
    <row r="4876" spans="7:7" ht="10.5" customHeight="1" x14ac:dyDescent="0.2">
      <c r="G4876" s="889"/>
    </row>
    <row r="4877" spans="7:7" ht="10.5" customHeight="1" x14ac:dyDescent="0.2">
      <c r="G4877" s="889"/>
    </row>
    <row r="4878" spans="7:7" ht="10.5" customHeight="1" x14ac:dyDescent="0.2">
      <c r="G4878" s="889"/>
    </row>
    <row r="4879" spans="7:7" ht="10.5" customHeight="1" x14ac:dyDescent="0.2">
      <c r="G4879" s="889"/>
    </row>
    <row r="4880" spans="7:7" ht="10.5" customHeight="1" x14ac:dyDescent="0.2">
      <c r="G4880" s="889"/>
    </row>
    <row r="4881" spans="7:7" ht="10.5" customHeight="1" x14ac:dyDescent="0.2">
      <c r="G4881" s="889"/>
    </row>
    <row r="4882" spans="7:7" ht="10.5" customHeight="1" x14ac:dyDescent="0.2">
      <c r="G4882" s="889"/>
    </row>
    <row r="4883" spans="7:7" ht="10.5" customHeight="1" x14ac:dyDescent="0.2">
      <c r="G4883" s="889"/>
    </row>
    <row r="4884" spans="7:7" ht="10.5" customHeight="1" x14ac:dyDescent="0.2">
      <c r="G4884" s="889"/>
    </row>
    <row r="4885" spans="7:7" ht="10.5" customHeight="1" x14ac:dyDescent="0.2">
      <c r="G4885" s="889"/>
    </row>
    <row r="4886" spans="7:7" ht="10.5" customHeight="1" x14ac:dyDescent="0.2">
      <c r="G4886" s="889"/>
    </row>
    <row r="4887" spans="7:7" ht="10.5" customHeight="1" x14ac:dyDescent="0.2">
      <c r="G4887" s="889"/>
    </row>
    <row r="4888" spans="7:7" ht="10.5" customHeight="1" x14ac:dyDescent="0.2">
      <c r="G4888" s="889"/>
    </row>
    <row r="4889" spans="7:7" ht="10.5" customHeight="1" x14ac:dyDescent="0.2">
      <c r="G4889" s="889"/>
    </row>
    <row r="4890" spans="7:7" ht="10.5" customHeight="1" x14ac:dyDescent="0.2">
      <c r="G4890" s="889"/>
    </row>
    <row r="4891" spans="7:7" ht="10.5" customHeight="1" x14ac:dyDescent="0.2">
      <c r="G4891" s="889"/>
    </row>
    <row r="4892" spans="7:7" ht="10.5" customHeight="1" x14ac:dyDescent="0.2">
      <c r="G4892" s="889"/>
    </row>
    <row r="4893" spans="7:7" ht="10.5" customHeight="1" x14ac:dyDescent="0.2">
      <c r="G4893" s="889"/>
    </row>
    <row r="4894" spans="7:7" ht="10.5" customHeight="1" x14ac:dyDescent="0.2">
      <c r="G4894" s="889"/>
    </row>
    <row r="4895" spans="7:7" ht="10.5" customHeight="1" x14ac:dyDescent="0.2">
      <c r="G4895" s="889"/>
    </row>
    <row r="4896" spans="7:7" ht="10.5" customHeight="1" x14ac:dyDescent="0.2">
      <c r="G4896" s="889"/>
    </row>
    <row r="4897" spans="7:7" ht="10.5" customHeight="1" x14ac:dyDescent="0.2">
      <c r="G4897" s="889"/>
    </row>
    <row r="4898" spans="7:7" ht="10.5" customHeight="1" x14ac:dyDescent="0.2">
      <c r="G4898" s="889"/>
    </row>
    <row r="4899" spans="7:7" ht="10.5" customHeight="1" x14ac:dyDescent="0.2">
      <c r="G4899" s="889"/>
    </row>
    <row r="4900" spans="7:7" ht="10.5" customHeight="1" x14ac:dyDescent="0.2">
      <c r="G4900" s="889"/>
    </row>
    <row r="4901" spans="7:7" ht="10.5" customHeight="1" x14ac:dyDescent="0.2">
      <c r="G4901" s="889"/>
    </row>
    <row r="4902" spans="7:7" ht="10.5" customHeight="1" x14ac:dyDescent="0.2">
      <c r="G4902" s="889"/>
    </row>
    <row r="4903" spans="7:7" ht="10.5" customHeight="1" x14ac:dyDescent="0.2">
      <c r="G4903" s="889"/>
    </row>
    <row r="4904" spans="7:7" ht="10.5" customHeight="1" x14ac:dyDescent="0.2">
      <c r="G4904" s="889"/>
    </row>
    <row r="4905" spans="7:7" ht="10.5" customHeight="1" x14ac:dyDescent="0.2">
      <c r="G4905" s="889"/>
    </row>
    <row r="4906" spans="7:7" ht="10.5" customHeight="1" x14ac:dyDescent="0.2">
      <c r="G4906" s="889"/>
    </row>
    <row r="4907" spans="7:7" ht="10.5" customHeight="1" x14ac:dyDescent="0.2">
      <c r="G4907" s="889"/>
    </row>
    <row r="4908" spans="7:7" ht="10.5" customHeight="1" x14ac:dyDescent="0.2">
      <c r="G4908" s="889"/>
    </row>
    <row r="4909" spans="7:7" ht="10.5" customHeight="1" x14ac:dyDescent="0.2">
      <c r="G4909" s="889"/>
    </row>
    <row r="4910" spans="7:7" ht="10.5" customHeight="1" x14ac:dyDescent="0.2">
      <c r="G4910" s="889"/>
    </row>
    <row r="4911" spans="7:7" ht="10.5" customHeight="1" x14ac:dyDescent="0.2">
      <c r="G4911" s="889"/>
    </row>
    <row r="4912" spans="7:7" ht="10.5" customHeight="1" x14ac:dyDescent="0.2">
      <c r="G4912" s="889"/>
    </row>
    <row r="4913" spans="7:7" ht="10.5" customHeight="1" x14ac:dyDescent="0.2">
      <c r="G4913" s="889"/>
    </row>
    <row r="4914" spans="7:7" ht="10.5" customHeight="1" x14ac:dyDescent="0.2">
      <c r="G4914" s="889"/>
    </row>
    <row r="4915" spans="7:7" ht="10.5" customHeight="1" x14ac:dyDescent="0.2">
      <c r="G4915" s="889"/>
    </row>
    <row r="4916" spans="7:7" ht="10.5" customHeight="1" x14ac:dyDescent="0.2">
      <c r="G4916" s="889"/>
    </row>
    <row r="4917" spans="7:7" ht="10.5" customHeight="1" x14ac:dyDescent="0.2">
      <c r="G4917" s="889"/>
    </row>
    <row r="4918" spans="7:7" ht="10.5" customHeight="1" x14ac:dyDescent="0.2">
      <c r="G4918" s="889"/>
    </row>
    <row r="4919" spans="7:7" ht="10.5" customHeight="1" x14ac:dyDescent="0.2">
      <c r="G4919" s="889"/>
    </row>
    <row r="4920" spans="7:7" ht="10.5" customHeight="1" x14ac:dyDescent="0.2">
      <c r="G4920" s="889"/>
    </row>
    <row r="4921" spans="7:7" ht="10.5" customHeight="1" x14ac:dyDescent="0.2">
      <c r="G4921" s="889"/>
    </row>
    <row r="4922" spans="7:7" ht="10.5" customHeight="1" x14ac:dyDescent="0.2">
      <c r="G4922" s="889"/>
    </row>
    <row r="4923" spans="7:7" ht="10.5" customHeight="1" x14ac:dyDescent="0.2">
      <c r="G4923" s="889"/>
    </row>
    <row r="4924" spans="7:7" ht="10.5" customHeight="1" x14ac:dyDescent="0.2">
      <c r="G4924" s="889"/>
    </row>
    <row r="4925" spans="7:7" ht="10.5" customHeight="1" x14ac:dyDescent="0.2">
      <c r="G4925" s="889"/>
    </row>
    <row r="4926" spans="7:7" ht="10.5" customHeight="1" x14ac:dyDescent="0.2">
      <c r="G4926" s="889"/>
    </row>
    <row r="4927" spans="7:7" ht="10.5" customHeight="1" x14ac:dyDescent="0.2">
      <c r="G4927" s="889"/>
    </row>
    <row r="4928" spans="7:7" ht="10.5" customHeight="1" x14ac:dyDescent="0.2">
      <c r="G4928" s="889"/>
    </row>
    <row r="4929" spans="7:7" ht="10.5" customHeight="1" x14ac:dyDescent="0.2">
      <c r="G4929" s="889"/>
    </row>
    <row r="4930" spans="7:7" ht="10.5" customHeight="1" x14ac:dyDescent="0.2">
      <c r="G4930" s="889"/>
    </row>
    <row r="4931" spans="7:7" ht="10.5" customHeight="1" x14ac:dyDescent="0.2">
      <c r="G4931" s="889"/>
    </row>
    <row r="4932" spans="7:7" ht="10.5" customHeight="1" x14ac:dyDescent="0.2">
      <c r="G4932" s="889"/>
    </row>
    <row r="4933" spans="7:7" ht="10.5" customHeight="1" x14ac:dyDescent="0.2">
      <c r="G4933" s="889"/>
    </row>
    <row r="4934" spans="7:7" ht="10.5" customHeight="1" x14ac:dyDescent="0.2">
      <c r="G4934" s="889"/>
    </row>
    <row r="4935" spans="7:7" ht="10.5" customHeight="1" x14ac:dyDescent="0.2">
      <c r="G4935" s="889"/>
    </row>
    <row r="4936" spans="7:7" ht="10.5" customHeight="1" x14ac:dyDescent="0.2">
      <c r="G4936" s="889"/>
    </row>
    <row r="4937" spans="7:7" ht="10.5" customHeight="1" x14ac:dyDescent="0.2">
      <c r="G4937" s="889"/>
    </row>
    <row r="4938" spans="7:7" ht="10.5" customHeight="1" x14ac:dyDescent="0.2">
      <c r="G4938" s="889"/>
    </row>
    <row r="4939" spans="7:7" ht="10.5" customHeight="1" x14ac:dyDescent="0.2">
      <c r="G4939" s="889"/>
    </row>
    <row r="4940" spans="7:7" ht="10.5" customHeight="1" x14ac:dyDescent="0.2">
      <c r="G4940" s="889"/>
    </row>
    <row r="4941" spans="7:7" ht="10.5" customHeight="1" x14ac:dyDescent="0.2">
      <c r="G4941" s="889"/>
    </row>
    <row r="4942" spans="7:7" ht="10.5" customHeight="1" x14ac:dyDescent="0.2">
      <c r="G4942" s="889"/>
    </row>
    <row r="4943" spans="7:7" ht="10.5" customHeight="1" x14ac:dyDescent="0.2">
      <c r="G4943" s="889"/>
    </row>
    <row r="4944" spans="7:7" ht="10.5" customHeight="1" x14ac:dyDescent="0.2">
      <c r="G4944" s="889"/>
    </row>
    <row r="4945" spans="7:7" ht="10.5" customHeight="1" x14ac:dyDescent="0.2">
      <c r="G4945" s="889"/>
    </row>
    <row r="4946" spans="7:7" ht="10.5" customHeight="1" x14ac:dyDescent="0.2">
      <c r="G4946" s="889"/>
    </row>
    <row r="4947" spans="7:7" ht="10.5" customHeight="1" x14ac:dyDescent="0.2">
      <c r="G4947" s="889"/>
    </row>
    <row r="4948" spans="7:7" ht="10.5" customHeight="1" x14ac:dyDescent="0.2">
      <c r="G4948" s="889"/>
    </row>
    <row r="4949" spans="7:7" ht="10.5" customHeight="1" x14ac:dyDescent="0.2">
      <c r="G4949" s="889"/>
    </row>
    <row r="4950" spans="7:7" ht="10.5" customHeight="1" x14ac:dyDescent="0.2">
      <c r="G4950" s="889"/>
    </row>
    <row r="4951" spans="7:7" ht="10.5" customHeight="1" x14ac:dyDescent="0.2">
      <c r="G4951" s="889"/>
    </row>
    <row r="4952" spans="7:7" ht="10.5" customHeight="1" x14ac:dyDescent="0.2">
      <c r="G4952" s="889"/>
    </row>
    <row r="4953" spans="7:7" ht="10.5" customHeight="1" x14ac:dyDescent="0.2">
      <c r="G4953" s="889"/>
    </row>
    <row r="4954" spans="7:7" ht="10.5" customHeight="1" x14ac:dyDescent="0.2">
      <c r="G4954" s="889"/>
    </row>
    <row r="4955" spans="7:7" ht="10.5" customHeight="1" x14ac:dyDescent="0.2">
      <c r="G4955" s="889"/>
    </row>
    <row r="4956" spans="7:7" ht="10.5" customHeight="1" x14ac:dyDescent="0.2">
      <c r="G4956" s="889"/>
    </row>
    <row r="4957" spans="7:7" ht="10.5" customHeight="1" x14ac:dyDescent="0.2">
      <c r="G4957" s="889"/>
    </row>
    <row r="4958" spans="7:7" ht="10.5" customHeight="1" x14ac:dyDescent="0.2">
      <c r="G4958" s="889"/>
    </row>
    <row r="4959" spans="7:7" ht="10.5" customHeight="1" x14ac:dyDescent="0.2">
      <c r="G4959" s="889"/>
    </row>
    <row r="4960" spans="7:7" ht="10.5" customHeight="1" x14ac:dyDescent="0.2">
      <c r="G4960" s="889"/>
    </row>
    <row r="4961" spans="7:7" ht="10.5" customHeight="1" x14ac:dyDescent="0.2">
      <c r="G4961" s="889"/>
    </row>
    <row r="4962" spans="7:7" ht="10.5" customHeight="1" x14ac:dyDescent="0.2">
      <c r="G4962" s="889"/>
    </row>
    <row r="4963" spans="7:7" ht="10.5" customHeight="1" x14ac:dyDescent="0.2">
      <c r="G4963" s="889"/>
    </row>
    <row r="4964" spans="7:7" ht="10.5" customHeight="1" x14ac:dyDescent="0.2">
      <c r="G4964" s="889"/>
    </row>
    <row r="4965" spans="7:7" ht="10.5" customHeight="1" x14ac:dyDescent="0.2">
      <c r="G4965" s="889"/>
    </row>
    <row r="4966" spans="7:7" ht="10.5" customHeight="1" x14ac:dyDescent="0.2">
      <c r="G4966" s="889"/>
    </row>
    <row r="4967" spans="7:7" ht="10.5" customHeight="1" x14ac:dyDescent="0.2">
      <c r="G4967" s="889"/>
    </row>
    <row r="4968" spans="7:7" ht="10.5" customHeight="1" x14ac:dyDescent="0.2">
      <c r="G4968" s="889"/>
    </row>
    <row r="4969" spans="7:7" ht="10.5" customHeight="1" x14ac:dyDescent="0.2">
      <c r="G4969" s="889"/>
    </row>
    <row r="4970" spans="7:7" ht="10.5" customHeight="1" x14ac:dyDescent="0.2">
      <c r="G4970" s="889"/>
    </row>
    <row r="4971" spans="7:7" ht="10.5" customHeight="1" x14ac:dyDescent="0.2">
      <c r="G4971" s="889"/>
    </row>
    <row r="4972" spans="7:7" ht="10.5" customHeight="1" x14ac:dyDescent="0.2">
      <c r="G4972" s="889"/>
    </row>
    <row r="4973" spans="7:7" ht="10.5" customHeight="1" x14ac:dyDescent="0.2">
      <c r="G4973" s="889"/>
    </row>
    <row r="4974" spans="7:7" ht="10.5" customHeight="1" x14ac:dyDescent="0.2">
      <c r="G4974" s="889"/>
    </row>
    <row r="4975" spans="7:7" ht="10.5" customHeight="1" x14ac:dyDescent="0.2">
      <c r="G4975" s="889"/>
    </row>
    <row r="4976" spans="7:7" ht="10.5" customHeight="1" x14ac:dyDescent="0.2">
      <c r="G4976" s="889"/>
    </row>
    <row r="4977" spans="7:7" ht="10.5" customHeight="1" x14ac:dyDescent="0.2">
      <c r="G4977" s="889"/>
    </row>
    <row r="4978" spans="7:7" ht="10.5" customHeight="1" x14ac:dyDescent="0.2">
      <c r="G4978" s="889"/>
    </row>
    <row r="4979" spans="7:7" ht="10.5" customHeight="1" x14ac:dyDescent="0.2">
      <c r="G4979" s="889"/>
    </row>
    <row r="4980" spans="7:7" ht="10.5" customHeight="1" x14ac:dyDescent="0.2">
      <c r="G4980" s="889"/>
    </row>
    <row r="4981" spans="7:7" ht="10.5" customHeight="1" x14ac:dyDescent="0.2">
      <c r="G4981" s="889"/>
    </row>
    <row r="4982" spans="7:7" ht="10.5" customHeight="1" x14ac:dyDescent="0.2">
      <c r="G4982" s="889"/>
    </row>
    <row r="4983" spans="7:7" ht="10.5" customHeight="1" x14ac:dyDescent="0.2">
      <c r="G4983" s="889"/>
    </row>
    <row r="4984" spans="7:7" ht="10.5" customHeight="1" x14ac:dyDescent="0.2">
      <c r="G4984" s="889"/>
    </row>
    <row r="4985" spans="7:7" ht="10.5" customHeight="1" x14ac:dyDescent="0.2">
      <c r="G4985" s="889"/>
    </row>
    <row r="4986" spans="7:7" ht="10.5" customHeight="1" x14ac:dyDescent="0.2">
      <c r="G4986" s="889"/>
    </row>
    <row r="4987" spans="7:7" ht="10.5" customHeight="1" x14ac:dyDescent="0.2">
      <c r="G4987" s="889"/>
    </row>
    <row r="4988" spans="7:7" ht="10.5" customHeight="1" x14ac:dyDescent="0.2">
      <c r="G4988" s="889"/>
    </row>
    <row r="4989" spans="7:7" ht="10.5" customHeight="1" x14ac:dyDescent="0.2">
      <c r="G4989" s="889"/>
    </row>
    <row r="4990" spans="7:7" ht="10.5" customHeight="1" x14ac:dyDescent="0.2">
      <c r="G4990" s="889"/>
    </row>
    <row r="4991" spans="7:7" ht="10.5" customHeight="1" x14ac:dyDescent="0.2">
      <c r="G4991" s="889"/>
    </row>
    <row r="4992" spans="7:7" ht="10.5" customHeight="1" x14ac:dyDescent="0.2">
      <c r="G4992" s="889"/>
    </row>
    <row r="4993" spans="7:7" ht="10.5" customHeight="1" x14ac:dyDescent="0.2">
      <c r="G4993" s="889"/>
    </row>
    <row r="4994" spans="7:7" ht="10.5" customHeight="1" x14ac:dyDescent="0.2">
      <c r="G4994" s="889"/>
    </row>
    <row r="4995" spans="7:7" ht="10.5" customHeight="1" x14ac:dyDescent="0.2">
      <c r="G4995" s="889"/>
    </row>
    <row r="4996" spans="7:7" ht="10.5" customHeight="1" x14ac:dyDescent="0.2">
      <c r="G4996" s="889"/>
    </row>
    <row r="4997" spans="7:7" ht="10.5" customHeight="1" x14ac:dyDescent="0.2">
      <c r="G4997" s="889"/>
    </row>
    <row r="4998" spans="7:7" ht="10.5" customHeight="1" x14ac:dyDescent="0.2">
      <c r="G4998" s="889"/>
    </row>
    <row r="4999" spans="7:7" ht="10.5" customHeight="1" x14ac:dyDescent="0.2">
      <c r="G4999" s="889"/>
    </row>
    <row r="5000" spans="7:7" ht="10.5" customHeight="1" x14ac:dyDescent="0.2">
      <c r="G5000" s="889"/>
    </row>
    <row r="5001" spans="7:7" ht="10.5" customHeight="1" x14ac:dyDescent="0.2">
      <c r="G5001" s="889"/>
    </row>
    <row r="5002" spans="7:7" ht="10.5" customHeight="1" x14ac:dyDescent="0.2">
      <c r="G5002" s="889"/>
    </row>
    <row r="5003" spans="7:7" ht="10.5" customHeight="1" x14ac:dyDescent="0.2">
      <c r="G5003" s="889"/>
    </row>
    <row r="5004" spans="7:7" ht="10.5" customHeight="1" x14ac:dyDescent="0.2">
      <c r="G5004" s="889"/>
    </row>
    <row r="5005" spans="7:7" ht="10.5" customHeight="1" x14ac:dyDescent="0.2">
      <c r="G5005" s="889"/>
    </row>
    <row r="5006" spans="7:7" ht="10.5" customHeight="1" x14ac:dyDescent="0.2">
      <c r="G5006" s="889"/>
    </row>
    <row r="5007" spans="7:7" ht="10.5" customHeight="1" x14ac:dyDescent="0.2">
      <c r="G5007" s="889"/>
    </row>
    <row r="5008" spans="7:7" ht="10.5" customHeight="1" x14ac:dyDescent="0.2">
      <c r="G5008" s="889"/>
    </row>
    <row r="5009" spans="7:7" ht="10.5" customHeight="1" x14ac:dyDescent="0.2">
      <c r="G5009" s="889"/>
    </row>
    <row r="5010" spans="7:7" ht="10.5" customHeight="1" x14ac:dyDescent="0.2">
      <c r="G5010" s="889"/>
    </row>
    <row r="5011" spans="7:7" ht="10.5" customHeight="1" x14ac:dyDescent="0.2">
      <c r="G5011" s="889"/>
    </row>
    <row r="5012" spans="7:7" ht="10.5" customHeight="1" x14ac:dyDescent="0.2">
      <c r="G5012" s="889"/>
    </row>
    <row r="5013" spans="7:7" ht="10.5" customHeight="1" x14ac:dyDescent="0.2">
      <c r="G5013" s="889"/>
    </row>
    <row r="5014" spans="7:7" ht="10.5" customHeight="1" x14ac:dyDescent="0.2">
      <c r="G5014" s="889"/>
    </row>
    <row r="5015" spans="7:7" ht="10.5" customHeight="1" x14ac:dyDescent="0.2">
      <c r="G5015" s="889"/>
    </row>
    <row r="5016" spans="7:7" ht="10.5" customHeight="1" x14ac:dyDescent="0.2">
      <c r="G5016" s="889"/>
    </row>
    <row r="5017" spans="7:7" ht="10.5" customHeight="1" x14ac:dyDescent="0.2">
      <c r="G5017" s="889"/>
    </row>
    <row r="5018" spans="7:7" ht="10.5" customHeight="1" x14ac:dyDescent="0.2">
      <c r="G5018" s="889"/>
    </row>
    <row r="5019" spans="7:7" ht="10.5" customHeight="1" x14ac:dyDescent="0.2">
      <c r="G5019" s="889"/>
    </row>
    <row r="5020" spans="7:7" ht="10.5" customHeight="1" x14ac:dyDescent="0.2">
      <c r="G5020" s="889"/>
    </row>
    <row r="5021" spans="7:7" ht="10.5" customHeight="1" x14ac:dyDescent="0.2">
      <c r="G5021" s="889"/>
    </row>
    <row r="5022" spans="7:7" ht="10.5" customHeight="1" x14ac:dyDescent="0.2">
      <c r="G5022" s="889"/>
    </row>
    <row r="5023" spans="7:7" ht="10.5" customHeight="1" x14ac:dyDescent="0.2">
      <c r="G5023" s="889"/>
    </row>
    <row r="5024" spans="7:7" ht="10.5" customHeight="1" x14ac:dyDescent="0.2">
      <c r="G5024" s="889"/>
    </row>
    <row r="5025" spans="7:7" ht="10.5" customHeight="1" x14ac:dyDescent="0.2">
      <c r="G5025" s="889"/>
    </row>
    <row r="5026" spans="7:7" ht="10.5" customHeight="1" x14ac:dyDescent="0.2">
      <c r="G5026" s="889"/>
    </row>
    <row r="5027" spans="7:7" ht="10.5" customHeight="1" x14ac:dyDescent="0.2">
      <c r="G5027" s="889"/>
    </row>
    <row r="5028" spans="7:7" ht="10.5" customHeight="1" x14ac:dyDescent="0.2">
      <c r="G5028" s="889"/>
    </row>
    <row r="5029" spans="7:7" ht="10.5" customHeight="1" x14ac:dyDescent="0.2">
      <c r="G5029" s="889"/>
    </row>
    <row r="5030" spans="7:7" ht="10.5" customHeight="1" x14ac:dyDescent="0.2">
      <c r="G5030" s="889"/>
    </row>
    <row r="5031" spans="7:7" ht="10.5" customHeight="1" x14ac:dyDescent="0.2">
      <c r="G5031" s="889"/>
    </row>
    <row r="5032" spans="7:7" ht="10.5" customHeight="1" x14ac:dyDescent="0.2">
      <c r="G5032" s="889"/>
    </row>
    <row r="5033" spans="7:7" ht="10.5" customHeight="1" x14ac:dyDescent="0.2">
      <c r="G5033" s="889"/>
    </row>
    <row r="5034" spans="7:7" ht="10.5" customHeight="1" x14ac:dyDescent="0.2">
      <c r="G5034" s="889"/>
    </row>
    <row r="5035" spans="7:7" ht="10.5" customHeight="1" x14ac:dyDescent="0.2">
      <c r="G5035" s="889"/>
    </row>
    <row r="5036" spans="7:7" ht="10.5" customHeight="1" x14ac:dyDescent="0.2">
      <c r="G5036" s="889"/>
    </row>
    <row r="5037" spans="7:7" ht="10.5" customHeight="1" x14ac:dyDescent="0.2">
      <c r="G5037" s="889"/>
    </row>
    <row r="5038" spans="7:7" ht="10.5" customHeight="1" x14ac:dyDescent="0.2">
      <c r="G5038" s="889"/>
    </row>
    <row r="5039" spans="7:7" ht="10.5" customHeight="1" x14ac:dyDescent="0.2">
      <c r="G5039" s="889"/>
    </row>
    <row r="5040" spans="7:7" ht="10.5" customHeight="1" x14ac:dyDescent="0.2">
      <c r="G5040" s="889"/>
    </row>
    <row r="5041" spans="7:7" ht="10.5" customHeight="1" x14ac:dyDescent="0.2">
      <c r="G5041" s="889"/>
    </row>
    <row r="5042" spans="7:7" ht="10.5" customHeight="1" x14ac:dyDescent="0.2">
      <c r="G5042" s="889"/>
    </row>
    <row r="5043" spans="7:7" ht="10.5" customHeight="1" x14ac:dyDescent="0.2">
      <c r="G5043" s="889"/>
    </row>
    <row r="5044" spans="7:7" ht="10.5" customHeight="1" x14ac:dyDescent="0.2">
      <c r="G5044" s="889"/>
    </row>
    <row r="5045" spans="7:7" ht="10.5" customHeight="1" x14ac:dyDescent="0.2">
      <c r="G5045" s="889"/>
    </row>
    <row r="5046" spans="7:7" ht="10.5" customHeight="1" x14ac:dyDescent="0.2">
      <c r="G5046" s="889"/>
    </row>
    <row r="5047" spans="7:7" ht="10.5" customHeight="1" x14ac:dyDescent="0.2">
      <c r="G5047" s="889"/>
    </row>
    <row r="5048" spans="7:7" ht="10.5" customHeight="1" x14ac:dyDescent="0.2">
      <c r="G5048" s="889"/>
    </row>
    <row r="5049" spans="7:7" ht="10.5" customHeight="1" x14ac:dyDescent="0.2">
      <c r="G5049" s="889"/>
    </row>
    <row r="5050" spans="7:7" ht="10.5" customHeight="1" x14ac:dyDescent="0.2">
      <c r="G5050" s="889"/>
    </row>
    <row r="5051" spans="7:7" ht="10.5" customHeight="1" x14ac:dyDescent="0.2">
      <c r="G5051" s="889"/>
    </row>
    <row r="5052" spans="7:7" ht="10.5" customHeight="1" x14ac:dyDescent="0.2">
      <c r="G5052" s="889"/>
    </row>
    <row r="5053" spans="7:7" ht="10.5" customHeight="1" x14ac:dyDescent="0.2">
      <c r="G5053" s="889"/>
    </row>
    <row r="5054" spans="7:7" ht="10.5" customHeight="1" x14ac:dyDescent="0.2">
      <c r="G5054" s="889"/>
    </row>
    <row r="5055" spans="7:7" ht="10.5" customHeight="1" x14ac:dyDescent="0.2">
      <c r="G5055" s="889"/>
    </row>
    <row r="5056" spans="7:7" ht="10.5" customHeight="1" x14ac:dyDescent="0.2">
      <c r="G5056" s="889"/>
    </row>
    <row r="5057" spans="7:7" ht="10.5" customHeight="1" x14ac:dyDescent="0.2">
      <c r="G5057" s="889"/>
    </row>
    <row r="5058" spans="7:7" ht="10.5" customHeight="1" x14ac:dyDescent="0.2">
      <c r="G5058" s="889"/>
    </row>
    <row r="5059" spans="7:7" ht="10.5" customHeight="1" x14ac:dyDescent="0.2">
      <c r="G5059" s="889"/>
    </row>
    <row r="5060" spans="7:7" ht="10.5" customHeight="1" x14ac:dyDescent="0.2">
      <c r="G5060" s="889"/>
    </row>
    <row r="5061" spans="7:7" ht="10.5" customHeight="1" x14ac:dyDescent="0.2">
      <c r="G5061" s="889"/>
    </row>
    <row r="5062" spans="7:7" ht="10.5" customHeight="1" x14ac:dyDescent="0.2">
      <c r="G5062" s="889"/>
    </row>
    <row r="5063" spans="7:7" ht="10.5" customHeight="1" x14ac:dyDescent="0.2">
      <c r="G5063" s="889"/>
    </row>
    <row r="5064" spans="7:7" ht="10.5" customHeight="1" x14ac:dyDescent="0.2">
      <c r="G5064" s="889"/>
    </row>
    <row r="5065" spans="7:7" ht="10.5" customHeight="1" x14ac:dyDescent="0.2">
      <c r="G5065" s="889"/>
    </row>
    <row r="5066" spans="7:7" ht="10.5" customHeight="1" x14ac:dyDescent="0.2">
      <c r="G5066" s="889"/>
    </row>
    <row r="5067" spans="7:7" ht="10.5" customHeight="1" x14ac:dyDescent="0.2">
      <c r="G5067" s="889"/>
    </row>
    <row r="5068" spans="7:7" ht="10.5" customHeight="1" x14ac:dyDescent="0.2">
      <c r="G5068" s="889"/>
    </row>
    <row r="5069" spans="7:7" ht="10.5" customHeight="1" x14ac:dyDescent="0.2">
      <c r="G5069" s="889"/>
    </row>
    <row r="5070" spans="7:7" ht="10.5" customHeight="1" x14ac:dyDescent="0.2">
      <c r="G5070" s="889"/>
    </row>
    <row r="5071" spans="7:7" ht="10.5" customHeight="1" x14ac:dyDescent="0.2">
      <c r="G5071" s="889"/>
    </row>
    <row r="5072" spans="7:7" ht="10.5" customHeight="1" x14ac:dyDescent="0.2">
      <c r="G5072" s="889"/>
    </row>
    <row r="5073" spans="7:7" ht="10.5" customHeight="1" x14ac:dyDescent="0.2">
      <c r="G5073" s="889"/>
    </row>
    <row r="5074" spans="7:7" ht="10.5" customHeight="1" x14ac:dyDescent="0.2">
      <c r="G5074" s="889"/>
    </row>
    <row r="5075" spans="7:7" ht="10.5" customHeight="1" x14ac:dyDescent="0.2">
      <c r="G5075" s="889"/>
    </row>
    <row r="5076" spans="7:7" ht="10.5" customHeight="1" x14ac:dyDescent="0.2">
      <c r="G5076" s="889"/>
    </row>
    <row r="5077" spans="7:7" ht="10.5" customHeight="1" x14ac:dyDescent="0.2">
      <c r="G5077" s="889"/>
    </row>
    <row r="5078" spans="7:7" ht="10.5" customHeight="1" x14ac:dyDescent="0.2">
      <c r="G5078" s="889"/>
    </row>
    <row r="5079" spans="7:7" ht="10.5" customHeight="1" x14ac:dyDescent="0.2">
      <c r="G5079" s="889"/>
    </row>
    <row r="5080" spans="7:7" ht="10.5" customHeight="1" x14ac:dyDescent="0.2">
      <c r="G5080" s="889"/>
    </row>
    <row r="5081" spans="7:7" ht="10.5" customHeight="1" x14ac:dyDescent="0.2">
      <c r="G5081" s="889"/>
    </row>
    <row r="5082" spans="7:7" ht="10.5" customHeight="1" x14ac:dyDescent="0.2">
      <c r="G5082" s="889"/>
    </row>
    <row r="5083" spans="7:7" ht="10.5" customHeight="1" x14ac:dyDescent="0.2">
      <c r="G5083" s="889"/>
    </row>
    <row r="5084" spans="7:7" ht="10.5" customHeight="1" x14ac:dyDescent="0.2">
      <c r="G5084" s="889"/>
    </row>
    <row r="5085" spans="7:7" ht="10.5" customHeight="1" x14ac:dyDescent="0.2">
      <c r="G5085" s="889"/>
    </row>
    <row r="5086" spans="7:7" ht="10.5" customHeight="1" x14ac:dyDescent="0.2">
      <c r="G5086" s="889"/>
    </row>
    <row r="5087" spans="7:7" ht="10.5" customHeight="1" x14ac:dyDescent="0.2">
      <c r="G5087" s="889"/>
    </row>
    <row r="5088" spans="7:7" ht="10.5" customHeight="1" x14ac:dyDescent="0.2">
      <c r="G5088" s="889"/>
    </row>
    <row r="5089" spans="7:7" ht="10.5" customHeight="1" x14ac:dyDescent="0.2">
      <c r="G5089" s="889"/>
    </row>
    <row r="5090" spans="7:7" ht="10.5" customHeight="1" x14ac:dyDescent="0.2">
      <c r="G5090" s="889"/>
    </row>
    <row r="5091" spans="7:7" ht="10.5" customHeight="1" x14ac:dyDescent="0.2">
      <c r="G5091" s="889"/>
    </row>
    <row r="5092" spans="7:7" ht="10.5" customHeight="1" x14ac:dyDescent="0.2">
      <c r="G5092" s="889"/>
    </row>
    <row r="5093" spans="7:7" ht="10.5" customHeight="1" x14ac:dyDescent="0.2">
      <c r="G5093" s="889"/>
    </row>
    <row r="5094" spans="7:7" ht="10.5" customHeight="1" x14ac:dyDescent="0.2">
      <c r="G5094" s="889"/>
    </row>
    <row r="5095" spans="7:7" ht="10.5" customHeight="1" x14ac:dyDescent="0.2">
      <c r="G5095" s="889"/>
    </row>
    <row r="5096" spans="7:7" ht="10.5" customHeight="1" x14ac:dyDescent="0.2">
      <c r="G5096" s="889"/>
    </row>
    <row r="5097" spans="7:7" ht="10.5" customHeight="1" x14ac:dyDescent="0.2">
      <c r="G5097" s="889"/>
    </row>
    <row r="5098" spans="7:7" ht="10.5" customHeight="1" x14ac:dyDescent="0.2">
      <c r="G5098" s="889"/>
    </row>
    <row r="5099" spans="7:7" ht="10.5" customHeight="1" x14ac:dyDescent="0.2">
      <c r="G5099" s="889"/>
    </row>
    <row r="5100" spans="7:7" ht="10.5" customHeight="1" x14ac:dyDescent="0.2">
      <c r="G5100" s="889"/>
    </row>
    <row r="5101" spans="7:7" ht="10.5" customHeight="1" x14ac:dyDescent="0.2">
      <c r="G5101" s="889"/>
    </row>
    <row r="5102" spans="7:7" ht="10.5" customHeight="1" x14ac:dyDescent="0.2">
      <c r="G5102" s="889"/>
    </row>
    <row r="5103" spans="7:7" ht="10.5" customHeight="1" x14ac:dyDescent="0.2">
      <c r="G5103" s="889"/>
    </row>
    <row r="5104" spans="7:7" ht="10.5" customHeight="1" x14ac:dyDescent="0.2">
      <c r="G5104" s="889"/>
    </row>
    <row r="5105" spans="7:7" ht="10.5" customHeight="1" x14ac:dyDescent="0.2">
      <c r="G5105" s="889"/>
    </row>
    <row r="5106" spans="7:7" ht="10.5" customHeight="1" x14ac:dyDescent="0.2">
      <c r="G5106" s="889"/>
    </row>
    <row r="5107" spans="7:7" ht="10.5" customHeight="1" x14ac:dyDescent="0.2">
      <c r="G5107" s="889"/>
    </row>
    <row r="5108" spans="7:7" ht="10.5" customHeight="1" x14ac:dyDescent="0.2">
      <c r="G5108" s="889"/>
    </row>
    <row r="5109" spans="7:7" ht="10.5" customHeight="1" x14ac:dyDescent="0.2">
      <c r="G5109" s="889"/>
    </row>
    <row r="5110" spans="7:7" ht="10.5" customHeight="1" x14ac:dyDescent="0.2">
      <c r="G5110" s="889"/>
    </row>
    <row r="5111" spans="7:7" ht="10.5" customHeight="1" x14ac:dyDescent="0.2">
      <c r="G5111" s="889"/>
    </row>
    <row r="5112" spans="7:7" ht="10.5" customHeight="1" x14ac:dyDescent="0.2">
      <c r="G5112" s="889"/>
    </row>
    <row r="5113" spans="7:7" ht="10.5" customHeight="1" x14ac:dyDescent="0.2">
      <c r="G5113" s="889"/>
    </row>
    <row r="5114" spans="7:7" ht="10.5" customHeight="1" x14ac:dyDescent="0.2">
      <c r="G5114" s="889"/>
    </row>
    <row r="5115" spans="7:7" ht="10.5" customHeight="1" x14ac:dyDescent="0.2">
      <c r="G5115" s="889"/>
    </row>
    <row r="5116" spans="7:7" ht="10.5" customHeight="1" x14ac:dyDescent="0.2">
      <c r="G5116" s="889"/>
    </row>
    <row r="5117" spans="7:7" ht="10.5" customHeight="1" x14ac:dyDescent="0.2">
      <c r="G5117" s="889"/>
    </row>
    <row r="5118" spans="7:7" ht="10.5" customHeight="1" x14ac:dyDescent="0.2">
      <c r="G5118" s="889"/>
    </row>
    <row r="5119" spans="7:7" ht="10.5" customHeight="1" x14ac:dyDescent="0.2">
      <c r="G5119" s="889"/>
    </row>
    <row r="5120" spans="7:7" ht="10.5" customHeight="1" x14ac:dyDescent="0.2">
      <c r="G5120" s="889"/>
    </row>
    <row r="5121" spans="7:7" ht="10.5" customHeight="1" x14ac:dyDescent="0.2">
      <c r="G5121" s="889"/>
    </row>
    <row r="5122" spans="7:7" ht="10.5" customHeight="1" x14ac:dyDescent="0.2">
      <c r="G5122" s="889"/>
    </row>
    <row r="5123" spans="7:7" ht="10.5" customHeight="1" x14ac:dyDescent="0.2">
      <c r="G5123" s="889"/>
    </row>
    <row r="5124" spans="7:7" ht="10.5" customHeight="1" x14ac:dyDescent="0.2">
      <c r="G5124" s="889"/>
    </row>
    <row r="5125" spans="7:7" ht="10.5" customHeight="1" x14ac:dyDescent="0.2">
      <c r="G5125" s="889"/>
    </row>
    <row r="5126" spans="7:7" ht="10.5" customHeight="1" x14ac:dyDescent="0.2">
      <c r="G5126" s="889"/>
    </row>
    <row r="5127" spans="7:7" ht="10.5" customHeight="1" x14ac:dyDescent="0.2">
      <c r="G5127" s="889"/>
    </row>
    <row r="5128" spans="7:7" ht="10.5" customHeight="1" x14ac:dyDescent="0.2">
      <c r="G5128" s="889"/>
    </row>
    <row r="5129" spans="7:7" ht="10.5" customHeight="1" x14ac:dyDescent="0.2">
      <c r="G5129" s="889"/>
    </row>
    <row r="5130" spans="7:7" ht="10.5" customHeight="1" x14ac:dyDescent="0.2">
      <c r="G5130" s="889"/>
    </row>
    <row r="5131" spans="7:7" ht="10.5" customHeight="1" x14ac:dyDescent="0.2">
      <c r="G5131" s="889"/>
    </row>
    <row r="5132" spans="7:7" ht="10.5" customHeight="1" x14ac:dyDescent="0.2">
      <c r="G5132" s="889"/>
    </row>
    <row r="5133" spans="7:7" ht="10.5" customHeight="1" x14ac:dyDescent="0.2">
      <c r="G5133" s="889"/>
    </row>
    <row r="5134" spans="7:7" ht="10.5" customHeight="1" x14ac:dyDescent="0.2">
      <c r="G5134" s="889"/>
    </row>
    <row r="5135" spans="7:7" ht="10.5" customHeight="1" x14ac:dyDescent="0.2">
      <c r="G5135" s="889"/>
    </row>
    <row r="5136" spans="7:7" ht="10.5" customHeight="1" x14ac:dyDescent="0.2">
      <c r="G5136" s="889"/>
    </row>
    <row r="5137" spans="7:7" ht="10.5" customHeight="1" x14ac:dyDescent="0.2">
      <c r="G5137" s="889"/>
    </row>
    <row r="5138" spans="7:7" ht="10.5" customHeight="1" x14ac:dyDescent="0.2">
      <c r="G5138" s="889"/>
    </row>
    <row r="5139" spans="7:7" ht="10.5" customHeight="1" x14ac:dyDescent="0.2">
      <c r="G5139" s="889"/>
    </row>
    <row r="5140" spans="7:7" ht="10.5" customHeight="1" x14ac:dyDescent="0.2">
      <c r="G5140" s="889"/>
    </row>
    <row r="5141" spans="7:7" ht="10.5" customHeight="1" x14ac:dyDescent="0.2">
      <c r="G5141" s="889"/>
    </row>
    <row r="5142" spans="7:7" ht="10.5" customHeight="1" x14ac:dyDescent="0.2">
      <c r="G5142" s="889"/>
    </row>
    <row r="5143" spans="7:7" ht="10.5" customHeight="1" x14ac:dyDescent="0.2">
      <c r="G5143" s="889"/>
    </row>
    <row r="5144" spans="7:7" ht="10.5" customHeight="1" x14ac:dyDescent="0.2">
      <c r="G5144" s="889"/>
    </row>
    <row r="5145" spans="7:7" ht="10.5" customHeight="1" x14ac:dyDescent="0.2">
      <c r="G5145" s="889"/>
    </row>
    <row r="5146" spans="7:7" ht="10.5" customHeight="1" x14ac:dyDescent="0.2">
      <c r="G5146" s="889"/>
    </row>
    <row r="5147" spans="7:7" ht="10.5" customHeight="1" x14ac:dyDescent="0.2">
      <c r="G5147" s="889"/>
    </row>
    <row r="5148" spans="7:7" ht="10.5" customHeight="1" x14ac:dyDescent="0.2">
      <c r="G5148" s="889"/>
    </row>
    <row r="5149" spans="7:7" ht="10.5" customHeight="1" x14ac:dyDescent="0.2">
      <c r="G5149" s="889"/>
    </row>
    <row r="5150" spans="7:7" ht="10.5" customHeight="1" x14ac:dyDescent="0.2">
      <c r="G5150" s="889"/>
    </row>
    <row r="5151" spans="7:7" ht="10.5" customHeight="1" x14ac:dyDescent="0.2">
      <c r="G5151" s="889"/>
    </row>
    <row r="5152" spans="7:7" ht="10.5" customHeight="1" x14ac:dyDescent="0.2">
      <c r="G5152" s="889"/>
    </row>
    <row r="5153" spans="7:7" ht="10.5" customHeight="1" x14ac:dyDescent="0.2">
      <c r="G5153" s="889"/>
    </row>
    <row r="5154" spans="7:7" ht="10.5" customHeight="1" x14ac:dyDescent="0.2">
      <c r="G5154" s="889"/>
    </row>
    <row r="5155" spans="7:7" ht="10.5" customHeight="1" x14ac:dyDescent="0.2">
      <c r="G5155" s="889"/>
    </row>
    <row r="5156" spans="7:7" ht="10.5" customHeight="1" x14ac:dyDescent="0.2">
      <c r="G5156" s="889"/>
    </row>
    <row r="5157" spans="7:7" ht="10.5" customHeight="1" x14ac:dyDescent="0.2">
      <c r="G5157" s="889"/>
    </row>
    <row r="5158" spans="7:7" ht="10.5" customHeight="1" x14ac:dyDescent="0.2">
      <c r="G5158" s="889"/>
    </row>
    <row r="5159" spans="7:7" ht="10.5" customHeight="1" x14ac:dyDescent="0.2">
      <c r="G5159" s="889"/>
    </row>
    <row r="5160" spans="7:7" ht="10.5" customHeight="1" x14ac:dyDescent="0.2">
      <c r="G5160" s="889"/>
    </row>
    <row r="5161" spans="7:7" ht="10.5" customHeight="1" x14ac:dyDescent="0.2">
      <c r="G5161" s="889"/>
    </row>
    <row r="5162" spans="7:7" ht="10.5" customHeight="1" x14ac:dyDescent="0.2">
      <c r="G5162" s="889"/>
    </row>
    <row r="5163" spans="7:7" ht="10.5" customHeight="1" x14ac:dyDescent="0.2">
      <c r="G5163" s="889"/>
    </row>
    <row r="5164" spans="7:7" ht="10.5" customHeight="1" x14ac:dyDescent="0.2">
      <c r="G5164" s="889"/>
    </row>
    <row r="5165" spans="7:7" ht="10.5" customHeight="1" x14ac:dyDescent="0.2">
      <c r="G5165" s="889"/>
    </row>
    <row r="5166" spans="7:7" ht="10.5" customHeight="1" x14ac:dyDescent="0.2">
      <c r="G5166" s="889"/>
    </row>
    <row r="5167" spans="7:7" ht="10.5" customHeight="1" x14ac:dyDescent="0.2">
      <c r="G5167" s="889"/>
    </row>
    <row r="5168" spans="7:7" ht="10.5" customHeight="1" x14ac:dyDescent="0.2">
      <c r="G5168" s="889"/>
    </row>
    <row r="5169" spans="7:7" ht="10.5" customHeight="1" x14ac:dyDescent="0.2">
      <c r="G5169" s="889"/>
    </row>
    <row r="5170" spans="7:7" ht="10.5" customHeight="1" x14ac:dyDescent="0.2">
      <c r="G5170" s="889"/>
    </row>
    <row r="5171" spans="7:7" ht="10.5" customHeight="1" x14ac:dyDescent="0.2">
      <c r="G5171" s="889"/>
    </row>
    <row r="5172" spans="7:7" ht="10.5" customHeight="1" x14ac:dyDescent="0.2">
      <c r="G5172" s="889"/>
    </row>
    <row r="5173" spans="7:7" ht="10.5" customHeight="1" x14ac:dyDescent="0.2">
      <c r="G5173" s="889"/>
    </row>
    <row r="5174" spans="7:7" ht="10.5" customHeight="1" x14ac:dyDescent="0.2">
      <c r="G5174" s="889"/>
    </row>
    <row r="5175" spans="7:7" ht="10.5" customHeight="1" x14ac:dyDescent="0.2">
      <c r="G5175" s="889"/>
    </row>
    <row r="5176" spans="7:7" ht="10.5" customHeight="1" x14ac:dyDescent="0.2">
      <c r="G5176" s="889"/>
    </row>
    <row r="5177" spans="7:7" ht="10.5" customHeight="1" x14ac:dyDescent="0.2">
      <c r="G5177" s="889"/>
    </row>
    <row r="5178" spans="7:7" ht="10.5" customHeight="1" x14ac:dyDescent="0.2">
      <c r="G5178" s="889"/>
    </row>
    <row r="5179" spans="7:7" ht="10.5" customHeight="1" x14ac:dyDescent="0.2">
      <c r="G5179" s="889"/>
    </row>
    <row r="5180" spans="7:7" ht="10.5" customHeight="1" x14ac:dyDescent="0.2">
      <c r="G5180" s="889"/>
    </row>
    <row r="5181" spans="7:7" ht="10.5" customHeight="1" x14ac:dyDescent="0.2">
      <c r="G5181" s="889"/>
    </row>
    <row r="5182" spans="7:7" ht="10.5" customHeight="1" x14ac:dyDescent="0.2">
      <c r="G5182" s="889"/>
    </row>
    <row r="5183" spans="7:7" ht="10.5" customHeight="1" x14ac:dyDescent="0.2">
      <c r="G5183" s="889"/>
    </row>
    <row r="5184" spans="7:7" ht="10.5" customHeight="1" x14ac:dyDescent="0.2">
      <c r="G5184" s="889"/>
    </row>
    <row r="5185" spans="7:7" ht="10.5" customHeight="1" x14ac:dyDescent="0.2">
      <c r="G5185" s="889"/>
    </row>
    <row r="5186" spans="7:7" ht="10.5" customHeight="1" x14ac:dyDescent="0.2">
      <c r="G5186" s="889"/>
    </row>
    <row r="5187" spans="7:7" ht="10.5" customHeight="1" x14ac:dyDescent="0.2">
      <c r="G5187" s="889"/>
    </row>
    <row r="5188" spans="7:7" ht="10.5" customHeight="1" x14ac:dyDescent="0.2">
      <c r="G5188" s="889"/>
    </row>
    <row r="5189" spans="7:7" ht="10.5" customHeight="1" x14ac:dyDescent="0.2">
      <c r="G5189" s="889"/>
    </row>
    <row r="5190" spans="7:7" ht="10.5" customHeight="1" x14ac:dyDescent="0.2">
      <c r="G5190" s="889"/>
    </row>
    <row r="5191" spans="7:7" ht="10.5" customHeight="1" x14ac:dyDescent="0.2">
      <c r="G5191" s="889"/>
    </row>
    <row r="5192" spans="7:7" ht="10.5" customHeight="1" x14ac:dyDescent="0.2">
      <c r="G5192" s="889"/>
    </row>
    <row r="5193" spans="7:7" ht="10.5" customHeight="1" x14ac:dyDescent="0.2">
      <c r="G5193" s="889"/>
    </row>
    <row r="5194" spans="7:7" ht="10.5" customHeight="1" x14ac:dyDescent="0.2">
      <c r="G5194" s="889"/>
    </row>
    <row r="5195" spans="7:7" ht="10.5" customHeight="1" x14ac:dyDescent="0.2">
      <c r="G5195" s="889"/>
    </row>
    <row r="5196" spans="7:7" ht="10.5" customHeight="1" x14ac:dyDescent="0.2">
      <c r="G5196" s="889"/>
    </row>
    <row r="5197" spans="7:7" ht="10.5" customHeight="1" x14ac:dyDescent="0.2">
      <c r="G5197" s="889"/>
    </row>
    <row r="5198" spans="7:7" ht="10.5" customHeight="1" x14ac:dyDescent="0.2">
      <c r="G5198" s="889"/>
    </row>
    <row r="5199" spans="7:7" ht="10.5" customHeight="1" x14ac:dyDescent="0.2">
      <c r="G5199" s="889"/>
    </row>
    <row r="5200" spans="7:7" ht="10.5" customHeight="1" x14ac:dyDescent="0.2">
      <c r="G5200" s="889"/>
    </row>
    <row r="5201" spans="7:7" ht="10.5" customHeight="1" x14ac:dyDescent="0.2">
      <c r="G5201" s="889"/>
    </row>
    <row r="5202" spans="7:7" ht="10.5" customHeight="1" x14ac:dyDescent="0.2">
      <c r="G5202" s="889"/>
    </row>
    <row r="5203" spans="7:7" ht="10.5" customHeight="1" x14ac:dyDescent="0.2">
      <c r="G5203" s="889"/>
    </row>
    <row r="5204" spans="7:7" ht="10.5" customHeight="1" x14ac:dyDescent="0.2">
      <c r="G5204" s="889"/>
    </row>
    <row r="5205" spans="7:7" ht="10.5" customHeight="1" x14ac:dyDescent="0.2">
      <c r="G5205" s="889"/>
    </row>
    <row r="5206" spans="7:7" ht="10.5" customHeight="1" x14ac:dyDescent="0.2">
      <c r="G5206" s="889"/>
    </row>
    <row r="5207" spans="7:7" ht="10.5" customHeight="1" x14ac:dyDescent="0.2">
      <c r="G5207" s="889"/>
    </row>
    <row r="5208" spans="7:7" ht="10.5" customHeight="1" x14ac:dyDescent="0.2">
      <c r="G5208" s="889"/>
    </row>
    <row r="5209" spans="7:7" ht="10.5" customHeight="1" x14ac:dyDescent="0.2">
      <c r="G5209" s="889"/>
    </row>
    <row r="5210" spans="7:7" ht="10.5" customHeight="1" x14ac:dyDescent="0.2">
      <c r="G5210" s="889"/>
    </row>
    <row r="5211" spans="7:7" ht="10.5" customHeight="1" x14ac:dyDescent="0.2">
      <c r="G5211" s="889"/>
    </row>
    <row r="5212" spans="7:7" ht="10.5" customHeight="1" x14ac:dyDescent="0.2">
      <c r="G5212" s="889"/>
    </row>
    <row r="5213" spans="7:7" ht="10.5" customHeight="1" x14ac:dyDescent="0.2">
      <c r="G5213" s="889"/>
    </row>
    <row r="5214" spans="7:7" ht="10.5" customHeight="1" x14ac:dyDescent="0.2">
      <c r="G5214" s="889"/>
    </row>
    <row r="5215" spans="7:7" ht="10.5" customHeight="1" x14ac:dyDescent="0.2">
      <c r="G5215" s="889"/>
    </row>
    <row r="5216" spans="7:7" ht="10.5" customHeight="1" x14ac:dyDescent="0.2">
      <c r="G5216" s="889"/>
    </row>
    <row r="5217" spans="7:7" ht="10.5" customHeight="1" x14ac:dyDescent="0.2">
      <c r="G5217" s="889"/>
    </row>
    <row r="5218" spans="7:7" ht="10.5" customHeight="1" x14ac:dyDescent="0.2">
      <c r="G5218" s="889"/>
    </row>
    <row r="5219" spans="7:7" ht="10.5" customHeight="1" x14ac:dyDescent="0.2">
      <c r="G5219" s="889"/>
    </row>
    <row r="5220" spans="7:7" ht="10.5" customHeight="1" x14ac:dyDescent="0.2">
      <c r="G5220" s="889"/>
    </row>
    <row r="5221" spans="7:7" ht="10.5" customHeight="1" x14ac:dyDescent="0.2">
      <c r="G5221" s="889"/>
    </row>
    <row r="5222" spans="7:7" ht="10.5" customHeight="1" x14ac:dyDescent="0.2">
      <c r="G5222" s="889"/>
    </row>
    <row r="5223" spans="7:7" ht="10.5" customHeight="1" x14ac:dyDescent="0.2">
      <c r="G5223" s="889"/>
    </row>
    <row r="5224" spans="7:7" ht="10.5" customHeight="1" x14ac:dyDescent="0.2">
      <c r="G5224" s="889"/>
    </row>
    <row r="5225" spans="7:7" ht="10.5" customHeight="1" x14ac:dyDescent="0.2">
      <c r="G5225" s="889"/>
    </row>
    <row r="5226" spans="7:7" ht="10.5" customHeight="1" x14ac:dyDescent="0.2">
      <c r="G5226" s="889"/>
    </row>
    <row r="5227" spans="7:7" ht="10.5" customHeight="1" x14ac:dyDescent="0.2">
      <c r="G5227" s="889"/>
    </row>
    <row r="5228" spans="7:7" ht="10.5" customHeight="1" x14ac:dyDescent="0.2">
      <c r="G5228" s="889"/>
    </row>
    <row r="5229" spans="7:7" ht="10.5" customHeight="1" x14ac:dyDescent="0.2">
      <c r="G5229" s="889"/>
    </row>
    <row r="5230" spans="7:7" ht="10.5" customHeight="1" x14ac:dyDescent="0.2">
      <c r="G5230" s="889"/>
    </row>
    <row r="5231" spans="7:7" ht="10.5" customHeight="1" x14ac:dyDescent="0.2">
      <c r="G5231" s="889"/>
    </row>
    <row r="5232" spans="7:7" ht="10.5" customHeight="1" x14ac:dyDescent="0.2">
      <c r="G5232" s="889"/>
    </row>
    <row r="5233" spans="7:7" ht="10.5" customHeight="1" x14ac:dyDescent="0.2">
      <c r="G5233" s="889"/>
    </row>
    <row r="5234" spans="7:7" ht="10.5" customHeight="1" x14ac:dyDescent="0.2">
      <c r="G5234" s="889"/>
    </row>
    <row r="5235" spans="7:7" ht="10.5" customHeight="1" x14ac:dyDescent="0.2">
      <c r="G5235" s="889"/>
    </row>
    <row r="5236" spans="7:7" ht="10.5" customHeight="1" x14ac:dyDescent="0.2">
      <c r="G5236" s="889"/>
    </row>
    <row r="5237" spans="7:7" ht="10.5" customHeight="1" x14ac:dyDescent="0.2">
      <c r="G5237" s="889"/>
    </row>
    <row r="5238" spans="7:7" ht="10.5" customHeight="1" x14ac:dyDescent="0.2">
      <c r="G5238" s="889"/>
    </row>
    <row r="5239" spans="7:7" ht="10.5" customHeight="1" x14ac:dyDescent="0.2">
      <c r="G5239" s="889"/>
    </row>
    <row r="5240" spans="7:7" ht="10.5" customHeight="1" x14ac:dyDescent="0.2">
      <c r="G5240" s="889"/>
    </row>
    <row r="5241" spans="7:7" ht="10.5" customHeight="1" x14ac:dyDescent="0.2">
      <c r="G5241" s="889"/>
    </row>
    <row r="5242" spans="7:7" ht="10.5" customHeight="1" x14ac:dyDescent="0.2">
      <c r="G5242" s="889"/>
    </row>
    <row r="5243" spans="7:7" ht="10.5" customHeight="1" x14ac:dyDescent="0.2">
      <c r="G5243" s="889"/>
    </row>
    <row r="5244" spans="7:7" ht="10.5" customHeight="1" x14ac:dyDescent="0.2">
      <c r="G5244" s="889"/>
    </row>
    <row r="5245" spans="7:7" ht="10.5" customHeight="1" x14ac:dyDescent="0.2">
      <c r="G5245" s="889"/>
    </row>
    <row r="5246" spans="7:7" ht="10.5" customHeight="1" x14ac:dyDescent="0.2">
      <c r="G5246" s="889"/>
    </row>
    <row r="5247" spans="7:7" ht="10.5" customHeight="1" x14ac:dyDescent="0.2">
      <c r="G5247" s="889"/>
    </row>
    <row r="5248" spans="7:7" ht="10.5" customHeight="1" x14ac:dyDescent="0.2">
      <c r="G5248" s="889"/>
    </row>
    <row r="5249" spans="7:7" ht="10.5" customHeight="1" x14ac:dyDescent="0.2">
      <c r="G5249" s="889"/>
    </row>
    <row r="5250" spans="7:7" ht="10.5" customHeight="1" x14ac:dyDescent="0.2">
      <c r="G5250" s="889"/>
    </row>
    <row r="5251" spans="7:7" ht="10.5" customHeight="1" x14ac:dyDescent="0.2">
      <c r="G5251" s="889"/>
    </row>
    <row r="5252" spans="7:7" ht="10.5" customHeight="1" x14ac:dyDescent="0.2">
      <c r="G5252" s="889"/>
    </row>
    <row r="5253" spans="7:7" ht="10.5" customHeight="1" x14ac:dyDescent="0.2">
      <c r="G5253" s="889"/>
    </row>
    <row r="5254" spans="7:7" ht="10.5" customHeight="1" x14ac:dyDescent="0.2">
      <c r="G5254" s="889"/>
    </row>
    <row r="5255" spans="7:7" ht="10.5" customHeight="1" x14ac:dyDescent="0.2">
      <c r="G5255" s="889"/>
    </row>
    <row r="5256" spans="7:7" ht="10.5" customHeight="1" x14ac:dyDescent="0.2">
      <c r="G5256" s="889"/>
    </row>
    <row r="5257" spans="7:7" ht="10.5" customHeight="1" x14ac:dyDescent="0.2">
      <c r="G5257" s="889"/>
    </row>
    <row r="5258" spans="7:7" ht="10.5" customHeight="1" x14ac:dyDescent="0.2">
      <c r="G5258" s="889"/>
    </row>
    <row r="5259" spans="7:7" ht="10.5" customHeight="1" x14ac:dyDescent="0.2">
      <c r="G5259" s="889"/>
    </row>
    <row r="5260" spans="7:7" ht="10.5" customHeight="1" x14ac:dyDescent="0.2">
      <c r="G5260" s="889"/>
    </row>
    <row r="5261" spans="7:7" ht="10.5" customHeight="1" x14ac:dyDescent="0.2">
      <c r="G5261" s="889"/>
    </row>
    <row r="5262" spans="7:7" ht="10.5" customHeight="1" x14ac:dyDescent="0.2">
      <c r="G5262" s="889"/>
    </row>
    <row r="5263" spans="7:7" ht="10.5" customHeight="1" x14ac:dyDescent="0.2">
      <c r="G5263" s="889"/>
    </row>
    <row r="5264" spans="7:7" ht="10.5" customHeight="1" x14ac:dyDescent="0.2">
      <c r="G5264" s="889"/>
    </row>
    <row r="5265" spans="7:7" ht="10.5" customHeight="1" x14ac:dyDescent="0.2">
      <c r="G5265" s="889"/>
    </row>
    <row r="5266" spans="7:7" ht="10.5" customHeight="1" x14ac:dyDescent="0.2">
      <c r="G5266" s="889"/>
    </row>
    <row r="5267" spans="7:7" ht="10.5" customHeight="1" x14ac:dyDescent="0.2">
      <c r="G5267" s="889"/>
    </row>
    <row r="5268" spans="7:7" ht="10.5" customHeight="1" x14ac:dyDescent="0.2">
      <c r="G5268" s="889"/>
    </row>
    <row r="5269" spans="7:7" ht="10.5" customHeight="1" x14ac:dyDescent="0.2">
      <c r="G5269" s="889"/>
    </row>
    <row r="5270" spans="7:7" ht="10.5" customHeight="1" x14ac:dyDescent="0.2">
      <c r="G5270" s="889"/>
    </row>
    <row r="5271" spans="7:7" ht="10.5" customHeight="1" x14ac:dyDescent="0.2">
      <c r="G5271" s="889"/>
    </row>
    <row r="5272" spans="7:7" ht="10.5" customHeight="1" x14ac:dyDescent="0.2">
      <c r="G5272" s="889"/>
    </row>
    <row r="5273" spans="7:7" ht="10.5" customHeight="1" x14ac:dyDescent="0.2">
      <c r="G5273" s="889"/>
    </row>
    <row r="5274" spans="7:7" ht="10.5" customHeight="1" x14ac:dyDescent="0.2">
      <c r="G5274" s="889"/>
    </row>
    <row r="5275" spans="7:7" ht="10.5" customHeight="1" x14ac:dyDescent="0.2">
      <c r="G5275" s="889"/>
    </row>
    <row r="5276" spans="7:7" ht="10.5" customHeight="1" x14ac:dyDescent="0.2">
      <c r="G5276" s="889"/>
    </row>
    <row r="5277" spans="7:7" ht="10.5" customHeight="1" x14ac:dyDescent="0.2">
      <c r="G5277" s="889"/>
    </row>
    <row r="5278" spans="7:7" ht="10.5" customHeight="1" x14ac:dyDescent="0.2">
      <c r="G5278" s="889"/>
    </row>
    <row r="5279" spans="7:7" ht="10.5" customHeight="1" x14ac:dyDescent="0.2">
      <c r="G5279" s="889"/>
    </row>
    <row r="5280" spans="7:7" ht="10.5" customHeight="1" x14ac:dyDescent="0.2">
      <c r="G5280" s="889"/>
    </row>
    <row r="5281" spans="7:7" ht="10.5" customHeight="1" x14ac:dyDescent="0.2">
      <c r="G5281" s="889"/>
    </row>
    <row r="5282" spans="7:7" ht="10.5" customHeight="1" x14ac:dyDescent="0.2">
      <c r="G5282" s="889"/>
    </row>
    <row r="5283" spans="7:7" ht="10.5" customHeight="1" x14ac:dyDescent="0.2">
      <c r="G5283" s="889"/>
    </row>
    <row r="5284" spans="7:7" ht="10.5" customHeight="1" x14ac:dyDescent="0.2">
      <c r="G5284" s="889"/>
    </row>
    <row r="5285" spans="7:7" ht="10.5" customHeight="1" x14ac:dyDescent="0.2">
      <c r="G5285" s="889"/>
    </row>
    <row r="5286" spans="7:7" ht="10.5" customHeight="1" x14ac:dyDescent="0.2">
      <c r="G5286" s="889"/>
    </row>
    <row r="5287" spans="7:7" ht="10.5" customHeight="1" x14ac:dyDescent="0.2">
      <c r="G5287" s="889"/>
    </row>
    <row r="5288" spans="7:7" ht="10.5" customHeight="1" x14ac:dyDescent="0.2">
      <c r="G5288" s="889"/>
    </row>
    <row r="5289" spans="7:7" ht="10.5" customHeight="1" x14ac:dyDescent="0.2">
      <c r="G5289" s="889"/>
    </row>
    <row r="5290" spans="7:7" ht="10.5" customHeight="1" x14ac:dyDescent="0.2">
      <c r="G5290" s="889"/>
    </row>
    <row r="5291" spans="7:7" ht="10.5" customHeight="1" x14ac:dyDescent="0.2">
      <c r="G5291" s="889"/>
    </row>
    <row r="5292" spans="7:7" ht="10.5" customHeight="1" x14ac:dyDescent="0.2">
      <c r="G5292" s="889"/>
    </row>
    <row r="5293" spans="7:7" ht="10.5" customHeight="1" x14ac:dyDescent="0.2">
      <c r="G5293" s="889"/>
    </row>
    <row r="5294" spans="7:7" ht="10.5" customHeight="1" x14ac:dyDescent="0.2">
      <c r="G5294" s="889"/>
    </row>
    <row r="5295" spans="7:7" ht="10.5" customHeight="1" x14ac:dyDescent="0.2">
      <c r="G5295" s="889"/>
    </row>
    <row r="5296" spans="7:7" ht="10.5" customHeight="1" x14ac:dyDescent="0.2">
      <c r="G5296" s="889"/>
    </row>
    <row r="5297" spans="7:7" ht="10.5" customHeight="1" x14ac:dyDescent="0.2">
      <c r="G5297" s="889"/>
    </row>
    <row r="5298" spans="7:7" ht="10.5" customHeight="1" x14ac:dyDescent="0.2">
      <c r="G5298" s="889"/>
    </row>
    <row r="5299" spans="7:7" ht="10.5" customHeight="1" x14ac:dyDescent="0.2">
      <c r="G5299" s="889"/>
    </row>
    <row r="5300" spans="7:7" ht="10.5" customHeight="1" x14ac:dyDescent="0.2">
      <c r="G5300" s="889"/>
    </row>
    <row r="5301" spans="7:7" ht="10.5" customHeight="1" x14ac:dyDescent="0.2">
      <c r="G5301" s="889"/>
    </row>
    <row r="5302" spans="7:7" ht="10.5" customHeight="1" x14ac:dyDescent="0.2">
      <c r="G5302" s="889"/>
    </row>
    <row r="5303" spans="7:7" ht="10.5" customHeight="1" x14ac:dyDescent="0.2">
      <c r="G5303" s="889"/>
    </row>
    <row r="5304" spans="7:7" ht="10.5" customHeight="1" x14ac:dyDescent="0.2">
      <c r="G5304" s="889"/>
    </row>
    <row r="5305" spans="7:7" ht="10.5" customHeight="1" x14ac:dyDescent="0.2">
      <c r="G5305" s="889"/>
    </row>
    <row r="5306" spans="7:7" ht="10.5" customHeight="1" x14ac:dyDescent="0.2">
      <c r="G5306" s="889"/>
    </row>
    <row r="5307" spans="7:7" ht="10.5" customHeight="1" x14ac:dyDescent="0.2">
      <c r="G5307" s="889"/>
    </row>
    <row r="5308" spans="7:7" ht="10.5" customHeight="1" x14ac:dyDescent="0.2">
      <c r="G5308" s="889"/>
    </row>
    <row r="5309" spans="7:7" ht="10.5" customHeight="1" x14ac:dyDescent="0.2">
      <c r="G5309" s="889"/>
    </row>
    <row r="5310" spans="7:7" ht="10.5" customHeight="1" x14ac:dyDescent="0.2">
      <c r="G5310" s="889"/>
    </row>
    <row r="5311" spans="7:7" ht="10.5" customHeight="1" x14ac:dyDescent="0.2">
      <c r="G5311" s="889"/>
    </row>
    <row r="5312" spans="7:7" ht="10.5" customHeight="1" x14ac:dyDescent="0.2">
      <c r="G5312" s="889"/>
    </row>
    <row r="5313" spans="7:7" ht="10.5" customHeight="1" x14ac:dyDescent="0.2">
      <c r="G5313" s="889"/>
    </row>
    <row r="5314" spans="7:7" ht="10.5" customHeight="1" x14ac:dyDescent="0.2">
      <c r="G5314" s="889"/>
    </row>
    <row r="5315" spans="7:7" ht="10.5" customHeight="1" x14ac:dyDescent="0.2">
      <c r="G5315" s="889"/>
    </row>
    <row r="5316" spans="7:7" ht="10.5" customHeight="1" x14ac:dyDescent="0.2">
      <c r="G5316" s="889"/>
    </row>
    <row r="5317" spans="7:7" ht="10.5" customHeight="1" x14ac:dyDescent="0.2">
      <c r="G5317" s="889"/>
    </row>
    <row r="5318" spans="7:7" ht="10.5" customHeight="1" x14ac:dyDescent="0.2">
      <c r="G5318" s="889"/>
    </row>
    <row r="5319" spans="7:7" ht="10.5" customHeight="1" x14ac:dyDescent="0.2">
      <c r="G5319" s="889"/>
    </row>
    <row r="5320" spans="7:7" ht="10.5" customHeight="1" x14ac:dyDescent="0.2">
      <c r="G5320" s="889"/>
    </row>
    <row r="5321" spans="7:7" ht="10.5" customHeight="1" x14ac:dyDescent="0.2">
      <c r="G5321" s="889"/>
    </row>
    <row r="5322" spans="7:7" ht="10.5" customHeight="1" x14ac:dyDescent="0.2">
      <c r="G5322" s="889"/>
    </row>
    <row r="5323" spans="7:7" ht="10.5" customHeight="1" x14ac:dyDescent="0.2">
      <c r="G5323" s="889"/>
    </row>
    <row r="5324" spans="7:7" ht="10.5" customHeight="1" x14ac:dyDescent="0.2">
      <c r="G5324" s="889"/>
    </row>
    <row r="5325" spans="7:7" ht="10.5" customHeight="1" x14ac:dyDescent="0.2">
      <c r="G5325" s="889"/>
    </row>
    <row r="5326" spans="7:7" ht="10.5" customHeight="1" x14ac:dyDescent="0.2">
      <c r="G5326" s="889"/>
    </row>
    <row r="5327" spans="7:7" ht="10.5" customHeight="1" x14ac:dyDescent="0.2">
      <c r="G5327" s="889"/>
    </row>
    <row r="5328" spans="7:7" ht="10.5" customHeight="1" x14ac:dyDescent="0.2">
      <c r="G5328" s="889"/>
    </row>
    <row r="5329" spans="7:7" ht="10.5" customHeight="1" x14ac:dyDescent="0.2">
      <c r="G5329" s="889"/>
    </row>
    <row r="5330" spans="7:7" ht="10.5" customHeight="1" x14ac:dyDescent="0.2">
      <c r="G5330" s="889"/>
    </row>
    <row r="5331" spans="7:7" ht="10.5" customHeight="1" x14ac:dyDescent="0.2">
      <c r="G5331" s="889"/>
    </row>
    <row r="5332" spans="7:7" ht="10.5" customHeight="1" x14ac:dyDescent="0.2">
      <c r="G5332" s="889"/>
    </row>
    <row r="5333" spans="7:7" ht="10.5" customHeight="1" x14ac:dyDescent="0.2">
      <c r="G5333" s="889"/>
    </row>
    <row r="5334" spans="7:7" ht="10.5" customHeight="1" x14ac:dyDescent="0.2">
      <c r="G5334" s="889"/>
    </row>
    <row r="5335" spans="7:7" ht="10.5" customHeight="1" x14ac:dyDescent="0.2">
      <c r="G5335" s="889"/>
    </row>
    <row r="5336" spans="7:7" ht="10.5" customHeight="1" x14ac:dyDescent="0.2">
      <c r="G5336" s="889"/>
    </row>
    <row r="5337" spans="7:7" ht="10.5" customHeight="1" x14ac:dyDescent="0.2">
      <c r="G5337" s="889"/>
    </row>
    <row r="5338" spans="7:7" ht="10.5" customHeight="1" x14ac:dyDescent="0.2">
      <c r="G5338" s="889"/>
    </row>
    <row r="5339" spans="7:7" ht="10.5" customHeight="1" x14ac:dyDescent="0.2">
      <c r="G5339" s="889"/>
    </row>
    <row r="5340" spans="7:7" ht="10.5" customHeight="1" x14ac:dyDescent="0.2">
      <c r="G5340" s="889"/>
    </row>
    <row r="5341" spans="7:7" ht="10.5" customHeight="1" x14ac:dyDescent="0.2">
      <c r="G5341" s="889"/>
    </row>
    <row r="5342" spans="7:7" ht="10.5" customHeight="1" x14ac:dyDescent="0.2">
      <c r="G5342" s="889"/>
    </row>
    <row r="5343" spans="7:7" ht="10.5" customHeight="1" x14ac:dyDescent="0.2">
      <c r="G5343" s="889"/>
    </row>
    <row r="5344" spans="7:7" ht="10.5" customHeight="1" x14ac:dyDescent="0.2">
      <c r="G5344" s="889"/>
    </row>
    <row r="5345" spans="7:7" ht="10.5" customHeight="1" x14ac:dyDescent="0.2">
      <c r="G5345" s="889"/>
    </row>
    <row r="5346" spans="7:7" ht="10.5" customHeight="1" x14ac:dyDescent="0.2">
      <c r="G5346" s="889"/>
    </row>
    <row r="5347" spans="7:7" ht="10.5" customHeight="1" x14ac:dyDescent="0.2">
      <c r="G5347" s="889"/>
    </row>
    <row r="5348" spans="7:7" ht="10.5" customHeight="1" x14ac:dyDescent="0.2">
      <c r="G5348" s="889"/>
    </row>
    <row r="5349" spans="7:7" ht="10.5" customHeight="1" x14ac:dyDescent="0.2">
      <c r="G5349" s="889"/>
    </row>
    <row r="5350" spans="7:7" ht="10.5" customHeight="1" x14ac:dyDescent="0.2">
      <c r="G5350" s="889"/>
    </row>
    <row r="5351" spans="7:7" ht="10.5" customHeight="1" x14ac:dyDescent="0.2">
      <c r="G5351" s="889"/>
    </row>
    <row r="5352" spans="7:7" ht="10.5" customHeight="1" x14ac:dyDescent="0.2">
      <c r="G5352" s="889"/>
    </row>
    <row r="5353" spans="7:7" ht="10.5" customHeight="1" x14ac:dyDescent="0.2">
      <c r="G5353" s="889"/>
    </row>
    <row r="5354" spans="7:7" ht="10.5" customHeight="1" x14ac:dyDescent="0.2">
      <c r="G5354" s="889"/>
    </row>
    <row r="5355" spans="7:7" ht="10.5" customHeight="1" x14ac:dyDescent="0.2">
      <c r="G5355" s="889"/>
    </row>
    <row r="5356" spans="7:7" ht="10.5" customHeight="1" x14ac:dyDescent="0.2">
      <c r="G5356" s="889"/>
    </row>
    <row r="5357" spans="7:7" ht="10.5" customHeight="1" x14ac:dyDescent="0.2">
      <c r="G5357" s="889"/>
    </row>
    <row r="5358" spans="7:7" ht="10.5" customHeight="1" x14ac:dyDescent="0.2">
      <c r="G5358" s="889"/>
    </row>
    <row r="5359" spans="7:7" ht="10.5" customHeight="1" x14ac:dyDescent="0.2">
      <c r="G5359" s="889"/>
    </row>
    <row r="5360" spans="7:7" ht="10.5" customHeight="1" x14ac:dyDescent="0.2">
      <c r="G5360" s="889"/>
    </row>
    <row r="5361" spans="7:7" ht="10.5" customHeight="1" x14ac:dyDescent="0.2">
      <c r="G5361" s="889"/>
    </row>
    <row r="5362" spans="7:7" ht="10.5" customHeight="1" x14ac:dyDescent="0.2">
      <c r="G5362" s="889"/>
    </row>
    <row r="5363" spans="7:7" ht="10.5" customHeight="1" x14ac:dyDescent="0.2">
      <c r="G5363" s="889"/>
    </row>
    <row r="5364" spans="7:7" ht="10.5" customHeight="1" x14ac:dyDescent="0.2">
      <c r="G5364" s="889"/>
    </row>
    <row r="5365" spans="7:7" ht="10.5" customHeight="1" x14ac:dyDescent="0.2">
      <c r="G5365" s="889"/>
    </row>
    <row r="5366" spans="7:7" ht="10.5" customHeight="1" x14ac:dyDescent="0.2">
      <c r="G5366" s="889"/>
    </row>
    <row r="5367" spans="7:7" ht="10.5" customHeight="1" x14ac:dyDescent="0.2">
      <c r="G5367" s="889"/>
    </row>
    <row r="5368" spans="7:7" ht="10.5" customHeight="1" x14ac:dyDescent="0.2">
      <c r="G5368" s="889"/>
    </row>
    <row r="5369" spans="7:7" ht="10.5" customHeight="1" x14ac:dyDescent="0.2">
      <c r="G5369" s="889"/>
    </row>
    <row r="5370" spans="7:7" ht="10.5" customHeight="1" x14ac:dyDescent="0.2">
      <c r="G5370" s="889"/>
    </row>
    <row r="5371" spans="7:7" ht="10.5" customHeight="1" x14ac:dyDescent="0.2">
      <c r="G5371" s="889"/>
    </row>
    <row r="5372" spans="7:7" ht="10.5" customHeight="1" x14ac:dyDescent="0.2">
      <c r="G5372" s="889"/>
    </row>
    <row r="5373" spans="7:7" ht="10.5" customHeight="1" x14ac:dyDescent="0.2">
      <c r="G5373" s="889"/>
    </row>
    <row r="5374" spans="7:7" ht="10.5" customHeight="1" x14ac:dyDescent="0.2">
      <c r="G5374" s="889"/>
    </row>
    <row r="5375" spans="7:7" ht="10.5" customHeight="1" x14ac:dyDescent="0.2">
      <c r="G5375" s="889"/>
    </row>
    <row r="5376" spans="7:7" ht="10.5" customHeight="1" x14ac:dyDescent="0.2">
      <c r="G5376" s="889"/>
    </row>
    <row r="5377" spans="7:7" ht="10.5" customHeight="1" x14ac:dyDescent="0.2">
      <c r="G5377" s="889"/>
    </row>
    <row r="5378" spans="7:7" ht="10.5" customHeight="1" x14ac:dyDescent="0.2">
      <c r="G5378" s="889"/>
    </row>
    <row r="5379" spans="7:7" ht="10.5" customHeight="1" x14ac:dyDescent="0.2">
      <c r="G5379" s="889"/>
    </row>
    <row r="5380" spans="7:7" ht="10.5" customHeight="1" x14ac:dyDescent="0.2">
      <c r="G5380" s="889"/>
    </row>
    <row r="5381" spans="7:7" ht="10.5" customHeight="1" x14ac:dyDescent="0.2">
      <c r="G5381" s="889"/>
    </row>
    <row r="5382" spans="7:7" ht="10.5" customHeight="1" x14ac:dyDescent="0.2">
      <c r="G5382" s="889"/>
    </row>
    <row r="5383" spans="7:7" ht="10.5" customHeight="1" x14ac:dyDescent="0.2">
      <c r="G5383" s="889"/>
    </row>
    <row r="5384" spans="7:7" ht="10.5" customHeight="1" x14ac:dyDescent="0.2">
      <c r="G5384" s="889"/>
    </row>
    <row r="5385" spans="7:7" ht="10.5" customHeight="1" x14ac:dyDescent="0.2">
      <c r="G5385" s="889"/>
    </row>
    <row r="5386" spans="7:7" ht="10.5" customHeight="1" x14ac:dyDescent="0.2">
      <c r="G5386" s="889"/>
    </row>
    <row r="5387" spans="7:7" ht="10.5" customHeight="1" x14ac:dyDescent="0.2">
      <c r="G5387" s="889"/>
    </row>
    <row r="5388" spans="7:7" ht="10.5" customHeight="1" x14ac:dyDescent="0.2">
      <c r="G5388" s="889"/>
    </row>
    <row r="5389" spans="7:7" ht="10.5" customHeight="1" x14ac:dyDescent="0.2">
      <c r="G5389" s="889"/>
    </row>
    <row r="5390" spans="7:7" ht="10.5" customHeight="1" x14ac:dyDescent="0.2">
      <c r="G5390" s="889"/>
    </row>
    <row r="5391" spans="7:7" ht="10.5" customHeight="1" x14ac:dyDescent="0.2">
      <c r="G5391" s="889"/>
    </row>
    <row r="5392" spans="7:7" ht="10.5" customHeight="1" x14ac:dyDescent="0.2">
      <c r="G5392" s="889"/>
    </row>
    <row r="5393" spans="7:7" ht="10.5" customHeight="1" x14ac:dyDescent="0.2">
      <c r="G5393" s="889"/>
    </row>
    <row r="5394" spans="7:7" ht="10.5" customHeight="1" x14ac:dyDescent="0.2">
      <c r="G5394" s="889"/>
    </row>
    <row r="5395" spans="7:7" ht="10.5" customHeight="1" x14ac:dyDescent="0.2">
      <c r="G5395" s="889"/>
    </row>
    <row r="5396" spans="7:7" ht="10.5" customHeight="1" x14ac:dyDescent="0.2">
      <c r="G5396" s="889"/>
    </row>
    <row r="5397" spans="7:7" ht="10.5" customHeight="1" x14ac:dyDescent="0.2">
      <c r="G5397" s="889"/>
    </row>
    <row r="5398" spans="7:7" ht="10.5" customHeight="1" x14ac:dyDescent="0.2">
      <c r="G5398" s="889"/>
    </row>
    <row r="5399" spans="7:7" ht="10.5" customHeight="1" x14ac:dyDescent="0.2">
      <c r="G5399" s="889"/>
    </row>
    <row r="5400" spans="7:7" ht="10.5" customHeight="1" x14ac:dyDescent="0.2">
      <c r="G5400" s="889"/>
    </row>
    <row r="5401" spans="7:7" ht="10.5" customHeight="1" x14ac:dyDescent="0.2">
      <c r="G5401" s="889"/>
    </row>
    <row r="5402" spans="7:7" ht="10.5" customHeight="1" x14ac:dyDescent="0.2">
      <c r="G5402" s="889"/>
    </row>
    <row r="5403" spans="7:7" ht="10.5" customHeight="1" x14ac:dyDescent="0.2">
      <c r="G5403" s="889"/>
    </row>
    <row r="5404" spans="7:7" ht="10.5" customHeight="1" x14ac:dyDescent="0.2">
      <c r="G5404" s="889"/>
    </row>
    <row r="5405" spans="7:7" ht="10.5" customHeight="1" x14ac:dyDescent="0.2">
      <c r="G5405" s="889"/>
    </row>
    <row r="5406" spans="7:7" ht="10.5" customHeight="1" x14ac:dyDescent="0.2">
      <c r="G5406" s="889"/>
    </row>
    <row r="5407" spans="7:7" ht="10.5" customHeight="1" x14ac:dyDescent="0.2">
      <c r="G5407" s="889"/>
    </row>
    <row r="5408" spans="7:7" ht="10.5" customHeight="1" x14ac:dyDescent="0.2">
      <c r="G5408" s="889"/>
    </row>
    <row r="5409" spans="7:7" ht="10.5" customHeight="1" x14ac:dyDescent="0.2">
      <c r="G5409" s="889"/>
    </row>
    <row r="5410" spans="7:7" ht="10.5" customHeight="1" x14ac:dyDescent="0.2">
      <c r="G5410" s="889"/>
    </row>
    <row r="5411" spans="7:7" ht="10.5" customHeight="1" x14ac:dyDescent="0.2">
      <c r="G5411" s="889"/>
    </row>
    <row r="5412" spans="7:7" ht="10.5" customHeight="1" x14ac:dyDescent="0.2">
      <c r="G5412" s="889"/>
    </row>
    <row r="5413" spans="7:7" ht="10.5" customHeight="1" x14ac:dyDescent="0.2">
      <c r="G5413" s="889"/>
    </row>
    <row r="5414" spans="7:7" ht="10.5" customHeight="1" x14ac:dyDescent="0.2">
      <c r="G5414" s="889"/>
    </row>
    <row r="5415" spans="7:7" ht="10.5" customHeight="1" x14ac:dyDescent="0.2">
      <c r="G5415" s="889"/>
    </row>
    <row r="5416" spans="7:7" ht="10.5" customHeight="1" x14ac:dyDescent="0.2">
      <c r="G5416" s="889"/>
    </row>
    <row r="5417" spans="7:7" ht="10.5" customHeight="1" x14ac:dyDescent="0.2">
      <c r="G5417" s="889"/>
    </row>
    <row r="5418" spans="7:7" ht="10.5" customHeight="1" x14ac:dyDescent="0.2">
      <c r="G5418" s="889"/>
    </row>
    <row r="5419" spans="7:7" ht="10.5" customHeight="1" x14ac:dyDescent="0.2">
      <c r="G5419" s="889"/>
    </row>
    <row r="5420" spans="7:7" ht="10.5" customHeight="1" x14ac:dyDescent="0.2">
      <c r="G5420" s="889"/>
    </row>
    <row r="5421" spans="7:7" ht="10.5" customHeight="1" x14ac:dyDescent="0.2">
      <c r="G5421" s="889"/>
    </row>
    <row r="5422" spans="7:7" ht="10.5" customHeight="1" x14ac:dyDescent="0.2">
      <c r="G5422" s="889"/>
    </row>
    <row r="5423" spans="7:7" ht="10.5" customHeight="1" x14ac:dyDescent="0.2">
      <c r="G5423" s="889"/>
    </row>
    <row r="5424" spans="7:7" ht="10.5" customHeight="1" x14ac:dyDescent="0.2">
      <c r="G5424" s="889"/>
    </row>
    <row r="5425" spans="7:7" ht="10.5" customHeight="1" x14ac:dyDescent="0.2">
      <c r="G5425" s="889"/>
    </row>
    <row r="5426" spans="7:7" ht="10.5" customHeight="1" x14ac:dyDescent="0.2">
      <c r="G5426" s="889"/>
    </row>
    <row r="5427" spans="7:7" ht="10.5" customHeight="1" x14ac:dyDescent="0.2">
      <c r="G5427" s="889"/>
    </row>
    <row r="5428" spans="7:7" ht="10.5" customHeight="1" x14ac:dyDescent="0.2">
      <c r="G5428" s="889"/>
    </row>
    <row r="5429" spans="7:7" ht="10.5" customHeight="1" x14ac:dyDescent="0.2">
      <c r="G5429" s="889"/>
    </row>
    <row r="5430" spans="7:7" ht="10.5" customHeight="1" x14ac:dyDescent="0.2">
      <c r="G5430" s="889"/>
    </row>
    <row r="5431" spans="7:7" ht="10.5" customHeight="1" x14ac:dyDescent="0.2">
      <c r="G5431" s="889"/>
    </row>
    <row r="5432" spans="7:7" ht="10.5" customHeight="1" x14ac:dyDescent="0.2">
      <c r="G5432" s="889"/>
    </row>
    <row r="5433" spans="7:7" ht="10.5" customHeight="1" x14ac:dyDescent="0.2">
      <c r="G5433" s="889"/>
    </row>
    <row r="5434" spans="7:7" ht="10.5" customHeight="1" x14ac:dyDescent="0.2">
      <c r="G5434" s="889"/>
    </row>
    <row r="5435" spans="7:7" ht="10.5" customHeight="1" x14ac:dyDescent="0.2">
      <c r="G5435" s="889"/>
    </row>
    <row r="5436" spans="7:7" ht="10.5" customHeight="1" x14ac:dyDescent="0.2">
      <c r="G5436" s="889"/>
    </row>
    <row r="5437" spans="7:7" ht="10.5" customHeight="1" x14ac:dyDescent="0.2">
      <c r="G5437" s="889"/>
    </row>
    <row r="5438" spans="7:7" ht="10.5" customHeight="1" x14ac:dyDescent="0.2">
      <c r="G5438" s="889"/>
    </row>
    <row r="5439" spans="7:7" ht="10.5" customHeight="1" x14ac:dyDescent="0.2">
      <c r="G5439" s="889"/>
    </row>
    <row r="5440" spans="7:7" ht="10.5" customHeight="1" x14ac:dyDescent="0.2">
      <c r="G5440" s="889"/>
    </row>
    <row r="5441" spans="7:7" ht="10.5" customHeight="1" x14ac:dyDescent="0.2">
      <c r="G5441" s="889"/>
    </row>
    <row r="5442" spans="7:7" ht="10.5" customHeight="1" x14ac:dyDescent="0.2">
      <c r="G5442" s="889"/>
    </row>
    <row r="5443" spans="7:7" ht="10.5" customHeight="1" x14ac:dyDescent="0.2">
      <c r="G5443" s="889"/>
    </row>
    <row r="5444" spans="7:7" ht="10.5" customHeight="1" x14ac:dyDescent="0.2">
      <c r="G5444" s="889"/>
    </row>
    <row r="5445" spans="7:7" ht="10.5" customHeight="1" x14ac:dyDescent="0.2">
      <c r="G5445" s="889"/>
    </row>
    <row r="5446" spans="7:7" ht="10.5" customHeight="1" x14ac:dyDescent="0.2">
      <c r="G5446" s="889"/>
    </row>
    <row r="5447" spans="7:7" ht="10.5" customHeight="1" x14ac:dyDescent="0.2">
      <c r="G5447" s="889"/>
    </row>
    <row r="5448" spans="7:7" ht="10.5" customHeight="1" x14ac:dyDescent="0.2">
      <c r="G5448" s="889"/>
    </row>
    <row r="5449" spans="7:7" ht="10.5" customHeight="1" x14ac:dyDescent="0.2">
      <c r="G5449" s="889"/>
    </row>
    <row r="5450" spans="7:7" ht="10.5" customHeight="1" x14ac:dyDescent="0.2">
      <c r="G5450" s="889"/>
    </row>
    <row r="5451" spans="7:7" ht="10.5" customHeight="1" x14ac:dyDescent="0.2">
      <c r="G5451" s="889"/>
    </row>
    <row r="5452" spans="7:7" ht="10.5" customHeight="1" x14ac:dyDescent="0.2">
      <c r="G5452" s="889"/>
    </row>
    <row r="5453" spans="7:7" ht="10.5" customHeight="1" x14ac:dyDescent="0.2">
      <c r="G5453" s="889"/>
    </row>
    <row r="5454" spans="7:7" ht="10.5" customHeight="1" x14ac:dyDescent="0.2">
      <c r="G5454" s="889"/>
    </row>
    <row r="5455" spans="7:7" ht="10.5" customHeight="1" x14ac:dyDescent="0.2">
      <c r="G5455" s="889"/>
    </row>
    <row r="5456" spans="7:7" ht="10.5" customHeight="1" x14ac:dyDescent="0.2">
      <c r="G5456" s="889"/>
    </row>
    <row r="5457" spans="7:7" ht="10.5" customHeight="1" x14ac:dyDescent="0.2">
      <c r="G5457" s="889"/>
    </row>
    <row r="5458" spans="7:7" ht="10.5" customHeight="1" x14ac:dyDescent="0.2">
      <c r="G5458" s="889"/>
    </row>
    <row r="5459" spans="7:7" ht="10.5" customHeight="1" x14ac:dyDescent="0.2">
      <c r="G5459" s="889"/>
    </row>
    <row r="5460" spans="7:7" ht="10.5" customHeight="1" x14ac:dyDescent="0.2">
      <c r="G5460" s="889"/>
    </row>
    <row r="5461" spans="7:7" ht="10.5" customHeight="1" x14ac:dyDescent="0.2">
      <c r="G5461" s="889"/>
    </row>
    <row r="5462" spans="7:7" ht="10.5" customHeight="1" x14ac:dyDescent="0.2">
      <c r="G5462" s="889"/>
    </row>
    <row r="5463" spans="7:7" ht="10.5" customHeight="1" x14ac:dyDescent="0.2">
      <c r="G5463" s="889"/>
    </row>
    <row r="5464" spans="7:7" ht="10.5" customHeight="1" x14ac:dyDescent="0.2">
      <c r="G5464" s="889"/>
    </row>
    <row r="5465" spans="7:7" ht="10.5" customHeight="1" x14ac:dyDescent="0.2">
      <c r="G5465" s="889"/>
    </row>
    <row r="5466" spans="7:7" ht="10.5" customHeight="1" x14ac:dyDescent="0.2">
      <c r="G5466" s="889"/>
    </row>
    <row r="5467" spans="7:7" ht="10.5" customHeight="1" x14ac:dyDescent="0.2">
      <c r="G5467" s="889"/>
    </row>
    <row r="5468" spans="7:7" ht="10.5" customHeight="1" x14ac:dyDescent="0.2">
      <c r="G5468" s="889"/>
    </row>
    <row r="5469" spans="7:7" ht="10.5" customHeight="1" x14ac:dyDescent="0.2">
      <c r="G5469" s="889"/>
    </row>
    <row r="5470" spans="7:7" ht="10.5" customHeight="1" x14ac:dyDescent="0.2">
      <c r="G5470" s="889"/>
    </row>
    <row r="5471" spans="7:7" ht="10.5" customHeight="1" x14ac:dyDescent="0.2">
      <c r="G5471" s="889"/>
    </row>
    <row r="5472" spans="7:7" ht="10.5" customHeight="1" x14ac:dyDescent="0.2">
      <c r="G5472" s="889"/>
    </row>
    <row r="5473" spans="7:7" ht="10.5" customHeight="1" x14ac:dyDescent="0.2">
      <c r="G5473" s="889"/>
    </row>
    <row r="5474" spans="7:7" ht="10.5" customHeight="1" x14ac:dyDescent="0.2">
      <c r="G5474" s="889"/>
    </row>
    <row r="5475" spans="7:7" ht="10.5" customHeight="1" x14ac:dyDescent="0.2">
      <c r="G5475" s="889"/>
    </row>
    <row r="5476" spans="7:7" ht="10.5" customHeight="1" x14ac:dyDescent="0.2">
      <c r="G5476" s="889"/>
    </row>
    <row r="5477" spans="7:7" ht="10.5" customHeight="1" x14ac:dyDescent="0.2">
      <c r="G5477" s="889"/>
    </row>
    <row r="5478" spans="7:7" ht="10.5" customHeight="1" x14ac:dyDescent="0.2">
      <c r="G5478" s="889"/>
    </row>
    <row r="5479" spans="7:7" ht="10.5" customHeight="1" x14ac:dyDescent="0.2">
      <c r="G5479" s="889"/>
    </row>
    <row r="5480" spans="7:7" ht="10.5" customHeight="1" x14ac:dyDescent="0.2">
      <c r="G5480" s="889"/>
    </row>
    <row r="5481" spans="7:7" ht="10.5" customHeight="1" x14ac:dyDescent="0.2">
      <c r="G5481" s="889"/>
    </row>
    <row r="5482" spans="7:7" ht="10.5" customHeight="1" x14ac:dyDescent="0.2">
      <c r="G5482" s="889"/>
    </row>
    <row r="5483" spans="7:7" ht="10.5" customHeight="1" x14ac:dyDescent="0.2">
      <c r="G5483" s="889"/>
    </row>
    <row r="5484" spans="7:7" ht="10.5" customHeight="1" x14ac:dyDescent="0.2">
      <c r="G5484" s="889"/>
    </row>
    <row r="5485" spans="7:7" ht="10.5" customHeight="1" x14ac:dyDescent="0.2">
      <c r="G5485" s="889"/>
    </row>
    <row r="5486" spans="7:7" ht="10.5" customHeight="1" x14ac:dyDescent="0.2">
      <c r="G5486" s="889"/>
    </row>
    <row r="5487" spans="7:7" ht="10.5" customHeight="1" x14ac:dyDescent="0.2">
      <c r="G5487" s="889"/>
    </row>
    <row r="5488" spans="7:7" ht="10.5" customHeight="1" x14ac:dyDescent="0.2">
      <c r="G5488" s="889"/>
    </row>
    <row r="5489" spans="7:7" ht="10.5" customHeight="1" x14ac:dyDescent="0.2">
      <c r="G5489" s="889"/>
    </row>
    <row r="5490" spans="7:7" ht="10.5" customHeight="1" x14ac:dyDescent="0.2">
      <c r="G5490" s="889"/>
    </row>
    <row r="5491" spans="7:7" ht="10.5" customHeight="1" x14ac:dyDescent="0.2">
      <c r="G5491" s="889"/>
    </row>
    <row r="5492" spans="7:7" ht="10.5" customHeight="1" x14ac:dyDescent="0.2">
      <c r="G5492" s="889"/>
    </row>
    <row r="5493" spans="7:7" ht="10.5" customHeight="1" x14ac:dyDescent="0.2">
      <c r="G5493" s="889"/>
    </row>
    <row r="5494" spans="7:7" ht="10.5" customHeight="1" x14ac:dyDescent="0.2">
      <c r="G5494" s="889"/>
    </row>
    <row r="5495" spans="7:7" ht="10.5" customHeight="1" x14ac:dyDescent="0.2">
      <c r="G5495" s="889"/>
    </row>
    <row r="5496" spans="7:7" ht="10.5" customHeight="1" x14ac:dyDescent="0.2">
      <c r="G5496" s="889"/>
    </row>
    <row r="5497" spans="7:7" ht="10.5" customHeight="1" x14ac:dyDescent="0.2">
      <c r="G5497" s="889"/>
    </row>
    <row r="5498" spans="7:7" ht="10.5" customHeight="1" x14ac:dyDescent="0.2">
      <c r="G5498" s="889"/>
    </row>
    <row r="5499" spans="7:7" ht="10.5" customHeight="1" x14ac:dyDescent="0.2">
      <c r="G5499" s="889"/>
    </row>
    <row r="5500" spans="7:7" ht="10.5" customHeight="1" x14ac:dyDescent="0.2">
      <c r="G5500" s="889"/>
    </row>
    <row r="5501" spans="7:7" ht="10.5" customHeight="1" x14ac:dyDescent="0.2">
      <c r="G5501" s="889"/>
    </row>
    <row r="5502" spans="7:7" ht="10.5" customHeight="1" x14ac:dyDescent="0.2">
      <c r="G5502" s="889"/>
    </row>
    <row r="5503" spans="7:7" ht="10.5" customHeight="1" x14ac:dyDescent="0.2">
      <c r="G5503" s="889"/>
    </row>
    <row r="5504" spans="7:7" ht="10.5" customHeight="1" x14ac:dyDescent="0.2">
      <c r="G5504" s="889"/>
    </row>
    <row r="5505" spans="7:7" ht="10.5" customHeight="1" x14ac:dyDescent="0.2">
      <c r="G5505" s="889"/>
    </row>
    <row r="5506" spans="7:7" ht="10.5" customHeight="1" x14ac:dyDescent="0.2">
      <c r="G5506" s="889"/>
    </row>
    <row r="5507" spans="7:7" ht="10.5" customHeight="1" x14ac:dyDescent="0.2">
      <c r="G5507" s="889"/>
    </row>
    <row r="5508" spans="7:7" ht="10.5" customHeight="1" x14ac:dyDescent="0.2">
      <c r="G5508" s="889"/>
    </row>
    <row r="5509" spans="7:7" ht="10.5" customHeight="1" x14ac:dyDescent="0.2">
      <c r="G5509" s="889"/>
    </row>
    <row r="5510" spans="7:7" ht="10.5" customHeight="1" x14ac:dyDescent="0.2">
      <c r="G5510" s="889"/>
    </row>
    <row r="5511" spans="7:7" ht="10.5" customHeight="1" x14ac:dyDescent="0.2">
      <c r="G5511" s="889"/>
    </row>
    <row r="5512" spans="7:7" ht="10.5" customHeight="1" x14ac:dyDescent="0.2">
      <c r="G5512" s="889"/>
    </row>
    <row r="5513" spans="7:7" ht="10.5" customHeight="1" x14ac:dyDescent="0.2">
      <c r="G5513" s="889"/>
    </row>
    <row r="5514" spans="7:7" ht="10.5" customHeight="1" x14ac:dyDescent="0.2">
      <c r="G5514" s="889"/>
    </row>
    <row r="5515" spans="7:7" ht="10.5" customHeight="1" x14ac:dyDescent="0.2">
      <c r="G5515" s="889"/>
    </row>
    <row r="5516" spans="7:7" ht="10.5" customHeight="1" x14ac:dyDescent="0.2">
      <c r="G5516" s="889"/>
    </row>
    <row r="5517" spans="7:7" ht="10.5" customHeight="1" x14ac:dyDescent="0.2">
      <c r="G5517" s="889"/>
    </row>
    <row r="5518" spans="7:7" ht="10.5" customHeight="1" x14ac:dyDescent="0.2">
      <c r="G5518" s="889"/>
    </row>
    <row r="5519" spans="7:7" ht="10.5" customHeight="1" x14ac:dyDescent="0.2">
      <c r="G5519" s="889"/>
    </row>
    <row r="5520" spans="7:7" ht="10.5" customHeight="1" x14ac:dyDescent="0.2">
      <c r="G5520" s="889"/>
    </row>
    <row r="5521" spans="7:7" ht="10.5" customHeight="1" x14ac:dyDescent="0.2">
      <c r="G5521" s="889"/>
    </row>
    <row r="5522" spans="7:7" ht="10.5" customHeight="1" x14ac:dyDescent="0.2">
      <c r="G5522" s="889"/>
    </row>
    <row r="5523" spans="7:7" ht="10.5" customHeight="1" x14ac:dyDescent="0.2">
      <c r="G5523" s="889"/>
    </row>
    <row r="5524" spans="7:7" ht="10.5" customHeight="1" x14ac:dyDescent="0.2">
      <c r="G5524" s="889"/>
    </row>
    <row r="5525" spans="7:7" ht="10.5" customHeight="1" x14ac:dyDescent="0.2">
      <c r="G5525" s="889"/>
    </row>
    <row r="5526" spans="7:7" ht="10.5" customHeight="1" x14ac:dyDescent="0.2">
      <c r="G5526" s="889"/>
    </row>
    <row r="5527" spans="7:7" ht="10.5" customHeight="1" x14ac:dyDescent="0.2">
      <c r="G5527" s="889"/>
    </row>
    <row r="5528" spans="7:7" ht="10.5" customHeight="1" x14ac:dyDescent="0.2">
      <c r="G5528" s="889"/>
    </row>
    <row r="5529" spans="7:7" ht="10.5" customHeight="1" x14ac:dyDescent="0.2">
      <c r="G5529" s="889"/>
    </row>
    <row r="5530" spans="7:7" ht="10.5" customHeight="1" x14ac:dyDescent="0.2">
      <c r="G5530" s="889"/>
    </row>
    <row r="5531" spans="7:7" ht="10.5" customHeight="1" x14ac:dyDescent="0.2">
      <c r="G5531" s="889"/>
    </row>
    <row r="5532" spans="7:7" ht="10.5" customHeight="1" x14ac:dyDescent="0.2">
      <c r="G5532" s="889"/>
    </row>
    <row r="5533" spans="7:7" ht="10.5" customHeight="1" x14ac:dyDescent="0.2">
      <c r="G5533" s="889"/>
    </row>
    <row r="5534" spans="7:7" ht="10.5" customHeight="1" x14ac:dyDescent="0.2">
      <c r="G5534" s="889"/>
    </row>
    <row r="5535" spans="7:7" ht="10.5" customHeight="1" x14ac:dyDescent="0.2">
      <c r="G5535" s="889"/>
    </row>
    <row r="5536" spans="7:7" ht="10.5" customHeight="1" x14ac:dyDescent="0.2">
      <c r="G5536" s="889"/>
    </row>
    <row r="5537" spans="7:7" ht="10.5" customHeight="1" x14ac:dyDescent="0.2">
      <c r="G5537" s="889"/>
    </row>
    <row r="5538" spans="7:7" ht="10.5" customHeight="1" x14ac:dyDescent="0.2">
      <c r="G5538" s="889"/>
    </row>
    <row r="5539" spans="7:7" ht="10.5" customHeight="1" x14ac:dyDescent="0.2">
      <c r="G5539" s="889"/>
    </row>
    <row r="5540" spans="7:7" ht="10.5" customHeight="1" x14ac:dyDescent="0.2">
      <c r="G5540" s="889"/>
    </row>
    <row r="5541" spans="7:7" ht="10.5" customHeight="1" x14ac:dyDescent="0.2">
      <c r="G5541" s="889"/>
    </row>
    <row r="5542" spans="7:7" ht="10.5" customHeight="1" x14ac:dyDescent="0.2">
      <c r="G5542" s="889"/>
    </row>
    <row r="5543" spans="7:7" ht="10.5" customHeight="1" x14ac:dyDescent="0.2">
      <c r="G5543" s="889"/>
    </row>
    <row r="5544" spans="7:7" ht="10.5" customHeight="1" x14ac:dyDescent="0.2">
      <c r="G5544" s="889"/>
    </row>
    <row r="5545" spans="7:7" ht="10.5" customHeight="1" x14ac:dyDescent="0.2">
      <c r="G5545" s="889"/>
    </row>
    <row r="5546" spans="7:7" ht="10.5" customHeight="1" x14ac:dyDescent="0.2">
      <c r="G5546" s="889"/>
    </row>
    <row r="5547" spans="7:7" ht="10.5" customHeight="1" x14ac:dyDescent="0.2">
      <c r="G5547" s="889"/>
    </row>
    <row r="5548" spans="7:7" ht="10.5" customHeight="1" x14ac:dyDescent="0.2">
      <c r="G5548" s="889"/>
    </row>
    <row r="5549" spans="7:7" ht="10.5" customHeight="1" x14ac:dyDescent="0.2">
      <c r="G5549" s="889"/>
    </row>
    <row r="5550" spans="7:7" ht="10.5" customHeight="1" x14ac:dyDescent="0.2">
      <c r="G5550" s="889"/>
    </row>
    <row r="5551" spans="7:7" ht="10.5" customHeight="1" x14ac:dyDescent="0.2">
      <c r="G5551" s="889"/>
    </row>
    <row r="5552" spans="7:7" ht="10.5" customHeight="1" x14ac:dyDescent="0.2">
      <c r="G5552" s="889"/>
    </row>
    <row r="5553" spans="7:7" ht="10.5" customHeight="1" x14ac:dyDescent="0.2">
      <c r="G5553" s="889"/>
    </row>
    <row r="5554" spans="7:7" ht="10.5" customHeight="1" x14ac:dyDescent="0.2">
      <c r="G5554" s="889"/>
    </row>
    <row r="5555" spans="7:7" ht="10.5" customHeight="1" x14ac:dyDescent="0.2">
      <c r="G5555" s="889"/>
    </row>
    <row r="5556" spans="7:7" ht="10.5" customHeight="1" x14ac:dyDescent="0.2">
      <c r="G5556" s="889"/>
    </row>
    <row r="5557" spans="7:7" ht="10.5" customHeight="1" x14ac:dyDescent="0.2">
      <c r="G5557" s="889"/>
    </row>
    <row r="5558" spans="7:7" ht="10.5" customHeight="1" x14ac:dyDescent="0.2">
      <c r="G5558" s="889"/>
    </row>
    <row r="5559" spans="7:7" ht="10.5" customHeight="1" x14ac:dyDescent="0.2">
      <c r="G5559" s="889"/>
    </row>
    <row r="5560" spans="7:7" ht="10.5" customHeight="1" x14ac:dyDescent="0.2">
      <c r="G5560" s="889"/>
    </row>
    <row r="5561" spans="7:7" ht="10.5" customHeight="1" x14ac:dyDescent="0.2">
      <c r="G5561" s="889"/>
    </row>
    <row r="5562" spans="7:7" ht="10.5" customHeight="1" x14ac:dyDescent="0.2">
      <c r="G5562" s="889"/>
    </row>
    <row r="5563" spans="7:7" ht="10.5" customHeight="1" x14ac:dyDescent="0.2">
      <c r="G5563" s="889"/>
    </row>
    <row r="5564" spans="7:7" ht="10.5" customHeight="1" x14ac:dyDescent="0.2">
      <c r="G5564" s="889"/>
    </row>
    <row r="5565" spans="7:7" ht="10.5" customHeight="1" x14ac:dyDescent="0.2">
      <c r="G5565" s="889"/>
    </row>
    <row r="5566" spans="7:7" ht="10.5" customHeight="1" x14ac:dyDescent="0.2">
      <c r="G5566" s="889"/>
    </row>
    <row r="5567" spans="7:7" ht="10.5" customHeight="1" x14ac:dyDescent="0.2">
      <c r="G5567" s="889"/>
    </row>
    <row r="5568" spans="7:7" ht="10.5" customHeight="1" x14ac:dyDescent="0.2">
      <c r="G5568" s="889"/>
    </row>
    <row r="5569" spans="7:7" ht="10.5" customHeight="1" x14ac:dyDescent="0.2">
      <c r="G5569" s="889"/>
    </row>
    <row r="5570" spans="7:7" ht="10.5" customHeight="1" x14ac:dyDescent="0.2">
      <c r="G5570" s="889"/>
    </row>
    <row r="5571" spans="7:7" ht="10.5" customHeight="1" x14ac:dyDescent="0.2">
      <c r="G5571" s="889"/>
    </row>
    <row r="5572" spans="7:7" ht="10.5" customHeight="1" x14ac:dyDescent="0.2">
      <c r="G5572" s="889"/>
    </row>
    <row r="5573" spans="7:7" ht="10.5" customHeight="1" x14ac:dyDescent="0.2">
      <c r="G5573" s="889"/>
    </row>
    <row r="5574" spans="7:7" ht="10.5" customHeight="1" x14ac:dyDescent="0.2">
      <c r="G5574" s="889"/>
    </row>
    <row r="5575" spans="7:7" ht="10.5" customHeight="1" x14ac:dyDescent="0.2">
      <c r="G5575" s="889"/>
    </row>
    <row r="5576" spans="7:7" ht="10.5" customHeight="1" x14ac:dyDescent="0.2">
      <c r="G5576" s="889"/>
    </row>
    <row r="5577" spans="7:7" ht="10.5" customHeight="1" x14ac:dyDescent="0.2">
      <c r="G5577" s="889"/>
    </row>
    <row r="5578" spans="7:7" ht="10.5" customHeight="1" x14ac:dyDescent="0.2">
      <c r="G5578" s="889"/>
    </row>
    <row r="5579" spans="7:7" ht="10.5" customHeight="1" x14ac:dyDescent="0.2">
      <c r="G5579" s="889"/>
    </row>
    <row r="5580" spans="7:7" ht="10.5" customHeight="1" x14ac:dyDescent="0.2">
      <c r="G5580" s="889"/>
    </row>
    <row r="5581" spans="7:7" ht="10.5" customHeight="1" x14ac:dyDescent="0.2">
      <c r="G5581" s="889"/>
    </row>
    <row r="5582" spans="7:7" ht="10.5" customHeight="1" x14ac:dyDescent="0.2">
      <c r="G5582" s="889"/>
    </row>
    <row r="5583" spans="7:7" ht="10.5" customHeight="1" x14ac:dyDescent="0.2">
      <c r="G5583" s="889"/>
    </row>
    <row r="5584" spans="7:7" ht="10.5" customHeight="1" x14ac:dyDescent="0.2">
      <c r="G5584" s="889"/>
    </row>
    <row r="5585" spans="7:7" ht="10.5" customHeight="1" x14ac:dyDescent="0.2">
      <c r="G5585" s="889"/>
    </row>
    <row r="5586" spans="7:7" ht="10.5" customHeight="1" x14ac:dyDescent="0.2">
      <c r="G5586" s="889"/>
    </row>
    <row r="5587" spans="7:7" ht="10.5" customHeight="1" x14ac:dyDescent="0.2">
      <c r="G5587" s="889"/>
    </row>
    <row r="5588" spans="7:7" ht="10.5" customHeight="1" x14ac:dyDescent="0.2">
      <c r="G5588" s="889"/>
    </row>
    <row r="5589" spans="7:7" ht="10.5" customHeight="1" x14ac:dyDescent="0.2">
      <c r="G5589" s="889"/>
    </row>
    <row r="5590" spans="7:7" ht="10.5" customHeight="1" x14ac:dyDescent="0.2">
      <c r="G5590" s="889"/>
    </row>
    <row r="5591" spans="7:7" ht="10.5" customHeight="1" x14ac:dyDescent="0.2">
      <c r="G5591" s="889"/>
    </row>
    <row r="5592" spans="7:7" ht="10.5" customHeight="1" x14ac:dyDescent="0.2">
      <c r="G5592" s="889"/>
    </row>
    <row r="5593" spans="7:7" ht="10.5" customHeight="1" x14ac:dyDescent="0.2">
      <c r="G5593" s="889"/>
    </row>
    <row r="5594" spans="7:7" ht="10.5" customHeight="1" x14ac:dyDescent="0.2">
      <c r="G5594" s="889"/>
    </row>
    <row r="5595" spans="7:7" ht="10.5" customHeight="1" x14ac:dyDescent="0.2">
      <c r="G5595" s="889"/>
    </row>
    <row r="5596" spans="7:7" ht="10.5" customHeight="1" x14ac:dyDescent="0.2">
      <c r="G5596" s="889"/>
    </row>
    <row r="5597" spans="7:7" ht="10.5" customHeight="1" x14ac:dyDescent="0.2">
      <c r="G5597" s="889"/>
    </row>
    <row r="5598" spans="7:7" ht="10.5" customHeight="1" x14ac:dyDescent="0.2">
      <c r="G5598" s="889"/>
    </row>
    <row r="5599" spans="7:7" ht="10.5" customHeight="1" x14ac:dyDescent="0.2">
      <c r="G5599" s="889"/>
    </row>
    <row r="5600" spans="7:7" ht="10.5" customHeight="1" x14ac:dyDescent="0.2">
      <c r="G5600" s="889"/>
    </row>
    <row r="5601" spans="7:7" ht="10.5" customHeight="1" x14ac:dyDescent="0.2">
      <c r="G5601" s="889"/>
    </row>
    <row r="5602" spans="7:7" ht="10.5" customHeight="1" x14ac:dyDescent="0.2">
      <c r="G5602" s="889"/>
    </row>
    <row r="5603" spans="7:7" ht="10.5" customHeight="1" x14ac:dyDescent="0.2">
      <c r="G5603" s="889"/>
    </row>
    <row r="5604" spans="7:7" ht="10.5" customHeight="1" x14ac:dyDescent="0.2">
      <c r="G5604" s="889"/>
    </row>
    <row r="5605" spans="7:7" ht="10.5" customHeight="1" x14ac:dyDescent="0.2">
      <c r="G5605" s="889"/>
    </row>
    <row r="5606" spans="7:7" ht="10.5" customHeight="1" x14ac:dyDescent="0.2">
      <c r="G5606" s="889"/>
    </row>
    <row r="5607" spans="7:7" ht="10.5" customHeight="1" x14ac:dyDescent="0.2">
      <c r="G5607" s="889"/>
    </row>
    <row r="5608" spans="7:7" ht="10.5" customHeight="1" x14ac:dyDescent="0.2">
      <c r="G5608" s="889"/>
    </row>
    <row r="5609" spans="7:7" ht="10.5" customHeight="1" x14ac:dyDescent="0.2">
      <c r="G5609" s="889"/>
    </row>
    <row r="5610" spans="7:7" ht="10.5" customHeight="1" x14ac:dyDescent="0.2">
      <c r="G5610" s="889"/>
    </row>
    <row r="5611" spans="7:7" ht="10.5" customHeight="1" x14ac:dyDescent="0.2">
      <c r="G5611" s="889"/>
    </row>
    <row r="5612" spans="7:7" ht="10.5" customHeight="1" x14ac:dyDescent="0.2">
      <c r="G5612" s="889"/>
    </row>
    <row r="5613" spans="7:7" ht="10.5" customHeight="1" x14ac:dyDescent="0.2">
      <c r="G5613" s="889"/>
    </row>
    <row r="5614" spans="7:7" ht="10.5" customHeight="1" x14ac:dyDescent="0.2">
      <c r="G5614" s="889"/>
    </row>
    <row r="5615" spans="7:7" ht="10.5" customHeight="1" x14ac:dyDescent="0.2">
      <c r="G5615" s="889"/>
    </row>
    <row r="5616" spans="7:7" ht="10.5" customHeight="1" x14ac:dyDescent="0.2">
      <c r="G5616" s="889"/>
    </row>
    <row r="5617" spans="7:7" ht="10.5" customHeight="1" x14ac:dyDescent="0.2">
      <c r="G5617" s="889"/>
    </row>
    <row r="5618" spans="7:7" ht="10.5" customHeight="1" x14ac:dyDescent="0.2">
      <c r="G5618" s="889"/>
    </row>
    <row r="5619" spans="7:7" ht="10.5" customHeight="1" x14ac:dyDescent="0.2">
      <c r="G5619" s="889"/>
    </row>
    <row r="5620" spans="7:7" ht="10.5" customHeight="1" x14ac:dyDescent="0.2">
      <c r="G5620" s="889"/>
    </row>
    <row r="5621" spans="7:7" ht="10.5" customHeight="1" x14ac:dyDescent="0.2">
      <c r="G5621" s="889"/>
    </row>
    <row r="5622" spans="7:7" ht="10.5" customHeight="1" x14ac:dyDescent="0.2">
      <c r="G5622" s="889"/>
    </row>
    <row r="5623" spans="7:7" ht="10.5" customHeight="1" x14ac:dyDescent="0.2">
      <c r="G5623" s="889"/>
    </row>
    <row r="5624" spans="7:7" ht="10.5" customHeight="1" x14ac:dyDescent="0.2">
      <c r="G5624" s="889"/>
    </row>
    <row r="5625" spans="7:7" ht="10.5" customHeight="1" x14ac:dyDescent="0.2">
      <c r="G5625" s="889"/>
    </row>
    <row r="5626" spans="7:7" ht="10.5" customHeight="1" x14ac:dyDescent="0.2">
      <c r="G5626" s="889"/>
    </row>
    <row r="5627" spans="7:7" ht="10.5" customHeight="1" x14ac:dyDescent="0.2">
      <c r="G5627" s="889"/>
    </row>
    <row r="5628" spans="7:7" ht="10.5" customHeight="1" x14ac:dyDescent="0.2">
      <c r="G5628" s="889"/>
    </row>
    <row r="5629" spans="7:7" ht="10.5" customHeight="1" x14ac:dyDescent="0.2">
      <c r="G5629" s="889"/>
    </row>
    <row r="5630" spans="7:7" ht="10.5" customHeight="1" x14ac:dyDescent="0.2">
      <c r="G5630" s="889"/>
    </row>
    <row r="5631" spans="7:7" ht="10.5" customHeight="1" x14ac:dyDescent="0.2">
      <c r="G5631" s="889"/>
    </row>
    <row r="5632" spans="7:7" ht="10.5" customHeight="1" x14ac:dyDescent="0.2">
      <c r="G5632" s="889"/>
    </row>
    <row r="5633" spans="7:7" ht="10.5" customHeight="1" x14ac:dyDescent="0.2">
      <c r="G5633" s="889"/>
    </row>
    <row r="5634" spans="7:7" ht="10.5" customHeight="1" x14ac:dyDescent="0.2">
      <c r="G5634" s="889"/>
    </row>
    <row r="5635" spans="7:7" ht="10.5" customHeight="1" x14ac:dyDescent="0.2">
      <c r="G5635" s="889"/>
    </row>
    <row r="5636" spans="7:7" ht="10.5" customHeight="1" x14ac:dyDescent="0.2">
      <c r="G5636" s="889"/>
    </row>
    <row r="5637" spans="7:7" ht="10.5" customHeight="1" x14ac:dyDescent="0.2">
      <c r="G5637" s="889"/>
    </row>
    <row r="5638" spans="7:7" ht="10.5" customHeight="1" x14ac:dyDescent="0.2">
      <c r="G5638" s="889"/>
    </row>
    <row r="5639" spans="7:7" ht="10.5" customHeight="1" x14ac:dyDescent="0.2">
      <c r="G5639" s="889"/>
    </row>
    <row r="5640" spans="7:7" ht="10.5" customHeight="1" x14ac:dyDescent="0.2">
      <c r="G5640" s="889"/>
    </row>
    <row r="5641" spans="7:7" ht="10.5" customHeight="1" x14ac:dyDescent="0.2">
      <c r="G5641" s="889"/>
    </row>
    <row r="5642" spans="7:7" ht="10.5" customHeight="1" x14ac:dyDescent="0.2">
      <c r="G5642" s="889"/>
    </row>
    <row r="5643" spans="7:7" ht="10.5" customHeight="1" x14ac:dyDescent="0.2">
      <c r="G5643" s="889"/>
    </row>
    <row r="5644" spans="7:7" ht="10.5" customHeight="1" x14ac:dyDescent="0.2">
      <c r="G5644" s="889"/>
    </row>
    <row r="5645" spans="7:7" ht="10.5" customHeight="1" x14ac:dyDescent="0.2">
      <c r="G5645" s="889"/>
    </row>
    <row r="5646" spans="7:7" ht="10.5" customHeight="1" x14ac:dyDescent="0.2">
      <c r="G5646" s="889"/>
    </row>
    <row r="5647" spans="7:7" ht="10.5" customHeight="1" x14ac:dyDescent="0.2">
      <c r="G5647" s="889"/>
    </row>
    <row r="5648" spans="7:7" ht="10.5" customHeight="1" x14ac:dyDescent="0.2">
      <c r="G5648" s="889"/>
    </row>
    <row r="5649" spans="7:7" ht="10.5" customHeight="1" x14ac:dyDescent="0.2">
      <c r="G5649" s="889"/>
    </row>
    <row r="5650" spans="7:7" ht="10.5" customHeight="1" x14ac:dyDescent="0.2">
      <c r="G5650" s="889"/>
    </row>
    <row r="5651" spans="7:7" ht="10.5" customHeight="1" x14ac:dyDescent="0.2">
      <c r="G5651" s="889"/>
    </row>
    <row r="5652" spans="7:7" ht="10.5" customHeight="1" x14ac:dyDescent="0.2">
      <c r="G5652" s="889"/>
    </row>
    <row r="5653" spans="7:7" ht="10.5" customHeight="1" x14ac:dyDescent="0.2">
      <c r="G5653" s="889"/>
    </row>
    <row r="5654" spans="7:7" ht="10.5" customHeight="1" x14ac:dyDescent="0.2">
      <c r="G5654" s="889"/>
    </row>
    <row r="5655" spans="7:7" ht="10.5" customHeight="1" x14ac:dyDescent="0.2">
      <c r="G5655" s="889"/>
    </row>
    <row r="5656" spans="7:7" ht="10.5" customHeight="1" x14ac:dyDescent="0.2">
      <c r="G5656" s="889"/>
    </row>
    <row r="5657" spans="7:7" ht="10.5" customHeight="1" x14ac:dyDescent="0.2">
      <c r="G5657" s="889"/>
    </row>
    <row r="5658" spans="7:7" ht="10.5" customHeight="1" x14ac:dyDescent="0.2">
      <c r="G5658" s="889"/>
    </row>
    <row r="5659" spans="7:7" ht="10.5" customHeight="1" x14ac:dyDescent="0.2">
      <c r="G5659" s="889"/>
    </row>
    <row r="5660" spans="7:7" ht="10.5" customHeight="1" x14ac:dyDescent="0.2">
      <c r="G5660" s="889"/>
    </row>
    <row r="5661" spans="7:7" ht="10.5" customHeight="1" x14ac:dyDescent="0.2">
      <c r="G5661" s="889"/>
    </row>
    <row r="5662" spans="7:7" ht="10.5" customHeight="1" x14ac:dyDescent="0.2">
      <c r="G5662" s="889"/>
    </row>
    <row r="5663" spans="7:7" ht="10.5" customHeight="1" x14ac:dyDescent="0.2">
      <c r="G5663" s="889"/>
    </row>
    <row r="5664" spans="7:7" ht="10.5" customHeight="1" x14ac:dyDescent="0.2">
      <c r="G5664" s="889"/>
    </row>
    <row r="5665" spans="7:7" ht="10.5" customHeight="1" x14ac:dyDescent="0.2">
      <c r="G5665" s="889"/>
    </row>
    <row r="5666" spans="7:7" ht="10.5" customHeight="1" x14ac:dyDescent="0.2">
      <c r="G5666" s="889"/>
    </row>
    <row r="5667" spans="7:7" ht="10.5" customHeight="1" x14ac:dyDescent="0.2">
      <c r="G5667" s="889"/>
    </row>
    <row r="5668" spans="7:7" ht="10.5" customHeight="1" x14ac:dyDescent="0.2">
      <c r="G5668" s="889"/>
    </row>
    <row r="5669" spans="7:7" ht="10.5" customHeight="1" x14ac:dyDescent="0.2">
      <c r="G5669" s="889"/>
    </row>
    <row r="5670" spans="7:7" ht="10.5" customHeight="1" x14ac:dyDescent="0.2">
      <c r="G5670" s="889"/>
    </row>
    <row r="5671" spans="7:7" ht="10.5" customHeight="1" x14ac:dyDescent="0.2">
      <c r="G5671" s="889"/>
    </row>
    <row r="5672" spans="7:7" ht="10.5" customHeight="1" x14ac:dyDescent="0.2">
      <c r="G5672" s="889"/>
    </row>
    <row r="5673" spans="7:7" ht="10.5" customHeight="1" x14ac:dyDescent="0.2">
      <c r="G5673" s="889"/>
    </row>
    <row r="5674" spans="7:7" ht="10.5" customHeight="1" x14ac:dyDescent="0.2">
      <c r="G5674" s="889"/>
    </row>
    <row r="5675" spans="7:7" ht="10.5" customHeight="1" x14ac:dyDescent="0.2">
      <c r="G5675" s="889"/>
    </row>
    <row r="5676" spans="7:7" ht="10.5" customHeight="1" x14ac:dyDescent="0.2">
      <c r="G5676" s="889"/>
    </row>
    <row r="5677" spans="7:7" ht="10.5" customHeight="1" x14ac:dyDescent="0.2">
      <c r="G5677" s="889"/>
    </row>
    <row r="5678" spans="7:7" ht="10.5" customHeight="1" x14ac:dyDescent="0.2">
      <c r="G5678" s="889"/>
    </row>
    <row r="5679" spans="7:7" ht="10.5" customHeight="1" x14ac:dyDescent="0.2">
      <c r="G5679" s="889"/>
    </row>
    <row r="5680" spans="7:7" ht="10.5" customHeight="1" x14ac:dyDescent="0.2">
      <c r="G5680" s="889"/>
    </row>
    <row r="5681" spans="7:7" ht="10.5" customHeight="1" x14ac:dyDescent="0.2">
      <c r="G5681" s="889"/>
    </row>
    <row r="5682" spans="7:7" ht="10.5" customHeight="1" x14ac:dyDescent="0.2">
      <c r="G5682" s="889"/>
    </row>
    <row r="5683" spans="7:7" ht="10.5" customHeight="1" x14ac:dyDescent="0.2">
      <c r="G5683" s="889"/>
    </row>
    <row r="5684" spans="7:7" ht="10.5" customHeight="1" x14ac:dyDescent="0.2">
      <c r="G5684" s="889"/>
    </row>
    <row r="5685" spans="7:7" ht="10.5" customHeight="1" x14ac:dyDescent="0.2">
      <c r="G5685" s="889"/>
    </row>
    <row r="5686" spans="7:7" ht="10.5" customHeight="1" x14ac:dyDescent="0.2">
      <c r="G5686" s="889"/>
    </row>
    <row r="5687" spans="7:7" ht="10.5" customHeight="1" x14ac:dyDescent="0.2">
      <c r="G5687" s="889"/>
    </row>
    <row r="5688" spans="7:7" ht="10.5" customHeight="1" x14ac:dyDescent="0.2">
      <c r="G5688" s="889"/>
    </row>
    <row r="5689" spans="7:7" ht="10.5" customHeight="1" x14ac:dyDescent="0.2">
      <c r="G5689" s="889"/>
    </row>
    <row r="5690" spans="7:7" ht="10.5" customHeight="1" x14ac:dyDescent="0.2">
      <c r="G5690" s="889"/>
    </row>
    <row r="5691" spans="7:7" ht="10.5" customHeight="1" x14ac:dyDescent="0.2">
      <c r="G5691" s="889"/>
    </row>
    <row r="5692" spans="7:7" ht="10.5" customHeight="1" x14ac:dyDescent="0.2">
      <c r="G5692" s="889"/>
    </row>
    <row r="5693" spans="7:7" ht="10.5" customHeight="1" x14ac:dyDescent="0.2">
      <c r="G5693" s="889"/>
    </row>
    <row r="5694" spans="7:7" ht="10.5" customHeight="1" x14ac:dyDescent="0.2">
      <c r="G5694" s="889"/>
    </row>
    <row r="5695" spans="7:7" ht="10.5" customHeight="1" x14ac:dyDescent="0.2">
      <c r="G5695" s="889"/>
    </row>
    <row r="5696" spans="7:7" ht="10.5" customHeight="1" x14ac:dyDescent="0.2">
      <c r="G5696" s="889"/>
    </row>
    <row r="5697" spans="7:7" ht="10.5" customHeight="1" x14ac:dyDescent="0.2">
      <c r="G5697" s="889"/>
    </row>
    <row r="5698" spans="7:7" ht="10.5" customHeight="1" x14ac:dyDescent="0.2">
      <c r="G5698" s="889"/>
    </row>
    <row r="5699" spans="7:7" ht="10.5" customHeight="1" x14ac:dyDescent="0.2">
      <c r="G5699" s="889"/>
    </row>
    <row r="5700" spans="7:7" ht="10.5" customHeight="1" x14ac:dyDescent="0.2">
      <c r="G5700" s="889"/>
    </row>
    <row r="5701" spans="7:7" ht="10.5" customHeight="1" x14ac:dyDescent="0.2">
      <c r="G5701" s="889"/>
    </row>
    <row r="5702" spans="7:7" ht="10.5" customHeight="1" x14ac:dyDescent="0.2">
      <c r="G5702" s="889"/>
    </row>
    <row r="5703" spans="7:7" ht="10.5" customHeight="1" x14ac:dyDescent="0.2">
      <c r="G5703" s="889"/>
    </row>
    <row r="5704" spans="7:7" ht="10.5" customHeight="1" x14ac:dyDescent="0.2">
      <c r="G5704" s="889"/>
    </row>
    <row r="5705" spans="7:7" ht="10.5" customHeight="1" x14ac:dyDescent="0.2">
      <c r="G5705" s="889"/>
    </row>
    <row r="5706" spans="7:7" ht="10.5" customHeight="1" x14ac:dyDescent="0.2">
      <c r="G5706" s="889"/>
    </row>
    <row r="5707" spans="7:7" ht="10.5" customHeight="1" x14ac:dyDescent="0.2">
      <c r="G5707" s="889"/>
    </row>
    <row r="5708" spans="7:7" ht="10.5" customHeight="1" x14ac:dyDescent="0.2">
      <c r="G5708" s="889"/>
    </row>
    <row r="5709" spans="7:7" ht="10.5" customHeight="1" x14ac:dyDescent="0.2">
      <c r="G5709" s="889"/>
    </row>
    <row r="5710" spans="7:7" ht="10.5" customHeight="1" x14ac:dyDescent="0.2">
      <c r="G5710" s="889"/>
    </row>
    <row r="5711" spans="7:7" ht="10.5" customHeight="1" x14ac:dyDescent="0.2">
      <c r="G5711" s="889"/>
    </row>
    <row r="5712" spans="7:7" ht="10.5" customHeight="1" x14ac:dyDescent="0.2">
      <c r="G5712" s="889"/>
    </row>
    <row r="5713" spans="7:7" ht="10.5" customHeight="1" x14ac:dyDescent="0.2">
      <c r="G5713" s="889"/>
    </row>
    <row r="5714" spans="7:7" ht="10.5" customHeight="1" x14ac:dyDescent="0.2">
      <c r="G5714" s="889"/>
    </row>
    <row r="5715" spans="7:7" ht="10.5" customHeight="1" x14ac:dyDescent="0.2">
      <c r="G5715" s="889"/>
    </row>
    <row r="5716" spans="7:7" ht="10.5" customHeight="1" x14ac:dyDescent="0.2">
      <c r="G5716" s="889"/>
    </row>
    <row r="5717" spans="7:7" ht="10.5" customHeight="1" x14ac:dyDescent="0.2">
      <c r="G5717" s="889"/>
    </row>
    <row r="5718" spans="7:7" ht="10.5" customHeight="1" x14ac:dyDescent="0.2">
      <c r="G5718" s="889"/>
    </row>
    <row r="5719" spans="7:7" ht="10.5" customHeight="1" x14ac:dyDescent="0.2">
      <c r="G5719" s="889"/>
    </row>
    <row r="5720" spans="7:7" ht="10.5" customHeight="1" x14ac:dyDescent="0.2">
      <c r="G5720" s="889"/>
    </row>
    <row r="5721" spans="7:7" ht="10.5" customHeight="1" x14ac:dyDescent="0.2">
      <c r="G5721" s="889"/>
    </row>
    <row r="5722" spans="7:7" ht="10.5" customHeight="1" x14ac:dyDescent="0.2">
      <c r="G5722" s="889"/>
    </row>
    <row r="5723" spans="7:7" ht="10.5" customHeight="1" x14ac:dyDescent="0.2">
      <c r="G5723" s="889"/>
    </row>
    <row r="5724" spans="7:7" ht="10.5" customHeight="1" x14ac:dyDescent="0.2">
      <c r="G5724" s="889"/>
    </row>
    <row r="5725" spans="7:7" ht="10.5" customHeight="1" x14ac:dyDescent="0.2">
      <c r="G5725" s="889"/>
    </row>
    <row r="5726" spans="7:7" ht="10.5" customHeight="1" x14ac:dyDescent="0.2">
      <c r="G5726" s="889"/>
    </row>
    <row r="5727" spans="7:7" ht="10.5" customHeight="1" x14ac:dyDescent="0.2">
      <c r="G5727" s="889"/>
    </row>
    <row r="5728" spans="7:7" ht="10.5" customHeight="1" x14ac:dyDescent="0.2">
      <c r="G5728" s="889"/>
    </row>
    <row r="5729" spans="7:7" ht="10.5" customHeight="1" x14ac:dyDescent="0.2">
      <c r="G5729" s="889"/>
    </row>
    <row r="5730" spans="7:7" ht="10.5" customHeight="1" x14ac:dyDescent="0.2">
      <c r="G5730" s="889"/>
    </row>
    <row r="5731" spans="7:7" ht="10.5" customHeight="1" x14ac:dyDescent="0.2">
      <c r="G5731" s="889"/>
    </row>
    <row r="5732" spans="7:7" ht="10.5" customHeight="1" x14ac:dyDescent="0.2">
      <c r="G5732" s="889"/>
    </row>
    <row r="5733" spans="7:7" ht="10.5" customHeight="1" x14ac:dyDescent="0.2">
      <c r="G5733" s="889"/>
    </row>
    <row r="5734" spans="7:7" ht="10.5" customHeight="1" x14ac:dyDescent="0.2">
      <c r="G5734" s="889"/>
    </row>
    <row r="5735" spans="7:7" ht="10.5" customHeight="1" x14ac:dyDescent="0.2">
      <c r="G5735" s="889"/>
    </row>
    <row r="5736" spans="7:7" ht="10.5" customHeight="1" x14ac:dyDescent="0.2">
      <c r="G5736" s="889"/>
    </row>
    <row r="5737" spans="7:7" ht="10.5" customHeight="1" x14ac:dyDescent="0.2">
      <c r="G5737" s="889"/>
    </row>
    <row r="5738" spans="7:7" ht="10.5" customHeight="1" x14ac:dyDescent="0.2">
      <c r="G5738" s="889"/>
    </row>
    <row r="5739" spans="7:7" ht="10.5" customHeight="1" x14ac:dyDescent="0.2">
      <c r="G5739" s="889"/>
    </row>
    <row r="5740" spans="7:7" ht="10.5" customHeight="1" x14ac:dyDescent="0.2">
      <c r="G5740" s="889"/>
    </row>
    <row r="5741" spans="7:7" ht="10.5" customHeight="1" x14ac:dyDescent="0.2">
      <c r="G5741" s="889"/>
    </row>
    <row r="5742" spans="7:7" ht="10.5" customHeight="1" x14ac:dyDescent="0.2">
      <c r="G5742" s="889"/>
    </row>
    <row r="5743" spans="7:7" ht="10.5" customHeight="1" x14ac:dyDescent="0.2">
      <c r="G5743" s="889"/>
    </row>
    <row r="5744" spans="7:7" ht="10.5" customHeight="1" x14ac:dyDescent="0.2">
      <c r="G5744" s="889"/>
    </row>
    <row r="5745" spans="7:7" ht="10.5" customHeight="1" x14ac:dyDescent="0.2">
      <c r="G5745" s="889"/>
    </row>
    <row r="5746" spans="7:7" ht="10.5" customHeight="1" x14ac:dyDescent="0.2">
      <c r="G5746" s="889"/>
    </row>
    <row r="5747" spans="7:7" ht="10.5" customHeight="1" x14ac:dyDescent="0.2">
      <c r="G5747" s="889"/>
    </row>
    <row r="5748" spans="7:7" ht="10.5" customHeight="1" x14ac:dyDescent="0.2">
      <c r="G5748" s="889"/>
    </row>
    <row r="5749" spans="7:7" ht="10.5" customHeight="1" x14ac:dyDescent="0.2">
      <c r="G5749" s="889"/>
    </row>
    <row r="5750" spans="7:7" ht="10.5" customHeight="1" x14ac:dyDescent="0.2">
      <c r="G5750" s="889"/>
    </row>
    <row r="5751" spans="7:7" ht="10.5" customHeight="1" x14ac:dyDescent="0.2">
      <c r="G5751" s="889"/>
    </row>
    <row r="5752" spans="7:7" ht="10.5" customHeight="1" x14ac:dyDescent="0.2">
      <c r="G5752" s="889"/>
    </row>
    <row r="5753" spans="7:7" ht="10.5" customHeight="1" x14ac:dyDescent="0.2">
      <c r="G5753" s="889"/>
    </row>
    <row r="5754" spans="7:7" ht="10.5" customHeight="1" x14ac:dyDescent="0.2">
      <c r="G5754" s="889"/>
    </row>
    <row r="5755" spans="7:7" ht="10.5" customHeight="1" x14ac:dyDescent="0.2">
      <c r="G5755" s="889"/>
    </row>
    <row r="5756" spans="7:7" ht="10.5" customHeight="1" x14ac:dyDescent="0.2">
      <c r="G5756" s="889"/>
    </row>
    <row r="5757" spans="7:7" ht="10.5" customHeight="1" x14ac:dyDescent="0.2">
      <c r="G5757" s="889"/>
    </row>
    <row r="5758" spans="7:7" ht="10.5" customHeight="1" x14ac:dyDescent="0.2">
      <c r="G5758" s="889"/>
    </row>
    <row r="5759" spans="7:7" ht="10.5" customHeight="1" x14ac:dyDescent="0.2">
      <c r="G5759" s="889"/>
    </row>
    <row r="5760" spans="7:7" ht="10.5" customHeight="1" x14ac:dyDescent="0.2">
      <c r="G5760" s="889"/>
    </row>
    <row r="5761" spans="7:7" ht="10.5" customHeight="1" x14ac:dyDescent="0.2">
      <c r="G5761" s="889"/>
    </row>
    <row r="5762" spans="7:7" ht="10.5" customHeight="1" x14ac:dyDescent="0.2">
      <c r="G5762" s="889"/>
    </row>
    <row r="5763" spans="7:7" ht="10.5" customHeight="1" x14ac:dyDescent="0.2">
      <c r="G5763" s="889"/>
    </row>
    <row r="5764" spans="7:7" ht="10.5" customHeight="1" x14ac:dyDescent="0.2">
      <c r="G5764" s="889"/>
    </row>
    <row r="5765" spans="7:7" ht="10.5" customHeight="1" x14ac:dyDescent="0.2">
      <c r="G5765" s="889"/>
    </row>
    <row r="5766" spans="7:7" ht="10.5" customHeight="1" x14ac:dyDescent="0.2">
      <c r="G5766" s="889"/>
    </row>
    <row r="5767" spans="7:7" ht="10.5" customHeight="1" x14ac:dyDescent="0.2">
      <c r="G5767" s="889"/>
    </row>
    <row r="5768" spans="7:7" ht="10.5" customHeight="1" x14ac:dyDescent="0.2">
      <c r="G5768" s="889"/>
    </row>
    <row r="5769" spans="7:7" ht="10.5" customHeight="1" x14ac:dyDescent="0.2">
      <c r="G5769" s="889"/>
    </row>
    <row r="5770" spans="7:7" ht="10.5" customHeight="1" x14ac:dyDescent="0.2">
      <c r="G5770" s="889"/>
    </row>
    <row r="5771" spans="7:7" ht="10.5" customHeight="1" x14ac:dyDescent="0.2">
      <c r="G5771" s="889"/>
    </row>
    <row r="5772" spans="7:7" ht="10.5" customHeight="1" x14ac:dyDescent="0.2">
      <c r="G5772" s="889"/>
    </row>
    <row r="5773" spans="7:7" ht="10.5" customHeight="1" x14ac:dyDescent="0.2">
      <c r="G5773" s="889"/>
    </row>
    <row r="5774" spans="7:7" ht="10.5" customHeight="1" x14ac:dyDescent="0.2">
      <c r="G5774" s="889"/>
    </row>
    <row r="5775" spans="7:7" ht="10.5" customHeight="1" x14ac:dyDescent="0.2">
      <c r="G5775" s="889"/>
    </row>
    <row r="5776" spans="7:7" ht="10.5" customHeight="1" x14ac:dyDescent="0.2">
      <c r="G5776" s="889"/>
    </row>
    <row r="5777" spans="7:7" ht="10.5" customHeight="1" x14ac:dyDescent="0.2">
      <c r="G5777" s="889"/>
    </row>
    <row r="5778" spans="7:7" ht="10.5" customHeight="1" x14ac:dyDescent="0.2">
      <c r="G5778" s="889"/>
    </row>
    <row r="5779" spans="7:7" ht="10.5" customHeight="1" x14ac:dyDescent="0.2">
      <c r="G5779" s="889"/>
    </row>
    <row r="5780" spans="7:7" ht="10.5" customHeight="1" x14ac:dyDescent="0.2">
      <c r="G5780" s="889"/>
    </row>
    <row r="5781" spans="7:7" ht="10.5" customHeight="1" x14ac:dyDescent="0.2">
      <c r="G5781" s="889"/>
    </row>
    <row r="5782" spans="7:7" ht="10.5" customHeight="1" x14ac:dyDescent="0.2">
      <c r="G5782" s="889"/>
    </row>
    <row r="5783" spans="7:7" ht="10.5" customHeight="1" x14ac:dyDescent="0.2">
      <c r="G5783" s="889"/>
    </row>
    <row r="5784" spans="7:7" ht="10.5" customHeight="1" x14ac:dyDescent="0.2">
      <c r="G5784" s="889"/>
    </row>
    <row r="5785" spans="7:7" ht="10.5" customHeight="1" x14ac:dyDescent="0.2">
      <c r="G5785" s="889"/>
    </row>
    <row r="5786" spans="7:7" ht="10.5" customHeight="1" x14ac:dyDescent="0.2">
      <c r="G5786" s="889"/>
    </row>
    <row r="5787" spans="7:7" ht="10.5" customHeight="1" x14ac:dyDescent="0.2">
      <c r="G5787" s="889"/>
    </row>
    <row r="5788" spans="7:7" ht="10.5" customHeight="1" x14ac:dyDescent="0.2">
      <c r="G5788" s="889"/>
    </row>
    <row r="5789" spans="7:7" ht="10.5" customHeight="1" x14ac:dyDescent="0.2">
      <c r="G5789" s="889"/>
    </row>
    <row r="5790" spans="7:7" ht="10.5" customHeight="1" x14ac:dyDescent="0.2">
      <c r="G5790" s="889"/>
    </row>
    <row r="5791" spans="7:7" ht="10.5" customHeight="1" x14ac:dyDescent="0.2">
      <c r="G5791" s="889"/>
    </row>
    <row r="5792" spans="7:7" ht="10.5" customHeight="1" x14ac:dyDescent="0.2">
      <c r="G5792" s="889"/>
    </row>
    <row r="5793" spans="7:7" ht="10.5" customHeight="1" x14ac:dyDescent="0.2">
      <c r="G5793" s="889"/>
    </row>
    <row r="5794" spans="7:7" ht="10.5" customHeight="1" x14ac:dyDescent="0.2">
      <c r="G5794" s="889"/>
    </row>
    <row r="5795" spans="7:7" ht="10.5" customHeight="1" x14ac:dyDescent="0.2">
      <c r="G5795" s="889"/>
    </row>
    <row r="5796" spans="7:7" ht="10.5" customHeight="1" x14ac:dyDescent="0.2">
      <c r="G5796" s="889"/>
    </row>
    <row r="5797" spans="7:7" ht="10.5" customHeight="1" x14ac:dyDescent="0.2">
      <c r="G5797" s="889"/>
    </row>
    <row r="5798" spans="7:7" ht="10.5" customHeight="1" x14ac:dyDescent="0.2">
      <c r="G5798" s="889"/>
    </row>
    <row r="5799" spans="7:7" ht="10.5" customHeight="1" x14ac:dyDescent="0.2">
      <c r="G5799" s="889"/>
    </row>
    <row r="5800" spans="7:7" ht="10.5" customHeight="1" x14ac:dyDescent="0.2">
      <c r="G5800" s="889"/>
    </row>
    <row r="5801" spans="7:7" ht="10.5" customHeight="1" x14ac:dyDescent="0.2">
      <c r="G5801" s="889"/>
    </row>
    <row r="5802" spans="7:7" ht="10.5" customHeight="1" x14ac:dyDescent="0.2">
      <c r="G5802" s="889"/>
    </row>
    <row r="5803" spans="7:7" ht="10.5" customHeight="1" x14ac:dyDescent="0.2">
      <c r="G5803" s="889"/>
    </row>
    <row r="5804" spans="7:7" ht="10.5" customHeight="1" x14ac:dyDescent="0.2">
      <c r="G5804" s="889"/>
    </row>
    <row r="5805" spans="7:7" ht="10.5" customHeight="1" x14ac:dyDescent="0.2">
      <c r="G5805" s="889"/>
    </row>
    <row r="5806" spans="7:7" ht="10.5" customHeight="1" x14ac:dyDescent="0.2">
      <c r="G5806" s="889"/>
    </row>
    <row r="5807" spans="7:7" ht="10.5" customHeight="1" x14ac:dyDescent="0.2">
      <c r="G5807" s="889"/>
    </row>
    <row r="5808" spans="7:7" ht="10.5" customHeight="1" x14ac:dyDescent="0.2">
      <c r="G5808" s="889"/>
    </row>
    <row r="5809" spans="7:7" ht="10.5" customHeight="1" x14ac:dyDescent="0.2">
      <c r="G5809" s="889"/>
    </row>
    <row r="5810" spans="7:7" ht="10.5" customHeight="1" x14ac:dyDescent="0.2">
      <c r="G5810" s="889"/>
    </row>
    <row r="5811" spans="7:7" ht="10.5" customHeight="1" x14ac:dyDescent="0.2">
      <c r="G5811" s="889"/>
    </row>
    <row r="5812" spans="7:7" ht="10.5" customHeight="1" x14ac:dyDescent="0.2">
      <c r="G5812" s="889"/>
    </row>
    <row r="5813" spans="7:7" ht="10.5" customHeight="1" x14ac:dyDescent="0.2">
      <c r="G5813" s="889"/>
    </row>
    <row r="5814" spans="7:7" ht="10.5" customHeight="1" x14ac:dyDescent="0.2">
      <c r="G5814" s="889"/>
    </row>
    <row r="5815" spans="7:7" ht="10.5" customHeight="1" x14ac:dyDescent="0.2">
      <c r="G5815" s="889"/>
    </row>
    <row r="5816" spans="7:7" ht="10.5" customHeight="1" x14ac:dyDescent="0.2">
      <c r="G5816" s="889"/>
    </row>
    <row r="5817" spans="7:7" ht="10.5" customHeight="1" x14ac:dyDescent="0.2">
      <c r="G5817" s="889"/>
    </row>
    <row r="5818" spans="7:7" ht="10.5" customHeight="1" x14ac:dyDescent="0.2">
      <c r="G5818" s="889"/>
    </row>
    <row r="5819" spans="7:7" ht="10.5" customHeight="1" x14ac:dyDescent="0.2">
      <c r="G5819" s="889"/>
    </row>
    <row r="5820" spans="7:7" ht="10.5" customHeight="1" x14ac:dyDescent="0.2">
      <c r="G5820" s="889"/>
    </row>
    <row r="5821" spans="7:7" ht="10.5" customHeight="1" x14ac:dyDescent="0.2">
      <c r="G5821" s="889"/>
    </row>
    <row r="5822" spans="7:7" ht="10.5" customHeight="1" x14ac:dyDescent="0.2">
      <c r="G5822" s="889"/>
    </row>
    <row r="5823" spans="7:7" ht="10.5" customHeight="1" x14ac:dyDescent="0.2">
      <c r="G5823" s="889"/>
    </row>
    <row r="5824" spans="7:7" ht="10.5" customHeight="1" x14ac:dyDescent="0.2">
      <c r="G5824" s="889"/>
    </row>
    <row r="5825" spans="7:7" ht="10.5" customHeight="1" x14ac:dyDescent="0.2">
      <c r="G5825" s="889"/>
    </row>
    <row r="5826" spans="7:7" ht="10.5" customHeight="1" x14ac:dyDescent="0.2">
      <c r="G5826" s="889"/>
    </row>
    <row r="5827" spans="7:7" ht="10.5" customHeight="1" x14ac:dyDescent="0.2">
      <c r="G5827" s="889"/>
    </row>
    <row r="5828" spans="7:7" ht="10.5" customHeight="1" x14ac:dyDescent="0.2">
      <c r="G5828" s="889"/>
    </row>
    <row r="5829" spans="7:7" ht="10.5" customHeight="1" x14ac:dyDescent="0.2">
      <c r="G5829" s="889"/>
    </row>
    <row r="5830" spans="7:7" ht="10.5" customHeight="1" x14ac:dyDescent="0.2">
      <c r="G5830" s="889"/>
    </row>
    <row r="5831" spans="7:7" ht="10.5" customHeight="1" x14ac:dyDescent="0.2">
      <c r="G5831" s="889"/>
    </row>
    <row r="5832" spans="7:7" ht="10.5" customHeight="1" x14ac:dyDescent="0.2">
      <c r="G5832" s="889"/>
    </row>
    <row r="5833" spans="7:7" ht="10.5" customHeight="1" x14ac:dyDescent="0.2">
      <c r="G5833" s="889"/>
    </row>
    <row r="5834" spans="7:7" ht="10.5" customHeight="1" x14ac:dyDescent="0.2">
      <c r="G5834" s="889"/>
    </row>
    <row r="5835" spans="7:7" ht="10.5" customHeight="1" x14ac:dyDescent="0.2">
      <c r="G5835" s="889"/>
    </row>
    <row r="5836" spans="7:7" ht="10.5" customHeight="1" x14ac:dyDescent="0.2">
      <c r="G5836" s="889"/>
    </row>
    <row r="5837" spans="7:7" ht="10.5" customHeight="1" x14ac:dyDescent="0.2">
      <c r="G5837" s="889"/>
    </row>
    <row r="5838" spans="7:7" ht="10.5" customHeight="1" x14ac:dyDescent="0.2">
      <c r="G5838" s="889"/>
    </row>
    <row r="5839" spans="7:7" ht="10.5" customHeight="1" x14ac:dyDescent="0.2">
      <c r="G5839" s="889"/>
    </row>
    <row r="5840" spans="7:7" ht="10.5" customHeight="1" x14ac:dyDescent="0.2">
      <c r="G5840" s="889"/>
    </row>
    <row r="5841" spans="7:7" ht="10.5" customHeight="1" x14ac:dyDescent="0.2">
      <c r="G5841" s="889"/>
    </row>
    <row r="5842" spans="7:7" ht="10.5" customHeight="1" x14ac:dyDescent="0.2">
      <c r="G5842" s="889"/>
    </row>
    <row r="5843" spans="7:7" ht="10.5" customHeight="1" x14ac:dyDescent="0.2">
      <c r="G5843" s="889"/>
    </row>
    <row r="5844" spans="7:7" ht="10.5" customHeight="1" x14ac:dyDescent="0.2">
      <c r="G5844" s="889"/>
    </row>
    <row r="5845" spans="7:7" ht="10.5" customHeight="1" x14ac:dyDescent="0.2">
      <c r="G5845" s="889"/>
    </row>
    <row r="5846" spans="7:7" ht="10.5" customHeight="1" x14ac:dyDescent="0.2">
      <c r="G5846" s="889"/>
    </row>
    <row r="5847" spans="7:7" ht="10.5" customHeight="1" x14ac:dyDescent="0.2">
      <c r="G5847" s="889"/>
    </row>
    <row r="5848" spans="7:7" ht="10.5" customHeight="1" x14ac:dyDescent="0.2">
      <c r="G5848" s="889"/>
    </row>
    <row r="5849" spans="7:7" ht="10.5" customHeight="1" x14ac:dyDescent="0.2">
      <c r="G5849" s="889"/>
    </row>
    <row r="5850" spans="7:7" ht="10.5" customHeight="1" x14ac:dyDescent="0.2">
      <c r="G5850" s="889"/>
    </row>
    <row r="5851" spans="7:7" ht="10.5" customHeight="1" x14ac:dyDescent="0.2">
      <c r="G5851" s="889"/>
    </row>
    <row r="5852" spans="7:7" ht="10.5" customHeight="1" x14ac:dyDescent="0.2">
      <c r="G5852" s="889"/>
    </row>
    <row r="5853" spans="7:7" ht="10.5" customHeight="1" x14ac:dyDescent="0.2">
      <c r="G5853" s="889"/>
    </row>
    <row r="5854" spans="7:7" ht="10.5" customHeight="1" x14ac:dyDescent="0.2">
      <c r="G5854" s="889"/>
    </row>
    <row r="5855" spans="7:7" ht="10.5" customHeight="1" x14ac:dyDescent="0.2">
      <c r="G5855" s="889"/>
    </row>
    <row r="5856" spans="7:7" ht="10.5" customHeight="1" x14ac:dyDescent="0.2">
      <c r="G5856" s="889"/>
    </row>
    <row r="5857" spans="7:7" ht="10.5" customHeight="1" x14ac:dyDescent="0.2">
      <c r="G5857" s="889"/>
    </row>
    <row r="5858" spans="7:7" ht="10.5" customHeight="1" x14ac:dyDescent="0.2">
      <c r="G5858" s="889"/>
    </row>
    <row r="5859" spans="7:7" ht="10.5" customHeight="1" x14ac:dyDescent="0.2">
      <c r="G5859" s="889"/>
    </row>
    <row r="5860" spans="7:7" ht="10.5" customHeight="1" x14ac:dyDescent="0.2">
      <c r="G5860" s="889"/>
    </row>
    <row r="5861" spans="7:7" ht="10.5" customHeight="1" x14ac:dyDescent="0.2">
      <c r="G5861" s="889"/>
    </row>
    <row r="5862" spans="7:7" ht="10.5" customHeight="1" x14ac:dyDescent="0.2">
      <c r="G5862" s="889"/>
    </row>
    <row r="5863" spans="7:7" ht="10.5" customHeight="1" x14ac:dyDescent="0.2">
      <c r="G5863" s="889"/>
    </row>
    <row r="5864" spans="7:7" ht="10.5" customHeight="1" x14ac:dyDescent="0.2">
      <c r="G5864" s="889"/>
    </row>
    <row r="5865" spans="7:7" ht="10.5" customHeight="1" x14ac:dyDescent="0.2">
      <c r="G5865" s="889"/>
    </row>
    <row r="5866" spans="7:7" ht="10.5" customHeight="1" x14ac:dyDescent="0.2">
      <c r="G5866" s="889"/>
    </row>
    <row r="5867" spans="7:7" ht="10.5" customHeight="1" x14ac:dyDescent="0.2">
      <c r="G5867" s="889"/>
    </row>
    <row r="5868" spans="7:7" ht="10.5" customHeight="1" x14ac:dyDescent="0.2">
      <c r="G5868" s="889"/>
    </row>
    <row r="5869" spans="7:7" ht="10.5" customHeight="1" x14ac:dyDescent="0.2">
      <c r="G5869" s="889"/>
    </row>
    <row r="5870" spans="7:7" ht="10.5" customHeight="1" x14ac:dyDescent="0.2">
      <c r="G5870" s="889"/>
    </row>
    <row r="5871" spans="7:7" ht="10.5" customHeight="1" x14ac:dyDescent="0.2">
      <c r="G5871" s="889"/>
    </row>
    <row r="5872" spans="7:7" ht="10.5" customHeight="1" x14ac:dyDescent="0.2">
      <c r="G5872" s="889"/>
    </row>
    <row r="5873" spans="7:7" ht="10.5" customHeight="1" x14ac:dyDescent="0.2">
      <c r="G5873" s="889"/>
    </row>
    <row r="5874" spans="7:7" ht="10.5" customHeight="1" x14ac:dyDescent="0.2">
      <c r="G5874" s="889"/>
    </row>
    <row r="5875" spans="7:7" ht="10.5" customHeight="1" x14ac:dyDescent="0.2">
      <c r="G5875" s="889"/>
    </row>
    <row r="5876" spans="7:7" ht="10.5" customHeight="1" x14ac:dyDescent="0.2">
      <c r="G5876" s="889"/>
    </row>
    <row r="5877" spans="7:7" ht="10.5" customHeight="1" x14ac:dyDescent="0.2">
      <c r="G5877" s="889"/>
    </row>
    <row r="5878" spans="7:7" ht="10.5" customHeight="1" x14ac:dyDescent="0.2">
      <c r="G5878" s="889"/>
    </row>
    <row r="5879" spans="7:7" ht="10.5" customHeight="1" x14ac:dyDescent="0.2">
      <c r="G5879" s="889"/>
    </row>
    <row r="5880" spans="7:7" ht="10.5" customHeight="1" x14ac:dyDescent="0.2">
      <c r="G5880" s="889"/>
    </row>
    <row r="5881" spans="7:7" ht="10.5" customHeight="1" x14ac:dyDescent="0.2">
      <c r="G5881" s="889"/>
    </row>
    <row r="5882" spans="7:7" ht="10.5" customHeight="1" x14ac:dyDescent="0.2">
      <c r="G5882" s="889"/>
    </row>
    <row r="5883" spans="7:7" ht="10.5" customHeight="1" x14ac:dyDescent="0.2">
      <c r="G5883" s="889"/>
    </row>
    <row r="5884" spans="7:7" ht="10.5" customHeight="1" x14ac:dyDescent="0.2">
      <c r="G5884" s="889"/>
    </row>
    <row r="5885" spans="7:7" ht="10.5" customHeight="1" x14ac:dyDescent="0.2">
      <c r="G5885" s="889"/>
    </row>
    <row r="5886" spans="7:7" ht="10.5" customHeight="1" x14ac:dyDescent="0.2">
      <c r="G5886" s="889"/>
    </row>
    <row r="5887" spans="7:7" ht="10.5" customHeight="1" x14ac:dyDescent="0.2">
      <c r="G5887" s="889"/>
    </row>
    <row r="5888" spans="7:7" ht="10.5" customHeight="1" x14ac:dyDescent="0.2">
      <c r="G5888" s="889"/>
    </row>
    <row r="5889" spans="7:7" ht="10.5" customHeight="1" x14ac:dyDescent="0.2">
      <c r="G5889" s="889"/>
    </row>
    <row r="5890" spans="7:7" ht="10.5" customHeight="1" x14ac:dyDescent="0.2">
      <c r="G5890" s="889"/>
    </row>
    <row r="5891" spans="7:7" ht="10.5" customHeight="1" x14ac:dyDescent="0.2">
      <c r="G5891" s="889"/>
    </row>
    <row r="5892" spans="7:7" ht="10.5" customHeight="1" x14ac:dyDescent="0.2">
      <c r="G5892" s="889"/>
    </row>
    <row r="5893" spans="7:7" ht="10.5" customHeight="1" x14ac:dyDescent="0.2">
      <c r="G5893" s="889"/>
    </row>
    <row r="5894" spans="7:7" ht="10.5" customHeight="1" x14ac:dyDescent="0.2">
      <c r="G5894" s="889"/>
    </row>
    <row r="5895" spans="7:7" ht="10.5" customHeight="1" x14ac:dyDescent="0.2">
      <c r="G5895" s="889"/>
    </row>
    <row r="5896" spans="7:7" ht="10.5" customHeight="1" x14ac:dyDescent="0.2">
      <c r="G5896" s="889"/>
    </row>
    <row r="5897" spans="7:7" ht="10.5" customHeight="1" x14ac:dyDescent="0.2">
      <c r="G5897" s="889"/>
    </row>
    <row r="5898" spans="7:7" ht="10.5" customHeight="1" x14ac:dyDescent="0.2">
      <c r="G5898" s="889"/>
    </row>
    <row r="5899" spans="7:7" ht="10.5" customHeight="1" x14ac:dyDescent="0.2">
      <c r="G5899" s="889"/>
    </row>
    <row r="5900" spans="7:7" ht="10.5" customHeight="1" x14ac:dyDescent="0.2">
      <c r="G5900" s="889"/>
    </row>
    <row r="5901" spans="7:7" ht="10.5" customHeight="1" x14ac:dyDescent="0.2">
      <c r="G5901" s="889"/>
    </row>
    <row r="5902" spans="7:7" ht="10.5" customHeight="1" x14ac:dyDescent="0.2">
      <c r="G5902" s="889"/>
    </row>
    <row r="5903" spans="7:7" ht="10.5" customHeight="1" x14ac:dyDescent="0.2">
      <c r="G5903" s="889"/>
    </row>
    <row r="5904" spans="7:7" ht="10.5" customHeight="1" x14ac:dyDescent="0.2">
      <c r="G5904" s="889"/>
    </row>
    <row r="5905" spans="7:7" ht="10.5" customHeight="1" x14ac:dyDescent="0.2">
      <c r="G5905" s="889"/>
    </row>
    <row r="5906" spans="7:7" ht="10.5" customHeight="1" x14ac:dyDescent="0.2">
      <c r="G5906" s="889"/>
    </row>
    <row r="5907" spans="7:7" ht="10.5" customHeight="1" x14ac:dyDescent="0.2">
      <c r="G5907" s="889"/>
    </row>
    <row r="5908" spans="7:7" ht="10.5" customHeight="1" x14ac:dyDescent="0.2">
      <c r="G5908" s="889"/>
    </row>
    <row r="5909" spans="7:7" ht="10.5" customHeight="1" x14ac:dyDescent="0.2">
      <c r="G5909" s="889"/>
    </row>
    <row r="5910" spans="7:7" ht="10.5" customHeight="1" x14ac:dyDescent="0.2">
      <c r="G5910" s="889"/>
    </row>
    <row r="5911" spans="7:7" ht="10.5" customHeight="1" x14ac:dyDescent="0.2">
      <c r="G5911" s="889"/>
    </row>
    <row r="5912" spans="7:7" ht="10.5" customHeight="1" x14ac:dyDescent="0.2">
      <c r="G5912" s="889"/>
    </row>
    <row r="5913" spans="7:7" ht="10.5" customHeight="1" x14ac:dyDescent="0.2">
      <c r="G5913" s="889"/>
    </row>
    <row r="5914" spans="7:7" ht="10.5" customHeight="1" x14ac:dyDescent="0.2">
      <c r="G5914" s="889"/>
    </row>
    <row r="5915" spans="7:7" ht="10.5" customHeight="1" x14ac:dyDescent="0.2">
      <c r="G5915" s="889"/>
    </row>
    <row r="5916" spans="7:7" ht="10.5" customHeight="1" x14ac:dyDescent="0.2">
      <c r="G5916" s="889"/>
    </row>
    <row r="5917" spans="7:7" ht="10.5" customHeight="1" x14ac:dyDescent="0.2">
      <c r="G5917" s="889"/>
    </row>
    <row r="5918" spans="7:7" ht="10.5" customHeight="1" x14ac:dyDescent="0.2">
      <c r="G5918" s="889"/>
    </row>
    <row r="5919" spans="7:7" ht="10.5" customHeight="1" x14ac:dyDescent="0.2">
      <c r="G5919" s="889"/>
    </row>
    <row r="5920" spans="7:7" ht="10.5" customHeight="1" x14ac:dyDescent="0.2">
      <c r="G5920" s="889"/>
    </row>
    <row r="5921" spans="7:7" ht="10.5" customHeight="1" x14ac:dyDescent="0.2">
      <c r="G5921" s="889"/>
    </row>
    <row r="5922" spans="7:7" ht="10.5" customHeight="1" x14ac:dyDescent="0.2">
      <c r="G5922" s="889"/>
    </row>
    <row r="5923" spans="7:7" ht="10.5" customHeight="1" x14ac:dyDescent="0.2">
      <c r="G5923" s="889"/>
    </row>
    <row r="5924" spans="7:7" ht="10.5" customHeight="1" x14ac:dyDescent="0.2">
      <c r="G5924" s="889"/>
    </row>
    <row r="5925" spans="7:7" ht="10.5" customHeight="1" x14ac:dyDescent="0.2">
      <c r="G5925" s="889"/>
    </row>
    <row r="5926" spans="7:7" ht="10.5" customHeight="1" x14ac:dyDescent="0.2">
      <c r="G5926" s="889"/>
    </row>
    <row r="5927" spans="7:7" ht="10.5" customHeight="1" x14ac:dyDescent="0.2">
      <c r="G5927" s="889"/>
    </row>
    <row r="5928" spans="7:7" ht="10.5" customHeight="1" x14ac:dyDescent="0.2">
      <c r="G5928" s="889"/>
    </row>
    <row r="5929" spans="7:7" ht="10.5" customHeight="1" x14ac:dyDescent="0.2">
      <c r="G5929" s="889"/>
    </row>
    <row r="5930" spans="7:7" ht="10.5" customHeight="1" x14ac:dyDescent="0.2">
      <c r="G5930" s="889"/>
    </row>
    <row r="5931" spans="7:7" ht="10.5" customHeight="1" x14ac:dyDescent="0.2">
      <c r="G5931" s="889"/>
    </row>
    <row r="5932" spans="7:7" ht="10.5" customHeight="1" x14ac:dyDescent="0.2">
      <c r="G5932" s="889"/>
    </row>
    <row r="5933" spans="7:7" ht="10.5" customHeight="1" x14ac:dyDescent="0.2">
      <c r="G5933" s="889"/>
    </row>
    <row r="5934" spans="7:7" ht="10.5" customHeight="1" x14ac:dyDescent="0.2">
      <c r="G5934" s="889"/>
    </row>
    <row r="5935" spans="7:7" ht="10.5" customHeight="1" x14ac:dyDescent="0.2">
      <c r="G5935" s="889"/>
    </row>
    <row r="5936" spans="7:7" ht="10.5" customHeight="1" x14ac:dyDescent="0.2">
      <c r="G5936" s="889"/>
    </row>
    <row r="5937" spans="7:7" ht="10.5" customHeight="1" x14ac:dyDescent="0.2">
      <c r="G5937" s="889"/>
    </row>
    <row r="5938" spans="7:7" ht="10.5" customHeight="1" x14ac:dyDescent="0.2">
      <c r="G5938" s="889"/>
    </row>
    <row r="5939" spans="7:7" ht="10.5" customHeight="1" x14ac:dyDescent="0.2">
      <c r="G5939" s="889"/>
    </row>
    <row r="5940" spans="7:7" ht="10.5" customHeight="1" x14ac:dyDescent="0.2">
      <c r="G5940" s="889"/>
    </row>
    <row r="5941" spans="7:7" ht="10.5" customHeight="1" x14ac:dyDescent="0.2">
      <c r="G5941" s="889"/>
    </row>
    <row r="5942" spans="7:7" ht="10.5" customHeight="1" x14ac:dyDescent="0.2">
      <c r="G5942" s="889"/>
    </row>
    <row r="5943" spans="7:7" ht="10.5" customHeight="1" x14ac:dyDescent="0.2">
      <c r="G5943" s="889"/>
    </row>
    <row r="5944" spans="7:7" ht="10.5" customHeight="1" x14ac:dyDescent="0.2">
      <c r="G5944" s="889"/>
    </row>
    <row r="5945" spans="7:7" ht="10.5" customHeight="1" x14ac:dyDescent="0.2">
      <c r="G5945" s="889"/>
    </row>
    <row r="5946" spans="7:7" ht="10.5" customHeight="1" x14ac:dyDescent="0.2">
      <c r="G5946" s="889"/>
    </row>
    <row r="5947" spans="7:7" ht="10.5" customHeight="1" x14ac:dyDescent="0.2">
      <c r="G5947" s="889"/>
    </row>
    <row r="5948" spans="7:7" ht="10.5" customHeight="1" x14ac:dyDescent="0.2">
      <c r="G5948" s="889"/>
    </row>
    <row r="5949" spans="7:7" ht="10.5" customHeight="1" x14ac:dyDescent="0.2">
      <c r="G5949" s="889"/>
    </row>
    <row r="5950" spans="7:7" ht="10.5" customHeight="1" x14ac:dyDescent="0.2">
      <c r="G5950" s="889"/>
    </row>
    <row r="5951" spans="7:7" ht="10.5" customHeight="1" x14ac:dyDescent="0.2">
      <c r="G5951" s="889"/>
    </row>
    <row r="5952" spans="7:7" ht="10.5" customHeight="1" x14ac:dyDescent="0.2">
      <c r="G5952" s="889"/>
    </row>
    <row r="5953" spans="7:7" ht="10.5" customHeight="1" x14ac:dyDescent="0.2">
      <c r="G5953" s="889"/>
    </row>
    <row r="5954" spans="7:7" ht="10.5" customHeight="1" x14ac:dyDescent="0.2">
      <c r="G5954" s="889"/>
    </row>
    <row r="5955" spans="7:7" ht="10.5" customHeight="1" x14ac:dyDescent="0.2">
      <c r="G5955" s="889"/>
    </row>
    <row r="5956" spans="7:7" ht="10.5" customHeight="1" x14ac:dyDescent="0.2">
      <c r="G5956" s="889"/>
    </row>
    <row r="5957" spans="7:7" ht="10.5" customHeight="1" x14ac:dyDescent="0.2">
      <c r="G5957" s="889"/>
    </row>
    <row r="5958" spans="7:7" ht="10.5" customHeight="1" x14ac:dyDescent="0.2">
      <c r="G5958" s="889"/>
    </row>
    <row r="5959" spans="7:7" ht="10.5" customHeight="1" x14ac:dyDescent="0.2">
      <c r="G5959" s="889"/>
    </row>
    <row r="5960" spans="7:7" ht="10.5" customHeight="1" x14ac:dyDescent="0.2">
      <c r="G5960" s="889"/>
    </row>
    <row r="5961" spans="7:7" ht="10.5" customHeight="1" x14ac:dyDescent="0.2">
      <c r="G5961" s="889"/>
    </row>
    <row r="5962" spans="7:7" ht="10.5" customHeight="1" x14ac:dyDescent="0.2">
      <c r="G5962" s="889"/>
    </row>
    <row r="5963" spans="7:7" ht="10.5" customHeight="1" x14ac:dyDescent="0.2">
      <c r="G5963" s="889"/>
    </row>
    <row r="5964" spans="7:7" ht="10.5" customHeight="1" x14ac:dyDescent="0.2">
      <c r="G5964" s="889"/>
    </row>
    <row r="5965" spans="7:7" ht="10.5" customHeight="1" x14ac:dyDescent="0.2">
      <c r="G5965" s="889"/>
    </row>
    <row r="5966" spans="7:7" ht="10.5" customHeight="1" x14ac:dyDescent="0.2">
      <c r="G5966" s="889"/>
    </row>
    <row r="5967" spans="7:7" ht="10.5" customHeight="1" x14ac:dyDescent="0.2">
      <c r="G5967" s="889"/>
    </row>
    <row r="5968" spans="7:7" ht="10.5" customHeight="1" x14ac:dyDescent="0.2">
      <c r="G5968" s="889"/>
    </row>
    <row r="5969" spans="7:7" ht="10.5" customHeight="1" x14ac:dyDescent="0.2">
      <c r="G5969" s="889"/>
    </row>
    <row r="5970" spans="7:7" ht="10.5" customHeight="1" x14ac:dyDescent="0.2">
      <c r="G5970" s="889"/>
    </row>
    <row r="5971" spans="7:7" ht="10.5" customHeight="1" x14ac:dyDescent="0.2">
      <c r="G5971" s="889"/>
    </row>
    <row r="5972" spans="7:7" ht="10.5" customHeight="1" x14ac:dyDescent="0.2">
      <c r="G5972" s="889"/>
    </row>
    <row r="5973" spans="7:7" ht="10.5" customHeight="1" x14ac:dyDescent="0.2">
      <c r="G5973" s="889"/>
    </row>
    <row r="5974" spans="7:7" ht="10.5" customHeight="1" x14ac:dyDescent="0.2">
      <c r="G5974" s="889"/>
    </row>
    <row r="5975" spans="7:7" ht="10.5" customHeight="1" x14ac:dyDescent="0.2">
      <c r="G5975" s="889"/>
    </row>
    <row r="5976" spans="7:7" ht="10.5" customHeight="1" x14ac:dyDescent="0.2">
      <c r="G5976" s="889"/>
    </row>
    <row r="5977" spans="7:7" ht="10.5" customHeight="1" x14ac:dyDescent="0.2">
      <c r="G5977" s="889"/>
    </row>
    <row r="5978" spans="7:7" ht="10.5" customHeight="1" x14ac:dyDescent="0.2">
      <c r="G5978" s="889"/>
    </row>
    <row r="5979" spans="7:7" ht="10.5" customHeight="1" x14ac:dyDescent="0.2">
      <c r="G5979" s="889"/>
    </row>
    <row r="5980" spans="7:7" ht="10.5" customHeight="1" x14ac:dyDescent="0.2">
      <c r="G5980" s="889"/>
    </row>
    <row r="5981" spans="7:7" ht="10.5" customHeight="1" x14ac:dyDescent="0.2">
      <c r="G5981" s="889"/>
    </row>
    <row r="5982" spans="7:7" ht="10.5" customHeight="1" x14ac:dyDescent="0.2">
      <c r="G5982" s="889"/>
    </row>
    <row r="5983" spans="7:7" ht="10.5" customHeight="1" x14ac:dyDescent="0.2">
      <c r="G5983" s="889"/>
    </row>
    <row r="5984" spans="7:7" ht="10.5" customHeight="1" x14ac:dyDescent="0.2">
      <c r="G5984" s="889"/>
    </row>
    <row r="5985" spans="7:7" ht="10.5" customHeight="1" x14ac:dyDescent="0.2">
      <c r="G5985" s="889"/>
    </row>
    <row r="5986" spans="7:7" ht="10.5" customHeight="1" x14ac:dyDescent="0.2">
      <c r="G5986" s="889"/>
    </row>
    <row r="5987" spans="7:7" ht="10.5" customHeight="1" x14ac:dyDescent="0.2">
      <c r="G5987" s="889"/>
    </row>
    <row r="5988" spans="7:7" ht="10.5" customHeight="1" x14ac:dyDescent="0.2">
      <c r="G5988" s="889"/>
    </row>
    <row r="5989" spans="7:7" ht="10.5" customHeight="1" x14ac:dyDescent="0.2">
      <c r="G5989" s="889"/>
    </row>
    <row r="5990" spans="7:7" ht="10.5" customHeight="1" x14ac:dyDescent="0.2">
      <c r="G5990" s="889"/>
    </row>
    <row r="5991" spans="7:7" ht="10.5" customHeight="1" x14ac:dyDescent="0.2">
      <c r="G5991" s="889"/>
    </row>
    <row r="5992" spans="7:7" ht="10.5" customHeight="1" x14ac:dyDescent="0.2">
      <c r="G5992" s="889"/>
    </row>
    <row r="5993" spans="7:7" ht="10.5" customHeight="1" x14ac:dyDescent="0.2">
      <c r="G5993" s="889"/>
    </row>
    <row r="5994" spans="7:7" ht="10.5" customHeight="1" x14ac:dyDescent="0.2">
      <c r="G5994" s="889"/>
    </row>
    <row r="5995" spans="7:7" ht="10.5" customHeight="1" x14ac:dyDescent="0.2">
      <c r="G5995" s="889"/>
    </row>
    <row r="5996" spans="7:7" ht="10.5" customHeight="1" x14ac:dyDescent="0.2">
      <c r="G5996" s="889"/>
    </row>
    <row r="5997" spans="7:7" ht="10.5" customHeight="1" x14ac:dyDescent="0.2">
      <c r="G5997" s="889"/>
    </row>
    <row r="5998" spans="7:7" ht="10.5" customHeight="1" x14ac:dyDescent="0.2">
      <c r="G5998" s="889"/>
    </row>
    <row r="5999" spans="7:7" ht="10.5" customHeight="1" x14ac:dyDescent="0.2">
      <c r="G5999" s="889"/>
    </row>
    <row r="6000" spans="7:7" ht="10.5" customHeight="1" x14ac:dyDescent="0.2">
      <c r="G6000" s="889"/>
    </row>
    <row r="6001" spans="7:7" ht="10.5" customHeight="1" x14ac:dyDescent="0.2">
      <c r="G6001" s="889"/>
    </row>
    <row r="6002" spans="7:7" ht="10.5" customHeight="1" x14ac:dyDescent="0.2">
      <c r="G6002" s="889"/>
    </row>
    <row r="6003" spans="7:7" ht="10.5" customHeight="1" x14ac:dyDescent="0.2">
      <c r="G6003" s="889"/>
    </row>
    <row r="6004" spans="7:7" ht="10.5" customHeight="1" x14ac:dyDescent="0.2">
      <c r="G6004" s="889"/>
    </row>
    <row r="6005" spans="7:7" ht="10.5" customHeight="1" x14ac:dyDescent="0.2">
      <c r="G6005" s="889"/>
    </row>
    <row r="6006" spans="7:7" ht="10.5" customHeight="1" x14ac:dyDescent="0.2">
      <c r="G6006" s="889"/>
    </row>
    <row r="6007" spans="7:7" ht="10.5" customHeight="1" x14ac:dyDescent="0.2">
      <c r="G6007" s="889"/>
    </row>
    <row r="6008" spans="7:7" ht="10.5" customHeight="1" x14ac:dyDescent="0.2">
      <c r="G6008" s="889"/>
    </row>
    <row r="6009" spans="7:7" ht="10.5" customHeight="1" x14ac:dyDescent="0.2">
      <c r="G6009" s="889"/>
    </row>
    <row r="6010" spans="7:7" ht="10.5" customHeight="1" x14ac:dyDescent="0.2">
      <c r="G6010" s="889"/>
    </row>
    <row r="6011" spans="7:7" ht="10.5" customHeight="1" x14ac:dyDescent="0.2">
      <c r="G6011" s="889"/>
    </row>
    <row r="6012" spans="7:7" ht="10.5" customHeight="1" x14ac:dyDescent="0.2">
      <c r="G6012" s="889"/>
    </row>
    <row r="6013" spans="7:7" ht="10.5" customHeight="1" x14ac:dyDescent="0.2">
      <c r="G6013" s="889"/>
    </row>
    <row r="6014" spans="7:7" ht="10.5" customHeight="1" x14ac:dyDescent="0.2">
      <c r="G6014" s="889"/>
    </row>
    <row r="6015" spans="7:7" ht="10.5" customHeight="1" x14ac:dyDescent="0.2">
      <c r="G6015" s="889"/>
    </row>
    <row r="6016" spans="7:7" ht="10.5" customHeight="1" x14ac:dyDescent="0.2">
      <c r="G6016" s="889"/>
    </row>
    <row r="6017" spans="7:7" ht="10.5" customHeight="1" x14ac:dyDescent="0.2">
      <c r="G6017" s="889"/>
    </row>
    <row r="6018" spans="7:7" ht="10.5" customHeight="1" x14ac:dyDescent="0.2">
      <c r="G6018" s="889"/>
    </row>
    <row r="6019" spans="7:7" ht="10.5" customHeight="1" x14ac:dyDescent="0.2">
      <c r="G6019" s="889"/>
    </row>
    <row r="6020" spans="7:7" ht="10.5" customHeight="1" x14ac:dyDescent="0.2">
      <c r="G6020" s="889"/>
    </row>
    <row r="6021" spans="7:7" ht="10.5" customHeight="1" x14ac:dyDescent="0.2">
      <c r="G6021" s="889"/>
    </row>
    <row r="6022" spans="7:7" ht="10.5" customHeight="1" x14ac:dyDescent="0.2">
      <c r="G6022" s="889"/>
    </row>
    <row r="6023" spans="7:7" ht="10.5" customHeight="1" x14ac:dyDescent="0.2">
      <c r="G6023" s="889"/>
    </row>
    <row r="6024" spans="7:7" ht="10.5" customHeight="1" x14ac:dyDescent="0.2">
      <c r="G6024" s="889"/>
    </row>
    <row r="6025" spans="7:7" ht="10.5" customHeight="1" x14ac:dyDescent="0.2">
      <c r="G6025" s="889"/>
    </row>
    <row r="6026" spans="7:7" ht="10.5" customHeight="1" x14ac:dyDescent="0.2">
      <c r="G6026" s="889"/>
    </row>
    <row r="6027" spans="7:7" ht="10.5" customHeight="1" x14ac:dyDescent="0.2">
      <c r="G6027" s="889"/>
    </row>
    <row r="6028" spans="7:7" ht="10.5" customHeight="1" x14ac:dyDescent="0.2">
      <c r="G6028" s="889"/>
    </row>
    <row r="6029" spans="7:7" ht="10.5" customHeight="1" x14ac:dyDescent="0.2">
      <c r="G6029" s="889"/>
    </row>
    <row r="6030" spans="7:7" ht="10.5" customHeight="1" x14ac:dyDescent="0.2">
      <c r="G6030" s="889"/>
    </row>
    <row r="6031" spans="7:7" ht="10.5" customHeight="1" x14ac:dyDescent="0.2">
      <c r="G6031" s="889"/>
    </row>
    <row r="6032" spans="7:7" ht="10.5" customHeight="1" x14ac:dyDescent="0.2">
      <c r="G6032" s="889"/>
    </row>
    <row r="6033" spans="7:7" ht="10.5" customHeight="1" x14ac:dyDescent="0.2">
      <c r="G6033" s="889"/>
    </row>
    <row r="6034" spans="7:7" ht="10.5" customHeight="1" x14ac:dyDescent="0.2">
      <c r="G6034" s="889"/>
    </row>
    <row r="6035" spans="7:7" ht="10.5" customHeight="1" x14ac:dyDescent="0.2">
      <c r="G6035" s="889"/>
    </row>
    <row r="6036" spans="7:7" ht="10.5" customHeight="1" x14ac:dyDescent="0.2">
      <c r="G6036" s="889"/>
    </row>
    <row r="6037" spans="7:7" ht="10.5" customHeight="1" x14ac:dyDescent="0.2">
      <c r="G6037" s="889"/>
    </row>
    <row r="6038" spans="7:7" ht="10.5" customHeight="1" x14ac:dyDescent="0.2">
      <c r="G6038" s="889"/>
    </row>
    <row r="6039" spans="7:7" ht="10.5" customHeight="1" x14ac:dyDescent="0.2">
      <c r="G6039" s="889"/>
    </row>
    <row r="6040" spans="7:7" ht="10.5" customHeight="1" x14ac:dyDescent="0.2">
      <c r="G6040" s="889"/>
    </row>
    <row r="6041" spans="7:7" ht="10.5" customHeight="1" x14ac:dyDescent="0.2">
      <c r="G6041" s="889"/>
    </row>
    <row r="6042" spans="7:7" ht="10.5" customHeight="1" x14ac:dyDescent="0.2">
      <c r="G6042" s="889"/>
    </row>
    <row r="6043" spans="7:7" ht="10.5" customHeight="1" x14ac:dyDescent="0.2">
      <c r="G6043" s="889"/>
    </row>
    <row r="6044" spans="7:7" ht="10.5" customHeight="1" x14ac:dyDescent="0.2">
      <c r="G6044" s="889"/>
    </row>
    <row r="6045" spans="7:7" ht="10.5" customHeight="1" x14ac:dyDescent="0.2">
      <c r="G6045" s="889"/>
    </row>
    <row r="6046" spans="7:7" ht="10.5" customHeight="1" x14ac:dyDescent="0.2">
      <c r="G6046" s="889"/>
    </row>
    <row r="6047" spans="7:7" ht="10.5" customHeight="1" x14ac:dyDescent="0.2">
      <c r="G6047" s="889"/>
    </row>
    <row r="6048" spans="7:7" ht="10.5" customHeight="1" x14ac:dyDescent="0.2">
      <c r="G6048" s="889"/>
    </row>
    <row r="6049" spans="7:7" ht="10.5" customHeight="1" x14ac:dyDescent="0.2">
      <c r="G6049" s="889"/>
    </row>
    <row r="6050" spans="7:7" ht="10.5" customHeight="1" x14ac:dyDescent="0.2">
      <c r="G6050" s="889"/>
    </row>
    <row r="6051" spans="7:7" ht="10.5" customHeight="1" x14ac:dyDescent="0.2">
      <c r="G6051" s="889"/>
    </row>
    <row r="6052" spans="7:7" ht="10.5" customHeight="1" x14ac:dyDescent="0.2">
      <c r="G6052" s="889"/>
    </row>
    <row r="6053" spans="7:7" ht="10.5" customHeight="1" x14ac:dyDescent="0.2">
      <c r="G6053" s="889"/>
    </row>
    <row r="6054" spans="7:7" ht="10.5" customHeight="1" x14ac:dyDescent="0.2">
      <c r="G6054" s="889"/>
    </row>
    <row r="6055" spans="7:7" ht="10.5" customHeight="1" x14ac:dyDescent="0.2">
      <c r="G6055" s="889"/>
    </row>
    <row r="6056" spans="7:7" ht="10.5" customHeight="1" x14ac:dyDescent="0.2">
      <c r="G6056" s="889"/>
    </row>
    <row r="6057" spans="7:7" ht="10.5" customHeight="1" x14ac:dyDescent="0.2">
      <c r="G6057" s="889"/>
    </row>
    <row r="6058" spans="7:7" ht="10.5" customHeight="1" x14ac:dyDescent="0.2">
      <c r="G6058" s="889"/>
    </row>
    <row r="6059" spans="7:7" ht="10.5" customHeight="1" x14ac:dyDescent="0.2">
      <c r="G6059" s="889"/>
    </row>
    <row r="6060" spans="7:7" ht="10.5" customHeight="1" x14ac:dyDescent="0.2">
      <c r="G6060" s="889"/>
    </row>
    <row r="6061" spans="7:7" ht="10.5" customHeight="1" x14ac:dyDescent="0.2">
      <c r="G6061" s="889"/>
    </row>
    <row r="6062" spans="7:7" ht="10.5" customHeight="1" x14ac:dyDescent="0.2">
      <c r="G6062" s="889"/>
    </row>
    <row r="6063" spans="7:7" ht="10.5" customHeight="1" x14ac:dyDescent="0.2">
      <c r="G6063" s="889"/>
    </row>
    <row r="6064" spans="7:7" ht="10.5" customHeight="1" x14ac:dyDescent="0.2">
      <c r="G6064" s="889"/>
    </row>
    <row r="6065" spans="7:7" ht="10.5" customHeight="1" x14ac:dyDescent="0.2">
      <c r="G6065" s="889"/>
    </row>
    <row r="6066" spans="7:7" ht="10.5" customHeight="1" x14ac:dyDescent="0.2">
      <c r="G6066" s="889"/>
    </row>
    <row r="6067" spans="7:7" ht="10.5" customHeight="1" x14ac:dyDescent="0.2">
      <c r="G6067" s="889"/>
    </row>
    <row r="6068" spans="7:7" ht="10.5" customHeight="1" x14ac:dyDescent="0.2">
      <c r="G6068" s="889"/>
    </row>
    <row r="6069" spans="7:7" ht="10.5" customHeight="1" x14ac:dyDescent="0.2">
      <c r="G6069" s="889"/>
    </row>
    <row r="6070" spans="7:7" ht="10.5" customHeight="1" x14ac:dyDescent="0.2">
      <c r="G6070" s="889"/>
    </row>
    <row r="6071" spans="7:7" ht="10.5" customHeight="1" x14ac:dyDescent="0.2">
      <c r="G6071" s="889"/>
    </row>
    <row r="6072" spans="7:7" ht="10.5" customHeight="1" x14ac:dyDescent="0.2">
      <c r="G6072" s="889"/>
    </row>
    <row r="6073" spans="7:7" ht="10.5" customHeight="1" x14ac:dyDescent="0.2">
      <c r="G6073" s="889"/>
    </row>
    <row r="6074" spans="7:7" ht="10.5" customHeight="1" x14ac:dyDescent="0.2">
      <c r="G6074" s="889"/>
    </row>
    <row r="6075" spans="7:7" ht="10.5" customHeight="1" x14ac:dyDescent="0.2">
      <c r="G6075" s="889"/>
    </row>
    <row r="6076" spans="7:7" ht="10.5" customHeight="1" x14ac:dyDescent="0.2">
      <c r="G6076" s="889"/>
    </row>
    <row r="6077" spans="7:7" ht="10.5" customHeight="1" x14ac:dyDescent="0.2">
      <c r="G6077" s="889"/>
    </row>
    <row r="6078" spans="7:7" ht="10.5" customHeight="1" x14ac:dyDescent="0.2">
      <c r="G6078" s="889"/>
    </row>
    <row r="6079" spans="7:7" ht="10.5" customHeight="1" x14ac:dyDescent="0.2">
      <c r="G6079" s="889"/>
    </row>
    <row r="6080" spans="7:7" ht="10.5" customHeight="1" x14ac:dyDescent="0.2">
      <c r="G6080" s="889"/>
    </row>
    <row r="6081" spans="7:7" ht="10.5" customHeight="1" x14ac:dyDescent="0.2">
      <c r="G6081" s="889"/>
    </row>
    <row r="6082" spans="7:7" ht="10.5" customHeight="1" x14ac:dyDescent="0.2">
      <c r="G6082" s="889"/>
    </row>
    <row r="6083" spans="7:7" ht="10.5" customHeight="1" x14ac:dyDescent="0.2">
      <c r="G6083" s="889"/>
    </row>
    <row r="6084" spans="7:7" ht="10.5" customHeight="1" x14ac:dyDescent="0.2">
      <c r="G6084" s="889"/>
    </row>
    <row r="6085" spans="7:7" ht="10.5" customHeight="1" x14ac:dyDescent="0.2">
      <c r="G6085" s="889"/>
    </row>
    <row r="6086" spans="7:7" ht="10.5" customHeight="1" x14ac:dyDescent="0.2">
      <c r="G6086" s="889"/>
    </row>
    <row r="6087" spans="7:7" ht="10.5" customHeight="1" x14ac:dyDescent="0.2">
      <c r="G6087" s="889"/>
    </row>
    <row r="6088" spans="7:7" ht="10.5" customHeight="1" x14ac:dyDescent="0.2">
      <c r="G6088" s="889"/>
    </row>
    <row r="6089" spans="7:7" ht="10.5" customHeight="1" x14ac:dyDescent="0.2">
      <c r="G6089" s="889"/>
    </row>
    <row r="6090" spans="7:7" ht="10.5" customHeight="1" x14ac:dyDescent="0.2">
      <c r="G6090" s="889"/>
    </row>
    <row r="6091" spans="7:7" ht="10.5" customHeight="1" x14ac:dyDescent="0.2">
      <c r="G6091" s="889"/>
    </row>
    <row r="6092" spans="7:7" ht="10.5" customHeight="1" x14ac:dyDescent="0.2">
      <c r="G6092" s="889"/>
    </row>
    <row r="6093" spans="7:7" ht="10.5" customHeight="1" x14ac:dyDescent="0.2">
      <c r="G6093" s="889"/>
    </row>
    <row r="6094" spans="7:7" ht="10.5" customHeight="1" x14ac:dyDescent="0.2">
      <c r="G6094" s="889"/>
    </row>
    <row r="6095" spans="7:7" ht="10.5" customHeight="1" x14ac:dyDescent="0.2">
      <c r="G6095" s="889"/>
    </row>
    <row r="6096" spans="7:7" ht="10.5" customHeight="1" x14ac:dyDescent="0.2">
      <c r="G6096" s="889"/>
    </row>
    <row r="6097" spans="7:7" ht="10.5" customHeight="1" x14ac:dyDescent="0.2">
      <c r="G6097" s="889"/>
    </row>
    <row r="6098" spans="7:7" ht="10.5" customHeight="1" x14ac:dyDescent="0.2">
      <c r="G6098" s="889"/>
    </row>
    <row r="6099" spans="7:7" ht="10.5" customHeight="1" x14ac:dyDescent="0.2">
      <c r="G6099" s="889"/>
    </row>
    <row r="6100" spans="7:7" ht="10.5" customHeight="1" x14ac:dyDescent="0.2">
      <c r="G6100" s="889"/>
    </row>
    <row r="6101" spans="7:7" ht="10.5" customHeight="1" x14ac:dyDescent="0.2">
      <c r="G6101" s="889"/>
    </row>
    <row r="6102" spans="7:7" ht="10.5" customHeight="1" x14ac:dyDescent="0.2">
      <c r="G6102" s="889"/>
    </row>
    <row r="6103" spans="7:7" ht="10.5" customHeight="1" x14ac:dyDescent="0.2">
      <c r="G6103" s="889"/>
    </row>
    <row r="6104" spans="7:7" ht="10.5" customHeight="1" x14ac:dyDescent="0.2">
      <c r="G6104" s="889"/>
    </row>
    <row r="6105" spans="7:7" ht="10.5" customHeight="1" x14ac:dyDescent="0.2">
      <c r="G6105" s="889"/>
    </row>
    <row r="6106" spans="7:7" ht="10.5" customHeight="1" x14ac:dyDescent="0.2">
      <c r="G6106" s="889"/>
    </row>
    <row r="6107" spans="7:7" ht="10.5" customHeight="1" x14ac:dyDescent="0.2">
      <c r="G6107" s="889"/>
    </row>
    <row r="6108" spans="7:7" ht="10.5" customHeight="1" x14ac:dyDescent="0.2">
      <c r="G6108" s="889"/>
    </row>
    <row r="6109" spans="7:7" ht="10.5" customHeight="1" x14ac:dyDescent="0.2">
      <c r="G6109" s="889"/>
    </row>
    <row r="6110" spans="7:7" ht="10.5" customHeight="1" x14ac:dyDescent="0.2">
      <c r="G6110" s="889"/>
    </row>
    <row r="6111" spans="7:7" ht="10.5" customHeight="1" x14ac:dyDescent="0.2">
      <c r="G6111" s="889"/>
    </row>
    <row r="6112" spans="7:7" ht="10.5" customHeight="1" x14ac:dyDescent="0.2">
      <c r="G6112" s="889"/>
    </row>
    <row r="6113" spans="7:7" ht="10.5" customHeight="1" x14ac:dyDescent="0.2">
      <c r="G6113" s="889"/>
    </row>
    <row r="6114" spans="7:7" ht="10.5" customHeight="1" x14ac:dyDescent="0.2">
      <c r="G6114" s="889"/>
    </row>
    <row r="6115" spans="7:7" ht="10.5" customHeight="1" x14ac:dyDescent="0.2">
      <c r="G6115" s="889"/>
    </row>
    <row r="6116" spans="7:7" ht="10.5" customHeight="1" x14ac:dyDescent="0.2">
      <c r="G6116" s="889"/>
    </row>
    <row r="6117" spans="7:7" ht="10.5" customHeight="1" x14ac:dyDescent="0.2">
      <c r="G6117" s="889"/>
    </row>
    <row r="6118" spans="7:7" ht="10.5" customHeight="1" x14ac:dyDescent="0.2">
      <c r="G6118" s="889"/>
    </row>
    <row r="6119" spans="7:7" ht="10.5" customHeight="1" x14ac:dyDescent="0.2">
      <c r="G6119" s="889"/>
    </row>
    <row r="6120" spans="7:7" ht="10.5" customHeight="1" x14ac:dyDescent="0.2">
      <c r="G6120" s="889"/>
    </row>
    <row r="6121" spans="7:7" ht="10.5" customHeight="1" x14ac:dyDescent="0.2">
      <c r="G6121" s="889"/>
    </row>
    <row r="6122" spans="7:7" ht="10.5" customHeight="1" x14ac:dyDescent="0.2">
      <c r="G6122" s="889"/>
    </row>
    <row r="6123" spans="7:7" ht="10.5" customHeight="1" x14ac:dyDescent="0.2">
      <c r="G6123" s="889"/>
    </row>
    <row r="6124" spans="7:7" ht="10.5" customHeight="1" x14ac:dyDescent="0.2">
      <c r="G6124" s="889"/>
    </row>
    <row r="6125" spans="7:7" ht="10.5" customHeight="1" x14ac:dyDescent="0.2">
      <c r="G6125" s="889"/>
    </row>
    <row r="6126" spans="7:7" ht="10.5" customHeight="1" x14ac:dyDescent="0.2">
      <c r="G6126" s="889"/>
    </row>
    <row r="6127" spans="7:7" ht="10.5" customHeight="1" x14ac:dyDescent="0.2">
      <c r="G6127" s="889"/>
    </row>
    <row r="6128" spans="7:7" ht="10.5" customHeight="1" x14ac:dyDescent="0.2">
      <c r="G6128" s="889"/>
    </row>
    <row r="6129" spans="7:7" ht="10.5" customHeight="1" x14ac:dyDescent="0.2">
      <c r="G6129" s="889"/>
    </row>
    <row r="6130" spans="7:7" ht="10.5" customHeight="1" x14ac:dyDescent="0.2">
      <c r="G6130" s="889"/>
    </row>
    <row r="6131" spans="7:7" ht="10.5" customHeight="1" x14ac:dyDescent="0.2">
      <c r="G6131" s="889"/>
    </row>
    <row r="6132" spans="7:7" ht="10.5" customHeight="1" x14ac:dyDescent="0.2">
      <c r="G6132" s="889"/>
    </row>
    <row r="6133" spans="7:7" ht="10.5" customHeight="1" x14ac:dyDescent="0.2">
      <c r="G6133" s="889"/>
    </row>
    <row r="6134" spans="7:7" ht="10.5" customHeight="1" x14ac:dyDescent="0.2">
      <c r="G6134" s="889"/>
    </row>
    <row r="6135" spans="7:7" ht="10.5" customHeight="1" x14ac:dyDescent="0.2">
      <c r="G6135" s="889"/>
    </row>
    <row r="6136" spans="7:7" ht="10.5" customHeight="1" x14ac:dyDescent="0.2">
      <c r="G6136" s="889"/>
    </row>
    <row r="6137" spans="7:7" ht="10.5" customHeight="1" x14ac:dyDescent="0.2">
      <c r="G6137" s="889"/>
    </row>
    <row r="6138" spans="7:7" ht="10.5" customHeight="1" x14ac:dyDescent="0.2">
      <c r="G6138" s="889"/>
    </row>
    <row r="6139" spans="7:7" ht="10.5" customHeight="1" x14ac:dyDescent="0.2">
      <c r="G6139" s="889"/>
    </row>
    <row r="6140" spans="7:7" ht="10.5" customHeight="1" x14ac:dyDescent="0.2">
      <c r="G6140" s="889"/>
    </row>
    <row r="6141" spans="7:7" ht="10.5" customHeight="1" x14ac:dyDescent="0.2">
      <c r="G6141" s="889"/>
    </row>
    <row r="6142" spans="7:7" ht="10.5" customHeight="1" x14ac:dyDescent="0.2">
      <c r="G6142" s="889"/>
    </row>
    <row r="6143" spans="7:7" ht="10.5" customHeight="1" x14ac:dyDescent="0.2">
      <c r="G6143" s="889"/>
    </row>
    <row r="6144" spans="7:7" ht="10.5" customHeight="1" x14ac:dyDescent="0.2">
      <c r="G6144" s="889"/>
    </row>
    <row r="6145" spans="7:7" ht="10.5" customHeight="1" x14ac:dyDescent="0.2">
      <c r="G6145" s="889"/>
    </row>
    <row r="6146" spans="7:7" ht="10.5" customHeight="1" x14ac:dyDescent="0.2">
      <c r="G6146" s="889"/>
    </row>
    <row r="6147" spans="7:7" ht="10.5" customHeight="1" x14ac:dyDescent="0.2">
      <c r="G6147" s="889"/>
    </row>
    <row r="6148" spans="7:7" ht="10.5" customHeight="1" x14ac:dyDescent="0.2">
      <c r="G6148" s="889"/>
    </row>
    <row r="6149" spans="7:7" ht="10.5" customHeight="1" x14ac:dyDescent="0.2">
      <c r="G6149" s="889"/>
    </row>
    <row r="6150" spans="7:7" ht="10.5" customHeight="1" x14ac:dyDescent="0.2">
      <c r="G6150" s="889"/>
    </row>
    <row r="6151" spans="7:7" ht="10.5" customHeight="1" x14ac:dyDescent="0.2">
      <c r="G6151" s="889"/>
    </row>
    <row r="6152" spans="7:7" ht="10.5" customHeight="1" x14ac:dyDescent="0.2">
      <c r="G6152" s="889"/>
    </row>
    <row r="6153" spans="7:7" ht="10.5" customHeight="1" x14ac:dyDescent="0.2">
      <c r="G6153" s="889"/>
    </row>
    <row r="6154" spans="7:7" ht="10.5" customHeight="1" x14ac:dyDescent="0.2">
      <c r="G6154" s="889"/>
    </row>
    <row r="6155" spans="7:7" ht="10.5" customHeight="1" x14ac:dyDescent="0.2">
      <c r="G6155" s="889"/>
    </row>
    <row r="6156" spans="7:7" ht="10.5" customHeight="1" x14ac:dyDescent="0.2">
      <c r="G6156" s="889"/>
    </row>
    <row r="6157" spans="7:7" ht="10.5" customHeight="1" x14ac:dyDescent="0.2">
      <c r="G6157" s="889"/>
    </row>
    <row r="6158" spans="7:7" ht="10.5" customHeight="1" x14ac:dyDescent="0.2">
      <c r="G6158" s="889"/>
    </row>
    <row r="6159" spans="7:7" ht="10.5" customHeight="1" x14ac:dyDescent="0.2">
      <c r="G6159" s="889"/>
    </row>
    <row r="6160" spans="7:7" ht="10.5" customHeight="1" x14ac:dyDescent="0.2">
      <c r="G6160" s="889"/>
    </row>
    <row r="6161" spans="7:7" ht="10.5" customHeight="1" x14ac:dyDescent="0.2">
      <c r="G6161" s="889"/>
    </row>
    <row r="6162" spans="7:7" ht="10.5" customHeight="1" x14ac:dyDescent="0.2">
      <c r="G6162" s="889"/>
    </row>
    <row r="6163" spans="7:7" ht="10.5" customHeight="1" x14ac:dyDescent="0.2">
      <c r="G6163" s="889"/>
    </row>
    <row r="6164" spans="7:7" ht="10.5" customHeight="1" x14ac:dyDescent="0.2">
      <c r="G6164" s="889"/>
    </row>
    <row r="6165" spans="7:7" ht="10.5" customHeight="1" x14ac:dyDescent="0.2">
      <c r="G6165" s="889"/>
    </row>
    <row r="6166" spans="7:7" ht="10.5" customHeight="1" x14ac:dyDescent="0.2">
      <c r="G6166" s="889"/>
    </row>
    <row r="6167" spans="7:7" ht="10.5" customHeight="1" x14ac:dyDescent="0.2">
      <c r="G6167" s="889"/>
    </row>
    <row r="6168" spans="7:7" ht="10.5" customHeight="1" x14ac:dyDescent="0.2">
      <c r="G6168" s="889"/>
    </row>
    <row r="6169" spans="7:7" ht="10.5" customHeight="1" x14ac:dyDescent="0.2">
      <c r="G6169" s="889"/>
    </row>
    <row r="6170" spans="7:7" ht="10.5" customHeight="1" x14ac:dyDescent="0.2">
      <c r="G6170" s="889"/>
    </row>
    <row r="6171" spans="7:7" ht="10.5" customHeight="1" x14ac:dyDescent="0.2">
      <c r="G6171" s="889"/>
    </row>
    <row r="6172" spans="7:7" ht="10.5" customHeight="1" x14ac:dyDescent="0.2">
      <c r="G6172" s="889"/>
    </row>
    <row r="6173" spans="7:7" ht="10.5" customHeight="1" x14ac:dyDescent="0.2">
      <c r="G6173" s="889"/>
    </row>
    <row r="6174" spans="7:7" ht="10.5" customHeight="1" x14ac:dyDescent="0.2">
      <c r="G6174" s="889"/>
    </row>
    <row r="6175" spans="7:7" ht="10.5" customHeight="1" x14ac:dyDescent="0.2">
      <c r="G6175" s="889"/>
    </row>
    <row r="6176" spans="7:7" ht="10.5" customHeight="1" x14ac:dyDescent="0.2">
      <c r="G6176" s="889"/>
    </row>
    <row r="6177" spans="7:7" ht="10.5" customHeight="1" x14ac:dyDescent="0.2">
      <c r="G6177" s="889"/>
    </row>
    <row r="6178" spans="7:7" ht="10.5" customHeight="1" x14ac:dyDescent="0.2">
      <c r="G6178" s="889"/>
    </row>
    <row r="6179" spans="7:7" ht="10.5" customHeight="1" x14ac:dyDescent="0.2">
      <c r="G6179" s="889"/>
    </row>
    <row r="6180" spans="7:7" ht="10.5" customHeight="1" x14ac:dyDescent="0.2">
      <c r="G6180" s="889"/>
    </row>
    <row r="6181" spans="7:7" ht="10.5" customHeight="1" x14ac:dyDescent="0.2">
      <c r="G6181" s="889"/>
    </row>
    <row r="6182" spans="7:7" ht="10.5" customHeight="1" x14ac:dyDescent="0.2">
      <c r="G6182" s="889"/>
    </row>
    <row r="6183" spans="7:7" ht="10.5" customHeight="1" x14ac:dyDescent="0.2">
      <c r="G6183" s="889"/>
    </row>
    <row r="6184" spans="7:7" ht="10.5" customHeight="1" x14ac:dyDescent="0.2">
      <c r="G6184" s="889"/>
    </row>
    <row r="6185" spans="7:7" ht="10.5" customHeight="1" x14ac:dyDescent="0.2">
      <c r="G6185" s="889"/>
    </row>
    <row r="6186" spans="7:7" ht="10.5" customHeight="1" x14ac:dyDescent="0.2">
      <c r="G6186" s="889"/>
    </row>
    <row r="6187" spans="7:7" ht="10.5" customHeight="1" x14ac:dyDescent="0.2">
      <c r="G6187" s="889"/>
    </row>
    <row r="6188" spans="7:7" ht="10.5" customHeight="1" x14ac:dyDescent="0.2">
      <c r="G6188" s="889"/>
    </row>
    <row r="6189" spans="7:7" ht="10.5" customHeight="1" x14ac:dyDescent="0.2">
      <c r="G6189" s="889"/>
    </row>
    <row r="6190" spans="7:7" ht="10.5" customHeight="1" x14ac:dyDescent="0.2">
      <c r="G6190" s="889"/>
    </row>
    <row r="6191" spans="7:7" ht="10.5" customHeight="1" x14ac:dyDescent="0.2">
      <c r="G6191" s="889"/>
    </row>
    <row r="6192" spans="7:7" ht="10.5" customHeight="1" x14ac:dyDescent="0.2">
      <c r="G6192" s="889"/>
    </row>
    <row r="6193" spans="7:7" ht="10.5" customHeight="1" x14ac:dyDescent="0.2">
      <c r="G6193" s="889"/>
    </row>
    <row r="6194" spans="7:7" ht="10.5" customHeight="1" x14ac:dyDescent="0.2">
      <c r="G6194" s="889"/>
    </row>
    <row r="6195" spans="7:7" ht="10.5" customHeight="1" x14ac:dyDescent="0.2">
      <c r="G6195" s="889"/>
    </row>
    <row r="6196" spans="7:7" ht="10.5" customHeight="1" x14ac:dyDescent="0.2">
      <c r="G6196" s="889"/>
    </row>
    <row r="6197" spans="7:7" ht="10.5" customHeight="1" x14ac:dyDescent="0.2">
      <c r="G6197" s="889"/>
    </row>
    <row r="6198" spans="7:7" ht="10.5" customHeight="1" x14ac:dyDescent="0.2">
      <c r="G6198" s="889"/>
    </row>
    <row r="6199" spans="7:7" ht="10.5" customHeight="1" x14ac:dyDescent="0.2">
      <c r="G6199" s="889"/>
    </row>
    <row r="6200" spans="7:7" ht="10.5" customHeight="1" x14ac:dyDescent="0.2">
      <c r="G6200" s="889"/>
    </row>
    <row r="6201" spans="7:7" ht="10.5" customHeight="1" x14ac:dyDescent="0.2">
      <c r="G6201" s="889"/>
    </row>
    <row r="6202" spans="7:7" ht="10.5" customHeight="1" x14ac:dyDescent="0.2">
      <c r="G6202" s="889"/>
    </row>
    <row r="6203" spans="7:7" ht="10.5" customHeight="1" x14ac:dyDescent="0.2">
      <c r="G6203" s="889"/>
    </row>
    <row r="6204" spans="7:7" ht="10.5" customHeight="1" x14ac:dyDescent="0.2">
      <c r="G6204" s="889"/>
    </row>
    <row r="6205" spans="7:7" ht="10.5" customHeight="1" x14ac:dyDescent="0.2">
      <c r="G6205" s="889"/>
    </row>
    <row r="6206" spans="7:7" ht="10.5" customHeight="1" x14ac:dyDescent="0.2">
      <c r="G6206" s="889"/>
    </row>
    <row r="6207" spans="7:7" ht="10.5" customHeight="1" x14ac:dyDescent="0.2">
      <c r="G6207" s="889"/>
    </row>
    <row r="6208" spans="7:7" ht="10.5" customHeight="1" x14ac:dyDescent="0.2">
      <c r="G6208" s="889"/>
    </row>
    <row r="6209" spans="7:7" ht="10.5" customHeight="1" x14ac:dyDescent="0.2">
      <c r="G6209" s="889"/>
    </row>
    <row r="6210" spans="7:7" ht="10.5" customHeight="1" x14ac:dyDescent="0.2">
      <c r="G6210" s="889"/>
    </row>
    <row r="6211" spans="7:7" ht="10.5" customHeight="1" x14ac:dyDescent="0.2">
      <c r="G6211" s="889"/>
    </row>
    <row r="6212" spans="7:7" ht="10.5" customHeight="1" x14ac:dyDescent="0.2">
      <c r="G6212" s="889"/>
    </row>
    <row r="6213" spans="7:7" ht="10.5" customHeight="1" x14ac:dyDescent="0.2">
      <c r="G6213" s="889"/>
    </row>
    <row r="6214" spans="7:7" ht="10.5" customHeight="1" x14ac:dyDescent="0.2">
      <c r="G6214" s="889"/>
    </row>
    <row r="6215" spans="7:7" ht="10.5" customHeight="1" x14ac:dyDescent="0.2">
      <c r="G6215" s="889"/>
    </row>
    <row r="6216" spans="7:7" ht="10.5" customHeight="1" x14ac:dyDescent="0.2">
      <c r="G6216" s="889"/>
    </row>
    <row r="6217" spans="7:7" ht="10.5" customHeight="1" x14ac:dyDescent="0.2">
      <c r="G6217" s="889"/>
    </row>
    <row r="6218" spans="7:7" ht="10.5" customHeight="1" x14ac:dyDescent="0.2">
      <c r="G6218" s="889"/>
    </row>
    <row r="6219" spans="7:7" ht="10.5" customHeight="1" x14ac:dyDescent="0.2">
      <c r="G6219" s="889"/>
    </row>
    <row r="6220" spans="7:7" ht="10.5" customHeight="1" x14ac:dyDescent="0.2">
      <c r="G6220" s="889"/>
    </row>
    <row r="6221" spans="7:7" ht="10.5" customHeight="1" x14ac:dyDescent="0.2">
      <c r="G6221" s="889"/>
    </row>
    <row r="6222" spans="7:7" ht="10.5" customHeight="1" x14ac:dyDescent="0.2">
      <c r="G6222" s="889"/>
    </row>
    <row r="6223" spans="7:7" ht="10.5" customHeight="1" x14ac:dyDescent="0.2">
      <c r="G6223" s="889"/>
    </row>
    <row r="6224" spans="7:7" ht="10.5" customHeight="1" x14ac:dyDescent="0.2">
      <c r="G6224" s="889"/>
    </row>
    <row r="6225" spans="7:7" ht="10.5" customHeight="1" x14ac:dyDescent="0.2">
      <c r="G6225" s="889"/>
    </row>
    <row r="6226" spans="7:7" ht="10.5" customHeight="1" x14ac:dyDescent="0.2">
      <c r="G6226" s="889"/>
    </row>
    <row r="6227" spans="7:7" ht="10.5" customHeight="1" x14ac:dyDescent="0.2">
      <c r="G6227" s="889"/>
    </row>
    <row r="6228" spans="7:7" ht="10.5" customHeight="1" x14ac:dyDescent="0.2">
      <c r="G6228" s="889"/>
    </row>
    <row r="6229" spans="7:7" ht="10.5" customHeight="1" x14ac:dyDescent="0.2">
      <c r="G6229" s="889"/>
    </row>
    <row r="6230" spans="7:7" ht="10.5" customHeight="1" x14ac:dyDescent="0.2">
      <c r="G6230" s="889"/>
    </row>
    <row r="6231" spans="7:7" ht="10.5" customHeight="1" x14ac:dyDescent="0.2">
      <c r="G6231" s="889"/>
    </row>
    <row r="6232" spans="7:7" ht="10.5" customHeight="1" x14ac:dyDescent="0.2">
      <c r="G6232" s="889"/>
    </row>
    <row r="6233" spans="7:7" ht="10.5" customHeight="1" x14ac:dyDescent="0.2">
      <c r="G6233" s="889"/>
    </row>
    <row r="6234" spans="7:7" ht="10.5" customHeight="1" x14ac:dyDescent="0.2">
      <c r="G6234" s="889"/>
    </row>
    <row r="6235" spans="7:7" ht="10.5" customHeight="1" x14ac:dyDescent="0.2">
      <c r="G6235" s="889"/>
    </row>
    <row r="6236" spans="7:7" ht="10.5" customHeight="1" x14ac:dyDescent="0.2">
      <c r="G6236" s="889"/>
    </row>
    <row r="6237" spans="7:7" ht="10.5" customHeight="1" x14ac:dyDescent="0.2">
      <c r="G6237" s="889"/>
    </row>
    <row r="6238" spans="7:7" ht="10.5" customHeight="1" x14ac:dyDescent="0.2">
      <c r="G6238" s="889"/>
    </row>
    <row r="6239" spans="7:7" ht="10.5" customHeight="1" x14ac:dyDescent="0.2">
      <c r="G6239" s="889"/>
    </row>
    <row r="6240" spans="7:7" ht="10.5" customHeight="1" x14ac:dyDescent="0.2">
      <c r="G6240" s="889"/>
    </row>
    <row r="6241" spans="7:7" ht="10.5" customHeight="1" x14ac:dyDescent="0.2">
      <c r="G6241" s="889"/>
    </row>
    <row r="6242" spans="7:7" ht="10.5" customHeight="1" x14ac:dyDescent="0.2">
      <c r="G6242" s="889"/>
    </row>
    <row r="6243" spans="7:7" ht="10.5" customHeight="1" x14ac:dyDescent="0.2">
      <c r="G6243" s="889"/>
    </row>
    <row r="6244" spans="7:7" ht="10.5" customHeight="1" x14ac:dyDescent="0.2">
      <c r="G6244" s="889"/>
    </row>
    <row r="6245" spans="7:7" ht="10.5" customHeight="1" x14ac:dyDescent="0.2">
      <c r="G6245" s="889"/>
    </row>
    <row r="6246" spans="7:7" ht="10.5" customHeight="1" x14ac:dyDescent="0.2">
      <c r="G6246" s="889"/>
    </row>
    <row r="6247" spans="7:7" ht="10.5" customHeight="1" x14ac:dyDescent="0.2">
      <c r="G6247" s="889"/>
    </row>
    <row r="6248" spans="7:7" ht="10.5" customHeight="1" x14ac:dyDescent="0.2">
      <c r="G6248" s="889"/>
    </row>
    <row r="6249" spans="7:7" ht="10.5" customHeight="1" x14ac:dyDescent="0.2">
      <c r="G6249" s="889"/>
    </row>
    <row r="6250" spans="7:7" ht="10.5" customHeight="1" x14ac:dyDescent="0.2">
      <c r="G6250" s="889"/>
    </row>
    <row r="6251" spans="7:7" ht="10.5" customHeight="1" x14ac:dyDescent="0.2">
      <c r="G6251" s="889"/>
    </row>
    <row r="6252" spans="7:7" ht="10.5" customHeight="1" x14ac:dyDescent="0.2">
      <c r="G6252" s="889"/>
    </row>
    <row r="6253" spans="7:7" ht="10.5" customHeight="1" x14ac:dyDescent="0.2">
      <c r="G6253" s="889"/>
    </row>
    <row r="6254" spans="7:7" ht="10.5" customHeight="1" x14ac:dyDescent="0.2">
      <c r="G6254" s="889"/>
    </row>
    <row r="6255" spans="7:7" ht="10.5" customHeight="1" x14ac:dyDescent="0.2">
      <c r="G6255" s="889"/>
    </row>
    <row r="6256" spans="7:7" ht="10.5" customHeight="1" x14ac:dyDescent="0.2">
      <c r="G6256" s="889"/>
    </row>
    <row r="6257" spans="7:7" ht="10.5" customHeight="1" x14ac:dyDescent="0.2">
      <c r="G6257" s="889"/>
    </row>
    <row r="6258" spans="7:7" ht="10.5" customHeight="1" x14ac:dyDescent="0.2">
      <c r="G6258" s="889"/>
    </row>
    <row r="6259" spans="7:7" ht="10.5" customHeight="1" x14ac:dyDescent="0.2">
      <c r="G6259" s="889"/>
    </row>
    <row r="6260" spans="7:7" ht="10.5" customHeight="1" x14ac:dyDescent="0.2">
      <c r="G6260" s="889"/>
    </row>
    <row r="6261" spans="7:7" ht="10.5" customHeight="1" x14ac:dyDescent="0.2">
      <c r="G6261" s="889"/>
    </row>
    <row r="6262" spans="7:7" ht="10.5" customHeight="1" x14ac:dyDescent="0.2">
      <c r="G6262" s="889"/>
    </row>
    <row r="6263" spans="7:7" ht="10.5" customHeight="1" x14ac:dyDescent="0.2">
      <c r="G6263" s="889"/>
    </row>
    <row r="6264" spans="7:7" ht="10.5" customHeight="1" x14ac:dyDescent="0.2">
      <c r="G6264" s="889"/>
    </row>
    <row r="6265" spans="7:7" ht="10.5" customHeight="1" x14ac:dyDescent="0.2">
      <c r="G6265" s="889"/>
    </row>
    <row r="6266" spans="7:7" ht="10.5" customHeight="1" x14ac:dyDescent="0.2">
      <c r="G6266" s="889"/>
    </row>
    <row r="6267" spans="7:7" ht="10.5" customHeight="1" x14ac:dyDescent="0.2">
      <c r="G6267" s="889"/>
    </row>
    <row r="6268" spans="7:7" ht="10.5" customHeight="1" x14ac:dyDescent="0.2">
      <c r="G6268" s="889"/>
    </row>
    <row r="6269" spans="7:7" ht="10.5" customHeight="1" x14ac:dyDescent="0.2">
      <c r="G6269" s="889"/>
    </row>
    <row r="6270" spans="7:7" ht="10.5" customHeight="1" x14ac:dyDescent="0.2">
      <c r="G6270" s="889"/>
    </row>
    <row r="6271" spans="7:7" ht="10.5" customHeight="1" x14ac:dyDescent="0.2">
      <c r="G6271" s="889"/>
    </row>
    <row r="6272" spans="7:7" ht="10.5" customHeight="1" x14ac:dyDescent="0.2">
      <c r="G6272" s="889"/>
    </row>
    <row r="6273" spans="7:7" ht="10.5" customHeight="1" x14ac:dyDescent="0.2">
      <c r="G6273" s="889"/>
    </row>
    <row r="6274" spans="7:7" ht="10.5" customHeight="1" x14ac:dyDescent="0.2">
      <c r="G6274" s="889"/>
    </row>
    <row r="6275" spans="7:7" ht="10.5" customHeight="1" x14ac:dyDescent="0.2">
      <c r="G6275" s="889"/>
    </row>
    <row r="6276" spans="7:7" ht="10.5" customHeight="1" x14ac:dyDescent="0.2">
      <c r="G6276" s="889"/>
    </row>
    <row r="6277" spans="7:7" ht="10.5" customHeight="1" x14ac:dyDescent="0.2">
      <c r="G6277" s="889"/>
    </row>
    <row r="6278" spans="7:7" ht="10.5" customHeight="1" x14ac:dyDescent="0.2">
      <c r="G6278" s="889"/>
    </row>
    <row r="6279" spans="7:7" ht="10.5" customHeight="1" x14ac:dyDescent="0.2">
      <c r="G6279" s="889"/>
    </row>
    <row r="6280" spans="7:7" ht="10.5" customHeight="1" x14ac:dyDescent="0.2">
      <c r="G6280" s="889"/>
    </row>
    <row r="6281" spans="7:7" ht="10.5" customHeight="1" x14ac:dyDescent="0.2">
      <c r="G6281" s="889"/>
    </row>
    <row r="6282" spans="7:7" ht="10.5" customHeight="1" x14ac:dyDescent="0.2">
      <c r="G6282" s="889"/>
    </row>
    <row r="6283" spans="7:7" ht="10.5" customHeight="1" x14ac:dyDescent="0.2">
      <c r="G6283" s="889"/>
    </row>
    <row r="6284" spans="7:7" ht="10.5" customHeight="1" x14ac:dyDescent="0.2">
      <c r="G6284" s="889"/>
    </row>
    <row r="6285" spans="7:7" ht="10.5" customHeight="1" x14ac:dyDescent="0.2">
      <c r="G6285" s="889"/>
    </row>
    <row r="6286" spans="7:7" ht="10.5" customHeight="1" x14ac:dyDescent="0.2">
      <c r="G6286" s="889"/>
    </row>
    <row r="6287" spans="7:7" ht="10.5" customHeight="1" x14ac:dyDescent="0.2">
      <c r="G6287" s="889"/>
    </row>
    <row r="6288" spans="7:7" ht="10.5" customHeight="1" x14ac:dyDescent="0.2">
      <c r="G6288" s="889"/>
    </row>
    <row r="6289" spans="7:7" ht="10.5" customHeight="1" x14ac:dyDescent="0.2">
      <c r="G6289" s="889"/>
    </row>
    <row r="6290" spans="7:7" ht="10.5" customHeight="1" x14ac:dyDescent="0.2">
      <c r="G6290" s="889"/>
    </row>
    <row r="6291" spans="7:7" ht="10.5" customHeight="1" x14ac:dyDescent="0.2">
      <c r="G6291" s="889"/>
    </row>
    <row r="6292" spans="7:7" ht="10.5" customHeight="1" x14ac:dyDescent="0.2">
      <c r="G6292" s="889"/>
    </row>
    <row r="6293" spans="7:7" ht="10.5" customHeight="1" x14ac:dyDescent="0.2">
      <c r="G6293" s="889"/>
    </row>
    <row r="6294" spans="7:7" ht="10.5" customHeight="1" x14ac:dyDescent="0.2">
      <c r="G6294" s="889"/>
    </row>
    <row r="6295" spans="7:7" ht="10.5" customHeight="1" x14ac:dyDescent="0.2">
      <c r="G6295" s="889"/>
    </row>
    <row r="6296" spans="7:7" ht="10.5" customHeight="1" x14ac:dyDescent="0.2">
      <c r="G6296" s="889"/>
    </row>
    <row r="6297" spans="7:7" ht="10.5" customHeight="1" x14ac:dyDescent="0.2">
      <c r="G6297" s="889"/>
    </row>
    <row r="6298" spans="7:7" ht="10.5" customHeight="1" x14ac:dyDescent="0.2">
      <c r="G6298" s="889"/>
    </row>
    <row r="6299" spans="7:7" ht="10.5" customHeight="1" x14ac:dyDescent="0.2">
      <c r="G6299" s="889"/>
    </row>
    <row r="6300" spans="7:7" ht="10.5" customHeight="1" x14ac:dyDescent="0.2">
      <c r="G6300" s="889"/>
    </row>
    <row r="6301" spans="7:7" ht="10.5" customHeight="1" x14ac:dyDescent="0.2">
      <c r="G6301" s="889"/>
    </row>
    <row r="6302" spans="7:7" ht="10.5" customHeight="1" x14ac:dyDescent="0.2">
      <c r="G6302" s="889"/>
    </row>
    <row r="6303" spans="7:7" ht="10.5" customHeight="1" x14ac:dyDescent="0.2">
      <c r="G6303" s="889"/>
    </row>
    <row r="6304" spans="7:7" ht="10.5" customHeight="1" x14ac:dyDescent="0.2">
      <c r="G6304" s="889"/>
    </row>
    <row r="6305" spans="7:7" ht="10.5" customHeight="1" x14ac:dyDescent="0.2">
      <c r="G6305" s="889"/>
    </row>
    <row r="6306" spans="7:7" ht="10.5" customHeight="1" x14ac:dyDescent="0.2">
      <c r="G6306" s="889"/>
    </row>
    <row r="6307" spans="7:7" ht="10.5" customHeight="1" x14ac:dyDescent="0.2">
      <c r="G6307" s="889"/>
    </row>
    <row r="6308" spans="7:7" ht="10.5" customHeight="1" x14ac:dyDescent="0.2">
      <c r="G6308" s="889"/>
    </row>
    <row r="6309" spans="7:7" ht="10.5" customHeight="1" x14ac:dyDescent="0.2">
      <c r="G6309" s="889"/>
    </row>
    <row r="6310" spans="7:7" ht="10.5" customHeight="1" x14ac:dyDescent="0.2">
      <c r="G6310" s="889"/>
    </row>
    <row r="6311" spans="7:7" ht="10.5" customHeight="1" x14ac:dyDescent="0.2">
      <c r="G6311" s="889"/>
    </row>
    <row r="6312" spans="7:7" ht="10.5" customHeight="1" x14ac:dyDescent="0.2">
      <c r="G6312" s="889"/>
    </row>
    <row r="6313" spans="7:7" ht="10.5" customHeight="1" x14ac:dyDescent="0.2">
      <c r="G6313" s="889"/>
    </row>
    <row r="6314" spans="7:7" ht="10.5" customHeight="1" x14ac:dyDescent="0.2">
      <c r="G6314" s="889"/>
    </row>
    <row r="6315" spans="7:7" ht="10.5" customHeight="1" x14ac:dyDescent="0.2">
      <c r="G6315" s="889"/>
    </row>
    <row r="6316" spans="7:7" ht="10.5" customHeight="1" x14ac:dyDescent="0.2">
      <c r="G6316" s="889"/>
    </row>
    <row r="6317" spans="7:7" ht="10.5" customHeight="1" x14ac:dyDescent="0.2">
      <c r="G6317" s="889"/>
    </row>
    <row r="6318" spans="7:7" ht="10.5" customHeight="1" x14ac:dyDescent="0.2">
      <c r="G6318" s="889"/>
    </row>
    <row r="6319" spans="7:7" ht="10.5" customHeight="1" x14ac:dyDescent="0.2">
      <c r="G6319" s="889"/>
    </row>
    <row r="6320" spans="7:7" ht="10.5" customHeight="1" x14ac:dyDescent="0.2">
      <c r="G6320" s="889"/>
    </row>
    <row r="6321" spans="7:7" ht="10.5" customHeight="1" x14ac:dyDescent="0.2">
      <c r="G6321" s="889"/>
    </row>
    <row r="6322" spans="7:7" ht="10.5" customHeight="1" x14ac:dyDescent="0.2">
      <c r="G6322" s="889"/>
    </row>
    <row r="6323" spans="7:7" ht="10.5" customHeight="1" x14ac:dyDescent="0.2">
      <c r="G6323" s="889"/>
    </row>
    <row r="6324" spans="7:7" ht="10.5" customHeight="1" x14ac:dyDescent="0.2">
      <c r="G6324" s="889"/>
    </row>
    <row r="6325" spans="7:7" ht="10.5" customHeight="1" x14ac:dyDescent="0.2">
      <c r="G6325" s="889"/>
    </row>
    <row r="6326" spans="7:7" ht="10.5" customHeight="1" x14ac:dyDescent="0.2">
      <c r="G6326" s="889"/>
    </row>
    <row r="6327" spans="7:7" ht="10.5" customHeight="1" x14ac:dyDescent="0.2">
      <c r="G6327" s="889"/>
    </row>
    <row r="6328" spans="7:7" ht="10.5" customHeight="1" x14ac:dyDescent="0.2">
      <c r="G6328" s="889"/>
    </row>
    <row r="6329" spans="7:7" ht="10.5" customHeight="1" x14ac:dyDescent="0.2">
      <c r="G6329" s="889"/>
    </row>
    <row r="6330" spans="7:7" ht="10.5" customHeight="1" x14ac:dyDescent="0.2">
      <c r="G6330" s="889"/>
    </row>
    <row r="6331" spans="7:7" ht="10.5" customHeight="1" x14ac:dyDescent="0.2">
      <c r="G6331" s="889"/>
    </row>
    <row r="6332" spans="7:7" ht="10.5" customHeight="1" x14ac:dyDescent="0.2">
      <c r="G6332" s="889"/>
    </row>
    <row r="6333" spans="7:7" ht="10.5" customHeight="1" x14ac:dyDescent="0.2">
      <c r="G6333" s="889"/>
    </row>
    <row r="6334" spans="7:7" ht="10.5" customHeight="1" x14ac:dyDescent="0.2">
      <c r="G6334" s="889"/>
    </row>
    <row r="6335" spans="7:7" ht="10.5" customHeight="1" x14ac:dyDescent="0.2">
      <c r="G6335" s="889"/>
    </row>
    <row r="6336" spans="7:7" ht="10.5" customHeight="1" x14ac:dyDescent="0.2">
      <c r="G6336" s="889"/>
    </row>
    <row r="6337" spans="7:7" ht="10.5" customHeight="1" x14ac:dyDescent="0.2">
      <c r="G6337" s="889"/>
    </row>
    <row r="6338" spans="7:7" ht="10.5" customHeight="1" x14ac:dyDescent="0.2">
      <c r="G6338" s="889"/>
    </row>
    <row r="6339" spans="7:7" ht="10.5" customHeight="1" x14ac:dyDescent="0.2">
      <c r="G6339" s="889"/>
    </row>
    <row r="6340" spans="7:7" ht="10.5" customHeight="1" x14ac:dyDescent="0.2">
      <c r="G6340" s="889"/>
    </row>
    <row r="6341" spans="7:7" ht="10.5" customHeight="1" x14ac:dyDescent="0.2">
      <c r="G6341" s="889"/>
    </row>
    <row r="6342" spans="7:7" ht="10.5" customHeight="1" x14ac:dyDescent="0.2">
      <c r="G6342" s="889"/>
    </row>
    <row r="6343" spans="7:7" ht="10.5" customHeight="1" x14ac:dyDescent="0.2">
      <c r="G6343" s="889"/>
    </row>
    <row r="6344" spans="7:7" ht="10.5" customHeight="1" x14ac:dyDescent="0.2">
      <c r="G6344" s="889"/>
    </row>
    <row r="6345" spans="7:7" ht="10.5" customHeight="1" x14ac:dyDescent="0.2">
      <c r="G6345" s="889"/>
    </row>
    <row r="6346" spans="7:7" ht="10.5" customHeight="1" x14ac:dyDescent="0.2">
      <c r="G6346" s="889"/>
    </row>
    <row r="6347" spans="7:7" ht="10.5" customHeight="1" x14ac:dyDescent="0.2">
      <c r="G6347" s="889"/>
    </row>
    <row r="6348" spans="7:7" ht="10.5" customHeight="1" x14ac:dyDescent="0.2">
      <c r="G6348" s="889"/>
    </row>
    <row r="6349" spans="7:7" ht="10.5" customHeight="1" x14ac:dyDescent="0.2">
      <c r="G6349" s="889"/>
    </row>
    <row r="6350" spans="7:7" ht="10.5" customHeight="1" x14ac:dyDescent="0.2">
      <c r="G6350" s="889"/>
    </row>
    <row r="6351" spans="7:7" ht="10.5" customHeight="1" x14ac:dyDescent="0.2">
      <c r="G6351" s="889"/>
    </row>
    <row r="6352" spans="7:7" ht="10.5" customHeight="1" x14ac:dyDescent="0.2">
      <c r="G6352" s="889"/>
    </row>
    <row r="6353" spans="7:7" ht="10.5" customHeight="1" x14ac:dyDescent="0.2">
      <c r="G6353" s="889"/>
    </row>
    <row r="6354" spans="7:7" ht="10.5" customHeight="1" x14ac:dyDescent="0.2">
      <c r="G6354" s="889"/>
    </row>
    <row r="6355" spans="7:7" ht="10.5" customHeight="1" x14ac:dyDescent="0.2">
      <c r="G6355" s="889"/>
    </row>
    <row r="6356" spans="7:7" ht="10.5" customHeight="1" x14ac:dyDescent="0.2">
      <c r="G6356" s="889"/>
    </row>
    <row r="6357" spans="7:7" ht="10.5" customHeight="1" x14ac:dyDescent="0.2">
      <c r="G6357" s="889"/>
    </row>
    <row r="6358" spans="7:7" ht="10.5" customHeight="1" x14ac:dyDescent="0.2">
      <c r="G6358" s="889"/>
    </row>
    <row r="6359" spans="7:7" ht="10.5" customHeight="1" x14ac:dyDescent="0.2">
      <c r="G6359" s="889"/>
    </row>
    <row r="6360" spans="7:7" ht="10.5" customHeight="1" x14ac:dyDescent="0.2">
      <c r="G6360" s="889"/>
    </row>
    <row r="6361" spans="7:7" ht="10.5" customHeight="1" x14ac:dyDescent="0.2">
      <c r="G6361" s="889"/>
    </row>
    <row r="6362" spans="7:7" ht="10.5" customHeight="1" x14ac:dyDescent="0.2">
      <c r="G6362" s="889"/>
    </row>
    <row r="6363" spans="7:7" ht="10.5" customHeight="1" x14ac:dyDescent="0.2">
      <c r="G6363" s="889"/>
    </row>
    <row r="6364" spans="7:7" ht="10.5" customHeight="1" x14ac:dyDescent="0.2">
      <c r="G6364" s="889"/>
    </row>
    <row r="6365" spans="7:7" ht="10.5" customHeight="1" x14ac:dyDescent="0.2">
      <c r="G6365" s="889"/>
    </row>
    <row r="6366" spans="7:7" ht="10.5" customHeight="1" x14ac:dyDescent="0.2">
      <c r="G6366" s="889"/>
    </row>
    <row r="6367" spans="7:7" ht="10.5" customHeight="1" x14ac:dyDescent="0.2">
      <c r="G6367" s="889"/>
    </row>
    <row r="6368" spans="7:7" ht="10.5" customHeight="1" x14ac:dyDescent="0.2">
      <c r="G6368" s="889"/>
    </row>
    <row r="6369" spans="7:7" ht="10.5" customHeight="1" x14ac:dyDescent="0.2">
      <c r="G6369" s="889"/>
    </row>
    <row r="6370" spans="7:7" ht="10.5" customHeight="1" x14ac:dyDescent="0.2">
      <c r="G6370" s="889"/>
    </row>
    <row r="6371" spans="7:7" ht="10.5" customHeight="1" x14ac:dyDescent="0.2">
      <c r="G6371" s="889"/>
    </row>
    <row r="6372" spans="7:7" ht="10.5" customHeight="1" x14ac:dyDescent="0.2">
      <c r="G6372" s="889"/>
    </row>
    <row r="6373" spans="7:7" ht="10.5" customHeight="1" x14ac:dyDescent="0.2">
      <c r="G6373" s="889"/>
    </row>
    <row r="6374" spans="7:7" ht="10.5" customHeight="1" x14ac:dyDescent="0.2">
      <c r="G6374" s="889"/>
    </row>
    <row r="6375" spans="7:7" ht="10.5" customHeight="1" x14ac:dyDescent="0.2">
      <c r="G6375" s="889"/>
    </row>
    <row r="6376" spans="7:7" ht="10.5" customHeight="1" x14ac:dyDescent="0.2">
      <c r="G6376" s="889"/>
    </row>
    <row r="6377" spans="7:7" ht="10.5" customHeight="1" x14ac:dyDescent="0.2">
      <c r="G6377" s="889"/>
    </row>
    <row r="6378" spans="7:7" ht="10.5" customHeight="1" x14ac:dyDescent="0.2">
      <c r="G6378" s="889"/>
    </row>
    <row r="6379" spans="7:7" ht="10.5" customHeight="1" x14ac:dyDescent="0.2">
      <c r="G6379" s="889"/>
    </row>
    <row r="6380" spans="7:7" ht="10.5" customHeight="1" x14ac:dyDescent="0.2">
      <c r="G6380" s="889"/>
    </row>
    <row r="6381" spans="7:7" ht="10.5" customHeight="1" x14ac:dyDescent="0.2">
      <c r="G6381" s="889"/>
    </row>
    <row r="6382" spans="7:7" ht="10.5" customHeight="1" x14ac:dyDescent="0.2">
      <c r="G6382" s="889"/>
    </row>
    <row r="6383" spans="7:7" ht="10.5" customHeight="1" x14ac:dyDescent="0.2">
      <c r="G6383" s="889"/>
    </row>
    <row r="6384" spans="7:7" ht="10.5" customHeight="1" x14ac:dyDescent="0.2">
      <c r="G6384" s="889"/>
    </row>
    <row r="6385" spans="7:7" ht="10.5" customHeight="1" x14ac:dyDescent="0.2">
      <c r="G6385" s="889"/>
    </row>
    <row r="6386" spans="7:7" ht="10.5" customHeight="1" x14ac:dyDescent="0.2">
      <c r="G6386" s="889"/>
    </row>
    <row r="6387" spans="7:7" ht="10.5" customHeight="1" x14ac:dyDescent="0.2">
      <c r="G6387" s="889"/>
    </row>
    <row r="6388" spans="7:7" ht="10.5" customHeight="1" x14ac:dyDescent="0.2">
      <c r="G6388" s="889"/>
    </row>
    <row r="6389" spans="7:7" ht="10.5" customHeight="1" x14ac:dyDescent="0.2">
      <c r="G6389" s="889"/>
    </row>
    <row r="6390" spans="7:7" ht="10.5" customHeight="1" x14ac:dyDescent="0.2">
      <c r="G6390" s="889"/>
    </row>
    <row r="6391" spans="7:7" ht="10.5" customHeight="1" x14ac:dyDescent="0.2">
      <c r="G6391" s="889"/>
    </row>
    <row r="6392" spans="7:7" ht="10.5" customHeight="1" x14ac:dyDescent="0.2">
      <c r="G6392" s="889"/>
    </row>
    <row r="6393" spans="7:7" ht="10.5" customHeight="1" x14ac:dyDescent="0.2">
      <c r="G6393" s="889"/>
    </row>
    <row r="6394" spans="7:7" ht="10.5" customHeight="1" x14ac:dyDescent="0.2">
      <c r="G6394" s="889"/>
    </row>
    <row r="6395" spans="7:7" ht="10.5" customHeight="1" x14ac:dyDescent="0.2">
      <c r="G6395" s="889"/>
    </row>
    <row r="6396" spans="7:7" ht="10.5" customHeight="1" x14ac:dyDescent="0.2">
      <c r="G6396" s="889"/>
    </row>
    <row r="6397" spans="7:7" ht="10.5" customHeight="1" x14ac:dyDescent="0.2">
      <c r="G6397" s="889"/>
    </row>
    <row r="6398" spans="7:7" ht="10.5" customHeight="1" x14ac:dyDescent="0.2">
      <c r="G6398" s="889"/>
    </row>
    <row r="6399" spans="7:7" ht="10.5" customHeight="1" x14ac:dyDescent="0.2">
      <c r="G6399" s="889"/>
    </row>
    <row r="6400" spans="7:7" ht="10.5" customHeight="1" x14ac:dyDescent="0.2">
      <c r="G6400" s="889"/>
    </row>
    <row r="6401" spans="7:7" ht="10.5" customHeight="1" x14ac:dyDescent="0.2">
      <c r="G6401" s="889"/>
    </row>
    <row r="6402" spans="7:7" ht="10.5" customHeight="1" x14ac:dyDescent="0.2">
      <c r="G6402" s="889"/>
    </row>
    <row r="6403" spans="7:7" ht="10.5" customHeight="1" x14ac:dyDescent="0.2">
      <c r="G6403" s="889"/>
    </row>
    <row r="6404" spans="7:7" ht="10.5" customHeight="1" x14ac:dyDescent="0.2">
      <c r="G6404" s="889"/>
    </row>
    <row r="6405" spans="7:7" ht="10.5" customHeight="1" x14ac:dyDescent="0.2">
      <c r="G6405" s="889"/>
    </row>
    <row r="6406" spans="7:7" ht="10.5" customHeight="1" x14ac:dyDescent="0.2">
      <c r="G6406" s="889"/>
    </row>
    <row r="6407" spans="7:7" ht="10.5" customHeight="1" x14ac:dyDescent="0.2">
      <c r="G6407" s="889"/>
    </row>
    <row r="6408" spans="7:7" ht="10.5" customHeight="1" x14ac:dyDescent="0.2">
      <c r="G6408" s="889"/>
    </row>
    <row r="6409" spans="7:7" ht="10.5" customHeight="1" x14ac:dyDescent="0.2">
      <c r="G6409" s="889"/>
    </row>
    <row r="6410" spans="7:7" ht="10.5" customHeight="1" x14ac:dyDescent="0.2">
      <c r="G6410" s="889"/>
    </row>
    <row r="6411" spans="7:7" ht="10.5" customHeight="1" x14ac:dyDescent="0.2">
      <c r="G6411" s="889"/>
    </row>
    <row r="6412" spans="7:7" ht="10.5" customHeight="1" x14ac:dyDescent="0.2">
      <c r="G6412" s="889"/>
    </row>
    <row r="6413" spans="7:7" ht="10.5" customHeight="1" x14ac:dyDescent="0.2">
      <c r="G6413" s="889"/>
    </row>
    <row r="6414" spans="7:7" ht="10.5" customHeight="1" x14ac:dyDescent="0.2">
      <c r="G6414" s="889"/>
    </row>
    <row r="6415" spans="7:7" ht="10.5" customHeight="1" x14ac:dyDescent="0.2">
      <c r="G6415" s="889"/>
    </row>
    <row r="6416" spans="7:7" ht="10.5" customHeight="1" x14ac:dyDescent="0.2">
      <c r="G6416" s="889"/>
    </row>
    <row r="6417" spans="7:7" ht="10.5" customHeight="1" x14ac:dyDescent="0.2">
      <c r="G6417" s="889"/>
    </row>
    <row r="6418" spans="7:7" ht="10.5" customHeight="1" x14ac:dyDescent="0.2">
      <c r="G6418" s="889"/>
    </row>
    <row r="6419" spans="7:7" ht="10.5" customHeight="1" x14ac:dyDescent="0.2">
      <c r="G6419" s="889"/>
    </row>
    <row r="6420" spans="7:7" ht="10.5" customHeight="1" x14ac:dyDescent="0.2">
      <c r="G6420" s="889"/>
    </row>
    <row r="6421" spans="7:7" ht="10.5" customHeight="1" x14ac:dyDescent="0.2">
      <c r="G6421" s="889"/>
    </row>
    <row r="6422" spans="7:7" ht="10.5" customHeight="1" x14ac:dyDescent="0.2">
      <c r="G6422" s="889"/>
    </row>
    <row r="6423" spans="7:7" ht="10.5" customHeight="1" x14ac:dyDescent="0.2">
      <c r="G6423" s="889"/>
    </row>
    <row r="6424" spans="7:7" ht="10.5" customHeight="1" x14ac:dyDescent="0.2">
      <c r="G6424" s="889"/>
    </row>
    <row r="6425" spans="7:7" ht="10.5" customHeight="1" x14ac:dyDescent="0.2">
      <c r="G6425" s="889"/>
    </row>
    <row r="6426" spans="7:7" ht="10.5" customHeight="1" x14ac:dyDescent="0.2">
      <c r="G6426" s="889"/>
    </row>
    <row r="6427" spans="7:7" ht="10.5" customHeight="1" x14ac:dyDescent="0.2">
      <c r="G6427" s="889"/>
    </row>
    <row r="6428" spans="7:7" ht="10.5" customHeight="1" x14ac:dyDescent="0.2">
      <c r="G6428" s="889"/>
    </row>
    <row r="6429" spans="7:7" ht="10.5" customHeight="1" x14ac:dyDescent="0.2">
      <c r="G6429" s="889"/>
    </row>
    <row r="6430" spans="7:7" ht="10.5" customHeight="1" x14ac:dyDescent="0.2">
      <c r="G6430" s="889"/>
    </row>
    <row r="6431" spans="7:7" ht="10.5" customHeight="1" x14ac:dyDescent="0.2">
      <c r="G6431" s="889"/>
    </row>
    <row r="6432" spans="7:7" ht="10.5" customHeight="1" x14ac:dyDescent="0.2">
      <c r="G6432" s="889"/>
    </row>
    <row r="6433" spans="7:7" ht="10.5" customHeight="1" x14ac:dyDescent="0.2">
      <c r="G6433" s="889"/>
    </row>
    <row r="6434" spans="7:7" ht="10.5" customHeight="1" x14ac:dyDescent="0.2">
      <c r="G6434" s="889"/>
    </row>
    <row r="6435" spans="7:7" ht="10.5" customHeight="1" x14ac:dyDescent="0.2">
      <c r="G6435" s="889"/>
    </row>
    <row r="6436" spans="7:7" ht="10.5" customHeight="1" x14ac:dyDescent="0.2">
      <c r="G6436" s="889"/>
    </row>
    <row r="6437" spans="7:7" ht="10.5" customHeight="1" x14ac:dyDescent="0.2">
      <c r="G6437" s="889"/>
    </row>
    <row r="6438" spans="7:7" ht="10.5" customHeight="1" x14ac:dyDescent="0.2">
      <c r="G6438" s="889"/>
    </row>
    <row r="6439" spans="7:7" ht="10.5" customHeight="1" x14ac:dyDescent="0.2">
      <c r="G6439" s="889"/>
    </row>
    <row r="6440" spans="7:7" ht="10.5" customHeight="1" x14ac:dyDescent="0.2">
      <c r="G6440" s="889"/>
    </row>
    <row r="6441" spans="7:7" ht="10.5" customHeight="1" x14ac:dyDescent="0.2">
      <c r="G6441" s="889"/>
    </row>
    <row r="6442" spans="7:7" ht="10.5" customHeight="1" x14ac:dyDescent="0.2">
      <c r="G6442" s="889"/>
    </row>
    <row r="6443" spans="7:7" ht="10.5" customHeight="1" x14ac:dyDescent="0.2">
      <c r="G6443" s="889"/>
    </row>
    <row r="6444" spans="7:7" ht="10.5" customHeight="1" x14ac:dyDescent="0.2">
      <c r="G6444" s="889"/>
    </row>
    <row r="6445" spans="7:7" ht="10.5" customHeight="1" x14ac:dyDescent="0.2">
      <c r="G6445" s="889"/>
    </row>
    <row r="6446" spans="7:7" ht="10.5" customHeight="1" x14ac:dyDescent="0.2">
      <c r="G6446" s="889"/>
    </row>
    <row r="6447" spans="7:7" ht="10.5" customHeight="1" x14ac:dyDescent="0.2">
      <c r="G6447" s="889"/>
    </row>
    <row r="6448" spans="7:7" ht="10.5" customHeight="1" x14ac:dyDescent="0.2">
      <c r="G6448" s="889"/>
    </row>
    <row r="6449" spans="7:7" ht="10.5" customHeight="1" x14ac:dyDescent="0.2">
      <c r="G6449" s="889"/>
    </row>
    <row r="6450" spans="7:7" ht="10.5" customHeight="1" x14ac:dyDescent="0.2">
      <c r="G6450" s="889"/>
    </row>
    <row r="6451" spans="7:7" ht="10.5" customHeight="1" x14ac:dyDescent="0.2">
      <c r="G6451" s="889"/>
    </row>
    <row r="6452" spans="7:7" ht="10.5" customHeight="1" x14ac:dyDescent="0.2">
      <c r="G6452" s="889"/>
    </row>
    <row r="6453" spans="7:7" ht="10.5" customHeight="1" x14ac:dyDescent="0.2">
      <c r="G6453" s="889"/>
    </row>
    <row r="6454" spans="7:7" ht="10.5" customHeight="1" x14ac:dyDescent="0.2">
      <c r="G6454" s="889"/>
    </row>
    <row r="6455" spans="7:7" ht="10.5" customHeight="1" x14ac:dyDescent="0.2">
      <c r="G6455" s="889"/>
    </row>
    <row r="6456" spans="7:7" ht="10.5" customHeight="1" x14ac:dyDescent="0.2">
      <c r="G6456" s="889"/>
    </row>
    <row r="6457" spans="7:7" ht="10.5" customHeight="1" x14ac:dyDescent="0.2">
      <c r="G6457" s="889"/>
    </row>
    <row r="6458" spans="7:7" ht="10.5" customHeight="1" x14ac:dyDescent="0.2">
      <c r="G6458" s="889"/>
    </row>
    <row r="6459" spans="7:7" ht="10.5" customHeight="1" x14ac:dyDescent="0.2">
      <c r="G6459" s="889"/>
    </row>
    <row r="6460" spans="7:7" ht="10.5" customHeight="1" x14ac:dyDescent="0.2">
      <c r="G6460" s="889"/>
    </row>
    <row r="6461" spans="7:7" ht="10.5" customHeight="1" x14ac:dyDescent="0.2">
      <c r="G6461" s="889"/>
    </row>
    <row r="6462" spans="7:7" ht="10.5" customHeight="1" x14ac:dyDescent="0.2">
      <c r="G6462" s="889"/>
    </row>
    <row r="6463" spans="7:7" ht="10.5" customHeight="1" x14ac:dyDescent="0.2">
      <c r="G6463" s="889"/>
    </row>
    <row r="6464" spans="7:7" ht="10.5" customHeight="1" x14ac:dyDescent="0.2">
      <c r="G6464" s="889"/>
    </row>
    <row r="6465" spans="7:7" ht="10.5" customHeight="1" x14ac:dyDescent="0.2">
      <c r="G6465" s="889"/>
    </row>
    <row r="6466" spans="7:7" ht="10.5" customHeight="1" x14ac:dyDescent="0.2">
      <c r="G6466" s="889"/>
    </row>
    <row r="6467" spans="7:7" ht="10.5" customHeight="1" x14ac:dyDescent="0.2">
      <c r="G6467" s="889"/>
    </row>
    <row r="6468" spans="7:7" ht="10.5" customHeight="1" x14ac:dyDescent="0.2">
      <c r="G6468" s="889"/>
    </row>
    <row r="6469" spans="7:7" ht="10.5" customHeight="1" x14ac:dyDescent="0.2">
      <c r="G6469" s="889"/>
    </row>
    <row r="6470" spans="7:7" ht="10.5" customHeight="1" x14ac:dyDescent="0.2">
      <c r="G6470" s="889"/>
    </row>
    <row r="6471" spans="7:7" ht="10.5" customHeight="1" x14ac:dyDescent="0.2">
      <c r="G6471" s="889"/>
    </row>
    <row r="6472" spans="7:7" ht="10.5" customHeight="1" x14ac:dyDescent="0.2">
      <c r="G6472" s="889"/>
    </row>
    <row r="6473" spans="7:7" ht="10.5" customHeight="1" x14ac:dyDescent="0.2">
      <c r="G6473" s="889"/>
    </row>
    <row r="6474" spans="7:7" ht="10.5" customHeight="1" x14ac:dyDescent="0.2">
      <c r="G6474" s="889"/>
    </row>
    <row r="6475" spans="7:7" ht="10.5" customHeight="1" x14ac:dyDescent="0.2">
      <c r="G6475" s="889"/>
    </row>
    <row r="6476" spans="7:7" ht="10.5" customHeight="1" x14ac:dyDescent="0.2">
      <c r="G6476" s="889"/>
    </row>
    <row r="6477" spans="7:7" ht="10.5" customHeight="1" x14ac:dyDescent="0.2">
      <c r="G6477" s="889"/>
    </row>
    <row r="6478" spans="7:7" ht="10.5" customHeight="1" x14ac:dyDescent="0.2">
      <c r="G6478" s="889"/>
    </row>
    <row r="6479" spans="7:7" ht="10.5" customHeight="1" x14ac:dyDescent="0.2">
      <c r="G6479" s="889"/>
    </row>
    <row r="6480" spans="7:7" ht="10.5" customHeight="1" x14ac:dyDescent="0.2">
      <c r="G6480" s="889"/>
    </row>
    <row r="6481" spans="7:7" ht="10.5" customHeight="1" x14ac:dyDescent="0.2">
      <c r="G6481" s="889"/>
    </row>
    <row r="6482" spans="7:7" ht="10.5" customHeight="1" x14ac:dyDescent="0.2">
      <c r="G6482" s="889"/>
    </row>
    <row r="6483" spans="7:7" ht="10.5" customHeight="1" x14ac:dyDescent="0.2">
      <c r="G6483" s="889"/>
    </row>
    <row r="6484" spans="7:7" ht="10.5" customHeight="1" x14ac:dyDescent="0.2">
      <c r="G6484" s="889"/>
    </row>
    <row r="6485" spans="7:7" ht="10.5" customHeight="1" x14ac:dyDescent="0.2">
      <c r="G6485" s="889"/>
    </row>
    <row r="6486" spans="7:7" ht="10.5" customHeight="1" x14ac:dyDescent="0.2">
      <c r="G6486" s="889"/>
    </row>
    <row r="6487" spans="7:7" ht="10.5" customHeight="1" x14ac:dyDescent="0.2">
      <c r="G6487" s="889"/>
    </row>
    <row r="6488" spans="7:7" ht="10.5" customHeight="1" x14ac:dyDescent="0.2">
      <c r="G6488" s="889"/>
    </row>
    <row r="6489" spans="7:7" ht="10.5" customHeight="1" x14ac:dyDescent="0.2">
      <c r="G6489" s="889"/>
    </row>
    <row r="6490" spans="7:7" ht="10.5" customHeight="1" x14ac:dyDescent="0.2">
      <c r="G6490" s="889"/>
    </row>
    <row r="6491" spans="7:7" ht="10.5" customHeight="1" x14ac:dyDescent="0.2">
      <c r="G6491" s="889"/>
    </row>
    <row r="6492" spans="7:7" ht="10.5" customHeight="1" x14ac:dyDescent="0.2">
      <c r="G6492" s="889"/>
    </row>
    <row r="6493" spans="7:7" ht="10.5" customHeight="1" x14ac:dyDescent="0.2">
      <c r="G6493" s="889"/>
    </row>
    <row r="6494" spans="7:7" ht="10.5" customHeight="1" x14ac:dyDescent="0.2">
      <c r="G6494" s="889"/>
    </row>
    <row r="6495" spans="7:7" ht="10.5" customHeight="1" x14ac:dyDescent="0.2">
      <c r="G6495" s="889"/>
    </row>
    <row r="6496" spans="7:7" ht="10.5" customHeight="1" x14ac:dyDescent="0.2">
      <c r="G6496" s="889"/>
    </row>
    <row r="6497" spans="7:7" ht="10.5" customHeight="1" x14ac:dyDescent="0.2">
      <c r="G6497" s="889"/>
    </row>
    <row r="6498" spans="7:7" ht="10.5" customHeight="1" x14ac:dyDescent="0.2">
      <c r="G6498" s="889"/>
    </row>
    <row r="6499" spans="7:7" ht="10.5" customHeight="1" x14ac:dyDescent="0.2">
      <c r="G6499" s="889"/>
    </row>
    <row r="6500" spans="7:7" ht="10.5" customHeight="1" x14ac:dyDescent="0.2">
      <c r="G6500" s="889"/>
    </row>
    <row r="6501" spans="7:7" ht="10.5" customHeight="1" x14ac:dyDescent="0.2">
      <c r="G6501" s="889"/>
    </row>
    <row r="6502" spans="7:7" ht="10.5" customHeight="1" x14ac:dyDescent="0.2">
      <c r="G6502" s="889"/>
    </row>
    <row r="6503" spans="7:7" ht="10.5" customHeight="1" x14ac:dyDescent="0.2">
      <c r="G6503" s="889"/>
    </row>
    <row r="6504" spans="7:7" ht="10.5" customHeight="1" x14ac:dyDescent="0.2">
      <c r="G6504" s="889"/>
    </row>
    <row r="6505" spans="7:7" ht="10.5" customHeight="1" x14ac:dyDescent="0.2">
      <c r="G6505" s="889"/>
    </row>
    <row r="6506" spans="7:7" ht="10.5" customHeight="1" x14ac:dyDescent="0.2">
      <c r="G6506" s="889"/>
    </row>
    <row r="6507" spans="7:7" ht="10.5" customHeight="1" x14ac:dyDescent="0.2">
      <c r="G6507" s="889"/>
    </row>
    <row r="6508" spans="7:7" ht="10.5" customHeight="1" x14ac:dyDescent="0.2">
      <c r="G6508" s="889"/>
    </row>
    <row r="6509" spans="7:7" ht="10.5" customHeight="1" x14ac:dyDescent="0.2">
      <c r="G6509" s="889"/>
    </row>
    <row r="6510" spans="7:7" ht="10.5" customHeight="1" x14ac:dyDescent="0.2">
      <c r="G6510" s="889"/>
    </row>
    <row r="6511" spans="7:7" ht="10.5" customHeight="1" x14ac:dyDescent="0.2">
      <c r="G6511" s="889"/>
    </row>
    <row r="6512" spans="7:7" ht="10.5" customHeight="1" x14ac:dyDescent="0.2">
      <c r="G6512" s="889"/>
    </row>
    <row r="6513" spans="7:7" ht="10.5" customHeight="1" x14ac:dyDescent="0.2">
      <c r="G6513" s="889"/>
    </row>
    <row r="6514" spans="7:7" ht="10.5" customHeight="1" x14ac:dyDescent="0.2">
      <c r="G6514" s="889"/>
    </row>
    <row r="6515" spans="7:7" ht="10.5" customHeight="1" x14ac:dyDescent="0.2">
      <c r="G6515" s="889"/>
    </row>
    <row r="6516" spans="7:7" ht="10.5" customHeight="1" x14ac:dyDescent="0.2">
      <c r="G6516" s="889"/>
    </row>
    <row r="6517" spans="7:7" ht="10.5" customHeight="1" x14ac:dyDescent="0.2">
      <c r="G6517" s="889"/>
    </row>
    <row r="6518" spans="7:7" ht="10.5" customHeight="1" x14ac:dyDescent="0.2">
      <c r="G6518" s="889"/>
    </row>
    <row r="6519" spans="7:7" ht="10.5" customHeight="1" x14ac:dyDescent="0.2">
      <c r="G6519" s="889"/>
    </row>
    <row r="6520" spans="7:7" ht="10.5" customHeight="1" x14ac:dyDescent="0.2">
      <c r="G6520" s="889"/>
    </row>
    <row r="6521" spans="7:7" ht="10.5" customHeight="1" x14ac:dyDescent="0.2">
      <c r="G6521" s="889"/>
    </row>
    <row r="6522" spans="7:7" ht="10.5" customHeight="1" x14ac:dyDescent="0.2">
      <c r="G6522" s="889"/>
    </row>
    <row r="6523" spans="7:7" ht="10.5" customHeight="1" x14ac:dyDescent="0.2">
      <c r="G6523" s="889"/>
    </row>
    <row r="6524" spans="7:7" ht="10.5" customHeight="1" x14ac:dyDescent="0.2">
      <c r="G6524" s="889"/>
    </row>
    <row r="6525" spans="7:7" ht="10.5" customHeight="1" x14ac:dyDescent="0.2">
      <c r="G6525" s="889"/>
    </row>
    <row r="6526" spans="7:7" ht="10.5" customHeight="1" x14ac:dyDescent="0.2">
      <c r="G6526" s="889"/>
    </row>
    <row r="6527" spans="7:7" ht="10.5" customHeight="1" x14ac:dyDescent="0.2">
      <c r="G6527" s="889"/>
    </row>
    <row r="6528" spans="7:7" ht="10.5" customHeight="1" x14ac:dyDescent="0.2">
      <c r="G6528" s="889"/>
    </row>
    <row r="6529" spans="7:7" ht="10.5" customHeight="1" x14ac:dyDescent="0.2">
      <c r="G6529" s="889"/>
    </row>
    <row r="6530" spans="7:7" ht="10.5" customHeight="1" x14ac:dyDescent="0.2">
      <c r="G6530" s="889"/>
    </row>
    <row r="6531" spans="7:7" ht="10.5" customHeight="1" x14ac:dyDescent="0.2">
      <c r="G6531" s="889"/>
    </row>
    <row r="6532" spans="7:7" ht="10.5" customHeight="1" x14ac:dyDescent="0.2">
      <c r="G6532" s="889"/>
    </row>
    <row r="6533" spans="7:7" ht="10.5" customHeight="1" x14ac:dyDescent="0.2">
      <c r="G6533" s="889"/>
    </row>
    <row r="6534" spans="7:7" ht="10.5" customHeight="1" x14ac:dyDescent="0.2">
      <c r="G6534" s="889"/>
    </row>
    <row r="6535" spans="7:7" ht="10.5" customHeight="1" x14ac:dyDescent="0.2">
      <c r="G6535" s="889"/>
    </row>
    <row r="6536" spans="7:7" ht="10.5" customHeight="1" x14ac:dyDescent="0.2">
      <c r="G6536" s="889"/>
    </row>
    <row r="6537" spans="7:7" ht="10.5" customHeight="1" x14ac:dyDescent="0.2">
      <c r="G6537" s="889"/>
    </row>
    <row r="6538" spans="7:7" ht="10.5" customHeight="1" x14ac:dyDescent="0.2">
      <c r="G6538" s="889"/>
    </row>
    <row r="6539" spans="7:7" ht="10.5" customHeight="1" x14ac:dyDescent="0.2">
      <c r="G6539" s="889"/>
    </row>
    <row r="6540" spans="7:7" ht="10.5" customHeight="1" x14ac:dyDescent="0.2">
      <c r="G6540" s="889"/>
    </row>
    <row r="6541" spans="7:7" ht="10.5" customHeight="1" x14ac:dyDescent="0.2">
      <c r="G6541" s="889"/>
    </row>
    <row r="6542" spans="7:7" ht="10.5" customHeight="1" x14ac:dyDescent="0.2">
      <c r="G6542" s="889"/>
    </row>
    <row r="6543" spans="7:7" ht="10.5" customHeight="1" x14ac:dyDescent="0.2">
      <c r="G6543" s="889"/>
    </row>
    <row r="6544" spans="7:7" ht="10.5" customHeight="1" x14ac:dyDescent="0.2">
      <c r="G6544" s="889"/>
    </row>
    <row r="6545" spans="7:7" ht="10.5" customHeight="1" x14ac:dyDescent="0.2">
      <c r="G6545" s="889"/>
    </row>
    <row r="6546" spans="7:7" ht="10.5" customHeight="1" x14ac:dyDescent="0.2">
      <c r="G6546" s="889"/>
    </row>
    <row r="6547" spans="7:7" ht="10.5" customHeight="1" x14ac:dyDescent="0.2">
      <c r="G6547" s="889"/>
    </row>
    <row r="6548" spans="7:7" ht="10.5" customHeight="1" x14ac:dyDescent="0.2">
      <c r="G6548" s="889"/>
    </row>
    <row r="6549" spans="7:7" ht="10.5" customHeight="1" x14ac:dyDescent="0.2">
      <c r="G6549" s="889"/>
    </row>
    <row r="6550" spans="7:7" ht="10.5" customHeight="1" x14ac:dyDescent="0.2">
      <c r="G6550" s="889"/>
    </row>
    <row r="6551" spans="7:7" ht="10.5" customHeight="1" x14ac:dyDescent="0.2">
      <c r="G6551" s="889"/>
    </row>
    <row r="6552" spans="7:7" ht="10.5" customHeight="1" x14ac:dyDescent="0.2">
      <c r="G6552" s="889"/>
    </row>
    <row r="6553" spans="7:7" ht="10.5" customHeight="1" x14ac:dyDescent="0.2">
      <c r="G6553" s="889"/>
    </row>
    <row r="6554" spans="7:7" ht="10.5" customHeight="1" x14ac:dyDescent="0.2">
      <c r="G6554" s="889"/>
    </row>
    <row r="6555" spans="7:7" ht="10.5" customHeight="1" x14ac:dyDescent="0.2">
      <c r="G6555" s="889"/>
    </row>
    <row r="6556" spans="7:7" ht="10.5" customHeight="1" x14ac:dyDescent="0.2">
      <c r="G6556" s="889"/>
    </row>
    <row r="6557" spans="7:7" ht="10.5" customHeight="1" x14ac:dyDescent="0.2">
      <c r="G6557" s="889"/>
    </row>
    <row r="6558" spans="7:7" ht="10.5" customHeight="1" x14ac:dyDescent="0.2">
      <c r="G6558" s="889"/>
    </row>
    <row r="6559" spans="7:7" ht="10.5" customHeight="1" x14ac:dyDescent="0.2">
      <c r="G6559" s="889"/>
    </row>
    <row r="6560" spans="7:7" ht="10.5" customHeight="1" x14ac:dyDescent="0.2">
      <c r="G6560" s="889"/>
    </row>
    <row r="6561" spans="7:7" ht="10.5" customHeight="1" x14ac:dyDescent="0.2">
      <c r="G6561" s="889"/>
    </row>
    <row r="6562" spans="7:7" ht="10.5" customHeight="1" x14ac:dyDescent="0.2">
      <c r="G6562" s="889"/>
    </row>
    <row r="6563" spans="7:7" ht="10.5" customHeight="1" x14ac:dyDescent="0.2">
      <c r="G6563" s="889"/>
    </row>
    <row r="6564" spans="7:7" ht="10.5" customHeight="1" x14ac:dyDescent="0.2">
      <c r="G6564" s="889"/>
    </row>
    <row r="6565" spans="7:7" ht="10.5" customHeight="1" x14ac:dyDescent="0.2">
      <c r="G6565" s="889"/>
    </row>
    <row r="6566" spans="7:7" ht="10.5" customHeight="1" x14ac:dyDescent="0.2">
      <c r="G6566" s="889"/>
    </row>
    <row r="6567" spans="7:7" ht="10.5" customHeight="1" x14ac:dyDescent="0.2">
      <c r="G6567" s="889"/>
    </row>
    <row r="6568" spans="7:7" ht="10.5" customHeight="1" x14ac:dyDescent="0.2">
      <c r="G6568" s="889"/>
    </row>
    <row r="6569" spans="7:7" ht="10.5" customHeight="1" x14ac:dyDescent="0.2">
      <c r="G6569" s="889"/>
    </row>
    <row r="6570" spans="7:7" ht="10.5" customHeight="1" x14ac:dyDescent="0.2">
      <c r="G6570" s="889"/>
    </row>
    <row r="6571" spans="7:7" ht="10.5" customHeight="1" x14ac:dyDescent="0.2">
      <c r="G6571" s="889"/>
    </row>
    <row r="6572" spans="7:7" ht="10.5" customHeight="1" x14ac:dyDescent="0.2">
      <c r="G6572" s="889"/>
    </row>
    <row r="6573" spans="7:7" ht="10.5" customHeight="1" x14ac:dyDescent="0.2">
      <c r="G6573" s="889"/>
    </row>
    <row r="6574" spans="7:7" ht="10.5" customHeight="1" x14ac:dyDescent="0.2">
      <c r="G6574" s="889"/>
    </row>
    <row r="6575" spans="7:7" ht="10.5" customHeight="1" x14ac:dyDescent="0.2">
      <c r="G6575" s="889"/>
    </row>
    <row r="6576" spans="7:7" ht="10.5" customHeight="1" x14ac:dyDescent="0.2">
      <c r="G6576" s="889"/>
    </row>
    <row r="6577" spans="7:7" ht="10.5" customHeight="1" x14ac:dyDescent="0.2">
      <c r="G6577" s="889"/>
    </row>
    <row r="6578" spans="7:7" ht="10.5" customHeight="1" x14ac:dyDescent="0.2">
      <c r="G6578" s="889"/>
    </row>
    <row r="6579" spans="7:7" ht="10.5" customHeight="1" x14ac:dyDescent="0.2">
      <c r="G6579" s="889"/>
    </row>
    <row r="6580" spans="7:7" ht="10.5" customHeight="1" x14ac:dyDescent="0.2">
      <c r="G6580" s="889"/>
    </row>
    <row r="6581" spans="7:7" ht="10.5" customHeight="1" x14ac:dyDescent="0.2">
      <c r="G6581" s="889"/>
    </row>
    <row r="6582" spans="7:7" ht="10.5" customHeight="1" x14ac:dyDescent="0.2">
      <c r="G6582" s="889"/>
    </row>
    <row r="6583" spans="7:7" ht="10.5" customHeight="1" x14ac:dyDescent="0.2">
      <c r="G6583" s="889"/>
    </row>
    <row r="6584" spans="7:7" ht="10.5" customHeight="1" x14ac:dyDescent="0.2">
      <c r="G6584" s="889"/>
    </row>
    <row r="6585" spans="7:7" ht="10.5" customHeight="1" x14ac:dyDescent="0.2">
      <c r="G6585" s="889"/>
    </row>
    <row r="6586" spans="7:7" ht="10.5" customHeight="1" x14ac:dyDescent="0.2">
      <c r="G6586" s="889"/>
    </row>
    <row r="6587" spans="7:7" ht="10.5" customHeight="1" x14ac:dyDescent="0.2">
      <c r="G6587" s="889"/>
    </row>
    <row r="6588" spans="7:7" ht="10.5" customHeight="1" x14ac:dyDescent="0.2">
      <c r="G6588" s="889"/>
    </row>
    <row r="6589" spans="7:7" ht="10.5" customHeight="1" x14ac:dyDescent="0.2">
      <c r="G6589" s="889"/>
    </row>
    <row r="6590" spans="7:7" ht="10.5" customHeight="1" x14ac:dyDescent="0.2">
      <c r="G6590" s="889"/>
    </row>
    <row r="6591" spans="7:7" ht="10.5" customHeight="1" x14ac:dyDescent="0.2">
      <c r="G6591" s="889"/>
    </row>
    <row r="6592" spans="7:7" ht="10.5" customHeight="1" x14ac:dyDescent="0.2">
      <c r="G6592" s="889"/>
    </row>
    <row r="6593" spans="7:7" ht="10.5" customHeight="1" x14ac:dyDescent="0.2">
      <c r="G6593" s="889"/>
    </row>
    <row r="6594" spans="7:7" ht="10.5" customHeight="1" x14ac:dyDescent="0.2">
      <c r="G6594" s="889"/>
    </row>
    <row r="6595" spans="7:7" ht="10.5" customHeight="1" x14ac:dyDescent="0.2">
      <c r="G6595" s="889"/>
    </row>
    <row r="6596" spans="7:7" ht="10.5" customHeight="1" x14ac:dyDescent="0.2">
      <c r="G6596" s="889"/>
    </row>
    <row r="6597" spans="7:7" ht="10.5" customHeight="1" x14ac:dyDescent="0.2">
      <c r="G6597" s="889"/>
    </row>
    <row r="6598" spans="7:7" ht="10.5" customHeight="1" x14ac:dyDescent="0.2">
      <c r="G6598" s="889"/>
    </row>
    <row r="6599" spans="7:7" ht="10.5" customHeight="1" x14ac:dyDescent="0.2">
      <c r="G6599" s="889"/>
    </row>
    <row r="6600" spans="7:7" ht="10.5" customHeight="1" x14ac:dyDescent="0.2">
      <c r="G6600" s="889"/>
    </row>
    <row r="6601" spans="7:7" ht="10.5" customHeight="1" x14ac:dyDescent="0.2">
      <c r="G6601" s="889"/>
    </row>
    <row r="6602" spans="7:7" ht="10.5" customHeight="1" x14ac:dyDescent="0.2">
      <c r="G6602" s="889"/>
    </row>
    <row r="6603" spans="7:7" ht="10.5" customHeight="1" x14ac:dyDescent="0.2">
      <c r="G6603" s="889"/>
    </row>
    <row r="6604" spans="7:7" ht="10.5" customHeight="1" x14ac:dyDescent="0.2">
      <c r="G6604" s="889"/>
    </row>
    <row r="6605" spans="7:7" ht="10.5" customHeight="1" x14ac:dyDescent="0.2">
      <c r="G6605" s="889"/>
    </row>
    <row r="6606" spans="7:7" ht="10.5" customHeight="1" x14ac:dyDescent="0.2">
      <c r="G6606" s="889"/>
    </row>
    <row r="6607" spans="7:7" ht="10.5" customHeight="1" x14ac:dyDescent="0.2">
      <c r="G6607" s="889"/>
    </row>
    <row r="6608" spans="7:7" ht="10.5" customHeight="1" x14ac:dyDescent="0.2">
      <c r="G6608" s="889"/>
    </row>
    <row r="6609" spans="7:7" ht="10.5" customHeight="1" x14ac:dyDescent="0.2">
      <c r="G6609" s="889"/>
    </row>
    <row r="6610" spans="7:7" ht="10.5" customHeight="1" x14ac:dyDescent="0.2">
      <c r="G6610" s="889"/>
    </row>
    <row r="6611" spans="7:7" ht="10.5" customHeight="1" x14ac:dyDescent="0.2">
      <c r="G6611" s="889"/>
    </row>
    <row r="6612" spans="7:7" ht="10.5" customHeight="1" x14ac:dyDescent="0.2">
      <c r="G6612" s="889"/>
    </row>
    <row r="6613" spans="7:7" ht="10.5" customHeight="1" x14ac:dyDescent="0.2">
      <c r="G6613" s="889"/>
    </row>
    <row r="6614" spans="7:7" ht="10.5" customHeight="1" x14ac:dyDescent="0.2">
      <c r="G6614" s="889"/>
    </row>
    <row r="6615" spans="7:7" ht="10.5" customHeight="1" x14ac:dyDescent="0.2">
      <c r="G6615" s="889"/>
    </row>
    <row r="6616" spans="7:7" ht="10.5" customHeight="1" x14ac:dyDescent="0.2">
      <c r="G6616" s="889"/>
    </row>
    <row r="6617" spans="7:7" ht="10.5" customHeight="1" x14ac:dyDescent="0.2">
      <c r="G6617" s="889"/>
    </row>
    <row r="6618" spans="7:7" ht="10.5" customHeight="1" x14ac:dyDescent="0.2">
      <c r="G6618" s="889"/>
    </row>
    <row r="6619" spans="7:7" ht="10.5" customHeight="1" x14ac:dyDescent="0.2">
      <c r="G6619" s="889"/>
    </row>
    <row r="6620" spans="7:7" ht="10.5" customHeight="1" x14ac:dyDescent="0.2">
      <c r="G6620" s="889"/>
    </row>
    <row r="6621" spans="7:7" ht="10.5" customHeight="1" x14ac:dyDescent="0.2">
      <c r="G6621" s="889"/>
    </row>
    <row r="6622" spans="7:7" ht="10.5" customHeight="1" x14ac:dyDescent="0.2">
      <c r="G6622" s="889"/>
    </row>
    <row r="6623" spans="7:7" ht="10.5" customHeight="1" x14ac:dyDescent="0.2">
      <c r="G6623" s="889"/>
    </row>
    <row r="6624" spans="7:7" ht="10.5" customHeight="1" x14ac:dyDescent="0.2">
      <c r="G6624" s="889"/>
    </row>
    <row r="6625" spans="7:7" ht="10.5" customHeight="1" x14ac:dyDescent="0.2">
      <c r="G6625" s="889"/>
    </row>
    <row r="6626" spans="7:7" ht="10.5" customHeight="1" x14ac:dyDescent="0.2">
      <c r="G6626" s="889"/>
    </row>
    <row r="6627" spans="7:7" ht="10.5" customHeight="1" x14ac:dyDescent="0.2">
      <c r="G6627" s="889"/>
    </row>
    <row r="6628" spans="7:7" ht="10.5" customHeight="1" x14ac:dyDescent="0.2">
      <c r="G6628" s="889"/>
    </row>
    <row r="6629" spans="7:7" ht="10.5" customHeight="1" x14ac:dyDescent="0.2">
      <c r="G6629" s="889"/>
    </row>
    <row r="6630" spans="7:7" ht="10.5" customHeight="1" x14ac:dyDescent="0.2">
      <c r="G6630" s="889"/>
    </row>
    <row r="6631" spans="7:7" ht="10.5" customHeight="1" x14ac:dyDescent="0.2">
      <c r="G6631" s="889"/>
    </row>
    <row r="6632" spans="7:7" ht="10.5" customHeight="1" x14ac:dyDescent="0.2">
      <c r="G6632" s="889"/>
    </row>
    <row r="6633" spans="7:7" ht="10.5" customHeight="1" x14ac:dyDescent="0.2">
      <c r="G6633" s="889"/>
    </row>
    <row r="6634" spans="7:7" ht="10.5" customHeight="1" x14ac:dyDescent="0.2">
      <c r="G6634" s="889"/>
    </row>
    <row r="6635" spans="7:7" ht="10.5" customHeight="1" x14ac:dyDescent="0.2">
      <c r="G6635" s="889"/>
    </row>
    <row r="6636" spans="7:7" ht="10.5" customHeight="1" x14ac:dyDescent="0.2">
      <c r="G6636" s="889"/>
    </row>
    <row r="6637" spans="7:7" ht="10.5" customHeight="1" x14ac:dyDescent="0.2">
      <c r="G6637" s="889"/>
    </row>
    <row r="6638" spans="7:7" ht="10.5" customHeight="1" x14ac:dyDescent="0.2">
      <c r="G6638" s="889"/>
    </row>
    <row r="6639" spans="7:7" ht="10.5" customHeight="1" x14ac:dyDescent="0.2">
      <c r="G6639" s="889"/>
    </row>
    <row r="6640" spans="7:7" ht="10.5" customHeight="1" x14ac:dyDescent="0.2">
      <c r="G6640" s="889"/>
    </row>
    <row r="6641" spans="7:7" ht="10.5" customHeight="1" x14ac:dyDescent="0.2">
      <c r="G6641" s="889"/>
    </row>
    <row r="6642" spans="7:7" ht="10.5" customHeight="1" x14ac:dyDescent="0.2">
      <c r="G6642" s="889"/>
    </row>
    <row r="6643" spans="7:7" ht="10.5" customHeight="1" x14ac:dyDescent="0.2">
      <c r="G6643" s="889"/>
    </row>
    <row r="6644" spans="7:7" ht="10.5" customHeight="1" x14ac:dyDescent="0.2">
      <c r="G6644" s="889"/>
    </row>
    <row r="6645" spans="7:7" ht="10.5" customHeight="1" x14ac:dyDescent="0.2">
      <c r="G6645" s="889"/>
    </row>
    <row r="6646" spans="7:7" ht="10.5" customHeight="1" x14ac:dyDescent="0.2">
      <c r="G6646" s="889"/>
    </row>
    <row r="6647" spans="7:7" ht="10.5" customHeight="1" x14ac:dyDescent="0.2">
      <c r="G6647" s="889"/>
    </row>
    <row r="6648" spans="7:7" ht="10.5" customHeight="1" x14ac:dyDescent="0.2">
      <c r="G6648" s="889"/>
    </row>
    <row r="6649" spans="7:7" ht="10.5" customHeight="1" x14ac:dyDescent="0.2">
      <c r="G6649" s="889"/>
    </row>
    <row r="6650" spans="7:7" ht="10.5" customHeight="1" x14ac:dyDescent="0.2">
      <c r="G6650" s="889"/>
    </row>
    <row r="6651" spans="7:7" ht="10.5" customHeight="1" x14ac:dyDescent="0.2">
      <c r="G6651" s="889"/>
    </row>
    <row r="6652" spans="7:7" ht="10.5" customHeight="1" x14ac:dyDescent="0.2">
      <c r="G6652" s="889"/>
    </row>
    <row r="6653" spans="7:7" ht="10.5" customHeight="1" x14ac:dyDescent="0.2">
      <c r="G6653" s="889"/>
    </row>
    <row r="6654" spans="7:7" ht="10.5" customHeight="1" x14ac:dyDescent="0.2">
      <c r="G6654" s="889"/>
    </row>
    <row r="6655" spans="7:7" ht="10.5" customHeight="1" x14ac:dyDescent="0.2">
      <c r="G6655" s="889"/>
    </row>
    <row r="6656" spans="7:7" ht="10.5" customHeight="1" x14ac:dyDescent="0.2">
      <c r="G6656" s="889"/>
    </row>
    <row r="6657" spans="7:7" ht="10.5" customHeight="1" x14ac:dyDescent="0.2">
      <c r="G6657" s="889"/>
    </row>
    <row r="6658" spans="7:7" ht="10.5" customHeight="1" x14ac:dyDescent="0.2">
      <c r="G6658" s="889"/>
    </row>
    <row r="6659" spans="7:7" ht="10.5" customHeight="1" x14ac:dyDescent="0.2">
      <c r="G6659" s="889"/>
    </row>
    <row r="6660" spans="7:7" ht="10.5" customHeight="1" x14ac:dyDescent="0.2">
      <c r="G6660" s="889"/>
    </row>
    <row r="6661" spans="7:7" ht="10.5" customHeight="1" x14ac:dyDescent="0.2">
      <c r="G6661" s="889"/>
    </row>
    <row r="6662" spans="7:7" ht="10.5" customHeight="1" x14ac:dyDescent="0.2">
      <c r="G6662" s="889"/>
    </row>
    <row r="6663" spans="7:7" ht="10.5" customHeight="1" x14ac:dyDescent="0.2">
      <c r="G6663" s="889"/>
    </row>
    <row r="6664" spans="7:7" ht="10.5" customHeight="1" x14ac:dyDescent="0.2">
      <c r="G6664" s="889"/>
    </row>
    <row r="6665" spans="7:7" ht="10.5" customHeight="1" x14ac:dyDescent="0.2">
      <c r="G6665" s="889"/>
    </row>
    <row r="6666" spans="7:7" ht="10.5" customHeight="1" x14ac:dyDescent="0.2">
      <c r="G6666" s="889"/>
    </row>
    <row r="6667" spans="7:7" ht="10.5" customHeight="1" x14ac:dyDescent="0.2">
      <c r="G6667" s="889"/>
    </row>
    <row r="6668" spans="7:7" ht="10.5" customHeight="1" x14ac:dyDescent="0.2">
      <c r="G6668" s="889"/>
    </row>
    <row r="6669" spans="7:7" ht="10.5" customHeight="1" x14ac:dyDescent="0.2">
      <c r="G6669" s="889"/>
    </row>
    <row r="6670" spans="7:7" ht="10.5" customHeight="1" x14ac:dyDescent="0.2">
      <c r="G6670" s="889"/>
    </row>
    <row r="6671" spans="7:7" ht="10.5" customHeight="1" x14ac:dyDescent="0.2">
      <c r="G6671" s="889"/>
    </row>
    <row r="6672" spans="7:7" ht="10.5" customHeight="1" x14ac:dyDescent="0.2">
      <c r="G6672" s="889"/>
    </row>
    <row r="6673" spans="7:7" ht="10.5" customHeight="1" x14ac:dyDescent="0.2">
      <c r="G6673" s="889"/>
    </row>
    <row r="6674" spans="7:7" ht="10.5" customHeight="1" x14ac:dyDescent="0.2">
      <c r="G6674" s="889"/>
    </row>
    <row r="6675" spans="7:7" ht="10.5" customHeight="1" x14ac:dyDescent="0.2">
      <c r="G6675" s="889"/>
    </row>
    <row r="6676" spans="7:7" ht="10.5" customHeight="1" x14ac:dyDescent="0.2">
      <c r="G6676" s="889"/>
    </row>
    <row r="6677" spans="7:7" ht="10.5" customHeight="1" x14ac:dyDescent="0.2">
      <c r="G6677" s="889"/>
    </row>
    <row r="6678" spans="7:7" ht="10.5" customHeight="1" x14ac:dyDescent="0.2">
      <c r="G6678" s="889"/>
    </row>
    <row r="6679" spans="7:7" ht="10.5" customHeight="1" x14ac:dyDescent="0.2">
      <c r="G6679" s="889"/>
    </row>
    <row r="6680" spans="7:7" ht="10.5" customHeight="1" x14ac:dyDescent="0.2">
      <c r="G6680" s="889"/>
    </row>
    <row r="6681" spans="7:7" ht="10.5" customHeight="1" x14ac:dyDescent="0.2">
      <c r="G6681" s="889"/>
    </row>
    <row r="6682" spans="7:7" ht="10.5" customHeight="1" x14ac:dyDescent="0.2">
      <c r="G6682" s="889"/>
    </row>
    <row r="6683" spans="7:7" ht="10.5" customHeight="1" x14ac:dyDescent="0.2">
      <c r="G6683" s="889"/>
    </row>
    <row r="6684" spans="7:7" ht="10.5" customHeight="1" x14ac:dyDescent="0.2">
      <c r="G6684" s="889"/>
    </row>
    <row r="6685" spans="7:7" ht="10.5" customHeight="1" x14ac:dyDescent="0.2">
      <c r="G6685" s="889"/>
    </row>
    <row r="6686" spans="7:7" ht="10.5" customHeight="1" x14ac:dyDescent="0.2">
      <c r="G6686" s="889"/>
    </row>
    <row r="6687" spans="7:7" ht="10.5" customHeight="1" x14ac:dyDescent="0.2">
      <c r="G6687" s="889"/>
    </row>
    <row r="6688" spans="7:7" ht="10.5" customHeight="1" x14ac:dyDescent="0.2">
      <c r="G6688" s="889"/>
    </row>
    <row r="6689" spans="7:7" ht="10.5" customHeight="1" x14ac:dyDescent="0.2">
      <c r="G6689" s="889"/>
    </row>
    <row r="6690" spans="7:7" ht="10.5" customHeight="1" x14ac:dyDescent="0.2">
      <c r="G6690" s="889"/>
    </row>
    <row r="6691" spans="7:7" ht="10.5" customHeight="1" x14ac:dyDescent="0.2">
      <c r="G6691" s="889"/>
    </row>
    <row r="6692" spans="7:7" ht="10.5" customHeight="1" x14ac:dyDescent="0.2">
      <c r="G6692" s="889"/>
    </row>
    <row r="6693" spans="7:7" ht="10.5" customHeight="1" x14ac:dyDescent="0.2">
      <c r="G6693" s="889"/>
    </row>
    <row r="6694" spans="7:7" ht="10.5" customHeight="1" x14ac:dyDescent="0.2">
      <c r="G6694" s="889"/>
    </row>
    <row r="6695" spans="7:7" ht="10.5" customHeight="1" x14ac:dyDescent="0.2">
      <c r="G6695" s="889"/>
    </row>
    <row r="6696" spans="7:7" ht="10.5" customHeight="1" x14ac:dyDescent="0.2">
      <c r="G6696" s="889"/>
    </row>
    <row r="6697" spans="7:7" ht="10.5" customHeight="1" x14ac:dyDescent="0.2">
      <c r="G6697" s="889"/>
    </row>
    <row r="6698" spans="7:7" ht="10.5" customHeight="1" x14ac:dyDescent="0.2">
      <c r="G6698" s="889"/>
    </row>
    <row r="6699" spans="7:7" ht="10.5" customHeight="1" x14ac:dyDescent="0.2">
      <c r="G6699" s="889"/>
    </row>
    <row r="6700" spans="7:7" ht="10.5" customHeight="1" x14ac:dyDescent="0.2">
      <c r="G6700" s="889"/>
    </row>
    <row r="6701" spans="7:7" ht="10.5" customHeight="1" x14ac:dyDescent="0.2">
      <c r="G6701" s="889"/>
    </row>
    <row r="6702" spans="7:7" ht="10.5" customHeight="1" x14ac:dyDescent="0.2">
      <c r="G6702" s="889"/>
    </row>
    <row r="6703" spans="7:7" ht="10.5" customHeight="1" x14ac:dyDescent="0.2">
      <c r="G6703" s="889"/>
    </row>
    <row r="6704" spans="7:7" ht="10.5" customHeight="1" x14ac:dyDescent="0.2">
      <c r="G6704" s="889"/>
    </row>
    <row r="6705" spans="7:7" ht="10.5" customHeight="1" x14ac:dyDescent="0.2">
      <c r="G6705" s="889"/>
    </row>
    <row r="6706" spans="7:7" ht="10.5" customHeight="1" x14ac:dyDescent="0.2">
      <c r="G6706" s="889"/>
    </row>
    <row r="6707" spans="7:7" ht="10.5" customHeight="1" x14ac:dyDescent="0.2">
      <c r="G6707" s="889"/>
    </row>
    <row r="6708" spans="7:7" ht="10.5" customHeight="1" x14ac:dyDescent="0.2">
      <c r="G6708" s="889"/>
    </row>
    <row r="6709" spans="7:7" ht="10.5" customHeight="1" x14ac:dyDescent="0.2">
      <c r="G6709" s="889"/>
    </row>
    <row r="6710" spans="7:7" ht="10.5" customHeight="1" x14ac:dyDescent="0.2">
      <c r="G6710" s="889"/>
    </row>
    <row r="6711" spans="7:7" ht="10.5" customHeight="1" x14ac:dyDescent="0.2">
      <c r="G6711" s="889"/>
    </row>
    <row r="6712" spans="7:7" ht="10.5" customHeight="1" x14ac:dyDescent="0.2">
      <c r="G6712" s="889"/>
    </row>
    <row r="6713" spans="7:7" ht="10.5" customHeight="1" x14ac:dyDescent="0.2">
      <c r="G6713" s="889"/>
    </row>
    <row r="6714" spans="7:7" ht="10.5" customHeight="1" x14ac:dyDescent="0.2">
      <c r="G6714" s="889"/>
    </row>
    <row r="6715" spans="7:7" ht="10.5" customHeight="1" x14ac:dyDescent="0.2">
      <c r="G6715" s="889"/>
    </row>
    <row r="6716" spans="7:7" ht="10.5" customHeight="1" x14ac:dyDescent="0.2">
      <c r="G6716" s="889"/>
    </row>
    <row r="6717" spans="7:7" ht="10.5" customHeight="1" x14ac:dyDescent="0.2">
      <c r="G6717" s="889"/>
    </row>
    <row r="6718" spans="7:7" ht="10.5" customHeight="1" x14ac:dyDescent="0.2">
      <c r="G6718" s="889"/>
    </row>
    <row r="6719" spans="7:7" ht="10.5" customHeight="1" x14ac:dyDescent="0.2">
      <c r="G6719" s="889"/>
    </row>
    <row r="6720" spans="7:7" ht="10.5" customHeight="1" x14ac:dyDescent="0.2">
      <c r="G6720" s="889"/>
    </row>
    <row r="6721" spans="7:7" ht="10.5" customHeight="1" x14ac:dyDescent="0.2">
      <c r="G6721" s="889"/>
    </row>
    <row r="6722" spans="7:7" ht="10.5" customHeight="1" x14ac:dyDescent="0.2">
      <c r="G6722" s="889"/>
    </row>
    <row r="6723" spans="7:7" ht="10.5" customHeight="1" x14ac:dyDescent="0.2">
      <c r="G6723" s="889"/>
    </row>
    <row r="6724" spans="7:7" ht="10.5" customHeight="1" x14ac:dyDescent="0.2">
      <c r="G6724" s="889"/>
    </row>
    <row r="6725" spans="7:7" ht="10.5" customHeight="1" x14ac:dyDescent="0.2">
      <c r="G6725" s="889"/>
    </row>
    <row r="6726" spans="7:7" ht="10.5" customHeight="1" x14ac:dyDescent="0.2">
      <c r="G6726" s="889"/>
    </row>
    <row r="6727" spans="7:7" ht="10.5" customHeight="1" x14ac:dyDescent="0.2">
      <c r="G6727" s="889"/>
    </row>
    <row r="6728" spans="7:7" ht="10.5" customHeight="1" x14ac:dyDescent="0.2">
      <c r="G6728" s="889"/>
    </row>
    <row r="6729" spans="7:7" ht="10.5" customHeight="1" x14ac:dyDescent="0.2">
      <c r="G6729" s="889"/>
    </row>
    <row r="6730" spans="7:7" ht="10.5" customHeight="1" x14ac:dyDescent="0.2">
      <c r="G6730" s="889"/>
    </row>
    <row r="6731" spans="7:7" ht="10.5" customHeight="1" x14ac:dyDescent="0.2">
      <c r="G6731" s="889"/>
    </row>
    <row r="6732" spans="7:7" ht="10.5" customHeight="1" x14ac:dyDescent="0.2">
      <c r="G6732" s="889"/>
    </row>
    <row r="6733" spans="7:7" ht="10.5" customHeight="1" x14ac:dyDescent="0.2">
      <c r="G6733" s="889"/>
    </row>
    <row r="6734" spans="7:7" ht="10.5" customHeight="1" x14ac:dyDescent="0.2">
      <c r="G6734" s="889"/>
    </row>
    <row r="6735" spans="7:7" ht="10.5" customHeight="1" x14ac:dyDescent="0.2">
      <c r="G6735" s="889"/>
    </row>
    <row r="6736" spans="7:7" ht="10.5" customHeight="1" x14ac:dyDescent="0.2">
      <c r="G6736" s="889"/>
    </row>
    <row r="6737" spans="7:7" ht="10.5" customHeight="1" x14ac:dyDescent="0.2">
      <c r="G6737" s="889"/>
    </row>
    <row r="6738" spans="7:7" ht="10.5" customHeight="1" x14ac:dyDescent="0.2">
      <c r="G6738" s="889"/>
    </row>
    <row r="6739" spans="7:7" ht="10.5" customHeight="1" x14ac:dyDescent="0.2">
      <c r="G6739" s="889"/>
    </row>
    <row r="6740" spans="7:7" ht="10.5" customHeight="1" x14ac:dyDescent="0.2">
      <c r="G6740" s="889"/>
    </row>
    <row r="6741" spans="7:7" ht="10.5" customHeight="1" x14ac:dyDescent="0.2">
      <c r="G6741" s="889"/>
    </row>
    <row r="6742" spans="7:7" ht="10.5" customHeight="1" x14ac:dyDescent="0.2">
      <c r="G6742" s="889"/>
    </row>
    <row r="6743" spans="7:7" ht="10.5" customHeight="1" x14ac:dyDescent="0.2">
      <c r="G6743" s="889"/>
    </row>
    <row r="6744" spans="7:7" ht="10.5" customHeight="1" x14ac:dyDescent="0.2">
      <c r="G6744" s="889"/>
    </row>
    <row r="6745" spans="7:7" ht="10.5" customHeight="1" x14ac:dyDescent="0.2">
      <c r="G6745" s="889"/>
    </row>
    <row r="6746" spans="7:7" ht="10.5" customHeight="1" x14ac:dyDescent="0.2">
      <c r="G6746" s="889"/>
    </row>
    <row r="6747" spans="7:7" ht="10.5" customHeight="1" x14ac:dyDescent="0.2">
      <c r="G6747" s="889"/>
    </row>
    <row r="6748" spans="7:7" ht="10.5" customHeight="1" x14ac:dyDescent="0.2">
      <c r="G6748" s="889"/>
    </row>
    <row r="6749" spans="7:7" ht="10.5" customHeight="1" x14ac:dyDescent="0.2">
      <c r="G6749" s="889"/>
    </row>
    <row r="6750" spans="7:7" ht="10.5" customHeight="1" x14ac:dyDescent="0.2">
      <c r="G6750" s="889"/>
    </row>
    <row r="6751" spans="7:7" ht="10.5" customHeight="1" x14ac:dyDescent="0.2">
      <c r="G6751" s="889"/>
    </row>
    <row r="6752" spans="7:7" ht="10.5" customHeight="1" x14ac:dyDescent="0.2">
      <c r="G6752" s="889"/>
    </row>
    <row r="6753" spans="7:7" ht="10.5" customHeight="1" x14ac:dyDescent="0.2">
      <c r="G6753" s="889"/>
    </row>
    <row r="6754" spans="7:7" ht="10.5" customHeight="1" x14ac:dyDescent="0.2">
      <c r="G6754" s="889"/>
    </row>
    <row r="6755" spans="7:7" ht="10.5" customHeight="1" x14ac:dyDescent="0.2">
      <c r="G6755" s="889"/>
    </row>
    <row r="6756" spans="7:7" ht="10.5" customHeight="1" x14ac:dyDescent="0.2">
      <c r="G6756" s="889"/>
    </row>
    <row r="6757" spans="7:7" ht="10.5" customHeight="1" x14ac:dyDescent="0.2">
      <c r="G6757" s="889"/>
    </row>
    <row r="6758" spans="7:7" ht="10.5" customHeight="1" x14ac:dyDescent="0.2">
      <c r="G6758" s="889"/>
    </row>
    <row r="6759" spans="7:7" ht="10.5" customHeight="1" x14ac:dyDescent="0.2">
      <c r="G6759" s="889"/>
    </row>
    <row r="6760" spans="7:7" ht="10.5" customHeight="1" x14ac:dyDescent="0.2">
      <c r="G6760" s="889"/>
    </row>
    <row r="6761" spans="7:7" ht="10.5" customHeight="1" x14ac:dyDescent="0.2">
      <c r="G6761" s="889"/>
    </row>
    <row r="6762" spans="7:7" ht="10.5" customHeight="1" x14ac:dyDescent="0.2">
      <c r="G6762" s="889"/>
    </row>
    <row r="6763" spans="7:7" ht="10.5" customHeight="1" x14ac:dyDescent="0.2">
      <c r="G6763" s="889"/>
    </row>
    <row r="6764" spans="7:7" ht="10.5" customHeight="1" x14ac:dyDescent="0.2">
      <c r="G6764" s="889"/>
    </row>
    <row r="6765" spans="7:7" ht="10.5" customHeight="1" x14ac:dyDescent="0.2">
      <c r="G6765" s="889"/>
    </row>
    <row r="6766" spans="7:7" ht="10.5" customHeight="1" x14ac:dyDescent="0.2">
      <c r="G6766" s="889"/>
    </row>
    <row r="6767" spans="7:7" ht="10.5" customHeight="1" x14ac:dyDescent="0.2">
      <c r="G6767" s="889"/>
    </row>
    <row r="6768" spans="7:7" ht="10.5" customHeight="1" x14ac:dyDescent="0.2">
      <c r="G6768" s="889"/>
    </row>
    <row r="6769" spans="7:7" ht="10.5" customHeight="1" x14ac:dyDescent="0.2">
      <c r="G6769" s="889"/>
    </row>
    <row r="6770" spans="7:7" ht="10.5" customHeight="1" x14ac:dyDescent="0.2">
      <c r="G6770" s="889"/>
    </row>
    <row r="6771" spans="7:7" ht="10.5" customHeight="1" x14ac:dyDescent="0.2">
      <c r="G6771" s="889"/>
    </row>
    <row r="6772" spans="7:7" ht="10.5" customHeight="1" x14ac:dyDescent="0.2">
      <c r="G6772" s="889"/>
    </row>
    <row r="6773" spans="7:7" ht="10.5" customHeight="1" x14ac:dyDescent="0.2">
      <c r="G6773" s="889"/>
    </row>
    <row r="6774" spans="7:7" ht="10.5" customHeight="1" x14ac:dyDescent="0.2">
      <c r="G6774" s="889"/>
    </row>
    <row r="6775" spans="7:7" ht="10.5" customHeight="1" x14ac:dyDescent="0.2">
      <c r="G6775" s="889"/>
    </row>
    <row r="6776" spans="7:7" ht="10.5" customHeight="1" x14ac:dyDescent="0.2">
      <c r="G6776" s="889"/>
    </row>
    <row r="6777" spans="7:7" ht="10.5" customHeight="1" x14ac:dyDescent="0.2">
      <c r="G6777" s="889"/>
    </row>
    <row r="6778" spans="7:7" ht="10.5" customHeight="1" x14ac:dyDescent="0.2">
      <c r="G6778" s="889"/>
    </row>
    <row r="6779" spans="7:7" ht="10.5" customHeight="1" x14ac:dyDescent="0.2">
      <c r="G6779" s="889"/>
    </row>
    <row r="6780" spans="7:7" ht="10.5" customHeight="1" x14ac:dyDescent="0.2">
      <c r="G6780" s="889"/>
    </row>
    <row r="6781" spans="7:7" ht="10.5" customHeight="1" x14ac:dyDescent="0.2">
      <c r="G6781" s="889"/>
    </row>
    <row r="6782" spans="7:7" ht="10.5" customHeight="1" x14ac:dyDescent="0.2">
      <c r="G6782" s="889"/>
    </row>
    <row r="6783" spans="7:7" ht="10.5" customHeight="1" x14ac:dyDescent="0.2">
      <c r="G6783" s="889"/>
    </row>
    <row r="6784" spans="7:7" ht="10.5" customHeight="1" x14ac:dyDescent="0.2">
      <c r="G6784" s="889"/>
    </row>
    <row r="6785" spans="7:7" ht="10.5" customHeight="1" x14ac:dyDescent="0.2">
      <c r="G6785" s="889"/>
    </row>
    <row r="6786" spans="7:7" ht="10.5" customHeight="1" x14ac:dyDescent="0.2">
      <c r="G6786" s="889"/>
    </row>
    <row r="6787" spans="7:7" ht="10.5" customHeight="1" x14ac:dyDescent="0.2">
      <c r="G6787" s="889"/>
    </row>
    <row r="6788" spans="7:7" ht="10.5" customHeight="1" x14ac:dyDescent="0.2">
      <c r="G6788" s="889"/>
    </row>
    <row r="6789" spans="7:7" ht="10.5" customHeight="1" x14ac:dyDescent="0.2">
      <c r="G6789" s="889"/>
    </row>
    <row r="6790" spans="7:7" ht="10.5" customHeight="1" x14ac:dyDescent="0.2">
      <c r="G6790" s="889"/>
    </row>
    <row r="6791" spans="7:7" ht="10.5" customHeight="1" x14ac:dyDescent="0.2">
      <c r="G6791" s="889"/>
    </row>
    <row r="6792" spans="7:7" ht="10.5" customHeight="1" x14ac:dyDescent="0.2">
      <c r="G6792" s="889"/>
    </row>
    <row r="6793" spans="7:7" ht="10.5" customHeight="1" x14ac:dyDescent="0.2">
      <c r="G6793" s="889"/>
    </row>
    <row r="6794" spans="7:7" ht="10.5" customHeight="1" x14ac:dyDescent="0.2">
      <c r="G6794" s="889"/>
    </row>
    <row r="6795" spans="7:7" ht="10.5" customHeight="1" x14ac:dyDescent="0.2">
      <c r="G6795" s="889"/>
    </row>
    <row r="6796" spans="7:7" ht="10.5" customHeight="1" x14ac:dyDescent="0.2">
      <c r="G6796" s="889"/>
    </row>
    <row r="6797" spans="7:7" ht="10.5" customHeight="1" x14ac:dyDescent="0.2">
      <c r="G6797" s="889"/>
    </row>
    <row r="6798" spans="7:7" ht="10.5" customHeight="1" x14ac:dyDescent="0.2">
      <c r="G6798" s="889"/>
    </row>
    <row r="6799" spans="7:7" ht="10.5" customHeight="1" x14ac:dyDescent="0.2">
      <c r="G6799" s="889"/>
    </row>
    <row r="6800" spans="7:7" ht="10.5" customHeight="1" x14ac:dyDescent="0.2">
      <c r="G6800" s="889"/>
    </row>
    <row r="6801" spans="7:7" ht="10.5" customHeight="1" x14ac:dyDescent="0.2">
      <c r="G6801" s="889"/>
    </row>
    <row r="6802" spans="7:7" ht="10.5" customHeight="1" x14ac:dyDescent="0.2">
      <c r="G6802" s="889"/>
    </row>
    <row r="6803" spans="7:7" ht="10.5" customHeight="1" x14ac:dyDescent="0.2">
      <c r="G6803" s="889"/>
    </row>
    <row r="6804" spans="7:7" ht="10.5" customHeight="1" x14ac:dyDescent="0.2">
      <c r="G6804" s="889"/>
    </row>
    <row r="6805" spans="7:7" ht="10.5" customHeight="1" x14ac:dyDescent="0.2">
      <c r="G6805" s="889"/>
    </row>
    <row r="6806" spans="7:7" ht="10.5" customHeight="1" x14ac:dyDescent="0.2">
      <c r="G6806" s="889"/>
    </row>
    <row r="6807" spans="7:7" ht="10.5" customHeight="1" x14ac:dyDescent="0.2">
      <c r="G6807" s="889"/>
    </row>
    <row r="6808" spans="7:7" ht="10.5" customHeight="1" x14ac:dyDescent="0.2">
      <c r="G6808" s="889"/>
    </row>
    <row r="6809" spans="7:7" ht="10.5" customHeight="1" x14ac:dyDescent="0.2">
      <c r="G6809" s="889"/>
    </row>
    <row r="6810" spans="7:7" ht="10.5" customHeight="1" x14ac:dyDescent="0.2">
      <c r="G6810" s="889"/>
    </row>
    <row r="6811" spans="7:7" ht="10.5" customHeight="1" x14ac:dyDescent="0.2">
      <c r="G6811" s="889"/>
    </row>
    <row r="6812" spans="7:7" ht="10.5" customHeight="1" x14ac:dyDescent="0.2">
      <c r="G6812" s="889"/>
    </row>
    <row r="6813" spans="7:7" ht="10.5" customHeight="1" x14ac:dyDescent="0.2">
      <c r="G6813" s="889"/>
    </row>
    <row r="6814" spans="7:7" ht="10.5" customHeight="1" x14ac:dyDescent="0.2">
      <c r="G6814" s="889"/>
    </row>
    <row r="6815" spans="7:7" ht="10.5" customHeight="1" x14ac:dyDescent="0.2">
      <c r="G6815" s="889"/>
    </row>
    <row r="6816" spans="7:7" ht="10.5" customHeight="1" x14ac:dyDescent="0.2">
      <c r="G6816" s="889"/>
    </row>
    <row r="6817" spans="7:7" ht="10.5" customHeight="1" x14ac:dyDescent="0.2">
      <c r="G6817" s="889"/>
    </row>
    <row r="6818" spans="7:7" ht="10.5" customHeight="1" x14ac:dyDescent="0.2">
      <c r="G6818" s="889"/>
    </row>
    <row r="6819" spans="7:7" ht="10.5" customHeight="1" x14ac:dyDescent="0.2">
      <c r="G6819" s="889"/>
    </row>
    <row r="6820" spans="7:7" ht="10.5" customHeight="1" x14ac:dyDescent="0.2">
      <c r="G6820" s="889"/>
    </row>
    <row r="6821" spans="7:7" ht="10.5" customHeight="1" x14ac:dyDescent="0.2">
      <c r="G6821" s="889"/>
    </row>
    <row r="6822" spans="7:7" ht="10.5" customHeight="1" x14ac:dyDescent="0.2">
      <c r="G6822" s="889"/>
    </row>
    <row r="6823" spans="7:7" ht="10.5" customHeight="1" x14ac:dyDescent="0.2">
      <c r="G6823" s="889"/>
    </row>
    <row r="6824" spans="7:7" ht="10.5" customHeight="1" x14ac:dyDescent="0.2">
      <c r="G6824" s="889"/>
    </row>
    <row r="6825" spans="7:7" ht="10.5" customHeight="1" x14ac:dyDescent="0.2">
      <c r="G6825" s="889"/>
    </row>
    <row r="6826" spans="7:7" ht="10.5" customHeight="1" x14ac:dyDescent="0.2">
      <c r="G6826" s="889"/>
    </row>
    <row r="6827" spans="7:7" ht="10.5" customHeight="1" x14ac:dyDescent="0.2">
      <c r="G6827" s="889"/>
    </row>
    <row r="6828" spans="7:7" ht="10.5" customHeight="1" x14ac:dyDescent="0.2">
      <c r="G6828" s="889"/>
    </row>
    <row r="6829" spans="7:7" ht="10.5" customHeight="1" x14ac:dyDescent="0.2">
      <c r="G6829" s="889"/>
    </row>
    <row r="6830" spans="7:7" ht="10.5" customHeight="1" x14ac:dyDescent="0.2">
      <c r="G6830" s="889"/>
    </row>
    <row r="6831" spans="7:7" ht="10.5" customHeight="1" x14ac:dyDescent="0.2">
      <c r="G6831" s="889"/>
    </row>
    <row r="6832" spans="7:7" ht="10.5" customHeight="1" x14ac:dyDescent="0.2">
      <c r="G6832" s="889"/>
    </row>
    <row r="6833" spans="7:7" ht="10.5" customHeight="1" x14ac:dyDescent="0.2">
      <c r="G6833" s="889"/>
    </row>
    <row r="6834" spans="7:7" ht="10.5" customHeight="1" x14ac:dyDescent="0.2">
      <c r="G6834" s="889"/>
    </row>
    <row r="6835" spans="7:7" ht="10.5" customHeight="1" x14ac:dyDescent="0.2">
      <c r="G6835" s="889"/>
    </row>
    <row r="6836" spans="7:7" ht="10.5" customHeight="1" x14ac:dyDescent="0.2">
      <c r="G6836" s="889"/>
    </row>
    <row r="6837" spans="7:7" ht="10.5" customHeight="1" x14ac:dyDescent="0.2">
      <c r="G6837" s="889"/>
    </row>
    <row r="6838" spans="7:7" ht="10.5" customHeight="1" x14ac:dyDescent="0.2">
      <c r="G6838" s="889"/>
    </row>
    <row r="6839" spans="7:7" ht="10.5" customHeight="1" x14ac:dyDescent="0.2">
      <c r="G6839" s="889"/>
    </row>
    <row r="6840" spans="7:7" ht="10.5" customHeight="1" x14ac:dyDescent="0.2">
      <c r="G6840" s="889"/>
    </row>
    <row r="6841" spans="7:7" ht="10.5" customHeight="1" x14ac:dyDescent="0.2">
      <c r="G6841" s="889"/>
    </row>
    <row r="6842" spans="7:7" ht="10.5" customHeight="1" x14ac:dyDescent="0.2">
      <c r="G6842" s="889"/>
    </row>
    <row r="6843" spans="7:7" ht="10.5" customHeight="1" x14ac:dyDescent="0.2">
      <c r="G6843" s="889"/>
    </row>
    <row r="6844" spans="7:7" ht="10.5" customHeight="1" x14ac:dyDescent="0.2">
      <c r="G6844" s="889"/>
    </row>
    <row r="6845" spans="7:7" ht="10.5" customHeight="1" x14ac:dyDescent="0.2">
      <c r="G6845" s="889"/>
    </row>
    <row r="6846" spans="7:7" ht="10.5" customHeight="1" x14ac:dyDescent="0.2">
      <c r="G6846" s="889"/>
    </row>
    <row r="6847" spans="7:7" ht="10.5" customHeight="1" x14ac:dyDescent="0.2">
      <c r="G6847" s="889"/>
    </row>
    <row r="6848" spans="7:7" ht="10.5" customHeight="1" x14ac:dyDescent="0.2">
      <c r="G6848" s="889"/>
    </row>
    <row r="6849" spans="7:7" ht="10.5" customHeight="1" x14ac:dyDescent="0.2">
      <c r="G6849" s="889"/>
    </row>
    <row r="6850" spans="7:7" ht="10.5" customHeight="1" x14ac:dyDescent="0.2">
      <c r="G6850" s="889"/>
    </row>
    <row r="6851" spans="7:7" ht="10.5" customHeight="1" x14ac:dyDescent="0.2">
      <c r="G6851" s="889"/>
    </row>
    <row r="6852" spans="7:7" ht="10.5" customHeight="1" x14ac:dyDescent="0.2">
      <c r="G6852" s="889"/>
    </row>
    <row r="6853" spans="7:7" ht="10.5" customHeight="1" x14ac:dyDescent="0.2">
      <c r="G6853" s="889"/>
    </row>
    <row r="6854" spans="7:7" ht="10.5" customHeight="1" x14ac:dyDescent="0.2">
      <c r="G6854" s="889"/>
    </row>
    <row r="6855" spans="7:7" ht="10.5" customHeight="1" x14ac:dyDescent="0.2">
      <c r="G6855" s="889"/>
    </row>
    <row r="6856" spans="7:7" ht="10.5" customHeight="1" x14ac:dyDescent="0.2">
      <c r="G6856" s="889"/>
    </row>
    <row r="6857" spans="7:7" ht="10.5" customHeight="1" x14ac:dyDescent="0.2">
      <c r="G6857" s="889"/>
    </row>
    <row r="6858" spans="7:7" ht="10.5" customHeight="1" x14ac:dyDescent="0.2">
      <c r="G6858" s="889"/>
    </row>
    <row r="6859" spans="7:7" ht="10.5" customHeight="1" x14ac:dyDescent="0.2">
      <c r="G6859" s="889"/>
    </row>
    <row r="6860" spans="7:7" ht="10.5" customHeight="1" x14ac:dyDescent="0.2">
      <c r="G6860" s="889"/>
    </row>
    <row r="6861" spans="7:7" ht="10.5" customHeight="1" x14ac:dyDescent="0.2">
      <c r="G6861" s="889"/>
    </row>
    <row r="6862" spans="7:7" ht="10.5" customHeight="1" x14ac:dyDescent="0.2">
      <c r="G6862" s="889"/>
    </row>
    <row r="6863" spans="7:7" ht="10.5" customHeight="1" x14ac:dyDescent="0.2">
      <c r="G6863" s="889"/>
    </row>
    <row r="6864" spans="7:7" ht="10.5" customHeight="1" x14ac:dyDescent="0.2">
      <c r="G6864" s="889"/>
    </row>
    <row r="6865" spans="7:7" ht="10.5" customHeight="1" x14ac:dyDescent="0.2">
      <c r="G6865" s="889"/>
    </row>
    <row r="6866" spans="7:7" ht="10.5" customHeight="1" x14ac:dyDescent="0.2">
      <c r="G6866" s="889"/>
    </row>
    <row r="6867" spans="7:7" ht="10.5" customHeight="1" x14ac:dyDescent="0.2">
      <c r="G6867" s="889"/>
    </row>
    <row r="6868" spans="7:7" ht="10.5" customHeight="1" x14ac:dyDescent="0.2">
      <c r="G6868" s="889"/>
    </row>
    <row r="6869" spans="7:7" ht="10.5" customHeight="1" x14ac:dyDescent="0.2">
      <c r="G6869" s="889"/>
    </row>
    <row r="6870" spans="7:7" ht="10.5" customHeight="1" x14ac:dyDescent="0.2">
      <c r="G6870" s="889"/>
    </row>
    <row r="6871" spans="7:7" ht="10.5" customHeight="1" x14ac:dyDescent="0.2">
      <c r="G6871" s="889"/>
    </row>
    <row r="6872" spans="7:7" ht="10.5" customHeight="1" x14ac:dyDescent="0.2">
      <c r="G6872" s="889"/>
    </row>
    <row r="6873" spans="7:7" ht="10.5" customHeight="1" x14ac:dyDescent="0.2">
      <c r="G6873" s="889"/>
    </row>
    <row r="6874" spans="7:7" ht="10.5" customHeight="1" x14ac:dyDescent="0.2">
      <c r="G6874" s="889"/>
    </row>
    <row r="6875" spans="7:7" ht="10.5" customHeight="1" x14ac:dyDescent="0.2">
      <c r="G6875" s="889"/>
    </row>
    <row r="6876" spans="7:7" ht="10.5" customHeight="1" x14ac:dyDescent="0.2">
      <c r="G6876" s="889"/>
    </row>
    <row r="6877" spans="7:7" ht="10.5" customHeight="1" x14ac:dyDescent="0.2">
      <c r="G6877" s="889"/>
    </row>
    <row r="6878" spans="7:7" ht="10.5" customHeight="1" x14ac:dyDescent="0.2">
      <c r="G6878" s="889"/>
    </row>
    <row r="6879" spans="7:7" ht="10.5" customHeight="1" x14ac:dyDescent="0.2">
      <c r="G6879" s="889"/>
    </row>
    <row r="6880" spans="7:7" ht="10.5" customHeight="1" x14ac:dyDescent="0.2">
      <c r="G6880" s="889"/>
    </row>
    <row r="6881" spans="7:7" ht="10.5" customHeight="1" x14ac:dyDescent="0.2">
      <c r="G6881" s="889"/>
    </row>
    <row r="6882" spans="7:7" ht="10.5" customHeight="1" x14ac:dyDescent="0.2">
      <c r="G6882" s="889"/>
    </row>
    <row r="6883" spans="7:7" ht="10.5" customHeight="1" x14ac:dyDescent="0.2">
      <c r="G6883" s="889"/>
    </row>
    <row r="6884" spans="7:7" ht="10.5" customHeight="1" x14ac:dyDescent="0.2">
      <c r="G6884" s="889"/>
    </row>
    <row r="6885" spans="7:7" ht="10.5" customHeight="1" x14ac:dyDescent="0.2">
      <c r="G6885" s="889"/>
    </row>
    <row r="6886" spans="7:7" ht="10.5" customHeight="1" x14ac:dyDescent="0.2">
      <c r="G6886" s="889"/>
    </row>
    <row r="6887" spans="7:7" ht="10.5" customHeight="1" x14ac:dyDescent="0.2">
      <c r="G6887" s="889"/>
    </row>
    <row r="6888" spans="7:7" ht="10.5" customHeight="1" x14ac:dyDescent="0.2">
      <c r="G6888" s="889"/>
    </row>
    <row r="6889" spans="7:7" ht="10.5" customHeight="1" x14ac:dyDescent="0.2">
      <c r="G6889" s="889"/>
    </row>
    <row r="6890" spans="7:7" ht="10.5" customHeight="1" x14ac:dyDescent="0.2">
      <c r="G6890" s="889"/>
    </row>
    <row r="6891" spans="7:7" ht="10.5" customHeight="1" x14ac:dyDescent="0.2">
      <c r="G6891" s="889"/>
    </row>
    <row r="6892" spans="7:7" ht="10.5" customHeight="1" x14ac:dyDescent="0.2">
      <c r="G6892" s="889"/>
    </row>
    <row r="6893" spans="7:7" ht="10.5" customHeight="1" x14ac:dyDescent="0.2">
      <c r="G6893" s="889"/>
    </row>
    <row r="6894" spans="7:7" ht="10.5" customHeight="1" x14ac:dyDescent="0.2">
      <c r="G6894" s="889"/>
    </row>
    <row r="6895" spans="7:7" ht="10.5" customHeight="1" x14ac:dyDescent="0.2">
      <c r="G6895" s="889"/>
    </row>
    <row r="6896" spans="7:7" ht="10.5" customHeight="1" x14ac:dyDescent="0.2">
      <c r="G6896" s="889"/>
    </row>
    <row r="6897" spans="7:7" ht="10.5" customHeight="1" x14ac:dyDescent="0.2">
      <c r="G6897" s="889"/>
    </row>
    <row r="6898" spans="7:7" ht="10.5" customHeight="1" x14ac:dyDescent="0.2">
      <c r="G6898" s="889"/>
    </row>
    <row r="6899" spans="7:7" ht="10.5" customHeight="1" x14ac:dyDescent="0.2">
      <c r="G6899" s="889"/>
    </row>
    <row r="6900" spans="7:7" ht="10.5" customHeight="1" x14ac:dyDescent="0.2">
      <c r="G6900" s="889"/>
    </row>
    <row r="6901" spans="7:7" ht="10.5" customHeight="1" x14ac:dyDescent="0.2">
      <c r="G6901" s="889"/>
    </row>
    <row r="6902" spans="7:7" ht="10.5" customHeight="1" x14ac:dyDescent="0.2">
      <c r="G6902" s="889"/>
    </row>
    <row r="6903" spans="7:7" ht="10.5" customHeight="1" x14ac:dyDescent="0.2">
      <c r="G6903" s="889"/>
    </row>
    <row r="6904" spans="7:7" ht="10.5" customHeight="1" x14ac:dyDescent="0.2">
      <c r="G6904" s="889"/>
    </row>
    <row r="6905" spans="7:7" ht="10.5" customHeight="1" x14ac:dyDescent="0.2">
      <c r="G6905" s="889"/>
    </row>
    <row r="6906" spans="7:7" ht="10.5" customHeight="1" x14ac:dyDescent="0.2">
      <c r="G6906" s="889"/>
    </row>
    <row r="6907" spans="7:7" ht="10.5" customHeight="1" x14ac:dyDescent="0.2">
      <c r="G6907" s="889"/>
    </row>
    <row r="6908" spans="7:7" ht="10.5" customHeight="1" x14ac:dyDescent="0.2">
      <c r="G6908" s="889"/>
    </row>
    <row r="6909" spans="7:7" ht="10.5" customHeight="1" x14ac:dyDescent="0.2">
      <c r="G6909" s="889"/>
    </row>
    <row r="6910" spans="7:7" ht="10.5" customHeight="1" x14ac:dyDescent="0.2">
      <c r="G6910" s="889"/>
    </row>
    <row r="6911" spans="7:7" ht="10.5" customHeight="1" x14ac:dyDescent="0.2">
      <c r="G6911" s="889"/>
    </row>
    <row r="6912" spans="7:7" ht="10.5" customHeight="1" x14ac:dyDescent="0.2">
      <c r="G6912" s="889"/>
    </row>
    <row r="6913" spans="7:7" ht="10.5" customHeight="1" x14ac:dyDescent="0.2">
      <c r="G6913" s="889"/>
    </row>
    <row r="6914" spans="7:7" ht="10.5" customHeight="1" x14ac:dyDescent="0.2">
      <c r="G6914" s="889"/>
    </row>
    <row r="6915" spans="7:7" ht="10.5" customHeight="1" x14ac:dyDescent="0.2">
      <c r="G6915" s="889"/>
    </row>
    <row r="6916" spans="7:7" ht="10.5" customHeight="1" x14ac:dyDescent="0.2">
      <c r="G6916" s="889"/>
    </row>
    <row r="6917" spans="7:7" ht="10.5" customHeight="1" x14ac:dyDescent="0.2">
      <c r="G6917" s="889"/>
    </row>
    <row r="6918" spans="7:7" ht="10.5" customHeight="1" x14ac:dyDescent="0.2">
      <c r="G6918" s="889"/>
    </row>
    <row r="6919" spans="7:7" ht="10.5" customHeight="1" x14ac:dyDescent="0.2">
      <c r="G6919" s="889"/>
    </row>
    <row r="6920" spans="7:7" ht="10.5" customHeight="1" x14ac:dyDescent="0.2">
      <c r="G6920" s="889"/>
    </row>
    <row r="6921" spans="7:7" ht="10.5" customHeight="1" x14ac:dyDescent="0.2">
      <c r="G6921" s="889"/>
    </row>
    <row r="6922" spans="7:7" ht="10.5" customHeight="1" x14ac:dyDescent="0.2">
      <c r="G6922" s="889"/>
    </row>
    <row r="6923" spans="7:7" ht="10.5" customHeight="1" x14ac:dyDescent="0.2">
      <c r="G6923" s="889"/>
    </row>
    <row r="6924" spans="7:7" ht="10.5" customHeight="1" x14ac:dyDescent="0.2">
      <c r="G6924" s="889"/>
    </row>
    <row r="6925" spans="7:7" ht="10.5" customHeight="1" x14ac:dyDescent="0.2">
      <c r="G6925" s="889"/>
    </row>
    <row r="6926" spans="7:7" ht="10.5" customHeight="1" x14ac:dyDescent="0.2">
      <c r="G6926" s="889"/>
    </row>
    <row r="6927" spans="7:7" ht="10.5" customHeight="1" x14ac:dyDescent="0.2">
      <c r="G6927" s="889"/>
    </row>
    <row r="6928" spans="7:7" ht="10.5" customHeight="1" x14ac:dyDescent="0.2">
      <c r="G6928" s="889"/>
    </row>
    <row r="6929" spans="7:7" ht="10.5" customHeight="1" x14ac:dyDescent="0.2">
      <c r="G6929" s="889"/>
    </row>
    <row r="6930" spans="7:7" ht="10.5" customHeight="1" x14ac:dyDescent="0.2">
      <c r="G6930" s="889"/>
    </row>
    <row r="6931" spans="7:7" ht="10.5" customHeight="1" x14ac:dyDescent="0.2">
      <c r="G6931" s="889"/>
    </row>
    <row r="6932" spans="7:7" ht="10.5" customHeight="1" x14ac:dyDescent="0.2">
      <c r="G6932" s="889"/>
    </row>
    <row r="6933" spans="7:7" ht="10.5" customHeight="1" x14ac:dyDescent="0.2">
      <c r="G6933" s="889"/>
    </row>
    <row r="6934" spans="7:7" ht="10.5" customHeight="1" x14ac:dyDescent="0.2">
      <c r="G6934" s="889"/>
    </row>
    <row r="6935" spans="7:7" ht="10.5" customHeight="1" x14ac:dyDescent="0.2">
      <c r="G6935" s="889"/>
    </row>
    <row r="6936" spans="7:7" ht="10.5" customHeight="1" x14ac:dyDescent="0.2">
      <c r="G6936" s="889"/>
    </row>
    <row r="6937" spans="7:7" ht="10.5" customHeight="1" x14ac:dyDescent="0.2">
      <c r="G6937" s="889"/>
    </row>
    <row r="6938" spans="7:7" ht="10.5" customHeight="1" x14ac:dyDescent="0.2">
      <c r="G6938" s="889"/>
    </row>
    <row r="6939" spans="7:7" ht="10.5" customHeight="1" x14ac:dyDescent="0.2">
      <c r="G6939" s="889"/>
    </row>
    <row r="6940" spans="7:7" ht="10.5" customHeight="1" x14ac:dyDescent="0.2">
      <c r="G6940" s="889"/>
    </row>
    <row r="6941" spans="7:7" ht="10.5" customHeight="1" x14ac:dyDescent="0.2">
      <c r="G6941" s="889"/>
    </row>
    <row r="6942" spans="7:7" ht="10.5" customHeight="1" x14ac:dyDescent="0.2">
      <c r="G6942" s="889"/>
    </row>
    <row r="6943" spans="7:7" ht="10.5" customHeight="1" x14ac:dyDescent="0.2">
      <c r="G6943" s="889"/>
    </row>
    <row r="6944" spans="7:7" ht="10.5" customHeight="1" x14ac:dyDescent="0.2">
      <c r="G6944" s="889"/>
    </row>
    <row r="6945" spans="7:7" ht="10.5" customHeight="1" x14ac:dyDescent="0.2">
      <c r="G6945" s="889"/>
    </row>
    <row r="6946" spans="7:7" ht="10.5" customHeight="1" x14ac:dyDescent="0.2">
      <c r="G6946" s="889"/>
    </row>
    <row r="6947" spans="7:7" ht="10.5" customHeight="1" x14ac:dyDescent="0.2">
      <c r="G6947" s="889"/>
    </row>
    <row r="6948" spans="7:7" ht="10.5" customHeight="1" x14ac:dyDescent="0.2">
      <c r="G6948" s="889"/>
    </row>
    <row r="6949" spans="7:7" ht="10.5" customHeight="1" x14ac:dyDescent="0.2">
      <c r="G6949" s="889"/>
    </row>
    <row r="6950" spans="7:7" ht="10.5" customHeight="1" x14ac:dyDescent="0.2">
      <c r="G6950" s="889"/>
    </row>
    <row r="6951" spans="7:7" ht="10.5" customHeight="1" x14ac:dyDescent="0.2">
      <c r="G6951" s="889"/>
    </row>
    <row r="6952" spans="7:7" ht="10.5" customHeight="1" x14ac:dyDescent="0.2">
      <c r="G6952" s="889"/>
    </row>
    <row r="6953" spans="7:7" ht="10.5" customHeight="1" x14ac:dyDescent="0.2">
      <c r="G6953" s="889"/>
    </row>
    <row r="6954" spans="7:7" ht="10.5" customHeight="1" x14ac:dyDescent="0.2">
      <c r="G6954" s="889"/>
    </row>
    <row r="6955" spans="7:7" ht="10.5" customHeight="1" x14ac:dyDescent="0.2">
      <c r="G6955" s="889"/>
    </row>
    <row r="6956" spans="7:7" ht="10.5" customHeight="1" x14ac:dyDescent="0.2">
      <c r="G6956" s="889"/>
    </row>
    <row r="6957" spans="7:7" ht="10.5" customHeight="1" x14ac:dyDescent="0.2">
      <c r="G6957" s="889"/>
    </row>
    <row r="6958" spans="7:7" ht="10.5" customHeight="1" x14ac:dyDescent="0.2">
      <c r="G6958" s="889"/>
    </row>
    <row r="6959" spans="7:7" ht="10.5" customHeight="1" x14ac:dyDescent="0.2">
      <c r="G6959" s="889"/>
    </row>
    <row r="6960" spans="7:7" ht="10.5" customHeight="1" x14ac:dyDescent="0.2">
      <c r="G6960" s="889"/>
    </row>
    <row r="6961" spans="7:7" ht="10.5" customHeight="1" x14ac:dyDescent="0.2">
      <c r="G6961" s="889"/>
    </row>
    <row r="6962" spans="7:7" ht="10.5" customHeight="1" x14ac:dyDescent="0.2">
      <c r="G6962" s="889"/>
    </row>
    <row r="6963" spans="7:7" ht="10.5" customHeight="1" x14ac:dyDescent="0.2">
      <c r="G6963" s="889"/>
    </row>
    <row r="6964" spans="7:7" ht="10.5" customHeight="1" x14ac:dyDescent="0.2">
      <c r="G6964" s="889"/>
    </row>
    <row r="6965" spans="7:7" ht="10.5" customHeight="1" x14ac:dyDescent="0.2">
      <c r="G6965" s="889"/>
    </row>
    <row r="6966" spans="7:7" ht="10.5" customHeight="1" x14ac:dyDescent="0.2">
      <c r="G6966" s="889"/>
    </row>
    <row r="6967" spans="7:7" ht="10.5" customHeight="1" x14ac:dyDescent="0.2">
      <c r="G6967" s="889"/>
    </row>
    <row r="6968" spans="7:7" ht="10.5" customHeight="1" x14ac:dyDescent="0.2">
      <c r="G6968" s="889"/>
    </row>
    <row r="6969" spans="7:7" ht="10.5" customHeight="1" x14ac:dyDescent="0.2">
      <c r="G6969" s="889"/>
    </row>
    <row r="6970" spans="7:7" ht="10.5" customHeight="1" x14ac:dyDescent="0.2">
      <c r="G6970" s="889"/>
    </row>
    <row r="6971" spans="7:7" ht="10.5" customHeight="1" x14ac:dyDescent="0.2">
      <c r="G6971" s="889"/>
    </row>
    <row r="6972" spans="7:7" ht="10.5" customHeight="1" x14ac:dyDescent="0.2">
      <c r="G6972" s="889"/>
    </row>
    <row r="6973" spans="7:7" ht="10.5" customHeight="1" x14ac:dyDescent="0.2">
      <c r="G6973" s="889"/>
    </row>
    <row r="6974" spans="7:7" ht="10.5" customHeight="1" x14ac:dyDescent="0.2">
      <c r="G6974" s="889"/>
    </row>
    <row r="6975" spans="7:7" ht="10.5" customHeight="1" x14ac:dyDescent="0.2">
      <c r="G6975" s="889"/>
    </row>
    <row r="6976" spans="7:7" ht="10.5" customHeight="1" x14ac:dyDescent="0.2">
      <c r="G6976" s="889"/>
    </row>
    <row r="6977" spans="7:7" ht="10.5" customHeight="1" x14ac:dyDescent="0.2">
      <c r="G6977" s="889"/>
    </row>
    <row r="6978" spans="7:7" ht="10.5" customHeight="1" x14ac:dyDescent="0.2">
      <c r="G6978" s="889"/>
    </row>
    <row r="6979" spans="7:7" ht="10.5" customHeight="1" x14ac:dyDescent="0.2">
      <c r="G6979" s="889"/>
    </row>
    <row r="6980" spans="7:7" ht="10.5" customHeight="1" x14ac:dyDescent="0.2">
      <c r="G6980" s="889"/>
    </row>
    <row r="6981" spans="7:7" ht="10.5" customHeight="1" x14ac:dyDescent="0.2">
      <c r="G6981" s="889"/>
    </row>
    <row r="6982" spans="7:7" ht="10.5" customHeight="1" x14ac:dyDescent="0.2">
      <c r="G6982" s="889"/>
    </row>
    <row r="6983" spans="7:7" ht="10.5" customHeight="1" x14ac:dyDescent="0.2">
      <c r="G6983" s="889"/>
    </row>
    <row r="6984" spans="7:7" ht="10.5" customHeight="1" x14ac:dyDescent="0.2">
      <c r="G6984" s="889"/>
    </row>
    <row r="6985" spans="7:7" ht="10.5" customHeight="1" x14ac:dyDescent="0.2">
      <c r="G6985" s="889"/>
    </row>
    <row r="6986" spans="7:7" ht="10.5" customHeight="1" x14ac:dyDescent="0.2">
      <c r="G6986" s="889"/>
    </row>
    <row r="6987" spans="7:7" ht="10.5" customHeight="1" x14ac:dyDescent="0.2">
      <c r="G6987" s="889"/>
    </row>
    <row r="6988" spans="7:7" ht="10.5" customHeight="1" x14ac:dyDescent="0.2">
      <c r="G6988" s="889"/>
    </row>
    <row r="6989" spans="7:7" ht="10.5" customHeight="1" x14ac:dyDescent="0.2">
      <c r="G6989" s="889"/>
    </row>
    <row r="6990" spans="7:7" ht="10.5" customHeight="1" x14ac:dyDescent="0.2">
      <c r="G6990" s="889"/>
    </row>
    <row r="6991" spans="7:7" ht="10.5" customHeight="1" x14ac:dyDescent="0.2">
      <c r="G6991" s="889"/>
    </row>
    <row r="6992" spans="7:7" ht="10.5" customHeight="1" x14ac:dyDescent="0.2">
      <c r="G6992" s="889"/>
    </row>
    <row r="6993" spans="7:7" ht="10.5" customHeight="1" x14ac:dyDescent="0.2">
      <c r="G6993" s="889"/>
    </row>
    <row r="6994" spans="7:7" ht="10.5" customHeight="1" x14ac:dyDescent="0.2">
      <c r="G6994" s="889"/>
    </row>
    <row r="6995" spans="7:7" ht="10.5" customHeight="1" x14ac:dyDescent="0.2">
      <c r="G6995" s="889"/>
    </row>
    <row r="6996" spans="7:7" ht="10.5" customHeight="1" x14ac:dyDescent="0.2">
      <c r="G6996" s="889"/>
    </row>
    <row r="6997" spans="7:7" ht="10.5" customHeight="1" x14ac:dyDescent="0.2">
      <c r="G6997" s="889"/>
    </row>
    <row r="6998" spans="7:7" ht="10.5" customHeight="1" x14ac:dyDescent="0.2">
      <c r="G6998" s="889"/>
    </row>
    <row r="6999" spans="7:7" ht="10.5" customHeight="1" x14ac:dyDescent="0.2">
      <c r="G6999" s="889"/>
    </row>
    <row r="7000" spans="7:7" ht="10.5" customHeight="1" x14ac:dyDescent="0.2">
      <c r="G7000" s="889"/>
    </row>
    <row r="7001" spans="7:7" ht="10.5" customHeight="1" x14ac:dyDescent="0.2">
      <c r="G7001" s="889"/>
    </row>
    <row r="7002" spans="7:7" ht="10.5" customHeight="1" x14ac:dyDescent="0.2">
      <c r="G7002" s="889"/>
    </row>
    <row r="7003" spans="7:7" ht="10.5" customHeight="1" x14ac:dyDescent="0.2">
      <c r="G7003" s="889"/>
    </row>
    <row r="7004" spans="7:7" ht="10.5" customHeight="1" x14ac:dyDescent="0.2">
      <c r="G7004" s="889"/>
    </row>
    <row r="7005" spans="7:7" ht="10.5" customHeight="1" x14ac:dyDescent="0.2">
      <c r="G7005" s="889"/>
    </row>
    <row r="7006" spans="7:7" ht="10.5" customHeight="1" x14ac:dyDescent="0.2">
      <c r="G7006" s="889"/>
    </row>
    <row r="7007" spans="7:7" ht="10.5" customHeight="1" x14ac:dyDescent="0.2">
      <c r="G7007" s="889"/>
    </row>
    <row r="7008" spans="7:7" ht="10.5" customHeight="1" x14ac:dyDescent="0.2">
      <c r="G7008" s="889"/>
    </row>
    <row r="7009" spans="7:7" ht="10.5" customHeight="1" x14ac:dyDescent="0.2">
      <c r="G7009" s="889"/>
    </row>
    <row r="7010" spans="7:7" ht="10.5" customHeight="1" x14ac:dyDescent="0.2">
      <c r="G7010" s="889"/>
    </row>
    <row r="7011" spans="7:7" ht="10.5" customHeight="1" x14ac:dyDescent="0.2">
      <c r="G7011" s="889"/>
    </row>
    <row r="7012" spans="7:7" ht="10.5" customHeight="1" x14ac:dyDescent="0.2">
      <c r="G7012" s="889"/>
    </row>
    <row r="7013" spans="7:7" ht="10.5" customHeight="1" x14ac:dyDescent="0.2">
      <c r="G7013" s="889"/>
    </row>
    <row r="7014" spans="7:7" ht="10.5" customHeight="1" x14ac:dyDescent="0.2">
      <c r="G7014" s="889"/>
    </row>
    <row r="7015" spans="7:7" ht="10.5" customHeight="1" x14ac:dyDescent="0.2">
      <c r="G7015" s="889"/>
    </row>
    <row r="7016" spans="7:7" ht="10.5" customHeight="1" x14ac:dyDescent="0.2">
      <c r="G7016" s="889"/>
    </row>
    <row r="7017" spans="7:7" ht="10.5" customHeight="1" x14ac:dyDescent="0.2">
      <c r="G7017" s="889"/>
    </row>
    <row r="7018" spans="7:7" ht="10.5" customHeight="1" x14ac:dyDescent="0.2">
      <c r="G7018" s="889"/>
    </row>
    <row r="7019" spans="7:7" ht="10.5" customHeight="1" x14ac:dyDescent="0.2">
      <c r="G7019" s="889"/>
    </row>
    <row r="7020" spans="7:7" ht="10.5" customHeight="1" x14ac:dyDescent="0.2">
      <c r="G7020" s="889"/>
    </row>
    <row r="7021" spans="7:7" ht="10.5" customHeight="1" x14ac:dyDescent="0.2">
      <c r="G7021" s="889"/>
    </row>
    <row r="7022" spans="7:7" ht="10.5" customHeight="1" x14ac:dyDescent="0.2">
      <c r="G7022" s="889"/>
    </row>
    <row r="7023" spans="7:7" ht="10.5" customHeight="1" x14ac:dyDescent="0.2">
      <c r="G7023" s="889"/>
    </row>
    <row r="7024" spans="7:7" ht="10.5" customHeight="1" x14ac:dyDescent="0.2">
      <c r="G7024" s="889"/>
    </row>
    <row r="7025" spans="7:7" ht="10.5" customHeight="1" x14ac:dyDescent="0.2">
      <c r="G7025" s="889"/>
    </row>
    <row r="7026" spans="7:7" ht="10.5" customHeight="1" x14ac:dyDescent="0.2">
      <c r="G7026" s="889"/>
    </row>
    <row r="7027" spans="7:7" ht="10.5" customHeight="1" x14ac:dyDescent="0.2">
      <c r="G7027" s="889"/>
    </row>
    <row r="7028" spans="7:7" ht="10.5" customHeight="1" x14ac:dyDescent="0.2">
      <c r="G7028" s="889"/>
    </row>
    <row r="7029" spans="7:7" ht="10.5" customHeight="1" x14ac:dyDescent="0.2">
      <c r="G7029" s="889"/>
    </row>
    <row r="7030" spans="7:7" ht="10.5" customHeight="1" x14ac:dyDescent="0.2">
      <c r="G7030" s="889"/>
    </row>
    <row r="7031" spans="7:7" ht="10.5" customHeight="1" x14ac:dyDescent="0.2">
      <c r="G7031" s="889"/>
    </row>
    <row r="7032" spans="7:7" ht="10.5" customHeight="1" x14ac:dyDescent="0.2">
      <c r="G7032" s="889"/>
    </row>
    <row r="7033" spans="7:7" ht="10.5" customHeight="1" x14ac:dyDescent="0.2">
      <c r="G7033" s="889"/>
    </row>
    <row r="7034" spans="7:7" ht="10.5" customHeight="1" x14ac:dyDescent="0.2">
      <c r="G7034" s="889"/>
    </row>
    <row r="7035" spans="7:7" ht="10.5" customHeight="1" x14ac:dyDescent="0.2">
      <c r="G7035" s="889"/>
    </row>
    <row r="7036" spans="7:7" ht="10.5" customHeight="1" x14ac:dyDescent="0.2">
      <c r="G7036" s="889"/>
    </row>
    <row r="7037" spans="7:7" ht="10.5" customHeight="1" x14ac:dyDescent="0.2">
      <c r="G7037" s="889"/>
    </row>
    <row r="7038" spans="7:7" ht="10.5" customHeight="1" x14ac:dyDescent="0.2">
      <c r="G7038" s="889"/>
    </row>
    <row r="7039" spans="7:7" ht="10.5" customHeight="1" x14ac:dyDescent="0.2">
      <c r="G7039" s="889"/>
    </row>
    <row r="7040" spans="7:7" ht="10.5" customHeight="1" x14ac:dyDescent="0.2">
      <c r="G7040" s="889"/>
    </row>
    <row r="7041" spans="7:7" ht="10.5" customHeight="1" x14ac:dyDescent="0.2">
      <c r="G7041" s="889"/>
    </row>
    <row r="7042" spans="7:7" ht="10.5" customHeight="1" x14ac:dyDescent="0.2">
      <c r="G7042" s="889"/>
    </row>
    <row r="7043" spans="7:7" ht="10.5" customHeight="1" x14ac:dyDescent="0.2">
      <c r="G7043" s="889"/>
    </row>
    <row r="7044" spans="7:7" ht="10.5" customHeight="1" x14ac:dyDescent="0.2">
      <c r="G7044" s="889"/>
    </row>
    <row r="7045" spans="7:7" ht="10.5" customHeight="1" x14ac:dyDescent="0.2">
      <c r="G7045" s="889"/>
    </row>
    <row r="7046" spans="7:7" ht="10.5" customHeight="1" x14ac:dyDescent="0.2">
      <c r="G7046" s="889"/>
    </row>
    <row r="7047" spans="7:7" ht="10.5" customHeight="1" x14ac:dyDescent="0.2">
      <c r="G7047" s="889"/>
    </row>
    <row r="7048" spans="7:7" ht="10.5" customHeight="1" x14ac:dyDescent="0.2">
      <c r="G7048" s="889"/>
    </row>
    <row r="7049" spans="7:7" ht="10.5" customHeight="1" x14ac:dyDescent="0.2">
      <c r="G7049" s="889"/>
    </row>
    <row r="7050" spans="7:7" ht="10.5" customHeight="1" x14ac:dyDescent="0.2">
      <c r="G7050" s="889"/>
    </row>
    <row r="7051" spans="7:7" ht="10.5" customHeight="1" x14ac:dyDescent="0.2">
      <c r="G7051" s="889"/>
    </row>
    <row r="7052" spans="7:7" ht="10.5" customHeight="1" x14ac:dyDescent="0.2">
      <c r="G7052" s="889"/>
    </row>
    <row r="7053" spans="7:7" ht="10.5" customHeight="1" x14ac:dyDescent="0.2">
      <c r="G7053" s="889"/>
    </row>
    <row r="7054" spans="7:7" ht="10.5" customHeight="1" x14ac:dyDescent="0.2">
      <c r="G7054" s="889"/>
    </row>
    <row r="7055" spans="7:7" ht="10.5" customHeight="1" x14ac:dyDescent="0.2">
      <c r="G7055" s="889"/>
    </row>
    <row r="7056" spans="7:7" ht="10.5" customHeight="1" x14ac:dyDescent="0.2">
      <c r="G7056" s="889"/>
    </row>
    <row r="7057" spans="7:7" ht="10.5" customHeight="1" x14ac:dyDescent="0.2">
      <c r="G7057" s="889"/>
    </row>
    <row r="7058" spans="7:7" ht="10.5" customHeight="1" x14ac:dyDescent="0.2">
      <c r="G7058" s="889"/>
    </row>
    <row r="7059" spans="7:7" ht="10.5" customHeight="1" x14ac:dyDescent="0.2">
      <c r="G7059" s="889"/>
    </row>
    <row r="7060" spans="7:7" ht="10.5" customHeight="1" x14ac:dyDescent="0.2">
      <c r="G7060" s="889"/>
    </row>
    <row r="7061" spans="7:7" ht="10.5" customHeight="1" x14ac:dyDescent="0.2">
      <c r="G7061" s="889"/>
    </row>
    <row r="7062" spans="7:7" ht="10.5" customHeight="1" x14ac:dyDescent="0.2">
      <c r="G7062" s="889"/>
    </row>
    <row r="7063" spans="7:7" ht="10.5" customHeight="1" x14ac:dyDescent="0.2">
      <c r="G7063" s="889"/>
    </row>
    <row r="7064" spans="7:7" ht="10.5" customHeight="1" x14ac:dyDescent="0.2">
      <c r="G7064" s="889"/>
    </row>
    <row r="7065" spans="7:7" ht="10.5" customHeight="1" x14ac:dyDescent="0.2">
      <c r="G7065" s="889"/>
    </row>
    <row r="7066" spans="7:7" ht="10.5" customHeight="1" x14ac:dyDescent="0.2">
      <c r="G7066" s="889"/>
    </row>
    <row r="7067" spans="7:7" ht="10.5" customHeight="1" x14ac:dyDescent="0.2">
      <c r="G7067" s="889"/>
    </row>
    <row r="7068" spans="7:7" ht="10.5" customHeight="1" x14ac:dyDescent="0.2">
      <c r="G7068" s="889"/>
    </row>
    <row r="7069" spans="7:7" ht="10.5" customHeight="1" x14ac:dyDescent="0.2">
      <c r="G7069" s="889"/>
    </row>
    <row r="7070" spans="7:7" ht="10.5" customHeight="1" x14ac:dyDescent="0.2">
      <c r="G7070" s="889"/>
    </row>
    <row r="7071" spans="7:7" ht="10.5" customHeight="1" x14ac:dyDescent="0.2">
      <c r="G7071" s="889"/>
    </row>
    <row r="7072" spans="7:7" ht="10.5" customHeight="1" x14ac:dyDescent="0.2">
      <c r="G7072" s="889"/>
    </row>
    <row r="7073" spans="7:7" ht="10.5" customHeight="1" x14ac:dyDescent="0.2">
      <c r="G7073" s="889"/>
    </row>
    <row r="7074" spans="7:7" ht="10.5" customHeight="1" x14ac:dyDescent="0.2">
      <c r="G7074" s="889"/>
    </row>
    <row r="7075" spans="7:7" ht="10.5" customHeight="1" x14ac:dyDescent="0.2">
      <c r="G7075" s="889"/>
    </row>
    <row r="7076" spans="7:7" ht="10.5" customHeight="1" x14ac:dyDescent="0.2">
      <c r="G7076" s="889"/>
    </row>
    <row r="7077" spans="7:7" ht="10.5" customHeight="1" x14ac:dyDescent="0.2">
      <c r="G7077" s="889"/>
    </row>
    <row r="7078" spans="7:7" ht="10.5" customHeight="1" x14ac:dyDescent="0.2">
      <c r="G7078" s="889"/>
    </row>
    <row r="7079" spans="7:7" ht="10.5" customHeight="1" x14ac:dyDescent="0.2">
      <c r="G7079" s="889"/>
    </row>
    <row r="7080" spans="7:7" ht="10.5" customHeight="1" x14ac:dyDescent="0.2">
      <c r="G7080" s="889"/>
    </row>
    <row r="7081" spans="7:7" ht="10.5" customHeight="1" x14ac:dyDescent="0.2">
      <c r="G7081" s="889"/>
    </row>
    <row r="7082" spans="7:7" ht="10.5" customHeight="1" x14ac:dyDescent="0.2">
      <c r="G7082" s="889"/>
    </row>
    <row r="7083" spans="7:7" ht="10.5" customHeight="1" x14ac:dyDescent="0.2">
      <c r="G7083" s="889"/>
    </row>
    <row r="7084" spans="7:7" ht="10.5" customHeight="1" x14ac:dyDescent="0.2">
      <c r="G7084" s="889"/>
    </row>
    <row r="7085" spans="7:7" ht="10.5" customHeight="1" x14ac:dyDescent="0.2">
      <c r="G7085" s="889"/>
    </row>
    <row r="7086" spans="7:7" ht="10.5" customHeight="1" x14ac:dyDescent="0.2">
      <c r="G7086" s="889"/>
    </row>
    <row r="7087" spans="7:7" ht="10.5" customHeight="1" x14ac:dyDescent="0.2">
      <c r="G7087" s="889"/>
    </row>
    <row r="7088" spans="7:7" ht="10.5" customHeight="1" x14ac:dyDescent="0.2">
      <c r="G7088" s="889"/>
    </row>
    <row r="7089" spans="7:7" ht="10.5" customHeight="1" x14ac:dyDescent="0.2">
      <c r="G7089" s="889"/>
    </row>
    <row r="7090" spans="7:7" ht="10.5" customHeight="1" x14ac:dyDescent="0.2">
      <c r="G7090" s="889"/>
    </row>
    <row r="7091" spans="7:7" ht="10.5" customHeight="1" x14ac:dyDescent="0.2">
      <c r="G7091" s="889"/>
    </row>
    <row r="7092" spans="7:7" ht="10.5" customHeight="1" x14ac:dyDescent="0.2">
      <c r="G7092" s="889"/>
    </row>
    <row r="7093" spans="7:7" ht="10.5" customHeight="1" x14ac:dyDescent="0.2">
      <c r="G7093" s="889"/>
    </row>
    <row r="7094" spans="7:7" ht="10.5" customHeight="1" x14ac:dyDescent="0.2">
      <c r="G7094" s="889"/>
    </row>
    <row r="7095" spans="7:7" ht="10.5" customHeight="1" x14ac:dyDescent="0.2">
      <c r="G7095" s="889"/>
    </row>
    <row r="7096" spans="7:7" ht="10.5" customHeight="1" x14ac:dyDescent="0.2">
      <c r="G7096" s="889"/>
    </row>
    <row r="7097" spans="7:7" ht="10.5" customHeight="1" x14ac:dyDescent="0.2">
      <c r="G7097" s="889"/>
    </row>
    <row r="7098" spans="7:7" ht="10.5" customHeight="1" x14ac:dyDescent="0.2">
      <c r="G7098" s="889"/>
    </row>
    <row r="7099" spans="7:7" ht="10.5" customHeight="1" x14ac:dyDescent="0.2">
      <c r="G7099" s="889"/>
    </row>
    <row r="7100" spans="7:7" ht="10.5" customHeight="1" x14ac:dyDescent="0.2">
      <c r="G7100" s="889"/>
    </row>
    <row r="7101" spans="7:7" ht="10.5" customHeight="1" x14ac:dyDescent="0.2">
      <c r="G7101" s="889"/>
    </row>
    <row r="7102" spans="7:7" ht="10.5" customHeight="1" x14ac:dyDescent="0.2">
      <c r="G7102" s="889"/>
    </row>
    <row r="7103" spans="7:7" ht="10.5" customHeight="1" x14ac:dyDescent="0.2">
      <c r="G7103" s="889"/>
    </row>
    <row r="7104" spans="7:7" ht="10.5" customHeight="1" x14ac:dyDescent="0.2">
      <c r="G7104" s="889"/>
    </row>
    <row r="7105" spans="7:7" ht="10.5" customHeight="1" x14ac:dyDescent="0.2">
      <c r="G7105" s="889"/>
    </row>
    <row r="7106" spans="7:7" ht="10.5" customHeight="1" x14ac:dyDescent="0.2">
      <c r="G7106" s="889"/>
    </row>
    <row r="7107" spans="7:7" ht="10.5" customHeight="1" x14ac:dyDescent="0.2">
      <c r="G7107" s="889"/>
    </row>
    <row r="7108" spans="7:7" ht="10.5" customHeight="1" x14ac:dyDescent="0.2">
      <c r="G7108" s="889"/>
    </row>
    <row r="7109" spans="7:7" ht="10.5" customHeight="1" x14ac:dyDescent="0.2">
      <c r="G7109" s="889"/>
    </row>
    <row r="7110" spans="7:7" ht="10.5" customHeight="1" x14ac:dyDescent="0.2">
      <c r="G7110" s="889"/>
    </row>
    <row r="7111" spans="7:7" ht="10.5" customHeight="1" x14ac:dyDescent="0.2">
      <c r="G7111" s="889"/>
    </row>
    <row r="7112" spans="7:7" ht="10.5" customHeight="1" x14ac:dyDescent="0.2">
      <c r="G7112" s="889"/>
    </row>
    <row r="7113" spans="7:7" ht="10.5" customHeight="1" x14ac:dyDescent="0.2">
      <c r="G7113" s="889"/>
    </row>
    <row r="7114" spans="7:7" ht="10.5" customHeight="1" x14ac:dyDescent="0.2">
      <c r="G7114" s="889"/>
    </row>
    <row r="7115" spans="7:7" ht="10.5" customHeight="1" x14ac:dyDescent="0.2">
      <c r="G7115" s="889"/>
    </row>
    <row r="7116" spans="7:7" ht="10.5" customHeight="1" x14ac:dyDescent="0.2">
      <c r="G7116" s="889"/>
    </row>
    <row r="7117" spans="7:7" ht="10.5" customHeight="1" x14ac:dyDescent="0.2">
      <c r="G7117" s="889"/>
    </row>
    <row r="7118" spans="7:7" ht="10.5" customHeight="1" x14ac:dyDescent="0.2">
      <c r="G7118" s="889"/>
    </row>
    <row r="7119" spans="7:7" ht="10.5" customHeight="1" x14ac:dyDescent="0.2">
      <c r="G7119" s="889"/>
    </row>
    <row r="7120" spans="7:7" ht="10.5" customHeight="1" x14ac:dyDescent="0.2">
      <c r="G7120" s="889"/>
    </row>
    <row r="7121" spans="7:7" ht="10.5" customHeight="1" x14ac:dyDescent="0.2">
      <c r="G7121" s="889"/>
    </row>
    <row r="7122" spans="7:7" ht="10.5" customHeight="1" x14ac:dyDescent="0.2">
      <c r="G7122" s="889"/>
    </row>
    <row r="7123" spans="7:7" ht="10.5" customHeight="1" x14ac:dyDescent="0.2">
      <c r="G7123" s="889"/>
    </row>
    <row r="7124" spans="7:7" ht="10.5" customHeight="1" x14ac:dyDescent="0.2">
      <c r="G7124" s="889"/>
    </row>
    <row r="7125" spans="7:7" ht="10.5" customHeight="1" x14ac:dyDescent="0.2">
      <c r="G7125" s="889"/>
    </row>
    <row r="7126" spans="7:7" ht="10.5" customHeight="1" x14ac:dyDescent="0.2">
      <c r="G7126" s="889"/>
    </row>
    <row r="7127" spans="7:7" ht="10.5" customHeight="1" x14ac:dyDescent="0.2">
      <c r="G7127" s="889"/>
    </row>
    <row r="7128" spans="7:7" ht="10.5" customHeight="1" x14ac:dyDescent="0.2">
      <c r="G7128" s="889"/>
    </row>
    <row r="7129" spans="7:7" ht="10.5" customHeight="1" x14ac:dyDescent="0.2">
      <c r="G7129" s="889"/>
    </row>
    <row r="7130" spans="7:7" ht="10.5" customHeight="1" x14ac:dyDescent="0.2">
      <c r="G7130" s="889"/>
    </row>
    <row r="7131" spans="7:7" ht="10.5" customHeight="1" x14ac:dyDescent="0.2">
      <c r="G7131" s="889"/>
    </row>
    <row r="7132" spans="7:7" ht="10.5" customHeight="1" x14ac:dyDescent="0.2">
      <c r="G7132" s="889"/>
    </row>
    <row r="7133" spans="7:7" ht="10.5" customHeight="1" x14ac:dyDescent="0.2">
      <c r="G7133" s="889"/>
    </row>
    <row r="7134" spans="7:7" ht="10.5" customHeight="1" x14ac:dyDescent="0.2">
      <c r="G7134" s="889"/>
    </row>
    <row r="7135" spans="7:7" ht="10.5" customHeight="1" x14ac:dyDescent="0.2">
      <c r="G7135" s="889"/>
    </row>
    <row r="7136" spans="7:7" ht="10.5" customHeight="1" x14ac:dyDescent="0.2">
      <c r="G7136" s="889"/>
    </row>
    <row r="7137" spans="7:7" ht="10.5" customHeight="1" x14ac:dyDescent="0.2">
      <c r="G7137" s="889"/>
    </row>
    <row r="7138" spans="7:7" ht="10.5" customHeight="1" x14ac:dyDescent="0.2">
      <c r="G7138" s="889"/>
    </row>
    <row r="7139" spans="7:7" ht="10.5" customHeight="1" x14ac:dyDescent="0.2">
      <c r="G7139" s="889"/>
    </row>
    <row r="7140" spans="7:7" ht="10.5" customHeight="1" x14ac:dyDescent="0.2">
      <c r="G7140" s="889"/>
    </row>
    <row r="7141" spans="7:7" ht="10.5" customHeight="1" x14ac:dyDescent="0.2">
      <c r="G7141" s="889"/>
    </row>
    <row r="7142" spans="7:7" ht="10.5" customHeight="1" x14ac:dyDescent="0.2">
      <c r="G7142" s="889"/>
    </row>
    <row r="7143" spans="7:7" ht="10.5" customHeight="1" x14ac:dyDescent="0.2">
      <c r="G7143" s="889"/>
    </row>
    <row r="7144" spans="7:7" ht="10.5" customHeight="1" x14ac:dyDescent="0.2">
      <c r="G7144" s="889"/>
    </row>
    <row r="7145" spans="7:7" ht="10.5" customHeight="1" x14ac:dyDescent="0.2">
      <c r="G7145" s="889"/>
    </row>
    <row r="7146" spans="7:7" ht="10.5" customHeight="1" x14ac:dyDescent="0.2">
      <c r="G7146" s="889"/>
    </row>
    <row r="7147" spans="7:7" ht="10.5" customHeight="1" x14ac:dyDescent="0.2">
      <c r="G7147" s="889"/>
    </row>
    <row r="7148" spans="7:7" ht="10.5" customHeight="1" x14ac:dyDescent="0.2">
      <c r="G7148" s="889"/>
    </row>
    <row r="7149" spans="7:7" ht="10.5" customHeight="1" x14ac:dyDescent="0.2">
      <c r="G7149" s="889"/>
    </row>
    <row r="7150" spans="7:7" ht="10.5" customHeight="1" x14ac:dyDescent="0.2">
      <c r="G7150" s="889"/>
    </row>
    <row r="7151" spans="7:7" ht="10.5" customHeight="1" x14ac:dyDescent="0.2">
      <c r="G7151" s="889"/>
    </row>
    <row r="7152" spans="7:7" ht="10.5" customHeight="1" x14ac:dyDescent="0.2">
      <c r="G7152" s="889"/>
    </row>
    <row r="7153" spans="7:7" ht="10.5" customHeight="1" x14ac:dyDescent="0.2">
      <c r="G7153" s="889"/>
    </row>
    <row r="7154" spans="7:7" ht="10.5" customHeight="1" x14ac:dyDescent="0.2">
      <c r="G7154" s="889"/>
    </row>
    <row r="7155" spans="7:7" ht="10.5" customHeight="1" x14ac:dyDescent="0.2">
      <c r="G7155" s="889"/>
    </row>
    <row r="7156" spans="7:7" ht="10.5" customHeight="1" x14ac:dyDescent="0.2">
      <c r="G7156" s="889"/>
    </row>
    <row r="7157" spans="7:7" ht="10.5" customHeight="1" x14ac:dyDescent="0.2">
      <c r="G7157" s="889"/>
    </row>
    <row r="7158" spans="7:7" ht="10.5" customHeight="1" x14ac:dyDescent="0.2">
      <c r="G7158" s="889"/>
    </row>
    <row r="7159" spans="7:7" ht="10.5" customHeight="1" x14ac:dyDescent="0.2">
      <c r="G7159" s="889"/>
    </row>
    <row r="7160" spans="7:7" ht="10.5" customHeight="1" x14ac:dyDescent="0.2">
      <c r="G7160" s="889"/>
    </row>
    <row r="7161" spans="7:7" ht="10.5" customHeight="1" x14ac:dyDescent="0.2">
      <c r="G7161" s="889"/>
    </row>
    <row r="7162" spans="7:7" ht="10.5" customHeight="1" x14ac:dyDescent="0.2">
      <c r="G7162" s="889"/>
    </row>
    <row r="7163" spans="7:7" ht="10.5" customHeight="1" x14ac:dyDescent="0.2">
      <c r="G7163" s="889"/>
    </row>
    <row r="7164" spans="7:7" ht="10.5" customHeight="1" x14ac:dyDescent="0.2">
      <c r="G7164" s="889"/>
    </row>
    <row r="7165" spans="7:7" ht="10.5" customHeight="1" x14ac:dyDescent="0.2">
      <c r="G7165" s="889"/>
    </row>
    <row r="7166" spans="7:7" ht="10.5" customHeight="1" x14ac:dyDescent="0.2">
      <c r="G7166" s="889"/>
    </row>
    <row r="7167" spans="7:7" ht="10.5" customHeight="1" x14ac:dyDescent="0.2">
      <c r="G7167" s="889"/>
    </row>
    <row r="7168" spans="7:7" ht="10.5" customHeight="1" x14ac:dyDescent="0.2">
      <c r="G7168" s="889"/>
    </row>
    <row r="7169" spans="7:7" ht="10.5" customHeight="1" x14ac:dyDescent="0.2">
      <c r="G7169" s="889"/>
    </row>
    <row r="7170" spans="7:7" ht="10.5" customHeight="1" x14ac:dyDescent="0.2">
      <c r="G7170" s="889"/>
    </row>
    <row r="7171" spans="7:7" ht="10.5" customHeight="1" x14ac:dyDescent="0.2">
      <c r="G7171" s="889"/>
    </row>
    <row r="7172" spans="7:7" ht="10.5" customHeight="1" x14ac:dyDescent="0.2">
      <c r="G7172" s="889"/>
    </row>
    <row r="7173" spans="7:7" ht="10.5" customHeight="1" x14ac:dyDescent="0.2">
      <c r="G7173" s="889"/>
    </row>
    <row r="7174" spans="7:7" ht="10.5" customHeight="1" x14ac:dyDescent="0.2">
      <c r="G7174" s="889"/>
    </row>
    <row r="7175" spans="7:7" ht="10.5" customHeight="1" x14ac:dyDescent="0.2">
      <c r="G7175" s="889"/>
    </row>
    <row r="7176" spans="7:7" ht="10.5" customHeight="1" x14ac:dyDescent="0.2">
      <c r="G7176" s="889"/>
    </row>
    <row r="7177" spans="7:7" ht="10.5" customHeight="1" x14ac:dyDescent="0.2">
      <c r="G7177" s="889"/>
    </row>
    <row r="7178" spans="7:7" ht="10.5" customHeight="1" x14ac:dyDescent="0.2">
      <c r="G7178" s="889"/>
    </row>
    <row r="7179" spans="7:7" ht="10.5" customHeight="1" x14ac:dyDescent="0.2">
      <c r="G7179" s="889"/>
    </row>
    <row r="7180" spans="7:7" ht="10.5" customHeight="1" x14ac:dyDescent="0.2">
      <c r="G7180" s="889"/>
    </row>
    <row r="7181" spans="7:7" ht="10.5" customHeight="1" x14ac:dyDescent="0.2">
      <c r="G7181" s="889"/>
    </row>
    <row r="7182" spans="7:7" ht="10.5" customHeight="1" x14ac:dyDescent="0.2">
      <c r="G7182" s="889"/>
    </row>
    <row r="7183" spans="7:7" ht="10.5" customHeight="1" x14ac:dyDescent="0.2">
      <c r="G7183" s="889"/>
    </row>
    <row r="7184" spans="7:7" ht="10.5" customHeight="1" x14ac:dyDescent="0.2">
      <c r="G7184" s="889"/>
    </row>
    <row r="7185" spans="7:7" ht="10.5" customHeight="1" x14ac:dyDescent="0.2">
      <c r="G7185" s="889"/>
    </row>
    <row r="7186" spans="7:7" ht="10.5" customHeight="1" x14ac:dyDescent="0.2">
      <c r="G7186" s="889"/>
    </row>
    <row r="7187" spans="7:7" ht="10.5" customHeight="1" x14ac:dyDescent="0.2">
      <c r="G7187" s="889"/>
    </row>
    <row r="7188" spans="7:7" ht="10.5" customHeight="1" x14ac:dyDescent="0.2">
      <c r="G7188" s="889"/>
    </row>
    <row r="7189" spans="7:7" ht="10.5" customHeight="1" x14ac:dyDescent="0.2">
      <c r="G7189" s="889"/>
    </row>
    <row r="7190" spans="7:7" ht="10.5" customHeight="1" x14ac:dyDescent="0.2">
      <c r="G7190" s="889"/>
    </row>
    <row r="7191" spans="7:7" ht="10.5" customHeight="1" x14ac:dyDescent="0.2">
      <c r="G7191" s="889"/>
    </row>
    <row r="7192" spans="7:7" ht="10.5" customHeight="1" x14ac:dyDescent="0.2">
      <c r="G7192" s="889"/>
    </row>
    <row r="7193" spans="7:7" ht="10.5" customHeight="1" x14ac:dyDescent="0.2">
      <c r="G7193" s="889"/>
    </row>
    <row r="7194" spans="7:7" ht="10.5" customHeight="1" x14ac:dyDescent="0.2">
      <c r="G7194" s="889"/>
    </row>
    <row r="7195" spans="7:7" ht="10.5" customHeight="1" x14ac:dyDescent="0.2">
      <c r="G7195" s="889"/>
    </row>
    <row r="7196" spans="7:7" ht="10.5" customHeight="1" x14ac:dyDescent="0.2">
      <c r="G7196" s="889"/>
    </row>
    <row r="7197" spans="7:7" ht="10.5" customHeight="1" x14ac:dyDescent="0.2">
      <c r="G7197" s="889"/>
    </row>
    <row r="7198" spans="7:7" ht="10.5" customHeight="1" x14ac:dyDescent="0.2">
      <c r="G7198" s="889"/>
    </row>
    <row r="7199" spans="7:7" ht="10.5" customHeight="1" x14ac:dyDescent="0.2">
      <c r="G7199" s="889"/>
    </row>
    <row r="7200" spans="7:7" ht="10.5" customHeight="1" x14ac:dyDescent="0.2">
      <c r="G7200" s="889"/>
    </row>
    <row r="7201" spans="7:7" ht="10.5" customHeight="1" x14ac:dyDescent="0.2">
      <c r="G7201" s="889"/>
    </row>
    <row r="7202" spans="7:7" ht="10.5" customHeight="1" x14ac:dyDescent="0.2">
      <c r="G7202" s="889"/>
    </row>
    <row r="7203" spans="7:7" ht="10.5" customHeight="1" x14ac:dyDescent="0.2">
      <c r="G7203" s="889"/>
    </row>
    <row r="7204" spans="7:7" ht="10.5" customHeight="1" x14ac:dyDescent="0.2">
      <c r="G7204" s="889"/>
    </row>
    <row r="7205" spans="7:7" ht="10.5" customHeight="1" x14ac:dyDescent="0.2">
      <c r="G7205" s="889"/>
    </row>
    <row r="7206" spans="7:7" ht="10.5" customHeight="1" x14ac:dyDescent="0.2">
      <c r="G7206" s="889"/>
    </row>
    <row r="7207" spans="7:7" ht="10.5" customHeight="1" x14ac:dyDescent="0.2">
      <c r="G7207" s="889"/>
    </row>
    <row r="7208" spans="7:7" ht="10.5" customHeight="1" x14ac:dyDescent="0.2">
      <c r="G7208" s="889"/>
    </row>
    <row r="7209" spans="7:7" ht="10.5" customHeight="1" x14ac:dyDescent="0.2">
      <c r="G7209" s="889"/>
    </row>
    <row r="7210" spans="7:7" ht="10.5" customHeight="1" x14ac:dyDescent="0.2">
      <c r="G7210" s="889"/>
    </row>
    <row r="7211" spans="7:7" ht="10.5" customHeight="1" x14ac:dyDescent="0.2">
      <c r="G7211" s="889"/>
    </row>
    <row r="7212" spans="7:7" ht="10.5" customHeight="1" x14ac:dyDescent="0.2">
      <c r="G7212" s="889"/>
    </row>
    <row r="7213" spans="7:7" ht="10.5" customHeight="1" x14ac:dyDescent="0.2">
      <c r="G7213" s="889"/>
    </row>
    <row r="7214" spans="7:7" ht="10.5" customHeight="1" x14ac:dyDescent="0.2">
      <c r="G7214" s="889"/>
    </row>
    <row r="7215" spans="7:7" ht="10.5" customHeight="1" x14ac:dyDescent="0.2">
      <c r="G7215" s="889"/>
    </row>
    <row r="7216" spans="7:7" ht="10.5" customHeight="1" x14ac:dyDescent="0.2">
      <c r="G7216" s="889"/>
    </row>
    <row r="7217" spans="7:7" ht="10.5" customHeight="1" x14ac:dyDescent="0.2">
      <c r="G7217" s="889"/>
    </row>
    <row r="7218" spans="7:7" ht="10.5" customHeight="1" x14ac:dyDescent="0.2">
      <c r="G7218" s="889"/>
    </row>
    <row r="7219" spans="7:7" ht="10.5" customHeight="1" x14ac:dyDescent="0.2">
      <c r="G7219" s="889"/>
    </row>
    <row r="7220" spans="7:7" ht="10.5" customHeight="1" x14ac:dyDescent="0.2">
      <c r="G7220" s="889"/>
    </row>
    <row r="7221" spans="7:7" ht="10.5" customHeight="1" x14ac:dyDescent="0.2">
      <c r="G7221" s="889"/>
    </row>
    <row r="7222" spans="7:7" ht="10.5" customHeight="1" x14ac:dyDescent="0.2">
      <c r="G7222" s="889"/>
    </row>
    <row r="7223" spans="7:7" ht="10.5" customHeight="1" x14ac:dyDescent="0.2">
      <c r="G7223" s="889"/>
    </row>
    <row r="7224" spans="7:7" ht="10.5" customHeight="1" x14ac:dyDescent="0.2">
      <c r="G7224" s="889"/>
    </row>
    <row r="7225" spans="7:7" ht="10.5" customHeight="1" x14ac:dyDescent="0.2">
      <c r="G7225" s="889"/>
    </row>
    <row r="7226" spans="7:7" ht="10.5" customHeight="1" x14ac:dyDescent="0.2">
      <c r="G7226" s="889"/>
    </row>
    <row r="7227" spans="7:7" ht="10.5" customHeight="1" x14ac:dyDescent="0.2">
      <c r="G7227" s="889"/>
    </row>
    <row r="7228" spans="7:7" ht="10.5" customHeight="1" x14ac:dyDescent="0.2">
      <c r="G7228" s="889"/>
    </row>
    <row r="7229" spans="7:7" ht="10.5" customHeight="1" x14ac:dyDescent="0.2">
      <c r="G7229" s="889"/>
    </row>
    <row r="7230" spans="7:7" ht="10.5" customHeight="1" x14ac:dyDescent="0.2">
      <c r="G7230" s="889"/>
    </row>
    <row r="7231" spans="7:7" ht="10.5" customHeight="1" x14ac:dyDescent="0.2">
      <c r="G7231" s="889"/>
    </row>
    <row r="7232" spans="7:7" ht="10.5" customHeight="1" x14ac:dyDescent="0.2">
      <c r="G7232" s="889"/>
    </row>
    <row r="7233" spans="7:7" ht="10.5" customHeight="1" x14ac:dyDescent="0.2">
      <c r="G7233" s="889"/>
    </row>
    <row r="7234" spans="7:7" ht="10.5" customHeight="1" x14ac:dyDescent="0.2">
      <c r="G7234" s="889"/>
    </row>
    <row r="7235" spans="7:7" ht="10.5" customHeight="1" x14ac:dyDescent="0.2">
      <c r="G7235" s="889"/>
    </row>
    <row r="7236" spans="7:7" ht="10.5" customHeight="1" x14ac:dyDescent="0.2">
      <c r="G7236" s="889"/>
    </row>
    <row r="7237" spans="7:7" ht="10.5" customHeight="1" x14ac:dyDescent="0.2">
      <c r="G7237" s="889"/>
    </row>
    <row r="7238" spans="7:7" ht="10.5" customHeight="1" x14ac:dyDescent="0.2">
      <c r="G7238" s="889"/>
    </row>
    <row r="7239" spans="7:7" ht="10.5" customHeight="1" x14ac:dyDescent="0.2">
      <c r="G7239" s="889"/>
    </row>
    <row r="7240" spans="7:7" ht="10.5" customHeight="1" x14ac:dyDescent="0.2">
      <c r="G7240" s="889"/>
    </row>
    <row r="7241" spans="7:7" ht="10.5" customHeight="1" x14ac:dyDescent="0.2">
      <c r="G7241" s="889"/>
    </row>
    <row r="7242" spans="7:7" ht="10.5" customHeight="1" x14ac:dyDescent="0.2">
      <c r="G7242" s="889"/>
    </row>
    <row r="7243" spans="7:7" ht="10.5" customHeight="1" x14ac:dyDescent="0.2">
      <c r="G7243" s="889"/>
    </row>
    <row r="7244" spans="7:7" ht="10.5" customHeight="1" x14ac:dyDescent="0.2">
      <c r="G7244" s="889"/>
    </row>
    <row r="7245" spans="7:7" ht="10.5" customHeight="1" x14ac:dyDescent="0.2">
      <c r="G7245" s="889"/>
    </row>
    <row r="7246" spans="7:7" ht="10.5" customHeight="1" x14ac:dyDescent="0.2">
      <c r="G7246" s="889"/>
    </row>
    <row r="7247" spans="7:7" ht="10.5" customHeight="1" x14ac:dyDescent="0.2">
      <c r="G7247" s="889"/>
    </row>
    <row r="7248" spans="7:7" ht="10.5" customHeight="1" x14ac:dyDescent="0.2">
      <c r="G7248" s="889"/>
    </row>
    <row r="7249" spans="7:7" ht="10.5" customHeight="1" x14ac:dyDescent="0.2">
      <c r="G7249" s="889"/>
    </row>
    <row r="7250" spans="7:7" ht="10.5" customHeight="1" x14ac:dyDescent="0.2">
      <c r="G7250" s="889"/>
    </row>
    <row r="7251" spans="7:7" ht="10.5" customHeight="1" x14ac:dyDescent="0.2">
      <c r="G7251" s="889"/>
    </row>
    <row r="7252" spans="7:7" ht="10.5" customHeight="1" x14ac:dyDescent="0.2">
      <c r="G7252" s="889"/>
    </row>
    <row r="7253" spans="7:7" ht="10.5" customHeight="1" x14ac:dyDescent="0.2">
      <c r="G7253" s="889"/>
    </row>
    <row r="7254" spans="7:7" ht="10.5" customHeight="1" x14ac:dyDescent="0.2">
      <c r="G7254" s="889"/>
    </row>
    <row r="7255" spans="7:7" ht="10.5" customHeight="1" x14ac:dyDescent="0.2">
      <c r="G7255" s="889"/>
    </row>
    <row r="7256" spans="7:7" ht="10.5" customHeight="1" x14ac:dyDescent="0.2">
      <c r="G7256" s="889"/>
    </row>
    <row r="7257" spans="7:7" ht="10.5" customHeight="1" x14ac:dyDescent="0.2">
      <c r="G7257" s="889"/>
    </row>
    <row r="7258" spans="7:7" ht="10.5" customHeight="1" x14ac:dyDescent="0.2">
      <c r="G7258" s="889"/>
    </row>
    <row r="7259" spans="7:7" ht="10.5" customHeight="1" x14ac:dyDescent="0.2">
      <c r="G7259" s="889"/>
    </row>
    <row r="7260" spans="7:7" ht="10.5" customHeight="1" x14ac:dyDescent="0.2">
      <c r="G7260" s="889"/>
    </row>
    <row r="7261" spans="7:7" ht="10.5" customHeight="1" x14ac:dyDescent="0.2">
      <c r="G7261" s="889"/>
    </row>
    <row r="7262" spans="7:7" ht="10.5" customHeight="1" x14ac:dyDescent="0.2">
      <c r="G7262" s="889"/>
    </row>
    <row r="7263" spans="7:7" ht="10.5" customHeight="1" x14ac:dyDescent="0.2">
      <c r="G7263" s="889"/>
    </row>
    <row r="7264" spans="7:7" ht="10.5" customHeight="1" x14ac:dyDescent="0.2">
      <c r="G7264" s="889"/>
    </row>
    <row r="7265" spans="7:7" ht="10.5" customHeight="1" x14ac:dyDescent="0.2">
      <c r="G7265" s="889"/>
    </row>
    <row r="7266" spans="7:7" ht="10.5" customHeight="1" x14ac:dyDescent="0.2">
      <c r="G7266" s="889"/>
    </row>
    <row r="7267" spans="7:7" ht="10.5" customHeight="1" x14ac:dyDescent="0.2">
      <c r="G7267" s="889"/>
    </row>
    <row r="7268" spans="7:7" ht="10.5" customHeight="1" x14ac:dyDescent="0.2">
      <c r="G7268" s="889"/>
    </row>
    <row r="7269" spans="7:7" ht="10.5" customHeight="1" x14ac:dyDescent="0.2">
      <c r="G7269" s="889"/>
    </row>
    <row r="7270" spans="7:7" ht="10.5" customHeight="1" x14ac:dyDescent="0.2">
      <c r="G7270" s="889"/>
    </row>
    <row r="7271" spans="7:7" ht="10.5" customHeight="1" x14ac:dyDescent="0.2">
      <c r="G7271" s="889"/>
    </row>
    <row r="7272" spans="7:7" ht="10.5" customHeight="1" x14ac:dyDescent="0.2">
      <c r="G7272" s="889"/>
    </row>
    <row r="7273" spans="7:7" ht="10.5" customHeight="1" x14ac:dyDescent="0.2">
      <c r="G7273" s="889"/>
    </row>
    <row r="7274" spans="7:7" ht="10.5" customHeight="1" x14ac:dyDescent="0.2">
      <c r="G7274" s="889"/>
    </row>
    <row r="7275" spans="7:7" ht="10.5" customHeight="1" x14ac:dyDescent="0.2">
      <c r="G7275" s="889"/>
    </row>
    <row r="7276" spans="7:7" ht="10.5" customHeight="1" x14ac:dyDescent="0.2">
      <c r="G7276" s="889"/>
    </row>
    <row r="7277" spans="7:7" ht="10.5" customHeight="1" x14ac:dyDescent="0.2">
      <c r="G7277" s="889"/>
    </row>
    <row r="7278" spans="7:7" ht="10.5" customHeight="1" x14ac:dyDescent="0.2">
      <c r="G7278" s="889"/>
    </row>
    <row r="7279" spans="7:7" ht="10.5" customHeight="1" x14ac:dyDescent="0.2">
      <c r="G7279" s="889"/>
    </row>
    <row r="7280" spans="7:7" ht="10.5" customHeight="1" x14ac:dyDescent="0.2">
      <c r="G7280" s="889"/>
    </row>
    <row r="7281" spans="7:7" ht="10.5" customHeight="1" x14ac:dyDescent="0.2">
      <c r="G7281" s="889"/>
    </row>
    <row r="7282" spans="7:7" ht="10.5" customHeight="1" x14ac:dyDescent="0.2">
      <c r="G7282" s="889"/>
    </row>
    <row r="7283" spans="7:7" ht="10.5" customHeight="1" x14ac:dyDescent="0.2">
      <c r="G7283" s="889"/>
    </row>
    <row r="7284" spans="7:7" ht="10.5" customHeight="1" x14ac:dyDescent="0.2">
      <c r="G7284" s="889"/>
    </row>
    <row r="7285" spans="7:7" ht="10.5" customHeight="1" x14ac:dyDescent="0.2">
      <c r="G7285" s="889"/>
    </row>
    <row r="7286" spans="7:7" ht="10.5" customHeight="1" x14ac:dyDescent="0.2">
      <c r="G7286" s="889"/>
    </row>
    <row r="7287" spans="7:7" ht="10.5" customHeight="1" x14ac:dyDescent="0.2">
      <c r="G7287" s="889"/>
    </row>
    <row r="7288" spans="7:7" ht="10.5" customHeight="1" x14ac:dyDescent="0.2">
      <c r="G7288" s="889"/>
    </row>
    <row r="7289" spans="7:7" ht="10.5" customHeight="1" x14ac:dyDescent="0.2">
      <c r="G7289" s="889"/>
    </row>
    <row r="7290" spans="7:7" ht="10.5" customHeight="1" x14ac:dyDescent="0.2">
      <c r="G7290" s="889"/>
    </row>
    <row r="7291" spans="7:7" ht="10.5" customHeight="1" x14ac:dyDescent="0.2">
      <c r="G7291" s="889"/>
    </row>
    <row r="7292" spans="7:7" ht="10.5" customHeight="1" x14ac:dyDescent="0.2">
      <c r="G7292" s="889"/>
    </row>
    <row r="7293" spans="7:7" ht="10.5" customHeight="1" x14ac:dyDescent="0.2">
      <c r="G7293" s="889"/>
    </row>
    <row r="7294" spans="7:7" ht="10.5" customHeight="1" x14ac:dyDescent="0.2">
      <c r="G7294" s="889"/>
    </row>
    <row r="7295" spans="7:7" ht="10.5" customHeight="1" x14ac:dyDescent="0.2">
      <c r="G7295" s="889"/>
    </row>
    <row r="7296" spans="7:7" ht="10.5" customHeight="1" x14ac:dyDescent="0.2">
      <c r="G7296" s="889"/>
    </row>
    <row r="7297" spans="7:7" ht="10.5" customHeight="1" x14ac:dyDescent="0.2">
      <c r="G7297" s="889"/>
    </row>
    <row r="7298" spans="7:7" ht="10.5" customHeight="1" x14ac:dyDescent="0.2">
      <c r="G7298" s="889"/>
    </row>
    <row r="7299" spans="7:7" ht="10.5" customHeight="1" x14ac:dyDescent="0.2">
      <c r="G7299" s="889"/>
    </row>
    <row r="7300" spans="7:7" ht="10.5" customHeight="1" x14ac:dyDescent="0.2">
      <c r="G7300" s="889"/>
    </row>
    <row r="7301" spans="7:7" ht="10.5" customHeight="1" x14ac:dyDescent="0.2">
      <c r="G7301" s="889"/>
    </row>
    <row r="7302" spans="7:7" ht="10.5" customHeight="1" x14ac:dyDescent="0.2">
      <c r="G7302" s="889"/>
    </row>
    <row r="7303" spans="7:7" ht="10.5" customHeight="1" x14ac:dyDescent="0.2">
      <c r="G7303" s="889"/>
    </row>
    <row r="7304" spans="7:7" ht="10.5" customHeight="1" x14ac:dyDescent="0.2">
      <c r="G7304" s="889"/>
    </row>
    <row r="7305" spans="7:7" ht="10.5" customHeight="1" x14ac:dyDescent="0.2">
      <c r="G7305" s="889"/>
    </row>
    <row r="7306" spans="7:7" ht="10.5" customHeight="1" x14ac:dyDescent="0.2">
      <c r="G7306" s="889"/>
    </row>
    <row r="7307" spans="7:7" ht="10.5" customHeight="1" x14ac:dyDescent="0.2">
      <c r="G7307" s="889"/>
    </row>
    <row r="7308" spans="7:7" ht="10.5" customHeight="1" x14ac:dyDescent="0.2">
      <c r="G7308" s="889"/>
    </row>
    <row r="7309" spans="7:7" ht="10.5" customHeight="1" x14ac:dyDescent="0.2">
      <c r="G7309" s="889"/>
    </row>
    <row r="7310" spans="7:7" ht="10.5" customHeight="1" x14ac:dyDescent="0.2">
      <c r="G7310" s="889"/>
    </row>
    <row r="7311" spans="7:7" ht="10.5" customHeight="1" x14ac:dyDescent="0.2">
      <c r="G7311" s="889"/>
    </row>
    <row r="7312" spans="7:7" ht="10.5" customHeight="1" x14ac:dyDescent="0.2">
      <c r="G7312" s="889"/>
    </row>
    <row r="7313" spans="7:7" ht="10.5" customHeight="1" x14ac:dyDescent="0.2">
      <c r="G7313" s="889"/>
    </row>
    <row r="7314" spans="7:7" ht="10.5" customHeight="1" x14ac:dyDescent="0.2">
      <c r="G7314" s="889"/>
    </row>
    <row r="7315" spans="7:7" ht="10.5" customHeight="1" x14ac:dyDescent="0.2">
      <c r="G7315" s="889"/>
    </row>
    <row r="7316" spans="7:7" ht="10.5" customHeight="1" x14ac:dyDescent="0.2">
      <c r="G7316" s="889"/>
    </row>
    <row r="7317" spans="7:7" ht="10.5" customHeight="1" x14ac:dyDescent="0.2">
      <c r="G7317" s="889"/>
    </row>
    <row r="7318" spans="7:7" ht="10.5" customHeight="1" x14ac:dyDescent="0.2">
      <c r="G7318" s="889"/>
    </row>
    <row r="7319" spans="7:7" ht="10.5" customHeight="1" x14ac:dyDescent="0.2">
      <c r="G7319" s="889"/>
    </row>
    <row r="7320" spans="7:7" ht="10.5" customHeight="1" x14ac:dyDescent="0.2">
      <c r="G7320" s="889"/>
    </row>
    <row r="7321" spans="7:7" ht="10.5" customHeight="1" x14ac:dyDescent="0.2">
      <c r="G7321" s="889"/>
    </row>
    <row r="7322" spans="7:7" ht="10.5" customHeight="1" x14ac:dyDescent="0.2">
      <c r="G7322" s="889"/>
    </row>
    <row r="7323" spans="7:7" ht="10.5" customHeight="1" x14ac:dyDescent="0.2">
      <c r="G7323" s="889"/>
    </row>
    <row r="7324" spans="7:7" ht="10.5" customHeight="1" x14ac:dyDescent="0.2">
      <c r="G7324" s="889"/>
    </row>
    <row r="7325" spans="7:7" ht="10.5" customHeight="1" x14ac:dyDescent="0.2">
      <c r="G7325" s="889"/>
    </row>
    <row r="7326" spans="7:7" ht="10.5" customHeight="1" x14ac:dyDescent="0.2">
      <c r="G7326" s="889"/>
    </row>
    <row r="7327" spans="7:7" ht="10.5" customHeight="1" x14ac:dyDescent="0.2">
      <c r="G7327" s="889"/>
    </row>
    <row r="7328" spans="7:7" ht="10.5" customHeight="1" x14ac:dyDescent="0.2">
      <c r="G7328" s="889"/>
    </row>
    <row r="7329" spans="7:7" ht="10.5" customHeight="1" x14ac:dyDescent="0.2">
      <c r="G7329" s="889"/>
    </row>
    <row r="7330" spans="7:7" ht="10.5" customHeight="1" x14ac:dyDescent="0.2">
      <c r="G7330" s="889"/>
    </row>
    <row r="7331" spans="7:7" ht="10.5" customHeight="1" x14ac:dyDescent="0.2">
      <c r="G7331" s="889"/>
    </row>
    <row r="7332" spans="7:7" ht="10.5" customHeight="1" x14ac:dyDescent="0.2">
      <c r="G7332" s="889"/>
    </row>
    <row r="7333" spans="7:7" ht="10.5" customHeight="1" x14ac:dyDescent="0.2">
      <c r="G7333" s="889"/>
    </row>
    <row r="7334" spans="7:7" ht="10.5" customHeight="1" x14ac:dyDescent="0.2">
      <c r="G7334" s="889"/>
    </row>
    <row r="7335" spans="7:7" ht="10.5" customHeight="1" x14ac:dyDescent="0.2">
      <c r="G7335" s="889"/>
    </row>
    <row r="7336" spans="7:7" ht="10.5" customHeight="1" x14ac:dyDescent="0.2">
      <c r="G7336" s="889"/>
    </row>
    <row r="7337" spans="7:7" ht="10.5" customHeight="1" x14ac:dyDescent="0.2">
      <c r="G7337" s="889"/>
    </row>
    <row r="7338" spans="7:7" ht="10.5" customHeight="1" x14ac:dyDescent="0.2">
      <c r="G7338" s="889"/>
    </row>
    <row r="7339" spans="7:7" ht="10.5" customHeight="1" x14ac:dyDescent="0.2">
      <c r="G7339" s="889"/>
    </row>
    <row r="7340" spans="7:7" ht="10.5" customHeight="1" x14ac:dyDescent="0.2">
      <c r="G7340" s="889"/>
    </row>
    <row r="7341" spans="7:7" ht="10.5" customHeight="1" x14ac:dyDescent="0.2">
      <c r="G7341" s="889"/>
    </row>
    <row r="7342" spans="7:7" ht="10.5" customHeight="1" x14ac:dyDescent="0.2">
      <c r="G7342" s="889"/>
    </row>
    <row r="7343" spans="7:7" ht="10.5" customHeight="1" x14ac:dyDescent="0.2">
      <c r="G7343" s="889"/>
    </row>
    <row r="7344" spans="7:7" ht="10.5" customHeight="1" x14ac:dyDescent="0.2">
      <c r="G7344" s="889"/>
    </row>
    <row r="7345" spans="7:7" ht="10.5" customHeight="1" x14ac:dyDescent="0.2">
      <c r="G7345" s="889"/>
    </row>
    <row r="7346" spans="7:7" ht="10.5" customHeight="1" x14ac:dyDescent="0.2">
      <c r="G7346" s="889"/>
    </row>
    <row r="7347" spans="7:7" ht="10.5" customHeight="1" x14ac:dyDescent="0.2">
      <c r="G7347" s="889"/>
    </row>
    <row r="7348" spans="7:7" ht="10.5" customHeight="1" x14ac:dyDescent="0.2">
      <c r="G7348" s="889"/>
    </row>
    <row r="7349" spans="7:7" ht="10.5" customHeight="1" x14ac:dyDescent="0.2">
      <c r="G7349" s="889"/>
    </row>
    <row r="7350" spans="7:7" ht="10.5" customHeight="1" x14ac:dyDescent="0.2">
      <c r="G7350" s="889"/>
    </row>
    <row r="7351" spans="7:7" ht="10.5" customHeight="1" x14ac:dyDescent="0.2">
      <c r="G7351" s="889"/>
    </row>
    <row r="7352" spans="7:7" ht="10.5" customHeight="1" x14ac:dyDescent="0.2">
      <c r="G7352" s="889"/>
    </row>
    <row r="7353" spans="7:7" ht="10.5" customHeight="1" x14ac:dyDescent="0.2">
      <c r="G7353" s="889"/>
    </row>
    <row r="7354" spans="7:7" ht="10.5" customHeight="1" x14ac:dyDescent="0.2">
      <c r="G7354" s="889"/>
    </row>
    <row r="7355" spans="7:7" ht="10.5" customHeight="1" x14ac:dyDescent="0.2">
      <c r="G7355" s="889"/>
    </row>
    <row r="7356" spans="7:7" ht="10.5" customHeight="1" x14ac:dyDescent="0.2">
      <c r="G7356" s="889"/>
    </row>
    <row r="7357" spans="7:7" ht="10.5" customHeight="1" x14ac:dyDescent="0.2">
      <c r="G7357" s="889"/>
    </row>
    <row r="7358" spans="7:7" ht="10.5" customHeight="1" x14ac:dyDescent="0.2">
      <c r="G7358" s="889"/>
    </row>
    <row r="7359" spans="7:7" ht="10.5" customHeight="1" x14ac:dyDescent="0.2">
      <c r="G7359" s="889"/>
    </row>
    <row r="7360" spans="7:7" ht="10.5" customHeight="1" x14ac:dyDescent="0.2">
      <c r="G7360" s="889"/>
    </row>
    <row r="7361" spans="7:7" ht="10.5" customHeight="1" x14ac:dyDescent="0.2">
      <c r="G7361" s="889"/>
    </row>
    <row r="7362" spans="7:7" ht="10.5" customHeight="1" x14ac:dyDescent="0.2">
      <c r="G7362" s="889"/>
    </row>
    <row r="7363" spans="7:7" ht="10.5" customHeight="1" x14ac:dyDescent="0.2">
      <c r="G7363" s="889"/>
    </row>
    <row r="7364" spans="7:7" ht="10.5" customHeight="1" x14ac:dyDescent="0.2">
      <c r="G7364" s="889"/>
    </row>
    <row r="7365" spans="7:7" ht="10.5" customHeight="1" x14ac:dyDescent="0.2">
      <c r="G7365" s="889"/>
    </row>
    <row r="7366" spans="7:7" ht="10.5" customHeight="1" x14ac:dyDescent="0.2">
      <c r="G7366" s="889"/>
    </row>
    <row r="7367" spans="7:7" ht="10.5" customHeight="1" x14ac:dyDescent="0.2">
      <c r="G7367" s="889"/>
    </row>
    <row r="7368" spans="7:7" ht="10.5" customHeight="1" x14ac:dyDescent="0.2">
      <c r="G7368" s="889"/>
    </row>
    <row r="7369" spans="7:7" ht="10.5" customHeight="1" x14ac:dyDescent="0.2">
      <c r="G7369" s="889"/>
    </row>
    <row r="7370" spans="7:7" ht="10.5" customHeight="1" x14ac:dyDescent="0.2">
      <c r="G7370" s="889"/>
    </row>
    <row r="7371" spans="7:7" ht="10.5" customHeight="1" x14ac:dyDescent="0.2">
      <c r="G7371" s="889"/>
    </row>
    <row r="7372" spans="7:7" ht="10.5" customHeight="1" x14ac:dyDescent="0.2">
      <c r="G7372" s="889"/>
    </row>
    <row r="7373" spans="7:7" ht="10.5" customHeight="1" x14ac:dyDescent="0.2">
      <c r="G7373" s="889"/>
    </row>
    <row r="7374" spans="7:7" ht="10.5" customHeight="1" x14ac:dyDescent="0.2">
      <c r="G7374" s="889"/>
    </row>
    <row r="7375" spans="7:7" ht="10.5" customHeight="1" x14ac:dyDescent="0.2">
      <c r="G7375" s="889"/>
    </row>
    <row r="7376" spans="7:7" ht="10.5" customHeight="1" x14ac:dyDescent="0.2">
      <c r="G7376" s="889"/>
    </row>
    <row r="7377" spans="7:7" ht="10.5" customHeight="1" x14ac:dyDescent="0.2">
      <c r="G7377" s="889"/>
    </row>
    <row r="7378" spans="7:7" ht="10.5" customHeight="1" x14ac:dyDescent="0.2">
      <c r="G7378" s="889"/>
    </row>
    <row r="7379" spans="7:7" ht="10.5" customHeight="1" x14ac:dyDescent="0.2">
      <c r="G7379" s="889"/>
    </row>
    <row r="7380" spans="7:7" ht="10.5" customHeight="1" x14ac:dyDescent="0.2">
      <c r="G7380" s="889"/>
    </row>
    <row r="7381" spans="7:7" ht="10.5" customHeight="1" x14ac:dyDescent="0.2">
      <c r="G7381" s="889"/>
    </row>
    <row r="7382" spans="7:7" ht="10.5" customHeight="1" x14ac:dyDescent="0.2">
      <c r="G7382" s="889"/>
    </row>
    <row r="7383" spans="7:7" ht="10.5" customHeight="1" x14ac:dyDescent="0.2">
      <c r="G7383" s="889"/>
    </row>
    <row r="7384" spans="7:7" ht="10.5" customHeight="1" x14ac:dyDescent="0.2">
      <c r="G7384" s="889"/>
    </row>
    <row r="7385" spans="7:7" ht="10.5" customHeight="1" x14ac:dyDescent="0.2">
      <c r="G7385" s="889"/>
    </row>
    <row r="7386" spans="7:7" ht="10.5" customHeight="1" x14ac:dyDescent="0.2">
      <c r="G7386" s="889"/>
    </row>
    <row r="7387" spans="7:7" ht="10.5" customHeight="1" x14ac:dyDescent="0.2">
      <c r="G7387" s="889"/>
    </row>
    <row r="7388" spans="7:7" ht="10.5" customHeight="1" x14ac:dyDescent="0.2">
      <c r="G7388" s="889"/>
    </row>
    <row r="7389" spans="7:7" ht="10.5" customHeight="1" x14ac:dyDescent="0.2">
      <c r="G7389" s="889"/>
    </row>
    <row r="7390" spans="7:7" ht="10.5" customHeight="1" x14ac:dyDescent="0.2">
      <c r="G7390" s="889"/>
    </row>
    <row r="7391" spans="7:7" ht="10.5" customHeight="1" x14ac:dyDescent="0.2">
      <c r="G7391" s="889"/>
    </row>
    <row r="7392" spans="7:7" ht="10.5" customHeight="1" x14ac:dyDescent="0.2">
      <c r="G7392" s="889"/>
    </row>
    <row r="7393" spans="7:7" ht="10.5" customHeight="1" x14ac:dyDescent="0.2">
      <c r="G7393" s="889"/>
    </row>
    <row r="7394" spans="7:7" ht="10.5" customHeight="1" x14ac:dyDescent="0.2">
      <c r="G7394" s="889"/>
    </row>
    <row r="7395" spans="7:7" ht="10.5" customHeight="1" x14ac:dyDescent="0.2">
      <c r="G7395" s="889"/>
    </row>
    <row r="7396" spans="7:7" ht="10.5" customHeight="1" x14ac:dyDescent="0.2">
      <c r="G7396" s="889"/>
    </row>
    <row r="7397" spans="7:7" ht="10.5" customHeight="1" x14ac:dyDescent="0.2">
      <c r="G7397" s="889"/>
    </row>
    <row r="7398" spans="7:7" ht="10.5" customHeight="1" x14ac:dyDescent="0.2">
      <c r="G7398" s="889"/>
    </row>
    <row r="7399" spans="7:7" ht="10.5" customHeight="1" x14ac:dyDescent="0.2">
      <c r="G7399" s="889"/>
    </row>
    <row r="7400" spans="7:7" ht="10.5" customHeight="1" x14ac:dyDescent="0.2">
      <c r="G7400" s="889"/>
    </row>
    <row r="7401" spans="7:7" ht="10.5" customHeight="1" x14ac:dyDescent="0.2">
      <c r="G7401" s="889"/>
    </row>
    <row r="7402" spans="7:7" ht="10.5" customHeight="1" x14ac:dyDescent="0.2">
      <c r="G7402" s="889"/>
    </row>
    <row r="7403" spans="7:7" ht="10.5" customHeight="1" x14ac:dyDescent="0.2">
      <c r="G7403" s="889"/>
    </row>
    <row r="7404" spans="7:7" ht="10.5" customHeight="1" x14ac:dyDescent="0.2">
      <c r="G7404" s="889"/>
    </row>
    <row r="7405" spans="7:7" ht="10.5" customHeight="1" x14ac:dyDescent="0.2">
      <c r="G7405" s="889"/>
    </row>
    <row r="7406" spans="7:7" ht="10.5" customHeight="1" x14ac:dyDescent="0.2">
      <c r="G7406" s="889"/>
    </row>
    <row r="7407" spans="7:7" ht="10.5" customHeight="1" x14ac:dyDescent="0.2">
      <c r="G7407" s="889"/>
    </row>
    <row r="7408" spans="7:7" ht="10.5" customHeight="1" x14ac:dyDescent="0.2">
      <c r="G7408" s="889"/>
    </row>
    <row r="7409" spans="7:7" ht="10.5" customHeight="1" x14ac:dyDescent="0.2">
      <c r="G7409" s="889"/>
    </row>
    <row r="7410" spans="7:7" ht="10.5" customHeight="1" x14ac:dyDescent="0.2">
      <c r="G7410" s="889"/>
    </row>
    <row r="7411" spans="7:7" ht="10.5" customHeight="1" x14ac:dyDescent="0.2">
      <c r="G7411" s="889"/>
    </row>
    <row r="7412" spans="7:7" ht="10.5" customHeight="1" x14ac:dyDescent="0.2">
      <c r="G7412" s="889"/>
    </row>
    <row r="7413" spans="7:7" ht="10.5" customHeight="1" x14ac:dyDescent="0.2">
      <c r="G7413" s="889"/>
    </row>
    <row r="7414" spans="7:7" ht="10.5" customHeight="1" x14ac:dyDescent="0.2">
      <c r="G7414" s="889"/>
    </row>
    <row r="7415" spans="7:7" ht="10.5" customHeight="1" x14ac:dyDescent="0.2">
      <c r="G7415" s="889"/>
    </row>
    <row r="7416" spans="7:7" ht="10.5" customHeight="1" x14ac:dyDescent="0.2">
      <c r="G7416" s="889"/>
    </row>
    <row r="7417" spans="7:7" ht="10.5" customHeight="1" x14ac:dyDescent="0.2">
      <c r="G7417" s="889"/>
    </row>
    <row r="7418" spans="7:7" ht="10.5" customHeight="1" x14ac:dyDescent="0.2">
      <c r="G7418" s="889"/>
    </row>
    <row r="7419" spans="7:7" ht="10.5" customHeight="1" x14ac:dyDescent="0.2">
      <c r="G7419" s="889"/>
    </row>
    <row r="7420" spans="7:7" ht="10.5" customHeight="1" x14ac:dyDescent="0.2">
      <c r="G7420" s="889"/>
    </row>
    <row r="7421" spans="7:7" ht="10.5" customHeight="1" x14ac:dyDescent="0.2">
      <c r="G7421" s="889"/>
    </row>
    <row r="7422" spans="7:7" ht="10.5" customHeight="1" x14ac:dyDescent="0.2">
      <c r="G7422" s="889"/>
    </row>
    <row r="7423" spans="7:7" ht="10.5" customHeight="1" x14ac:dyDescent="0.2">
      <c r="G7423" s="889"/>
    </row>
    <row r="7424" spans="7:7" ht="10.5" customHeight="1" x14ac:dyDescent="0.2">
      <c r="G7424" s="889"/>
    </row>
    <row r="7425" spans="7:7" ht="10.5" customHeight="1" x14ac:dyDescent="0.2">
      <c r="G7425" s="889"/>
    </row>
    <row r="7426" spans="7:7" ht="10.5" customHeight="1" x14ac:dyDescent="0.2">
      <c r="G7426" s="889"/>
    </row>
    <row r="7427" spans="7:7" ht="10.5" customHeight="1" x14ac:dyDescent="0.2">
      <c r="G7427" s="889"/>
    </row>
    <row r="7428" spans="7:7" ht="10.5" customHeight="1" x14ac:dyDescent="0.2">
      <c r="G7428" s="889"/>
    </row>
    <row r="7429" spans="7:7" ht="10.5" customHeight="1" x14ac:dyDescent="0.2">
      <c r="G7429" s="889"/>
    </row>
    <row r="7430" spans="7:7" ht="10.5" customHeight="1" x14ac:dyDescent="0.2">
      <c r="G7430" s="889"/>
    </row>
    <row r="7431" spans="7:7" ht="10.5" customHeight="1" x14ac:dyDescent="0.2">
      <c r="G7431" s="889"/>
    </row>
    <row r="7432" spans="7:7" ht="10.5" customHeight="1" x14ac:dyDescent="0.2">
      <c r="G7432" s="889"/>
    </row>
    <row r="7433" spans="7:7" ht="10.5" customHeight="1" x14ac:dyDescent="0.2">
      <c r="G7433" s="889"/>
    </row>
    <row r="7434" spans="7:7" ht="10.5" customHeight="1" x14ac:dyDescent="0.2">
      <c r="G7434" s="889"/>
    </row>
    <row r="7435" spans="7:7" ht="10.5" customHeight="1" x14ac:dyDescent="0.2">
      <c r="G7435" s="889"/>
    </row>
    <row r="7436" spans="7:7" ht="10.5" customHeight="1" x14ac:dyDescent="0.2">
      <c r="G7436" s="889"/>
    </row>
    <row r="7437" spans="7:7" ht="10.5" customHeight="1" x14ac:dyDescent="0.2">
      <c r="G7437" s="889"/>
    </row>
    <row r="7438" spans="7:7" ht="10.5" customHeight="1" x14ac:dyDescent="0.2">
      <c r="G7438" s="889"/>
    </row>
    <row r="7439" spans="7:7" ht="10.5" customHeight="1" x14ac:dyDescent="0.2">
      <c r="G7439" s="889"/>
    </row>
    <row r="7440" spans="7:7" ht="10.5" customHeight="1" x14ac:dyDescent="0.2">
      <c r="G7440" s="889"/>
    </row>
    <row r="7441" spans="7:7" ht="10.5" customHeight="1" x14ac:dyDescent="0.2">
      <c r="G7441" s="889"/>
    </row>
    <row r="7442" spans="7:7" ht="10.5" customHeight="1" x14ac:dyDescent="0.2">
      <c r="G7442" s="889"/>
    </row>
    <row r="7443" spans="7:7" ht="10.5" customHeight="1" x14ac:dyDescent="0.2">
      <c r="G7443" s="889"/>
    </row>
    <row r="7444" spans="7:7" ht="10.5" customHeight="1" x14ac:dyDescent="0.2">
      <c r="G7444" s="889"/>
    </row>
    <row r="7445" spans="7:7" ht="10.5" customHeight="1" x14ac:dyDescent="0.2">
      <c r="G7445" s="889"/>
    </row>
    <row r="7446" spans="7:7" ht="10.5" customHeight="1" x14ac:dyDescent="0.2">
      <c r="G7446" s="889"/>
    </row>
    <row r="7447" spans="7:7" ht="10.5" customHeight="1" x14ac:dyDescent="0.2">
      <c r="G7447" s="889"/>
    </row>
    <row r="7448" spans="7:7" ht="10.5" customHeight="1" x14ac:dyDescent="0.2">
      <c r="G7448" s="889"/>
    </row>
    <row r="7449" spans="7:7" ht="10.5" customHeight="1" x14ac:dyDescent="0.2">
      <c r="G7449" s="889"/>
    </row>
    <row r="7450" spans="7:7" ht="10.5" customHeight="1" x14ac:dyDescent="0.2">
      <c r="G7450" s="889"/>
    </row>
    <row r="7451" spans="7:7" ht="10.5" customHeight="1" x14ac:dyDescent="0.2">
      <c r="G7451" s="889"/>
    </row>
    <row r="7452" spans="7:7" ht="10.5" customHeight="1" x14ac:dyDescent="0.2">
      <c r="G7452" s="889"/>
    </row>
    <row r="7453" spans="7:7" ht="10.5" customHeight="1" x14ac:dyDescent="0.2">
      <c r="G7453" s="889"/>
    </row>
    <row r="7454" spans="7:7" ht="10.5" customHeight="1" x14ac:dyDescent="0.2">
      <c r="G7454" s="889"/>
    </row>
    <row r="7455" spans="7:7" ht="10.5" customHeight="1" x14ac:dyDescent="0.2">
      <c r="G7455" s="889"/>
    </row>
    <row r="7456" spans="7:7" ht="10.5" customHeight="1" x14ac:dyDescent="0.2">
      <c r="G7456" s="889"/>
    </row>
    <row r="7457" spans="7:7" ht="10.5" customHeight="1" x14ac:dyDescent="0.2">
      <c r="G7457" s="889"/>
    </row>
    <row r="7458" spans="7:7" ht="10.5" customHeight="1" x14ac:dyDescent="0.2">
      <c r="G7458" s="889"/>
    </row>
    <row r="7459" spans="7:7" ht="10.5" customHeight="1" x14ac:dyDescent="0.2">
      <c r="G7459" s="889"/>
    </row>
    <row r="7460" spans="7:7" ht="10.5" customHeight="1" x14ac:dyDescent="0.2">
      <c r="G7460" s="889"/>
    </row>
    <row r="7461" spans="7:7" ht="10.5" customHeight="1" x14ac:dyDescent="0.2">
      <c r="G7461" s="889"/>
    </row>
    <row r="7462" spans="7:7" ht="10.5" customHeight="1" x14ac:dyDescent="0.2">
      <c r="G7462" s="889"/>
    </row>
    <row r="7463" spans="7:7" ht="10.5" customHeight="1" x14ac:dyDescent="0.2">
      <c r="G7463" s="889"/>
    </row>
    <row r="7464" spans="7:7" ht="10.5" customHeight="1" x14ac:dyDescent="0.2">
      <c r="G7464" s="889"/>
    </row>
    <row r="7465" spans="7:7" ht="10.5" customHeight="1" x14ac:dyDescent="0.2">
      <c r="G7465" s="889"/>
    </row>
    <row r="7466" spans="7:7" ht="10.5" customHeight="1" x14ac:dyDescent="0.2">
      <c r="G7466" s="889"/>
    </row>
    <row r="7467" spans="7:7" ht="10.5" customHeight="1" x14ac:dyDescent="0.2">
      <c r="G7467" s="889"/>
    </row>
    <row r="7468" spans="7:7" ht="10.5" customHeight="1" x14ac:dyDescent="0.2">
      <c r="G7468" s="889"/>
    </row>
    <row r="7469" spans="7:7" ht="10.5" customHeight="1" x14ac:dyDescent="0.2">
      <c r="G7469" s="889"/>
    </row>
    <row r="7470" spans="7:7" ht="10.5" customHeight="1" x14ac:dyDescent="0.2">
      <c r="G7470" s="889"/>
    </row>
    <row r="7471" spans="7:7" ht="10.5" customHeight="1" x14ac:dyDescent="0.2">
      <c r="G7471" s="889"/>
    </row>
    <row r="7472" spans="7:7" ht="10.5" customHeight="1" x14ac:dyDescent="0.2">
      <c r="G7472" s="889"/>
    </row>
    <row r="7473" spans="7:7" ht="10.5" customHeight="1" x14ac:dyDescent="0.2">
      <c r="G7473" s="889"/>
    </row>
    <row r="7474" spans="7:7" ht="10.5" customHeight="1" x14ac:dyDescent="0.2">
      <c r="G7474" s="889"/>
    </row>
    <row r="7475" spans="7:7" ht="10.5" customHeight="1" x14ac:dyDescent="0.2">
      <c r="G7475" s="889"/>
    </row>
    <row r="7476" spans="7:7" ht="10.5" customHeight="1" x14ac:dyDescent="0.2">
      <c r="G7476" s="889"/>
    </row>
    <row r="7477" spans="7:7" ht="10.5" customHeight="1" x14ac:dyDescent="0.2">
      <c r="G7477" s="889"/>
    </row>
    <row r="7478" spans="7:7" ht="10.5" customHeight="1" x14ac:dyDescent="0.2">
      <c r="G7478" s="889"/>
    </row>
    <row r="7479" spans="7:7" ht="10.5" customHeight="1" x14ac:dyDescent="0.2">
      <c r="G7479" s="889"/>
    </row>
    <row r="7480" spans="7:7" ht="10.5" customHeight="1" x14ac:dyDescent="0.2">
      <c r="G7480" s="889"/>
    </row>
    <row r="7481" spans="7:7" ht="10.5" customHeight="1" x14ac:dyDescent="0.2">
      <c r="G7481" s="889"/>
    </row>
    <row r="7482" spans="7:7" ht="10.5" customHeight="1" x14ac:dyDescent="0.2">
      <c r="G7482" s="889"/>
    </row>
    <row r="7483" spans="7:7" ht="10.5" customHeight="1" x14ac:dyDescent="0.2">
      <c r="G7483" s="889"/>
    </row>
    <row r="7484" spans="7:7" ht="10.5" customHeight="1" x14ac:dyDescent="0.2">
      <c r="G7484" s="889"/>
    </row>
    <row r="7485" spans="7:7" ht="10.5" customHeight="1" x14ac:dyDescent="0.2">
      <c r="G7485" s="889"/>
    </row>
    <row r="7486" spans="7:7" ht="10.5" customHeight="1" x14ac:dyDescent="0.2">
      <c r="G7486" s="889"/>
    </row>
    <row r="7487" spans="7:7" ht="10.5" customHeight="1" x14ac:dyDescent="0.2">
      <c r="G7487" s="889"/>
    </row>
    <row r="7488" spans="7:7" ht="10.5" customHeight="1" x14ac:dyDescent="0.2">
      <c r="G7488" s="889"/>
    </row>
    <row r="7489" spans="7:7" ht="10.5" customHeight="1" x14ac:dyDescent="0.2">
      <c r="G7489" s="889"/>
    </row>
    <row r="7490" spans="7:7" ht="10.5" customHeight="1" x14ac:dyDescent="0.2">
      <c r="G7490" s="889"/>
    </row>
    <row r="7491" spans="7:7" ht="10.5" customHeight="1" x14ac:dyDescent="0.2">
      <c r="G7491" s="889"/>
    </row>
    <row r="7492" spans="7:7" ht="10.5" customHeight="1" x14ac:dyDescent="0.2">
      <c r="G7492" s="889"/>
    </row>
    <row r="7493" spans="7:7" ht="10.5" customHeight="1" x14ac:dyDescent="0.2">
      <c r="G7493" s="889"/>
    </row>
    <row r="7494" spans="7:7" ht="10.5" customHeight="1" x14ac:dyDescent="0.2">
      <c r="G7494" s="889"/>
    </row>
    <row r="7495" spans="7:7" ht="10.5" customHeight="1" x14ac:dyDescent="0.2">
      <c r="G7495" s="889"/>
    </row>
    <row r="7496" spans="7:7" ht="10.5" customHeight="1" x14ac:dyDescent="0.2">
      <c r="G7496" s="889"/>
    </row>
    <row r="7497" spans="7:7" ht="10.5" customHeight="1" x14ac:dyDescent="0.2">
      <c r="G7497" s="889"/>
    </row>
    <row r="7498" spans="7:7" ht="10.5" customHeight="1" x14ac:dyDescent="0.2">
      <c r="G7498" s="889"/>
    </row>
    <row r="7499" spans="7:7" ht="10.5" customHeight="1" x14ac:dyDescent="0.2">
      <c r="G7499" s="889"/>
    </row>
    <row r="7500" spans="7:7" ht="10.5" customHeight="1" x14ac:dyDescent="0.2">
      <c r="G7500" s="889"/>
    </row>
    <row r="7501" spans="7:7" ht="10.5" customHeight="1" x14ac:dyDescent="0.2">
      <c r="G7501" s="889"/>
    </row>
    <row r="7502" spans="7:7" ht="10.5" customHeight="1" x14ac:dyDescent="0.2">
      <c r="G7502" s="889"/>
    </row>
    <row r="7503" spans="7:7" ht="10.5" customHeight="1" x14ac:dyDescent="0.2">
      <c r="G7503" s="889"/>
    </row>
    <row r="7504" spans="7:7" ht="10.5" customHeight="1" x14ac:dyDescent="0.2">
      <c r="G7504" s="889"/>
    </row>
    <row r="7505" spans="7:7" ht="10.5" customHeight="1" x14ac:dyDescent="0.2">
      <c r="G7505" s="889"/>
    </row>
    <row r="7506" spans="7:7" ht="10.5" customHeight="1" x14ac:dyDescent="0.2">
      <c r="G7506" s="889"/>
    </row>
    <row r="7507" spans="7:7" ht="10.5" customHeight="1" x14ac:dyDescent="0.2">
      <c r="G7507" s="889"/>
    </row>
    <row r="7508" spans="7:7" ht="10.5" customHeight="1" x14ac:dyDescent="0.2">
      <c r="G7508" s="889"/>
    </row>
    <row r="7509" spans="7:7" ht="10.5" customHeight="1" x14ac:dyDescent="0.2">
      <c r="G7509" s="889"/>
    </row>
    <row r="7510" spans="7:7" ht="10.5" customHeight="1" x14ac:dyDescent="0.2">
      <c r="G7510" s="889"/>
    </row>
    <row r="7511" spans="7:7" ht="10.5" customHeight="1" x14ac:dyDescent="0.2">
      <c r="G7511" s="889"/>
    </row>
    <row r="7512" spans="7:7" ht="10.5" customHeight="1" x14ac:dyDescent="0.2">
      <c r="G7512" s="889"/>
    </row>
    <row r="7513" spans="7:7" ht="10.5" customHeight="1" x14ac:dyDescent="0.2">
      <c r="G7513" s="889"/>
    </row>
    <row r="7514" spans="7:7" ht="10.5" customHeight="1" x14ac:dyDescent="0.2">
      <c r="G7514" s="889"/>
    </row>
    <row r="7515" spans="7:7" ht="10.5" customHeight="1" x14ac:dyDescent="0.2">
      <c r="G7515" s="889"/>
    </row>
    <row r="7516" spans="7:7" ht="10.5" customHeight="1" x14ac:dyDescent="0.2">
      <c r="G7516" s="889"/>
    </row>
    <row r="7517" spans="7:7" ht="10.5" customHeight="1" x14ac:dyDescent="0.2">
      <c r="G7517" s="889"/>
    </row>
    <row r="7518" spans="7:7" ht="10.5" customHeight="1" x14ac:dyDescent="0.2">
      <c r="G7518" s="889"/>
    </row>
    <row r="7519" spans="7:7" ht="10.5" customHeight="1" x14ac:dyDescent="0.2">
      <c r="G7519" s="889"/>
    </row>
    <row r="7520" spans="7:7" ht="10.5" customHeight="1" x14ac:dyDescent="0.2">
      <c r="G7520" s="889"/>
    </row>
    <row r="7521" spans="7:7" ht="10.5" customHeight="1" x14ac:dyDescent="0.2">
      <c r="G7521" s="889"/>
    </row>
    <row r="7522" spans="7:7" ht="10.5" customHeight="1" x14ac:dyDescent="0.2">
      <c r="G7522" s="889"/>
    </row>
    <row r="7523" spans="7:7" ht="10.5" customHeight="1" x14ac:dyDescent="0.2">
      <c r="G7523" s="889"/>
    </row>
    <row r="7524" spans="7:7" ht="10.5" customHeight="1" x14ac:dyDescent="0.2">
      <c r="G7524" s="889"/>
    </row>
    <row r="7525" spans="7:7" ht="10.5" customHeight="1" x14ac:dyDescent="0.2">
      <c r="G7525" s="889"/>
    </row>
    <row r="7526" spans="7:7" ht="10.5" customHeight="1" x14ac:dyDescent="0.2">
      <c r="G7526" s="889"/>
    </row>
    <row r="7527" spans="7:7" ht="10.5" customHeight="1" x14ac:dyDescent="0.2">
      <c r="G7527" s="889"/>
    </row>
    <row r="7528" spans="7:7" ht="10.5" customHeight="1" x14ac:dyDescent="0.2">
      <c r="G7528" s="889"/>
    </row>
    <row r="7529" spans="7:7" ht="10.5" customHeight="1" x14ac:dyDescent="0.2">
      <c r="G7529" s="889"/>
    </row>
    <row r="7530" spans="7:7" ht="10.5" customHeight="1" x14ac:dyDescent="0.2">
      <c r="G7530" s="889"/>
    </row>
    <row r="7531" spans="7:7" ht="10.5" customHeight="1" x14ac:dyDescent="0.2">
      <c r="G7531" s="889"/>
    </row>
    <row r="7532" spans="7:7" ht="10.5" customHeight="1" x14ac:dyDescent="0.2">
      <c r="G7532" s="889"/>
    </row>
    <row r="7533" spans="7:7" ht="10.5" customHeight="1" x14ac:dyDescent="0.2">
      <c r="G7533" s="889"/>
    </row>
    <row r="7534" spans="7:7" ht="10.5" customHeight="1" x14ac:dyDescent="0.2">
      <c r="G7534" s="889"/>
    </row>
    <row r="7535" spans="7:7" ht="10.5" customHeight="1" x14ac:dyDescent="0.2">
      <c r="G7535" s="889"/>
    </row>
    <row r="7536" spans="7:7" ht="10.5" customHeight="1" x14ac:dyDescent="0.2">
      <c r="G7536" s="889"/>
    </row>
    <row r="7537" spans="7:7" ht="10.5" customHeight="1" x14ac:dyDescent="0.2">
      <c r="G7537" s="889"/>
    </row>
    <row r="7538" spans="7:7" ht="10.5" customHeight="1" x14ac:dyDescent="0.2">
      <c r="G7538" s="889"/>
    </row>
    <row r="7539" spans="7:7" ht="10.5" customHeight="1" x14ac:dyDescent="0.2">
      <c r="G7539" s="889"/>
    </row>
    <row r="7540" spans="7:7" ht="10.5" customHeight="1" x14ac:dyDescent="0.2">
      <c r="G7540" s="889"/>
    </row>
    <row r="7541" spans="7:7" ht="10.5" customHeight="1" x14ac:dyDescent="0.2">
      <c r="G7541" s="889"/>
    </row>
    <row r="7542" spans="7:7" ht="10.5" customHeight="1" x14ac:dyDescent="0.2">
      <c r="G7542" s="889"/>
    </row>
    <row r="7543" spans="7:7" ht="10.5" customHeight="1" x14ac:dyDescent="0.2">
      <c r="G7543" s="889"/>
    </row>
    <row r="7544" spans="7:7" ht="10.5" customHeight="1" x14ac:dyDescent="0.2">
      <c r="G7544" s="889"/>
    </row>
    <row r="7545" spans="7:7" ht="10.5" customHeight="1" x14ac:dyDescent="0.2">
      <c r="G7545" s="889"/>
    </row>
    <row r="7546" spans="7:7" ht="10.5" customHeight="1" x14ac:dyDescent="0.2">
      <c r="G7546" s="889"/>
    </row>
    <row r="7547" spans="7:7" ht="10.5" customHeight="1" x14ac:dyDescent="0.2">
      <c r="G7547" s="889"/>
    </row>
    <row r="7548" spans="7:7" ht="10.5" customHeight="1" x14ac:dyDescent="0.2">
      <c r="G7548" s="889"/>
    </row>
    <row r="7549" spans="7:7" ht="10.5" customHeight="1" x14ac:dyDescent="0.2">
      <c r="G7549" s="889"/>
    </row>
    <row r="7550" spans="7:7" ht="10.5" customHeight="1" x14ac:dyDescent="0.2">
      <c r="G7550" s="889"/>
    </row>
    <row r="7551" spans="7:7" ht="10.5" customHeight="1" x14ac:dyDescent="0.2">
      <c r="G7551" s="889"/>
    </row>
    <row r="7552" spans="7:7" ht="10.5" customHeight="1" x14ac:dyDescent="0.2">
      <c r="G7552" s="889"/>
    </row>
    <row r="7553" spans="7:7" ht="10.5" customHeight="1" x14ac:dyDescent="0.2">
      <c r="G7553" s="889"/>
    </row>
    <row r="7554" spans="7:7" ht="10.5" customHeight="1" x14ac:dyDescent="0.2">
      <c r="G7554" s="889"/>
    </row>
    <row r="7555" spans="7:7" ht="10.5" customHeight="1" x14ac:dyDescent="0.2">
      <c r="G7555" s="889"/>
    </row>
    <row r="7556" spans="7:7" ht="10.5" customHeight="1" x14ac:dyDescent="0.2">
      <c r="G7556" s="889"/>
    </row>
    <row r="7557" spans="7:7" ht="10.5" customHeight="1" x14ac:dyDescent="0.2">
      <c r="G7557" s="889"/>
    </row>
    <row r="7558" spans="7:7" ht="10.5" customHeight="1" x14ac:dyDescent="0.2">
      <c r="G7558" s="889"/>
    </row>
    <row r="7559" spans="7:7" ht="10.5" customHeight="1" x14ac:dyDescent="0.2">
      <c r="G7559" s="889"/>
    </row>
    <row r="7560" spans="7:7" ht="10.5" customHeight="1" x14ac:dyDescent="0.2">
      <c r="G7560" s="889"/>
    </row>
    <row r="7561" spans="7:7" ht="10.5" customHeight="1" x14ac:dyDescent="0.2">
      <c r="G7561" s="889"/>
    </row>
    <row r="7562" spans="7:7" ht="10.5" customHeight="1" x14ac:dyDescent="0.2">
      <c r="G7562" s="889"/>
    </row>
    <row r="7563" spans="7:7" ht="10.5" customHeight="1" x14ac:dyDescent="0.2">
      <c r="G7563" s="889"/>
    </row>
    <row r="7564" spans="7:7" ht="10.5" customHeight="1" x14ac:dyDescent="0.2">
      <c r="G7564" s="889"/>
    </row>
    <row r="7565" spans="7:7" ht="10.5" customHeight="1" x14ac:dyDescent="0.2">
      <c r="G7565" s="889"/>
    </row>
    <row r="7566" spans="7:7" ht="10.5" customHeight="1" x14ac:dyDescent="0.2">
      <c r="G7566" s="889"/>
    </row>
    <row r="7567" spans="7:7" ht="10.5" customHeight="1" x14ac:dyDescent="0.2">
      <c r="G7567" s="889"/>
    </row>
    <row r="7568" spans="7:7" ht="10.5" customHeight="1" x14ac:dyDescent="0.2">
      <c r="G7568" s="889"/>
    </row>
    <row r="7569" spans="7:7" ht="10.5" customHeight="1" x14ac:dyDescent="0.2">
      <c r="G7569" s="889"/>
    </row>
    <row r="7570" spans="7:7" ht="10.5" customHeight="1" x14ac:dyDescent="0.2">
      <c r="G7570" s="889"/>
    </row>
    <row r="7571" spans="7:7" ht="10.5" customHeight="1" x14ac:dyDescent="0.2">
      <c r="G7571" s="889"/>
    </row>
    <row r="7572" spans="7:7" ht="10.5" customHeight="1" x14ac:dyDescent="0.2">
      <c r="G7572" s="889"/>
    </row>
    <row r="7573" spans="7:7" ht="10.5" customHeight="1" x14ac:dyDescent="0.2">
      <c r="G7573" s="889"/>
    </row>
    <row r="7574" spans="7:7" ht="10.5" customHeight="1" x14ac:dyDescent="0.2">
      <c r="G7574" s="889"/>
    </row>
    <row r="7575" spans="7:7" ht="10.5" customHeight="1" x14ac:dyDescent="0.2">
      <c r="G7575" s="889"/>
    </row>
    <row r="7576" spans="7:7" ht="10.5" customHeight="1" x14ac:dyDescent="0.2">
      <c r="G7576" s="889"/>
    </row>
    <row r="7577" spans="7:7" ht="10.5" customHeight="1" x14ac:dyDescent="0.2">
      <c r="G7577" s="889"/>
    </row>
    <row r="7578" spans="7:7" ht="10.5" customHeight="1" x14ac:dyDescent="0.2">
      <c r="G7578" s="889"/>
    </row>
    <row r="7579" spans="7:7" ht="10.5" customHeight="1" x14ac:dyDescent="0.2">
      <c r="G7579" s="889"/>
    </row>
    <row r="7580" spans="7:7" ht="10.5" customHeight="1" x14ac:dyDescent="0.2">
      <c r="G7580" s="889"/>
    </row>
    <row r="7581" spans="7:7" ht="10.5" customHeight="1" x14ac:dyDescent="0.2">
      <c r="G7581" s="889"/>
    </row>
    <row r="7582" spans="7:7" ht="10.5" customHeight="1" x14ac:dyDescent="0.2">
      <c r="G7582" s="889"/>
    </row>
    <row r="7583" spans="7:7" ht="10.5" customHeight="1" x14ac:dyDescent="0.2">
      <c r="G7583" s="889"/>
    </row>
    <row r="7584" spans="7:7" ht="10.5" customHeight="1" x14ac:dyDescent="0.2">
      <c r="G7584" s="889"/>
    </row>
    <row r="7585" spans="7:7" ht="10.5" customHeight="1" x14ac:dyDescent="0.2">
      <c r="G7585" s="889"/>
    </row>
    <row r="7586" spans="7:7" ht="10.5" customHeight="1" x14ac:dyDescent="0.2">
      <c r="G7586" s="889"/>
    </row>
    <row r="7587" spans="7:7" ht="10.5" customHeight="1" x14ac:dyDescent="0.2">
      <c r="G7587" s="889"/>
    </row>
    <row r="7588" spans="7:7" ht="10.5" customHeight="1" x14ac:dyDescent="0.2">
      <c r="G7588" s="889"/>
    </row>
    <row r="7589" spans="7:7" ht="10.5" customHeight="1" x14ac:dyDescent="0.2">
      <c r="G7589" s="889"/>
    </row>
    <row r="7590" spans="7:7" ht="10.5" customHeight="1" x14ac:dyDescent="0.2">
      <c r="G7590" s="889"/>
    </row>
    <row r="7591" spans="7:7" ht="10.5" customHeight="1" x14ac:dyDescent="0.2">
      <c r="G7591" s="889"/>
    </row>
    <row r="7592" spans="7:7" ht="10.5" customHeight="1" x14ac:dyDescent="0.2">
      <c r="G7592" s="889"/>
    </row>
    <row r="7593" spans="7:7" ht="10.5" customHeight="1" x14ac:dyDescent="0.2">
      <c r="G7593" s="889"/>
    </row>
    <row r="7594" spans="7:7" ht="10.5" customHeight="1" x14ac:dyDescent="0.2">
      <c r="G7594" s="889"/>
    </row>
    <row r="7595" spans="7:7" ht="10.5" customHeight="1" x14ac:dyDescent="0.2">
      <c r="G7595" s="889"/>
    </row>
    <row r="7596" spans="7:7" ht="10.5" customHeight="1" x14ac:dyDescent="0.2">
      <c r="G7596" s="889"/>
    </row>
    <row r="7597" spans="7:7" ht="10.5" customHeight="1" x14ac:dyDescent="0.2">
      <c r="G7597" s="889"/>
    </row>
    <row r="7598" spans="7:7" ht="10.5" customHeight="1" x14ac:dyDescent="0.2">
      <c r="G7598" s="889"/>
    </row>
    <row r="7599" spans="7:7" ht="10.5" customHeight="1" x14ac:dyDescent="0.2">
      <c r="G7599" s="889"/>
    </row>
    <row r="7600" spans="7:7" ht="10.5" customHeight="1" x14ac:dyDescent="0.2">
      <c r="G7600" s="889"/>
    </row>
    <row r="7601" spans="7:7" ht="10.5" customHeight="1" x14ac:dyDescent="0.2">
      <c r="G7601" s="889"/>
    </row>
    <row r="7602" spans="7:7" ht="10.5" customHeight="1" x14ac:dyDescent="0.2">
      <c r="G7602" s="889"/>
    </row>
    <row r="7603" spans="7:7" ht="10.5" customHeight="1" x14ac:dyDescent="0.2">
      <c r="G7603" s="889"/>
    </row>
    <row r="7604" spans="7:7" ht="10.5" customHeight="1" x14ac:dyDescent="0.2">
      <c r="G7604" s="889"/>
    </row>
    <row r="7605" spans="7:7" ht="10.5" customHeight="1" x14ac:dyDescent="0.2">
      <c r="G7605" s="889"/>
    </row>
    <row r="7606" spans="7:7" ht="10.5" customHeight="1" x14ac:dyDescent="0.2">
      <c r="G7606" s="889"/>
    </row>
    <row r="7607" spans="7:7" ht="10.5" customHeight="1" x14ac:dyDescent="0.2">
      <c r="G7607" s="889"/>
    </row>
    <row r="7608" spans="7:7" ht="10.5" customHeight="1" x14ac:dyDescent="0.2">
      <c r="G7608" s="889"/>
    </row>
    <row r="7609" spans="7:7" ht="10.5" customHeight="1" x14ac:dyDescent="0.2">
      <c r="G7609" s="889"/>
    </row>
    <row r="7610" spans="7:7" ht="10.5" customHeight="1" x14ac:dyDescent="0.2">
      <c r="G7610" s="889"/>
    </row>
    <row r="7611" spans="7:7" ht="10.5" customHeight="1" x14ac:dyDescent="0.2">
      <c r="G7611" s="889"/>
    </row>
    <row r="7612" spans="7:7" ht="10.5" customHeight="1" x14ac:dyDescent="0.2">
      <c r="G7612" s="889"/>
    </row>
    <row r="7613" spans="7:7" ht="10.5" customHeight="1" x14ac:dyDescent="0.2">
      <c r="G7613" s="889"/>
    </row>
    <row r="7614" spans="7:7" ht="10.5" customHeight="1" x14ac:dyDescent="0.2">
      <c r="G7614" s="889"/>
    </row>
    <row r="7615" spans="7:7" ht="10.5" customHeight="1" x14ac:dyDescent="0.2">
      <c r="G7615" s="889"/>
    </row>
    <row r="7616" spans="7:7" ht="10.5" customHeight="1" x14ac:dyDescent="0.2">
      <c r="G7616" s="889"/>
    </row>
    <row r="7617" spans="7:7" ht="10.5" customHeight="1" x14ac:dyDescent="0.2">
      <c r="G7617" s="889"/>
    </row>
    <row r="7618" spans="7:7" ht="10.5" customHeight="1" x14ac:dyDescent="0.2">
      <c r="G7618" s="889"/>
    </row>
    <row r="7619" spans="7:7" ht="10.5" customHeight="1" x14ac:dyDescent="0.2">
      <c r="G7619" s="889"/>
    </row>
    <row r="7620" spans="7:7" ht="10.5" customHeight="1" x14ac:dyDescent="0.2">
      <c r="G7620" s="889"/>
    </row>
    <row r="7621" spans="7:7" ht="10.5" customHeight="1" x14ac:dyDescent="0.2">
      <c r="G7621" s="889"/>
    </row>
    <row r="7622" spans="7:7" ht="10.5" customHeight="1" x14ac:dyDescent="0.2">
      <c r="G7622" s="889"/>
    </row>
    <row r="7623" spans="7:7" ht="10.5" customHeight="1" x14ac:dyDescent="0.2">
      <c r="G7623" s="889"/>
    </row>
    <row r="7624" spans="7:7" ht="10.5" customHeight="1" x14ac:dyDescent="0.2">
      <c r="G7624" s="889"/>
    </row>
    <row r="7625" spans="7:7" ht="10.5" customHeight="1" x14ac:dyDescent="0.2">
      <c r="G7625" s="889"/>
    </row>
    <row r="7626" spans="7:7" ht="10.5" customHeight="1" x14ac:dyDescent="0.2">
      <c r="G7626" s="889"/>
    </row>
    <row r="7627" spans="7:7" ht="10.5" customHeight="1" x14ac:dyDescent="0.2">
      <c r="G7627" s="889"/>
    </row>
    <row r="7628" spans="7:7" ht="10.5" customHeight="1" x14ac:dyDescent="0.2">
      <c r="G7628" s="889"/>
    </row>
    <row r="7629" spans="7:7" ht="10.5" customHeight="1" x14ac:dyDescent="0.2">
      <c r="G7629" s="889"/>
    </row>
    <row r="7630" spans="7:7" ht="10.5" customHeight="1" x14ac:dyDescent="0.2">
      <c r="G7630" s="889"/>
    </row>
    <row r="7631" spans="7:7" ht="10.5" customHeight="1" x14ac:dyDescent="0.2">
      <c r="G7631" s="889"/>
    </row>
    <row r="7632" spans="7:7" ht="10.5" customHeight="1" x14ac:dyDescent="0.2">
      <c r="G7632" s="889"/>
    </row>
    <row r="7633" spans="7:7" ht="10.5" customHeight="1" x14ac:dyDescent="0.2">
      <c r="G7633" s="889"/>
    </row>
    <row r="7634" spans="7:7" ht="10.5" customHeight="1" x14ac:dyDescent="0.2">
      <c r="G7634" s="889"/>
    </row>
    <row r="7635" spans="7:7" ht="10.5" customHeight="1" x14ac:dyDescent="0.2">
      <c r="G7635" s="889"/>
    </row>
    <row r="7636" spans="7:7" ht="10.5" customHeight="1" x14ac:dyDescent="0.2">
      <c r="G7636" s="889"/>
    </row>
    <row r="7637" spans="7:7" ht="10.5" customHeight="1" x14ac:dyDescent="0.2">
      <c r="G7637" s="889"/>
    </row>
    <row r="7638" spans="7:7" ht="10.5" customHeight="1" x14ac:dyDescent="0.2">
      <c r="G7638" s="889"/>
    </row>
    <row r="7639" spans="7:7" ht="10.5" customHeight="1" x14ac:dyDescent="0.2">
      <c r="G7639" s="889"/>
    </row>
    <row r="7640" spans="7:7" ht="10.5" customHeight="1" x14ac:dyDescent="0.2">
      <c r="G7640" s="889"/>
    </row>
    <row r="7641" spans="7:7" ht="10.5" customHeight="1" x14ac:dyDescent="0.2">
      <c r="G7641" s="889"/>
    </row>
    <row r="7642" spans="7:7" ht="10.5" customHeight="1" x14ac:dyDescent="0.2">
      <c r="G7642" s="889"/>
    </row>
    <row r="7643" spans="7:7" ht="10.5" customHeight="1" x14ac:dyDescent="0.2">
      <c r="G7643" s="889"/>
    </row>
    <row r="7644" spans="7:7" ht="10.5" customHeight="1" x14ac:dyDescent="0.2">
      <c r="G7644" s="889"/>
    </row>
    <row r="7645" spans="7:7" ht="10.5" customHeight="1" x14ac:dyDescent="0.2">
      <c r="G7645" s="889"/>
    </row>
    <row r="7646" spans="7:7" ht="10.5" customHeight="1" x14ac:dyDescent="0.2">
      <c r="G7646" s="889"/>
    </row>
    <row r="7647" spans="7:7" ht="10.5" customHeight="1" x14ac:dyDescent="0.2">
      <c r="G7647" s="889"/>
    </row>
    <row r="7648" spans="7:7" ht="10.5" customHeight="1" x14ac:dyDescent="0.2">
      <c r="G7648" s="889"/>
    </row>
    <row r="7649" spans="7:7" ht="10.5" customHeight="1" x14ac:dyDescent="0.2">
      <c r="G7649" s="889"/>
    </row>
    <row r="7650" spans="7:7" ht="10.5" customHeight="1" x14ac:dyDescent="0.2">
      <c r="G7650" s="889"/>
    </row>
    <row r="7651" spans="7:7" ht="10.5" customHeight="1" x14ac:dyDescent="0.2">
      <c r="G7651" s="889"/>
    </row>
    <row r="7652" spans="7:7" ht="10.5" customHeight="1" x14ac:dyDescent="0.2">
      <c r="G7652" s="889"/>
    </row>
    <row r="7653" spans="7:7" ht="10.5" customHeight="1" x14ac:dyDescent="0.2">
      <c r="G7653" s="889"/>
    </row>
    <row r="7654" spans="7:7" ht="10.5" customHeight="1" x14ac:dyDescent="0.2">
      <c r="G7654" s="889"/>
    </row>
    <row r="7655" spans="7:7" ht="10.5" customHeight="1" x14ac:dyDescent="0.2">
      <c r="G7655" s="889"/>
    </row>
    <row r="7656" spans="7:7" ht="10.5" customHeight="1" x14ac:dyDescent="0.2">
      <c r="G7656" s="889"/>
    </row>
    <row r="7657" spans="7:7" ht="10.5" customHeight="1" x14ac:dyDescent="0.2">
      <c r="G7657" s="889"/>
    </row>
    <row r="7658" spans="7:7" ht="10.5" customHeight="1" x14ac:dyDescent="0.2">
      <c r="G7658" s="889"/>
    </row>
    <row r="7659" spans="7:7" ht="10.5" customHeight="1" x14ac:dyDescent="0.2">
      <c r="G7659" s="889"/>
    </row>
    <row r="7660" spans="7:7" ht="10.5" customHeight="1" x14ac:dyDescent="0.2">
      <c r="G7660" s="889"/>
    </row>
    <row r="7661" spans="7:7" ht="10.5" customHeight="1" x14ac:dyDescent="0.2">
      <c r="G7661" s="889"/>
    </row>
    <row r="7662" spans="7:7" ht="10.5" customHeight="1" x14ac:dyDescent="0.2">
      <c r="G7662" s="889"/>
    </row>
    <row r="7663" spans="7:7" ht="10.5" customHeight="1" x14ac:dyDescent="0.2">
      <c r="G7663" s="889"/>
    </row>
    <row r="7664" spans="7:7" ht="10.5" customHeight="1" x14ac:dyDescent="0.2">
      <c r="G7664" s="889"/>
    </row>
    <row r="7665" spans="7:7" ht="10.5" customHeight="1" x14ac:dyDescent="0.2">
      <c r="G7665" s="889"/>
    </row>
    <row r="7666" spans="7:7" ht="10.5" customHeight="1" x14ac:dyDescent="0.2">
      <c r="G7666" s="889"/>
    </row>
    <row r="7667" spans="7:7" ht="10.5" customHeight="1" x14ac:dyDescent="0.2">
      <c r="G7667" s="889"/>
    </row>
    <row r="7668" spans="7:7" ht="10.5" customHeight="1" x14ac:dyDescent="0.2">
      <c r="G7668" s="889"/>
    </row>
    <row r="7669" spans="7:7" ht="10.5" customHeight="1" x14ac:dyDescent="0.2">
      <c r="G7669" s="889"/>
    </row>
    <row r="7670" spans="7:7" ht="10.5" customHeight="1" x14ac:dyDescent="0.2">
      <c r="G7670" s="889"/>
    </row>
    <row r="7671" spans="7:7" ht="10.5" customHeight="1" x14ac:dyDescent="0.2">
      <c r="G7671" s="889"/>
    </row>
    <row r="7672" spans="7:7" ht="10.5" customHeight="1" x14ac:dyDescent="0.2">
      <c r="G7672" s="889"/>
    </row>
    <row r="7673" spans="7:7" ht="10.5" customHeight="1" x14ac:dyDescent="0.2">
      <c r="G7673" s="889"/>
    </row>
    <row r="7674" spans="7:7" ht="10.5" customHeight="1" x14ac:dyDescent="0.2">
      <c r="G7674" s="889"/>
    </row>
    <row r="7675" spans="7:7" ht="10.5" customHeight="1" x14ac:dyDescent="0.2">
      <c r="G7675" s="889"/>
    </row>
    <row r="7676" spans="7:7" ht="10.5" customHeight="1" x14ac:dyDescent="0.2">
      <c r="G7676" s="889"/>
    </row>
    <row r="7677" spans="7:7" ht="10.5" customHeight="1" x14ac:dyDescent="0.2">
      <c r="G7677" s="889"/>
    </row>
    <row r="7678" spans="7:7" ht="10.5" customHeight="1" x14ac:dyDescent="0.2">
      <c r="G7678" s="889"/>
    </row>
    <row r="7679" spans="7:7" ht="10.5" customHeight="1" x14ac:dyDescent="0.2">
      <c r="G7679" s="889"/>
    </row>
    <row r="7680" spans="7:7" ht="10.5" customHeight="1" x14ac:dyDescent="0.2">
      <c r="G7680" s="889"/>
    </row>
    <row r="7681" spans="7:7" ht="10.5" customHeight="1" x14ac:dyDescent="0.2">
      <c r="G7681" s="889"/>
    </row>
    <row r="7682" spans="7:7" ht="10.5" customHeight="1" x14ac:dyDescent="0.2">
      <c r="G7682" s="889"/>
    </row>
    <row r="7683" spans="7:7" ht="10.5" customHeight="1" x14ac:dyDescent="0.2">
      <c r="G7683" s="889"/>
    </row>
    <row r="7684" spans="7:7" ht="10.5" customHeight="1" x14ac:dyDescent="0.2">
      <c r="G7684" s="889"/>
    </row>
    <row r="7685" spans="7:7" ht="10.5" customHeight="1" x14ac:dyDescent="0.2">
      <c r="G7685" s="889"/>
    </row>
    <row r="7686" spans="7:7" ht="10.5" customHeight="1" x14ac:dyDescent="0.2">
      <c r="G7686" s="889"/>
    </row>
    <row r="7687" spans="7:7" ht="10.5" customHeight="1" x14ac:dyDescent="0.2">
      <c r="G7687" s="889"/>
    </row>
    <row r="7688" spans="7:7" ht="10.5" customHeight="1" x14ac:dyDescent="0.2">
      <c r="G7688" s="889"/>
    </row>
    <row r="7689" spans="7:7" ht="10.5" customHeight="1" x14ac:dyDescent="0.2">
      <c r="G7689" s="889"/>
    </row>
    <row r="7690" spans="7:7" ht="10.5" customHeight="1" x14ac:dyDescent="0.2">
      <c r="G7690" s="889"/>
    </row>
    <row r="7691" spans="7:7" ht="10.5" customHeight="1" x14ac:dyDescent="0.2">
      <c r="G7691" s="889"/>
    </row>
    <row r="7692" spans="7:7" ht="10.5" customHeight="1" x14ac:dyDescent="0.2">
      <c r="G7692" s="889"/>
    </row>
    <row r="7693" spans="7:7" ht="10.5" customHeight="1" x14ac:dyDescent="0.2">
      <c r="G7693" s="889"/>
    </row>
    <row r="7694" spans="7:7" ht="10.5" customHeight="1" x14ac:dyDescent="0.2">
      <c r="G7694" s="889"/>
    </row>
    <row r="7695" spans="7:7" ht="10.5" customHeight="1" x14ac:dyDescent="0.2">
      <c r="G7695" s="889"/>
    </row>
    <row r="7696" spans="7:7" ht="10.5" customHeight="1" x14ac:dyDescent="0.2">
      <c r="G7696" s="889"/>
    </row>
    <row r="7697" spans="7:7" ht="10.5" customHeight="1" x14ac:dyDescent="0.2">
      <c r="G7697" s="889"/>
    </row>
    <row r="7698" spans="7:7" ht="10.5" customHeight="1" x14ac:dyDescent="0.2">
      <c r="G7698" s="889"/>
    </row>
    <row r="7699" spans="7:7" ht="10.5" customHeight="1" x14ac:dyDescent="0.2">
      <c r="G7699" s="889"/>
    </row>
    <row r="7700" spans="7:7" ht="10.5" customHeight="1" x14ac:dyDescent="0.2">
      <c r="G7700" s="889"/>
    </row>
    <row r="7701" spans="7:7" ht="10.5" customHeight="1" x14ac:dyDescent="0.2">
      <c r="G7701" s="889"/>
    </row>
    <row r="7702" spans="7:7" ht="10.5" customHeight="1" x14ac:dyDescent="0.2">
      <c r="G7702" s="889"/>
    </row>
    <row r="7703" spans="7:7" ht="10.5" customHeight="1" x14ac:dyDescent="0.2">
      <c r="G7703" s="889"/>
    </row>
    <row r="7704" spans="7:7" ht="10.5" customHeight="1" x14ac:dyDescent="0.2">
      <c r="G7704" s="889"/>
    </row>
    <row r="7705" spans="7:7" ht="10.5" customHeight="1" x14ac:dyDescent="0.2">
      <c r="G7705" s="889"/>
    </row>
    <row r="7706" spans="7:7" ht="10.5" customHeight="1" x14ac:dyDescent="0.2">
      <c r="G7706" s="889"/>
    </row>
    <row r="7707" spans="7:7" ht="10.5" customHeight="1" x14ac:dyDescent="0.2">
      <c r="G7707" s="889"/>
    </row>
    <row r="7708" spans="7:7" ht="10.5" customHeight="1" x14ac:dyDescent="0.2">
      <c r="G7708" s="889"/>
    </row>
    <row r="7709" spans="7:7" ht="10.5" customHeight="1" x14ac:dyDescent="0.2">
      <c r="G7709" s="889"/>
    </row>
    <row r="7710" spans="7:7" ht="10.5" customHeight="1" x14ac:dyDescent="0.2">
      <c r="G7710" s="889"/>
    </row>
    <row r="7711" spans="7:7" ht="10.5" customHeight="1" x14ac:dyDescent="0.2">
      <c r="G7711" s="889"/>
    </row>
    <row r="7712" spans="7:7" ht="10.5" customHeight="1" x14ac:dyDescent="0.2">
      <c r="G7712" s="889"/>
    </row>
    <row r="7713" spans="7:7" ht="10.5" customHeight="1" x14ac:dyDescent="0.2">
      <c r="G7713" s="889"/>
    </row>
    <row r="7714" spans="7:7" ht="10.5" customHeight="1" x14ac:dyDescent="0.2">
      <c r="G7714" s="889"/>
    </row>
    <row r="7715" spans="7:7" ht="10.5" customHeight="1" x14ac:dyDescent="0.2">
      <c r="G7715" s="889"/>
    </row>
    <row r="7716" spans="7:7" ht="10.5" customHeight="1" x14ac:dyDescent="0.2">
      <c r="G7716" s="889"/>
    </row>
    <row r="7717" spans="7:7" ht="10.5" customHeight="1" x14ac:dyDescent="0.2">
      <c r="G7717" s="889"/>
    </row>
    <row r="7718" spans="7:7" ht="10.5" customHeight="1" x14ac:dyDescent="0.2">
      <c r="G7718" s="889"/>
    </row>
    <row r="7719" spans="7:7" ht="10.5" customHeight="1" x14ac:dyDescent="0.2">
      <c r="G7719" s="889"/>
    </row>
    <row r="7720" spans="7:7" ht="10.5" customHeight="1" x14ac:dyDescent="0.2">
      <c r="G7720" s="889"/>
    </row>
    <row r="7721" spans="7:7" ht="10.5" customHeight="1" x14ac:dyDescent="0.2">
      <c r="G7721" s="889"/>
    </row>
    <row r="7722" spans="7:7" ht="10.5" customHeight="1" x14ac:dyDescent="0.2">
      <c r="G7722" s="889"/>
    </row>
    <row r="7723" spans="7:7" ht="10.5" customHeight="1" x14ac:dyDescent="0.2">
      <c r="G7723" s="889"/>
    </row>
    <row r="7724" spans="7:7" ht="10.5" customHeight="1" x14ac:dyDescent="0.2">
      <c r="G7724" s="889"/>
    </row>
    <row r="7725" spans="7:7" ht="10.5" customHeight="1" x14ac:dyDescent="0.2">
      <c r="G7725" s="889"/>
    </row>
    <row r="7726" spans="7:7" ht="10.5" customHeight="1" x14ac:dyDescent="0.2">
      <c r="G7726" s="889"/>
    </row>
    <row r="7727" spans="7:7" ht="10.5" customHeight="1" x14ac:dyDescent="0.2">
      <c r="G7727" s="889"/>
    </row>
    <row r="7728" spans="7:7" ht="10.5" customHeight="1" x14ac:dyDescent="0.2">
      <c r="G7728" s="889"/>
    </row>
    <row r="7729" spans="7:7" ht="10.5" customHeight="1" x14ac:dyDescent="0.2">
      <c r="G7729" s="889"/>
    </row>
    <row r="7730" spans="7:7" ht="10.5" customHeight="1" x14ac:dyDescent="0.2">
      <c r="G7730" s="889"/>
    </row>
    <row r="7731" spans="7:7" ht="10.5" customHeight="1" x14ac:dyDescent="0.2">
      <c r="G7731" s="889"/>
    </row>
    <row r="7732" spans="7:7" ht="10.5" customHeight="1" x14ac:dyDescent="0.2">
      <c r="G7732" s="889"/>
    </row>
    <row r="7733" spans="7:7" ht="10.5" customHeight="1" x14ac:dyDescent="0.2">
      <c r="G7733" s="889"/>
    </row>
    <row r="7734" spans="7:7" ht="10.5" customHeight="1" x14ac:dyDescent="0.2">
      <c r="G7734" s="889"/>
    </row>
    <row r="7735" spans="7:7" ht="10.5" customHeight="1" x14ac:dyDescent="0.2">
      <c r="G7735" s="889"/>
    </row>
    <row r="7736" spans="7:7" ht="10.5" customHeight="1" x14ac:dyDescent="0.2">
      <c r="G7736" s="889"/>
    </row>
    <row r="7737" spans="7:7" ht="10.5" customHeight="1" x14ac:dyDescent="0.2">
      <c r="G7737" s="889"/>
    </row>
    <row r="7738" spans="7:7" ht="10.5" customHeight="1" x14ac:dyDescent="0.2">
      <c r="G7738" s="889"/>
    </row>
    <row r="7739" spans="7:7" ht="10.5" customHeight="1" x14ac:dyDescent="0.2">
      <c r="G7739" s="889"/>
    </row>
    <row r="7740" spans="7:7" ht="10.5" customHeight="1" x14ac:dyDescent="0.2">
      <c r="G7740" s="889"/>
    </row>
    <row r="7741" spans="7:7" ht="10.5" customHeight="1" x14ac:dyDescent="0.2">
      <c r="G7741" s="889"/>
    </row>
    <row r="7742" spans="7:7" ht="10.5" customHeight="1" x14ac:dyDescent="0.2">
      <c r="G7742" s="889"/>
    </row>
    <row r="7743" spans="7:7" ht="10.5" customHeight="1" x14ac:dyDescent="0.2">
      <c r="G7743" s="889"/>
    </row>
    <row r="7744" spans="7:7" ht="10.5" customHeight="1" x14ac:dyDescent="0.2">
      <c r="G7744" s="889"/>
    </row>
    <row r="7745" spans="7:7" ht="10.5" customHeight="1" x14ac:dyDescent="0.2">
      <c r="G7745" s="889"/>
    </row>
    <row r="7746" spans="7:7" ht="10.5" customHeight="1" x14ac:dyDescent="0.2">
      <c r="G7746" s="889"/>
    </row>
    <row r="7747" spans="7:7" ht="10.5" customHeight="1" x14ac:dyDescent="0.2">
      <c r="G7747" s="889"/>
    </row>
    <row r="7748" spans="7:7" ht="10.5" customHeight="1" x14ac:dyDescent="0.2">
      <c r="G7748" s="889"/>
    </row>
    <row r="7749" spans="7:7" ht="10.5" customHeight="1" x14ac:dyDescent="0.2">
      <c r="G7749" s="889"/>
    </row>
    <row r="7750" spans="7:7" ht="10.5" customHeight="1" x14ac:dyDescent="0.2">
      <c r="G7750" s="889"/>
    </row>
    <row r="7751" spans="7:7" ht="10.5" customHeight="1" x14ac:dyDescent="0.2">
      <c r="G7751" s="889"/>
    </row>
    <row r="7752" spans="7:7" ht="10.5" customHeight="1" x14ac:dyDescent="0.2">
      <c r="G7752" s="889"/>
    </row>
    <row r="7753" spans="7:7" ht="10.5" customHeight="1" x14ac:dyDescent="0.2">
      <c r="G7753" s="889"/>
    </row>
    <row r="7754" spans="7:7" ht="10.5" customHeight="1" x14ac:dyDescent="0.2">
      <c r="G7754" s="889"/>
    </row>
    <row r="7755" spans="7:7" ht="10.5" customHeight="1" x14ac:dyDescent="0.2">
      <c r="G7755" s="889"/>
    </row>
    <row r="7756" spans="7:7" ht="10.5" customHeight="1" x14ac:dyDescent="0.2">
      <c r="G7756" s="889"/>
    </row>
    <row r="7757" spans="7:7" ht="10.5" customHeight="1" x14ac:dyDescent="0.2">
      <c r="G7757" s="889"/>
    </row>
    <row r="7758" spans="7:7" ht="10.5" customHeight="1" x14ac:dyDescent="0.2">
      <c r="G7758" s="889"/>
    </row>
    <row r="7759" spans="7:7" ht="10.5" customHeight="1" x14ac:dyDescent="0.2">
      <c r="G7759" s="889"/>
    </row>
    <row r="7760" spans="7:7" ht="10.5" customHeight="1" x14ac:dyDescent="0.2">
      <c r="G7760" s="889"/>
    </row>
    <row r="7761" spans="7:7" ht="10.5" customHeight="1" x14ac:dyDescent="0.2">
      <c r="G7761" s="889"/>
    </row>
    <row r="7762" spans="7:7" ht="10.5" customHeight="1" x14ac:dyDescent="0.2">
      <c r="G7762" s="889"/>
    </row>
    <row r="7763" spans="7:7" ht="10.5" customHeight="1" x14ac:dyDescent="0.2">
      <c r="G7763" s="889"/>
    </row>
    <row r="7764" spans="7:7" ht="10.5" customHeight="1" x14ac:dyDescent="0.2">
      <c r="G7764" s="889"/>
    </row>
    <row r="7765" spans="7:7" ht="10.5" customHeight="1" x14ac:dyDescent="0.2">
      <c r="G7765" s="889"/>
    </row>
    <row r="7766" spans="7:7" ht="10.5" customHeight="1" x14ac:dyDescent="0.2">
      <c r="G7766" s="889"/>
    </row>
    <row r="7767" spans="7:7" ht="10.5" customHeight="1" x14ac:dyDescent="0.2">
      <c r="G7767" s="889"/>
    </row>
    <row r="7768" spans="7:7" ht="10.5" customHeight="1" x14ac:dyDescent="0.2">
      <c r="G7768" s="889"/>
    </row>
    <row r="7769" spans="7:7" ht="10.5" customHeight="1" x14ac:dyDescent="0.2">
      <c r="G7769" s="889"/>
    </row>
    <row r="7770" spans="7:7" ht="10.5" customHeight="1" x14ac:dyDescent="0.2">
      <c r="G7770" s="889"/>
    </row>
    <row r="7771" spans="7:7" ht="10.5" customHeight="1" x14ac:dyDescent="0.2">
      <c r="G7771" s="889"/>
    </row>
    <row r="7772" spans="7:7" ht="10.5" customHeight="1" x14ac:dyDescent="0.2">
      <c r="G7772" s="889"/>
    </row>
    <row r="7773" spans="7:7" ht="10.5" customHeight="1" x14ac:dyDescent="0.2">
      <c r="G7773" s="889"/>
    </row>
    <row r="7774" spans="7:7" ht="10.5" customHeight="1" x14ac:dyDescent="0.2">
      <c r="G7774" s="889"/>
    </row>
    <row r="7775" spans="7:7" ht="10.5" customHeight="1" x14ac:dyDescent="0.2">
      <c r="G7775" s="889"/>
    </row>
    <row r="7776" spans="7:7" ht="10.5" customHeight="1" x14ac:dyDescent="0.2">
      <c r="G7776" s="889"/>
    </row>
    <row r="7777" spans="7:7" ht="10.5" customHeight="1" x14ac:dyDescent="0.2">
      <c r="G7777" s="889"/>
    </row>
    <row r="7778" spans="7:7" ht="10.5" customHeight="1" x14ac:dyDescent="0.2">
      <c r="G7778" s="889"/>
    </row>
    <row r="7779" spans="7:7" ht="10.5" customHeight="1" x14ac:dyDescent="0.2">
      <c r="G7779" s="889"/>
    </row>
    <row r="7780" spans="7:7" ht="10.5" customHeight="1" x14ac:dyDescent="0.2">
      <c r="G7780" s="889"/>
    </row>
    <row r="7781" spans="7:7" ht="10.5" customHeight="1" x14ac:dyDescent="0.2">
      <c r="G7781" s="889"/>
    </row>
    <row r="7782" spans="7:7" ht="10.5" customHeight="1" x14ac:dyDescent="0.2">
      <c r="G7782" s="889"/>
    </row>
    <row r="7783" spans="7:7" ht="10.5" customHeight="1" x14ac:dyDescent="0.2">
      <c r="G7783" s="889"/>
    </row>
    <row r="7784" spans="7:7" ht="10.5" customHeight="1" x14ac:dyDescent="0.2">
      <c r="G7784" s="889"/>
    </row>
    <row r="7785" spans="7:7" ht="10.5" customHeight="1" x14ac:dyDescent="0.2">
      <c r="G7785" s="889"/>
    </row>
    <row r="7786" spans="7:7" ht="10.5" customHeight="1" x14ac:dyDescent="0.2">
      <c r="G7786" s="889"/>
    </row>
    <row r="7787" spans="7:7" ht="10.5" customHeight="1" x14ac:dyDescent="0.2">
      <c r="G7787" s="889"/>
    </row>
    <row r="7788" spans="7:7" ht="10.5" customHeight="1" x14ac:dyDescent="0.2">
      <c r="G7788" s="889"/>
    </row>
    <row r="7789" spans="7:7" ht="10.5" customHeight="1" x14ac:dyDescent="0.2">
      <c r="G7789" s="889"/>
    </row>
    <row r="7790" spans="7:7" ht="10.5" customHeight="1" x14ac:dyDescent="0.2">
      <c r="G7790" s="889"/>
    </row>
    <row r="7791" spans="7:7" ht="10.5" customHeight="1" x14ac:dyDescent="0.2">
      <c r="G7791" s="889"/>
    </row>
    <row r="7792" spans="7:7" ht="10.5" customHeight="1" x14ac:dyDescent="0.2">
      <c r="G7792" s="889"/>
    </row>
    <row r="7793" spans="7:7" ht="10.5" customHeight="1" x14ac:dyDescent="0.2">
      <c r="G7793" s="889"/>
    </row>
    <row r="7794" spans="7:7" ht="10.5" customHeight="1" x14ac:dyDescent="0.2">
      <c r="G7794" s="889"/>
    </row>
    <row r="7795" spans="7:7" ht="10.5" customHeight="1" x14ac:dyDescent="0.2">
      <c r="G7795" s="889"/>
    </row>
    <row r="7796" spans="7:7" ht="10.5" customHeight="1" x14ac:dyDescent="0.2">
      <c r="G7796" s="889"/>
    </row>
    <row r="7797" spans="7:7" ht="10.5" customHeight="1" x14ac:dyDescent="0.2">
      <c r="G7797" s="889"/>
    </row>
    <row r="7798" spans="7:7" ht="10.5" customHeight="1" x14ac:dyDescent="0.2">
      <c r="G7798" s="889"/>
    </row>
    <row r="7799" spans="7:7" ht="10.5" customHeight="1" x14ac:dyDescent="0.2">
      <c r="G7799" s="889"/>
    </row>
    <row r="7800" spans="7:7" ht="10.5" customHeight="1" x14ac:dyDescent="0.2">
      <c r="G7800" s="889"/>
    </row>
    <row r="7801" spans="7:7" ht="10.5" customHeight="1" x14ac:dyDescent="0.2">
      <c r="G7801" s="889"/>
    </row>
    <row r="7802" spans="7:7" ht="10.5" customHeight="1" x14ac:dyDescent="0.2">
      <c r="G7802" s="889"/>
    </row>
    <row r="7803" spans="7:7" ht="10.5" customHeight="1" x14ac:dyDescent="0.2">
      <c r="G7803" s="889"/>
    </row>
    <row r="7804" spans="7:7" ht="10.5" customHeight="1" x14ac:dyDescent="0.2">
      <c r="G7804" s="889"/>
    </row>
    <row r="7805" spans="7:7" ht="10.5" customHeight="1" x14ac:dyDescent="0.2">
      <c r="G7805" s="889"/>
    </row>
    <row r="7806" spans="7:7" ht="10.5" customHeight="1" x14ac:dyDescent="0.2">
      <c r="G7806" s="889"/>
    </row>
    <row r="7807" spans="7:7" ht="10.5" customHeight="1" x14ac:dyDescent="0.2">
      <c r="G7807" s="889"/>
    </row>
    <row r="7808" spans="7:7" ht="10.5" customHeight="1" x14ac:dyDescent="0.2">
      <c r="G7808" s="889"/>
    </row>
    <row r="7809" spans="7:7" ht="10.5" customHeight="1" x14ac:dyDescent="0.2">
      <c r="G7809" s="889"/>
    </row>
    <row r="7810" spans="7:7" ht="10.5" customHeight="1" x14ac:dyDescent="0.2">
      <c r="G7810" s="889"/>
    </row>
    <row r="7811" spans="7:7" ht="10.5" customHeight="1" x14ac:dyDescent="0.2">
      <c r="G7811" s="889"/>
    </row>
    <row r="7812" spans="7:7" ht="10.5" customHeight="1" x14ac:dyDescent="0.2">
      <c r="G7812" s="889"/>
    </row>
    <row r="7813" spans="7:7" ht="10.5" customHeight="1" x14ac:dyDescent="0.2">
      <c r="G7813" s="889"/>
    </row>
    <row r="7814" spans="7:7" ht="10.5" customHeight="1" x14ac:dyDescent="0.2">
      <c r="G7814" s="889"/>
    </row>
    <row r="7815" spans="7:7" ht="10.5" customHeight="1" x14ac:dyDescent="0.2">
      <c r="G7815" s="889"/>
    </row>
    <row r="7816" spans="7:7" ht="10.5" customHeight="1" x14ac:dyDescent="0.2">
      <c r="G7816" s="889"/>
    </row>
    <row r="7817" spans="7:7" ht="10.5" customHeight="1" x14ac:dyDescent="0.2">
      <c r="G7817" s="889"/>
    </row>
    <row r="7818" spans="7:7" ht="10.5" customHeight="1" x14ac:dyDescent="0.2">
      <c r="G7818" s="889"/>
    </row>
    <row r="7819" spans="7:7" ht="10.5" customHeight="1" x14ac:dyDescent="0.2">
      <c r="G7819" s="889"/>
    </row>
    <row r="7820" spans="7:7" ht="10.5" customHeight="1" x14ac:dyDescent="0.2">
      <c r="G7820" s="889"/>
    </row>
    <row r="7821" spans="7:7" ht="10.5" customHeight="1" x14ac:dyDescent="0.2">
      <c r="G7821" s="889"/>
    </row>
    <row r="7822" spans="7:7" ht="10.5" customHeight="1" x14ac:dyDescent="0.2">
      <c r="G7822" s="889"/>
    </row>
    <row r="7823" spans="7:7" ht="10.5" customHeight="1" x14ac:dyDescent="0.2">
      <c r="G7823" s="889"/>
    </row>
    <row r="7824" spans="7:7" ht="10.5" customHeight="1" x14ac:dyDescent="0.2">
      <c r="G7824" s="889"/>
    </row>
    <row r="7825" spans="7:7" ht="10.5" customHeight="1" x14ac:dyDescent="0.2">
      <c r="G7825" s="889"/>
    </row>
    <row r="7826" spans="7:7" ht="10.5" customHeight="1" x14ac:dyDescent="0.2">
      <c r="G7826" s="889"/>
    </row>
    <row r="7827" spans="7:7" ht="10.5" customHeight="1" x14ac:dyDescent="0.2">
      <c r="G7827" s="889"/>
    </row>
    <row r="7828" spans="7:7" ht="10.5" customHeight="1" x14ac:dyDescent="0.2">
      <c r="G7828" s="889"/>
    </row>
    <row r="7829" spans="7:7" ht="10.5" customHeight="1" x14ac:dyDescent="0.2">
      <c r="G7829" s="889"/>
    </row>
    <row r="7830" spans="7:7" ht="10.5" customHeight="1" x14ac:dyDescent="0.2">
      <c r="G7830" s="889"/>
    </row>
    <row r="7831" spans="7:7" ht="10.5" customHeight="1" x14ac:dyDescent="0.2">
      <c r="G7831" s="889"/>
    </row>
    <row r="7832" spans="7:7" ht="10.5" customHeight="1" x14ac:dyDescent="0.2">
      <c r="G7832" s="889"/>
    </row>
    <row r="7833" spans="7:7" ht="10.5" customHeight="1" x14ac:dyDescent="0.2">
      <c r="G7833" s="889"/>
    </row>
    <row r="7834" spans="7:7" ht="10.5" customHeight="1" x14ac:dyDescent="0.2">
      <c r="G7834" s="889"/>
    </row>
    <row r="7835" spans="7:7" ht="10.5" customHeight="1" x14ac:dyDescent="0.2">
      <c r="G7835" s="889"/>
    </row>
    <row r="7836" spans="7:7" ht="10.5" customHeight="1" x14ac:dyDescent="0.2">
      <c r="G7836" s="889"/>
    </row>
    <row r="7837" spans="7:7" ht="10.5" customHeight="1" x14ac:dyDescent="0.2">
      <c r="G7837" s="889"/>
    </row>
    <row r="7838" spans="7:7" ht="10.5" customHeight="1" x14ac:dyDescent="0.2">
      <c r="G7838" s="889"/>
    </row>
    <row r="7839" spans="7:7" ht="10.5" customHeight="1" x14ac:dyDescent="0.2">
      <c r="G7839" s="889"/>
    </row>
    <row r="7840" spans="7:7" ht="10.5" customHeight="1" x14ac:dyDescent="0.2">
      <c r="G7840" s="889"/>
    </row>
    <row r="7841" spans="7:7" ht="10.5" customHeight="1" x14ac:dyDescent="0.2">
      <c r="G7841" s="889"/>
    </row>
    <row r="7842" spans="7:7" ht="10.5" customHeight="1" x14ac:dyDescent="0.2">
      <c r="G7842" s="889"/>
    </row>
    <row r="7843" spans="7:7" ht="10.5" customHeight="1" x14ac:dyDescent="0.2">
      <c r="G7843" s="889"/>
    </row>
    <row r="7844" spans="7:7" ht="10.5" customHeight="1" x14ac:dyDescent="0.2">
      <c r="G7844" s="889"/>
    </row>
    <row r="7845" spans="7:7" ht="10.5" customHeight="1" x14ac:dyDescent="0.2">
      <c r="G7845" s="889"/>
    </row>
    <row r="7846" spans="7:7" ht="10.5" customHeight="1" x14ac:dyDescent="0.2">
      <c r="G7846" s="889"/>
    </row>
    <row r="7847" spans="7:7" ht="10.5" customHeight="1" x14ac:dyDescent="0.2">
      <c r="G7847" s="889"/>
    </row>
    <row r="7848" spans="7:7" ht="10.5" customHeight="1" x14ac:dyDescent="0.2">
      <c r="G7848" s="889"/>
    </row>
    <row r="7849" spans="7:7" ht="10.5" customHeight="1" x14ac:dyDescent="0.2">
      <c r="G7849" s="889"/>
    </row>
    <row r="7850" spans="7:7" ht="10.5" customHeight="1" x14ac:dyDescent="0.2">
      <c r="G7850" s="889"/>
    </row>
    <row r="7851" spans="7:7" ht="10.5" customHeight="1" x14ac:dyDescent="0.2">
      <c r="G7851" s="889"/>
    </row>
    <row r="7852" spans="7:7" ht="10.5" customHeight="1" x14ac:dyDescent="0.2">
      <c r="G7852" s="889"/>
    </row>
    <row r="7853" spans="7:7" ht="10.5" customHeight="1" x14ac:dyDescent="0.2">
      <c r="G7853" s="889"/>
    </row>
    <row r="7854" spans="7:7" ht="10.5" customHeight="1" x14ac:dyDescent="0.2">
      <c r="G7854" s="889"/>
    </row>
    <row r="7855" spans="7:7" ht="10.5" customHeight="1" x14ac:dyDescent="0.2">
      <c r="G7855" s="889"/>
    </row>
    <row r="7856" spans="7:7" ht="10.5" customHeight="1" x14ac:dyDescent="0.2">
      <c r="G7856" s="889"/>
    </row>
    <row r="7857" spans="7:7" ht="10.5" customHeight="1" x14ac:dyDescent="0.2">
      <c r="G7857" s="889"/>
    </row>
    <row r="7858" spans="7:7" ht="10.5" customHeight="1" x14ac:dyDescent="0.2">
      <c r="G7858" s="889"/>
    </row>
    <row r="7859" spans="7:7" ht="10.5" customHeight="1" x14ac:dyDescent="0.2">
      <c r="G7859" s="889"/>
    </row>
    <row r="7860" spans="7:7" ht="10.5" customHeight="1" x14ac:dyDescent="0.2">
      <c r="G7860" s="889"/>
    </row>
    <row r="7861" spans="7:7" ht="10.5" customHeight="1" x14ac:dyDescent="0.2">
      <c r="G7861" s="889"/>
    </row>
    <row r="7862" spans="7:7" ht="10.5" customHeight="1" x14ac:dyDescent="0.2">
      <c r="G7862" s="889"/>
    </row>
    <row r="7863" spans="7:7" ht="10.5" customHeight="1" x14ac:dyDescent="0.2">
      <c r="G7863" s="889"/>
    </row>
    <row r="7864" spans="7:7" ht="10.5" customHeight="1" x14ac:dyDescent="0.2">
      <c r="G7864" s="889"/>
    </row>
    <row r="7865" spans="7:7" ht="10.5" customHeight="1" x14ac:dyDescent="0.2">
      <c r="G7865" s="889"/>
    </row>
    <row r="7866" spans="7:7" ht="10.5" customHeight="1" x14ac:dyDescent="0.2">
      <c r="G7866" s="889"/>
    </row>
    <row r="7867" spans="7:7" ht="10.5" customHeight="1" x14ac:dyDescent="0.2">
      <c r="G7867" s="889"/>
    </row>
    <row r="7868" spans="7:7" ht="10.5" customHeight="1" x14ac:dyDescent="0.2">
      <c r="G7868" s="889"/>
    </row>
    <row r="7869" spans="7:7" ht="10.5" customHeight="1" x14ac:dyDescent="0.2">
      <c r="G7869" s="889"/>
    </row>
    <row r="7870" spans="7:7" ht="10.5" customHeight="1" x14ac:dyDescent="0.2">
      <c r="G7870" s="889"/>
    </row>
    <row r="7871" spans="7:7" ht="10.5" customHeight="1" x14ac:dyDescent="0.2">
      <c r="G7871" s="889"/>
    </row>
    <row r="7872" spans="7:7" ht="10.5" customHeight="1" x14ac:dyDescent="0.2">
      <c r="G7872" s="889"/>
    </row>
    <row r="7873" spans="7:7" ht="10.5" customHeight="1" x14ac:dyDescent="0.2">
      <c r="G7873" s="889"/>
    </row>
    <row r="7874" spans="7:7" ht="10.5" customHeight="1" x14ac:dyDescent="0.2">
      <c r="G7874" s="889"/>
    </row>
    <row r="7875" spans="7:7" ht="10.5" customHeight="1" x14ac:dyDescent="0.2">
      <c r="G7875" s="889"/>
    </row>
    <row r="7876" spans="7:7" ht="10.5" customHeight="1" x14ac:dyDescent="0.2">
      <c r="G7876" s="889"/>
    </row>
    <row r="7877" spans="7:7" ht="10.5" customHeight="1" x14ac:dyDescent="0.2">
      <c r="G7877" s="889"/>
    </row>
    <row r="7878" spans="7:7" ht="10.5" customHeight="1" x14ac:dyDescent="0.2">
      <c r="G7878" s="889"/>
    </row>
    <row r="7879" spans="7:7" ht="10.5" customHeight="1" x14ac:dyDescent="0.2">
      <c r="G7879" s="889"/>
    </row>
    <row r="7880" spans="7:7" ht="10.5" customHeight="1" x14ac:dyDescent="0.2">
      <c r="G7880" s="889"/>
    </row>
    <row r="7881" spans="7:7" ht="10.5" customHeight="1" x14ac:dyDescent="0.2">
      <c r="G7881" s="889"/>
    </row>
    <row r="7882" spans="7:7" ht="10.5" customHeight="1" x14ac:dyDescent="0.2">
      <c r="G7882" s="889"/>
    </row>
    <row r="7883" spans="7:7" ht="10.5" customHeight="1" x14ac:dyDescent="0.2">
      <c r="G7883" s="889"/>
    </row>
    <row r="7884" spans="7:7" ht="10.5" customHeight="1" x14ac:dyDescent="0.2">
      <c r="G7884" s="889"/>
    </row>
    <row r="7885" spans="7:7" ht="10.5" customHeight="1" x14ac:dyDescent="0.2">
      <c r="G7885" s="889"/>
    </row>
    <row r="7886" spans="7:7" ht="10.5" customHeight="1" x14ac:dyDescent="0.2">
      <c r="G7886" s="889"/>
    </row>
    <row r="7887" spans="7:7" ht="10.5" customHeight="1" x14ac:dyDescent="0.2">
      <c r="G7887" s="889"/>
    </row>
    <row r="7888" spans="7:7" ht="10.5" customHeight="1" x14ac:dyDescent="0.2">
      <c r="G7888" s="889"/>
    </row>
    <row r="7889" spans="7:7" ht="10.5" customHeight="1" x14ac:dyDescent="0.2">
      <c r="G7889" s="889"/>
    </row>
    <row r="7890" spans="7:7" ht="10.5" customHeight="1" x14ac:dyDescent="0.2">
      <c r="G7890" s="889"/>
    </row>
    <row r="7891" spans="7:7" ht="10.5" customHeight="1" x14ac:dyDescent="0.2">
      <c r="G7891" s="889"/>
    </row>
    <row r="7892" spans="7:7" ht="10.5" customHeight="1" x14ac:dyDescent="0.2">
      <c r="G7892" s="889"/>
    </row>
    <row r="7893" spans="7:7" ht="10.5" customHeight="1" x14ac:dyDescent="0.2">
      <c r="G7893" s="889"/>
    </row>
    <row r="7894" spans="7:7" ht="10.5" customHeight="1" x14ac:dyDescent="0.2">
      <c r="G7894" s="889"/>
    </row>
    <row r="7895" spans="7:7" ht="10.5" customHeight="1" x14ac:dyDescent="0.2">
      <c r="G7895" s="889"/>
    </row>
    <row r="7896" spans="7:7" ht="10.5" customHeight="1" x14ac:dyDescent="0.2">
      <c r="G7896" s="889"/>
    </row>
    <row r="7897" spans="7:7" ht="10.5" customHeight="1" x14ac:dyDescent="0.2">
      <c r="G7897" s="889"/>
    </row>
    <row r="7898" spans="7:7" ht="10.5" customHeight="1" x14ac:dyDescent="0.2">
      <c r="G7898" s="889"/>
    </row>
    <row r="7899" spans="7:7" ht="10.5" customHeight="1" x14ac:dyDescent="0.2">
      <c r="G7899" s="889"/>
    </row>
    <row r="7900" spans="7:7" ht="10.5" customHeight="1" x14ac:dyDescent="0.2">
      <c r="G7900" s="889"/>
    </row>
    <row r="7901" spans="7:7" ht="10.5" customHeight="1" x14ac:dyDescent="0.2">
      <c r="G7901" s="889"/>
    </row>
    <row r="7902" spans="7:7" ht="10.5" customHeight="1" x14ac:dyDescent="0.2">
      <c r="G7902" s="889"/>
    </row>
    <row r="7903" spans="7:7" ht="10.5" customHeight="1" x14ac:dyDescent="0.2">
      <c r="G7903" s="889"/>
    </row>
    <row r="7904" spans="7:7" ht="10.5" customHeight="1" x14ac:dyDescent="0.2">
      <c r="G7904" s="889"/>
    </row>
    <row r="7905" spans="7:7" ht="10.5" customHeight="1" x14ac:dyDescent="0.2">
      <c r="G7905" s="889"/>
    </row>
    <row r="7906" spans="7:7" ht="10.5" customHeight="1" x14ac:dyDescent="0.2">
      <c r="G7906" s="889"/>
    </row>
    <row r="7907" spans="7:7" ht="10.5" customHeight="1" x14ac:dyDescent="0.2">
      <c r="G7907" s="889"/>
    </row>
    <row r="7908" spans="7:7" ht="10.5" customHeight="1" x14ac:dyDescent="0.2">
      <c r="G7908" s="889"/>
    </row>
    <row r="7909" spans="7:7" ht="10.5" customHeight="1" x14ac:dyDescent="0.2">
      <c r="G7909" s="889"/>
    </row>
    <row r="7910" spans="7:7" ht="10.5" customHeight="1" x14ac:dyDescent="0.2">
      <c r="G7910" s="889"/>
    </row>
    <row r="7911" spans="7:7" ht="10.5" customHeight="1" x14ac:dyDescent="0.2">
      <c r="G7911" s="889"/>
    </row>
    <row r="7912" spans="7:7" ht="10.5" customHeight="1" x14ac:dyDescent="0.2">
      <c r="G7912" s="889"/>
    </row>
    <row r="7913" spans="7:7" ht="10.5" customHeight="1" x14ac:dyDescent="0.2">
      <c r="G7913" s="889"/>
    </row>
    <row r="7914" spans="7:7" ht="10.5" customHeight="1" x14ac:dyDescent="0.2">
      <c r="G7914" s="889"/>
    </row>
    <row r="7915" spans="7:7" ht="10.5" customHeight="1" x14ac:dyDescent="0.2">
      <c r="G7915" s="889"/>
    </row>
    <row r="7916" spans="7:7" ht="10.5" customHeight="1" x14ac:dyDescent="0.2">
      <c r="G7916" s="889"/>
    </row>
    <row r="7917" spans="7:7" ht="10.5" customHeight="1" x14ac:dyDescent="0.2">
      <c r="G7917" s="889"/>
    </row>
    <row r="7918" spans="7:7" ht="10.5" customHeight="1" x14ac:dyDescent="0.2">
      <c r="G7918" s="889"/>
    </row>
    <row r="7919" spans="7:7" ht="10.5" customHeight="1" x14ac:dyDescent="0.2">
      <c r="G7919" s="889"/>
    </row>
    <row r="7920" spans="7:7" ht="10.5" customHeight="1" x14ac:dyDescent="0.2">
      <c r="G7920" s="889"/>
    </row>
    <row r="7921" spans="7:7" ht="10.5" customHeight="1" x14ac:dyDescent="0.2">
      <c r="G7921" s="889"/>
    </row>
    <row r="7922" spans="7:7" ht="10.5" customHeight="1" x14ac:dyDescent="0.2">
      <c r="G7922" s="889"/>
    </row>
    <row r="7923" spans="7:7" ht="10.5" customHeight="1" x14ac:dyDescent="0.2">
      <c r="G7923" s="889"/>
    </row>
    <row r="7924" spans="7:7" ht="10.5" customHeight="1" x14ac:dyDescent="0.2">
      <c r="G7924" s="889"/>
    </row>
    <row r="7925" spans="7:7" ht="10.5" customHeight="1" x14ac:dyDescent="0.2">
      <c r="G7925" s="889"/>
    </row>
    <row r="7926" spans="7:7" ht="10.5" customHeight="1" x14ac:dyDescent="0.2">
      <c r="G7926" s="889"/>
    </row>
    <row r="7927" spans="7:7" ht="10.5" customHeight="1" x14ac:dyDescent="0.2">
      <c r="G7927" s="889"/>
    </row>
    <row r="7928" spans="7:7" ht="10.5" customHeight="1" x14ac:dyDescent="0.2">
      <c r="G7928" s="889"/>
    </row>
    <row r="7929" spans="7:7" ht="10.5" customHeight="1" x14ac:dyDescent="0.2">
      <c r="G7929" s="889"/>
    </row>
    <row r="7930" spans="7:7" ht="10.5" customHeight="1" x14ac:dyDescent="0.2">
      <c r="G7930" s="889"/>
    </row>
    <row r="7931" spans="7:7" ht="10.5" customHeight="1" x14ac:dyDescent="0.2">
      <c r="G7931" s="889"/>
    </row>
    <row r="7932" spans="7:7" ht="10.5" customHeight="1" x14ac:dyDescent="0.2">
      <c r="G7932" s="889"/>
    </row>
    <row r="7933" spans="7:7" ht="10.5" customHeight="1" x14ac:dyDescent="0.2">
      <c r="G7933" s="889"/>
    </row>
    <row r="7934" spans="7:7" ht="10.5" customHeight="1" x14ac:dyDescent="0.2">
      <c r="G7934" s="889"/>
    </row>
    <row r="7935" spans="7:7" ht="10.5" customHeight="1" x14ac:dyDescent="0.2">
      <c r="G7935" s="889"/>
    </row>
    <row r="7936" spans="7:7" ht="10.5" customHeight="1" x14ac:dyDescent="0.2">
      <c r="G7936" s="889"/>
    </row>
    <row r="7937" spans="7:7" ht="10.5" customHeight="1" x14ac:dyDescent="0.2">
      <c r="G7937" s="889"/>
    </row>
    <row r="7938" spans="7:7" ht="10.5" customHeight="1" x14ac:dyDescent="0.2">
      <c r="G7938" s="889"/>
    </row>
    <row r="7939" spans="7:7" ht="10.5" customHeight="1" x14ac:dyDescent="0.2">
      <c r="G7939" s="889"/>
    </row>
    <row r="7940" spans="7:7" ht="10.5" customHeight="1" x14ac:dyDescent="0.2">
      <c r="G7940" s="889"/>
    </row>
    <row r="7941" spans="7:7" ht="10.5" customHeight="1" x14ac:dyDescent="0.2">
      <c r="G7941" s="889"/>
    </row>
    <row r="7942" spans="7:7" ht="10.5" customHeight="1" x14ac:dyDescent="0.2">
      <c r="G7942" s="889"/>
    </row>
    <row r="7943" spans="7:7" ht="10.5" customHeight="1" x14ac:dyDescent="0.2">
      <c r="G7943" s="889"/>
    </row>
    <row r="7944" spans="7:7" ht="10.5" customHeight="1" x14ac:dyDescent="0.2">
      <c r="G7944" s="889"/>
    </row>
    <row r="7945" spans="7:7" ht="10.5" customHeight="1" x14ac:dyDescent="0.2">
      <c r="G7945" s="889"/>
    </row>
    <row r="7946" spans="7:7" ht="10.5" customHeight="1" x14ac:dyDescent="0.2">
      <c r="G7946" s="889"/>
    </row>
    <row r="7947" spans="7:7" ht="10.5" customHeight="1" x14ac:dyDescent="0.2">
      <c r="G7947" s="889"/>
    </row>
    <row r="7948" spans="7:7" ht="10.5" customHeight="1" x14ac:dyDescent="0.2">
      <c r="G7948" s="889"/>
    </row>
    <row r="7949" spans="7:7" ht="10.5" customHeight="1" x14ac:dyDescent="0.2">
      <c r="G7949" s="889"/>
    </row>
    <row r="7950" spans="7:7" ht="10.5" customHeight="1" x14ac:dyDescent="0.2">
      <c r="G7950" s="889"/>
    </row>
    <row r="7951" spans="7:7" ht="10.5" customHeight="1" x14ac:dyDescent="0.2">
      <c r="G7951" s="889"/>
    </row>
    <row r="7952" spans="7:7" ht="10.5" customHeight="1" x14ac:dyDescent="0.2">
      <c r="G7952" s="889"/>
    </row>
    <row r="7953" spans="7:7" ht="10.5" customHeight="1" x14ac:dyDescent="0.2">
      <c r="G7953" s="889"/>
    </row>
    <row r="7954" spans="7:7" ht="10.5" customHeight="1" x14ac:dyDescent="0.2">
      <c r="G7954" s="889"/>
    </row>
    <row r="7955" spans="7:7" ht="10.5" customHeight="1" x14ac:dyDescent="0.2">
      <c r="G7955" s="889"/>
    </row>
    <row r="7956" spans="7:7" ht="10.5" customHeight="1" x14ac:dyDescent="0.2">
      <c r="G7956" s="889"/>
    </row>
    <row r="7957" spans="7:7" ht="10.5" customHeight="1" x14ac:dyDescent="0.2">
      <c r="G7957" s="889"/>
    </row>
    <row r="7958" spans="7:7" ht="10.5" customHeight="1" x14ac:dyDescent="0.2">
      <c r="G7958" s="889"/>
    </row>
    <row r="7959" spans="7:7" ht="10.5" customHeight="1" x14ac:dyDescent="0.2">
      <c r="G7959" s="889"/>
    </row>
    <row r="7960" spans="7:7" ht="10.5" customHeight="1" x14ac:dyDescent="0.2">
      <c r="G7960" s="889"/>
    </row>
    <row r="7961" spans="7:7" ht="10.5" customHeight="1" x14ac:dyDescent="0.2">
      <c r="G7961" s="889"/>
    </row>
    <row r="7962" spans="7:7" ht="10.5" customHeight="1" x14ac:dyDescent="0.2">
      <c r="G7962" s="889"/>
    </row>
    <row r="7963" spans="7:7" ht="10.5" customHeight="1" x14ac:dyDescent="0.2">
      <c r="G7963" s="889"/>
    </row>
    <row r="7964" spans="7:7" ht="10.5" customHeight="1" x14ac:dyDescent="0.2">
      <c r="G7964" s="889"/>
    </row>
    <row r="7965" spans="7:7" ht="10.5" customHeight="1" x14ac:dyDescent="0.2">
      <c r="G7965" s="889"/>
    </row>
    <row r="7966" spans="7:7" ht="10.5" customHeight="1" x14ac:dyDescent="0.2">
      <c r="G7966" s="889"/>
    </row>
    <row r="7967" spans="7:7" ht="10.5" customHeight="1" x14ac:dyDescent="0.2">
      <c r="G7967" s="889"/>
    </row>
    <row r="7968" spans="7:7" ht="10.5" customHeight="1" x14ac:dyDescent="0.2">
      <c r="G7968" s="889"/>
    </row>
    <row r="7969" spans="7:7" ht="10.5" customHeight="1" x14ac:dyDescent="0.2">
      <c r="G7969" s="889"/>
    </row>
    <row r="7970" spans="7:7" ht="10.5" customHeight="1" x14ac:dyDescent="0.2">
      <c r="G7970" s="889"/>
    </row>
    <row r="7971" spans="7:7" ht="10.5" customHeight="1" x14ac:dyDescent="0.2">
      <c r="G7971" s="889"/>
    </row>
    <row r="7972" spans="7:7" ht="10.5" customHeight="1" x14ac:dyDescent="0.2">
      <c r="G7972" s="889"/>
    </row>
    <row r="7973" spans="7:7" ht="10.5" customHeight="1" x14ac:dyDescent="0.2">
      <c r="G7973" s="889"/>
    </row>
    <row r="7974" spans="7:7" ht="10.5" customHeight="1" x14ac:dyDescent="0.2">
      <c r="G7974" s="889"/>
    </row>
    <row r="7975" spans="7:7" ht="10.5" customHeight="1" x14ac:dyDescent="0.2">
      <c r="G7975" s="889"/>
    </row>
    <row r="7976" spans="7:7" ht="10.5" customHeight="1" x14ac:dyDescent="0.2">
      <c r="G7976" s="889"/>
    </row>
    <row r="7977" spans="7:7" ht="10.5" customHeight="1" x14ac:dyDescent="0.2">
      <c r="G7977" s="889"/>
    </row>
    <row r="7978" spans="7:7" ht="10.5" customHeight="1" x14ac:dyDescent="0.2">
      <c r="G7978" s="889"/>
    </row>
    <row r="7979" spans="7:7" ht="10.5" customHeight="1" x14ac:dyDescent="0.2">
      <c r="G7979" s="889"/>
    </row>
    <row r="7980" spans="7:7" ht="10.5" customHeight="1" x14ac:dyDescent="0.2">
      <c r="G7980" s="889"/>
    </row>
    <row r="7981" spans="7:7" ht="10.5" customHeight="1" x14ac:dyDescent="0.2">
      <c r="G7981" s="889"/>
    </row>
    <row r="7982" spans="7:7" ht="10.5" customHeight="1" x14ac:dyDescent="0.2">
      <c r="G7982" s="889"/>
    </row>
    <row r="7983" spans="7:7" ht="10.5" customHeight="1" x14ac:dyDescent="0.2">
      <c r="G7983" s="889"/>
    </row>
    <row r="7984" spans="7:7" ht="10.5" customHeight="1" x14ac:dyDescent="0.2">
      <c r="G7984" s="889"/>
    </row>
    <row r="7985" spans="7:7" ht="10.5" customHeight="1" x14ac:dyDescent="0.2">
      <c r="G7985" s="889"/>
    </row>
    <row r="7986" spans="7:7" ht="10.5" customHeight="1" x14ac:dyDescent="0.2">
      <c r="G7986" s="889"/>
    </row>
    <row r="7987" spans="7:7" ht="10.5" customHeight="1" x14ac:dyDescent="0.2">
      <c r="G7987" s="889"/>
    </row>
    <row r="7988" spans="7:7" ht="10.5" customHeight="1" x14ac:dyDescent="0.2">
      <c r="G7988" s="889"/>
    </row>
    <row r="7989" spans="7:7" ht="10.5" customHeight="1" x14ac:dyDescent="0.2">
      <c r="G7989" s="889"/>
    </row>
    <row r="7990" spans="7:7" ht="10.5" customHeight="1" x14ac:dyDescent="0.2">
      <c r="G7990" s="889"/>
    </row>
    <row r="7991" spans="7:7" ht="10.5" customHeight="1" x14ac:dyDescent="0.2">
      <c r="G7991" s="889"/>
    </row>
    <row r="7992" spans="7:7" ht="10.5" customHeight="1" x14ac:dyDescent="0.2">
      <c r="G7992" s="889"/>
    </row>
    <row r="7993" spans="7:7" ht="10.5" customHeight="1" x14ac:dyDescent="0.2">
      <c r="G7993" s="889"/>
    </row>
    <row r="7994" spans="7:7" ht="10.5" customHeight="1" x14ac:dyDescent="0.2">
      <c r="G7994" s="889"/>
    </row>
    <row r="7995" spans="7:7" ht="10.5" customHeight="1" x14ac:dyDescent="0.2">
      <c r="G7995" s="889"/>
    </row>
    <row r="7996" spans="7:7" ht="10.5" customHeight="1" x14ac:dyDescent="0.2">
      <c r="G7996" s="889"/>
    </row>
    <row r="7997" spans="7:7" ht="10.5" customHeight="1" x14ac:dyDescent="0.2">
      <c r="G7997" s="889"/>
    </row>
    <row r="7998" spans="7:7" ht="10.5" customHeight="1" x14ac:dyDescent="0.2">
      <c r="G7998" s="889"/>
    </row>
    <row r="7999" spans="7:7" ht="10.5" customHeight="1" x14ac:dyDescent="0.2">
      <c r="G7999" s="889"/>
    </row>
    <row r="8000" spans="7:7" ht="10.5" customHeight="1" x14ac:dyDescent="0.2">
      <c r="G8000" s="889"/>
    </row>
    <row r="8001" spans="7:7" ht="10.5" customHeight="1" x14ac:dyDescent="0.2">
      <c r="G8001" s="889"/>
    </row>
    <row r="8002" spans="7:7" ht="10.5" customHeight="1" x14ac:dyDescent="0.2">
      <c r="G8002" s="889"/>
    </row>
    <row r="8003" spans="7:7" ht="10.5" customHeight="1" x14ac:dyDescent="0.2">
      <c r="G8003" s="889"/>
    </row>
    <row r="8004" spans="7:7" ht="10.5" customHeight="1" x14ac:dyDescent="0.2">
      <c r="G8004" s="889"/>
    </row>
    <row r="8005" spans="7:7" ht="10.5" customHeight="1" x14ac:dyDescent="0.2">
      <c r="G8005" s="889"/>
    </row>
    <row r="8006" spans="7:7" ht="10.5" customHeight="1" x14ac:dyDescent="0.2">
      <c r="G8006" s="889"/>
    </row>
    <row r="8007" spans="7:7" ht="10.5" customHeight="1" x14ac:dyDescent="0.2">
      <c r="G8007" s="889"/>
    </row>
    <row r="8008" spans="7:7" ht="10.5" customHeight="1" x14ac:dyDescent="0.2">
      <c r="G8008" s="889"/>
    </row>
    <row r="8009" spans="7:7" ht="10.5" customHeight="1" x14ac:dyDescent="0.2">
      <c r="G8009" s="889"/>
    </row>
    <row r="8010" spans="7:7" ht="10.5" customHeight="1" x14ac:dyDescent="0.2">
      <c r="G8010" s="889"/>
    </row>
    <row r="8011" spans="7:7" ht="10.5" customHeight="1" x14ac:dyDescent="0.2">
      <c r="G8011" s="889"/>
    </row>
    <row r="8012" spans="7:7" ht="10.5" customHeight="1" x14ac:dyDescent="0.2">
      <c r="G8012" s="889"/>
    </row>
    <row r="8013" spans="7:7" ht="10.5" customHeight="1" x14ac:dyDescent="0.2">
      <c r="G8013" s="889"/>
    </row>
    <row r="8014" spans="7:7" ht="10.5" customHeight="1" x14ac:dyDescent="0.2">
      <c r="G8014" s="889"/>
    </row>
    <row r="8015" spans="7:7" ht="10.5" customHeight="1" x14ac:dyDescent="0.2">
      <c r="G8015" s="889"/>
    </row>
    <row r="8016" spans="7:7" ht="10.5" customHeight="1" x14ac:dyDescent="0.2">
      <c r="G8016" s="889"/>
    </row>
    <row r="8017" spans="7:7" ht="10.5" customHeight="1" x14ac:dyDescent="0.2">
      <c r="G8017" s="889"/>
    </row>
    <row r="8018" spans="7:7" ht="10.5" customHeight="1" x14ac:dyDescent="0.2">
      <c r="G8018" s="889"/>
    </row>
    <row r="8019" spans="7:7" ht="10.5" customHeight="1" x14ac:dyDescent="0.2">
      <c r="G8019" s="889"/>
    </row>
    <row r="8020" spans="7:7" ht="10.5" customHeight="1" x14ac:dyDescent="0.2">
      <c r="G8020" s="889"/>
    </row>
    <row r="8021" spans="7:7" ht="10.5" customHeight="1" x14ac:dyDescent="0.2">
      <c r="G8021" s="889"/>
    </row>
    <row r="8022" spans="7:7" ht="10.5" customHeight="1" x14ac:dyDescent="0.2">
      <c r="G8022" s="889"/>
    </row>
    <row r="8023" spans="7:7" ht="10.5" customHeight="1" x14ac:dyDescent="0.2">
      <c r="G8023" s="889"/>
    </row>
    <row r="8024" spans="7:7" ht="10.5" customHeight="1" x14ac:dyDescent="0.2">
      <c r="G8024" s="889"/>
    </row>
    <row r="8025" spans="7:7" ht="10.5" customHeight="1" x14ac:dyDescent="0.2">
      <c r="G8025" s="889"/>
    </row>
    <row r="8026" spans="7:7" ht="10.5" customHeight="1" x14ac:dyDescent="0.2">
      <c r="G8026" s="889"/>
    </row>
    <row r="8027" spans="7:7" ht="10.5" customHeight="1" x14ac:dyDescent="0.2">
      <c r="G8027" s="889"/>
    </row>
    <row r="8028" spans="7:7" ht="10.5" customHeight="1" x14ac:dyDescent="0.2">
      <c r="G8028" s="889"/>
    </row>
    <row r="8029" spans="7:7" ht="10.5" customHeight="1" x14ac:dyDescent="0.2">
      <c r="G8029" s="889"/>
    </row>
    <row r="8030" spans="7:7" ht="10.5" customHeight="1" x14ac:dyDescent="0.2">
      <c r="G8030" s="889"/>
    </row>
    <row r="8031" spans="7:7" ht="10.5" customHeight="1" x14ac:dyDescent="0.2">
      <c r="G8031" s="889"/>
    </row>
    <row r="8032" spans="7:7" ht="10.5" customHeight="1" x14ac:dyDescent="0.2">
      <c r="G8032" s="889"/>
    </row>
    <row r="8033" spans="7:7" ht="10.5" customHeight="1" x14ac:dyDescent="0.2">
      <c r="G8033" s="889"/>
    </row>
    <row r="8034" spans="7:7" ht="10.5" customHeight="1" x14ac:dyDescent="0.2">
      <c r="G8034" s="889"/>
    </row>
    <row r="8035" spans="7:7" ht="10.5" customHeight="1" x14ac:dyDescent="0.2">
      <c r="G8035" s="889"/>
    </row>
    <row r="8036" spans="7:7" ht="10.5" customHeight="1" x14ac:dyDescent="0.2">
      <c r="G8036" s="889"/>
    </row>
    <row r="8037" spans="7:7" ht="10.5" customHeight="1" x14ac:dyDescent="0.2">
      <c r="G8037" s="889"/>
    </row>
    <row r="8038" spans="7:7" ht="10.5" customHeight="1" x14ac:dyDescent="0.2">
      <c r="G8038" s="889"/>
    </row>
    <row r="8039" spans="7:7" ht="10.5" customHeight="1" x14ac:dyDescent="0.2">
      <c r="G8039" s="889"/>
    </row>
    <row r="8040" spans="7:7" ht="10.5" customHeight="1" x14ac:dyDescent="0.2">
      <c r="G8040" s="889"/>
    </row>
    <row r="8041" spans="7:7" ht="10.5" customHeight="1" x14ac:dyDescent="0.2">
      <c r="G8041" s="889"/>
    </row>
    <row r="8042" spans="7:7" ht="10.5" customHeight="1" x14ac:dyDescent="0.2">
      <c r="G8042" s="889"/>
    </row>
    <row r="8043" spans="7:7" ht="10.5" customHeight="1" x14ac:dyDescent="0.2">
      <c r="G8043" s="889"/>
    </row>
    <row r="8044" spans="7:7" ht="10.5" customHeight="1" x14ac:dyDescent="0.2">
      <c r="G8044" s="889"/>
    </row>
    <row r="8045" spans="7:7" ht="10.5" customHeight="1" x14ac:dyDescent="0.2">
      <c r="G8045" s="889"/>
    </row>
    <row r="8046" spans="7:7" ht="10.5" customHeight="1" x14ac:dyDescent="0.2">
      <c r="G8046" s="889"/>
    </row>
    <row r="8047" spans="7:7" ht="10.5" customHeight="1" x14ac:dyDescent="0.2">
      <c r="G8047" s="889"/>
    </row>
    <row r="8048" spans="7:7" ht="10.5" customHeight="1" x14ac:dyDescent="0.2">
      <c r="G8048" s="889"/>
    </row>
    <row r="8049" spans="7:7" ht="10.5" customHeight="1" x14ac:dyDescent="0.2">
      <c r="G8049" s="889"/>
    </row>
    <row r="8050" spans="7:7" ht="10.5" customHeight="1" x14ac:dyDescent="0.2">
      <c r="G8050" s="889"/>
    </row>
    <row r="8051" spans="7:7" ht="10.5" customHeight="1" x14ac:dyDescent="0.2">
      <c r="G8051" s="889"/>
    </row>
    <row r="8052" spans="7:7" ht="10.5" customHeight="1" x14ac:dyDescent="0.2">
      <c r="G8052" s="889"/>
    </row>
    <row r="8053" spans="7:7" ht="10.5" customHeight="1" x14ac:dyDescent="0.2">
      <c r="G8053" s="889"/>
    </row>
    <row r="8054" spans="7:7" ht="10.5" customHeight="1" x14ac:dyDescent="0.2">
      <c r="G8054" s="889"/>
    </row>
    <row r="8055" spans="7:7" ht="10.5" customHeight="1" x14ac:dyDescent="0.2">
      <c r="G8055" s="889"/>
    </row>
    <row r="8056" spans="7:7" ht="10.5" customHeight="1" x14ac:dyDescent="0.2">
      <c r="G8056" s="889"/>
    </row>
    <row r="8057" spans="7:7" ht="10.5" customHeight="1" x14ac:dyDescent="0.2">
      <c r="G8057" s="889"/>
    </row>
    <row r="8058" spans="7:7" ht="10.5" customHeight="1" x14ac:dyDescent="0.2">
      <c r="G8058" s="889"/>
    </row>
    <row r="8059" spans="7:7" ht="10.5" customHeight="1" x14ac:dyDescent="0.2">
      <c r="G8059" s="889"/>
    </row>
    <row r="8060" spans="7:7" ht="10.5" customHeight="1" x14ac:dyDescent="0.2">
      <c r="G8060" s="889"/>
    </row>
    <row r="8061" spans="7:7" ht="10.5" customHeight="1" x14ac:dyDescent="0.2">
      <c r="G8061" s="889"/>
    </row>
    <row r="8062" spans="7:7" ht="10.5" customHeight="1" x14ac:dyDescent="0.2">
      <c r="G8062" s="889"/>
    </row>
    <row r="8063" spans="7:7" ht="10.5" customHeight="1" x14ac:dyDescent="0.2">
      <c r="G8063" s="889"/>
    </row>
    <row r="8064" spans="7:7" ht="10.5" customHeight="1" x14ac:dyDescent="0.2">
      <c r="G8064" s="889"/>
    </row>
    <row r="8065" spans="7:7" ht="10.5" customHeight="1" x14ac:dyDescent="0.2">
      <c r="G8065" s="889"/>
    </row>
    <row r="8066" spans="7:7" ht="10.5" customHeight="1" x14ac:dyDescent="0.2">
      <c r="G8066" s="889"/>
    </row>
    <row r="8067" spans="7:7" ht="10.5" customHeight="1" x14ac:dyDescent="0.2">
      <c r="G8067" s="889"/>
    </row>
    <row r="8068" spans="7:7" ht="10.5" customHeight="1" x14ac:dyDescent="0.2">
      <c r="G8068" s="889"/>
    </row>
    <row r="8069" spans="7:7" ht="10.5" customHeight="1" x14ac:dyDescent="0.2">
      <c r="G8069" s="889"/>
    </row>
    <row r="8070" spans="7:7" ht="10.5" customHeight="1" x14ac:dyDescent="0.2">
      <c r="G8070" s="889"/>
    </row>
    <row r="8071" spans="7:7" ht="10.5" customHeight="1" x14ac:dyDescent="0.2">
      <c r="G8071" s="889"/>
    </row>
    <row r="8072" spans="7:7" ht="10.5" customHeight="1" x14ac:dyDescent="0.2">
      <c r="G8072" s="889"/>
    </row>
    <row r="8073" spans="7:7" ht="10.5" customHeight="1" x14ac:dyDescent="0.2">
      <c r="G8073" s="889"/>
    </row>
    <row r="8074" spans="7:7" ht="10.5" customHeight="1" x14ac:dyDescent="0.2">
      <c r="G8074" s="889"/>
    </row>
    <row r="8075" spans="7:7" ht="10.5" customHeight="1" x14ac:dyDescent="0.2">
      <c r="G8075" s="889"/>
    </row>
    <row r="8076" spans="7:7" ht="10.5" customHeight="1" x14ac:dyDescent="0.2">
      <c r="G8076" s="889"/>
    </row>
    <row r="8077" spans="7:7" ht="10.5" customHeight="1" x14ac:dyDescent="0.2">
      <c r="G8077" s="889"/>
    </row>
    <row r="8078" spans="7:7" ht="10.5" customHeight="1" x14ac:dyDescent="0.2">
      <c r="G8078" s="889"/>
    </row>
    <row r="8079" spans="7:7" ht="10.5" customHeight="1" x14ac:dyDescent="0.2">
      <c r="G8079" s="889"/>
    </row>
    <row r="8080" spans="7:7" ht="10.5" customHeight="1" x14ac:dyDescent="0.2">
      <c r="G8080" s="889"/>
    </row>
    <row r="8081" spans="7:7" ht="10.5" customHeight="1" x14ac:dyDescent="0.2">
      <c r="G8081" s="889"/>
    </row>
    <row r="8082" spans="7:7" ht="10.5" customHeight="1" x14ac:dyDescent="0.2">
      <c r="G8082" s="889"/>
    </row>
    <row r="8083" spans="7:7" ht="10.5" customHeight="1" x14ac:dyDescent="0.2">
      <c r="G8083" s="889"/>
    </row>
    <row r="8084" spans="7:7" ht="10.5" customHeight="1" x14ac:dyDescent="0.2">
      <c r="G8084" s="889"/>
    </row>
    <row r="8085" spans="7:7" ht="10.5" customHeight="1" x14ac:dyDescent="0.2">
      <c r="G8085" s="889"/>
    </row>
    <row r="8086" spans="7:7" ht="10.5" customHeight="1" x14ac:dyDescent="0.2">
      <c r="G8086" s="889"/>
    </row>
    <row r="8087" spans="7:7" ht="10.5" customHeight="1" x14ac:dyDescent="0.2">
      <c r="G8087" s="889"/>
    </row>
    <row r="8088" spans="7:7" ht="10.5" customHeight="1" x14ac:dyDescent="0.2">
      <c r="G8088" s="889"/>
    </row>
    <row r="8089" spans="7:7" ht="10.5" customHeight="1" x14ac:dyDescent="0.2">
      <c r="G8089" s="889"/>
    </row>
    <row r="8090" spans="7:7" ht="10.5" customHeight="1" x14ac:dyDescent="0.2">
      <c r="G8090" s="889"/>
    </row>
    <row r="8091" spans="7:7" ht="10.5" customHeight="1" x14ac:dyDescent="0.2">
      <c r="G8091" s="889"/>
    </row>
    <row r="8092" spans="7:7" ht="10.5" customHeight="1" x14ac:dyDescent="0.2">
      <c r="G8092" s="889"/>
    </row>
    <row r="8093" spans="7:7" ht="10.5" customHeight="1" x14ac:dyDescent="0.2">
      <c r="G8093" s="889"/>
    </row>
    <row r="8094" spans="7:7" ht="10.5" customHeight="1" x14ac:dyDescent="0.2">
      <c r="G8094" s="889"/>
    </row>
    <row r="8095" spans="7:7" ht="10.5" customHeight="1" x14ac:dyDescent="0.2">
      <c r="G8095" s="889"/>
    </row>
    <row r="8096" spans="7:7" ht="10.5" customHeight="1" x14ac:dyDescent="0.2">
      <c r="G8096" s="889"/>
    </row>
    <row r="8097" spans="7:7" ht="10.5" customHeight="1" x14ac:dyDescent="0.2">
      <c r="G8097" s="889"/>
    </row>
    <row r="8098" spans="7:7" ht="10.5" customHeight="1" x14ac:dyDescent="0.2">
      <c r="G8098" s="889"/>
    </row>
    <row r="8099" spans="7:7" ht="10.5" customHeight="1" x14ac:dyDescent="0.2">
      <c r="G8099" s="889"/>
    </row>
    <row r="8100" spans="7:7" ht="10.5" customHeight="1" x14ac:dyDescent="0.2">
      <c r="G8100" s="889"/>
    </row>
    <row r="8101" spans="7:7" ht="10.5" customHeight="1" x14ac:dyDescent="0.2">
      <c r="G8101" s="889"/>
    </row>
    <row r="8102" spans="7:7" ht="10.5" customHeight="1" x14ac:dyDescent="0.2">
      <c r="G8102" s="889"/>
    </row>
    <row r="8103" spans="7:7" ht="10.5" customHeight="1" x14ac:dyDescent="0.2">
      <c r="G8103" s="889"/>
    </row>
    <row r="8104" spans="7:7" ht="10.5" customHeight="1" x14ac:dyDescent="0.2">
      <c r="G8104" s="889"/>
    </row>
    <row r="8105" spans="7:7" ht="10.5" customHeight="1" x14ac:dyDescent="0.2">
      <c r="G8105" s="889"/>
    </row>
    <row r="8106" spans="7:7" ht="10.5" customHeight="1" x14ac:dyDescent="0.2">
      <c r="G8106" s="889"/>
    </row>
    <row r="8107" spans="7:7" ht="10.5" customHeight="1" x14ac:dyDescent="0.2">
      <c r="G8107" s="889"/>
    </row>
    <row r="8108" spans="7:7" ht="10.5" customHeight="1" x14ac:dyDescent="0.2">
      <c r="G8108" s="889"/>
    </row>
    <row r="8109" spans="7:7" ht="10.5" customHeight="1" x14ac:dyDescent="0.2">
      <c r="G8109" s="889"/>
    </row>
    <row r="8110" spans="7:7" ht="10.5" customHeight="1" x14ac:dyDescent="0.2">
      <c r="G8110" s="889"/>
    </row>
    <row r="8111" spans="7:7" ht="10.5" customHeight="1" x14ac:dyDescent="0.2">
      <c r="G8111" s="889"/>
    </row>
    <row r="8112" spans="7:7" ht="10.5" customHeight="1" x14ac:dyDescent="0.2">
      <c r="G8112" s="889"/>
    </row>
    <row r="8113" spans="7:7" ht="10.5" customHeight="1" x14ac:dyDescent="0.2">
      <c r="G8113" s="889"/>
    </row>
    <row r="8114" spans="7:7" ht="10.5" customHeight="1" x14ac:dyDescent="0.2">
      <c r="G8114" s="889"/>
    </row>
    <row r="8115" spans="7:7" ht="10.5" customHeight="1" x14ac:dyDescent="0.2">
      <c r="G8115" s="889"/>
    </row>
    <row r="8116" spans="7:7" ht="10.5" customHeight="1" x14ac:dyDescent="0.2">
      <c r="G8116" s="889"/>
    </row>
    <row r="8117" spans="7:7" ht="10.5" customHeight="1" x14ac:dyDescent="0.2">
      <c r="G8117" s="889"/>
    </row>
    <row r="8118" spans="7:7" ht="10.5" customHeight="1" x14ac:dyDescent="0.2">
      <c r="G8118" s="889"/>
    </row>
    <row r="8119" spans="7:7" ht="10.5" customHeight="1" x14ac:dyDescent="0.2">
      <c r="G8119" s="889"/>
    </row>
    <row r="8120" spans="7:7" ht="10.5" customHeight="1" x14ac:dyDescent="0.2">
      <c r="G8120" s="889"/>
    </row>
    <row r="8121" spans="7:7" ht="10.5" customHeight="1" x14ac:dyDescent="0.2">
      <c r="G8121" s="889"/>
    </row>
    <row r="8122" spans="7:7" ht="10.5" customHeight="1" x14ac:dyDescent="0.2">
      <c r="G8122" s="889"/>
    </row>
    <row r="8123" spans="7:7" ht="10.5" customHeight="1" x14ac:dyDescent="0.2">
      <c r="G8123" s="889"/>
    </row>
    <row r="8124" spans="7:7" ht="10.5" customHeight="1" x14ac:dyDescent="0.2">
      <c r="G8124" s="889"/>
    </row>
    <row r="8125" spans="7:7" ht="10.5" customHeight="1" x14ac:dyDescent="0.2">
      <c r="G8125" s="889"/>
    </row>
    <row r="8126" spans="7:7" ht="10.5" customHeight="1" x14ac:dyDescent="0.2">
      <c r="G8126" s="889"/>
    </row>
    <row r="8127" spans="7:7" ht="10.5" customHeight="1" x14ac:dyDescent="0.2">
      <c r="G8127" s="889"/>
    </row>
    <row r="8128" spans="7:7" ht="10.5" customHeight="1" x14ac:dyDescent="0.2">
      <c r="G8128" s="889"/>
    </row>
    <row r="8129" spans="7:7" ht="10.5" customHeight="1" x14ac:dyDescent="0.2">
      <c r="G8129" s="889"/>
    </row>
    <row r="8130" spans="7:7" ht="10.5" customHeight="1" x14ac:dyDescent="0.2">
      <c r="G8130" s="889"/>
    </row>
    <row r="8131" spans="7:7" ht="10.5" customHeight="1" x14ac:dyDescent="0.2">
      <c r="G8131" s="889"/>
    </row>
    <row r="8132" spans="7:7" ht="10.5" customHeight="1" x14ac:dyDescent="0.2">
      <c r="G8132" s="889"/>
    </row>
    <row r="8133" spans="7:7" ht="10.5" customHeight="1" x14ac:dyDescent="0.2">
      <c r="G8133" s="889"/>
    </row>
    <row r="8134" spans="7:7" ht="10.5" customHeight="1" x14ac:dyDescent="0.2">
      <c r="G8134" s="889"/>
    </row>
    <row r="8135" spans="7:7" ht="10.5" customHeight="1" x14ac:dyDescent="0.2">
      <c r="G8135" s="889"/>
    </row>
    <row r="8136" spans="7:7" ht="10.5" customHeight="1" x14ac:dyDescent="0.2">
      <c r="G8136" s="889"/>
    </row>
    <row r="8137" spans="7:7" ht="10.5" customHeight="1" x14ac:dyDescent="0.2">
      <c r="G8137" s="889"/>
    </row>
    <row r="8138" spans="7:7" ht="10.5" customHeight="1" x14ac:dyDescent="0.2">
      <c r="G8138" s="889"/>
    </row>
    <row r="8139" spans="7:7" ht="10.5" customHeight="1" x14ac:dyDescent="0.2">
      <c r="G8139" s="889"/>
    </row>
    <row r="8140" spans="7:7" ht="10.5" customHeight="1" x14ac:dyDescent="0.2">
      <c r="G8140" s="889"/>
    </row>
    <row r="8141" spans="7:7" ht="10.5" customHeight="1" x14ac:dyDescent="0.2">
      <c r="G8141" s="889"/>
    </row>
    <row r="8142" spans="7:7" ht="10.5" customHeight="1" x14ac:dyDescent="0.2">
      <c r="G8142" s="889"/>
    </row>
    <row r="8143" spans="7:7" ht="10.5" customHeight="1" x14ac:dyDescent="0.2">
      <c r="G8143" s="889"/>
    </row>
    <row r="8144" spans="7:7" ht="10.5" customHeight="1" x14ac:dyDescent="0.2">
      <c r="G8144" s="889"/>
    </row>
    <row r="8145" spans="7:7" ht="10.5" customHeight="1" x14ac:dyDescent="0.2">
      <c r="G8145" s="889"/>
    </row>
    <row r="8146" spans="7:7" ht="10.5" customHeight="1" x14ac:dyDescent="0.2">
      <c r="G8146" s="889"/>
    </row>
    <row r="8147" spans="7:7" ht="10.5" customHeight="1" x14ac:dyDescent="0.2">
      <c r="G8147" s="889"/>
    </row>
    <row r="8148" spans="7:7" ht="10.5" customHeight="1" x14ac:dyDescent="0.2">
      <c r="G8148" s="889"/>
    </row>
    <row r="8149" spans="7:7" ht="10.5" customHeight="1" x14ac:dyDescent="0.2">
      <c r="G8149" s="889"/>
    </row>
    <row r="8150" spans="7:7" ht="10.5" customHeight="1" x14ac:dyDescent="0.2">
      <c r="G8150" s="889"/>
    </row>
    <row r="8151" spans="7:7" ht="10.5" customHeight="1" x14ac:dyDescent="0.2">
      <c r="G8151" s="889"/>
    </row>
    <row r="8152" spans="7:7" ht="10.5" customHeight="1" x14ac:dyDescent="0.2">
      <c r="G8152" s="889"/>
    </row>
    <row r="8153" spans="7:7" ht="10.5" customHeight="1" x14ac:dyDescent="0.2">
      <c r="G8153" s="889"/>
    </row>
    <row r="8154" spans="7:7" ht="10.5" customHeight="1" x14ac:dyDescent="0.2">
      <c r="G8154" s="889"/>
    </row>
    <row r="8155" spans="7:7" ht="10.5" customHeight="1" x14ac:dyDescent="0.2">
      <c r="G8155" s="889"/>
    </row>
    <row r="8156" spans="7:7" ht="10.5" customHeight="1" x14ac:dyDescent="0.2">
      <c r="G8156" s="889"/>
    </row>
    <row r="8157" spans="7:7" ht="10.5" customHeight="1" x14ac:dyDescent="0.2">
      <c r="G8157" s="889"/>
    </row>
    <row r="8158" spans="7:7" ht="10.5" customHeight="1" x14ac:dyDescent="0.2">
      <c r="G8158" s="889"/>
    </row>
    <row r="8159" spans="7:7" ht="10.5" customHeight="1" x14ac:dyDescent="0.2">
      <c r="G8159" s="889"/>
    </row>
    <row r="8160" spans="7:7" ht="10.5" customHeight="1" x14ac:dyDescent="0.2">
      <c r="G8160" s="889"/>
    </row>
    <row r="8161" spans="7:7" ht="10.5" customHeight="1" x14ac:dyDescent="0.2">
      <c r="G8161" s="889"/>
    </row>
    <row r="8162" spans="7:7" ht="10.5" customHeight="1" x14ac:dyDescent="0.2">
      <c r="G8162" s="889"/>
    </row>
    <row r="8163" spans="7:7" ht="10.5" customHeight="1" x14ac:dyDescent="0.2">
      <c r="G8163" s="889"/>
    </row>
    <row r="8164" spans="7:7" ht="10.5" customHeight="1" x14ac:dyDescent="0.2">
      <c r="G8164" s="889"/>
    </row>
    <row r="8165" spans="7:7" ht="10.5" customHeight="1" x14ac:dyDescent="0.2">
      <c r="G8165" s="889"/>
    </row>
    <row r="8166" spans="7:7" ht="10.5" customHeight="1" x14ac:dyDescent="0.2">
      <c r="G8166" s="889"/>
    </row>
    <row r="8167" spans="7:7" ht="10.5" customHeight="1" x14ac:dyDescent="0.2">
      <c r="G8167" s="889"/>
    </row>
    <row r="8168" spans="7:7" ht="10.5" customHeight="1" x14ac:dyDescent="0.2">
      <c r="G8168" s="889"/>
    </row>
    <row r="8169" spans="7:7" ht="10.5" customHeight="1" x14ac:dyDescent="0.2">
      <c r="G8169" s="889"/>
    </row>
    <row r="8170" spans="7:7" ht="10.5" customHeight="1" x14ac:dyDescent="0.2">
      <c r="G8170" s="889"/>
    </row>
    <row r="8171" spans="7:7" ht="10.5" customHeight="1" x14ac:dyDescent="0.2">
      <c r="G8171" s="889"/>
    </row>
    <row r="8172" spans="7:7" ht="10.5" customHeight="1" x14ac:dyDescent="0.2">
      <c r="G8172" s="889"/>
    </row>
    <row r="8173" spans="7:7" ht="10.5" customHeight="1" x14ac:dyDescent="0.2">
      <c r="G8173" s="889"/>
    </row>
    <row r="8174" spans="7:7" ht="10.5" customHeight="1" x14ac:dyDescent="0.2">
      <c r="G8174" s="889"/>
    </row>
    <row r="8175" spans="7:7" ht="10.5" customHeight="1" x14ac:dyDescent="0.2">
      <c r="G8175" s="889"/>
    </row>
    <row r="8176" spans="7:7" ht="10.5" customHeight="1" x14ac:dyDescent="0.2">
      <c r="G8176" s="889"/>
    </row>
    <row r="8177" spans="7:7" ht="10.5" customHeight="1" x14ac:dyDescent="0.2">
      <c r="G8177" s="889"/>
    </row>
    <row r="8178" spans="7:7" ht="10.5" customHeight="1" x14ac:dyDescent="0.2">
      <c r="G8178" s="889"/>
    </row>
    <row r="8179" spans="7:7" ht="10.5" customHeight="1" x14ac:dyDescent="0.2">
      <c r="G8179" s="889"/>
    </row>
    <row r="8180" spans="7:7" ht="10.5" customHeight="1" x14ac:dyDescent="0.2">
      <c r="G8180" s="889"/>
    </row>
    <row r="8181" spans="7:7" ht="10.5" customHeight="1" x14ac:dyDescent="0.2">
      <c r="G8181" s="889"/>
    </row>
    <row r="8182" spans="7:7" ht="10.5" customHeight="1" x14ac:dyDescent="0.2">
      <c r="G8182" s="889"/>
    </row>
    <row r="8183" spans="7:7" ht="10.5" customHeight="1" x14ac:dyDescent="0.2">
      <c r="G8183" s="889"/>
    </row>
    <row r="8184" spans="7:7" ht="10.5" customHeight="1" x14ac:dyDescent="0.2">
      <c r="G8184" s="889"/>
    </row>
    <row r="8185" spans="7:7" ht="10.5" customHeight="1" x14ac:dyDescent="0.2">
      <c r="G8185" s="889"/>
    </row>
    <row r="8186" spans="7:7" ht="10.5" customHeight="1" x14ac:dyDescent="0.2">
      <c r="G8186" s="889"/>
    </row>
    <row r="8187" spans="7:7" ht="10.5" customHeight="1" x14ac:dyDescent="0.2">
      <c r="G8187" s="889"/>
    </row>
    <row r="8188" spans="7:7" ht="10.5" customHeight="1" x14ac:dyDescent="0.2">
      <c r="G8188" s="889"/>
    </row>
    <row r="8189" spans="7:7" ht="10.5" customHeight="1" x14ac:dyDescent="0.2">
      <c r="G8189" s="889"/>
    </row>
    <row r="8190" spans="7:7" ht="10.5" customHeight="1" x14ac:dyDescent="0.2">
      <c r="G8190" s="889"/>
    </row>
    <row r="8191" spans="7:7" ht="10.5" customHeight="1" x14ac:dyDescent="0.2">
      <c r="G8191" s="889"/>
    </row>
    <row r="8192" spans="7:7" ht="10.5" customHeight="1" x14ac:dyDescent="0.2">
      <c r="G8192" s="889"/>
    </row>
    <row r="8193" spans="7:7" ht="10.5" customHeight="1" x14ac:dyDescent="0.2">
      <c r="G8193" s="889"/>
    </row>
    <row r="8194" spans="7:7" ht="10.5" customHeight="1" x14ac:dyDescent="0.2">
      <c r="G8194" s="889"/>
    </row>
    <row r="8195" spans="7:7" ht="10.5" customHeight="1" x14ac:dyDescent="0.2">
      <c r="G8195" s="889"/>
    </row>
    <row r="8196" spans="7:7" ht="10.5" customHeight="1" x14ac:dyDescent="0.2">
      <c r="G8196" s="889"/>
    </row>
    <row r="8197" spans="7:7" ht="10.5" customHeight="1" x14ac:dyDescent="0.2">
      <c r="G8197" s="889"/>
    </row>
    <row r="8198" spans="7:7" ht="10.5" customHeight="1" x14ac:dyDescent="0.2">
      <c r="G8198" s="889"/>
    </row>
    <row r="8199" spans="7:7" ht="10.5" customHeight="1" x14ac:dyDescent="0.2">
      <c r="G8199" s="889"/>
    </row>
    <row r="8200" spans="7:7" ht="10.5" customHeight="1" x14ac:dyDescent="0.2">
      <c r="G8200" s="889"/>
    </row>
    <row r="8201" spans="7:7" ht="10.5" customHeight="1" x14ac:dyDescent="0.2">
      <c r="G8201" s="889"/>
    </row>
    <row r="8202" spans="7:7" ht="10.5" customHeight="1" x14ac:dyDescent="0.2">
      <c r="G8202" s="889"/>
    </row>
    <row r="8203" spans="7:7" ht="10.5" customHeight="1" x14ac:dyDescent="0.2">
      <c r="G8203" s="889"/>
    </row>
    <row r="8204" spans="7:7" ht="10.5" customHeight="1" x14ac:dyDescent="0.2">
      <c r="G8204" s="889"/>
    </row>
    <row r="8205" spans="7:7" ht="10.5" customHeight="1" x14ac:dyDescent="0.2">
      <c r="G8205" s="889"/>
    </row>
    <row r="8206" spans="7:7" ht="10.5" customHeight="1" x14ac:dyDescent="0.2">
      <c r="G8206" s="889"/>
    </row>
    <row r="8207" spans="7:7" ht="10.5" customHeight="1" x14ac:dyDescent="0.2">
      <c r="G8207" s="889"/>
    </row>
    <row r="8208" spans="7:7" ht="10.5" customHeight="1" x14ac:dyDescent="0.2">
      <c r="G8208" s="889"/>
    </row>
    <row r="8209" spans="7:7" ht="10.5" customHeight="1" x14ac:dyDescent="0.2">
      <c r="G8209" s="889"/>
    </row>
    <row r="8210" spans="7:7" ht="10.5" customHeight="1" x14ac:dyDescent="0.2">
      <c r="G8210" s="889"/>
    </row>
    <row r="8211" spans="7:7" ht="10.5" customHeight="1" x14ac:dyDescent="0.2">
      <c r="G8211" s="889"/>
    </row>
    <row r="8212" spans="7:7" ht="10.5" customHeight="1" x14ac:dyDescent="0.2">
      <c r="G8212" s="889"/>
    </row>
    <row r="8213" spans="7:7" ht="10.5" customHeight="1" x14ac:dyDescent="0.2">
      <c r="G8213" s="889"/>
    </row>
    <row r="8214" spans="7:7" ht="10.5" customHeight="1" x14ac:dyDescent="0.2">
      <c r="G8214" s="889"/>
    </row>
    <row r="8215" spans="7:7" ht="10.5" customHeight="1" x14ac:dyDescent="0.2">
      <c r="G8215" s="889"/>
    </row>
    <row r="8216" spans="7:7" ht="10.5" customHeight="1" x14ac:dyDescent="0.2">
      <c r="G8216" s="889"/>
    </row>
    <row r="8217" spans="7:7" ht="10.5" customHeight="1" x14ac:dyDescent="0.2">
      <c r="G8217" s="889"/>
    </row>
    <row r="8218" spans="7:7" ht="10.5" customHeight="1" x14ac:dyDescent="0.2">
      <c r="G8218" s="889"/>
    </row>
    <row r="8219" spans="7:7" ht="10.5" customHeight="1" x14ac:dyDescent="0.2">
      <c r="G8219" s="889"/>
    </row>
    <row r="8220" spans="7:7" ht="10.5" customHeight="1" x14ac:dyDescent="0.2">
      <c r="G8220" s="889"/>
    </row>
    <row r="8221" spans="7:7" ht="10.5" customHeight="1" x14ac:dyDescent="0.2">
      <c r="G8221" s="889"/>
    </row>
    <row r="8222" spans="7:7" ht="10.5" customHeight="1" x14ac:dyDescent="0.2">
      <c r="G8222" s="889"/>
    </row>
    <row r="8223" spans="7:7" ht="10.5" customHeight="1" x14ac:dyDescent="0.2">
      <c r="G8223" s="889"/>
    </row>
    <row r="8224" spans="7:7" ht="10.5" customHeight="1" x14ac:dyDescent="0.2">
      <c r="G8224" s="889"/>
    </row>
    <row r="8225" spans="7:7" ht="10.5" customHeight="1" x14ac:dyDescent="0.2">
      <c r="G8225" s="889"/>
    </row>
    <row r="8226" spans="7:7" ht="10.5" customHeight="1" x14ac:dyDescent="0.2">
      <c r="G8226" s="889"/>
    </row>
    <row r="8227" spans="7:7" ht="10.5" customHeight="1" x14ac:dyDescent="0.2">
      <c r="G8227" s="889"/>
    </row>
    <row r="8228" spans="7:7" ht="10.5" customHeight="1" x14ac:dyDescent="0.2">
      <c r="G8228" s="889"/>
    </row>
    <row r="8229" spans="7:7" ht="10.5" customHeight="1" x14ac:dyDescent="0.2">
      <c r="G8229" s="889"/>
    </row>
    <row r="8230" spans="7:7" ht="10.5" customHeight="1" x14ac:dyDescent="0.2">
      <c r="G8230" s="889"/>
    </row>
    <row r="8231" spans="7:7" ht="10.5" customHeight="1" x14ac:dyDescent="0.2">
      <c r="G8231" s="889"/>
    </row>
    <row r="8232" spans="7:7" ht="10.5" customHeight="1" x14ac:dyDescent="0.2">
      <c r="G8232" s="889"/>
    </row>
    <row r="8233" spans="7:7" ht="10.5" customHeight="1" x14ac:dyDescent="0.2">
      <c r="G8233" s="889"/>
    </row>
    <row r="8234" spans="7:7" ht="10.5" customHeight="1" x14ac:dyDescent="0.2">
      <c r="G8234" s="889"/>
    </row>
    <row r="8235" spans="7:7" ht="10.5" customHeight="1" x14ac:dyDescent="0.2">
      <c r="G8235" s="889"/>
    </row>
    <row r="8236" spans="7:7" ht="10.5" customHeight="1" x14ac:dyDescent="0.2">
      <c r="G8236" s="889"/>
    </row>
    <row r="8237" spans="7:7" ht="10.5" customHeight="1" x14ac:dyDescent="0.2">
      <c r="G8237" s="889"/>
    </row>
    <row r="8238" spans="7:7" ht="10.5" customHeight="1" x14ac:dyDescent="0.2">
      <c r="G8238" s="889"/>
    </row>
    <row r="8239" spans="7:7" ht="10.5" customHeight="1" x14ac:dyDescent="0.2">
      <c r="G8239" s="889"/>
    </row>
    <row r="8240" spans="7:7" ht="10.5" customHeight="1" x14ac:dyDescent="0.2">
      <c r="G8240" s="889"/>
    </row>
    <row r="8241" spans="7:7" ht="10.5" customHeight="1" x14ac:dyDescent="0.2">
      <c r="G8241" s="889"/>
    </row>
    <row r="8242" spans="7:7" ht="10.5" customHeight="1" x14ac:dyDescent="0.2">
      <c r="G8242" s="889"/>
    </row>
    <row r="8243" spans="7:7" ht="10.5" customHeight="1" x14ac:dyDescent="0.2">
      <c r="G8243" s="889"/>
    </row>
    <row r="8244" spans="7:7" ht="10.5" customHeight="1" x14ac:dyDescent="0.2">
      <c r="G8244" s="889"/>
    </row>
    <row r="8245" spans="7:7" ht="10.5" customHeight="1" x14ac:dyDescent="0.2">
      <c r="G8245" s="889"/>
    </row>
    <row r="8246" spans="7:7" ht="10.5" customHeight="1" x14ac:dyDescent="0.2">
      <c r="G8246" s="889"/>
    </row>
    <row r="8247" spans="7:7" ht="10.5" customHeight="1" x14ac:dyDescent="0.2">
      <c r="G8247" s="889"/>
    </row>
    <row r="8248" spans="7:7" ht="10.5" customHeight="1" x14ac:dyDescent="0.2">
      <c r="G8248" s="889"/>
    </row>
    <row r="8249" spans="7:7" ht="10.5" customHeight="1" x14ac:dyDescent="0.2">
      <c r="G8249" s="889"/>
    </row>
    <row r="8250" spans="7:7" ht="10.5" customHeight="1" x14ac:dyDescent="0.2">
      <c r="G8250" s="889"/>
    </row>
    <row r="8251" spans="7:7" ht="10.5" customHeight="1" x14ac:dyDescent="0.2">
      <c r="G8251" s="889"/>
    </row>
    <row r="8252" spans="7:7" ht="10.5" customHeight="1" x14ac:dyDescent="0.2">
      <c r="G8252" s="889"/>
    </row>
    <row r="8253" spans="7:7" ht="10.5" customHeight="1" x14ac:dyDescent="0.2">
      <c r="G8253" s="889"/>
    </row>
    <row r="8254" spans="7:7" ht="10.5" customHeight="1" x14ac:dyDescent="0.2">
      <c r="G8254" s="889"/>
    </row>
    <row r="8255" spans="7:7" ht="10.5" customHeight="1" x14ac:dyDescent="0.2">
      <c r="G8255" s="889"/>
    </row>
    <row r="8256" spans="7:7" ht="10.5" customHeight="1" x14ac:dyDescent="0.2">
      <c r="G8256" s="889"/>
    </row>
    <row r="8257" spans="7:7" ht="10.5" customHeight="1" x14ac:dyDescent="0.2">
      <c r="G8257" s="889"/>
    </row>
    <row r="8258" spans="7:7" ht="10.5" customHeight="1" x14ac:dyDescent="0.2">
      <c r="G8258" s="889"/>
    </row>
    <row r="8259" spans="7:7" ht="10.5" customHeight="1" x14ac:dyDescent="0.2">
      <c r="G8259" s="889"/>
    </row>
    <row r="8260" spans="7:7" ht="10.5" customHeight="1" x14ac:dyDescent="0.2">
      <c r="G8260" s="889"/>
    </row>
    <row r="8261" spans="7:7" ht="10.5" customHeight="1" x14ac:dyDescent="0.2">
      <c r="G8261" s="889"/>
    </row>
    <row r="8262" spans="7:7" ht="10.5" customHeight="1" x14ac:dyDescent="0.2">
      <c r="G8262" s="889"/>
    </row>
    <row r="8263" spans="7:7" ht="10.5" customHeight="1" x14ac:dyDescent="0.2">
      <c r="G8263" s="889"/>
    </row>
    <row r="8264" spans="7:7" ht="10.5" customHeight="1" x14ac:dyDescent="0.2">
      <c r="G8264" s="889"/>
    </row>
    <row r="8265" spans="7:7" ht="10.5" customHeight="1" x14ac:dyDescent="0.2">
      <c r="G8265" s="889"/>
    </row>
    <row r="8266" spans="7:7" ht="10.5" customHeight="1" x14ac:dyDescent="0.2">
      <c r="G8266" s="889"/>
    </row>
    <row r="8267" spans="7:7" ht="10.5" customHeight="1" x14ac:dyDescent="0.2">
      <c r="G8267" s="889"/>
    </row>
    <row r="8268" spans="7:7" ht="10.5" customHeight="1" x14ac:dyDescent="0.2">
      <c r="G8268" s="889"/>
    </row>
    <row r="8269" spans="7:7" ht="10.5" customHeight="1" x14ac:dyDescent="0.2">
      <c r="G8269" s="889"/>
    </row>
    <row r="8270" spans="7:7" ht="10.5" customHeight="1" x14ac:dyDescent="0.2">
      <c r="G8270" s="889"/>
    </row>
    <row r="8271" spans="7:7" ht="10.5" customHeight="1" x14ac:dyDescent="0.2">
      <c r="G8271" s="889"/>
    </row>
    <row r="8272" spans="7:7" ht="10.5" customHeight="1" x14ac:dyDescent="0.2">
      <c r="G8272" s="889"/>
    </row>
    <row r="8273" spans="7:7" ht="10.5" customHeight="1" x14ac:dyDescent="0.2">
      <c r="G8273" s="889"/>
    </row>
    <row r="8274" spans="7:7" ht="10.5" customHeight="1" x14ac:dyDescent="0.2">
      <c r="G8274" s="889"/>
    </row>
    <row r="8275" spans="7:7" ht="10.5" customHeight="1" x14ac:dyDescent="0.2">
      <c r="G8275" s="889"/>
    </row>
    <row r="8276" spans="7:7" ht="10.5" customHeight="1" x14ac:dyDescent="0.2">
      <c r="G8276" s="889"/>
    </row>
    <row r="8277" spans="7:7" ht="10.5" customHeight="1" x14ac:dyDescent="0.2">
      <c r="G8277" s="889"/>
    </row>
    <row r="8278" spans="7:7" ht="10.5" customHeight="1" x14ac:dyDescent="0.2">
      <c r="G8278" s="889"/>
    </row>
    <row r="8279" spans="7:7" ht="10.5" customHeight="1" x14ac:dyDescent="0.2">
      <c r="G8279" s="889"/>
    </row>
    <row r="8280" spans="7:7" ht="10.5" customHeight="1" x14ac:dyDescent="0.2">
      <c r="G8280" s="889"/>
    </row>
    <row r="8281" spans="7:7" ht="10.5" customHeight="1" x14ac:dyDescent="0.2">
      <c r="G8281" s="889"/>
    </row>
    <row r="8282" spans="7:7" ht="10.5" customHeight="1" x14ac:dyDescent="0.2">
      <c r="G8282" s="889"/>
    </row>
    <row r="8283" spans="7:7" ht="10.5" customHeight="1" x14ac:dyDescent="0.2">
      <c r="G8283" s="889"/>
    </row>
    <row r="8284" spans="7:7" ht="10.5" customHeight="1" x14ac:dyDescent="0.2">
      <c r="G8284" s="889"/>
    </row>
    <row r="8285" spans="7:7" ht="10.5" customHeight="1" x14ac:dyDescent="0.2">
      <c r="G8285" s="889"/>
    </row>
    <row r="8286" spans="7:7" ht="10.5" customHeight="1" x14ac:dyDescent="0.2">
      <c r="G8286" s="889"/>
    </row>
    <row r="8287" spans="7:7" ht="10.5" customHeight="1" x14ac:dyDescent="0.2">
      <c r="G8287" s="889"/>
    </row>
    <row r="8288" spans="7:7" ht="10.5" customHeight="1" x14ac:dyDescent="0.2">
      <c r="G8288" s="889"/>
    </row>
    <row r="8289" spans="7:7" ht="10.5" customHeight="1" x14ac:dyDescent="0.2">
      <c r="G8289" s="889"/>
    </row>
    <row r="8290" spans="7:7" ht="10.5" customHeight="1" x14ac:dyDescent="0.2">
      <c r="G8290" s="889"/>
    </row>
    <row r="8291" spans="7:7" ht="10.5" customHeight="1" x14ac:dyDescent="0.2">
      <c r="G8291" s="889"/>
    </row>
    <row r="8292" spans="7:7" ht="10.5" customHeight="1" x14ac:dyDescent="0.2">
      <c r="G8292" s="889"/>
    </row>
    <row r="8293" spans="7:7" ht="10.5" customHeight="1" x14ac:dyDescent="0.2">
      <c r="G8293" s="889"/>
    </row>
    <row r="8294" spans="7:7" ht="10.5" customHeight="1" x14ac:dyDescent="0.2">
      <c r="G8294" s="889"/>
    </row>
    <row r="8295" spans="7:7" ht="10.5" customHeight="1" x14ac:dyDescent="0.2">
      <c r="G8295" s="889"/>
    </row>
    <row r="8296" spans="7:7" ht="10.5" customHeight="1" x14ac:dyDescent="0.2">
      <c r="G8296" s="889"/>
    </row>
    <row r="8297" spans="7:7" ht="10.5" customHeight="1" x14ac:dyDescent="0.2">
      <c r="G8297" s="889"/>
    </row>
    <row r="8298" spans="7:7" ht="10.5" customHeight="1" x14ac:dyDescent="0.2">
      <c r="G8298" s="889"/>
    </row>
    <row r="8299" spans="7:7" ht="10.5" customHeight="1" x14ac:dyDescent="0.2">
      <c r="G8299" s="889"/>
    </row>
    <row r="8300" spans="7:7" ht="10.5" customHeight="1" x14ac:dyDescent="0.2">
      <c r="G8300" s="889"/>
    </row>
    <row r="8301" spans="7:7" ht="10.5" customHeight="1" x14ac:dyDescent="0.2">
      <c r="G8301" s="889"/>
    </row>
    <row r="8302" spans="7:7" ht="10.5" customHeight="1" x14ac:dyDescent="0.2">
      <c r="G8302" s="889"/>
    </row>
    <row r="8303" spans="7:7" ht="10.5" customHeight="1" x14ac:dyDescent="0.2">
      <c r="G8303" s="889"/>
    </row>
    <row r="8304" spans="7:7" ht="10.5" customHeight="1" x14ac:dyDescent="0.2">
      <c r="G8304" s="889"/>
    </row>
    <row r="8305" spans="7:7" ht="10.5" customHeight="1" x14ac:dyDescent="0.2">
      <c r="G8305" s="889"/>
    </row>
    <row r="8306" spans="7:7" ht="10.5" customHeight="1" x14ac:dyDescent="0.2">
      <c r="G8306" s="889"/>
    </row>
    <row r="8307" spans="7:7" ht="10.5" customHeight="1" x14ac:dyDescent="0.2">
      <c r="G8307" s="889"/>
    </row>
    <row r="8308" spans="7:7" ht="10.5" customHeight="1" x14ac:dyDescent="0.2">
      <c r="G8308" s="889"/>
    </row>
    <row r="8309" spans="7:7" ht="10.5" customHeight="1" x14ac:dyDescent="0.2">
      <c r="G8309" s="889"/>
    </row>
    <row r="8310" spans="7:7" ht="10.5" customHeight="1" x14ac:dyDescent="0.2">
      <c r="G8310" s="889"/>
    </row>
    <row r="8311" spans="7:7" ht="10.5" customHeight="1" x14ac:dyDescent="0.2">
      <c r="G8311" s="889"/>
    </row>
    <row r="8312" spans="7:7" ht="10.5" customHeight="1" x14ac:dyDescent="0.2">
      <c r="G8312" s="889"/>
    </row>
    <row r="8313" spans="7:7" ht="10.5" customHeight="1" x14ac:dyDescent="0.2">
      <c r="G8313" s="889"/>
    </row>
    <row r="8314" spans="7:7" ht="10.5" customHeight="1" x14ac:dyDescent="0.2">
      <c r="G8314" s="889"/>
    </row>
    <row r="8315" spans="7:7" ht="10.5" customHeight="1" x14ac:dyDescent="0.2">
      <c r="G8315" s="889"/>
    </row>
    <row r="8316" spans="7:7" ht="10.5" customHeight="1" x14ac:dyDescent="0.2">
      <c r="G8316" s="889"/>
    </row>
    <row r="8317" spans="7:7" ht="10.5" customHeight="1" x14ac:dyDescent="0.2">
      <c r="G8317" s="889"/>
    </row>
    <row r="8318" spans="7:7" ht="10.5" customHeight="1" x14ac:dyDescent="0.2">
      <c r="G8318" s="889"/>
    </row>
    <row r="8319" spans="7:7" ht="10.5" customHeight="1" x14ac:dyDescent="0.2">
      <c r="G8319" s="889"/>
    </row>
    <row r="8320" spans="7:7" ht="10.5" customHeight="1" x14ac:dyDescent="0.2">
      <c r="G8320" s="889"/>
    </row>
    <row r="8321" spans="7:7" ht="10.5" customHeight="1" x14ac:dyDescent="0.2">
      <c r="G8321" s="889"/>
    </row>
    <row r="8322" spans="7:7" ht="10.5" customHeight="1" x14ac:dyDescent="0.2">
      <c r="G8322" s="889"/>
    </row>
    <row r="8323" spans="7:7" ht="10.5" customHeight="1" x14ac:dyDescent="0.2">
      <c r="G8323" s="889"/>
    </row>
    <row r="8324" spans="7:7" ht="10.5" customHeight="1" x14ac:dyDescent="0.2">
      <c r="G8324" s="889"/>
    </row>
    <row r="8325" spans="7:7" ht="10.5" customHeight="1" x14ac:dyDescent="0.2">
      <c r="G8325" s="889"/>
    </row>
    <row r="8326" spans="7:7" ht="10.5" customHeight="1" x14ac:dyDescent="0.2">
      <c r="G8326" s="889"/>
    </row>
    <row r="8327" spans="7:7" ht="10.5" customHeight="1" x14ac:dyDescent="0.2">
      <c r="G8327" s="889"/>
    </row>
    <row r="8328" spans="7:7" ht="10.5" customHeight="1" x14ac:dyDescent="0.2">
      <c r="G8328" s="889"/>
    </row>
    <row r="8329" spans="7:7" ht="10.5" customHeight="1" x14ac:dyDescent="0.2">
      <c r="G8329" s="889"/>
    </row>
    <row r="8330" spans="7:7" ht="10.5" customHeight="1" x14ac:dyDescent="0.2">
      <c r="G8330" s="889"/>
    </row>
    <row r="8331" spans="7:7" ht="10.5" customHeight="1" x14ac:dyDescent="0.2">
      <c r="G8331" s="889"/>
    </row>
    <row r="8332" spans="7:7" ht="10.5" customHeight="1" x14ac:dyDescent="0.2">
      <c r="G8332" s="889"/>
    </row>
    <row r="8333" spans="7:7" ht="10.5" customHeight="1" x14ac:dyDescent="0.2">
      <c r="G8333" s="889"/>
    </row>
    <row r="8334" spans="7:7" ht="10.5" customHeight="1" x14ac:dyDescent="0.2">
      <c r="G8334" s="889"/>
    </row>
    <row r="8335" spans="7:7" ht="10.5" customHeight="1" x14ac:dyDescent="0.2">
      <c r="G8335" s="889"/>
    </row>
    <row r="8336" spans="7:7" ht="10.5" customHeight="1" x14ac:dyDescent="0.2">
      <c r="G8336" s="889"/>
    </row>
    <row r="8337" spans="7:7" ht="10.5" customHeight="1" x14ac:dyDescent="0.2">
      <c r="G8337" s="889"/>
    </row>
    <row r="8338" spans="7:7" ht="10.5" customHeight="1" x14ac:dyDescent="0.2">
      <c r="G8338" s="889"/>
    </row>
    <row r="8339" spans="7:7" ht="10.5" customHeight="1" x14ac:dyDescent="0.2">
      <c r="G8339" s="889"/>
    </row>
    <row r="8340" spans="7:7" ht="10.5" customHeight="1" x14ac:dyDescent="0.2">
      <c r="G8340" s="889"/>
    </row>
    <row r="8341" spans="7:7" ht="10.5" customHeight="1" x14ac:dyDescent="0.2">
      <c r="G8341" s="889"/>
    </row>
    <row r="8342" spans="7:7" ht="10.5" customHeight="1" x14ac:dyDescent="0.2">
      <c r="G8342" s="889"/>
    </row>
    <row r="8343" spans="7:7" ht="10.5" customHeight="1" x14ac:dyDescent="0.2">
      <c r="G8343" s="889"/>
    </row>
    <row r="8344" spans="7:7" ht="10.5" customHeight="1" x14ac:dyDescent="0.2">
      <c r="G8344" s="889"/>
    </row>
    <row r="8345" spans="7:7" ht="10.5" customHeight="1" x14ac:dyDescent="0.2">
      <c r="G8345" s="889"/>
    </row>
    <row r="8346" spans="7:7" ht="10.5" customHeight="1" x14ac:dyDescent="0.2">
      <c r="G8346" s="889"/>
    </row>
    <row r="8347" spans="7:7" ht="10.5" customHeight="1" x14ac:dyDescent="0.2">
      <c r="G8347" s="889"/>
    </row>
    <row r="8348" spans="7:7" ht="10.5" customHeight="1" x14ac:dyDescent="0.2">
      <c r="G8348" s="889"/>
    </row>
    <row r="8349" spans="7:7" ht="10.5" customHeight="1" x14ac:dyDescent="0.2">
      <c r="G8349" s="889"/>
    </row>
    <row r="8350" spans="7:7" ht="10.5" customHeight="1" x14ac:dyDescent="0.2">
      <c r="G8350" s="889"/>
    </row>
    <row r="8351" spans="7:7" ht="10.5" customHeight="1" x14ac:dyDescent="0.2">
      <c r="G8351" s="889"/>
    </row>
    <row r="8352" spans="7:7" ht="10.5" customHeight="1" x14ac:dyDescent="0.2">
      <c r="G8352" s="889"/>
    </row>
    <row r="8353" spans="7:7" ht="10.5" customHeight="1" x14ac:dyDescent="0.2">
      <c r="G8353" s="889"/>
    </row>
    <row r="8354" spans="7:7" ht="10.5" customHeight="1" x14ac:dyDescent="0.2">
      <c r="G8354" s="889"/>
    </row>
    <row r="8355" spans="7:7" ht="10.5" customHeight="1" x14ac:dyDescent="0.2">
      <c r="G8355" s="889"/>
    </row>
    <row r="8356" spans="7:7" ht="10.5" customHeight="1" x14ac:dyDescent="0.2">
      <c r="G8356" s="889"/>
    </row>
    <row r="8357" spans="7:7" ht="10.5" customHeight="1" x14ac:dyDescent="0.2">
      <c r="G8357" s="889"/>
    </row>
    <row r="8358" spans="7:7" ht="10.5" customHeight="1" x14ac:dyDescent="0.2">
      <c r="G8358" s="889"/>
    </row>
    <row r="8359" spans="7:7" ht="10.5" customHeight="1" x14ac:dyDescent="0.2">
      <c r="G8359" s="889"/>
    </row>
    <row r="8360" spans="7:7" ht="10.5" customHeight="1" x14ac:dyDescent="0.2">
      <c r="G8360" s="889"/>
    </row>
    <row r="8361" spans="7:7" ht="10.5" customHeight="1" x14ac:dyDescent="0.2">
      <c r="G8361" s="889"/>
    </row>
    <row r="8362" spans="7:7" ht="10.5" customHeight="1" x14ac:dyDescent="0.2">
      <c r="G8362" s="889"/>
    </row>
    <row r="8363" spans="7:7" ht="10.5" customHeight="1" x14ac:dyDescent="0.2">
      <c r="G8363" s="889"/>
    </row>
    <row r="8364" spans="7:7" ht="10.5" customHeight="1" x14ac:dyDescent="0.2">
      <c r="G8364" s="889"/>
    </row>
    <row r="8365" spans="7:7" ht="10.5" customHeight="1" x14ac:dyDescent="0.2">
      <c r="G8365" s="889"/>
    </row>
    <row r="8366" spans="7:7" ht="10.5" customHeight="1" x14ac:dyDescent="0.2">
      <c r="G8366" s="889"/>
    </row>
    <row r="8367" spans="7:7" ht="10.5" customHeight="1" x14ac:dyDescent="0.2">
      <c r="G8367" s="889"/>
    </row>
    <row r="8368" spans="7:7" ht="10.5" customHeight="1" x14ac:dyDescent="0.2">
      <c r="G8368" s="889"/>
    </row>
    <row r="8369" spans="7:7" ht="10.5" customHeight="1" x14ac:dyDescent="0.2">
      <c r="G8369" s="889"/>
    </row>
    <row r="8370" spans="7:7" ht="10.5" customHeight="1" x14ac:dyDescent="0.2">
      <c r="G8370" s="889"/>
    </row>
    <row r="8371" spans="7:7" ht="10.5" customHeight="1" x14ac:dyDescent="0.2">
      <c r="G8371" s="889"/>
    </row>
    <row r="8372" spans="7:7" ht="10.5" customHeight="1" x14ac:dyDescent="0.2">
      <c r="G8372" s="889"/>
    </row>
    <row r="8373" spans="7:7" ht="10.5" customHeight="1" x14ac:dyDescent="0.2">
      <c r="G8373" s="889"/>
    </row>
    <row r="8374" spans="7:7" ht="10.5" customHeight="1" x14ac:dyDescent="0.2">
      <c r="G8374" s="889"/>
    </row>
    <row r="8375" spans="7:7" ht="10.5" customHeight="1" x14ac:dyDescent="0.2">
      <c r="G8375" s="889"/>
    </row>
    <row r="8376" spans="7:7" ht="10.5" customHeight="1" x14ac:dyDescent="0.2">
      <c r="G8376" s="889"/>
    </row>
    <row r="8377" spans="7:7" ht="10.5" customHeight="1" x14ac:dyDescent="0.2">
      <c r="G8377" s="889"/>
    </row>
    <row r="8378" spans="7:7" ht="10.5" customHeight="1" x14ac:dyDescent="0.2">
      <c r="G8378" s="889"/>
    </row>
    <row r="8379" spans="7:7" ht="10.5" customHeight="1" x14ac:dyDescent="0.2">
      <c r="G8379" s="889"/>
    </row>
    <row r="8380" spans="7:7" ht="10.5" customHeight="1" x14ac:dyDescent="0.2">
      <c r="G8380" s="889"/>
    </row>
    <row r="8381" spans="7:7" ht="10.5" customHeight="1" x14ac:dyDescent="0.2">
      <c r="G8381" s="889"/>
    </row>
    <row r="8382" spans="7:7" ht="10.5" customHeight="1" x14ac:dyDescent="0.2">
      <c r="G8382" s="889"/>
    </row>
    <row r="8383" spans="7:7" ht="10.5" customHeight="1" x14ac:dyDescent="0.2">
      <c r="G8383" s="889"/>
    </row>
    <row r="8384" spans="7:7" ht="10.5" customHeight="1" x14ac:dyDescent="0.2">
      <c r="G8384" s="889"/>
    </row>
    <row r="8385" spans="7:7" ht="10.5" customHeight="1" x14ac:dyDescent="0.2">
      <c r="G8385" s="889"/>
    </row>
    <row r="8386" spans="7:7" ht="10.5" customHeight="1" x14ac:dyDescent="0.2">
      <c r="G8386" s="889"/>
    </row>
    <row r="8387" spans="7:7" ht="10.5" customHeight="1" x14ac:dyDescent="0.2">
      <c r="G8387" s="889"/>
    </row>
    <row r="8388" spans="7:7" ht="10.5" customHeight="1" x14ac:dyDescent="0.2">
      <c r="G8388" s="889"/>
    </row>
    <row r="8389" spans="7:7" ht="10.5" customHeight="1" x14ac:dyDescent="0.2">
      <c r="G8389" s="889"/>
    </row>
    <row r="8390" spans="7:7" ht="10.5" customHeight="1" x14ac:dyDescent="0.2">
      <c r="G8390" s="889"/>
    </row>
    <row r="8391" spans="7:7" ht="10.5" customHeight="1" x14ac:dyDescent="0.2">
      <c r="G8391" s="889"/>
    </row>
    <row r="8392" spans="7:7" ht="10.5" customHeight="1" x14ac:dyDescent="0.2">
      <c r="G8392" s="889"/>
    </row>
    <row r="8393" spans="7:7" ht="10.5" customHeight="1" x14ac:dyDescent="0.2">
      <c r="G8393" s="889"/>
    </row>
    <row r="8394" spans="7:7" ht="10.5" customHeight="1" x14ac:dyDescent="0.2">
      <c r="G8394" s="889"/>
    </row>
    <row r="8395" spans="7:7" ht="10.5" customHeight="1" x14ac:dyDescent="0.2">
      <c r="G8395" s="889"/>
    </row>
    <row r="8396" spans="7:7" ht="10.5" customHeight="1" x14ac:dyDescent="0.2">
      <c r="G8396" s="889"/>
    </row>
    <row r="8397" spans="7:7" ht="10.5" customHeight="1" x14ac:dyDescent="0.2">
      <c r="G8397" s="889"/>
    </row>
    <row r="8398" spans="7:7" ht="10.5" customHeight="1" x14ac:dyDescent="0.2">
      <c r="G8398" s="889"/>
    </row>
    <row r="8399" spans="7:7" ht="10.5" customHeight="1" x14ac:dyDescent="0.2">
      <c r="G8399" s="889"/>
    </row>
    <row r="8400" spans="7:7" ht="10.5" customHeight="1" x14ac:dyDescent="0.2">
      <c r="G8400" s="889"/>
    </row>
    <row r="8401" spans="7:7" ht="10.5" customHeight="1" x14ac:dyDescent="0.2">
      <c r="G8401" s="889"/>
    </row>
    <row r="8402" spans="7:7" ht="10.5" customHeight="1" x14ac:dyDescent="0.2">
      <c r="G8402" s="889"/>
    </row>
    <row r="8403" spans="7:7" ht="10.5" customHeight="1" x14ac:dyDescent="0.2">
      <c r="G8403" s="889"/>
    </row>
    <row r="8404" spans="7:7" ht="10.5" customHeight="1" x14ac:dyDescent="0.2">
      <c r="G8404" s="889"/>
    </row>
    <row r="8405" spans="7:7" ht="10.5" customHeight="1" x14ac:dyDescent="0.2">
      <c r="G8405" s="889"/>
    </row>
    <row r="8406" spans="7:7" ht="10.5" customHeight="1" x14ac:dyDescent="0.2">
      <c r="G8406" s="889"/>
    </row>
    <row r="8407" spans="7:7" ht="10.5" customHeight="1" x14ac:dyDescent="0.2">
      <c r="G8407" s="889"/>
    </row>
    <row r="8408" spans="7:7" ht="10.5" customHeight="1" x14ac:dyDescent="0.2">
      <c r="G8408" s="889"/>
    </row>
    <row r="8409" spans="7:7" ht="10.5" customHeight="1" x14ac:dyDescent="0.2">
      <c r="G8409" s="889"/>
    </row>
    <row r="8410" spans="7:7" ht="10.5" customHeight="1" x14ac:dyDescent="0.2">
      <c r="G8410" s="889"/>
    </row>
    <row r="8411" spans="7:7" ht="10.5" customHeight="1" x14ac:dyDescent="0.2">
      <c r="G8411" s="889"/>
    </row>
    <row r="8412" spans="7:7" ht="10.5" customHeight="1" x14ac:dyDescent="0.2">
      <c r="G8412" s="889"/>
    </row>
    <row r="8413" spans="7:7" ht="10.5" customHeight="1" x14ac:dyDescent="0.2">
      <c r="G8413" s="889"/>
    </row>
    <row r="8414" spans="7:7" ht="10.5" customHeight="1" x14ac:dyDescent="0.2">
      <c r="G8414" s="889"/>
    </row>
    <row r="8415" spans="7:7" ht="10.5" customHeight="1" x14ac:dyDescent="0.2">
      <c r="G8415" s="889"/>
    </row>
    <row r="8416" spans="7:7" ht="10.5" customHeight="1" x14ac:dyDescent="0.2">
      <c r="G8416" s="889"/>
    </row>
    <row r="8417" spans="7:7" ht="10.5" customHeight="1" x14ac:dyDescent="0.2">
      <c r="G8417" s="889"/>
    </row>
    <row r="8418" spans="7:7" ht="10.5" customHeight="1" x14ac:dyDescent="0.2">
      <c r="G8418" s="889"/>
    </row>
    <row r="8419" spans="7:7" ht="10.5" customHeight="1" x14ac:dyDescent="0.2">
      <c r="G8419" s="889"/>
    </row>
    <row r="8420" spans="7:7" ht="10.5" customHeight="1" x14ac:dyDescent="0.2">
      <c r="G8420" s="889"/>
    </row>
    <row r="8421" spans="7:7" ht="10.5" customHeight="1" x14ac:dyDescent="0.2">
      <c r="G8421" s="889"/>
    </row>
    <row r="8422" spans="7:7" ht="10.5" customHeight="1" x14ac:dyDescent="0.2">
      <c r="G8422" s="889"/>
    </row>
    <row r="8423" spans="7:7" ht="10.5" customHeight="1" x14ac:dyDescent="0.2">
      <c r="G8423" s="889"/>
    </row>
    <row r="8424" spans="7:7" ht="10.5" customHeight="1" x14ac:dyDescent="0.2">
      <c r="G8424" s="889"/>
    </row>
    <row r="8425" spans="7:7" ht="10.5" customHeight="1" x14ac:dyDescent="0.2">
      <c r="G8425" s="889"/>
    </row>
    <row r="8426" spans="7:7" ht="10.5" customHeight="1" x14ac:dyDescent="0.2">
      <c r="G8426" s="889"/>
    </row>
    <row r="8427" spans="7:7" ht="10.5" customHeight="1" x14ac:dyDescent="0.2">
      <c r="G8427" s="889"/>
    </row>
    <row r="8428" spans="7:7" ht="10.5" customHeight="1" x14ac:dyDescent="0.2">
      <c r="G8428" s="889"/>
    </row>
    <row r="8429" spans="7:7" ht="10.5" customHeight="1" x14ac:dyDescent="0.2">
      <c r="G8429" s="889"/>
    </row>
    <row r="8430" spans="7:7" ht="10.5" customHeight="1" x14ac:dyDescent="0.2">
      <c r="G8430" s="889"/>
    </row>
    <row r="8431" spans="7:7" ht="10.5" customHeight="1" x14ac:dyDescent="0.2">
      <c r="G8431" s="889"/>
    </row>
    <row r="8432" spans="7:7" ht="10.5" customHeight="1" x14ac:dyDescent="0.2">
      <c r="G8432" s="889"/>
    </row>
    <row r="8433" spans="7:7" ht="10.5" customHeight="1" x14ac:dyDescent="0.2">
      <c r="G8433" s="889"/>
    </row>
    <row r="8434" spans="7:7" ht="10.5" customHeight="1" x14ac:dyDescent="0.2">
      <c r="G8434" s="889"/>
    </row>
    <row r="8435" spans="7:7" ht="10.5" customHeight="1" x14ac:dyDescent="0.2">
      <c r="G8435" s="889"/>
    </row>
    <row r="8436" spans="7:7" ht="10.5" customHeight="1" x14ac:dyDescent="0.2">
      <c r="G8436" s="889"/>
    </row>
    <row r="8437" spans="7:7" ht="10.5" customHeight="1" x14ac:dyDescent="0.2">
      <c r="G8437" s="889"/>
    </row>
    <row r="8438" spans="7:7" ht="10.5" customHeight="1" x14ac:dyDescent="0.2">
      <c r="G8438" s="889"/>
    </row>
    <row r="8439" spans="7:7" ht="10.5" customHeight="1" x14ac:dyDescent="0.2">
      <c r="G8439" s="889"/>
    </row>
    <row r="8440" spans="7:7" ht="10.5" customHeight="1" x14ac:dyDescent="0.2">
      <c r="G8440" s="889"/>
    </row>
    <row r="8441" spans="7:7" ht="10.5" customHeight="1" x14ac:dyDescent="0.2">
      <c r="G8441" s="889"/>
    </row>
    <row r="8442" spans="7:7" ht="10.5" customHeight="1" x14ac:dyDescent="0.2">
      <c r="G8442" s="889"/>
    </row>
    <row r="8443" spans="7:7" ht="10.5" customHeight="1" x14ac:dyDescent="0.2">
      <c r="G8443" s="889"/>
    </row>
    <row r="8444" spans="7:7" ht="10.5" customHeight="1" x14ac:dyDescent="0.2">
      <c r="G8444" s="889"/>
    </row>
    <row r="8445" spans="7:7" ht="10.5" customHeight="1" x14ac:dyDescent="0.2">
      <c r="G8445" s="889"/>
    </row>
    <row r="8446" spans="7:7" ht="10.5" customHeight="1" x14ac:dyDescent="0.2">
      <c r="G8446" s="889"/>
    </row>
    <row r="8447" spans="7:7" ht="10.5" customHeight="1" x14ac:dyDescent="0.2">
      <c r="G8447" s="889"/>
    </row>
    <row r="8448" spans="7:7" ht="10.5" customHeight="1" x14ac:dyDescent="0.2">
      <c r="G8448" s="889"/>
    </row>
    <row r="8449" spans="7:7" ht="10.5" customHeight="1" x14ac:dyDescent="0.2">
      <c r="G8449" s="889"/>
    </row>
    <row r="8450" spans="7:7" ht="10.5" customHeight="1" x14ac:dyDescent="0.2">
      <c r="G8450" s="889"/>
    </row>
    <row r="8451" spans="7:7" ht="10.5" customHeight="1" x14ac:dyDescent="0.2">
      <c r="G8451" s="889"/>
    </row>
    <row r="8452" spans="7:7" ht="10.5" customHeight="1" x14ac:dyDescent="0.2">
      <c r="G8452" s="889"/>
    </row>
    <row r="8453" spans="7:7" ht="10.5" customHeight="1" x14ac:dyDescent="0.2">
      <c r="G8453" s="889"/>
    </row>
    <row r="8454" spans="7:7" ht="10.5" customHeight="1" x14ac:dyDescent="0.2">
      <c r="G8454" s="889"/>
    </row>
    <row r="8455" spans="7:7" ht="10.5" customHeight="1" x14ac:dyDescent="0.2">
      <c r="G8455" s="889"/>
    </row>
    <row r="8456" spans="7:7" ht="10.5" customHeight="1" x14ac:dyDescent="0.2">
      <c r="G8456" s="889"/>
    </row>
    <row r="8457" spans="7:7" ht="10.5" customHeight="1" x14ac:dyDescent="0.2">
      <c r="G8457" s="889"/>
    </row>
    <row r="8458" spans="7:7" ht="10.5" customHeight="1" x14ac:dyDescent="0.2">
      <c r="G8458" s="889"/>
    </row>
    <row r="8459" spans="7:7" ht="10.5" customHeight="1" x14ac:dyDescent="0.2">
      <c r="G8459" s="889"/>
    </row>
    <row r="8460" spans="7:7" ht="10.5" customHeight="1" x14ac:dyDescent="0.2">
      <c r="G8460" s="889"/>
    </row>
    <row r="8461" spans="7:7" ht="10.5" customHeight="1" x14ac:dyDescent="0.2">
      <c r="G8461" s="889"/>
    </row>
    <row r="8462" spans="7:7" ht="10.5" customHeight="1" x14ac:dyDescent="0.2">
      <c r="G8462" s="889"/>
    </row>
    <row r="8463" spans="7:7" ht="10.5" customHeight="1" x14ac:dyDescent="0.2">
      <c r="G8463" s="889"/>
    </row>
    <row r="8464" spans="7:7" ht="10.5" customHeight="1" x14ac:dyDescent="0.2">
      <c r="G8464" s="889"/>
    </row>
    <row r="8465" spans="7:7" ht="10.5" customHeight="1" x14ac:dyDescent="0.2">
      <c r="G8465" s="889"/>
    </row>
    <row r="8466" spans="7:7" ht="10.5" customHeight="1" x14ac:dyDescent="0.2">
      <c r="G8466" s="889"/>
    </row>
    <row r="8467" spans="7:7" ht="10.5" customHeight="1" x14ac:dyDescent="0.2">
      <c r="G8467" s="889"/>
    </row>
    <row r="8468" spans="7:7" ht="10.5" customHeight="1" x14ac:dyDescent="0.2">
      <c r="G8468" s="889"/>
    </row>
    <row r="8469" spans="7:7" ht="10.5" customHeight="1" x14ac:dyDescent="0.2">
      <c r="G8469" s="889"/>
    </row>
    <row r="8470" spans="7:7" ht="10.5" customHeight="1" x14ac:dyDescent="0.2">
      <c r="G8470" s="889"/>
    </row>
    <row r="8471" spans="7:7" ht="10.5" customHeight="1" x14ac:dyDescent="0.2">
      <c r="G8471" s="889"/>
    </row>
    <row r="8472" spans="7:7" ht="10.5" customHeight="1" x14ac:dyDescent="0.2">
      <c r="G8472" s="889"/>
    </row>
    <row r="8473" spans="7:7" ht="10.5" customHeight="1" x14ac:dyDescent="0.2">
      <c r="G8473" s="889"/>
    </row>
    <row r="8474" spans="7:7" ht="10.5" customHeight="1" x14ac:dyDescent="0.2">
      <c r="G8474" s="889"/>
    </row>
    <row r="8475" spans="7:7" ht="10.5" customHeight="1" x14ac:dyDescent="0.2">
      <c r="G8475" s="889"/>
    </row>
    <row r="8476" spans="7:7" ht="10.5" customHeight="1" x14ac:dyDescent="0.2">
      <c r="G8476" s="889"/>
    </row>
    <row r="8477" spans="7:7" ht="10.5" customHeight="1" x14ac:dyDescent="0.2">
      <c r="G8477" s="889"/>
    </row>
    <row r="8478" spans="7:7" ht="10.5" customHeight="1" x14ac:dyDescent="0.2">
      <c r="G8478" s="889"/>
    </row>
    <row r="8479" spans="7:7" ht="10.5" customHeight="1" x14ac:dyDescent="0.2">
      <c r="G8479" s="889"/>
    </row>
    <row r="8480" spans="7:7" ht="10.5" customHeight="1" x14ac:dyDescent="0.2">
      <c r="G8480" s="889"/>
    </row>
    <row r="8481" spans="7:7" ht="10.5" customHeight="1" x14ac:dyDescent="0.2">
      <c r="G8481" s="889"/>
    </row>
    <row r="8482" spans="7:7" ht="10.5" customHeight="1" x14ac:dyDescent="0.2">
      <c r="G8482" s="889"/>
    </row>
    <row r="8483" spans="7:7" ht="10.5" customHeight="1" x14ac:dyDescent="0.2">
      <c r="G8483" s="889"/>
    </row>
    <row r="8484" spans="7:7" ht="10.5" customHeight="1" x14ac:dyDescent="0.2">
      <c r="G8484" s="889"/>
    </row>
    <row r="8485" spans="7:7" ht="10.5" customHeight="1" x14ac:dyDescent="0.2">
      <c r="G8485" s="889"/>
    </row>
    <row r="8486" spans="7:7" ht="10.5" customHeight="1" x14ac:dyDescent="0.2">
      <c r="G8486" s="889"/>
    </row>
    <row r="8487" spans="7:7" ht="10.5" customHeight="1" x14ac:dyDescent="0.2">
      <c r="G8487" s="889"/>
    </row>
    <row r="8488" spans="7:7" ht="10.5" customHeight="1" x14ac:dyDescent="0.2">
      <c r="G8488" s="889"/>
    </row>
    <row r="8489" spans="7:7" ht="10.5" customHeight="1" x14ac:dyDescent="0.2">
      <c r="G8489" s="889"/>
    </row>
    <row r="8490" spans="7:7" ht="10.5" customHeight="1" x14ac:dyDescent="0.2">
      <c r="G8490" s="889"/>
    </row>
    <row r="8491" spans="7:7" ht="10.5" customHeight="1" x14ac:dyDescent="0.2">
      <c r="G8491" s="889"/>
    </row>
    <row r="8492" spans="7:7" ht="10.5" customHeight="1" x14ac:dyDescent="0.2">
      <c r="G8492" s="889"/>
    </row>
    <row r="8493" spans="7:7" ht="10.5" customHeight="1" x14ac:dyDescent="0.2">
      <c r="G8493" s="889"/>
    </row>
    <row r="8494" spans="7:7" ht="10.5" customHeight="1" x14ac:dyDescent="0.2">
      <c r="G8494" s="889"/>
    </row>
    <row r="8495" spans="7:7" ht="10.5" customHeight="1" x14ac:dyDescent="0.2">
      <c r="G8495" s="889"/>
    </row>
    <row r="8496" spans="7:7" ht="10.5" customHeight="1" x14ac:dyDescent="0.2">
      <c r="G8496" s="889"/>
    </row>
    <row r="8497" spans="7:7" ht="10.5" customHeight="1" x14ac:dyDescent="0.2">
      <c r="G8497" s="889"/>
    </row>
    <row r="8498" spans="7:7" ht="10.5" customHeight="1" x14ac:dyDescent="0.2">
      <c r="G8498" s="889"/>
    </row>
    <row r="8499" spans="7:7" ht="10.5" customHeight="1" x14ac:dyDescent="0.2">
      <c r="G8499" s="889"/>
    </row>
    <row r="8500" spans="7:7" ht="10.5" customHeight="1" x14ac:dyDescent="0.2">
      <c r="G8500" s="889"/>
    </row>
    <row r="8501" spans="7:7" ht="10.5" customHeight="1" x14ac:dyDescent="0.2">
      <c r="G8501" s="889"/>
    </row>
    <row r="8502" spans="7:7" ht="10.5" customHeight="1" x14ac:dyDescent="0.2">
      <c r="G8502" s="889"/>
    </row>
    <row r="8503" spans="7:7" ht="10.5" customHeight="1" x14ac:dyDescent="0.2">
      <c r="G8503" s="889"/>
    </row>
    <row r="8504" spans="7:7" ht="10.5" customHeight="1" x14ac:dyDescent="0.2">
      <c r="G8504" s="889"/>
    </row>
    <row r="8505" spans="7:7" ht="10.5" customHeight="1" x14ac:dyDescent="0.2">
      <c r="G8505" s="889"/>
    </row>
    <row r="8506" spans="7:7" ht="10.5" customHeight="1" x14ac:dyDescent="0.2">
      <c r="G8506" s="889"/>
    </row>
    <row r="8507" spans="7:7" ht="10.5" customHeight="1" x14ac:dyDescent="0.2">
      <c r="G8507" s="889"/>
    </row>
    <row r="8508" spans="7:7" ht="10.5" customHeight="1" x14ac:dyDescent="0.2">
      <c r="G8508" s="889"/>
    </row>
    <row r="8509" spans="7:7" ht="10.5" customHeight="1" x14ac:dyDescent="0.2">
      <c r="G8509" s="889"/>
    </row>
    <row r="8510" spans="7:7" ht="10.5" customHeight="1" x14ac:dyDescent="0.2">
      <c r="G8510" s="889"/>
    </row>
    <row r="8511" spans="7:7" ht="10.5" customHeight="1" x14ac:dyDescent="0.2">
      <c r="G8511" s="889"/>
    </row>
    <row r="8512" spans="7:7" ht="10.5" customHeight="1" x14ac:dyDescent="0.2">
      <c r="G8512" s="889"/>
    </row>
    <row r="8513" spans="7:7" ht="10.5" customHeight="1" x14ac:dyDescent="0.2">
      <c r="G8513" s="889"/>
    </row>
    <row r="8514" spans="7:7" ht="10.5" customHeight="1" x14ac:dyDescent="0.2">
      <c r="G8514" s="889"/>
    </row>
    <row r="8515" spans="7:7" ht="10.5" customHeight="1" x14ac:dyDescent="0.2">
      <c r="G8515" s="889"/>
    </row>
    <row r="8516" spans="7:7" ht="10.5" customHeight="1" x14ac:dyDescent="0.2">
      <c r="G8516" s="889"/>
    </row>
    <row r="8517" spans="7:7" ht="10.5" customHeight="1" x14ac:dyDescent="0.2">
      <c r="G8517" s="889"/>
    </row>
    <row r="8518" spans="7:7" ht="10.5" customHeight="1" x14ac:dyDescent="0.2">
      <c r="G8518" s="889"/>
    </row>
    <row r="8519" spans="7:7" ht="10.5" customHeight="1" x14ac:dyDescent="0.2">
      <c r="G8519" s="889"/>
    </row>
    <row r="8520" spans="7:7" ht="10.5" customHeight="1" x14ac:dyDescent="0.2">
      <c r="G8520" s="889"/>
    </row>
    <row r="8521" spans="7:7" ht="10.5" customHeight="1" x14ac:dyDescent="0.2">
      <c r="G8521" s="889"/>
    </row>
    <row r="8522" spans="7:7" ht="10.5" customHeight="1" x14ac:dyDescent="0.2">
      <c r="G8522" s="889"/>
    </row>
    <row r="8523" spans="7:7" ht="10.5" customHeight="1" x14ac:dyDescent="0.2">
      <c r="G8523" s="889"/>
    </row>
    <row r="8524" spans="7:7" ht="10.5" customHeight="1" x14ac:dyDescent="0.2">
      <c r="G8524" s="889"/>
    </row>
    <row r="8525" spans="7:7" ht="10.5" customHeight="1" x14ac:dyDescent="0.2">
      <c r="G8525" s="889"/>
    </row>
    <row r="8526" spans="7:7" ht="10.5" customHeight="1" x14ac:dyDescent="0.2">
      <c r="G8526" s="889"/>
    </row>
    <row r="8527" spans="7:7" ht="10.5" customHeight="1" x14ac:dyDescent="0.2">
      <c r="G8527" s="889"/>
    </row>
    <row r="8528" spans="7:7" ht="10.5" customHeight="1" x14ac:dyDescent="0.2">
      <c r="G8528" s="889"/>
    </row>
    <row r="8529" spans="7:7" ht="10.5" customHeight="1" x14ac:dyDescent="0.2">
      <c r="G8529" s="889"/>
    </row>
    <row r="8530" spans="7:7" ht="10.5" customHeight="1" x14ac:dyDescent="0.2">
      <c r="G8530" s="889"/>
    </row>
    <row r="8531" spans="7:7" ht="10.5" customHeight="1" x14ac:dyDescent="0.2">
      <c r="G8531" s="889"/>
    </row>
    <row r="8532" spans="7:7" ht="10.5" customHeight="1" x14ac:dyDescent="0.2">
      <c r="G8532" s="889"/>
    </row>
    <row r="8533" spans="7:7" ht="10.5" customHeight="1" x14ac:dyDescent="0.2">
      <c r="G8533" s="889"/>
    </row>
    <row r="8534" spans="7:7" ht="10.5" customHeight="1" x14ac:dyDescent="0.2">
      <c r="G8534" s="889"/>
    </row>
    <row r="8535" spans="7:7" ht="10.5" customHeight="1" x14ac:dyDescent="0.2">
      <c r="G8535" s="889"/>
    </row>
    <row r="8536" spans="7:7" ht="10.5" customHeight="1" x14ac:dyDescent="0.2">
      <c r="G8536" s="889"/>
    </row>
    <row r="8537" spans="7:7" ht="10.5" customHeight="1" x14ac:dyDescent="0.2">
      <c r="G8537" s="889"/>
    </row>
    <row r="8538" spans="7:7" ht="10.5" customHeight="1" x14ac:dyDescent="0.2">
      <c r="G8538" s="889"/>
    </row>
    <row r="8539" spans="7:7" ht="10.5" customHeight="1" x14ac:dyDescent="0.2">
      <c r="G8539" s="889"/>
    </row>
    <row r="8540" spans="7:7" ht="10.5" customHeight="1" x14ac:dyDescent="0.2">
      <c r="G8540" s="889"/>
    </row>
    <row r="8541" spans="7:7" ht="10.5" customHeight="1" x14ac:dyDescent="0.2">
      <c r="G8541" s="889"/>
    </row>
    <row r="8542" spans="7:7" ht="10.5" customHeight="1" x14ac:dyDescent="0.2">
      <c r="G8542" s="889"/>
    </row>
    <row r="8543" spans="7:7" ht="10.5" customHeight="1" x14ac:dyDescent="0.2">
      <c r="G8543" s="889"/>
    </row>
    <row r="8544" spans="7:7" ht="10.5" customHeight="1" x14ac:dyDescent="0.2">
      <c r="G8544" s="889"/>
    </row>
    <row r="8545" spans="7:7" ht="10.5" customHeight="1" x14ac:dyDescent="0.2">
      <c r="G8545" s="889"/>
    </row>
    <row r="8546" spans="7:7" ht="10.5" customHeight="1" x14ac:dyDescent="0.2">
      <c r="G8546" s="889"/>
    </row>
    <row r="8547" spans="7:7" ht="10.5" customHeight="1" x14ac:dyDescent="0.2">
      <c r="G8547" s="889"/>
    </row>
    <row r="8548" spans="7:7" ht="10.5" customHeight="1" x14ac:dyDescent="0.2">
      <c r="G8548" s="889"/>
    </row>
    <row r="8549" spans="7:7" ht="10.5" customHeight="1" x14ac:dyDescent="0.2">
      <c r="G8549" s="889"/>
    </row>
    <row r="8550" spans="7:7" ht="10.5" customHeight="1" x14ac:dyDescent="0.2">
      <c r="G8550" s="889"/>
    </row>
    <row r="8551" spans="7:7" ht="10.5" customHeight="1" x14ac:dyDescent="0.2">
      <c r="G8551" s="889"/>
    </row>
    <row r="8552" spans="7:7" ht="10.5" customHeight="1" x14ac:dyDescent="0.2">
      <c r="G8552" s="889"/>
    </row>
    <row r="8553" spans="7:7" ht="10.5" customHeight="1" x14ac:dyDescent="0.2">
      <c r="G8553" s="889"/>
    </row>
    <row r="8554" spans="7:7" ht="10.5" customHeight="1" x14ac:dyDescent="0.2">
      <c r="G8554" s="889"/>
    </row>
    <row r="8555" spans="7:7" ht="10.5" customHeight="1" x14ac:dyDescent="0.2">
      <c r="G8555" s="889"/>
    </row>
    <row r="8556" spans="7:7" ht="10.5" customHeight="1" x14ac:dyDescent="0.2">
      <c r="G8556" s="889"/>
    </row>
    <row r="8557" spans="7:7" ht="10.5" customHeight="1" x14ac:dyDescent="0.2">
      <c r="G8557" s="889"/>
    </row>
    <row r="8558" spans="7:7" ht="10.5" customHeight="1" x14ac:dyDescent="0.2">
      <c r="G8558" s="889"/>
    </row>
    <row r="8559" spans="7:7" ht="10.5" customHeight="1" x14ac:dyDescent="0.2">
      <c r="G8559" s="889"/>
    </row>
    <row r="8560" spans="7:7" ht="10.5" customHeight="1" x14ac:dyDescent="0.2">
      <c r="G8560" s="889"/>
    </row>
    <row r="8561" spans="7:7" ht="10.5" customHeight="1" x14ac:dyDescent="0.2">
      <c r="G8561" s="889"/>
    </row>
    <row r="8562" spans="7:7" ht="10.5" customHeight="1" x14ac:dyDescent="0.2">
      <c r="G8562" s="889"/>
    </row>
    <row r="8563" spans="7:7" ht="10.5" customHeight="1" x14ac:dyDescent="0.2">
      <c r="G8563" s="889"/>
    </row>
    <row r="8564" spans="7:7" ht="10.5" customHeight="1" x14ac:dyDescent="0.2">
      <c r="G8564" s="889"/>
    </row>
    <row r="8565" spans="7:7" ht="10.5" customHeight="1" x14ac:dyDescent="0.2">
      <c r="G8565" s="889"/>
    </row>
    <row r="8566" spans="7:7" ht="10.5" customHeight="1" x14ac:dyDescent="0.2">
      <c r="G8566" s="889"/>
    </row>
    <row r="8567" spans="7:7" ht="10.5" customHeight="1" x14ac:dyDescent="0.2">
      <c r="G8567" s="889"/>
    </row>
    <row r="8568" spans="7:7" ht="10.5" customHeight="1" x14ac:dyDescent="0.2">
      <c r="G8568" s="889"/>
    </row>
    <row r="8569" spans="7:7" ht="10.5" customHeight="1" x14ac:dyDescent="0.2">
      <c r="G8569" s="889"/>
    </row>
    <row r="8570" spans="7:7" ht="10.5" customHeight="1" x14ac:dyDescent="0.2">
      <c r="G8570" s="889"/>
    </row>
    <row r="8571" spans="7:7" ht="10.5" customHeight="1" x14ac:dyDescent="0.2">
      <c r="G8571" s="889"/>
    </row>
    <row r="8572" spans="7:7" ht="10.5" customHeight="1" x14ac:dyDescent="0.2">
      <c r="G8572" s="889"/>
    </row>
    <row r="8573" spans="7:7" ht="10.5" customHeight="1" x14ac:dyDescent="0.2">
      <c r="G8573" s="889"/>
    </row>
    <row r="8574" spans="7:7" ht="10.5" customHeight="1" x14ac:dyDescent="0.2">
      <c r="G8574" s="889"/>
    </row>
    <row r="8575" spans="7:7" ht="10.5" customHeight="1" x14ac:dyDescent="0.2">
      <c r="G8575" s="889"/>
    </row>
    <row r="8576" spans="7:7" ht="10.5" customHeight="1" x14ac:dyDescent="0.2">
      <c r="G8576" s="889"/>
    </row>
    <row r="8577" spans="7:7" ht="10.5" customHeight="1" x14ac:dyDescent="0.2">
      <c r="G8577" s="889"/>
    </row>
    <row r="8578" spans="7:7" ht="10.5" customHeight="1" x14ac:dyDescent="0.2">
      <c r="G8578" s="889"/>
    </row>
    <row r="8579" spans="7:7" ht="10.5" customHeight="1" x14ac:dyDescent="0.2">
      <c r="G8579" s="889"/>
    </row>
    <row r="8580" spans="7:7" ht="10.5" customHeight="1" x14ac:dyDescent="0.2">
      <c r="G8580" s="889"/>
    </row>
    <row r="8581" spans="7:7" ht="10.5" customHeight="1" x14ac:dyDescent="0.2">
      <c r="G8581" s="889"/>
    </row>
    <row r="8582" spans="7:7" ht="10.5" customHeight="1" x14ac:dyDescent="0.2">
      <c r="G8582" s="889"/>
    </row>
    <row r="8583" spans="7:7" ht="10.5" customHeight="1" x14ac:dyDescent="0.2">
      <c r="G8583" s="889"/>
    </row>
    <row r="8584" spans="7:7" ht="10.5" customHeight="1" x14ac:dyDescent="0.2">
      <c r="G8584" s="889"/>
    </row>
    <row r="8585" spans="7:7" ht="10.5" customHeight="1" x14ac:dyDescent="0.2">
      <c r="G8585" s="889"/>
    </row>
    <row r="8586" spans="7:7" ht="10.5" customHeight="1" x14ac:dyDescent="0.2">
      <c r="G8586" s="889"/>
    </row>
    <row r="8587" spans="7:7" ht="10.5" customHeight="1" x14ac:dyDescent="0.2">
      <c r="G8587" s="889"/>
    </row>
    <row r="8588" spans="7:7" ht="10.5" customHeight="1" x14ac:dyDescent="0.2">
      <c r="G8588" s="889"/>
    </row>
    <row r="8589" spans="7:7" ht="10.5" customHeight="1" x14ac:dyDescent="0.2">
      <c r="G8589" s="889"/>
    </row>
    <row r="8590" spans="7:7" ht="10.5" customHeight="1" x14ac:dyDescent="0.2">
      <c r="G8590" s="889"/>
    </row>
    <row r="8591" spans="7:7" ht="10.5" customHeight="1" x14ac:dyDescent="0.2">
      <c r="G8591" s="889"/>
    </row>
    <row r="8592" spans="7:7" ht="10.5" customHeight="1" x14ac:dyDescent="0.2">
      <c r="G8592" s="889"/>
    </row>
    <row r="8593" spans="7:7" ht="10.5" customHeight="1" x14ac:dyDescent="0.2">
      <c r="G8593" s="889"/>
    </row>
    <row r="8594" spans="7:7" ht="10.5" customHeight="1" x14ac:dyDescent="0.2">
      <c r="G8594" s="889"/>
    </row>
    <row r="8595" spans="7:7" ht="10.5" customHeight="1" x14ac:dyDescent="0.2">
      <c r="G8595" s="889"/>
    </row>
    <row r="8596" spans="7:7" ht="10.5" customHeight="1" x14ac:dyDescent="0.2">
      <c r="G8596" s="889"/>
    </row>
    <row r="8597" spans="7:7" ht="10.5" customHeight="1" x14ac:dyDescent="0.2">
      <c r="G8597" s="889"/>
    </row>
    <row r="8598" spans="7:7" ht="10.5" customHeight="1" x14ac:dyDescent="0.2">
      <c r="G8598" s="889"/>
    </row>
    <row r="8599" spans="7:7" ht="10.5" customHeight="1" x14ac:dyDescent="0.2">
      <c r="G8599" s="889"/>
    </row>
    <row r="8600" spans="7:7" ht="10.5" customHeight="1" x14ac:dyDescent="0.2">
      <c r="G8600" s="889"/>
    </row>
    <row r="8601" spans="7:7" ht="10.5" customHeight="1" x14ac:dyDescent="0.2">
      <c r="G8601" s="889"/>
    </row>
    <row r="8602" spans="7:7" ht="10.5" customHeight="1" x14ac:dyDescent="0.2">
      <c r="G8602" s="889"/>
    </row>
    <row r="8603" spans="7:7" ht="10.5" customHeight="1" x14ac:dyDescent="0.2">
      <c r="G8603" s="889"/>
    </row>
    <row r="8604" spans="7:7" ht="10.5" customHeight="1" x14ac:dyDescent="0.2">
      <c r="G8604" s="889"/>
    </row>
    <row r="8605" spans="7:7" ht="10.5" customHeight="1" x14ac:dyDescent="0.2">
      <c r="G8605" s="889"/>
    </row>
    <row r="8606" spans="7:7" ht="10.5" customHeight="1" x14ac:dyDescent="0.2">
      <c r="G8606" s="889"/>
    </row>
    <row r="8607" spans="7:7" ht="10.5" customHeight="1" x14ac:dyDescent="0.2">
      <c r="G8607" s="889"/>
    </row>
    <row r="8608" spans="7:7" ht="10.5" customHeight="1" x14ac:dyDescent="0.2">
      <c r="G8608" s="889"/>
    </row>
    <row r="8609" spans="7:7" ht="10.5" customHeight="1" x14ac:dyDescent="0.2">
      <c r="G8609" s="889"/>
    </row>
    <row r="8610" spans="7:7" ht="10.5" customHeight="1" x14ac:dyDescent="0.2">
      <c r="G8610" s="889"/>
    </row>
    <row r="8611" spans="7:7" ht="10.5" customHeight="1" x14ac:dyDescent="0.2">
      <c r="G8611" s="889"/>
    </row>
    <row r="8612" spans="7:7" ht="10.5" customHeight="1" x14ac:dyDescent="0.2">
      <c r="G8612" s="889"/>
    </row>
    <row r="8613" spans="7:7" ht="10.5" customHeight="1" x14ac:dyDescent="0.2">
      <c r="G8613" s="889"/>
    </row>
    <row r="8614" spans="7:7" ht="10.5" customHeight="1" x14ac:dyDescent="0.2">
      <c r="G8614" s="889"/>
    </row>
    <row r="8615" spans="7:7" ht="10.5" customHeight="1" x14ac:dyDescent="0.2">
      <c r="G8615" s="889"/>
    </row>
    <row r="8616" spans="7:7" ht="10.5" customHeight="1" x14ac:dyDescent="0.2">
      <c r="G8616" s="889"/>
    </row>
    <row r="8617" spans="7:7" ht="10.5" customHeight="1" x14ac:dyDescent="0.2">
      <c r="G8617" s="889"/>
    </row>
    <row r="8618" spans="7:7" ht="10.5" customHeight="1" x14ac:dyDescent="0.2">
      <c r="G8618" s="889"/>
    </row>
    <row r="8619" spans="7:7" ht="10.5" customHeight="1" x14ac:dyDescent="0.2">
      <c r="G8619" s="889"/>
    </row>
    <row r="8620" spans="7:7" ht="10.5" customHeight="1" x14ac:dyDescent="0.2">
      <c r="G8620" s="889"/>
    </row>
    <row r="8621" spans="7:7" ht="10.5" customHeight="1" x14ac:dyDescent="0.2">
      <c r="G8621" s="889"/>
    </row>
    <row r="8622" spans="7:7" ht="10.5" customHeight="1" x14ac:dyDescent="0.2">
      <c r="G8622" s="889"/>
    </row>
    <row r="8623" spans="7:7" ht="10.5" customHeight="1" x14ac:dyDescent="0.2">
      <c r="G8623" s="889"/>
    </row>
    <row r="8624" spans="7:7" ht="10.5" customHeight="1" x14ac:dyDescent="0.2">
      <c r="G8624" s="889"/>
    </row>
    <row r="8625" spans="7:7" ht="10.5" customHeight="1" x14ac:dyDescent="0.2">
      <c r="G8625" s="889"/>
    </row>
    <row r="8626" spans="7:7" ht="10.5" customHeight="1" x14ac:dyDescent="0.2">
      <c r="G8626" s="889"/>
    </row>
    <row r="8627" spans="7:7" ht="10.5" customHeight="1" x14ac:dyDescent="0.2">
      <c r="G8627" s="889"/>
    </row>
    <row r="8628" spans="7:7" ht="10.5" customHeight="1" x14ac:dyDescent="0.2">
      <c r="G8628" s="889"/>
    </row>
    <row r="8629" spans="7:7" ht="10.5" customHeight="1" x14ac:dyDescent="0.2">
      <c r="G8629" s="889"/>
    </row>
    <row r="8630" spans="7:7" ht="10.5" customHeight="1" x14ac:dyDescent="0.2">
      <c r="G8630" s="889"/>
    </row>
    <row r="8631" spans="7:7" ht="10.5" customHeight="1" x14ac:dyDescent="0.2">
      <c r="G8631" s="889"/>
    </row>
    <row r="8632" spans="7:7" ht="10.5" customHeight="1" x14ac:dyDescent="0.2">
      <c r="G8632" s="889"/>
    </row>
    <row r="8633" spans="7:7" ht="10.5" customHeight="1" x14ac:dyDescent="0.2">
      <c r="G8633" s="889"/>
    </row>
    <row r="8634" spans="7:7" ht="10.5" customHeight="1" x14ac:dyDescent="0.2">
      <c r="G8634" s="889"/>
    </row>
    <row r="8635" spans="7:7" ht="10.5" customHeight="1" x14ac:dyDescent="0.2">
      <c r="G8635" s="889"/>
    </row>
    <row r="8636" spans="7:7" ht="10.5" customHeight="1" x14ac:dyDescent="0.2">
      <c r="G8636" s="889"/>
    </row>
    <row r="8637" spans="7:7" ht="10.5" customHeight="1" x14ac:dyDescent="0.2">
      <c r="G8637" s="889"/>
    </row>
    <row r="8638" spans="7:7" ht="10.5" customHeight="1" x14ac:dyDescent="0.2">
      <c r="G8638" s="889"/>
    </row>
    <row r="8639" spans="7:7" ht="10.5" customHeight="1" x14ac:dyDescent="0.2">
      <c r="G8639" s="889"/>
    </row>
    <row r="8640" spans="7:7" ht="10.5" customHeight="1" x14ac:dyDescent="0.2">
      <c r="G8640" s="889"/>
    </row>
    <row r="8641" spans="7:7" ht="10.5" customHeight="1" x14ac:dyDescent="0.2">
      <c r="G8641" s="889"/>
    </row>
    <row r="8642" spans="7:7" ht="10.5" customHeight="1" x14ac:dyDescent="0.2">
      <c r="G8642" s="889"/>
    </row>
    <row r="8643" spans="7:7" ht="10.5" customHeight="1" x14ac:dyDescent="0.2">
      <c r="G8643" s="889"/>
    </row>
    <row r="8644" spans="7:7" ht="10.5" customHeight="1" x14ac:dyDescent="0.2">
      <c r="G8644" s="889"/>
    </row>
    <row r="8645" spans="7:7" ht="10.5" customHeight="1" x14ac:dyDescent="0.2">
      <c r="G8645" s="889"/>
    </row>
    <row r="8646" spans="7:7" ht="10.5" customHeight="1" x14ac:dyDescent="0.2">
      <c r="G8646" s="889"/>
    </row>
    <row r="8647" spans="7:7" ht="10.5" customHeight="1" x14ac:dyDescent="0.2">
      <c r="G8647" s="889"/>
    </row>
    <row r="8648" spans="7:7" ht="10.5" customHeight="1" x14ac:dyDescent="0.2">
      <c r="G8648" s="889"/>
    </row>
    <row r="8649" spans="7:7" ht="10.5" customHeight="1" x14ac:dyDescent="0.2">
      <c r="G8649" s="889"/>
    </row>
    <row r="8650" spans="7:7" ht="10.5" customHeight="1" x14ac:dyDescent="0.2">
      <c r="G8650" s="889"/>
    </row>
    <row r="8651" spans="7:7" ht="10.5" customHeight="1" x14ac:dyDescent="0.2">
      <c r="G8651" s="889"/>
    </row>
    <row r="8652" spans="7:7" ht="10.5" customHeight="1" x14ac:dyDescent="0.2">
      <c r="G8652" s="889"/>
    </row>
    <row r="8653" spans="7:7" ht="10.5" customHeight="1" x14ac:dyDescent="0.2">
      <c r="G8653" s="889"/>
    </row>
    <row r="8654" spans="7:7" ht="10.5" customHeight="1" x14ac:dyDescent="0.2">
      <c r="G8654" s="889"/>
    </row>
    <row r="8655" spans="7:7" ht="10.5" customHeight="1" x14ac:dyDescent="0.2">
      <c r="G8655" s="889"/>
    </row>
    <row r="8656" spans="7:7" ht="10.5" customHeight="1" x14ac:dyDescent="0.2">
      <c r="G8656" s="889"/>
    </row>
    <row r="8657" spans="7:7" ht="10.5" customHeight="1" x14ac:dyDescent="0.2">
      <c r="G8657" s="889"/>
    </row>
    <row r="8658" spans="7:7" ht="10.5" customHeight="1" x14ac:dyDescent="0.2">
      <c r="G8658" s="889"/>
    </row>
    <row r="8659" spans="7:7" ht="10.5" customHeight="1" x14ac:dyDescent="0.2">
      <c r="G8659" s="889"/>
    </row>
    <row r="8660" spans="7:7" ht="10.5" customHeight="1" x14ac:dyDescent="0.2">
      <c r="G8660" s="889"/>
    </row>
    <row r="8661" spans="7:7" ht="10.5" customHeight="1" x14ac:dyDescent="0.2">
      <c r="G8661" s="889"/>
    </row>
    <row r="8662" spans="7:7" ht="10.5" customHeight="1" x14ac:dyDescent="0.2">
      <c r="G8662" s="889"/>
    </row>
    <row r="8663" spans="7:7" ht="10.5" customHeight="1" x14ac:dyDescent="0.2">
      <c r="G8663" s="889"/>
    </row>
    <row r="8664" spans="7:7" ht="10.5" customHeight="1" x14ac:dyDescent="0.2">
      <c r="G8664" s="889"/>
    </row>
    <row r="8665" spans="7:7" ht="10.5" customHeight="1" x14ac:dyDescent="0.2">
      <c r="G8665" s="889"/>
    </row>
    <row r="8666" spans="7:7" ht="10.5" customHeight="1" x14ac:dyDescent="0.2">
      <c r="G8666" s="889"/>
    </row>
    <row r="8667" spans="7:7" ht="10.5" customHeight="1" x14ac:dyDescent="0.2">
      <c r="G8667" s="889"/>
    </row>
    <row r="8668" spans="7:7" ht="10.5" customHeight="1" x14ac:dyDescent="0.2">
      <c r="G8668" s="889"/>
    </row>
    <row r="8669" spans="7:7" ht="10.5" customHeight="1" x14ac:dyDescent="0.2">
      <c r="G8669" s="889"/>
    </row>
    <row r="8670" spans="7:7" ht="10.5" customHeight="1" x14ac:dyDescent="0.2">
      <c r="G8670" s="889"/>
    </row>
    <row r="8671" spans="7:7" ht="10.5" customHeight="1" x14ac:dyDescent="0.2">
      <c r="G8671" s="889"/>
    </row>
    <row r="8672" spans="7:7" ht="10.5" customHeight="1" x14ac:dyDescent="0.2">
      <c r="G8672" s="889"/>
    </row>
    <row r="8673" spans="7:7" ht="10.5" customHeight="1" x14ac:dyDescent="0.2">
      <c r="G8673" s="889"/>
    </row>
    <row r="8674" spans="7:7" ht="10.5" customHeight="1" x14ac:dyDescent="0.2">
      <c r="G8674" s="889"/>
    </row>
    <row r="8675" spans="7:7" ht="10.5" customHeight="1" x14ac:dyDescent="0.2">
      <c r="G8675" s="889"/>
    </row>
    <row r="8676" spans="7:7" ht="10.5" customHeight="1" x14ac:dyDescent="0.2">
      <c r="G8676" s="889"/>
    </row>
    <row r="8677" spans="7:7" ht="10.5" customHeight="1" x14ac:dyDescent="0.2">
      <c r="G8677" s="889"/>
    </row>
    <row r="8678" spans="7:7" ht="10.5" customHeight="1" x14ac:dyDescent="0.2">
      <c r="G8678" s="889"/>
    </row>
    <row r="8679" spans="7:7" ht="10.5" customHeight="1" x14ac:dyDescent="0.2">
      <c r="G8679" s="889"/>
    </row>
    <row r="8680" spans="7:7" ht="10.5" customHeight="1" x14ac:dyDescent="0.2">
      <c r="G8680" s="889"/>
    </row>
    <row r="8681" spans="7:7" ht="10.5" customHeight="1" x14ac:dyDescent="0.2">
      <c r="G8681" s="889"/>
    </row>
    <row r="8682" spans="7:7" ht="10.5" customHeight="1" x14ac:dyDescent="0.2">
      <c r="G8682" s="889"/>
    </row>
    <row r="8683" spans="7:7" ht="10.5" customHeight="1" x14ac:dyDescent="0.2">
      <c r="G8683" s="889"/>
    </row>
    <row r="8684" spans="7:7" ht="10.5" customHeight="1" x14ac:dyDescent="0.2">
      <c r="G8684" s="889"/>
    </row>
    <row r="8685" spans="7:7" ht="10.5" customHeight="1" x14ac:dyDescent="0.2">
      <c r="G8685" s="889"/>
    </row>
    <row r="8686" spans="7:7" ht="10.5" customHeight="1" x14ac:dyDescent="0.2">
      <c r="G8686" s="889"/>
    </row>
    <row r="8687" spans="7:7" ht="10.5" customHeight="1" x14ac:dyDescent="0.2">
      <c r="G8687" s="889"/>
    </row>
    <row r="8688" spans="7:7" ht="10.5" customHeight="1" x14ac:dyDescent="0.2">
      <c r="G8688" s="889"/>
    </row>
    <row r="8689" spans="7:7" ht="10.5" customHeight="1" x14ac:dyDescent="0.2">
      <c r="G8689" s="889"/>
    </row>
    <row r="8690" spans="7:7" ht="10.5" customHeight="1" x14ac:dyDescent="0.2">
      <c r="G8690" s="889"/>
    </row>
    <row r="8691" spans="7:7" ht="10.5" customHeight="1" x14ac:dyDescent="0.2">
      <c r="G8691" s="889"/>
    </row>
    <row r="8692" spans="7:7" ht="10.5" customHeight="1" x14ac:dyDescent="0.2">
      <c r="G8692" s="889"/>
    </row>
    <row r="8693" spans="7:7" ht="10.5" customHeight="1" x14ac:dyDescent="0.2">
      <c r="G8693" s="889"/>
    </row>
    <row r="8694" spans="7:7" ht="10.5" customHeight="1" x14ac:dyDescent="0.2">
      <c r="G8694" s="889"/>
    </row>
    <row r="8695" spans="7:7" ht="10.5" customHeight="1" x14ac:dyDescent="0.2">
      <c r="G8695" s="889"/>
    </row>
    <row r="8696" spans="7:7" ht="10.5" customHeight="1" x14ac:dyDescent="0.2">
      <c r="G8696" s="889"/>
    </row>
    <row r="8697" spans="7:7" ht="10.5" customHeight="1" x14ac:dyDescent="0.2">
      <c r="G8697" s="889"/>
    </row>
    <row r="8698" spans="7:7" ht="10.5" customHeight="1" x14ac:dyDescent="0.2">
      <c r="G8698" s="889"/>
    </row>
    <row r="8699" spans="7:7" ht="10.5" customHeight="1" x14ac:dyDescent="0.2">
      <c r="G8699" s="889"/>
    </row>
    <row r="8700" spans="7:7" ht="10.5" customHeight="1" x14ac:dyDescent="0.2">
      <c r="G8700" s="889"/>
    </row>
    <row r="8701" spans="7:7" ht="10.5" customHeight="1" x14ac:dyDescent="0.2">
      <c r="G8701" s="889"/>
    </row>
    <row r="8702" spans="7:7" ht="10.5" customHeight="1" x14ac:dyDescent="0.2">
      <c r="G8702" s="889"/>
    </row>
    <row r="8703" spans="7:7" ht="10.5" customHeight="1" x14ac:dyDescent="0.2">
      <c r="G8703" s="889"/>
    </row>
    <row r="8704" spans="7:7" ht="10.5" customHeight="1" x14ac:dyDescent="0.2">
      <c r="G8704" s="889"/>
    </row>
    <row r="8705" spans="7:7" ht="10.5" customHeight="1" x14ac:dyDescent="0.2">
      <c r="G8705" s="889"/>
    </row>
    <row r="8706" spans="7:7" ht="10.5" customHeight="1" x14ac:dyDescent="0.2">
      <c r="G8706" s="889"/>
    </row>
    <row r="8707" spans="7:7" ht="10.5" customHeight="1" x14ac:dyDescent="0.2">
      <c r="G8707" s="889"/>
    </row>
    <row r="8708" spans="7:7" ht="10.5" customHeight="1" x14ac:dyDescent="0.2">
      <c r="G8708" s="889"/>
    </row>
    <row r="8709" spans="7:7" ht="10.5" customHeight="1" x14ac:dyDescent="0.2">
      <c r="G8709" s="889"/>
    </row>
    <row r="8710" spans="7:7" ht="10.5" customHeight="1" x14ac:dyDescent="0.2">
      <c r="G8710" s="889"/>
    </row>
    <row r="8711" spans="7:7" ht="10.5" customHeight="1" x14ac:dyDescent="0.2">
      <c r="G8711" s="889"/>
    </row>
    <row r="8712" spans="7:7" ht="10.5" customHeight="1" x14ac:dyDescent="0.2">
      <c r="G8712" s="889"/>
    </row>
    <row r="8713" spans="7:7" ht="10.5" customHeight="1" x14ac:dyDescent="0.2">
      <c r="G8713" s="889"/>
    </row>
    <row r="8714" spans="7:7" ht="10.5" customHeight="1" x14ac:dyDescent="0.2">
      <c r="G8714" s="889"/>
    </row>
    <row r="8715" spans="7:7" ht="10.5" customHeight="1" x14ac:dyDescent="0.2">
      <c r="G8715" s="889"/>
    </row>
    <row r="8716" spans="7:7" ht="10.5" customHeight="1" x14ac:dyDescent="0.2">
      <c r="G8716" s="889"/>
    </row>
    <row r="8717" spans="7:7" ht="10.5" customHeight="1" x14ac:dyDescent="0.2">
      <c r="G8717" s="889"/>
    </row>
    <row r="8718" spans="7:7" ht="10.5" customHeight="1" x14ac:dyDescent="0.2">
      <c r="G8718" s="889"/>
    </row>
    <row r="8719" spans="7:7" ht="10.5" customHeight="1" x14ac:dyDescent="0.2">
      <c r="G8719" s="889"/>
    </row>
    <row r="8720" spans="7:7" ht="10.5" customHeight="1" x14ac:dyDescent="0.2">
      <c r="G8720" s="889"/>
    </row>
    <row r="8721" spans="7:7" ht="10.5" customHeight="1" x14ac:dyDescent="0.2">
      <c r="G8721" s="889"/>
    </row>
    <row r="8722" spans="7:7" ht="10.5" customHeight="1" x14ac:dyDescent="0.2">
      <c r="G8722" s="889"/>
    </row>
    <row r="8723" spans="7:7" ht="10.5" customHeight="1" x14ac:dyDescent="0.2">
      <c r="G8723" s="889"/>
    </row>
    <row r="8724" spans="7:7" ht="10.5" customHeight="1" x14ac:dyDescent="0.2">
      <c r="G8724" s="889"/>
    </row>
    <row r="8725" spans="7:7" ht="10.5" customHeight="1" x14ac:dyDescent="0.2">
      <c r="G8725" s="889"/>
    </row>
    <row r="8726" spans="7:7" ht="10.5" customHeight="1" x14ac:dyDescent="0.2">
      <c r="G8726" s="889"/>
    </row>
    <row r="8727" spans="7:7" ht="10.5" customHeight="1" x14ac:dyDescent="0.2">
      <c r="G8727" s="889"/>
    </row>
    <row r="8728" spans="7:7" ht="10.5" customHeight="1" x14ac:dyDescent="0.2">
      <c r="G8728" s="889"/>
    </row>
    <row r="8729" spans="7:7" ht="10.5" customHeight="1" x14ac:dyDescent="0.2">
      <c r="G8729" s="889"/>
    </row>
    <row r="8730" spans="7:7" ht="10.5" customHeight="1" x14ac:dyDescent="0.2">
      <c r="G8730" s="889"/>
    </row>
    <row r="8731" spans="7:7" ht="10.5" customHeight="1" x14ac:dyDescent="0.2">
      <c r="G8731" s="889"/>
    </row>
    <row r="8732" spans="7:7" ht="10.5" customHeight="1" x14ac:dyDescent="0.2">
      <c r="G8732" s="889"/>
    </row>
    <row r="8733" spans="7:7" ht="10.5" customHeight="1" x14ac:dyDescent="0.2">
      <c r="G8733" s="889"/>
    </row>
    <row r="8734" spans="7:7" ht="10.5" customHeight="1" x14ac:dyDescent="0.2">
      <c r="G8734" s="889"/>
    </row>
    <row r="8735" spans="7:7" ht="10.5" customHeight="1" x14ac:dyDescent="0.2">
      <c r="G8735" s="889"/>
    </row>
    <row r="8736" spans="7:7" ht="10.5" customHeight="1" x14ac:dyDescent="0.2">
      <c r="G8736" s="889"/>
    </row>
    <row r="8737" spans="7:7" ht="10.5" customHeight="1" x14ac:dyDescent="0.2">
      <c r="G8737" s="889"/>
    </row>
    <row r="8738" spans="7:7" ht="10.5" customHeight="1" x14ac:dyDescent="0.2">
      <c r="G8738" s="889"/>
    </row>
    <row r="8739" spans="7:7" ht="10.5" customHeight="1" x14ac:dyDescent="0.2">
      <c r="G8739" s="889"/>
    </row>
    <row r="8740" spans="7:7" ht="10.5" customHeight="1" x14ac:dyDescent="0.2">
      <c r="G8740" s="889"/>
    </row>
    <row r="8741" spans="7:7" ht="10.5" customHeight="1" x14ac:dyDescent="0.2">
      <c r="G8741" s="889"/>
    </row>
    <row r="8742" spans="7:7" ht="10.5" customHeight="1" x14ac:dyDescent="0.2">
      <c r="G8742" s="889"/>
    </row>
    <row r="8743" spans="7:7" ht="10.5" customHeight="1" x14ac:dyDescent="0.2">
      <c r="G8743" s="889"/>
    </row>
    <row r="8744" spans="7:7" ht="10.5" customHeight="1" x14ac:dyDescent="0.2">
      <c r="G8744" s="889"/>
    </row>
    <row r="8745" spans="7:7" ht="10.5" customHeight="1" x14ac:dyDescent="0.2">
      <c r="G8745" s="889"/>
    </row>
    <row r="8746" spans="7:7" ht="10.5" customHeight="1" x14ac:dyDescent="0.2">
      <c r="G8746" s="889"/>
    </row>
    <row r="8747" spans="7:7" ht="10.5" customHeight="1" x14ac:dyDescent="0.2">
      <c r="G8747" s="889"/>
    </row>
    <row r="8748" spans="7:7" ht="10.5" customHeight="1" x14ac:dyDescent="0.2">
      <c r="G8748" s="889"/>
    </row>
    <row r="8749" spans="7:7" ht="10.5" customHeight="1" x14ac:dyDescent="0.2">
      <c r="G8749" s="889"/>
    </row>
    <row r="8750" spans="7:7" ht="10.5" customHeight="1" x14ac:dyDescent="0.2">
      <c r="G8750" s="889"/>
    </row>
    <row r="8751" spans="7:7" ht="10.5" customHeight="1" x14ac:dyDescent="0.2">
      <c r="G8751" s="889"/>
    </row>
    <row r="8752" spans="7:7" ht="10.5" customHeight="1" x14ac:dyDescent="0.2">
      <c r="G8752" s="889"/>
    </row>
    <row r="8753" spans="7:7" ht="10.5" customHeight="1" x14ac:dyDescent="0.2">
      <c r="G8753" s="889"/>
    </row>
    <row r="8754" spans="7:7" ht="10.5" customHeight="1" x14ac:dyDescent="0.2">
      <c r="G8754" s="889"/>
    </row>
    <row r="8755" spans="7:7" ht="10.5" customHeight="1" x14ac:dyDescent="0.2">
      <c r="G8755" s="889"/>
    </row>
    <row r="8756" spans="7:7" ht="10.5" customHeight="1" x14ac:dyDescent="0.2">
      <c r="G8756" s="889"/>
    </row>
    <row r="8757" spans="7:7" ht="10.5" customHeight="1" x14ac:dyDescent="0.2">
      <c r="G8757" s="889"/>
    </row>
    <row r="8758" spans="7:7" ht="10.5" customHeight="1" x14ac:dyDescent="0.2">
      <c r="G8758" s="889"/>
    </row>
    <row r="8759" spans="7:7" ht="10.5" customHeight="1" x14ac:dyDescent="0.2">
      <c r="G8759" s="889"/>
    </row>
    <row r="8760" spans="7:7" ht="10.5" customHeight="1" x14ac:dyDescent="0.2">
      <c r="G8760" s="889"/>
    </row>
    <row r="8761" spans="7:7" ht="10.5" customHeight="1" x14ac:dyDescent="0.2">
      <c r="G8761" s="889"/>
    </row>
    <row r="8762" spans="7:7" ht="10.5" customHeight="1" x14ac:dyDescent="0.2">
      <c r="G8762" s="889"/>
    </row>
    <row r="8763" spans="7:7" ht="10.5" customHeight="1" x14ac:dyDescent="0.2">
      <c r="G8763" s="889"/>
    </row>
    <row r="8764" spans="7:7" ht="10.5" customHeight="1" x14ac:dyDescent="0.2">
      <c r="G8764" s="889"/>
    </row>
    <row r="8765" spans="7:7" ht="10.5" customHeight="1" x14ac:dyDescent="0.2">
      <c r="G8765" s="889"/>
    </row>
    <row r="8766" spans="7:7" ht="10.5" customHeight="1" x14ac:dyDescent="0.2">
      <c r="G8766" s="889"/>
    </row>
    <row r="8767" spans="7:7" ht="10.5" customHeight="1" x14ac:dyDescent="0.2">
      <c r="G8767" s="889"/>
    </row>
    <row r="8768" spans="7:7" ht="10.5" customHeight="1" x14ac:dyDescent="0.2">
      <c r="G8768" s="889"/>
    </row>
    <row r="8769" spans="7:7" ht="10.5" customHeight="1" x14ac:dyDescent="0.2">
      <c r="G8769" s="889"/>
    </row>
    <row r="8770" spans="7:7" ht="10.5" customHeight="1" x14ac:dyDescent="0.2">
      <c r="G8770" s="889"/>
    </row>
    <row r="8771" spans="7:7" ht="10.5" customHeight="1" x14ac:dyDescent="0.2">
      <c r="G8771" s="889"/>
    </row>
    <row r="8772" spans="7:7" ht="10.5" customHeight="1" x14ac:dyDescent="0.2">
      <c r="G8772" s="889"/>
    </row>
    <row r="8773" spans="7:7" ht="10.5" customHeight="1" x14ac:dyDescent="0.2">
      <c r="G8773" s="889"/>
    </row>
    <row r="8774" spans="7:7" ht="10.5" customHeight="1" x14ac:dyDescent="0.2">
      <c r="G8774" s="889"/>
    </row>
    <row r="8775" spans="7:7" ht="10.5" customHeight="1" x14ac:dyDescent="0.2">
      <c r="G8775" s="889"/>
    </row>
    <row r="8776" spans="7:7" ht="10.5" customHeight="1" x14ac:dyDescent="0.2">
      <c r="G8776" s="889"/>
    </row>
    <row r="8777" spans="7:7" ht="10.5" customHeight="1" x14ac:dyDescent="0.2">
      <c r="G8777" s="889"/>
    </row>
    <row r="8778" spans="7:7" ht="10.5" customHeight="1" x14ac:dyDescent="0.2">
      <c r="G8778" s="889"/>
    </row>
    <row r="8779" spans="7:7" ht="10.5" customHeight="1" x14ac:dyDescent="0.2">
      <c r="G8779" s="889"/>
    </row>
    <row r="8780" spans="7:7" ht="10.5" customHeight="1" x14ac:dyDescent="0.2">
      <c r="G8780" s="889"/>
    </row>
    <row r="8781" spans="7:7" ht="10.5" customHeight="1" x14ac:dyDescent="0.2">
      <c r="G8781" s="889"/>
    </row>
    <row r="8782" spans="7:7" ht="10.5" customHeight="1" x14ac:dyDescent="0.2">
      <c r="G8782" s="889"/>
    </row>
    <row r="8783" spans="7:7" ht="10.5" customHeight="1" x14ac:dyDescent="0.2">
      <c r="G8783" s="889"/>
    </row>
    <row r="8784" spans="7:7" ht="10.5" customHeight="1" x14ac:dyDescent="0.2">
      <c r="G8784" s="889"/>
    </row>
    <row r="8785" spans="7:7" ht="10.5" customHeight="1" x14ac:dyDescent="0.2">
      <c r="G8785" s="889"/>
    </row>
    <row r="8786" spans="7:7" ht="10.5" customHeight="1" x14ac:dyDescent="0.2">
      <c r="G8786" s="889"/>
    </row>
    <row r="8787" spans="7:7" ht="10.5" customHeight="1" x14ac:dyDescent="0.2">
      <c r="G8787" s="889"/>
    </row>
    <row r="8788" spans="7:7" ht="10.5" customHeight="1" x14ac:dyDescent="0.2">
      <c r="G8788" s="889"/>
    </row>
    <row r="8789" spans="7:7" ht="10.5" customHeight="1" x14ac:dyDescent="0.2">
      <c r="G8789" s="889"/>
    </row>
    <row r="8790" spans="7:7" ht="10.5" customHeight="1" x14ac:dyDescent="0.2">
      <c r="G8790" s="889"/>
    </row>
    <row r="8791" spans="7:7" ht="10.5" customHeight="1" x14ac:dyDescent="0.2">
      <c r="G8791" s="889"/>
    </row>
    <row r="8792" spans="7:7" ht="10.5" customHeight="1" x14ac:dyDescent="0.2">
      <c r="G8792" s="889"/>
    </row>
    <row r="8793" spans="7:7" ht="10.5" customHeight="1" x14ac:dyDescent="0.2">
      <c r="G8793" s="889"/>
    </row>
    <row r="8794" spans="7:7" ht="10.5" customHeight="1" x14ac:dyDescent="0.2">
      <c r="G8794" s="889"/>
    </row>
    <row r="8795" spans="7:7" ht="10.5" customHeight="1" x14ac:dyDescent="0.2">
      <c r="G8795" s="889"/>
    </row>
    <row r="8796" spans="7:7" ht="10.5" customHeight="1" x14ac:dyDescent="0.2">
      <c r="G8796" s="889"/>
    </row>
    <row r="8797" spans="7:7" ht="10.5" customHeight="1" x14ac:dyDescent="0.2">
      <c r="G8797" s="889"/>
    </row>
    <row r="8798" spans="7:7" ht="10.5" customHeight="1" x14ac:dyDescent="0.2">
      <c r="G8798" s="889"/>
    </row>
    <row r="8799" spans="7:7" ht="10.5" customHeight="1" x14ac:dyDescent="0.2">
      <c r="G8799" s="889"/>
    </row>
    <row r="8800" spans="7:7" ht="10.5" customHeight="1" x14ac:dyDescent="0.2">
      <c r="G8800" s="889"/>
    </row>
    <row r="8801" spans="7:7" ht="10.5" customHeight="1" x14ac:dyDescent="0.2">
      <c r="G8801" s="889"/>
    </row>
    <row r="8802" spans="7:7" ht="10.5" customHeight="1" x14ac:dyDescent="0.2">
      <c r="G8802" s="889"/>
    </row>
    <row r="8803" spans="7:7" ht="10.5" customHeight="1" x14ac:dyDescent="0.2">
      <c r="G8803" s="889"/>
    </row>
    <row r="8804" spans="7:7" ht="10.5" customHeight="1" x14ac:dyDescent="0.2">
      <c r="G8804" s="889"/>
    </row>
    <row r="8805" spans="7:7" ht="10.5" customHeight="1" x14ac:dyDescent="0.2">
      <c r="G8805" s="889"/>
    </row>
    <row r="8806" spans="7:7" ht="10.5" customHeight="1" x14ac:dyDescent="0.2">
      <c r="G8806" s="889"/>
    </row>
    <row r="8807" spans="7:7" ht="10.5" customHeight="1" x14ac:dyDescent="0.2">
      <c r="G8807" s="889"/>
    </row>
    <row r="8808" spans="7:7" ht="10.5" customHeight="1" x14ac:dyDescent="0.2">
      <c r="G8808" s="889"/>
    </row>
    <row r="8809" spans="7:7" ht="10.5" customHeight="1" x14ac:dyDescent="0.2">
      <c r="G8809" s="889"/>
    </row>
    <row r="8810" spans="7:7" ht="10.5" customHeight="1" x14ac:dyDescent="0.2">
      <c r="G8810" s="889"/>
    </row>
    <row r="8811" spans="7:7" ht="10.5" customHeight="1" x14ac:dyDescent="0.2">
      <c r="G8811" s="889"/>
    </row>
    <row r="8812" spans="7:7" ht="10.5" customHeight="1" x14ac:dyDescent="0.2">
      <c r="G8812" s="889"/>
    </row>
    <row r="8813" spans="7:7" ht="10.5" customHeight="1" x14ac:dyDescent="0.2">
      <c r="G8813" s="889"/>
    </row>
    <row r="8814" spans="7:7" ht="10.5" customHeight="1" x14ac:dyDescent="0.2">
      <c r="G8814" s="889"/>
    </row>
    <row r="8815" spans="7:7" ht="10.5" customHeight="1" x14ac:dyDescent="0.2">
      <c r="G8815" s="889"/>
    </row>
    <row r="8816" spans="7:7" ht="10.5" customHeight="1" x14ac:dyDescent="0.2">
      <c r="G8816" s="889"/>
    </row>
    <row r="8817" spans="7:7" ht="10.5" customHeight="1" x14ac:dyDescent="0.2">
      <c r="G8817" s="889"/>
    </row>
    <row r="8818" spans="7:7" ht="10.5" customHeight="1" x14ac:dyDescent="0.2">
      <c r="G8818" s="889"/>
    </row>
    <row r="8819" spans="7:7" ht="10.5" customHeight="1" x14ac:dyDescent="0.2">
      <c r="G8819" s="889"/>
    </row>
    <row r="8820" spans="7:7" ht="10.5" customHeight="1" x14ac:dyDescent="0.2">
      <c r="G8820" s="889"/>
    </row>
    <row r="8821" spans="7:7" ht="10.5" customHeight="1" x14ac:dyDescent="0.2">
      <c r="G8821" s="889"/>
    </row>
    <row r="8822" spans="7:7" ht="10.5" customHeight="1" x14ac:dyDescent="0.2">
      <c r="G8822" s="889"/>
    </row>
    <row r="8823" spans="7:7" ht="10.5" customHeight="1" x14ac:dyDescent="0.2">
      <c r="G8823" s="889"/>
    </row>
    <row r="8824" spans="7:7" ht="10.5" customHeight="1" x14ac:dyDescent="0.2">
      <c r="G8824" s="889"/>
    </row>
    <row r="8825" spans="7:7" ht="10.5" customHeight="1" x14ac:dyDescent="0.2">
      <c r="G8825" s="889"/>
    </row>
    <row r="8826" spans="7:7" ht="10.5" customHeight="1" x14ac:dyDescent="0.2">
      <c r="G8826" s="889"/>
    </row>
    <row r="8827" spans="7:7" ht="10.5" customHeight="1" x14ac:dyDescent="0.2">
      <c r="G8827" s="889"/>
    </row>
    <row r="8828" spans="7:7" ht="10.5" customHeight="1" x14ac:dyDescent="0.2">
      <c r="G8828" s="889"/>
    </row>
    <row r="8829" spans="7:7" ht="10.5" customHeight="1" x14ac:dyDescent="0.2">
      <c r="G8829" s="889"/>
    </row>
    <row r="8830" spans="7:7" ht="10.5" customHeight="1" x14ac:dyDescent="0.2">
      <c r="G8830" s="889"/>
    </row>
    <row r="8831" spans="7:7" ht="10.5" customHeight="1" x14ac:dyDescent="0.2">
      <c r="G8831" s="889"/>
    </row>
    <row r="8832" spans="7:7" ht="10.5" customHeight="1" x14ac:dyDescent="0.2">
      <c r="G8832" s="889"/>
    </row>
    <row r="8833" spans="7:7" ht="10.5" customHeight="1" x14ac:dyDescent="0.2">
      <c r="G8833" s="889"/>
    </row>
    <row r="8834" spans="7:7" ht="10.5" customHeight="1" x14ac:dyDescent="0.2">
      <c r="G8834" s="889"/>
    </row>
    <row r="8835" spans="7:7" ht="10.5" customHeight="1" x14ac:dyDescent="0.2">
      <c r="G8835" s="889"/>
    </row>
    <row r="8836" spans="7:7" ht="10.5" customHeight="1" x14ac:dyDescent="0.2">
      <c r="G8836" s="889"/>
    </row>
    <row r="8837" spans="7:7" ht="10.5" customHeight="1" x14ac:dyDescent="0.2">
      <c r="G8837" s="889"/>
    </row>
    <row r="8838" spans="7:7" ht="10.5" customHeight="1" x14ac:dyDescent="0.2">
      <c r="G8838" s="889"/>
    </row>
    <row r="8839" spans="7:7" ht="10.5" customHeight="1" x14ac:dyDescent="0.2">
      <c r="G8839" s="889"/>
    </row>
    <row r="8840" spans="7:7" ht="10.5" customHeight="1" x14ac:dyDescent="0.2">
      <c r="G8840" s="889"/>
    </row>
    <row r="8841" spans="7:7" ht="10.5" customHeight="1" x14ac:dyDescent="0.2">
      <c r="G8841" s="889"/>
    </row>
    <row r="8842" spans="7:7" ht="10.5" customHeight="1" x14ac:dyDescent="0.2">
      <c r="G8842" s="889"/>
    </row>
    <row r="8843" spans="7:7" ht="10.5" customHeight="1" x14ac:dyDescent="0.2">
      <c r="G8843" s="889"/>
    </row>
    <row r="8844" spans="7:7" ht="10.5" customHeight="1" x14ac:dyDescent="0.2">
      <c r="G8844" s="889"/>
    </row>
    <row r="8845" spans="7:7" ht="10.5" customHeight="1" x14ac:dyDescent="0.2">
      <c r="G8845" s="889"/>
    </row>
    <row r="8846" spans="7:7" ht="10.5" customHeight="1" x14ac:dyDescent="0.2">
      <c r="G8846" s="889"/>
    </row>
    <row r="8847" spans="7:7" ht="10.5" customHeight="1" x14ac:dyDescent="0.2">
      <c r="G8847" s="889"/>
    </row>
    <row r="8848" spans="7:7" ht="10.5" customHeight="1" x14ac:dyDescent="0.2">
      <c r="G8848" s="889"/>
    </row>
    <row r="8849" spans="7:7" ht="10.5" customHeight="1" x14ac:dyDescent="0.2">
      <c r="G8849" s="889"/>
    </row>
    <row r="8850" spans="7:7" ht="10.5" customHeight="1" x14ac:dyDescent="0.2">
      <c r="G8850" s="889"/>
    </row>
    <row r="8851" spans="7:7" ht="10.5" customHeight="1" x14ac:dyDescent="0.2">
      <c r="G8851" s="889"/>
    </row>
    <row r="8852" spans="7:7" ht="10.5" customHeight="1" x14ac:dyDescent="0.2">
      <c r="G8852" s="889"/>
    </row>
    <row r="8853" spans="7:7" ht="10.5" customHeight="1" x14ac:dyDescent="0.2">
      <c r="G8853" s="889"/>
    </row>
    <row r="8854" spans="7:7" ht="10.5" customHeight="1" x14ac:dyDescent="0.2">
      <c r="G8854" s="889"/>
    </row>
    <row r="8855" spans="7:7" ht="10.5" customHeight="1" x14ac:dyDescent="0.2">
      <c r="G8855" s="889"/>
    </row>
    <row r="8856" spans="7:7" ht="10.5" customHeight="1" x14ac:dyDescent="0.2">
      <c r="G8856" s="889"/>
    </row>
    <row r="8857" spans="7:7" ht="10.5" customHeight="1" x14ac:dyDescent="0.2">
      <c r="G8857" s="889"/>
    </row>
    <row r="8858" spans="7:7" ht="10.5" customHeight="1" x14ac:dyDescent="0.2">
      <c r="G8858" s="889"/>
    </row>
    <row r="8859" spans="7:7" ht="10.5" customHeight="1" x14ac:dyDescent="0.2">
      <c r="G8859" s="889"/>
    </row>
    <row r="8860" spans="7:7" ht="10.5" customHeight="1" x14ac:dyDescent="0.2">
      <c r="G8860" s="889"/>
    </row>
    <row r="8861" spans="7:7" ht="10.5" customHeight="1" x14ac:dyDescent="0.2">
      <c r="G8861" s="889"/>
    </row>
    <row r="8862" spans="7:7" ht="10.5" customHeight="1" x14ac:dyDescent="0.2">
      <c r="G8862" s="889"/>
    </row>
    <row r="8863" spans="7:7" ht="10.5" customHeight="1" x14ac:dyDescent="0.2">
      <c r="G8863" s="889"/>
    </row>
    <row r="8864" spans="7:7" ht="10.5" customHeight="1" x14ac:dyDescent="0.2">
      <c r="G8864" s="889"/>
    </row>
    <row r="8865" spans="7:7" ht="10.5" customHeight="1" x14ac:dyDescent="0.2">
      <c r="G8865" s="889"/>
    </row>
    <row r="8866" spans="7:7" ht="10.5" customHeight="1" x14ac:dyDescent="0.2">
      <c r="G8866" s="889"/>
    </row>
    <row r="8867" spans="7:7" ht="10.5" customHeight="1" x14ac:dyDescent="0.2">
      <c r="G8867" s="889"/>
    </row>
    <row r="8868" spans="7:7" ht="10.5" customHeight="1" x14ac:dyDescent="0.2">
      <c r="G8868" s="889"/>
    </row>
    <row r="8869" spans="7:7" ht="10.5" customHeight="1" x14ac:dyDescent="0.2">
      <c r="G8869" s="889"/>
    </row>
    <row r="8870" spans="7:7" ht="10.5" customHeight="1" x14ac:dyDescent="0.2">
      <c r="G8870" s="889"/>
    </row>
    <row r="8871" spans="7:7" ht="10.5" customHeight="1" x14ac:dyDescent="0.2">
      <c r="G8871" s="889"/>
    </row>
    <row r="8872" spans="7:7" ht="10.5" customHeight="1" x14ac:dyDescent="0.2">
      <c r="G8872" s="889"/>
    </row>
    <row r="8873" spans="7:7" ht="10.5" customHeight="1" x14ac:dyDescent="0.2">
      <c r="G8873" s="889"/>
    </row>
    <row r="8874" spans="7:7" ht="10.5" customHeight="1" x14ac:dyDescent="0.2">
      <c r="G8874" s="889"/>
    </row>
    <row r="8875" spans="7:7" ht="10.5" customHeight="1" x14ac:dyDescent="0.2">
      <c r="G8875" s="889"/>
    </row>
    <row r="8876" spans="7:7" ht="10.5" customHeight="1" x14ac:dyDescent="0.2">
      <c r="G8876" s="889"/>
    </row>
    <row r="8877" spans="7:7" ht="10.5" customHeight="1" x14ac:dyDescent="0.2">
      <c r="G8877" s="889"/>
    </row>
    <row r="8878" spans="7:7" ht="10.5" customHeight="1" x14ac:dyDescent="0.2">
      <c r="G8878" s="889"/>
    </row>
    <row r="8879" spans="7:7" ht="10.5" customHeight="1" x14ac:dyDescent="0.2">
      <c r="G8879" s="889"/>
    </row>
    <row r="8880" spans="7:7" ht="10.5" customHeight="1" x14ac:dyDescent="0.2">
      <c r="G8880" s="889"/>
    </row>
    <row r="8881" spans="7:7" ht="10.5" customHeight="1" x14ac:dyDescent="0.2">
      <c r="G8881" s="889"/>
    </row>
    <row r="8882" spans="7:7" ht="10.5" customHeight="1" x14ac:dyDescent="0.2">
      <c r="G8882" s="889"/>
    </row>
    <row r="8883" spans="7:7" ht="10.5" customHeight="1" x14ac:dyDescent="0.2">
      <c r="G8883" s="889"/>
    </row>
    <row r="8884" spans="7:7" ht="10.5" customHeight="1" x14ac:dyDescent="0.2">
      <c r="G8884" s="889"/>
    </row>
    <row r="8885" spans="7:7" ht="10.5" customHeight="1" x14ac:dyDescent="0.2">
      <c r="G8885" s="889"/>
    </row>
    <row r="8886" spans="7:7" ht="10.5" customHeight="1" x14ac:dyDescent="0.2">
      <c r="G8886" s="889"/>
    </row>
    <row r="8887" spans="7:7" ht="10.5" customHeight="1" x14ac:dyDescent="0.2">
      <c r="G8887" s="889"/>
    </row>
    <row r="8888" spans="7:7" ht="10.5" customHeight="1" x14ac:dyDescent="0.2">
      <c r="G8888" s="889"/>
    </row>
    <row r="8889" spans="7:7" ht="10.5" customHeight="1" x14ac:dyDescent="0.2">
      <c r="G8889" s="889"/>
    </row>
    <row r="8890" spans="7:7" ht="10.5" customHeight="1" x14ac:dyDescent="0.2">
      <c r="G8890" s="889"/>
    </row>
    <row r="8891" spans="7:7" ht="10.5" customHeight="1" x14ac:dyDescent="0.2">
      <c r="G8891" s="889"/>
    </row>
    <row r="8892" spans="7:7" ht="10.5" customHeight="1" x14ac:dyDescent="0.2">
      <c r="G8892" s="889"/>
    </row>
    <row r="8893" spans="7:7" ht="10.5" customHeight="1" x14ac:dyDescent="0.2">
      <c r="G8893" s="889"/>
    </row>
    <row r="8894" spans="7:7" ht="10.5" customHeight="1" x14ac:dyDescent="0.2">
      <c r="G8894" s="889"/>
    </row>
    <row r="8895" spans="7:7" ht="10.5" customHeight="1" x14ac:dyDescent="0.2">
      <c r="G8895" s="889"/>
    </row>
    <row r="8896" spans="7:7" ht="10.5" customHeight="1" x14ac:dyDescent="0.2">
      <c r="G8896" s="889"/>
    </row>
    <row r="8897" spans="7:7" ht="10.5" customHeight="1" x14ac:dyDescent="0.2">
      <c r="G8897" s="889"/>
    </row>
    <row r="8898" spans="7:7" ht="10.5" customHeight="1" x14ac:dyDescent="0.2">
      <c r="G8898" s="889"/>
    </row>
    <row r="8899" spans="7:7" ht="10.5" customHeight="1" x14ac:dyDescent="0.2">
      <c r="G8899" s="889"/>
    </row>
    <row r="8900" spans="7:7" ht="10.5" customHeight="1" x14ac:dyDescent="0.2">
      <c r="G8900" s="889"/>
    </row>
    <row r="8901" spans="7:7" ht="10.5" customHeight="1" x14ac:dyDescent="0.2">
      <c r="G8901" s="889"/>
    </row>
    <row r="8902" spans="7:7" ht="10.5" customHeight="1" x14ac:dyDescent="0.2">
      <c r="G8902" s="889"/>
    </row>
    <row r="8903" spans="7:7" ht="10.5" customHeight="1" x14ac:dyDescent="0.2">
      <c r="G8903" s="889"/>
    </row>
    <row r="8904" spans="7:7" ht="10.5" customHeight="1" x14ac:dyDescent="0.2">
      <c r="G8904" s="889"/>
    </row>
    <row r="8905" spans="7:7" ht="10.5" customHeight="1" x14ac:dyDescent="0.2">
      <c r="G8905" s="889"/>
    </row>
    <row r="8906" spans="7:7" ht="10.5" customHeight="1" x14ac:dyDescent="0.2">
      <c r="G8906" s="889"/>
    </row>
    <row r="8907" spans="7:7" ht="10.5" customHeight="1" x14ac:dyDescent="0.2">
      <c r="G8907" s="889"/>
    </row>
    <row r="8908" spans="7:7" ht="10.5" customHeight="1" x14ac:dyDescent="0.2">
      <c r="G8908" s="889"/>
    </row>
    <row r="8909" spans="7:7" ht="10.5" customHeight="1" x14ac:dyDescent="0.2">
      <c r="G8909" s="889"/>
    </row>
    <row r="8910" spans="7:7" ht="10.5" customHeight="1" x14ac:dyDescent="0.2">
      <c r="G8910" s="889"/>
    </row>
    <row r="8911" spans="7:7" ht="10.5" customHeight="1" x14ac:dyDescent="0.2">
      <c r="G8911" s="889"/>
    </row>
    <row r="8912" spans="7:7" ht="10.5" customHeight="1" x14ac:dyDescent="0.2">
      <c r="G8912" s="889"/>
    </row>
    <row r="8913" spans="7:7" ht="10.5" customHeight="1" x14ac:dyDescent="0.2">
      <c r="G8913" s="889"/>
    </row>
    <row r="8914" spans="7:7" ht="10.5" customHeight="1" x14ac:dyDescent="0.2">
      <c r="G8914" s="889"/>
    </row>
    <row r="8915" spans="7:7" ht="10.5" customHeight="1" x14ac:dyDescent="0.2">
      <c r="G8915" s="889"/>
    </row>
    <row r="8916" spans="7:7" ht="10.5" customHeight="1" x14ac:dyDescent="0.2">
      <c r="G8916" s="889"/>
    </row>
    <row r="8917" spans="7:7" ht="10.5" customHeight="1" x14ac:dyDescent="0.2">
      <c r="G8917" s="889"/>
    </row>
    <row r="8918" spans="7:7" ht="10.5" customHeight="1" x14ac:dyDescent="0.2">
      <c r="G8918" s="889"/>
    </row>
    <row r="8919" spans="7:7" ht="10.5" customHeight="1" x14ac:dyDescent="0.2">
      <c r="G8919" s="889"/>
    </row>
    <row r="8920" spans="7:7" ht="10.5" customHeight="1" x14ac:dyDescent="0.2">
      <c r="G8920" s="889"/>
    </row>
    <row r="8921" spans="7:7" ht="10.5" customHeight="1" x14ac:dyDescent="0.2">
      <c r="G8921" s="889"/>
    </row>
    <row r="8922" spans="7:7" ht="10.5" customHeight="1" x14ac:dyDescent="0.2">
      <c r="G8922" s="889"/>
    </row>
    <row r="8923" spans="7:7" ht="10.5" customHeight="1" x14ac:dyDescent="0.2">
      <c r="G8923" s="889"/>
    </row>
    <row r="8924" spans="7:7" ht="10.5" customHeight="1" x14ac:dyDescent="0.2">
      <c r="G8924" s="889"/>
    </row>
    <row r="8925" spans="7:7" ht="10.5" customHeight="1" x14ac:dyDescent="0.2">
      <c r="G8925" s="889"/>
    </row>
    <row r="8926" spans="7:7" ht="10.5" customHeight="1" x14ac:dyDescent="0.2">
      <c r="G8926" s="889"/>
    </row>
    <row r="8927" spans="7:7" ht="10.5" customHeight="1" x14ac:dyDescent="0.2">
      <c r="G8927" s="889"/>
    </row>
    <row r="8928" spans="7:7" ht="10.5" customHeight="1" x14ac:dyDescent="0.2">
      <c r="G8928" s="889"/>
    </row>
    <row r="8929" spans="7:7" ht="10.5" customHeight="1" x14ac:dyDescent="0.2">
      <c r="G8929" s="889"/>
    </row>
    <row r="8930" spans="7:7" ht="10.5" customHeight="1" x14ac:dyDescent="0.2">
      <c r="G8930" s="889"/>
    </row>
    <row r="8931" spans="7:7" ht="10.5" customHeight="1" x14ac:dyDescent="0.2">
      <c r="G8931" s="889"/>
    </row>
    <row r="8932" spans="7:7" ht="10.5" customHeight="1" x14ac:dyDescent="0.2">
      <c r="G8932" s="889"/>
    </row>
    <row r="8933" spans="7:7" ht="10.5" customHeight="1" x14ac:dyDescent="0.2">
      <c r="G8933" s="889"/>
    </row>
    <row r="8934" spans="7:7" ht="10.5" customHeight="1" x14ac:dyDescent="0.2">
      <c r="G8934" s="889"/>
    </row>
    <row r="8935" spans="7:7" ht="10.5" customHeight="1" x14ac:dyDescent="0.2">
      <c r="G8935" s="889"/>
    </row>
    <row r="8936" spans="7:7" ht="10.5" customHeight="1" x14ac:dyDescent="0.2">
      <c r="G8936" s="889"/>
    </row>
    <row r="8937" spans="7:7" ht="10.5" customHeight="1" x14ac:dyDescent="0.2">
      <c r="G8937" s="889"/>
    </row>
    <row r="8938" spans="7:7" ht="10.5" customHeight="1" x14ac:dyDescent="0.2">
      <c r="G8938" s="889"/>
    </row>
    <row r="8939" spans="7:7" ht="10.5" customHeight="1" x14ac:dyDescent="0.2">
      <c r="G8939" s="889"/>
    </row>
    <row r="8940" spans="7:7" ht="10.5" customHeight="1" x14ac:dyDescent="0.2">
      <c r="G8940" s="889"/>
    </row>
    <row r="8941" spans="7:7" ht="10.5" customHeight="1" x14ac:dyDescent="0.2">
      <c r="G8941" s="889"/>
    </row>
    <row r="8942" spans="7:7" ht="10.5" customHeight="1" x14ac:dyDescent="0.2">
      <c r="G8942" s="889"/>
    </row>
    <row r="8943" spans="7:7" ht="10.5" customHeight="1" x14ac:dyDescent="0.2">
      <c r="G8943" s="889"/>
    </row>
    <row r="8944" spans="7:7" ht="10.5" customHeight="1" x14ac:dyDescent="0.2">
      <c r="G8944" s="889"/>
    </row>
    <row r="8945" spans="7:7" ht="10.5" customHeight="1" x14ac:dyDescent="0.2">
      <c r="G8945" s="889"/>
    </row>
    <row r="8946" spans="7:7" ht="10.5" customHeight="1" x14ac:dyDescent="0.2">
      <c r="G8946" s="889"/>
    </row>
    <row r="8947" spans="7:7" ht="10.5" customHeight="1" x14ac:dyDescent="0.2">
      <c r="G8947" s="889"/>
    </row>
    <row r="8948" spans="7:7" ht="10.5" customHeight="1" x14ac:dyDescent="0.2">
      <c r="G8948" s="889"/>
    </row>
    <row r="8949" spans="7:7" ht="10.5" customHeight="1" x14ac:dyDescent="0.2">
      <c r="G8949" s="889"/>
    </row>
    <row r="8950" spans="7:7" ht="10.5" customHeight="1" x14ac:dyDescent="0.2">
      <c r="G8950" s="889"/>
    </row>
    <row r="8951" spans="7:7" ht="10.5" customHeight="1" x14ac:dyDescent="0.2">
      <c r="G8951" s="889"/>
    </row>
    <row r="8952" spans="7:7" ht="10.5" customHeight="1" x14ac:dyDescent="0.2">
      <c r="G8952" s="889"/>
    </row>
    <row r="8953" spans="7:7" ht="10.5" customHeight="1" x14ac:dyDescent="0.2">
      <c r="G8953" s="889"/>
    </row>
    <row r="8954" spans="7:7" ht="10.5" customHeight="1" x14ac:dyDescent="0.2">
      <c r="G8954" s="889"/>
    </row>
    <row r="8955" spans="7:7" ht="10.5" customHeight="1" x14ac:dyDescent="0.2">
      <c r="G8955" s="889"/>
    </row>
    <row r="8956" spans="7:7" ht="10.5" customHeight="1" x14ac:dyDescent="0.2">
      <c r="G8956" s="889"/>
    </row>
    <row r="8957" spans="7:7" ht="10.5" customHeight="1" x14ac:dyDescent="0.2">
      <c r="G8957" s="889"/>
    </row>
    <row r="8958" spans="7:7" ht="10.5" customHeight="1" x14ac:dyDescent="0.2">
      <c r="G8958" s="889"/>
    </row>
    <row r="8959" spans="7:7" ht="10.5" customHeight="1" x14ac:dyDescent="0.2">
      <c r="G8959" s="889"/>
    </row>
    <row r="8960" spans="7:7" ht="10.5" customHeight="1" x14ac:dyDescent="0.2">
      <c r="G8960" s="889"/>
    </row>
    <row r="8961" spans="7:7" ht="10.5" customHeight="1" x14ac:dyDescent="0.2">
      <c r="G8961" s="889"/>
    </row>
    <row r="8962" spans="7:7" ht="10.5" customHeight="1" x14ac:dyDescent="0.2">
      <c r="G8962" s="889"/>
    </row>
    <row r="8963" spans="7:7" ht="10.5" customHeight="1" x14ac:dyDescent="0.2">
      <c r="G8963" s="889"/>
    </row>
    <row r="8964" spans="7:7" ht="10.5" customHeight="1" x14ac:dyDescent="0.2">
      <c r="G8964" s="889"/>
    </row>
    <row r="8965" spans="7:7" ht="10.5" customHeight="1" x14ac:dyDescent="0.2">
      <c r="G8965" s="889"/>
    </row>
    <row r="8966" spans="7:7" ht="10.5" customHeight="1" x14ac:dyDescent="0.2">
      <c r="G8966" s="889"/>
    </row>
    <row r="8967" spans="7:7" ht="10.5" customHeight="1" x14ac:dyDescent="0.2">
      <c r="G8967" s="889"/>
    </row>
    <row r="8968" spans="7:7" ht="10.5" customHeight="1" x14ac:dyDescent="0.2">
      <c r="G8968" s="889"/>
    </row>
    <row r="8969" spans="7:7" ht="10.5" customHeight="1" x14ac:dyDescent="0.2">
      <c r="G8969" s="889"/>
    </row>
    <row r="8970" spans="7:7" ht="10.5" customHeight="1" x14ac:dyDescent="0.2">
      <c r="G8970" s="889"/>
    </row>
    <row r="8971" spans="7:7" ht="10.5" customHeight="1" x14ac:dyDescent="0.2">
      <c r="G8971" s="889"/>
    </row>
    <row r="8972" spans="7:7" ht="10.5" customHeight="1" x14ac:dyDescent="0.2">
      <c r="G8972" s="889"/>
    </row>
    <row r="8973" spans="7:7" ht="10.5" customHeight="1" x14ac:dyDescent="0.2">
      <c r="G8973" s="889"/>
    </row>
    <row r="8974" spans="7:7" ht="10.5" customHeight="1" x14ac:dyDescent="0.2">
      <c r="G8974" s="889"/>
    </row>
    <row r="8975" spans="7:7" ht="10.5" customHeight="1" x14ac:dyDescent="0.2">
      <c r="G8975" s="889"/>
    </row>
    <row r="8976" spans="7:7" ht="10.5" customHeight="1" x14ac:dyDescent="0.2">
      <c r="G8976" s="889"/>
    </row>
    <row r="8977" spans="7:7" ht="10.5" customHeight="1" x14ac:dyDescent="0.2">
      <c r="G8977" s="889"/>
    </row>
    <row r="8978" spans="7:7" ht="10.5" customHeight="1" x14ac:dyDescent="0.2">
      <c r="G8978" s="889"/>
    </row>
    <row r="8979" spans="7:7" ht="10.5" customHeight="1" x14ac:dyDescent="0.2">
      <c r="G8979" s="889"/>
    </row>
    <row r="8980" spans="7:7" ht="10.5" customHeight="1" x14ac:dyDescent="0.2">
      <c r="G8980" s="889"/>
    </row>
    <row r="8981" spans="7:7" ht="10.5" customHeight="1" x14ac:dyDescent="0.2">
      <c r="G8981" s="889"/>
    </row>
    <row r="8982" spans="7:7" ht="10.5" customHeight="1" x14ac:dyDescent="0.2">
      <c r="G8982" s="889"/>
    </row>
    <row r="8983" spans="7:7" ht="10.5" customHeight="1" x14ac:dyDescent="0.2">
      <c r="G8983" s="889"/>
    </row>
    <row r="8984" spans="7:7" ht="10.5" customHeight="1" x14ac:dyDescent="0.2">
      <c r="G8984" s="889"/>
    </row>
    <row r="8985" spans="7:7" ht="10.5" customHeight="1" x14ac:dyDescent="0.2">
      <c r="G8985" s="889"/>
    </row>
    <row r="8986" spans="7:7" ht="10.5" customHeight="1" x14ac:dyDescent="0.2">
      <c r="G8986" s="889"/>
    </row>
    <row r="8987" spans="7:7" ht="10.5" customHeight="1" x14ac:dyDescent="0.2">
      <c r="G8987" s="889"/>
    </row>
    <row r="8988" spans="7:7" ht="10.5" customHeight="1" x14ac:dyDescent="0.2">
      <c r="G8988" s="889"/>
    </row>
    <row r="8989" spans="7:7" ht="10.5" customHeight="1" x14ac:dyDescent="0.2">
      <c r="G8989" s="889"/>
    </row>
    <row r="8990" spans="7:7" ht="10.5" customHeight="1" x14ac:dyDescent="0.2">
      <c r="G8990" s="889"/>
    </row>
    <row r="8991" spans="7:7" ht="10.5" customHeight="1" x14ac:dyDescent="0.2">
      <c r="G8991" s="889"/>
    </row>
    <row r="8992" spans="7:7" ht="10.5" customHeight="1" x14ac:dyDescent="0.2">
      <c r="G8992" s="889"/>
    </row>
    <row r="8993" spans="7:7" ht="10.5" customHeight="1" x14ac:dyDescent="0.2">
      <c r="G8993" s="889"/>
    </row>
    <row r="8994" spans="7:7" ht="10.5" customHeight="1" x14ac:dyDescent="0.2">
      <c r="G8994" s="889"/>
    </row>
    <row r="8995" spans="7:7" ht="10.5" customHeight="1" x14ac:dyDescent="0.2">
      <c r="G8995" s="889"/>
    </row>
    <row r="8996" spans="7:7" ht="10.5" customHeight="1" x14ac:dyDescent="0.2">
      <c r="G8996" s="889"/>
    </row>
    <row r="8997" spans="7:7" ht="10.5" customHeight="1" x14ac:dyDescent="0.2">
      <c r="G8997" s="889"/>
    </row>
    <row r="8998" spans="7:7" ht="10.5" customHeight="1" x14ac:dyDescent="0.2">
      <c r="G8998" s="889"/>
    </row>
    <row r="8999" spans="7:7" ht="10.5" customHeight="1" x14ac:dyDescent="0.2">
      <c r="G8999" s="889"/>
    </row>
    <row r="9000" spans="7:7" ht="10.5" customHeight="1" x14ac:dyDescent="0.2">
      <c r="G9000" s="889"/>
    </row>
    <row r="9001" spans="7:7" ht="10.5" customHeight="1" x14ac:dyDescent="0.2">
      <c r="G9001" s="889"/>
    </row>
    <row r="9002" spans="7:7" ht="10.5" customHeight="1" x14ac:dyDescent="0.2">
      <c r="G9002" s="889"/>
    </row>
    <row r="9003" spans="7:7" ht="10.5" customHeight="1" x14ac:dyDescent="0.2">
      <c r="G9003" s="889"/>
    </row>
    <row r="9004" spans="7:7" ht="10.5" customHeight="1" x14ac:dyDescent="0.2">
      <c r="G9004" s="889"/>
    </row>
    <row r="9005" spans="7:7" ht="10.5" customHeight="1" x14ac:dyDescent="0.2">
      <c r="G9005" s="889"/>
    </row>
    <row r="9006" spans="7:7" ht="10.5" customHeight="1" x14ac:dyDescent="0.2">
      <c r="G9006" s="889"/>
    </row>
    <row r="9007" spans="7:7" ht="10.5" customHeight="1" x14ac:dyDescent="0.2">
      <c r="G9007" s="889"/>
    </row>
    <row r="9008" spans="7:7" ht="10.5" customHeight="1" x14ac:dyDescent="0.2">
      <c r="G9008" s="889"/>
    </row>
    <row r="9009" spans="7:7" ht="10.5" customHeight="1" x14ac:dyDescent="0.2">
      <c r="G9009" s="889"/>
    </row>
    <row r="9010" spans="7:7" ht="10.5" customHeight="1" x14ac:dyDescent="0.2">
      <c r="G9010" s="889"/>
    </row>
    <row r="9011" spans="7:7" ht="10.5" customHeight="1" x14ac:dyDescent="0.2">
      <c r="G9011" s="889"/>
    </row>
    <row r="9012" spans="7:7" ht="10.5" customHeight="1" x14ac:dyDescent="0.2">
      <c r="G9012" s="889"/>
    </row>
    <row r="9013" spans="7:7" ht="10.5" customHeight="1" x14ac:dyDescent="0.2">
      <c r="G9013" s="889"/>
    </row>
    <row r="9014" spans="7:7" ht="10.5" customHeight="1" x14ac:dyDescent="0.2">
      <c r="G9014" s="889"/>
    </row>
    <row r="9015" spans="7:7" ht="10.5" customHeight="1" x14ac:dyDescent="0.2">
      <c r="G9015" s="889"/>
    </row>
    <row r="9016" spans="7:7" ht="10.5" customHeight="1" x14ac:dyDescent="0.2">
      <c r="G9016" s="889"/>
    </row>
    <row r="9017" spans="7:7" ht="10.5" customHeight="1" x14ac:dyDescent="0.2">
      <c r="G9017" s="889"/>
    </row>
    <row r="9018" spans="7:7" ht="10.5" customHeight="1" x14ac:dyDescent="0.2">
      <c r="G9018" s="889"/>
    </row>
    <row r="9019" spans="7:7" ht="10.5" customHeight="1" x14ac:dyDescent="0.2">
      <c r="G9019" s="889"/>
    </row>
    <row r="9020" spans="7:7" ht="10.5" customHeight="1" x14ac:dyDescent="0.2">
      <c r="G9020" s="889"/>
    </row>
    <row r="9021" spans="7:7" ht="10.5" customHeight="1" x14ac:dyDescent="0.2">
      <c r="G9021" s="889"/>
    </row>
    <row r="9022" spans="7:7" ht="10.5" customHeight="1" x14ac:dyDescent="0.2">
      <c r="G9022" s="889"/>
    </row>
    <row r="9023" spans="7:7" ht="10.5" customHeight="1" x14ac:dyDescent="0.2">
      <c r="G9023" s="889"/>
    </row>
    <row r="9024" spans="7:7" ht="10.5" customHeight="1" x14ac:dyDescent="0.2">
      <c r="G9024" s="889"/>
    </row>
    <row r="9025" spans="7:7" ht="10.5" customHeight="1" x14ac:dyDescent="0.2">
      <c r="G9025" s="889"/>
    </row>
    <row r="9026" spans="7:7" ht="10.5" customHeight="1" x14ac:dyDescent="0.2">
      <c r="G9026" s="889"/>
    </row>
    <row r="9027" spans="7:7" ht="10.5" customHeight="1" x14ac:dyDescent="0.2">
      <c r="G9027" s="889"/>
    </row>
    <row r="9028" spans="7:7" ht="10.5" customHeight="1" x14ac:dyDescent="0.2">
      <c r="G9028" s="889"/>
    </row>
    <row r="9029" spans="7:7" ht="10.5" customHeight="1" x14ac:dyDescent="0.2">
      <c r="G9029" s="889"/>
    </row>
    <row r="9030" spans="7:7" ht="10.5" customHeight="1" x14ac:dyDescent="0.2">
      <c r="G9030" s="889"/>
    </row>
    <row r="9031" spans="7:7" ht="10.5" customHeight="1" x14ac:dyDescent="0.2">
      <c r="G9031" s="889"/>
    </row>
    <row r="9032" spans="7:7" ht="10.5" customHeight="1" x14ac:dyDescent="0.2">
      <c r="G9032" s="889"/>
    </row>
    <row r="9033" spans="7:7" ht="10.5" customHeight="1" x14ac:dyDescent="0.2">
      <c r="G9033" s="889"/>
    </row>
    <row r="9034" spans="7:7" ht="10.5" customHeight="1" x14ac:dyDescent="0.2">
      <c r="G9034" s="889"/>
    </row>
    <row r="9035" spans="7:7" ht="10.5" customHeight="1" x14ac:dyDescent="0.2">
      <c r="G9035" s="889"/>
    </row>
    <row r="9036" spans="7:7" ht="10.5" customHeight="1" x14ac:dyDescent="0.2">
      <c r="G9036" s="889"/>
    </row>
    <row r="9037" spans="7:7" ht="10.5" customHeight="1" x14ac:dyDescent="0.2">
      <c r="G9037" s="889"/>
    </row>
    <row r="9038" spans="7:7" ht="10.5" customHeight="1" x14ac:dyDescent="0.2">
      <c r="G9038" s="889"/>
    </row>
    <row r="9039" spans="7:7" ht="10.5" customHeight="1" x14ac:dyDescent="0.2">
      <c r="G9039" s="889"/>
    </row>
    <row r="9040" spans="7:7" ht="10.5" customHeight="1" x14ac:dyDescent="0.2">
      <c r="G9040" s="889"/>
    </row>
    <row r="9041" spans="7:7" ht="10.5" customHeight="1" x14ac:dyDescent="0.2">
      <c r="G9041" s="889"/>
    </row>
    <row r="9042" spans="7:7" ht="10.5" customHeight="1" x14ac:dyDescent="0.2">
      <c r="G9042" s="889"/>
    </row>
    <row r="9043" spans="7:7" ht="10.5" customHeight="1" x14ac:dyDescent="0.2">
      <c r="G9043" s="889"/>
    </row>
    <row r="9044" spans="7:7" ht="10.5" customHeight="1" x14ac:dyDescent="0.2">
      <c r="G9044" s="889"/>
    </row>
    <row r="9045" spans="7:7" ht="10.5" customHeight="1" x14ac:dyDescent="0.2">
      <c r="G9045" s="889"/>
    </row>
    <row r="9046" spans="7:7" ht="10.5" customHeight="1" x14ac:dyDescent="0.2">
      <c r="G9046" s="889"/>
    </row>
    <row r="9047" spans="7:7" ht="10.5" customHeight="1" x14ac:dyDescent="0.2">
      <c r="G9047" s="889"/>
    </row>
    <row r="9048" spans="7:7" ht="10.5" customHeight="1" x14ac:dyDescent="0.2">
      <c r="G9048" s="889"/>
    </row>
    <row r="9049" spans="7:7" ht="10.5" customHeight="1" x14ac:dyDescent="0.2">
      <c r="G9049" s="889"/>
    </row>
    <row r="9050" spans="7:7" ht="10.5" customHeight="1" x14ac:dyDescent="0.2">
      <c r="G9050" s="889"/>
    </row>
    <row r="9051" spans="7:7" ht="10.5" customHeight="1" x14ac:dyDescent="0.2">
      <c r="G9051" s="889"/>
    </row>
    <row r="9052" spans="7:7" ht="10.5" customHeight="1" x14ac:dyDescent="0.2">
      <c r="G9052" s="889"/>
    </row>
    <row r="9053" spans="7:7" ht="10.5" customHeight="1" x14ac:dyDescent="0.2">
      <c r="G9053" s="889"/>
    </row>
    <row r="9054" spans="7:7" ht="10.5" customHeight="1" x14ac:dyDescent="0.2">
      <c r="G9054" s="889"/>
    </row>
    <row r="9055" spans="7:7" ht="10.5" customHeight="1" x14ac:dyDescent="0.2">
      <c r="G9055" s="889"/>
    </row>
    <row r="9056" spans="7:7" ht="10.5" customHeight="1" x14ac:dyDescent="0.2">
      <c r="G9056" s="889"/>
    </row>
    <row r="9057" spans="7:7" ht="10.5" customHeight="1" x14ac:dyDescent="0.2">
      <c r="G9057" s="889"/>
    </row>
    <row r="9058" spans="7:7" ht="10.5" customHeight="1" x14ac:dyDescent="0.2">
      <c r="G9058" s="889"/>
    </row>
    <row r="9059" spans="7:7" ht="10.5" customHeight="1" x14ac:dyDescent="0.2">
      <c r="G9059" s="889"/>
    </row>
    <row r="9060" spans="7:7" ht="10.5" customHeight="1" x14ac:dyDescent="0.2">
      <c r="G9060" s="889"/>
    </row>
    <row r="9061" spans="7:7" ht="10.5" customHeight="1" x14ac:dyDescent="0.2">
      <c r="G9061" s="889"/>
    </row>
    <row r="9062" spans="7:7" ht="10.5" customHeight="1" x14ac:dyDescent="0.2">
      <c r="G9062" s="889"/>
    </row>
    <row r="9063" spans="7:7" ht="10.5" customHeight="1" x14ac:dyDescent="0.2">
      <c r="G9063" s="889"/>
    </row>
    <row r="9064" spans="7:7" ht="10.5" customHeight="1" x14ac:dyDescent="0.2">
      <c r="G9064" s="889"/>
    </row>
    <row r="9065" spans="7:7" ht="10.5" customHeight="1" x14ac:dyDescent="0.2">
      <c r="G9065" s="889"/>
    </row>
    <row r="9066" spans="7:7" ht="10.5" customHeight="1" x14ac:dyDescent="0.2">
      <c r="G9066" s="889"/>
    </row>
    <row r="9067" spans="7:7" ht="10.5" customHeight="1" x14ac:dyDescent="0.2">
      <c r="G9067" s="889"/>
    </row>
    <row r="9068" spans="7:7" ht="10.5" customHeight="1" x14ac:dyDescent="0.2">
      <c r="G9068" s="889"/>
    </row>
    <row r="9069" spans="7:7" ht="10.5" customHeight="1" x14ac:dyDescent="0.2">
      <c r="G9069" s="889"/>
    </row>
    <row r="9070" spans="7:7" ht="10.5" customHeight="1" x14ac:dyDescent="0.2">
      <c r="G9070" s="889"/>
    </row>
    <row r="9071" spans="7:7" ht="10.5" customHeight="1" x14ac:dyDescent="0.2">
      <c r="G9071" s="889"/>
    </row>
    <row r="9072" spans="7:7" ht="10.5" customHeight="1" x14ac:dyDescent="0.2">
      <c r="G9072" s="889"/>
    </row>
    <row r="9073" spans="7:7" ht="10.5" customHeight="1" x14ac:dyDescent="0.2">
      <c r="G9073" s="889"/>
    </row>
    <row r="9074" spans="7:7" ht="10.5" customHeight="1" x14ac:dyDescent="0.2">
      <c r="G9074" s="889"/>
    </row>
    <row r="9075" spans="7:7" ht="10.5" customHeight="1" x14ac:dyDescent="0.2">
      <c r="G9075" s="889"/>
    </row>
    <row r="9076" spans="7:7" ht="10.5" customHeight="1" x14ac:dyDescent="0.2">
      <c r="G9076" s="889"/>
    </row>
    <row r="9077" spans="7:7" ht="10.5" customHeight="1" x14ac:dyDescent="0.2">
      <c r="G9077" s="889"/>
    </row>
    <row r="9078" spans="7:7" ht="10.5" customHeight="1" x14ac:dyDescent="0.2">
      <c r="G9078" s="889"/>
    </row>
    <row r="9079" spans="7:7" ht="10.5" customHeight="1" x14ac:dyDescent="0.2">
      <c r="G9079" s="889"/>
    </row>
    <row r="9080" spans="7:7" ht="10.5" customHeight="1" x14ac:dyDescent="0.2">
      <c r="G9080" s="889"/>
    </row>
    <row r="9081" spans="7:7" ht="10.5" customHeight="1" x14ac:dyDescent="0.2">
      <c r="G9081" s="889"/>
    </row>
    <row r="9082" spans="7:7" ht="10.5" customHeight="1" x14ac:dyDescent="0.2">
      <c r="G9082" s="889"/>
    </row>
    <row r="9083" spans="7:7" ht="10.5" customHeight="1" x14ac:dyDescent="0.2">
      <c r="G9083" s="889"/>
    </row>
    <row r="9084" spans="7:7" ht="10.5" customHeight="1" x14ac:dyDescent="0.2">
      <c r="G9084" s="889"/>
    </row>
    <row r="9085" spans="7:7" ht="10.5" customHeight="1" x14ac:dyDescent="0.2">
      <c r="G9085" s="889"/>
    </row>
    <row r="9086" spans="7:7" ht="10.5" customHeight="1" x14ac:dyDescent="0.2">
      <c r="G9086" s="889"/>
    </row>
    <row r="9087" spans="7:7" ht="10.5" customHeight="1" x14ac:dyDescent="0.2">
      <c r="G9087" s="889"/>
    </row>
    <row r="9088" spans="7:7" ht="10.5" customHeight="1" x14ac:dyDescent="0.2">
      <c r="G9088" s="889"/>
    </row>
    <row r="9089" spans="7:7" ht="10.5" customHeight="1" x14ac:dyDescent="0.2">
      <c r="G9089" s="889"/>
    </row>
    <row r="9090" spans="7:7" ht="10.5" customHeight="1" x14ac:dyDescent="0.2">
      <c r="G9090" s="889"/>
    </row>
    <row r="9091" spans="7:7" ht="10.5" customHeight="1" x14ac:dyDescent="0.2">
      <c r="G9091" s="889"/>
    </row>
    <row r="9092" spans="7:7" ht="10.5" customHeight="1" x14ac:dyDescent="0.2">
      <c r="G9092" s="889"/>
    </row>
    <row r="9093" spans="7:7" ht="10.5" customHeight="1" x14ac:dyDescent="0.2">
      <c r="G9093" s="889"/>
    </row>
    <row r="9094" spans="7:7" ht="10.5" customHeight="1" x14ac:dyDescent="0.2">
      <c r="G9094" s="889"/>
    </row>
    <row r="9095" spans="7:7" ht="10.5" customHeight="1" x14ac:dyDescent="0.2">
      <c r="G9095" s="889"/>
    </row>
    <row r="9096" spans="7:7" ht="10.5" customHeight="1" x14ac:dyDescent="0.2">
      <c r="G9096" s="889"/>
    </row>
    <row r="9097" spans="7:7" ht="10.5" customHeight="1" x14ac:dyDescent="0.2">
      <c r="G9097" s="889"/>
    </row>
    <row r="9098" spans="7:7" ht="10.5" customHeight="1" x14ac:dyDescent="0.2">
      <c r="G9098" s="889"/>
    </row>
    <row r="9099" spans="7:7" ht="10.5" customHeight="1" x14ac:dyDescent="0.2">
      <c r="G9099" s="889"/>
    </row>
    <row r="9100" spans="7:7" ht="10.5" customHeight="1" x14ac:dyDescent="0.2">
      <c r="G9100" s="889"/>
    </row>
    <row r="9101" spans="7:7" ht="10.5" customHeight="1" x14ac:dyDescent="0.2">
      <c r="G9101" s="889"/>
    </row>
    <row r="9102" spans="7:7" ht="10.5" customHeight="1" x14ac:dyDescent="0.2">
      <c r="G9102" s="889"/>
    </row>
    <row r="9103" spans="7:7" ht="10.5" customHeight="1" x14ac:dyDescent="0.2">
      <c r="G9103" s="889"/>
    </row>
    <row r="9104" spans="7:7" ht="10.5" customHeight="1" x14ac:dyDescent="0.2">
      <c r="G9104" s="889"/>
    </row>
    <row r="9105" spans="7:7" ht="10.5" customHeight="1" x14ac:dyDescent="0.2">
      <c r="G9105" s="889"/>
    </row>
    <row r="9106" spans="7:7" ht="10.5" customHeight="1" x14ac:dyDescent="0.2">
      <c r="G9106" s="889"/>
    </row>
    <row r="9107" spans="7:7" ht="10.5" customHeight="1" x14ac:dyDescent="0.2">
      <c r="G9107" s="889"/>
    </row>
    <row r="9108" spans="7:7" ht="10.5" customHeight="1" x14ac:dyDescent="0.2">
      <c r="G9108" s="889"/>
    </row>
    <row r="9109" spans="7:7" ht="10.5" customHeight="1" x14ac:dyDescent="0.2">
      <c r="G9109" s="889"/>
    </row>
    <row r="9110" spans="7:7" ht="10.5" customHeight="1" x14ac:dyDescent="0.2">
      <c r="G9110" s="889"/>
    </row>
    <row r="9111" spans="7:7" ht="10.5" customHeight="1" x14ac:dyDescent="0.2">
      <c r="G9111" s="889"/>
    </row>
    <row r="9112" spans="7:7" ht="10.5" customHeight="1" x14ac:dyDescent="0.2">
      <c r="G9112" s="889"/>
    </row>
    <row r="9113" spans="7:7" ht="10.5" customHeight="1" x14ac:dyDescent="0.2">
      <c r="G9113" s="889"/>
    </row>
    <row r="9114" spans="7:7" ht="10.5" customHeight="1" x14ac:dyDescent="0.2">
      <c r="G9114" s="889"/>
    </row>
    <row r="9115" spans="7:7" ht="10.5" customHeight="1" x14ac:dyDescent="0.2">
      <c r="G9115" s="889"/>
    </row>
    <row r="9116" spans="7:7" ht="10.5" customHeight="1" x14ac:dyDescent="0.2">
      <c r="G9116" s="889"/>
    </row>
    <row r="9117" spans="7:7" ht="10.5" customHeight="1" x14ac:dyDescent="0.2">
      <c r="G9117" s="889"/>
    </row>
    <row r="9118" spans="7:7" ht="10.5" customHeight="1" x14ac:dyDescent="0.2">
      <c r="G9118" s="889"/>
    </row>
    <row r="9119" spans="7:7" ht="10.5" customHeight="1" x14ac:dyDescent="0.2">
      <c r="G9119" s="889"/>
    </row>
    <row r="9120" spans="7:7" ht="10.5" customHeight="1" x14ac:dyDescent="0.2">
      <c r="G9120" s="889"/>
    </row>
    <row r="9121" spans="7:7" ht="10.5" customHeight="1" x14ac:dyDescent="0.2">
      <c r="G9121" s="889"/>
    </row>
    <row r="9122" spans="7:7" ht="10.5" customHeight="1" x14ac:dyDescent="0.2">
      <c r="G9122" s="889"/>
    </row>
    <row r="9123" spans="7:7" ht="10.5" customHeight="1" x14ac:dyDescent="0.2">
      <c r="G9123" s="889"/>
    </row>
    <row r="9124" spans="7:7" ht="10.5" customHeight="1" x14ac:dyDescent="0.2">
      <c r="G9124" s="889"/>
    </row>
    <row r="9125" spans="7:7" ht="10.5" customHeight="1" x14ac:dyDescent="0.2">
      <c r="G9125" s="889"/>
    </row>
    <row r="9126" spans="7:7" ht="10.5" customHeight="1" x14ac:dyDescent="0.2">
      <c r="G9126" s="889"/>
    </row>
    <row r="9127" spans="7:7" ht="10.5" customHeight="1" x14ac:dyDescent="0.2">
      <c r="G9127" s="889"/>
    </row>
    <row r="9128" spans="7:7" ht="10.5" customHeight="1" x14ac:dyDescent="0.2">
      <c r="G9128" s="889"/>
    </row>
    <row r="9129" spans="7:7" ht="10.5" customHeight="1" x14ac:dyDescent="0.2">
      <c r="G9129" s="889"/>
    </row>
    <row r="9130" spans="7:7" ht="10.5" customHeight="1" x14ac:dyDescent="0.2">
      <c r="G9130" s="889"/>
    </row>
    <row r="9131" spans="7:7" ht="10.5" customHeight="1" x14ac:dyDescent="0.2">
      <c r="G9131" s="889"/>
    </row>
    <row r="9132" spans="7:7" ht="10.5" customHeight="1" x14ac:dyDescent="0.2">
      <c r="G9132" s="889"/>
    </row>
    <row r="9133" spans="7:7" ht="10.5" customHeight="1" x14ac:dyDescent="0.2">
      <c r="G9133" s="889"/>
    </row>
    <row r="9134" spans="7:7" ht="10.5" customHeight="1" x14ac:dyDescent="0.2">
      <c r="G9134" s="889"/>
    </row>
    <row r="9135" spans="7:7" ht="10.5" customHeight="1" x14ac:dyDescent="0.2">
      <c r="G9135" s="889"/>
    </row>
    <row r="9136" spans="7:7" ht="10.5" customHeight="1" x14ac:dyDescent="0.2">
      <c r="G9136" s="889"/>
    </row>
    <row r="9137" spans="7:7" ht="10.5" customHeight="1" x14ac:dyDescent="0.2">
      <c r="G9137" s="889"/>
    </row>
    <row r="9138" spans="7:7" ht="10.5" customHeight="1" x14ac:dyDescent="0.2">
      <c r="G9138" s="889"/>
    </row>
    <row r="9139" spans="7:7" ht="10.5" customHeight="1" x14ac:dyDescent="0.2">
      <c r="G9139" s="889"/>
    </row>
    <row r="9140" spans="7:7" ht="10.5" customHeight="1" x14ac:dyDescent="0.2">
      <c r="G9140" s="889"/>
    </row>
    <row r="9141" spans="7:7" ht="10.5" customHeight="1" x14ac:dyDescent="0.2">
      <c r="G9141" s="889"/>
    </row>
    <row r="9142" spans="7:7" ht="10.5" customHeight="1" x14ac:dyDescent="0.2">
      <c r="G9142" s="889"/>
    </row>
    <row r="9143" spans="7:7" ht="10.5" customHeight="1" x14ac:dyDescent="0.2">
      <c r="G9143" s="889"/>
    </row>
    <row r="9144" spans="7:7" ht="10.5" customHeight="1" x14ac:dyDescent="0.2">
      <c r="G9144" s="889"/>
    </row>
    <row r="9145" spans="7:7" ht="10.5" customHeight="1" x14ac:dyDescent="0.2">
      <c r="G9145" s="889"/>
    </row>
    <row r="9146" spans="7:7" ht="10.5" customHeight="1" x14ac:dyDescent="0.2">
      <c r="G9146" s="889"/>
    </row>
    <row r="9147" spans="7:7" ht="10.5" customHeight="1" x14ac:dyDescent="0.2">
      <c r="G9147" s="889"/>
    </row>
    <row r="9148" spans="7:7" ht="10.5" customHeight="1" x14ac:dyDescent="0.2">
      <c r="G9148" s="889"/>
    </row>
    <row r="9149" spans="7:7" ht="10.5" customHeight="1" x14ac:dyDescent="0.2">
      <c r="G9149" s="889"/>
    </row>
    <row r="9150" spans="7:7" ht="10.5" customHeight="1" x14ac:dyDescent="0.2">
      <c r="G9150" s="889"/>
    </row>
    <row r="9151" spans="7:7" ht="10.5" customHeight="1" x14ac:dyDescent="0.2">
      <c r="G9151" s="889"/>
    </row>
    <row r="9152" spans="7:7" ht="10.5" customHeight="1" x14ac:dyDescent="0.2">
      <c r="G9152" s="889"/>
    </row>
    <row r="9153" spans="7:7" ht="10.5" customHeight="1" x14ac:dyDescent="0.2">
      <c r="G9153" s="889"/>
    </row>
    <row r="9154" spans="7:7" ht="10.5" customHeight="1" x14ac:dyDescent="0.2">
      <c r="G9154" s="889"/>
    </row>
    <row r="9155" spans="7:7" ht="10.5" customHeight="1" x14ac:dyDescent="0.2">
      <c r="G9155" s="889"/>
    </row>
    <row r="9156" spans="7:7" ht="10.5" customHeight="1" x14ac:dyDescent="0.2">
      <c r="G9156" s="889"/>
    </row>
    <row r="9157" spans="7:7" ht="10.5" customHeight="1" x14ac:dyDescent="0.2">
      <c r="G9157" s="889"/>
    </row>
    <row r="9158" spans="7:7" ht="10.5" customHeight="1" x14ac:dyDescent="0.2">
      <c r="G9158" s="889"/>
    </row>
    <row r="9159" spans="7:7" ht="10.5" customHeight="1" x14ac:dyDescent="0.2">
      <c r="G9159" s="889"/>
    </row>
    <row r="9160" spans="7:7" ht="10.5" customHeight="1" x14ac:dyDescent="0.2">
      <c r="G9160" s="889"/>
    </row>
    <row r="9161" spans="7:7" ht="10.5" customHeight="1" x14ac:dyDescent="0.2">
      <c r="G9161" s="889"/>
    </row>
    <row r="9162" spans="7:7" ht="10.5" customHeight="1" x14ac:dyDescent="0.2">
      <c r="G9162" s="889"/>
    </row>
    <row r="9163" spans="7:7" ht="10.5" customHeight="1" x14ac:dyDescent="0.2">
      <c r="G9163" s="889"/>
    </row>
    <row r="9164" spans="7:7" ht="10.5" customHeight="1" x14ac:dyDescent="0.2">
      <c r="G9164" s="889"/>
    </row>
    <row r="9165" spans="7:7" ht="10.5" customHeight="1" x14ac:dyDescent="0.2">
      <c r="G9165" s="889"/>
    </row>
    <row r="9166" spans="7:7" ht="10.5" customHeight="1" x14ac:dyDescent="0.2">
      <c r="G9166" s="889"/>
    </row>
    <row r="9167" spans="7:7" ht="10.5" customHeight="1" x14ac:dyDescent="0.2">
      <c r="G9167" s="889"/>
    </row>
    <row r="9168" spans="7:7" ht="10.5" customHeight="1" x14ac:dyDescent="0.2">
      <c r="G9168" s="889"/>
    </row>
    <row r="9169" spans="7:7" ht="10.5" customHeight="1" x14ac:dyDescent="0.2">
      <c r="G9169" s="889"/>
    </row>
    <row r="9170" spans="7:7" ht="10.5" customHeight="1" x14ac:dyDescent="0.2">
      <c r="G9170" s="889"/>
    </row>
    <row r="9171" spans="7:7" ht="10.5" customHeight="1" x14ac:dyDescent="0.2">
      <c r="G9171" s="889"/>
    </row>
    <row r="9172" spans="7:7" ht="10.5" customHeight="1" x14ac:dyDescent="0.2">
      <c r="G9172" s="889"/>
    </row>
    <row r="9173" spans="7:7" ht="10.5" customHeight="1" x14ac:dyDescent="0.2">
      <c r="G9173" s="889"/>
    </row>
    <row r="9174" spans="7:7" ht="10.5" customHeight="1" x14ac:dyDescent="0.2">
      <c r="G9174" s="889"/>
    </row>
    <row r="9175" spans="7:7" ht="10.5" customHeight="1" x14ac:dyDescent="0.2">
      <c r="G9175" s="889"/>
    </row>
    <row r="9176" spans="7:7" ht="10.5" customHeight="1" x14ac:dyDescent="0.2">
      <c r="G9176" s="889"/>
    </row>
    <row r="9177" spans="7:7" ht="10.5" customHeight="1" x14ac:dyDescent="0.2">
      <c r="G9177" s="889"/>
    </row>
    <row r="9178" spans="7:7" ht="10.5" customHeight="1" x14ac:dyDescent="0.2">
      <c r="G9178" s="889"/>
    </row>
    <row r="9179" spans="7:7" ht="10.5" customHeight="1" x14ac:dyDescent="0.2">
      <c r="G9179" s="889"/>
    </row>
    <row r="9180" spans="7:7" ht="10.5" customHeight="1" x14ac:dyDescent="0.2">
      <c r="G9180" s="889"/>
    </row>
    <row r="9181" spans="7:7" ht="10.5" customHeight="1" x14ac:dyDescent="0.2">
      <c r="G9181" s="889"/>
    </row>
    <row r="9182" spans="7:7" ht="10.5" customHeight="1" x14ac:dyDescent="0.2">
      <c r="G9182" s="889"/>
    </row>
    <row r="9183" spans="7:7" ht="10.5" customHeight="1" x14ac:dyDescent="0.2">
      <c r="G9183" s="889"/>
    </row>
    <row r="9184" spans="7:7" ht="10.5" customHeight="1" x14ac:dyDescent="0.2">
      <c r="G9184" s="889"/>
    </row>
    <row r="9185" spans="7:7" ht="10.5" customHeight="1" x14ac:dyDescent="0.2">
      <c r="G9185" s="889"/>
    </row>
    <row r="9186" spans="7:7" ht="10.5" customHeight="1" x14ac:dyDescent="0.2">
      <c r="G9186" s="889"/>
    </row>
    <row r="9187" spans="7:7" ht="10.5" customHeight="1" x14ac:dyDescent="0.2">
      <c r="G9187" s="889"/>
    </row>
    <row r="9188" spans="7:7" ht="10.5" customHeight="1" x14ac:dyDescent="0.2">
      <c r="G9188" s="889"/>
    </row>
    <row r="9189" spans="7:7" ht="10.5" customHeight="1" x14ac:dyDescent="0.2">
      <c r="G9189" s="889"/>
    </row>
    <row r="9190" spans="7:7" ht="10.5" customHeight="1" x14ac:dyDescent="0.2">
      <c r="G9190" s="889"/>
    </row>
    <row r="9191" spans="7:7" ht="10.5" customHeight="1" x14ac:dyDescent="0.2">
      <c r="G9191" s="889"/>
    </row>
    <row r="9192" spans="7:7" ht="10.5" customHeight="1" x14ac:dyDescent="0.2">
      <c r="G9192" s="889"/>
    </row>
    <row r="9193" spans="7:7" ht="10.5" customHeight="1" x14ac:dyDescent="0.2">
      <c r="G9193" s="889"/>
    </row>
    <row r="9194" spans="7:7" ht="10.5" customHeight="1" x14ac:dyDescent="0.2">
      <c r="G9194" s="889"/>
    </row>
    <row r="9195" spans="7:7" ht="10.5" customHeight="1" x14ac:dyDescent="0.2">
      <c r="G9195" s="889"/>
    </row>
    <row r="9196" spans="7:7" ht="10.5" customHeight="1" x14ac:dyDescent="0.2">
      <c r="G9196" s="889"/>
    </row>
    <row r="9197" spans="7:7" ht="10.5" customHeight="1" x14ac:dyDescent="0.2">
      <c r="G9197" s="889"/>
    </row>
    <row r="9198" spans="7:7" ht="10.5" customHeight="1" x14ac:dyDescent="0.2">
      <c r="G9198" s="889"/>
    </row>
    <row r="9199" spans="7:7" ht="10.5" customHeight="1" x14ac:dyDescent="0.2">
      <c r="G9199" s="889"/>
    </row>
    <row r="9200" spans="7:7" ht="10.5" customHeight="1" x14ac:dyDescent="0.2">
      <c r="G9200" s="889"/>
    </row>
    <row r="9201" spans="7:7" ht="10.5" customHeight="1" x14ac:dyDescent="0.2">
      <c r="G9201" s="889"/>
    </row>
    <row r="9202" spans="7:7" ht="10.5" customHeight="1" x14ac:dyDescent="0.2">
      <c r="G9202" s="889"/>
    </row>
    <row r="9203" spans="7:7" ht="10.5" customHeight="1" x14ac:dyDescent="0.2">
      <c r="G9203" s="889"/>
    </row>
    <row r="9204" spans="7:7" ht="10.5" customHeight="1" x14ac:dyDescent="0.2">
      <c r="G9204" s="889"/>
    </row>
    <row r="9205" spans="7:7" ht="10.5" customHeight="1" x14ac:dyDescent="0.2">
      <c r="G9205" s="889"/>
    </row>
    <row r="9206" spans="7:7" ht="10.5" customHeight="1" x14ac:dyDescent="0.2">
      <c r="G9206" s="889"/>
    </row>
    <row r="9207" spans="7:7" ht="10.5" customHeight="1" x14ac:dyDescent="0.2">
      <c r="G9207" s="889"/>
    </row>
    <row r="9208" spans="7:7" ht="10.5" customHeight="1" x14ac:dyDescent="0.2">
      <c r="G9208" s="889"/>
    </row>
    <row r="9209" spans="7:7" ht="10.5" customHeight="1" x14ac:dyDescent="0.2">
      <c r="G9209" s="889"/>
    </row>
    <row r="9210" spans="7:7" ht="10.5" customHeight="1" x14ac:dyDescent="0.2">
      <c r="G9210" s="889"/>
    </row>
    <row r="9211" spans="7:7" ht="10.5" customHeight="1" x14ac:dyDescent="0.2">
      <c r="G9211" s="889"/>
    </row>
    <row r="9212" spans="7:7" ht="10.5" customHeight="1" x14ac:dyDescent="0.2">
      <c r="G9212" s="889"/>
    </row>
    <row r="9213" spans="7:7" ht="10.5" customHeight="1" x14ac:dyDescent="0.2">
      <c r="G9213" s="889"/>
    </row>
    <row r="9214" spans="7:7" ht="10.5" customHeight="1" x14ac:dyDescent="0.2">
      <c r="G9214" s="889"/>
    </row>
    <row r="9215" spans="7:7" ht="10.5" customHeight="1" x14ac:dyDescent="0.2">
      <c r="G9215" s="889"/>
    </row>
    <row r="9216" spans="7:7" ht="10.5" customHeight="1" x14ac:dyDescent="0.2">
      <c r="G9216" s="889"/>
    </row>
    <row r="9217" spans="7:7" ht="10.5" customHeight="1" x14ac:dyDescent="0.2">
      <c r="G9217" s="889"/>
    </row>
    <row r="9218" spans="7:7" ht="10.5" customHeight="1" x14ac:dyDescent="0.2">
      <c r="G9218" s="889"/>
    </row>
    <row r="9219" spans="7:7" ht="10.5" customHeight="1" x14ac:dyDescent="0.2">
      <c r="G9219" s="889"/>
    </row>
    <row r="9220" spans="7:7" ht="10.5" customHeight="1" x14ac:dyDescent="0.2">
      <c r="G9220" s="889"/>
    </row>
    <row r="9221" spans="7:7" ht="10.5" customHeight="1" x14ac:dyDescent="0.2">
      <c r="G9221" s="889"/>
    </row>
    <row r="9222" spans="7:7" ht="10.5" customHeight="1" x14ac:dyDescent="0.2">
      <c r="G9222" s="889"/>
    </row>
    <row r="9223" spans="7:7" ht="10.5" customHeight="1" x14ac:dyDescent="0.2">
      <c r="G9223" s="889"/>
    </row>
    <row r="9224" spans="7:7" ht="10.5" customHeight="1" x14ac:dyDescent="0.2">
      <c r="G9224" s="889"/>
    </row>
    <row r="9225" spans="7:7" ht="10.5" customHeight="1" x14ac:dyDescent="0.2">
      <c r="G9225" s="889"/>
    </row>
    <row r="9226" spans="7:7" ht="10.5" customHeight="1" x14ac:dyDescent="0.2">
      <c r="G9226" s="889"/>
    </row>
    <row r="9227" spans="7:7" ht="10.5" customHeight="1" x14ac:dyDescent="0.2">
      <c r="G9227" s="889"/>
    </row>
    <row r="9228" spans="7:7" ht="10.5" customHeight="1" x14ac:dyDescent="0.2">
      <c r="G9228" s="889"/>
    </row>
    <row r="9229" spans="7:7" ht="10.5" customHeight="1" x14ac:dyDescent="0.2">
      <c r="G9229" s="889"/>
    </row>
    <row r="9230" spans="7:7" ht="10.5" customHeight="1" x14ac:dyDescent="0.2">
      <c r="G9230" s="889"/>
    </row>
    <row r="9231" spans="7:7" ht="10.5" customHeight="1" x14ac:dyDescent="0.2">
      <c r="G9231" s="889"/>
    </row>
    <row r="9232" spans="7:7" ht="10.5" customHeight="1" x14ac:dyDescent="0.2">
      <c r="G9232" s="889"/>
    </row>
    <row r="9233" spans="7:7" ht="10.5" customHeight="1" x14ac:dyDescent="0.2">
      <c r="G9233" s="889"/>
    </row>
    <row r="9234" spans="7:7" ht="10.5" customHeight="1" x14ac:dyDescent="0.2">
      <c r="G9234" s="889"/>
    </row>
    <row r="9235" spans="7:7" ht="10.5" customHeight="1" x14ac:dyDescent="0.2">
      <c r="G9235" s="889"/>
    </row>
    <row r="9236" spans="7:7" ht="10.5" customHeight="1" x14ac:dyDescent="0.2">
      <c r="G9236" s="889"/>
    </row>
    <row r="9237" spans="7:7" ht="10.5" customHeight="1" x14ac:dyDescent="0.2">
      <c r="G9237" s="889"/>
    </row>
    <row r="9238" spans="7:7" ht="10.5" customHeight="1" x14ac:dyDescent="0.2">
      <c r="G9238" s="889"/>
    </row>
    <row r="9239" spans="7:7" ht="10.5" customHeight="1" x14ac:dyDescent="0.2">
      <c r="G9239" s="889"/>
    </row>
    <row r="9240" spans="7:7" ht="10.5" customHeight="1" x14ac:dyDescent="0.2">
      <c r="G9240" s="889"/>
    </row>
    <row r="9241" spans="7:7" ht="10.5" customHeight="1" x14ac:dyDescent="0.2">
      <c r="G9241" s="889"/>
    </row>
    <row r="9242" spans="7:7" ht="10.5" customHeight="1" x14ac:dyDescent="0.2">
      <c r="G9242" s="889"/>
    </row>
    <row r="9243" spans="7:7" ht="10.5" customHeight="1" x14ac:dyDescent="0.2">
      <c r="G9243" s="889"/>
    </row>
    <row r="9244" spans="7:7" ht="10.5" customHeight="1" x14ac:dyDescent="0.2">
      <c r="G9244" s="889"/>
    </row>
    <row r="9245" spans="7:7" ht="10.5" customHeight="1" x14ac:dyDescent="0.2">
      <c r="G9245" s="889"/>
    </row>
    <row r="9246" spans="7:7" ht="10.5" customHeight="1" x14ac:dyDescent="0.2">
      <c r="G9246" s="889"/>
    </row>
    <row r="9247" spans="7:7" ht="10.5" customHeight="1" x14ac:dyDescent="0.2">
      <c r="G9247" s="889"/>
    </row>
    <row r="9248" spans="7:7" ht="10.5" customHeight="1" x14ac:dyDescent="0.2">
      <c r="G9248" s="889"/>
    </row>
    <row r="9249" spans="7:7" ht="10.5" customHeight="1" x14ac:dyDescent="0.2">
      <c r="G9249" s="889"/>
    </row>
    <row r="9250" spans="7:7" ht="10.5" customHeight="1" x14ac:dyDescent="0.2">
      <c r="G9250" s="889"/>
    </row>
    <row r="9251" spans="7:7" ht="10.5" customHeight="1" x14ac:dyDescent="0.2">
      <c r="G9251" s="889"/>
    </row>
    <row r="9252" spans="7:7" ht="10.5" customHeight="1" x14ac:dyDescent="0.2">
      <c r="G9252" s="889"/>
    </row>
    <row r="9253" spans="7:7" ht="10.5" customHeight="1" x14ac:dyDescent="0.2">
      <c r="G9253" s="889"/>
    </row>
    <row r="9254" spans="7:7" ht="10.5" customHeight="1" x14ac:dyDescent="0.2">
      <c r="G9254" s="889"/>
    </row>
    <row r="9255" spans="7:7" ht="10.5" customHeight="1" x14ac:dyDescent="0.2">
      <c r="G9255" s="889"/>
    </row>
    <row r="9256" spans="7:7" ht="10.5" customHeight="1" x14ac:dyDescent="0.2">
      <c r="G9256" s="889"/>
    </row>
    <row r="9257" spans="7:7" ht="10.5" customHeight="1" x14ac:dyDescent="0.2">
      <c r="G9257" s="889"/>
    </row>
    <row r="9258" spans="7:7" ht="10.5" customHeight="1" x14ac:dyDescent="0.2">
      <c r="G9258" s="889"/>
    </row>
    <row r="9259" spans="7:7" ht="10.5" customHeight="1" x14ac:dyDescent="0.2">
      <c r="G9259" s="889"/>
    </row>
    <row r="9260" spans="7:7" ht="10.5" customHeight="1" x14ac:dyDescent="0.2">
      <c r="G9260" s="889"/>
    </row>
    <row r="9261" spans="7:7" ht="10.5" customHeight="1" x14ac:dyDescent="0.2">
      <c r="G9261" s="889"/>
    </row>
    <row r="9262" spans="7:7" ht="10.5" customHeight="1" x14ac:dyDescent="0.2">
      <c r="G9262" s="889"/>
    </row>
    <row r="9263" spans="7:7" ht="10.5" customHeight="1" x14ac:dyDescent="0.2">
      <c r="G9263" s="889"/>
    </row>
    <row r="9264" spans="7:7" ht="10.5" customHeight="1" x14ac:dyDescent="0.2">
      <c r="G9264" s="889"/>
    </row>
    <row r="9265" spans="7:7" ht="10.5" customHeight="1" x14ac:dyDescent="0.2">
      <c r="G9265" s="889"/>
    </row>
    <row r="9266" spans="7:7" ht="10.5" customHeight="1" x14ac:dyDescent="0.2">
      <c r="G9266" s="889"/>
    </row>
    <row r="9267" spans="7:7" ht="10.5" customHeight="1" x14ac:dyDescent="0.2">
      <c r="G9267" s="889"/>
    </row>
    <row r="9268" spans="7:7" ht="10.5" customHeight="1" x14ac:dyDescent="0.2">
      <c r="G9268" s="889"/>
    </row>
    <row r="9269" spans="7:7" ht="10.5" customHeight="1" x14ac:dyDescent="0.2">
      <c r="G9269" s="889"/>
    </row>
    <row r="9270" spans="7:7" ht="10.5" customHeight="1" x14ac:dyDescent="0.2">
      <c r="G9270" s="889"/>
    </row>
    <row r="9271" spans="7:7" ht="10.5" customHeight="1" x14ac:dyDescent="0.2">
      <c r="G9271" s="889"/>
    </row>
    <row r="9272" spans="7:7" ht="10.5" customHeight="1" x14ac:dyDescent="0.2">
      <c r="G9272" s="889"/>
    </row>
    <row r="9273" spans="7:7" ht="10.5" customHeight="1" x14ac:dyDescent="0.2">
      <c r="G9273" s="889"/>
    </row>
    <row r="9274" spans="7:7" ht="10.5" customHeight="1" x14ac:dyDescent="0.2">
      <c r="G9274" s="889"/>
    </row>
    <row r="9275" spans="7:7" ht="10.5" customHeight="1" x14ac:dyDescent="0.2">
      <c r="G9275" s="889"/>
    </row>
    <row r="9276" spans="7:7" ht="10.5" customHeight="1" x14ac:dyDescent="0.2">
      <c r="G9276" s="889"/>
    </row>
    <row r="9277" spans="7:7" ht="10.5" customHeight="1" x14ac:dyDescent="0.2">
      <c r="G9277" s="889"/>
    </row>
    <row r="9278" spans="7:7" ht="10.5" customHeight="1" x14ac:dyDescent="0.2">
      <c r="G9278" s="889"/>
    </row>
    <row r="9279" spans="7:7" ht="10.5" customHeight="1" x14ac:dyDescent="0.2">
      <c r="G9279" s="889"/>
    </row>
    <row r="9280" spans="7:7" ht="10.5" customHeight="1" x14ac:dyDescent="0.2">
      <c r="G9280" s="889"/>
    </row>
    <row r="9281" spans="7:7" ht="10.5" customHeight="1" x14ac:dyDescent="0.2">
      <c r="G9281" s="889"/>
    </row>
    <row r="9282" spans="7:7" ht="10.5" customHeight="1" x14ac:dyDescent="0.2">
      <c r="G9282" s="889"/>
    </row>
    <row r="9283" spans="7:7" ht="10.5" customHeight="1" x14ac:dyDescent="0.2">
      <c r="G9283" s="889"/>
    </row>
    <row r="9284" spans="7:7" ht="10.5" customHeight="1" x14ac:dyDescent="0.2">
      <c r="G9284" s="889"/>
    </row>
    <row r="9285" spans="7:7" ht="10.5" customHeight="1" x14ac:dyDescent="0.2">
      <c r="G9285" s="889"/>
    </row>
    <row r="9286" spans="7:7" ht="10.5" customHeight="1" x14ac:dyDescent="0.2">
      <c r="G9286" s="889"/>
    </row>
    <row r="9287" spans="7:7" ht="10.5" customHeight="1" x14ac:dyDescent="0.2">
      <c r="G9287" s="889"/>
    </row>
    <row r="9288" spans="7:7" ht="10.5" customHeight="1" x14ac:dyDescent="0.2">
      <c r="G9288" s="889"/>
    </row>
    <row r="9289" spans="7:7" ht="10.5" customHeight="1" x14ac:dyDescent="0.2">
      <c r="G9289" s="889"/>
    </row>
    <row r="9290" spans="7:7" ht="10.5" customHeight="1" x14ac:dyDescent="0.2">
      <c r="G9290" s="889"/>
    </row>
    <row r="9291" spans="7:7" ht="10.5" customHeight="1" x14ac:dyDescent="0.2">
      <c r="G9291" s="889"/>
    </row>
    <row r="9292" spans="7:7" ht="10.5" customHeight="1" x14ac:dyDescent="0.2">
      <c r="G9292" s="889"/>
    </row>
    <row r="9293" spans="7:7" ht="10.5" customHeight="1" x14ac:dyDescent="0.2">
      <c r="G9293" s="889"/>
    </row>
    <row r="9294" spans="7:7" ht="10.5" customHeight="1" x14ac:dyDescent="0.2">
      <c r="G9294" s="889"/>
    </row>
    <row r="9295" spans="7:7" ht="10.5" customHeight="1" x14ac:dyDescent="0.2">
      <c r="G9295" s="889"/>
    </row>
    <row r="9296" spans="7:7" ht="10.5" customHeight="1" x14ac:dyDescent="0.2">
      <c r="G9296" s="889"/>
    </row>
    <row r="9297" spans="7:7" ht="10.5" customHeight="1" x14ac:dyDescent="0.2">
      <c r="G9297" s="889"/>
    </row>
    <row r="9298" spans="7:7" ht="10.5" customHeight="1" x14ac:dyDescent="0.2">
      <c r="G9298" s="889"/>
    </row>
    <row r="9299" spans="7:7" ht="10.5" customHeight="1" x14ac:dyDescent="0.2">
      <c r="G9299" s="889"/>
    </row>
    <row r="9300" spans="7:7" ht="10.5" customHeight="1" x14ac:dyDescent="0.2">
      <c r="G9300" s="889"/>
    </row>
    <row r="9301" spans="7:7" ht="10.5" customHeight="1" x14ac:dyDescent="0.2">
      <c r="G9301" s="889"/>
    </row>
    <row r="9302" spans="7:7" ht="10.5" customHeight="1" x14ac:dyDescent="0.2">
      <c r="G9302" s="889"/>
    </row>
    <row r="9303" spans="7:7" ht="10.5" customHeight="1" x14ac:dyDescent="0.2">
      <c r="G9303" s="889"/>
    </row>
    <row r="9304" spans="7:7" ht="10.5" customHeight="1" x14ac:dyDescent="0.2">
      <c r="G9304" s="889"/>
    </row>
    <row r="9305" spans="7:7" ht="10.5" customHeight="1" x14ac:dyDescent="0.2">
      <c r="G9305" s="889"/>
    </row>
    <row r="9306" spans="7:7" ht="10.5" customHeight="1" x14ac:dyDescent="0.2">
      <c r="G9306" s="889"/>
    </row>
    <row r="9307" spans="7:7" ht="10.5" customHeight="1" x14ac:dyDescent="0.2">
      <c r="G9307" s="889"/>
    </row>
    <row r="9308" spans="7:7" ht="10.5" customHeight="1" x14ac:dyDescent="0.2">
      <c r="G9308" s="889"/>
    </row>
    <row r="9309" spans="7:7" ht="10.5" customHeight="1" x14ac:dyDescent="0.2">
      <c r="G9309" s="889"/>
    </row>
    <row r="9310" spans="7:7" ht="10.5" customHeight="1" x14ac:dyDescent="0.2">
      <c r="G9310" s="889"/>
    </row>
    <row r="9311" spans="7:7" ht="10.5" customHeight="1" x14ac:dyDescent="0.2">
      <c r="G9311" s="889"/>
    </row>
    <row r="9312" spans="7:7" ht="10.5" customHeight="1" x14ac:dyDescent="0.2">
      <c r="G9312" s="889"/>
    </row>
    <row r="9313" spans="7:7" ht="10.5" customHeight="1" x14ac:dyDescent="0.2">
      <c r="G9313" s="889"/>
    </row>
    <row r="9314" spans="7:7" ht="10.5" customHeight="1" x14ac:dyDescent="0.2">
      <c r="G9314" s="889"/>
    </row>
    <row r="9315" spans="7:7" ht="10.5" customHeight="1" x14ac:dyDescent="0.2">
      <c r="G9315" s="889"/>
    </row>
    <row r="9316" spans="7:7" ht="10.5" customHeight="1" x14ac:dyDescent="0.2">
      <c r="G9316" s="889"/>
    </row>
    <row r="9317" spans="7:7" ht="10.5" customHeight="1" x14ac:dyDescent="0.2">
      <c r="G9317" s="889"/>
    </row>
    <row r="9318" spans="7:7" ht="10.5" customHeight="1" x14ac:dyDescent="0.2">
      <c r="G9318" s="889"/>
    </row>
    <row r="9319" spans="7:7" ht="10.5" customHeight="1" x14ac:dyDescent="0.2">
      <c r="G9319" s="889"/>
    </row>
    <row r="9320" spans="7:7" ht="10.5" customHeight="1" x14ac:dyDescent="0.2">
      <c r="G9320" s="889"/>
    </row>
    <row r="9321" spans="7:7" ht="10.5" customHeight="1" x14ac:dyDescent="0.2">
      <c r="G9321" s="889"/>
    </row>
    <row r="9322" spans="7:7" ht="10.5" customHeight="1" x14ac:dyDescent="0.2">
      <c r="G9322" s="889"/>
    </row>
    <row r="9323" spans="7:7" ht="10.5" customHeight="1" x14ac:dyDescent="0.2">
      <c r="G9323" s="889"/>
    </row>
    <row r="9324" spans="7:7" ht="10.5" customHeight="1" x14ac:dyDescent="0.2">
      <c r="G9324" s="889"/>
    </row>
    <row r="9325" spans="7:7" ht="10.5" customHeight="1" x14ac:dyDescent="0.2">
      <c r="G9325" s="889"/>
    </row>
    <row r="9326" spans="7:7" ht="10.5" customHeight="1" x14ac:dyDescent="0.2">
      <c r="G9326" s="889"/>
    </row>
    <row r="9327" spans="7:7" ht="10.5" customHeight="1" x14ac:dyDescent="0.2">
      <c r="G9327" s="889"/>
    </row>
    <row r="9328" spans="7:7" ht="10.5" customHeight="1" x14ac:dyDescent="0.2">
      <c r="G9328" s="889"/>
    </row>
    <row r="9329" spans="7:7" ht="10.5" customHeight="1" x14ac:dyDescent="0.2">
      <c r="G9329" s="889"/>
    </row>
    <row r="9330" spans="7:7" ht="10.5" customHeight="1" x14ac:dyDescent="0.2">
      <c r="G9330" s="889"/>
    </row>
    <row r="9331" spans="7:7" ht="10.5" customHeight="1" x14ac:dyDescent="0.2">
      <c r="G9331" s="889"/>
    </row>
    <row r="9332" spans="7:7" ht="10.5" customHeight="1" x14ac:dyDescent="0.2">
      <c r="G9332" s="889"/>
    </row>
    <row r="9333" spans="7:7" ht="10.5" customHeight="1" x14ac:dyDescent="0.2">
      <c r="G9333" s="889"/>
    </row>
    <row r="9334" spans="7:7" ht="10.5" customHeight="1" x14ac:dyDescent="0.2">
      <c r="G9334" s="889"/>
    </row>
    <row r="9335" spans="7:7" ht="10.5" customHeight="1" x14ac:dyDescent="0.2">
      <c r="G9335" s="889"/>
    </row>
    <row r="9336" spans="7:7" ht="10.5" customHeight="1" x14ac:dyDescent="0.2">
      <c r="G9336" s="889"/>
    </row>
    <row r="9337" spans="7:7" ht="10.5" customHeight="1" x14ac:dyDescent="0.2">
      <c r="G9337" s="889"/>
    </row>
    <row r="9338" spans="7:7" ht="10.5" customHeight="1" x14ac:dyDescent="0.2">
      <c r="G9338" s="889"/>
    </row>
    <row r="9339" spans="7:7" ht="10.5" customHeight="1" x14ac:dyDescent="0.2">
      <c r="G9339" s="889"/>
    </row>
    <row r="9340" spans="7:7" ht="10.5" customHeight="1" x14ac:dyDescent="0.2">
      <c r="G9340" s="889"/>
    </row>
    <row r="9341" spans="7:7" ht="10.5" customHeight="1" x14ac:dyDescent="0.2">
      <c r="G9341" s="889"/>
    </row>
    <row r="9342" spans="7:7" ht="10.5" customHeight="1" x14ac:dyDescent="0.2">
      <c r="G9342" s="889"/>
    </row>
    <row r="9343" spans="7:7" ht="10.5" customHeight="1" x14ac:dyDescent="0.2">
      <c r="G9343" s="889"/>
    </row>
    <row r="9344" spans="7:7" ht="10.5" customHeight="1" x14ac:dyDescent="0.2">
      <c r="G9344" s="889"/>
    </row>
    <row r="9345" spans="7:7" ht="10.5" customHeight="1" x14ac:dyDescent="0.2">
      <c r="G9345" s="889"/>
    </row>
    <row r="9346" spans="7:7" ht="10.5" customHeight="1" x14ac:dyDescent="0.2">
      <c r="G9346" s="889"/>
    </row>
    <row r="9347" spans="7:7" ht="10.5" customHeight="1" x14ac:dyDescent="0.2">
      <c r="G9347" s="889"/>
    </row>
    <row r="9348" spans="7:7" ht="10.5" customHeight="1" x14ac:dyDescent="0.2">
      <c r="G9348" s="889"/>
    </row>
    <row r="9349" spans="7:7" ht="10.5" customHeight="1" x14ac:dyDescent="0.2">
      <c r="G9349" s="889"/>
    </row>
    <row r="9350" spans="7:7" ht="10.5" customHeight="1" x14ac:dyDescent="0.2">
      <c r="G9350" s="889"/>
    </row>
    <row r="9351" spans="7:7" ht="10.5" customHeight="1" x14ac:dyDescent="0.2">
      <c r="G9351" s="889"/>
    </row>
    <row r="9352" spans="7:7" ht="10.5" customHeight="1" x14ac:dyDescent="0.2">
      <c r="G9352" s="889"/>
    </row>
    <row r="9353" spans="7:7" ht="10.5" customHeight="1" x14ac:dyDescent="0.2">
      <c r="G9353" s="889"/>
    </row>
    <row r="9354" spans="7:7" ht="10.5" customHeight="1" x14ac:dyDescent="0.2">
      <c r="G9354" s="889"/>
    </row>
    <row r="9355" spans="7:7" ht="10.5" customHeight="1" x14ac:dyDescent="0.2">
      <c r="G9355" s="889"/>
    </row>
    <row r="9356" spans="7:7" ht="10.5" customHeight="1" x14ac:dyDescent="0.2">
      <c r="G9356" s="889"/>
    </row>
    <row r="9357" spans="7:7" ht="10.5" customHeight="1" x14ac:dyDescent="0.2">
      <c r="G9357" s="889"/>
    </row>
    <row r="9358" spans="7:7" ht="10.5" customHeight="1" x14ac:dyDescent="0.2">
      <c r="G9358" s="889"/>
    </row>
    <row r="9359" spans="7:7" ht="10.5" customHeight="1" x14ac:dyDescent="0.2">
      <c r="G9359" s="889"/>
    </row>
    <row r="9360" spans="7:7" ht="10.5" customHeight="1" x14ac:dyDescent="0.2">
      <c r="G9360" s="889"/>
    </row>
    <row r="9361" spans="7:7" ht="10.5" customHeight="1" x14ac:dyDescent="0.2">
      <c r="G9361" s="889"/>
    </row>
    <row r="9362" spans="7:7" ht="10.5" customHeight="1" x14ac:dyDescent="0.2">
      <c r="G9362" s="889"/>
    </row>
    <row r="9363" spans="7:7" ht="10.5" customHeight="1" x14ac:dyDescent="0.2">
      <c r="G9363" s="889"/>
    </row>
    <row r="9364" spans="7:7" ht="10.5" customHeight="1" x14ac:dyDescent="0.2">
      <c r="G9364" s="889"/>
    </row>
    <row r="9365" spans="7:7" ht="10.5" customHeight="1" x14ac:dyDescent="0.2">
      <c r="G9365" s="889"/>
    </row>
    <row r="9366" spans="7:7" ht="10.5" customHeight="1" x14ac:dyDescent="0.2">
      <c r="G9366" s="889"/>
    </row>
    <row r="9367" spans="7:7" ht="10.5" customHeight="1" x14ac:dyDescent="0.2">
      <c r="G9367" s="889"/>
    </row>
    <row r="9368" spans="7:7" ht="10.5" customHeight="1" x14ac:dyDescent="0.2">
      <c r="G9368" s="889"/>
    </row>
    <row r="9369" spans="7:7" ht="10.5" customHeight="1" x14ac:dyDescent="0.2">
      <c r="G9369" s="889"/>
    </row>
    <row r="9370" spans="7:7" ht="10.5" customHeight="1" x14ac:dyDescent="0.2">
      <c r="G9370" s="889"/>
    </row>
    <row r="9371" spans="7:7" ht="10.5" customHeight="1" x14ac:dyDescent="0.2">
      <c r="G9371" s="889"/>
    </row>
    <row r="9372" spans="7:7" ht="10.5" customHeight="1" x14ac:dyDescent="0.2">
      <c r="G9372" s="889"/>
    </row>
    <row r="9373" spans="7:7" ht="10.5" customHeight="1" x14ac:dyDescent="0.2">
      <c r="G9373" s="889"/>
    </row>
    <row r="9374" spans="7:7" ht="10.5" customHeight="1" x14ac:dyDescent="0.2">
      <c r="G9374" s="889"/>
    </row>
    <row r="9375" spans="7:7" ht="10.5" customHeight="1" x14ac:dyDescent="0.2">
      <c r="G9375" s="889"/>
    </row>
    <row r="9376" spans="7:7" ht="10.5" customHeight="1" x14ac:dyDescent="0.2">
      <c r="G9376" s="889"/>
    </row>
    <row r="9377" spans="7:7" ht="10.5" customHeight="1" x14ac:dyDescent="0.2">
      <c r="G9377" s="889"/>
    </row>
    <row r="9378" spans="7:7" ht="10.5" customHeight="1" x14ac:dyDescent="0.2">
      <c r="G9378" s="889"/>
    </row>
    <row r="9379" spans="7:7" ht="10.5" customHeight="1" x14ac:dyDescent="0.2">
      <c r="G9379" s="889"/>
    </row>
    <row r="9380" spans="7:7" ht="10.5" customHeight="1" x14ac:dyDescent="0.2">
      <c r="G9380" s="889"/>
    </row>
    <row r="9381" spans="7:7" ht="10.5" customHeight="1" x14ac:dyDescent="0.2">
      <c r="G9381" s="889"/>
    </row>
    <row r="9382" spans="7:7" ht="10.5" customHeight="1" x14ac:dyDescent="0.2">
      <c r="G9382" s="889"/>
    </row>
    <row r="9383" spans="7:7" ht="10.5" customHeight="1" x14ac:dyDescent="0.2">
      <c r="G9383" s="889"/>
    </row>
    <row r="9384" spans="7:7" ht="10.5" customHeight="1" x14ac:dyDescent="0.2">
      <c r="G9384" s="889"/>
    </row>
    <row r="9385" spans="7:7" ht="10.5" customHeight="1" x14ac:dyDescent="0.2">
      <c r="G9385" s="889"/>
    </row>
    <row r="9386" spans="7:7" ht="10.5" customHeight="1" x14ac:dyDescent="0.2">
      <c r="G9386" s="889"/>
    </row>
    <row r="9387" spans="7:7" ht="10.5" customHeight="1" x14ac:dyDescent="0.2">
      <c r="G9387" s="889"/>
    </row>
    <row r="9388" spans="7:7" ht="10.5" customHeight="1" x14ac:dyDescent="0.2">
      <c r="G9388" s="889"/>
    </row>
    <row r="9389" spans="7:7" ht="10.5" customHeight="1" x14ac:dyDescent="0.2">
      <c r="G9389" s="889"/>
    </row>
    <row r="9390" spans="7:7" ht="10.5" customHeight="1" x14ac:dyDescent="0.2">
      <c r="G9390" s="889"/>
    </row>
    <row r="9391" spans="7:7" ht="10.5" customHeight="1" x14ac:dyDescent="0.2">
      <c r="G9391" s="889"/>
    </row>
    <row r="9392" spans="7:7" ht="10.5" customHeight="1" x14ac:dyDescent="0.2">
      <c r="G9392" s="889"/>
    </row>
    <row r="9393" spans="7:7" ht="10.5" customHeight="1" x14ac:dyDescent="0.2">
      <c r="G9393" s="889"/>
    </row>
    <row r="9394" spans="7:7" ht="10.5" customHeight="1" x14ac:dyDescent="0.2">
      <c r="G9394" s="889"/>
    </row>
    <row r="9395" spans="7:7" ht="10.5" customHeight="1" x14ac:dyDescent="0.2">
      <c r="G9395" s="889"/>
    </row>
    <row r="9396" spans="7:7" ht="10.5" customHeight="1" x14ac:dyDescent="0.2">
      <c r="G9396" s="889"/>
    </row>
    <row r="9397" spans="7:7" ht="10.5" customHeight="1" x14ac:dyDescent="0.2">
      <c r="G9397" s="889"/>
    </row>
    <row r="9398" spans="7:7" ht="10.5" customHeight="1" x14ac:dyDescent="0.2">
      <c r="G9398" s="889"/>
    </row>
    <row r="9399" spans="7:7" ht="10.5" customHeight="1" x14ac:dyDescent="0.2">
      <c r="G9399" s="889"/>
    </row>
    <row r="9400" spans="7:7" ht="10.5" customHeight="1" x14ac:dyDescent="0.2">
      <c r="G9400" s="889"/>
    </row>
    <row r="9401" spans="7:7" ht="10.5" customHeight="1" x14ac:dyDescent="0.2">
      <c r="G9401" s="889"/>
    </row>
    <row r="9402" spans="7:7" ht="10.5" customHeight="1" x14ac:dyDescent="0.2">
      <c r="G9402" s="889"/>
    </row>
    <row r="9403" spans="7:7" ht="10.5" customHeight="1" x14ac:dyDescent="0.2">
      <c r="G9403" s="889"/>
    </row>
    <row r="9404" spans="7:7" ht="10.5" customHeight="1" x14ac:dyDescent="0.2">
      <c r="G9404" s="889"/>
    </row>
    <row r="9405" spans="7:7" ht="10.5" customHeight="1" x14ac:dyDescent="0.2">
      <c r="G9405" s="889"/>
    </row>
    <row r="9406" spans="7:7" ht="10.5" customHeight="1" x14ac:dyDescent="0.2">
      <c r="G9406" s="889"/>
    </row>
    <row r="9407" spans="7:7" ht="10.5" customHeight="1" x14ac:dyDescent="0.2">
      <c r="G9407" s="889"/>
    </row>
    <row r="9408" spans="7:7" ht="10.5" customHeight="1" x14ac:dyDescent="0.2">
      <c r="G9408" s="889"/>
    </row>
    <row r="9409" spans="7:7" ht="10.5" customHeight="1" x14ac:dyDescent="0.2">
      <c r="G9409" s="889"/>
    </row>
    <row r="9410" spans="7:7" ht="10.5" customHeight="1" x14ac:dyDescent="0.2">
      <c r="G9410" s="889"/>
    </row>
    <row r="9411" spans="7:7" ht="10.5" customHeight="1" x14ac:dyDescent="0.2">
      <c r="G9411" s="889"/>
    </row>
    <row r="9412" spans="7:7" ht="10.5" customHeight="1" x14ac:dyDescent="0.2">
      <c r="G9412" s="889"/>
    </row>
    <row r="9413" spans="7:7" ht="10.5" customHeight="1" x14ac:dyDescent="0.2">
      <c r="G9413" s="889"/>
    </row>
    <row r="9414" spans="7:7" ht="10.5" customHeight="1" x14ac:dyDescent="0.2">
      <c r="G9414" s="889"/>
    </row>
    <row r="9415" spans="7:7" ht="10.5" customHeight="1" x14ac:dyDescent="0.2">
      <c r="G9415" s="889"/>
    </row>
    <row r="9416" spans="7:7" ht="10.5" customHeight="1" x14ac:dyDescent="0.2">
      <c r="G9416" s="889"/>
    </row>
    <row r="9417" spans="7:7" ht="10.5" customHeight="1" x14ac:dyDescent="0.2">
      <c r="G9417" s="889"/>
    </row>
    <row r="9418" spans="7:7" ht="10.5" customHeight="1" x14ac:dyDescent="0.2">
      <c r="G9418" s="889"/>
    </row>
    <row r="9419" spans="7:7" ht="10.5" customHeight="1" x14ac:dyDescent="0.2">
      <c r="G9419" s="889"/>
    </row>
    <row r="9420" spans="7:7" ht="10.5" customHeight="1" x14ac:dyDescent="0.2">
      <c r="G9420" s="889"/>
    </row>
    <row r="9421" spans="7:7" ht="10.5" customHeight="1" x14ac:dyDescent="0.2">
      <c r="G9421" s="889"/>
    </row>
    <row r="9422" spans="7:7" ht="10.5" customHeight="1" x14ac:dyDescent="0.2">
      <c r="G9422" s="889"/>
    </row>
    <row r="9423" spans="7:7" ht="10.5" customHeight="1" x14ac:dyDescent="0.2">
      <c r="G9423" s="889"/>
    </row>
    <row r="9424" spans="7:7" ht="10.5" customHeight="1" x14ac:dyDescent="0.2">
      <c r="G9424" s="889"/>
    </row>
    <row r="9425" spans="7:7" ht="10.5" customHeight="1" x14ac:dyDescent="0.2">
      <c r="G9425" s="889"/>
    </row>
    <row r="9426" spans="7:7" ht="10.5" customHeight="1" x14ac:dyDescent="0.2">
      <c r="G9426" s="889"/>
    </row>
    <row r="9427" spans="7:7" ht="10.5" customHeight="1" x14ac:dyDescent="0.2">
      <c r="G9427" s="889"/>
    </row>
    <row r="9428" spans="7:7" ht="10.5" customHeight="1" x14ac:dyDescent="0.2">
      <c r="G9428" s="889"/>
    </row>
    <row r="9429" spans="7:7" ht="10.5" customHeight="1" x14ac:dyDescent="0.2">
      <c r="G9429" s="889"/>
    </row>
    <row r="9430" spans="7:7" ht="10.5" customHeight="1" x14ac:dyDescent="0.2">
      <c r="G9430" s="889"/>
    </row>
    <row r="9431" spans="7:7" ht="10.5" customHeight="1" x14ac:dyDescent="0.2">
      <c r="G9431" s="889"/>
    </row>
    <row r="9432" spans="7:7" ht="10.5" customHeight="1" x14ac:dyDescent="0.2">
      <c r="G9432" s="889"/>
    </row>
    <row r="9433" spans="7:7" ht="10.5" customHeight="1" x14ac:dyDescent="0.2">
      <c r="G9433" s="889"/>
    </row>
    <row r="9434" spans="7:7" ht="10.5" customHeight="1" x14ac:dyDescent="0.2">
      <c r="G9434" s="889"/>
    </row>
    <row r="9435" spans="7:7" ht="10.5" customHeight="1" x14ac:dyDescent="0.2">
      <c r="G9435" s="889"/>
    </row>
    <row r="9436" spans="7:7" ht="10.5" customHeight="1" x14ac:dyDescent="0.2">
      <c r="G9436" s="889"/>
    </row>
    <row r="9437" spans="7:7" ht="10.5" customHeight="1" x14ac:dyDescent="0.2">
      <c r="G9437" s="889"/>
    </row>
    <row r="9438" spans="7:7" ht="10.5" customHeight="1" x14ac:dyDescent="0.2">
      <c r="G9438" s="889"/>
    </row>
    <row r="9439" spans="7:7" ht="10.5" customHeight="1" x14ac:dyDescent="0.2">
      <c r="G9439" s="889"/>
    </row>
    <row r="9440" spans="7:7" ht="10.5" customHeight="1" x14ac:dyDescent="0.2">
      <c r="G9440" s="889"/>
    </row>
    <row r="9441" spans="7:7" ht="10.5" customHeight="1" x14ac:dyDescent="0.2">
      <c r="G9441" s="889"/>
    </row>
    <row r="9442" spans="7:7" ht="10.5" customHeight="1" x14ac:dyDescent="0.2">
      <c r="G9442" s="889"/>
    </row>
    <row r="9443" spans="7:7" ht="10.5" customHeight="1" x14ac:dyDescent="0.2">
      <c r="G9443" s="889"/>
    </row>
    <row r="9444" spans="7:7" ht="10.5" customHeight="1" x14ac:dyDescent="0.2">
      <c r="G9444" s="889"/>
    </row>
    <row r="9445" spans="7:7" ht="10.5" customHeight="1" x14ac:dyDescent="0.2">
      <c r="G9445" s="889"/>
    </row>
    <row r="9446" spans="7:7" ht="10.5" customHeight="1" x14ac:dyDescent="0.2">
      <c r="G9446" s="889"/>
    </row>
    <row r="9447" spans="7:7" ht="10.5" customHeight="1" x14ac:dyDescent="0.2">
      <c r="G9447" s="889"/>
    </row>
    <row r="9448" spans="7:7" ht="10.5" customHeight="1" x14ac:dyDescent="0.2">
      <c r="G9448" s="889"/>
    </row>
    <row r="9449" spans="7:7" ht="10.5" customHeight="1" x14ac:dyDescent="0.2">
      <c r="G9449" s="889"/>
    </row>
    <row r="9450" spans="7:7" ht="10.5" customHeight="1" x14ac:dyDescent="0.2">
      <c r="G9450" s="889"/>
    </row>
    <row r="9451" spans="7:7" ht="10.5" customHeight="1" x14ac:dyDescent="0.2">
      <c r="G9451" s="889"/>
    </row>
    <row r="9452" spans="7:7" ht="10.5" customHeight="1" x14ac:dyDescent="0.2">
      <c r="G9452" s="889"/>
    </row>
    <row r="9453" spans="7:7" ht="10.5" customHeight="1" x14ac:dyDescent="0.2">
      <c r="G9453" s="889"/>
    </row>
    <row r="9454" spans="7:7" ht="10.5" customHeight="1" x14ac:dyDescent="0.2">
      <c r="G9454" s="889"/>
    </row>
    <row r="9455" spans="7:7" ht="10.5" customHeight="1" x14ac:dyDescent="0.2">
      <c r="G9455" s="889"/>
    </row>
    <row r="9456" spans="7:7" ht="10.5" customHeight="1" x14ac:dyDescent="0.2">
      <c r="G9456" s="889"/>
    </row>
    <row r="9457" spans="7:7" ht="10.5" customHeight="1" x14ac:dyDescent="0.2">
      <c r="G9457" s="889"/>
    </row>
    <row r="9458" spans="7:7" ht="10.5" customHeight="1" x14ac:dyDescent="0.2">
      <c r="G9458" s="889"/>
    </row>
    <row r="9459" spans="7:7" ht="10.5" customHeight="1" x14ac:dyDescent="0.2">
      <c r="G9459" s="889"/>
    </row>
    <row r="9460" spans="7:7" ht="10.5" customHeight="1" x14ac:dyDescent="0.2">
      <c r="G9460" s="889"/>
    </row>
    <row r="9461" spans="7:7" ht="10.5" customHeight="1" x14ac:dyDescent="0.2">
      <c r="G9461" s="889"/>
    </row>
    <row r="9462" spans="7:7" ht="10.5" customHeight="1" x14ac:dyDescent="0.2">
      <c r="G9462" s="889"/>
    </row>
    <row r="9463" spans="7:7" ht="10.5" customHeight="1" x14ac:dyDescent="0.2">
      <c r="G9463" s="889"/>
    </row>
    <row r="9464" spans="7:7" ht="10.5" customHeight="1" x14ac:dyDescent="0.2">
      <c r="G9464" s="889"/>
    </row>
    <row r="9465" spans="7:7" ht="10.5" customHeight="1" x14ac:dyDescent="0.2">
      <c r="G9465" s="889"/>
    </row>
    <row r="9466" spans="7:7" ht="10.5" customHeight="1" x14ac:dyDescent="0.2">
      <c r="G9466" s="889"/>
    </row>
    <row r="9467" spans="7:7" ht="10.5" customHeight="1" x14ac:dyDescent="0.2">
      <c r="G9467" s="889"/>
    </row>
    <row r="9468" spans="7:7" ht="10.5" customHeight="1" x14ac:dyDescent="0.2">
      <c r="G9468" s="889"/>
    </row>
    <row r="9469" spans="7:7" ht="10.5" customHeight="1" x14ac:dyDescent="0.2">
      <c r="G9469" s="889"/>
    </row>
    <row r="9470" spans="7:7" ht="10.5" customHeight="1" x14ac:dyDescent="0.2">
      <c r="G9470" s="889"/>
    </row>
    <row r="9471" spans="7:7" ht="10.5" customHeight="1" x14ac:dyDescent="0.2">
      <c r="G9471" s="889"/>
    </row>
    <row r="9472" spans="7:7" ht="10.5" customHeight="1" x14ac:dyDescent="0.2">
      <c r="G9472" s="889"/>
    </row>
    <row r="9473" spans="7:7" ht="10.5" customHeight="1" x14ac:dyDescent="0.2">
      <c r="G9473" s="889"/>
    </row>
    <row r="9474" spans="7:7" ht="10.5" customHeight="1" x14ac:dyDescent="0.2">
      <c r="G9474" s="889"/>
    </row>
    <row r="9475" spans="7:7" ht="10.5" customHeight="1" x14ac:dyDescent="0.2">
      <c r="G9475" s="889"/>
    </row>
    <row r="9476" spans="7:7" ht="10.5" customHeight="1" x14ac:dyDescent="0.2">
      <c r="G9476" s="889"/>
    </row>
    <row r="9477" spans="7:7" ht="10.5" customHeight="1" x14ac:dyDescent="0.2">
      <c r="G9477" s="889"/>
    </row>
    <row r="9478" spans="7:7" ht="10.5" customHeight="1" x14ac:dyDescent="0.2">
      <c r="G9478" s="889"/>
    </row>
    <row r="9479" spans="7:7" ht="10.5" customHeight="1" x14ac:dyDescent="0.2">
      <c r="G9479" s="889"/>
    </row>
    <row r="9480" spans="7:7" ht="10.5" customHeight="1" x14ac:dyDescent="0.2">
      <c r="G9480" s="889"/>
    </row>
    <row r="9481" spans="7:7" ht="10.5" customHeight="1" x14ac:dyDescent="0.2">
      <c r="G9481" s="889"/>
    </row>
    <row r="9482" spans="7:7" ht="10.5" customHeight="1" x14ac:dyDescent="0.2">
      <c r="G9482" s="889"/>
    </row>
    <row r="9483" spans="7:7" ht="10.5" customHeight="1" x14ac:dyDescent="0.2">
      <c r="G9483" s="889"/>
    </row>
    <row r="9484" spans="7:7" ht="10.5" customHeight="1" x14ac:dyDescent="0.2">
      <c r="G9484" s="889"/>
    </row>
    <row r="9485" spans="7:7" ht="10.5" customHeight="1" x14ac:dyDescent="0.2">
      <c r="G9485" s="889"/>
    </row>
    <row r="9486" spans="7:7" ht="10.5" customHeight="1" x14ac:dyDescent="0.2">
      <c r="G9486" s="889"/>
    </row>
    <row r="9487" spans="7:7" ht="10.5" customHeight="1" x14ac:dyDescent="0.2">
      <c r="G9487" s="889"/>
    </row>
    <row r="9488" spans="7:7" ht="10.5" customHeight="1" x14ac:dyDescent="0.2">
      <c r="G9488" s="889"/>
    </row>
    <row r="9489" spans="7:7" ht="10.5" customHeight="1" x14ac:dyDescent="0.2">
      <c r="G9489" s="889"/>
    </row>
    <row r="9490" spans="7:7" ht="10.5" customHeight="1" x14ac:dyDescent="0.2">
      <c r="G9490" s="889"/>
    </row>
    <row r="9491" spans="7:7" ht="10.5" customHeight="1" x14ac:dyDescent="0.2">
      <c r="G9491" s="889"/>
    </row>
    <row r="9492" spans="7:7" ht="10.5" customHeight="1" x14ac:dyDescent="0.2">
      <c r="G9492" s="889"/>
    </row>
    <row r="9493" spans="7:7" ht="10.5" customHeight="1" x14ac:dyDescent="0.2">
      <c r="G9493" s="889"/>
    </row>
    <row r="9494" spans="7:7" ht="10.5" customHeight="1" x14ac:dyDescent="0.2">
      <c r="G9494" s="889"/>
    </row>
    <row r="9495" spans="7:7" ht="10.5" customHeight="1" x14ac:dyDescent="0.2">
      <c r="G9495" s="889"/>
    </row>
    <row r="9496" spans="7:7" ht="10.5" customHeight="1" x14ac:dyDescent="0.2">
      <c r="G9496" s="889"/>
    </row>
    <row r="9497" spans="7:7" ht="10.5" customHeight="1" x14ac:dyDescent="0.2">
      <c r="G9497" s="889"/>
    </row>
    <row r="9498" spans="7:7" ht="10.5" customHeight="1" x14ac:dyDescent="0.2">
      <c r="G9498" s="889"/>
    </row>
    <row r="9499" spans="7:7" ht="10.5" customHeight="1" x14ac:dyDescent="0.2">
      <c r="G9499" s="889"/>
    </row>
    <row r="9500" spans="7:7" ht="10.5" customHeight="1" x14ac:dyDescent="0.2">
      <c r="G9500" s="889"/>
    </row>
    <row r="9501" spans="7:7" ht="10.5" customHeight="1" x14ac:dyDescent="0.2">
      <c r="G9501" s="889"/>
    </row>
    <row r="9502" spans="7:7" ht="10.5" customHeight="1" x14ac:dyDescent="0.2">
      <c r="G9502" s="889"/>
    </row>
    <row r="9503" spans="7:7" ht="10.5" customHeight="1" x14ac:dyDescent="0.2">
      <c r="G9503" s="889"/>
    </row>
    <row r="9504" spans="7:7" ht="10.5" customHeight="1" x14ac:dyDescent="0.2">
      <c r="G9504" s="889"/>
    </row>
    <row r="9505" spans="7:7" ht="10.5" customHeight="1" x14ac:dyDescent="0.2">
      <c r="G9505" s="889"/>
    </row>
    <row r="9506" spans="7:7" ht="10.5" customHeight="1" x14ac:dyDescent="0.2">
      <c r="G9506" s="889"/>
    </row>
    <row r="9507" spans="7:7" ht="10.5" customHeight="1" x14ac:dyDescent="0.2">
      <c r="G9507" s="889"/>
    </row>
    <row r="9508" spans="7:7" ht="10.5" customHeight="1" x14ac:dyDescent="0.2">
      <c r="G9508" s="889"/>
    </row>
    <row r="9509" spans="7:7" ht="10.5" customHeight="1" x14ac:dyDescent="0.2">
      <c r="G9509" s="889"/>
    </row>
    <row r="9510" spans="7:7" ht="10.5" customHeight="1" x14ac:dyDescent="0.2">
      <c r="G9510" s="889"/>
    </row>
    <row r="9511" spans="7:7" ht="10.5" customHeight="1" x14ac:dyDescent="0.2">
      <c r="G9511" s="889"/>
    </row>
    <row r="9512" spans="7:7" ht="10.5" customHeight="1" x14ac:dyDescent="0.2">
      <c r="G9512" s="889"/>
    </row>
    <row r="9513" spans="7:7" ht="10.5" customHeight="1" x14ac:dyDescent="0.2">
      <c r="G9513" s="889"/>
    </row>
    <row r="9514" spans="7:7" ht="10.5" customHeight="1" x14ac:dyDescent="0.2">
      <c r="G9514" s="889"/>
    </row>
    <row r="9515" spans="7:7" ht="10.5" customHeight="1" x14ac:dyDescent="0.2">
      <c r="G9515" s="889"/>
    </row>
    <row r="9516" spans="7:7" ht="10.5" customHeight="1" x14ac:dyDescent="0.2">
      <c r="G9516" s="889"/>
    </row>
    <row r="9517" spans="7:7" ht="10.5" customHeight="1" x14ac:dyDescent="0.2">
      <c r="G9517" s="889"/>
    </row>
    <row r="9518" spans="7:7" ht="10.5" customHeight="1" x14ac:dyDescent="0.2">
      <c r="G9518" s="889"/>
    </row>
    <row r="9519" spans="7:7" ht="10.5" customHeight="1" x14ac:dyDescent="0.2">
      <c r="G9519" s="889"/>
    </row>
    <row r="9520" spans="7:7" ht="10.5" customHeight="1" x14ac:dyDescent="0.2">
      <c r="G9520" s="889"/>
    </row>
    <row r="9521" spans="7:7" ht="10.5" customHeight="1" x14ac:dyDescent="0.2">
      <c r="G9521" s="889"/>
    </row>
    <row r="9522" spans="7:7" ht="10.5" customHeight="1" x14ac:dyDescent="0.2">
      <c r="G9522" s="889"/>
    </row>
    <row r="9523" spans="7:7" ht="10.5" customHeight="1" x14ac:dyDescent="0.2">
      <c r="G9523" s="889"/>
    </row>
    <row r="9524" spans="7:7" ht="10.5" customHeight="1" x14ac:dyDescent="0.2">
      <c r="G9524" s="889"/>
    </row>
    <row r="9525" spans="7:7" ht="10.5" customHeight="1" x14ac:dyDescent="0.2">
      <c r="G9525" s="889"/>
    </row>
    <row r="9526" spans="7:7" ht="10.5" customHeight="1" x14ac:dyDescent="0.2">
      <c r="G9526" s="889"/>
    </row>
    <row r="9527" spans="7:7" ht="10.5" customHeight="1" x14ac:dyDescent="0.2">
      <c r="G9527" s="889"/>
    </row>
    <row r="9528" spans="7:7" ht="10.5" customHeight="1" x14ac:dyDescent="0.2">
      <c r="G9528" s="889"/>
    </row>
    <row r="9529" spans="7:7" ht="10.5" customHeight="1" x14ac:dyDescent="0.2">
      <c r="G9529" s="889"/>
    </row>
    <row r="9530" spans="7:7" ht="10.5" customHeight="1" x14ac:dyDescent="0.2">
      <c r="G9530" s="889"/>
    </row>
    <row r="9531" spans="7:7" ht="10.5" customHeight="1" x14ac:dyDescent="0.2">
      <c r="G9531" s="889"/>
    </row>
    <row r="9532" spans="7:7" ht="10.5" customHeight="1" x14ac:dyDescent="0.2">
      <c r="G9532" s="889"/>
    </row>
    <row r="9533" spans="7:7" ht="10.5" customHeight="1" x14ac:dyDescent="0.2">
      <c r="G9533" s="889"/>
    </row>
    <row r="9534" spans="7:7" ht="10.5" customHeight="1" x14ac:dyDescent="0.2">
      <c r="G9534" s="889"/>
    </row>
    <row r="9535" spans="7:7" ht="10.5" customHeight="1" x14ac:dyDescent="0.2">
      <c r="G9535" s="889"/>
    </row>
    <row r="9536" spans="7:7" ht="10.5" customHeight="1" x14ac:dyDescent="0.2">
      <c r="G9536" s="889"/>
    </row>
    <row r="9537" spans="7:7" ht="10.5" customHeight="1" x14ac:dyDescent="0.2">
      <c r="G9537" s="889"/>
    </row>
    <row r="9538" spans="7:7" ht="10.5" customHeight="1" x14ac:dyDescent="0.2">
      <c r="G9538" s="889"/>
    </row>
    <row r="9539" spans="7:7" ht="10.5" customHeight="1" x14ac:dyDescent="0.2">
      <c r="G9539" s="889"/>
    </row>
    <row r="9540" spans="7:7" ht="10.5" customHeight="1" x14ac:dyDescent="0.2">
      <c r="G9540" s="889"/>
    </row>
    <row r="9541" spans="7:7" ht="10.5" customHeight="1" x14ac:dyDescent="0.2">
      <c r="G9541" s="889"/>
    </row>
    <row r="9542" spans="7:7" ht="10.5" customHeight="1" x14ac:dyDescent="0.2">
      <c r="G9542" s="889"/>
    </row>
    <row r="9543" spans="7:7" ht="10.5" customHeight="1" x14ac:dyDescent="0.2">
      <c r="G9543" s="889"/>
    </row>
    <row r="9544" spans="7:7" ht="10.5" customHeight="1" x14ac:dyDescent="0.2">
      <c r="G9544" s="889"/>
    </row>
    <row r="9545" spans="7:7" ht="10.5" customHeight="1" x14ac:dyDescent="0.2">
      <c r="G9545" s="889"/>
    </row>
    <row r="9546" spans="7:7" ht="10.5" customHeight="1" x14ac:dyDescent="0.2">
      <c r="G9546" s="889"/>
    </row>
    <row r="9547" spans="7:7" ht="10.5" customHeight="1" x14ac:dyDescent="0.2">
      <c r="G9547" s="889"/>
    </row>
    <row r="9548" spans="7:7" ht="10.5" customHeight="1" x14ac:dyDescent="0.2">
      <c r="G9548" s="889"/>
    </row>
    <row r="9549" spans="7:7" ht="10.5" customHeight="1" x14ac:dyDescent="0.2">
      <c r="G9549" s="889"/>
    </row>
    <row r="9550" spans="7:7" ht="10.5" customHeight="1" x14ac:dyDescent="0.2">
      <c r="G9550" s="889"/>
    </row>
    <row r="9551" spans="7:7" ht="10.5" customHeight="1" x14ac:dyDescent="0.2">
      <c r="G9551" s="889"/>
    </row>
    <row r="9552" spans="7:7" ht="10.5" customHeight="1" x14ac:dyDescent="0.2">
      <c r="G9552" s="889"/>
    </row>
    <row r="9553" spans="7:7" ht="10.5" customHeight="1" x14ac:dyDescent="0.2">
      <c r="G9553" s="889"/>
    </row>
    <row r="9554" spans="7:7" ht="10.5" customHeight="1" x14ac:dyDescent="0.2">
      <c r="G9554" s="889"/>
    </row>
    <row r="9555" spans="7:7" ht="10.5" customHeight="1" x14ac:dyDescent="0.2">
      <c r="G9555" s="889"/>
    </row>
    <row r="9556" spans="7:7" ht="10.5" customHeight="1" x14ac:dyDescent="0.2">
      <c r="G9556" s="889"/>
    </row>
    <row r="9557" spans="7:7" ht="10.5" customHeight="1" x14ac:dyDescent="0.2">
      <c r="G9557" s="889"/>
    </row>
    <row r="9558" spans="7:7" ht="10.5" customHeight="1" x14ac:dyDescent="0.2">
      <c r="G9558" s="889"/>
    </row>
    <row r="9559" spans="7:7" ht="10.5" customHeight="1" x14ac:dyDescent="0.2">
      <c r="G9559" s="889"/>
    </row>
    <row r="9560" spans="7:7" ht="10.5" customHeight="1" x14ac:dyDescent="0.2">
      <c r="G9560" s="889"/>
    </row>
    <row r="9561" spans="7:7" ht="10.5" customHeight="1" x14ac:dyDescent="0.2">
      <c r="G9561" s="889"/>
    </row>
    <row r="9562" spans="7:7" ht="10.5" customHeight="1" x14ac:dyDescent="0.2">
      <c r="G9562" s="889"/>
    </row>
    <row r="9563" spans="7:7" ht="10.5" customHeight="1" x14ac:dyDescent="0.2">
      <c r="G9563" s="889"/>
    </row>
    <row r="9564" spans="7:7" ht="10.5" customHeight="1" x14ac:dyDescent="0.2">
      <c r="G9564" s="889"/>
    </row>
    <row r="9565" spans="7:7" ht="10.5" customHeight="1" x14ac:dyDescent="0.2">
      <c r="G9565" s="889"/>
    </row>
    <row r="9566" spans="7:7" ht="10.5" customHeight="1" x14ac:dyDescent="0.2">
      <c r="G9566" s="889"/>
    </row>
    <row r="9567" spans="7:7" ht="10.5" customHeight="1" x14ac:dyDescent="0.2">
      <c r="G9567" s="889"/>
    </row>
    <row r="9568" spans="7:7" ht="10.5" customHeight="1" x14ac:dyDescent="0.2">
      <c r="G9568" s="889"/>
    </row>
    <row r="9569" spans="7:7" ht="10.5" customHeight="1" x14ac:dyDescent="0.2">
      <c r="G9569" s="889"/>
    </row>
    <row r="9570" spans="7:7" ht="10.5" customHeight="1" x14ac:dyDescent="0.2">
      <c r="G9570" s="889"/>
    </row>
    <row r="9571" spans="7:7" ht="10.5" customHeight="1" x14ac:dyDescent="0.2">
      <c r="G9571" s="889"/>
    </row>
    <row r="9572" spans="7:7" ht="10.5" customHeight="1" x14ac:dyDescent="0.2">
      <c r="G9572" s="889"/>
    </row>
    <row r="9573" spans="7:7" ht="10.5" customHeight="1" x14ac:dyDescent="0.2">
      <c r="G9573" s="889"/>
    </row>
    <row r="9574" spans="7:7" ht="10.5" customHeight="1" x14ac:dyDescent="0.2">
      <c r="G9574" s="889"/>
    </row>
    <row r="9575" spans="7:7" ht="10.5" customHeight="1" x14ac:dyDescent="0.2">
      <c r="G9575" s="889"/>
    </row>
    <row r="9576" spans="7:7" ht="10.5" customHeight="1" x14ac:dyDescent="0.2">
      <c r="G9576" s="889"/>
    </row>
    <row r="9577" spans="7:7" ht="10.5" customHeight="1" x14ac:dyDescent="0.2">
      <c r="G9577" s="889"/>
    </row>
    <row r="9578" spans="7:7" ht="10.5" customHeight="1" x14ac:dyDescent="0.2">
      <c r="G9578" s="889"/>
    </row>
    <row r="9579" spans="7:7" ht="10.5" customHeight="1" x14ac:dyDescent="0.2">
      <c r="G9579" s="889"/>
    </row>
    <row r="9580" spans="7:7" ht="10.5" customHeight="1" x14ac:dyDescent="0.2">
      <c r="G9580" s="889"/>
    </row>
    <row r="9581" spans="7:7" ht="10.5" customHeight="1" x14ac:dyDescent="0.2">
      <c r="G9581" s="889"/>
    </row>
    <row r="9582" spans="7:7" ht="10.5" customHeight="1" x14ac:dyDescent="0.2">
      <c r="G9582" s="889"/>
    </row>
    <row r="9583" spans="7:7" ht="10.5" customHeight="1" x14ac:dyDescent="0.2">
      <c r="G9583" s="889"/>
    </row>
    <row r="9584" spans="7:7" ht="10.5" customHeight="1" x14ac:dyDescent="0.2">
      <c r="G9584" s="889"/>
    </row>
    <row r="9585" spans="7:7" ht="10.5" customHeight="1" x14ac:dyDescent="0.2">
      <c r="G9585" s="889"/>
    </row>
    <row r="9586" spans="7:7" ht="10.5" customHeight="1" x14ac:dyDescent="0.2">
      <c r="G9586" s="889"/>
    </row>
    <row r="9587" spans="7:7" ht="10.5" customHeight="1" x14ac:dyDescent="0.2">
      <c r="G9587" s="889"/>
    </row>
    <row r="9588" spans="7:7" ht="10.5" customHeight="1" x14ac:dyDescent="0.2">
      <c r="G9588" s="889"/>
    </row>
    <row r="9589" spans="7:7" ht="10.5" customHeight="1" x14ac:dyDescent="0.2">
      <c r="G9589" s="889"/>
    </row>
    <row r="9590" spans="7:7" ht="10.5" customHeight="1" x14ac:dyDescent="0.2">
      <c r="G9590" s="889"/>
    </row>
    <row r="9591" spans="7:7" ht="10.5" customHeight="1" x14ac:dyDescent="0.2">
      <c r="G9591" s="889"/>
    </row>
    <row r="9592" spans="7:7" ht="10.5" customHeight="1" x14ac:dyDescent="0.2">
      <c r="G9592" s="889"/>
    </row>
    <row r="9593" spans="7:7" ht="10.5" customHeight="1" x14ac:dyDescent="0.2">
      <c r="G9593" s="889"/>
    </row>
    <row r="9594" spans="7:7" ht="10.5" customHeight="1" x14ac:dyDescent="0.2">
      <c r="G9594" s="889"/>
    </row>
    <row r="9595" spans="7:7" ht="10.5" customHeight="1" x14ac:dyDescent="0.2">
      <c r="G9595" s="889"/>
    </row>
    <row r="9596" spans="7:7" ht="10.5" customHeight="1" x14ac:dyDescent="0.2">
      <c r="G9596" s="889"/>
    </row>
    <row r="9597" spans="7:7" ht="10.5" customHeight="1" x14ac:dyDescent="0.2">
      <c r="G9597" s="889"/>
    </row>
    <row r="9598" spans="7:7" ht="10.5" customHeight="1" x14ac:dyDescent="0.2">
      <c r="G9598" s="889"/>
    </row>
    <row r="9599" spans="7:7" ht="10.5" customHeight="1" x14ac:dyDescent="0.2">
      <c r="G9599" s="889"/>
    </row>
    <row r="9600" spans="7:7" ht="10.5" customHeight="1" x14ac:dyDescent="0.2">
      <c r="G9600" s="889"/>
    </row>
    <row r="9601" spans="7:7" ht="10.5" customHeight="1" x14ac:dyDescent="0.2">
      <c r="G9601" s="889"/>
    </row>
    <row r="9602" spans="7:7" ht="10.5" customHeight="1" x14ac:dyDescent="0.2">
      <c r="G9602" s="889"/>
    </row>
    <row r="9603" spans="7:7" ht="10.5" customHeight="1" x14ac:dyDescent="0.2">
      <c r="G9603" s="889"/>
    </row>
    <row r="9604" spans="7:7" ht="10.5" customHeight="1" x14ac:dyDescent="0.2">
      <c r="G9604" s="889"/>
    </row>
    <row r="9605" spans="7:7" ht="10.5" customHeight="1" x14ac:dyDescent="0.2">
      <c r="G9605" s="889"/>
    </row>
    <row r="9606" spans="7:7" ht="10.5" customHeight="1" x14ac:dyDescent="0.2">
      <c r="G9606" s="889"/>
    </row>
    <row r="9607" spans="7:7" ht="10.5" customHeight="1" x14ac:dyDescent="0.2">
      <c r="G9607" s="889"/>
    </row>
    <row r="9608" spans="7:7" ht="10.5" customHeight="1" x14ac:dyDescent="0.2">
      <c r="G9608" s="889"/>
    </row>
    <row r="9609" spans="7:7" ht="10.5" customHeight="1" x14ac:dyDescent="0.2">
      <c r="G9609" s="889"/>
    </row>
    <row r="9610" spans="7:7" ht="10.5" customHeight="1" x14ac:dyDescent="0.2">
      <c r="G9610" s="889"/>
    </row>
    <row r="9611" spans="7:7" ht="10.5" customHeight="1" x14ac:dyDescent="0.2">
      <c r="G9611" s="889"/>
    </row>
    <row r="9612" spans="7:7" ht="10.5" customHeight="1" x14ac:dyDescent="0.2">
      <c r="G9612" s="889"/>
    </row>
    <row r="9613" spans="7:7" ht="10.5" customHeight="1" x14ac:dyDescent="0.2">
      <c r="G9613" s="889"/>
    </row>
    <row r="9614" spans="7:7" ht="10.5" customHeight="1" x14ac:dyDescent="0.2">
      <c r="G9614" s="889"/>
    </row>
    <row r="9615" spans="7:7" ht="10.5" customHeight="1" x14ac:dyDescent="0.2">
      <c r="G9615" s="889"/>
    </row>
    <row r="9616" spans="7:7" ht="10.5" customHeight="1" x14ac:dyDescent="0.2">
      <c r="G9616" s="889"/>
    </row>
    <row r="9617" spans="7:7" ht="10.5" customHeight="1" x14ac:dyDescent="0.2">
      <c r="G9617" s="889"/>
    </row>
    <row r="9618" spans="7:7" ht="10.5" customHeight="1" x14ac:dyDescent="0.2">
      <c r="G9618" s="889"/>
    </row>
    <row r="9619" spans="7:7" ht="10.5" customHeight="1" x14ac:dyDescent="0.2">
      <c r="G9619" s="889"/>
    </row>
    <row r="9620" spans="7:7" ht="10.5" customHeight="1" x14ac:dyDescent="0.2">
      <c r="G9620" s="889"/>
    </row>
    <row r="9621" spans="7:7" ht="10.5" customHeight="1" x14ac:dyDescent="0.2">
      <c r="G9621" s="889"/>
    </row>
    <row r="9622" spans="7:7" ht="10.5" customHeight="1" x14ac:dyDescent="0.2">
      <c r="G9622" s="889"/>
    </row>
    <row r="9623" spans="7:7" ht="10.5" customHeight="1" x14ac:dyDescent="0.2">
      <c r="G9623" s="889"/>
    </row>
    <row r="9624" spans="7:7" ht="10.5" customHeight="1" x14ac:dyDescent="0.2">
      <c r="G9624" s="889"/>
    </row>
    <row r="9625" spans="7:7" ht="10.5" customHeight="1" x14ac:dyDescent="0.2">
      <c r="G9625" s="889"/>
    </row>
    <row r="9626" spans="7:7" ht="10.5" customHeight="1" x14ac:dyDescent="0.2">
      <c r="G9626" s="889"/>
    </row>
    <row r="9627" spans="7:7" ht="10.5" customHeight="1" x14ac:dyDescent="0.2">
      <c r="G9627" s="889"/>
    </row>
    <row r="9628" spans="7:7" ht="10.5" customHeight="1" x14ac:dyDescent="0.2">
      <c r="G9628" s="889"/>
    </row>
    <row r="9629" spans="7:7" ht="10.5" customHeight="1" x14ac:dyDescent="0.2">
      <c r="G9629" s="889"/>
    </row>
    <row r="9630" spans="7:7" ht="10.5" customHeight="1" x14ac:dyDescent="0.2">
      <c r="G9630" s="889"/>
    </row>
    <row r="9631" spans="7:7" ht="10.5" customHeight="1" x14ac:dyDescent="0.2">
      <c r="G9631" s="889"/>
    </row>
    <row r="9632" spans="7:7" ht="10.5" customHeight="1" x14ac:dyDescent="0.2">
      <c r="G9632" s="889"/>
    </row>
    <row r="9633" spans="7:7" ht="10.5" customHeight="1" x14ac:dyDescent="0.2">
      <c r="G9633" s="889"/>
    </row>
    <row r="9634" spans="7:7" ht="10.5" customHeight="1" x14ac:dyDescent="0.2">
      <c r="G9634" s="889"/>
    </row>
    <row r="9635" spans="7:7" ht="10.5" customHeight="1" x14ac:dyDescent="0.2">
      <c r="G9635" s="889"/>
    </row>
    <row r="9636" spans="7:7" ht="10.5" customHeight="1" x14ac:dyDescent="0.2">
      <c r="G9636" s="889"/>
    </row>
    <row r="9637" spans="7:7" ht="10.5" customHeight="1" x14ac:dyDescent="0.2">
      <c r="G9637" s="889"/>
    </row>
    <row r="9638" spans="7:7" ht="10.5" customHeight="1" x14ac:dyDescent="0.2">
      <c r="G9638" s="889"/>
    </row>
    <row r="9639" spans="7:7" ht="10.5" customHeight="1" x14ac:dyDescent="0.2">
      <c r="G9639" s="889"/>
    </row>
    <row r="9640" spans="7:7" ht="10.5" customHeight="1" x14ac:dyDescent="0.2">
      <c r="G9640" s="889"/>
    </row>
    <row r="9641" spans="7:7" ht="10.5" customHeight="1" x14ac:dyDescent="0.2">
      <c r="G9641" s="889"/>
    </row>
    <row r="9642" spans="7:7" ht="10.5" customHeight="1" x14ac:dyDescent="0.2">
      <c r="G9642" s="889"/>
    </row>
    <row r="9643" spans="7:7" ht="10.5" customHeight="1" x14ac:dyDescent="0.2">
      <c r="G9643" s="889"/>
    </row>
    <row r="9644" spans="7:7" ht="10.5" customHeight="1" x14ac:dyDescent="0.2">
      <c r="G9644" s="889"/>
    </row>
    <row r="9645" spans="7:7" ht="10.5" customHeight="1" x14ac:dyDescent="0.2">
      <c r="G9645" s="889"/>
    </row>
    <row r="9646" spans="7:7" ht="10.5" customHeight="1" x14ac:dyDescent="0.2">
      <c r="G9646" s="889"/>
    </row>
    <row r="9647" spans="7:7" ht="10.5" customHeight="1" x14ac:dyDescent="0.2">
      <c r="G9647" s="889"/>
    </row>
    <row r="9648" spans="7:7" ht="10.5" customHeight="1" x14ac:dyDescent="0.2">
      <c r="G9648" s="889"/>
    </row>
    <row r="9649" spans="7:7" ht="10.5" customHeight="1" x14ac:dyDescent="0.2">
      <c r="G9649" s="889"/>
    </row>
    <row r="9650" spans="7:7" ht="10.5" customHeight="1" x14ac:dyDescent="0.2">
      <c r="G9650" s="889"/>
    </row>
    <row r="9651" spans="7:7" ht="10.5" customHeight="1" x14ac:dyDescent="0.2">
      <c r="G9651" s="889"/>
    </row>
    <row r="9652" spans="7:7" ht="10.5" customHeight="1" x14ac:dyDescent="0.2">
      <c r="G9652" s="889"/>
    </row>
    <row r="9653" spans="7:7" ht="10.5" customHeight="1" x14ac:dyDescent="0.2">
      <c r="G9653" s="889"/>
    </row>
    <row r="9654" spans="7:7" ht="10.5" customHeight="1" x14ac:dyDescent="0.2">
      <c r="G9654" s="889"/>
    </row>
    <row r="9655" spans="7:7" ht="10.5" customHeight="1" x14ac:dyDescent="0.2">
      <c r="G9655" s="889"/>
    </row>
    <row r="9656" spans="7:7" ht="10.5" customHeight="1" x14ac:dyDescent="0.2">
      <c r="G9656" s="889"/>
    </row>
    <row r="9657" spans="7:7" ht="10.5" customHeight="1" x14ac:dyDescent="0.2">
      <c r="G9657" s="889"/>
    </row>
    <row r="9658" spans="7:7" ht="10.5" customHeight="1" x14ac:dyDescent="0.2">
      <c r="G9658" s="889"/>
    </row>
    <row r="9659" spans="7:7" ht="10.5" customHeight="1" x14ac:dyDescent="0.2">
      <c r="G9659" s="889"/>
    </row>
    <row r="9660" spans="7:7" ht="10.5" customHeight="1" x14ac:dyDescent="0.2">
      <c r="G9660" s="889"/>
    </row>
    <row r="9661" spans="7:7" ht="10.5" customHeight="1" x14ac:dyDescent="0.2">
      <c r="G9661" s="889"/>
    </row>
    <row r="9662" spans="7:7" ht="10.5" customHeight="1" x14ac:dyDescent="0.2">
      <c r="G9662" s="889"/>
    </row>
    <row r="9663" spans="7:7" ht="10.5" customHeight="1" x14ac:dyDescent="0.2">
      <c r="G9663" s="889"/>
    </row>
    <row r="9664" spans="7:7" ht="10.5" customHeight="1" x14ac:dyDescent="0.2">
      <c r="G9664" s="889"/>
    </row>
    <row r="9665" spans="7:7" ht="10.5" customHeight="1" x14ac:dyDescent="0.2">
      <c r="G9665" s="889"/>
    </row>
    <row r="9666" spans="7:7" ht="10.5" customHeight="1" x14ac:dyDescent="0.2">
      <c r="G9666" s="889"/>
    </row>
    <row r="9667" spans="7:7" ht="10.5" customHeight="1" x14ac:dyDescent="0.2">
      <c r="G9667" s="889"/>
    </row>
    <row r="9668" spans="7:7" ht="10.5" customHeight="1" x14ac:dyDescent="0.2">
      <c r="G9668" s="889"/>
    </row>
    <row r="9669" spans="7:7" ht="10.5" customHeight="1" x14ac:dyDescent="0.2">
      <c r="G9669" s="889"/>
    </row>
    <row r="9670" spans="7:7" ht="10.5" customHeight="1" x14ac:dyDescent="0.2">
      <c r="G9670" s="889"/>
    </row>
    <row r="9671" spans="7:7" ht="10.5" customHeight="1" x14ac:dyDescent="0.2">
      <c r="G9671" s="889"/>
    </row>
    <row r="9672" spans="7:7" ht="10.5" customHeight="1" x14ac:dyDescent="0.2">
      <c r="G9672" s="889"/>
    </row>
    <row r="9673" spans="7:7" ht="10.5" customHeight="1" x14ac:dyDescent="0.2">
      <c r="G9673" s="889"/>
    </row>
    <row r="9674" spans="7:7" ht="10.5" customHeight="1" x14ac:dyDescent="0.2">
      <c r="G9674" s="889"/>
    </row>
    <row r="9675" spans="7:7" ht="10.5" customHeight="1" x14ac:dyDescent="0.2">
      <c r="G9675" s="889"/>
    </row>
    <row r="9676" spans="7:7" ht="10.5" customHeight="1" x14ac:dyDescent="0.2">
      <c r="G9676" s="889"/>
    </row>
    <row r="9677" spans="7:7" ht="10.5" customHeight="1" x14ac:dyDescent="0.2">
      <c r="G9677" s="889"/>
    </row>
    <row r="9678" spans="7:7" ht="10.5" customHeight="1" x14ac:dyDescent="0.2">
      <c r="G9678" s="889"/>
    </row>
    <row r="9679" spans="7:7" ht="10.5" customHeight="1" x14ac:dyDescent="0.2">
      <c r="G9679" s="889"/>
    </row>
    <row r="9680" spans="7:7" ht="10.5" customHeight="1" x14ac:dyDescent="0.2">
      <c r="G9680" s="889"/>
    </row>
    <row r="9681" spans="7:7" ht="10.5" customHeight="1" x14ac:dyDescent="0.2">
      <c r="G9681" s="889"/>
    </row>
    <row r="9682" spans="7:7" ht="10.5" customHeight="1" x14ac:dyDescent="0.2">
      <c r="G9682" s="889"/>
    </row>
    <row r="9683" spans="7:7" ht="10.5" customHeight="1" x14ac:dyDescent="0.2">
      <c r="G9683" s="889"/>
    </row>
    <row r="9684" spans="7:7" ht="10.5" customHeight="1" x14ac:dyDescent="0.2">
      <c r="G9684" s="889"/>
    </row>
    <row r="9685" spans="7:7" ht="10.5" customHeight="1" x14ac:dyDescent="0.2">
      <c r="G9685" s="889"/>
    </row>
    <row r="9686" spans="7:7" ht="10.5" customHeight="1" x14ac:dyDescent="0.2">
      <c r="G9686" s="889"/>
    </row>
    <row r="9687" spans="7:7" ht="10.5" customHeight="1" x14ac:dyDescent="0.2">
      <c r="G9687" s="889"/>
    </row>
    <row r="9688" spans="7:7" ht="10.5" customHeight="1" x14ac:dyDescent="0.2">
      <c r="G9688" s="889"/>
    </row>
    <row r="9689" spans="7:7" ht="10.5" customHeight="1" x14ac:dyDescent="0.2">
      <c r="G9689" s="889"/>
    </row>
    <row r="9690" spans="7:7" ht="10.5" customHeight="1" x14ac:dyDescent="0.2">
      <c r="G9690" s="889"/>
    </row>
    <row r="9691" spans="7:7" ht="10.5" customHeight="1" x14ac:dyDescent="0.2">
      <c r="G9691" s="889"/>
    </row>
    <row r="9692" spans="7:7" ht="10.5" customHeight="1" x14ac:dyDescent="0.2">
      <c r="G9692" s="889"/>
    </row>
    <row r="9693" spans="7:7" ht="10.5" customHeight="1" x14ac:dyDescent="0.2">
      <c r="G9693" s="889"/>
    </row>
    <row r="9694" spans="7:7" ht="10.5" customHeight="1" x14ac:dyDescent="0.2">
      <c r="G9694" s="889"/>
    </row>
    <row r="9695" spans="7:7" ht="10.5" customHeight="1" x14ac:dyDescent="0.2">
      <c r="G9695" s="889"/>
    </row>
    <row r="9696" spans="7:7" ht="10.5" customHeight="1" x14ac:dyDescent="0.2">
      <c r="G9696" s="889"/>
    </row>
    <row r="9697" spans="7:7" ht="10.5" customHeight="1" x14ac:dyDescent="0.2">
      <c r="G9697" s="889"/>
    </row>
    <row r="9698" spans="7:7" ht="10.5" customHeight="1" x14ac:dyDescent="0.2">
      <c r="G9698" s="889"/>
    </row>
    <row r="9699" spans="7:7" ht="10.5" customHeight="1" x14ac:dyDescent="0.2">
      <c r="G9699" s="889"/>
    </row>
    <row r="9700" spans="7:7" ht="10.5" customHeight="1" x14ac:dyDescent="0.2">
      <c r="G9700" s="889"/>
    </row>
    <row r="9701" spans="7:7" ht="10.5" customHeight="1" x14ac:dyDescent="0.2">
      <c r="G9701" s="889"/>
    </row>
    <row r="9702" spans="7:7" ht="10.5" customHeight="1" x14ac:dyDescent="0.2">
      <c r="G9702" s="889"/>
    </row>
    <row r="9703" spans="7:7" ht="10.5" customHeight="1" x14ac:dyDescent="0.2">
      <c r="G9703" s="889"/>
    </row>
    <row r="9704" spans="7:7" ht="10.5" customHeight="1" x14ac:dyDescent="0.2">
      <c r="G9704" s="889"/>
    </row>
    <row r="9705" spans="7:7" ht="10.5" customHeight="1" x14ac:dyDescent="0.2">
      <c r="G9705" s="889"/>
    </row>
    <row r="9706" spans="7:7" ht="10.5" customHeight="1" x14ac:dyDescent="0.2">
      <c r="G9706" s="889"/>
    </row>
    <row r="9707" spans="7:7" ht="10.5" customHeight="1" x14ac:dyDescent="0.2">
      <c r="G9707" s="889"/>
    </row>
    <row r="9708" spans="7:7" ht="10.5" customHeight="1" x14ac:dyDescent="0.2">
      <c r="G9708" s="889"/>
    </row>
    <row r="9709" spans="7:7" ht="10.5" customHeight="1" x14ac:dyDescent="0.2">
      <c r="G9709" s="889"/>
    </row>
    <row r="9710" spans="7:7" ht="10.5" customHeight="1" x14ac:dyDescent="0.2">
      <c r="G9710" s="889"/>
    </row>
    <row r="9711" spans="7:7" ht="10.5" customHeight="1" x14ac:dyDescent="0.2">
      <c r="G9711" s="889"/>
    </row>
    <row r="9712" spans="7:7" ht="10.5" customHeight="1" x14ac:dyDescent="0.2">
      <c r="G9712" s="889"/>
    </row>
    <row r="9713" spans="7:7" ht="10.5" customHeight="1" x14ac:dyDescent="0.2">
      <c r="G9713" s="889"/>
    </row>
    <row r="9714" spans="7:7" ht="10.5" customHeight="1" x14ac:dyDescent="0.2">
      <c r="G9714" s="889"/>
    </row>
    <row r="9715" spans="7:7" ht="10.5" customHeight="1" x14ac:dyDescent="0.2">
      <c r="G9715" s="889"/>
    </row>
    <row r="9716" spans="7:7" ht="10.5" customHeight="1" x14ac:dyDescent="0.2">
      <c r="G9716" s="889"/>
    </row>
    <row r="9717" spans="7:7" ht="10.5" customHeight="1" x14ac:dyDescent="0.2">
      <c r="G9717" s="889"/>
    </row>
    <row r="9718" spans="7:7" ht="10.5" customHeight="1" x14ac:dyDescent="0.2">
      <c r="G9718" s="889"/>
    </row>
    <row r="9719" spans="7:7" ht="10.5" customHeight="1" x14ac:dyDescent="0.2">
      <c r="G9719" s="889"/>
    </row>
    <row r="9720" spans="7:7" ht="10.5" customHeight="1" x14ac:dyDescent="0.2">
      <c r="G9720" s="889"/>
    </row>
    <row r="9721" spans="7:7" ht="10.5" customHeight="1" x14ac:dyDescent="0.2">
      <c r="G9721" s="889"/>
    </row>
    <row r="9722" spans="7:7" ht="10.5" customHeight="1" x14ac:dyDescent="0.2">
      <c r="G9722" s="889"/>
    </row>
    <row r="9723" spans="7:7" ht="10.5" customHeight="1" x14ac:dyDescent="0.2">
      <c r="G9723" s="889"/>
    </row>
    <row r="9724" spans="7:7" ht="10.5" customHeight="1" x14ac:dyDescent="0.2">
      <c r="G9724" s="889"/>
    </row>
    <row r="9725" spans="7:7" ht="10.5" customHeight="1" x14ac:dyDescent="0.2">
      <c r="G9725" s="889"/>
    </row>
    <row r="9726" spans="7:7" ht="10.5" customHeight="1" x14ac:dyDescent="0.2">
      <c r="G9726" s="889"/>
    </row>
    <row r="9727" spans="7:7" ht="10.5" customHeight="1" x14ac:dyDescent="0.2">
      <c r="G9727" s="889"/>
    </row>
    <row r="9728" spans="7:7" ht="10.5" customHeight="1" x14ac:dyDescent="0.2">
      <c r="G9728" s="889"/>
    </row>
    <row r="9729" spans="7:7" ht="10.5" customHeight="1" x14ac:dyDescent="0.2">
      <c r="G9729" s="889"/>
    </row>
    <row r="9730" spans="7:7" ht="10.5" customHeight="1" x14ac:dyDescent="0.2">
      <c r="G9730" s="889"/>
    </row>
    <row r="9731" spans="7:7" ht="10.5" customHeight="1" x14ac:dyDescent="0.2">
      <c r="G9731" s="889"/>
    </row>
    <row r="9732" spans="7:7" ht="10.5" customHeight="1" x14ac:dyDescent="0.2">
      <c r="G9732" s="889"/>
    </row>
    <row r="9733" spans="7:7" ht="10.5" customHeight="1" x14ac:dyDescent="0.2">
      <c r="G9733" s="889"/>
    </row>
    <row r="9734" spans="7:7" ht="10.5" customHeight="1" x14ac:dyDescent="0.2">
      <c r="G9734" s="889"/>
    </row>
    <row r="9735" spans="7:7" ht="10.5" customHeight="1" x14ac:dyDescent="0.2">
      <c r="G9735" s="889"/>
    </row>
    <row r="9736" spans="7:7" ht="10.5" customHeight="1" x14ac:dyDescent="0.2">
      <c r="G9736" s="889"/>
    </row>
    <row r="9737" spans="7:7" ht="10.5" customHeight="1" x14ac:dyDescent="0.2">
      <c r="G9737" s="889"/>
    </row>
    <row r="9738" spans="7:7" ht="10.5" customHeight="1" x14ac:dyDescent="0.2">
      <c r="G9738" s="889"/>
    </row>
    <row r="9739" spans="7:7" ht="10.5" customHeight="1" x14ac:dyDescent="0.2">
      <c r="G9739" s="889"/>
    </row>
    <row r="9740" spans="7:7" ht="10.5" customHeight="1" x14ac:dyDescent="0.2">
      <c r="G9740" s="889"/>
    </row>
    <row r="9741" spans="7:7" ht="10.5" customHeight="1" x14ac:dyDescent="0.2">
      <c r="G9741" s="889"/>
    </row>
    <row r="9742" spans="7:7" ht="10.5" customHeight="1" x14ac:dyDescent="0.2">
      <c r="G9742" s="889"/>
    </row>
    <row r="9743" spans="7:7" ht="10.5" customHeight="1" x14ac:dyDescent="0.2">
      <c r="G9743" s="889"/>
    </row>
    <row r="9744" spans="7:7" ht="10.5" customHeight="1" x14ac:dyDescent="0.2">
      <c r="G9744" s="889"/>
    </row>
    <row r="9745" spans="7:7" ht="10.5" customHeight="1" x14ac:dyDescent="0.2">
      <c r="G9745" s="889"/>
    </row>
    <row r="9746" spans="7:7" ht="10.5" customHeight="1" x14ac:dyDescent="0.2">
      <c r="G9746" s="889"/>
    </row>
    <row r="9747" spans="7:7" ht="10.5" customHeight="1" x14ac:dyDescent="0.2">
      <c r="G9747" s="889"/>
    </row>
    <row r="9748" spans="7:7" ht="10.5" customHeight="1" x14ac:dyDescent="0.2">
      <c r="G9748" s="889"/>
    </row>
    <row r="9749" spans="7:7" ht="10.5" customHeight="1" x14ac:dyDescent="0.2">
      <c r="G9749" s="889"/>
    </row>
    <row r="9750" spans="7:7" ht="10.5" customHeight="1" x14ac:dyDescent="0.2">
      <c r="G9750" s="889"/>
    </row>
    <row r="9751" spans="7:7" ht="10.5" customHeight="1" x14ac:dyDescent="0.2">
      <c r="G9751" s="889"/>
    </row>
    <row r="9752" spans="7:7" ht="10.5" customHeight="1" x14ac:dyDescent="0.2">
      <c r="G9752" s="889"/>
    </row>
    <row r="9753" spans="7:7" ht="10.5" customHeight="1" x14ac:dyDescent="0.2">
      <c r="G9753" s="889"/>
    </row>
    <row r="9754" spans="7:7" ht="10.5" customHeight="1" x14ac:dyDescent="0.2">
      <c r="G9754" s="889"/>
    </row>
    <row r="9755" spans="7:7" ht="10.5" customHeight="1" x14ac:dyDescent="0.2">
      <c r="G9755" s="889"/>
    </row>
    <row r="9756" spans="7:7" ht="10.5" customHeight="1" x14ac:dyDescent="0.2">
      <c r="G9756" s="889"/>
    </row>
    <row r="9757" spans="7:7" ht="10.5" customHeight="1" x14ac:dyDescent="0.2">
      <c r="G9757" s="889"/>
    </row>
    <row r="9758" spans="7:7" ht="10.5" customHeight="1" x14ac:dyDescent="0.2">
      <c r="G9758" s="889"/>
    </row>
    <row r="9759" spans="7:7" ht="10.5" customHeight="1" x14ac:dyDescent="0.2">
      <c r="G9759" s="889"/>
    </row>
    <row r="9760" spans="7:7" ht="10.5" customHeight="1" x14ac:dyDescent="0.2">
      <c r="G9760" s="889"/>
    </row>
    <row r="9761" spans="7:7" ht="10.5" customHeight="1" x14ac:dyDescent="0.2">
      <c r="G9761" s="889"/>
    </row>
    <row r="9762" spans="7:7" ht="10.5" customHeight="1" x14ac:dyDescent="0.2">
      <c r="G9762" s="889"/>
    </row>
    <row r="9763" spans="7:7" ht="10.5" customHeight="1" x14ac:dyDescent="0.2">
      <c r="G9763" s="889"/>
    </row>
    <row r="9764" spans="7:7" ht="10.5" customHeight="1" x14ac:dyDescent="0.2">
      <c r="G9764" s="889"/>
    </row>
    <row r="9765" spans="7:7" ht="10.5" customHeight="1" x14ac:dyDescent="0.2">
      <c r="G9765" s="889"/>
    </row>
    <row r="9766" spans="7:7" ht="10.5" customHeight="1" x14ac:dyDescent="0.2">
      <c r="G9766" s="889"/>
    </row>
    <row r="9767" spans="7:7" ht="10.5" customHeight="1" x14ac:dyDescent="0.2">
      <c r="G9767" s="889"/>
    </row>
    <row r="9768" spans="7:7" ht="10.5" customHeight="1" x14ac:dyDescent="0.2">
      <c r="G9768" s="889"/>
    </row>
    <row r="9769" spans="7:7" ht="10.5" customHeight="1" x14ac:dyDescent="0.2">
      <c r="G9769" s="889"/>
    </row>
    <row r="9770" spans="7:7" ht="10.5" customHeight="1" x14ac:dyDescent="0.2">
      <c r="G9770" s="889"/>
    </row>
    <row r="9771" spans="7:7" ht="10.5" customHeight="1" x14ac:dyDescent="0.2">
      <c r="G9771" s="889"/>
    </row>
    <row r="9772" spans="7:7" ht="10.5" customHeight="1" x14ac:dyDescent="0.2">
      <c r="G9772" s="889"/>
    </row>
    <row r="9773" spans="7:7" ht="10.5" customHeight="1" x14ac:dyDescent="0.2">
      <c r="G9773" s="889"/>
    </row>
    <row r="9774" spans="7:7" ht="10.5" customHeight="1" x14ac:dyDescent="0.2">
      <c r="G9774" s="889"/>
    </row>
    <row r="9775" spans="7:7" ht="10.5" customHeight="1" x14ac:dyDescent="0.2">
      <c r="G9775" s="889"/>
    </row>
    <row r="9776" spans="7:7" ht="10.5" customHeight="1" x14ac:dyDescent="0.2">
      <c r="G9776" s="889"/>
    </row>
    <row r="9777" spans="7:7" ht="10.5" customHeight="1" x14ac:dyDescent="0.2">
      <c r="G9777" s="889"/>
    </row>
    <row r="9778" spans="7:7" ht="10.5" customHeight="1" x14ac:dyDescent="0.2">
      <c r="G9778" s="889"/>
    </row>
    <row r="9779" spans="7:7" ht="10.5" customHeight="1" x14ac:dyDescent="0.2">
      <c r="G9779" s="889"/>
    </row>
    <row r="9780" spans="7:7" ht="10.5" customHeight="1" x14ac:dyDescent="0.2">
      <c r="G9780" s="889"/>
    </row>
    <row r="9781" spans="7:7" ht="10.5" customHeight="1" x14ac:dyDescent="0.2">
      <c r="G9781" s="889"/>
    </row>
    <row r="9782" spans="7:7" ht="10.5" customHeight="1" x14ac:dyDescent="0.2">
      <c r="G9782" s="889"/>
    </row>
    <row r="9783" spans="7:7" ht="10.5" customHeight="1" x14ac:dyDescent="0.2">
      <c r="G9783" s="889"/>
    </row>
    <row r="9784" spans="7:7" ht="10.5" customHeight="1" x14ac:dyDescent="0.2">
      <c r="G9784" s="889"/>
    </row>
    <row r="9785" spans="7:7" ht="10.5" customHeight="1" x14ac:dyDescent="0.2">
      <c r="G9785" s="889"/>
    </row>
    <row r="9786" spans="7:7" ht="10.5" customHeight="1" x14ac:dyDescent="0.2">
      <c r="G9786" s="889"/>
    </row>
    <row r="9787" spans="7:7" ht="10.5" customHeight="1" x14ac:dyDescent="0.2">
      <c r="G9787" s="889"/>
    </row>
    <row r="9788" spans="7:7" ht="10.5" customHeight="1" x14ac:dyDescent="0.2">
      <c r="G9788" s="889"/>
    </row>
    <row r="9789" spans="7:7" ht="10.5" customHeight="1" x14ac:dyDescent="0.2">
      <c r="G9789" s="889"/>
    </row>
    <row r="9790" spans="7:7" ht="10.5" customHeight="1" x14ac:dyDescent="0.2">
      <c r="G9790" s="889"/>
    </row>
    <row r="9791" spans="7:7" ht="10.5" customHeight="1" x14ac:dyDescent="0.2">
      <c r="G9791" s="889"/>
    </row>
    <row r="9792" spans="7:7" ht="10.5" customHeight="1" x14ac:dyDescent="0.2">
      <c r="G9792" s="889"/>
    </row>
    <row r="9793" spans="7:7" ht="10.5" customHeight="1" x14ac:dyDescent="0.2">
      <c r="G9793" s="889"/>
    </row>
    <row r="9794" spans="7:7" ht="10.5" customHeight="1" x14ac:dyDescent="0.2">
      <c r="G9794" s="889"/>
    </row>
    <row r="9795" spans="7:7" ht="10.5" customHeight="1" x14ac:dyDescent="0.2">
      <c r="G9795" s="889"/>
    </row>
    <row r="9796" spans="7:7" ht="10.5" customHeight="1" x14ac:dyDescent="0.2">
      <c r="G9796" s="889"/>
    </row>
    <row r="9797" spans="7:7" ht="10.5" customHeight="1" x14ac:dyDescent="0.2">
      <c r="G9797" s="889"/>
    </row>
    <row r="9798" spans="7:7" ht="10.5" customHeight="1" x14ac:dyDescent="0.2">
      <c r="G9798" s="889"/>
    </row>
    <row r="9799" spans="7:7" ht="10.5" customHeight="1" x14ac:dyDescent="0.2">
      <c r="G9799" s="889"/>
    </row>
    <row r="9800" spans="7:7" ht="10.5" customHeight="1" x14ac:dyDescent="0.2">
      <c r="G9800" s="889"/>
    </row>
    <row r="9801" spans="7:7" ht="10.5" customHeight="1" x14ac:dyDescent="0.2">
      <c r="G9801" s="889"/>
    </row>
    <row r="9802" spans="7:7" ht="10.5" customHeight="1" x14ac:dyDescent="0.2">
      <c r="G9802" s="889"/>
    </row>
    <row r="9803" spans="7:7" ht="10.5" customHeight="1" x14ac:dyDescent="0.2">
      <c r="G9803" s="889"/>
    </row>
    <row r="9804" spans="7:7" ht="10.5" customHeight="1" x14ac:dyDescent="0.2">
      <c r="G9804" s="889"/>
    </row>
    <row r="9805" spans="7:7" ht="10.5" customHeight="1" x14ac:dyDescent="0.2">
      <c r="G9805" s="889"/>
    </row>
    <row r="9806" spans="7:7" ht="10.5" customHeight="1" x14ac:dyDescent="0.2">
      <c r="G9806" s="889"/>
    </row>
    <row r="9807" spans="7:7" ht="10.5" customHeight="1" x14ac:dyDescent="0.2">
      <c r="G9807" s="889"/>
    </row>
    <row r="9808" spans="7:7" ht="10.5" customHeight="1" x14ac:dyDescent="0.2">
      <c r="G9808" s="889"/>
    </row>
    <row r="9809" spans="7:7" ht="10.5" customHeight="1" x14ac:dyDescent="0.2">
      <c r="G9809" s="889"/>
    </row>
    <row r="9810" spans="7:7" ht="10.5" customHeight="1" x14ac:dyDescent="0.2">
      <c r="G9810" s="889"/>
    </row>
    <row r="9811" spans="7:7" ht="10.5" customHeight="1" x14ac:dyDescent="0.2">
      <c r="G9811" s="889"/>
    </row>
    <row r="9812" spans="7:7" ht="10.5" customHeight="1" x14ac:dyDescent="0.2">
      <c r="G9812" s="889"/>
    </row>
    <row r="9813" spans="7:7" ht="10.5" customHeight="1" x14ac:dyDescent="0.2">
      <c r="G9813" s="889"/>
    </row>
    <row r="9814" spans="7:7" ht="10.5" customHeight="1" x14ac:dyDescent="0.2">
      <c r="G9814" s="889"/>
    </row>
    <row r="9815" spans="7:7" ht="10.5" customHeight="1" x14ac:dyDescent="0.2">
      <c r="G9815" s="889"/>
    </row>
    <row r="9816" spans="7:7" ht="10.5" customHeight="1" x14ac:dyDescent="0.2">
      <c r="G9816" s="889"/>
    </row>
    <row r="9817" spans="7:7" ht="10.5" customHeight="1" x14ac:dyDescent="0.2">
      <c r="G9817" s="889"/>
    </row>
    <row r="9818" spans="7:7" ht="10.5" customHeight="1" x14ac:dyDescent="0.2">
      <c r="G9818" s="889"/>
    </row>
    <row r="9819" spans="7:7" ht="10.5" customHeight="1" x14ac:dyDescent="0.2">
      <c r="G9819" s="889"/>
    </row>
    <row r="9820" spans="7:7" ht="10.5" customHeight="1" x14ac:dyDescent="0.2">
      <c r="G9820" s="889"/>
    </row>
    <row r="9821" spans="7:7" ht="10.5" customHeight="1" x14ac:dyDescent="0.2">
      <c r="G9821" s="889"/>
    </row>
    <row r="9822" spans="7:7" ht="10.5" customHeight="1" x14ac:dyDescent="0.2">
      <c r="G9822" s="889"/>
    </row>
    <row r="9823" spans="7:7" ht="10.5" customHeight="1" x14ac:dyDescent="0.2">
      <c r="G9823" s="889"/>
    </row>
    <row r="9824" spans="7:7" ht="10.5" customHeight="1" x14ac:dyDescent="0.2">
      <c r="G9824" s="889"/>
    </row>
    <row r="9825" spans="7:7" ht="10.5" customHeight="1" x14ac:dyDescent="0.2">
      <c r="G9825" s="889"/>
    </row>
    <row r="9826" spans="7:7" ht="10.5" customHeight="1" x14ac:dyDescent="0.2">
      <c r="G9826" s="889"/>
    </row>
    <row r="9827" spans="7:7" ht="10.5" customHeight="1" x14ac:dyDescent="0.2">
      <c r="G9827" s="889"/>
    </row>
    <row r="9828" spans="7:7" ht="10.5" customHeight="1" x14ac:dyDescent="0.2">
      <c r="G9828" s="889"/>
    </row>
    <row r="9829" spans="7:7" ht="10.5" customHeight="1" x14ac:dyDescent="0.2">
      <c r="G9829" s="889"/>
    </row>
    <row r="9830" spans="7:7" ht="10.5" customHeight="1" x14ac:dyDescent="0.2">
      <c r="G9830" s="889"/>
    </row>
    <row r="9831" spans="7:7" ht="10.5" customHeight="1" x14ac:dyDescent="0.2">
      <c r="G9831" s="889"/>
    </row>
    <row r="9832" spans="7:7" ht="10.5" customHeight="1" x14ac:dyDescent="0.2">
      <c r="G9832" s="889"/>
    </row>
    <row r="9833" spans="7:7" ht="10.5" customHeight="1" x14ac:dyDescent="0.2">
      <c r="G9833" s="889"/>
    </row>
    <row r="9834" spans="7:7" ht="10.5" customHeight="1" x14ac:dyDescent="0.2">
      <c r="G9834" s="889"/>
    </row>
    <row r="9835" spans="7:7" ht="10.5" customHeight="1" x14ac:dyDescent="0.2">
      <c r="G9835" s="889"/>
    </row>
    <row r="9836" spans="7:7" ht="10.5" customHeight="1" x14ac:dyDescent="0.2">
      <c r="G9836" s="889"/>
    </row>
    <row r="9837" spans="7:7" ht="10.5" customHeight="1" x14ac:dyDescent="0.2">
      <c r="G9837" s="889"/>
    </row>
    <row r="9838" spans="7:7" ht="10.5" customHeight="1" x14ac:dyDescent="0.2">
      <c r="G9838" s="889"/>
    </row>
    <row r="9839" spans="7:7" ht="10.5" customHeight="1" x14ac:dyDescent="0.2">
      <c r="G9839" s="889"/>
    </row>
    <row r="9840" spans="7:7" ht="10.5" customHeight="1" x14ac:dyDescent="0.2">
      <c r="G9840" s="889"/>
    </row>
    <row r="9841" spans="7:7" ht="10.5" customHeight="1" x14ac:dyDescent="0.2">
      <c r="G9841" s="889"/>
    </row>
    <row r="9842" spans="7:7" ht="10.5" customHeight="1" x14ac:dyDescent="0.2">
      <c r="G9842" s="889"/>
    </row>
    <row r="9843" spans="7:7" ht="10.5" customHeight="1" x14ac:dyDescent="0.2">
      <c r="G9843" s="889"/>
    </row>
    <row r="9844" spans="7:7" ht="10.5" customHeight="1" x14ac:dyDescent="0.2">
      <c r="G9844" s="889"/>
    </row>
    <row r="9845" spans="7:7" ht="10.5" customHeight="1" x14ac:dyDescent="0.2">
      <c r="G9845" s="889"/>
    </row>
    <row r="9846" spans="7:7" ht="10.5" customHeight="1" x14ac:dyDescent="0.2">
      <c r="G9846" s="889"/>
    </row>
    <row r="9847" spans="7:7" ht="10.5" customHeight="1" x14ac:dyDescent="0.2">
      <c r="G9847" s="889"/>
    </row>
    <row r="9848" spans="7:7" ht="10.5" customHeight="1" x14ac:dyDescent="0.2">
      <c r="G9848" s="889"/>
    </row>
    <row r="9849" spans="7:7" ht="10.5" customHeight="1" x14ac:dyDescent="0.2">
      <c r="G9849" s="889"/>
    </row>
    <row r="9850" spans="7:7" ht="10.5" customHeight="1" x14ac:dyDescent="0.2">
      <c r="G9850" s="889"/>
    </row>
    <row r="9851" spans="7:7" ht="10.5" customHeight="1" x14ac:dyDescent="0.2">
      <c r="G9851" s="889"/>
    </row>
    <row r="9852" spans="7:7" ht="10.5" customHeight="1" x14ac:dyDescent="0.2">
      <c r="G9852" s="889"/>
    </row>
    <row r="9853" spans="7:7" ht="10.5" customHeight="1" x14ac:dyDescent="0.2">
      <c r="G9853" s="889"/>
    </row>
    <row r="9854" spans="7:7" ht="10.5" customHeight="1" x14ac:dyDescent="0.2">
      <c r="G9854" s="889"/>
    </row>
    <row r="9855" spans="7:7" ht="10.5" customHeight="1" x14ac:dyDescent="0.2">
      <c r="G9855" s="889"/>
    </row>
    <row r="9856" spans="7:7" ht="10.5" customHeight="1" x14ac:dyDescent="0.2">
      <c r="G9856" s="889"/>
    </row>
    <row r="9857" spans="7:7" ht="10.5" customHeight="1" x14ac:dyDescent="0.2">
      <c r="G9857" s="889"/>
    </row>
    <row r="9858" spans="7:7" ht="10.5" customHeight="1" x14ac:dyDescent="0.2">
      <c r="G9858" s="889"/>
    </row>
    <row r="9859" spans="7:7" ht="10.5" customHeight="1" x14ac:dyDescent="0.2">
      <c r="G9859" s="889"/>
    </row>
    <row r="9860" spans="7:7" ht="10.5" customHeight="1" x14ac:dyDescent="0.2">
      <c r="G9860" s="889"/>
    </row>
    <row r="9861" spans="7:7" ht="10.5" customHeight="1" x14ac:dyDescent="0.2">
      <c r="G9861" s="889"/>
    </row>
    <row r="9862" spans="7:7" ht="10.5" customHeight="1" x14ac:dyDescent="0.2">
      <c r="G9862" s="889"/>
    </row>
    <row r="9863" spans="7:7" ht="10.5" customHeight="1" x14ac:dyDescent="0.2">
      <c r="G9863" s="889"/>
    </row>
    <row r="9864" spans="7:7" ht="10.5" customHeight="1" x14ac:dyDescent="0.2">
      <c r="G9864" s="889"/>
    </row>
    <row r="9865" spans="7:7" ht="10.5" customHeight="1" x14ac:dyDescent="0.2">
      <c r="G9865" s="889"/>
    </row>
    <row r="9866" spans="7:7" ht="10.5" customHeight="1" x14ac:dyDescent="0.2">
      <c r="G9866" s="889"/>
    </row>
    <row r="9867" spans="7:7" ht="10.5" customHeight="1" x14ac:dyDescent="0.2">
      <c r="G9867" s="889"/>
    </row>
    <row r="9868" spans="7:7" ht="10.5" customHeight="1" x14ac:dyDescent="0.2">
      <c r="G9868" s="889"/>
    </row>
    <row r="9869" spans="7:7" ht="10.5" customHeight="1" x14ac:dyDescent="0.2">
      <c r="G9869" s="889"/>
    </row>
    <row r="9870" spans="7:7" ht="10.5" customHeight="1" x14ac:dyDescent="0.2">
      <c r="G9870" s="889"/>
    </row>
    <row r="9871" spans="7:7" ht="10.5" customHeight="1" x14ac:dyDescent="0.2">
      <c r="G9871" s="889"/>
    </row>
    <row r="9872" spans="7:7" ht="10.5" customHeight="1" x14ac:dyDescent="0.2">
      <c r="G9872" s="889"/>
    </row>
    <row r="9873" spans="7:7" ht="10.5" customHeight="1" x14ac:dyDescent="0.2">
      <c r="G9873" s="889"/>
    </row>
    <row r="9874" spans="7:7" ht="10.5" customHeight="1" x14ac:dyDescent="0.2">
      <c r="G9874" s="889"/>
    </row>
    <row r="9875" spans="7:7" ht="10.5" customHeight="1" x14ac:dyDescent="0.2">
      <c r="G9875" s="889"/>
    </row>
    <row r="9876" spans="7:7" ht="10.5" customHeight="1" x14ac:dyDescent="0.2">
      <c r="G9876" s="889"/>
    </row>
    <row r="9877" spans="7:7" ht="10.5" customHeight="1" x14ac:dyDescent="0.2">
      <c r="G9877" s="889"/>
    </row>
    <row r="9878" spans="7:7" ht="10.5" customHeight="1" x14ac:dyDescent="0.2">
      <c r="G9878" s="889"/>
    </row>
    <row r="9879" spans="7:7" ht="10.5" customHeight="1" x14ac:dyDescent="0.2">
      <c r="G9879" s="889"/>
    </row>
    <row r="9880" spans="7:7" ht="10.5" customHeight="1" x14ac:dyDescent="0.2">
      <c r="G9880" s="889"/>
    </row>
    <row r="9881" spans="7:7" ht="10.5" customHeight="1" x14ac:dyDescent="0.2">
      <c r="G9881" s="889"/>
    </row>
    <row r="9882" spans="7:7" ht="10.5" customHeight="1" x14ac:dyDescent="0.2">
      <c r="G9882" s="889"/>
    </row>
    <row r="9883" spans="7:7" ht="10.5" customHeight="1" x14ac:dyDescent="0.2">
      <c r="G9883" s="889"/>
    </row>
    <row r="9884" spans="7:7" ht="10.5" customHeight="1" x14ac:dyDescent="0.2">
      <c r="G9884" s="889"/>
    </row>
    <row r="9885" spans="7:7" ht="10.5" customHeight="1" x14ac:dyDescent="0.2">
      <c r="G9885" s="889"/>
    </row>
    <row r="9886" spans="7:7" ht="10.5" customHeight="1" x14ac:dyDescent="0.2">
      <c r="G9886" s="889"/>
    </row>
    <row r="9887" spans="7:7" ht="10.5" customHeight="1" x14ac:dyDescent="0.2">
      <c r="G9887" s="889"/>
    </row>
    <row r="9888" spans="7:7" ht="10.5" customHeight="1" x14ac:dyDescent="0.2">
      <c r="G9888" s="889"/>
    </row>
    <row r="9889" spans="7:7" ht="10.5" customHeight="1" x14ac:dyDescent="0.2">
      <c r="G9889" s="889"/>
    </row>
    <row r="9890" spans="7:7" ht="10.5" customHeight="1" x14ac:dyDescent="0.2">
      <c r="G9890" s="889"/>
    </row>
    <row r="9891" spans="7:7" ht="10.5" customHeight="1" x14ac:dyDescent="0.2">
      <c r="G9891" s="889"/>
    </row>
    <row r="9892" spans="7:7" ht="10.5" customHeight="1" x14ac:dyDescent="0.2">
      <c r="G9892" s="889"/>
    </row>
    <row r="9893" spans="7:7" ht="10.5" customHeight="1" x14ac:dyDescent="0.2">
      <c r="G9893" s="889"/>
    </row>
    <row r="9894" spans="7:7" ht="10.5" customHeight="1" x14ac:dyDescent="0.2">
      <c r="G9894" s="889"/>
    </row>
    <row r="9895" spans="7:7" ht="10.5" customHeight="1" x14ac:dyDescent="0.2">
      <c r="G9895" s="889"/>
    </row>
    <row r="9896" spans="7:7" ht="10.5" customHeight="1" x14ac:dyDescent="0.2">
      <c r="G9896" s="889"/>
    </row>
    <row r="9897" spans="7:7" ht="10.5" customHeight="1" x14ac:dyDescent="0.2">
      <c r="G9897" s="889"/>
    </row>
    <row r="9898" spans="7:7" ht="10.5" customHeight="1" x14ac:dyDescent="0.2">
      <c r="G9898" s="889"/>
    </row>
    <row r="9899" spans="7:7" ht="10.5" customHeight="1" x14ac:dyDescent="0.2">
      <c r="G9899" s="889"/>
    </row>
    <row r="9900" spans="7:7" ht="10.5" customHeight="1" x14ac:dyDescent="0.2">
      <c r="G9900" s="889"/>
    </row>
    <row r="9901" spans="7:7" ht="10.5" customHeight="1" x14ac:dyDescent="0.2">
      <c r="G9901" s="889"/>
    </row>
    <row r="9902" spans="7:7" ht="10.5" customHeight="1" x14ac:dyDescent="0.2">
      <c r="G9902" s="889"/>
    </row>
    <row r="9903" spans="7:7" ht="10.5" customHeight="1" x14ac:dyDescent="0.2">
      <c r="G9903" s="889"/>
    </row>
    <row r="9904" spans="7:7" ht="10.5" customHeight="1" x14ac:dyDescent="0.2">
      <c r="G9904" s="889"/>
    </row>
    <row r="9905" spans="7:7" ht="10.5" customHeight="1" x14ac:dyDescent="0.2">
      <c r="G9905" s="889"/>
    </row>
    <row r="9906" spans="7:7" ht="10.5" customHeight="1" x14ac:dyDescent="0.2">
      <c r="G9906" s="889"/>
    </row>
    <row r="9907" spans="7:7" ht="10.5" customHeight="1" x14ac:dyDescent="0.2">
      <c r="G9907" s="889"/>
    </row>
    <row r="9908" spans="7:7" ht="10.5" customHeight="1" x14ac:dyDescent="0.2">
      <c r="G9908" s="889"/>
    </row>
    <row r="9909" spans="7:7" ht="10.5" customHeight="1" x14ac:dyDescent="0.2">
      <c r="G9909" s="889"/>
    </row>
    <row r="9910" spans="7:7" ht="10.5" customHeight="1" x14ac:dyDescent="0.2">
      <c r="G9910" s="889"/>
    </row>
    <row r="9911" spans="7:7" ht="10.5" customHeight="1" x14ac:dyDescent="0.2">
      <c r="G9911" s="889"/>
    </row>
    <row r="9912" spans="7:7" ht="10.5" customHeight="1" x14ac:dyDescent="0.2">
      <c r="G9912" s="889"/>
    </row>
    <row r="9913" spans="7:7" ht="10.5" customHeight="1" x14ac:dyDescent="0.2">
      <c r="G9913" s="889"/>
    </row>
    <row r="9914" spans="7:7" ht="10.5" customHeight="1" x14ac:dyDescent="0.2">
      <c r="G9914" s="889"/>
    </row>
    <row r="9915" spans="7:7" ht="10.5" customHeight="1" x14ac:dyDescent="0.2">
      <c r="G9915" s="889"/>
    </row>
    <row r="9916" spans="7:7" ht="10.5" customHeight="1" x14ac:dyDescent="0.2">
      <c r="G9916" s="889"/>
    </row>
    <row r="9917" spans="7:7" ht="10.5" customHeight="1" x14ac:dyDescent="0.2">
      <c r="G9917" s="889"/>
    </row>
    <row r="9918" spans="7:7" ht="10.5" customHeight="1" x14ac:dyDescent="0.2">
      <c r="G9918" s="889"/>
    </row>
    <row r="9919" spans="7:7" ht="10.5" customHeight="1" x14ac:dyDescent="0.2">
      <c r="G9919" s="889"/>
    </row>
    <row r="9920" spans="7:7" ht="10.5" customHeight="1" x14ac:dyDescent="0.2">
      <c r="G9920" s="889"/>
    </row>
    <row r="9921" spans="7:7" ht="10.5" customHeight="1" x14ac:dyDescent="0.2">
      <c r="G9921" s="889"/>
    </row>
    <row r="9922" spans="7:7" ht="10.5" customHeight="1" x14ac:dyDescent="0.2">
      <c r="G9922" s="889"/>
    </row>
    <row r="9923" spans="7:7" ht="10.5" customHeight="1" x14ac:dyDescent="0.2">
      <c r="G9923" s="889"/>
    </row>
    <row r="9924" spans="7:7" ht="10.5" customHeight="1" x14ac:dyDescent="0.2">
      <c r="G9924" s="889"/>
    </row>
    <row r="9925" spans="7:7" ht="10.5" customHeight="1" x14ac:dyDescent="0.2">
      <c r="G9925" s="889"/>
    </row>
    <row r="9926" spans="7:7" ht="10.5" customHeight="1" x14ac:dyDescent="0.2">
      <c r="G9926" s="889"/>
    </row>
    <row r="9927" spans="7:7" ht="10.5" customHeight="1" x14ac:dyDescent="0.2">
      <c r="G9927" s="889"/>
    </row>
    <row r="9928" spans="7:7" ht="10.5" customHeight="1" x14ac:dyDescent="0.2">
      <c r="G9928" s="889"/>
    </row>
    <row r="9929" spans="7:7" ht="10.5" customHeight="1" x14ac:dyDescent="0.2">
      <c r="G9929" s="889"/>
    </row>
    <row r="9930" spans="7:7" ht="10.5" customHeight="1" x14ac:dyDescent="0.2">
      <c r="G9930" s="889"/>
    </row>
    <row r="9931" spans="7:7" ht="10.5" customHeight="1" x14ac:dyDescent="0.2">
      <c r="G9931" s="889"/>
    </row>
    <row r="9932" spans="7:7" ht="10.5" customHeight="1" x14ac:dyDescent="0.2">
      <c r="G9932" s="889"/>
    </row>
    <row r="9933" spans="7:7" ht="10.5" customHeight="1" x14ac:dyDescent="0.2">
      <c r="G9933" s="889"/>
    </row>
    <row r="9934" spans="7:7" ht="10.5" customHeight="1" x14ac:dyDescent="0.2">
      <c r="G9934" s="889"/>
    </row>
    <row r="9935" spans="7:7" ht="10.5" customHeight="1" x14ac:dyDescent="0.2">
      <c r="G9935" s="889"/>
    </row>
    <row r="9936" spans="7:7" ht="10.5" customHeight="1" x14ac:dyDescent="0.2">
      <c r="G9936" s="889"/>
    </row>
    <row r="9937" spans="7:7" ht="10.5" customHeight="1" x14ac:dyDescent="0.2">
      <c r="G9937" s="889"/>
    </row>
    <row r="9938" spans="7:7" ht="10.5" customHeight="1" x14ac:dyDescent="0.2">
      <c r="G9938" s="889"/>
    </row>
    <row r="9939" spans="7:7" ht="10.5" customHeight="1" x14ac:dyDescent="0.2">
      <c r="G9939" s="889"/>
    </row>
    <row r="9940" spans="7:7" ht="10.5" customHeight="1" x14ac:dyDescent="0.2">
      <c r="G9940" s="889"/>
    </row>
    <row r="9941" spans="7:7" ht="10.5" customHeight="1" x14ac:dyDescent="0.2">
      <c r="G9941" s="889"/>
    </row>
    <row r="9942" spans="7:7" ht="10.5" customHeight="1" x14ac:dyDescent="0.2">
      <c r="G9942" s="889"/>
    </row>
    <row r="9943" spans="7:7" ht="10.5" customHeight="1" x14ac:dyDescent="0.2">
      <c r="G9943" s="889"/>
    </row>
    <row r="9944" spans="7:7" ht="10.5" customHeight="1" x14ac:dyDescent="0.2">
      <c r="G9944" s="889"/>
    </row>
    <row r="9945" spans="7:7" ht="10.5" customHeight="1" x14ac:dyDescent="0.2">
      <c r="G9945" s="889"/>
    </row>
    <row r="9946" spans="7:7" ht="10.5" customHeight="1" x14ac:dyDescent="0.2">
      <c r="G9946" s="889"/>
    </row>
    <row r="9947" spans="7:7" ht="10.5" customHeight="1" x14ac:dyDescent="0.2">
      <c r="G9947" s="889"/>
    </row>
    <row r="9948" spans="7:7" ht="10.5" customHeight="1" x14ac:dyDescent="0.2">
      <c r="G9948" s="889"/>
    </row>
    <row r="9949" spans="7:7" ht="10.5" customHeight="1" x14ac:dyDescent="0.2">
      <c r="G9949" s="889"/>
    </row>
    <row r="9950" spans="7:7" ht="10.5" customHeight="1" x14ac:dyDescent="0.2">
      <c r="G9950" s="889"/>
    </row>
    <row r="9951" spans="7:7" ht="10.5" customHeight="1" x14ac:dyDescent="0.2">
      <c r="G9951" s="889"/>
    </row>
    <row r="9952" spans="7:7" ht="10.5" customHeight="1" x14ac:dyDescent="0.2">
      <c r="G9952" s="889"/>
    </row>
    <row r="9953" spans="7:7" ht="10.5" customHeight="1" x14ac:dyDescent="0.2">
      <c r="G9953" s="889"/>
    </row>
    <row r="9954" spans="7:7" ht="10.5" customHeight="1" x14ac:dyDescent="0.2">
      <c r="G9954" s="889"/>
    </row>
    <row r="9955" spans="7:7" ht="10.5" customHeight="1" x14ac:dyDescent="0.2">
      <c r="G9955" s="889"/>
    </row>
    <row r="9956" spans="7:7" ht="10.5" customHeight="1" x14ac:dyDescent="0.2">
      <c r="G9956" s="889"/>
    </row>
    <row r="9957" spans="7:7" ht="10.5" customHeight="1" x14ac:dyDescent="0.2">
      <c r="G9957" s="889"/>
    </row>
    <row r="9958" spans="7:7" ht="10.5" customHeight="1" x14ac:dyDescent="0.2">
      <c r="G9958" s="889"/>
    </row>
    <row r="9959" spans="7:7" ht="10.5" customHeight="1" x14ac:dyDescent="0.2">
      <c r="G9959" s="889"/>
    </row>
    <row r="9960" spans="7:7" ht="10.5" customHeight="1" x14ac:dyDescent="0.2">
      <c r="G9960" s="889"/>
    </row>
    <row r="9961" spans="7:7" ht="10.5" customHeight="1" x14ac:dyDescent="0.2">
      <c r="G9961" s="889"/>
    </row>
    <row r="9962" spans="7:7" ht="10.5" customHeight="1" x14ac:dyDescent="0.2">
      <c r="G9962" s="889"/>
    </row>
    <row r="9963" spans="7:7" ht="10.5" customHeight="1" x14ac:dyDescent="0.2">
      <c r="G9963" s="889"/>
    </row>
    <row r="9964" spans="7:7" ht="10.5" customHeight="1" x14ac:dyDescent="0.2">
      <c r="G9964" s="889"/>
    </row>
    <row r="9965" spans="7:7" ht="10.5" customHeight="1" x14ac:dyDescent="0.2">
      <c r="G9965" s="889"/>
    </row>
    <row r="9966" spans="7:7" ht="10.5" customHeight="1" x14ac:dyDescent="0.2">
      <c r="G9966" s="889"/>
    </row>
    <row r="9967" spans="7:7" ht="10.5" customHeight="1" x14ac:dyDescent="0.2">
      <c r="G9967" s="889"/>
    </row>
    <row r="9968" spans="7:7" ht="10.5" customHeight="1" x14ac:dyDescent="0.2">
      <c r="G9968" s="889"/>
    </row>
    <row r="9969" spans="7:7" ht="10.5" customHeight="1" x14ac:dyDescent="0.2">
      <c r="G9969" s="889"/>
    </row>
    <row r="9970" spans="7:7" ht="10.5" customHeight="1" x14ac:dyDescent="0.2">
      <c r="G9970" s="889"/>
    </row>
    <row r="9971" spans="7:7" ht="10.5" customHeight="1" x14ac:dyDescent="0.2">
      <c r="G9971" s="889"/>
    </row>
    <row r="9972" spans="7:7" ht="10.5" customHeight="1" x14ac:dyDescent="0.2">
      <c r="G9972" s="889"/>
    </row>
    <row r="9973" spans="7:7" ht="10.5" customHeight="1" x14ac:dyDescent="0.2">
      <c r="G9973" s="889"/>
    </row>
    <row r="9974" spans="7:7" ht="10.5" customHeight="1" x14ac:dyDescent="0.2">
      <c r="G9974" s="889"/>
    </row>
    <row r="9975" spans="7:7" ht="10.5" customHeight="1" x14ac:dyDescent="0.2">
      <c r="G9975" s="889"/>
    </row>
    <row r="9976" spans="7:7" ht="10.5" customHeight="1" x14ac:dyDescent="0.2">
      <c r="G9976" s="889"/>
    </row>
    <row r="9977" spans="7:7" ht="10.5" customHeight="1" x14ac:dyDescent="0.2">
      <c r="G9977" s="889"/>
    </row>
    <row r="9978" spans="7:7" ht="10.5" customHeight="1" x14ac:dyDescent="0.2">
      <c r="G9978" s="889"/>
    </row>
    <row r="9979" spans="7:7" ht="10.5" customHeight="1" x14ac:dyDescent="0.2">
      <c r="G9979" s="889"/>
    </row>
    <row r="9980" spans="7:7" ht="10.5" customHeight="1" x14ac:dyDescent="0.2">
      <c r="G9980" s="889"/>
    </row>
    <row r="9981" spans="7:7" ht="10.5" customHeight="1" x14ac:dyDescent="0.2">
      <c r="G9981" s="889"/>
    </row>
    <row r="9982" spans="7:7" ht="10.5" customHeight="1" x14ac:dyDescent="0.2">
      <c r="G9982" s="889"/>
    </row>
    <row r="9983" spans="7:7" ht="10.5" customHeight="1" x14ac:dyDescent="0.2">
      <c r="G9983" s="889"/>
    </row>
    <row r="9984" spans="7:7" ht="10.5" customHeight="1" x14ac:dyDescent="0.2">
      <c r="G9984" s="889"/>
    </row>
    <row r="9985" spans="7:7" ht="10.5" customHeight="1" x14ac:dyDescent="0.2">
      <c r="G9985" s="889"/>
    </row>
    <row r="9986" spans="7:7" ht="10.5" customHeight="1" x14ac:dyDescent="0.2">
      <c r="G9986" s="889"/>
    </row>
    <row r="9987" spans="7:7" ht="10.5" customHeight="1" x14ac:dyDescent="0.2">
      <c r="G9987" s="889"/>
    </row>
    <row r="9988" spans="7:7" ht="10.5" customHeight="1" x14ac:dyDescent="0.2">
      <c r="G9988" s="889"/>
    </row>
    <row r="9989" spans="7:7" ht="10.5" customHeight="1" x14ac:dyDescent="0.2">
      <c r="G9989" s="889"/>
    </row>
    <row r="9990" spans="7:7" ht="10.5" customHeight="1" x14ac:dyDescent="0.2">
      <c r="G9990" s="889"/>
    </row>
    <row r="9991" spans="7:7" ht="10.5" customHeight="1" x14ac:dyDescent="0.2">
      <c r="G9991" s="889"/>
    </row>
    <row r="9992" spans="7:7" ht="10.5" customHeight="1" x14ac:dyDescent="0.2">
      <c r="G9992" s="889"/>
    </row>
    <row r="9993" spans="7:7" ht="10.5" customHeight="1" x14ac:dyDescent="0.2">
      <c r="G9993" s="889"/>
    </row>
    <row r="9994" spans="7:7" ht="10.5" customHeight="1" x14ac:dyDescent="0.2">
      <c r="G9994" s="889"/>
    </row>
    <row r="9995" spans="7:7" ht="10.5" customHeight="1" x14ac:dyDescent="0.2">
      <c r="G9995" s="889"/>
    </row>
    <row r="9996" spans="7:7" ht="10.5" customHeight="1" x14ac:dyDescent="0.2">
      <c r="G9996" s="889"/>
    </row>
    <row r="9997" spans="7:7" ht="10.5" customHeight="1" x14ac:dyDescent="0.2">
      <c r="G9997" s="889"/>
    </row>
    <row r="9998" spans="7:7" ht="10.5" customHeight="1" x14ac:dyDescent="0.2">
      <c r="G9998" s="889"/>
    </row>
    <row r="9999" spans="7:7" ht="10.5" customHeight="1" x14ac:dyDescent="0.2">
      <c r="G9999" s="889"/>
    </row>
    <row r="10000" spans="7:7" ht="10.5" customHeight="1" x14ac:dyDescent="0.2">
      <c r="G10000" s="889"/>
    </row>
    <row r="10001" spans="7:7" ht="10.5" customHeight="1" x14ac:dyDescent="0.2">
      <c r="G10001" s="889"/>
    </row>
    <row r="10002" spans="7:7" ht="10.5" customHeight="1" x14ac:dyDescent="0.2">
      <c r="G10002" s="889"/>
    </row>
    <row r="10003" spans="7:7" ht="10.5" customHeight="1" x14ac:dyDescent="0.2">
      <c r="G10003" s="889"/>
    </row>
    <row r="10004" spans="7:7" ht="10.5" customHeight="1" x14ac:dyDescent="0.2">
      <c r="G10004" s="889"/>
    </row>
    <row r="10005" spans="7:7" ht="10.5" customHeight="1" x14ac:dyDescent="0.2">
      <c r="G10005" s="889"/>
    </row>
    <row r="10006" spans="7:7" ht="10.5" customHeight="1" x14ac:dyDescent="0.2">
      <c r="G10006" s="889"/>
    </row>
    <row r="10007" spans="7:7" ht="10.5" customHeight="1" x14ac:dyDescent="0.2">
      <c r="G10007" s="889"/>
    </row>
    <row r="10008" spans="7:7" ht="10.5" customHeight="1" x14ac:dyDescent="0.2">
      <c r="G10008" s="889"/>
    </row>
    <row r="10009" spans="7:7" ht="10.5" customHeight="1" x14ac:dyDescent="0.2">
      <c r="G10009" s="889"/>
    </row>
    <row r="10010" spans="7:7" ht="10.5" customHeight="1" x14ac:dyDescent="0.2">
      <c r="G10010" s="889"/>
    </row>
    <row r="10011" spans="7:7" ht="10.5" customHeight="1" x14ac:dyDescent="0.2">
      <c r="G10011" s="889"/>
    </row>
    <row r="10012" spans="7:7" ht="10.5" customHeight="1" x14ac:dyDescent="0.2">
      <c r="G10012" s="889"/>
    </row>
    <row r="10013" spans="7:7" ht="10.5" customHeight="1" x14ac:dyDescent="0.2">
      <c r="G10013" s="889"/>
    </row>
    <row r="10014" spans="7:7" ht="10.5" customHeight="1" x14ac:dyDescent="0.2">
      <c r="G10014" s="889"/>
    </row>
    <row r="10015" spans="7:7" ht="10.5" customHeight="1" x14ac:dyDescent="0.2">
      <c r="G10015" s="889"/>
    </row>
    <row r="10016" spans="7:7" ht="10.5" customHeight="1" x14ac:dyDescent="0.2">
      <c r="G10016" s="889"/>
    </row>
    <row r="10017" spans="7:7" ht="10.5" customHeight="1" x14ac:dyDescent="0.2">
      <c r="G10017" s="889"/>
    </row>
    <row r="10018" spans="7:7" ht="10.5" customHeight="1" x14ac:dyDescent="0.2">
      <c r="G10018" s="889"/>
    </row>
    <row r="10019" spans="7:7" ht="10.5" customHeight="1" x14ac:dyDescent="0.2">
      <c r="G10019" s="889"/>
    </row>
    <row r="10020" spans="7:7" ht="10.5" customHeight="1" x14ac:dyDescent="0.2">
      <c r="G10020" s="889"/>
    </row>
    <row r="10021" spans="7:7" ht="10.5" customHeight="1" x14ac:dyDescent="0.2">
      <c r="G10021" s="889"/>
    </row>
    <row r="10022" spans="7:7" ht="10.5" customHeight="1" x14ac:dyDescent="0.2">
      <c r="G10022" s="889"/>
    </row>
    <row r="10023" spans="7:7" ht="10.5" customHeight="1" x14ac:dyDescent="0.2">
      <c r="G10023" s="889"/>
    </row>
    <row r="10024" spans="7:7" ht="10.5" customHeight="1" x14ac:dyDescent="0.2">
      <c r="G10024" s="889"/>
    </row>
    <row r="10025" spans="7:7" ht="10.5" customHeight="1" x14ac:dyDescent="0.2">
      <c r="G10025" s="889"/>
    </row>
    <row r="10026" spans="7:7" ht="10.5" customHeight="1" x14ac:dyDescent="0.2">
      <c r="G10026" s="889"/>
    </row>
    <row r="10027" spans="7:7" ht="10.5" customHeight="1" x14ac:dyDescent="0.2">
      <c r="G10027" s="889"/>
    </row>
    <row r="10028" spans="7:7" ht="10.5" customHeight="1" x14ac:dyDescent="0.2">
      <c r="G10028" s="889"/>
    </row>
    <row r="10029" spans="7:7" ht="10.5" customHeight="1" x14ac:dyDescent="0.2">
      <c r="G10029" s="889"/>
    </row>
    <row r="10030" spans="7:7" ht="10.5" customHeight="1" x14ac:dyDescent="0.2">
      <c r="G10030" s="889"/>
    </row>
    <row r="10031" spans="7:7" ht="10.5" customHeight="1" x14ac:dyDescent="0.2">
      <c r="G10031" s="889"/>
    </row>
    <row r="10032" spans="7:7" ht="10.5" customHeight="1" x14ac:dyDescent="0.2">
      <c r="G10032" s="889"/>
    </row>
    <row r="10033" spans="7:7" ht="10.5" customHeight="1" x14ac:dyDescent="0.2">
      <c r="G10033" s="889"/>
    </row>
    <row r="10034" spans="7:7" ht="10.5" customHeight="1" x14ac:dyDescent="0.2">
      <c r="G10034" s="889"/>
    </row>
    <row r="10035" spans="7:7" ht="10.5" customHeight="1" x14ac:dyDescent="0.2">
      <c r="G10035" s="889"/>
    </row>
    <row r="10036" spans="7:7" ht="10.5" customHeight="1" x14ac:dyDescent="0.2">
      <c r="G10036" s="889"/>
    </row>
    <row r="10037" spans="7:7" ht="10.5" customHeight="1" x14ac:dyDescent="0.2">
      <c r="G10037" s="889"/>
    </row>
    <row r="10038" spans="7:7" ht="10.5" customHeight="1" x14ac:dyDescent="0.2">
      <c r="G10038" s="889"/>
    </row>
    <row r="10039" spans="7:7" ht="10.5" customHeight="1" x14ac:dyDescent="0.2">
      <c r="G10039" s="889"/>
    </row>
    <row r="10040" spans="7:7" ht="10.5" customHeight="1" x14ac:dyDescent="0.2">
      <c r="G10040" s="889"/>
    </row>
    <row r="10041" spans="7:7" ht="10.5" customHeight="1" x14ac:dyDescent="0.2">
      <c r="G10041" s="889"/>
    </row>
    <row r="10042" spans="7:7" ht="10.5" customHeight="1" x14ac:dyDescent="0.2">
      <c r="G10042" s="889"/>
    </row>
    <row r="10043" spans="7:7" ht="10.5" customHeight="1" x14ac:dyDescent="0.2">
      <c r="G10043" s="889"/>
    </row>
    <row r="10044" spans="7:7" ht="10.5" customHeight="1" x14ac:dyDescent="0.2">
      <c r="G10044" s="889"/>
    </row>
    <row r="10045" spans="7:7" ht="10.5" customHeight="1" x14ac:dyDescent="0.2">
      <c r="G10045" s="889"/>
    </row>
    <row r="10046" spans="7:7" ht="10.5" customHeight="1" x14ac:dyDescent="0.2">
      <c r="G10046" s="889"/>
    </row>
    <row r="10047" spans="7:7" ht="10.5" customHeight="1" x14ac:dyDescent="0.2">
      <c r="G10047" s="889"/>
    </row>
    <row r="10048" spans="7:7" ht="10.5" customHeight="1" x14ac:dyDescent="0.2">
      <c r="G10048" s="889"/>
    </row>
    <row r="10049" spans="7:7" ht="10.5" customHeight="1" x14ac:dyDescent="0.2">
      <c r="G10049" s="889"/>
    </row>
    <row r="10050" spans="7:7" ht="10.5" customHeight="1" x14ac:dyDescent="0.2">
      <c r="G10050" s="889"/>
    </row>
    <row r="10051" spans="7:7" ht="10.5" customHeight="1" x14ac:dyDescent="0.2">
      <c r="G10051" s="889"/>
    </row>
    <row r="10052" spans="7:7" ht="10.5" customHeight="1" x14ac:dyDescent="0.2">
      <c r="G10052" s="889"/>
    </row>
    <row r="10053" spans="7:7" ht="10.5" customHeight="1" x14ac:dyDescent="0.2">
      <c r="G10053" s="889"/>
    </row>
    <row r="10054" spans="7:7" ht="10.5" customHeight="1" x14ac:dyDescent="0.2">
      <c r="G10054" s="889"/>
    </row>
    <row r="10055" spans="7:7" ht="10.5" customHeight="1" x14ac:dyDescent="0.2">
      <c r="G10055" s="889"/>
    </row>
    <row r="10056" spans="7:7" ht="10.5" customHeight="1" x14ac:dyDescent="0.2">
      <c r="G10056" s="889"/>
    </row>
    <row r="10057" spans="7:7" ht="10.5" customHeight="1" x14ac:dyDescent="0.2">
      <c r="G10057" s="889"/>
    </row>
    <row r="10058" spans="7:7" ht="10.5" customHeight="1" x14ac:dyDescent="0.2">
      <c r="G10058" s="889"/>
    </row>
    <row r="10059" spans="7:7" ht="10.5" customHeight="1" x14ac:dyDescent="0.2">
      <c r="G10059" s="889"/>
    </row>
    <row r="10060" spans="7:7" ht="10.5" customHeight="1" x14ac:dyDescent="0.2">
      <c r="G10060" s="889"/>
    </row>
    <row r="10061" spans="7:7" ht="10.5" customHeight="1" x14ac:dyDescent="0.2">
      <c r="G10061" s="889"/>
    </row>
    <row r="10062" spans="7:7" ht="10.5" customHeight="1" x14ac:dyDescent="0.2">
      <c r="G10062" s="889"/>
    </row>
    <row r="10063" spans="7:7" ht="10.5" customHeight="1" x14ac:dyDescent="0.2">
      <c r="G10063" s="889"/>
    </row>
    <row r="10064" spans="7:7" ht="10.5" customHeight="1" x14ac:dyDescent="0.2">
      <c r="G10064" s="889"/>
    </row>
    <row r="10065" spans="7:7" ht="10.5" customHeight="1" x14ac:dyDescent="0.2">
      <c r="G10065" s="889"/>
    </row>
    <row r="10066" spans="7:7" ht="10.5" customHeight="1" x14ac:dyDescent="0.2">
      <c r="G10066" s="889"/>
    </row>
    <row r="10067" spans="7:7" ht="10.5" customHeight="1" x14ac:dyDescent="0.2">
      <c r="G10067" s="889"/>
    </row>
    <row r="10068" spans="7:7" ht="10.5" customHeight="1" x14ac:dyDescent="0.2">
      <c r="G10068" s="889"/>
    </row>
    <row r="10069" spans="7:7" ht="10.5" customHeight="1" x14ac:dyDescent="0.2">
      <c r="G10069" s="889"/>
    </row>
    <row r="10070" spans="7:7" ht="10.5" customHeight="1" x14ac:dyDescent="0.2">
      <c r="G10070" s="889"/>
    </row>
    <row r="10071" spans="7:7" ht="10.5" customHeight="1" x14ac:dyDescent="0.2">
      <c r="G10071" s="889"/>
    </row>
    <row r="10072" spans="7:7" ht="10.5" customHeight="1" x14ac:dyDescent="0.2">
      <c r="G10072" s="889"/>
    </row>
    <row r="10073" spans="7:7" ht="10.5" customHeight="1" x14ac:dyDescent="0.2">
      <c r="G10073" s="889"/>
    </row>
    <row r="10074" spans="7:7" ht="10.5" customHeight="1" x14ac:dyDescent="0.2">
      <c r="G10074" s="889"/>
    </row>
    <row r="10075" spans="7:7" ht="10.5" customHeight="1" x14ac:dyDescent="0.2">
      <c r="G10075" s="889"/>
    </row>
    <row r="10076" spans="7:7" ht="10.5" customHeight="1" x14ac:dyDescent="0.2">
      <c r="G10076" s="889"/>
    </row>
    <row r="10077" spans="7:7" ht="10.5" customHeight="1" x14ac:dyDescent="0.2">
      <c r="G10077" s="889"/>
    </row>
    <row r="10078" spans="7:7" ht="10.5" customHeight="1" x14ac:dyDescent="0.2">
      <c r="G10078" s="889"/>
    </row>
    <row r="10079" spans="7:7" ht="10.5" customHeight="1" x14ac:dyDescent="0.2">
      <c r="G10079" s="889"/>
    </row>
    <row r="10080" spans="7:7" ht="10.5" customHeight="1" x14ac:dyDescent="0.2">
      <c r="G10080" s="889"/>
    </row>
    <row r="10081" spans="7:7" ht="10.5" customHeight="1" x14ac:dyDescent="0.2">
      <c r="G10081" s="889"/>
    </row>
    <row r="10082" spans="7:7" ht="10.5" customHeight="1" x14ac:dyDescent="0.2">
      <c r="G10082" s="889"/>
    </row>
    <row r="10083" spans="7:7" ht="10.5" customHeight="1" x14ac:dyDescent="0.2">
      <c r="G10083" s="889"/>
    </row>
    <row r="10084" spans="7:7" ht="10.5" customHeight="1" x14ac:dyDescent="0.2">
      <c r="G10084" s="889"/>
    </row>
    <row r="10085" spans="7:7" ht="10.5" customHeight="1" x14ac:dyDescent="0.2">
      <c r="G10085" s="889"/>
    </row>
    <row r="10086" spans="7:7" ht="10.5" customHeight="1" x14ac:dyDescent="0.2">
      <c r="G10086" s="889"/>
    </row>
    <row r="10087" spans="7:7" ht="10.5" customHeight="1" x14ac:dyDescent="0.2">
      <c r="G10087" s="889"/>
    </row>
    <row r="10088" spans="7:7" ht="10.5" customHeight="1" x14ac:dyDescent="0.2">
      <c r="G10088" s="889"/>
    </row>
    <row r="10089" spans="7:7" ht="10.5" customHeight="1" x14ac:dyDescent="0.2">
      <c r="G10089" s="889"/>
    </row>
    <row r="10090" spans="7:7" ht="10.5" customHeight="1" x14ac:dyDescent="0.2">
      <c r="G10090" s="889"/>
    </row>
    <row r="10091" spans="7:7" ht="10.5" customHeight="1" x14ac:dyDescent="0.2">
      <c r="G10091" s="889"/>
    </row>
    <row r="10092" spans="7:7" ht="10.5" customHeight="1" x14ac:dyDescent="0.2">
      <c r="G10092" s="889"/>
    </row>
    <row r="10093" spans="7:7" ht="10.5" customHeight="1" x14ac:dyDescent="0.2">
      <c r="G10093" s="889"/>
    </row>
    <row r="10094" spans="7:7" ht="10.5" customHeight="1" x14ac:dyDescent="0.2">
      <c r="G10094" s="889"/>
    </row>
    <row r="10095" spans="7:7" ht="10.5" customHeight="1" x14ac:dyDescent="0.2">
      <c r="G10095" s="889"/>
    </row>
    <row r="10096" spans="7:7" ht="10.5" customHeight="1" x14ac:dyDescent="0.2">
      <c r="G10096" s="889"/>
    </row>
    <row r="10097" spans="7:7" ht="10.5" customHeight="1" x14ac:dyDescent="0.2">
      <c r="G10097" s="889"/>
    </row>
    <row r="10098" spans="7:7" ht="10.5" customHeight="1" x14ac:dyDescent="0.2">
      <c r="G10098" s="889"/>
    </row>
    <row r="10099" spans="7:7" ht="10.5" customHeight="1" x14ac:dyDescent="0.2">
      <c r="G10099" s="889"/>
    </row>
    <row r="10100" spans="7:7" ht="10.5" customHeight="1" x14ac:dyDescent="0.2">
      <c r="G10100" s="889"/>
    </row>
    <row r="10101" spans="7:7" ht="10.5" customHeight="1" x14ac:dyDescent="0.2">
      <c r="G10101" s="889"/>
    </row>
    <row r="10102" spans="7:7" ht="10.5" customHeight="1" x14ac:dyDescent="0.2">
      <c r="G10102" s="889"/>
    </row>
    <row r="10103" spans="7:7" ht="10.5" customHeight="1" x14ac:dyDescent="0.2">
      <c r="G10103" s="889"/>
    </row>
    <row r="10104" spans="7:7" ht="10.5" customHeight="1" x14ac:dyDescent="0.2">
      <c r="G10104" s="889"/>
    </row>
    <row r="10105" spans="7:7" ht="10.5" customHeight="1" x14ac:dyDescent="0.2">
      <c r="G10105" s="889"/>
    </row>
    <row r="10106" spans="7:7" ht="10.5" customHeight="1" x14ac:dyDescent="0.2">
      <c r="G10106" s="889"/>
    </row>
    <row r="10107" spans="7:7" ht="10.5" customHeight="1" x14ac:dyDescent="0.2">
      <c r="G10107" s="889"/>
    </row>
    <row r="10108" spans="7:7" ht="10.5" customHeight="1" x14ac:dyDescent="0.2">
      <c r="G10108" s="889"/>
    </row>
    <row r="10109" spans="7:7" ht="10.5" customHeight="1" x14ac:dyDescent="0.2">
      <c r="G10109" s="889"/>
    </row>
    <row r="10110" spans="7:7" ht="10.5" customHeight="1" x14ac:dyDescent="0.2">
      <c r="G10110" s="889"/>
    </row>
    <row r="10111" spans="7:7" ht="10.5" customHeight="1" x14ac:dyDescent="0.2">
      <c r="G10111" s="889"/>
    </row>
    <row r="10112" spans="7:7" ht="10.5" customHeight="1" x14ac:dyDescent="0.2">
      <c r="G10112" s="889"/>
    </row>
    <row r="10113" spans="7:7" ht="10.5" customHeight="1" x14ac:dyDescent="0.2">
      <c r="G10113" s="889"/>
    </row>
    <row r="10114" spans="7:7" ht="10.5" customHeight="1" x14ac:dyDescent="0.2">
      <c r="G10114" s="889"/>
    </row>
    <row r="10115" spans="7:7" ht="10.5" customHeight="1" x14ac:dyDescent="0.2">
      <c r="G10115" s="889"/>
    </row>
    <row r="10116" spans="7:7" ht="10.5" customHeight="1" x14ac:dyDescent="0.2">
      <c r="G10116" s="889"/>
    </row>
    <row r="10117" spans="7:7" ht="10.5" customHeight="1" x14ac:dyDescent="0.2">
      <c r="G10117" s="889"/>
    </row>
    <row r="10118" spans="7:7" ht="10.5" customHeight="1" x14ac:dyDescent="0.2">
      <c r="G10118" s="889"/>
    </row>
    <row r="10119" spans="7:7" ht="10.5" customHeight="1" x14ac:dyDescent="0.2">
      <c r="G10119" s="889"/>
    </row>
    <row r="10120" spans="7:7" ht="10.5" customHeight="1" x14ac:dyDescent="0.2">
      <c r="G10120" s="889"/>
    </row>
    <row r="10121" spans="7:7" ht="10.5" customHeight="1" x14ac:dyDescent="0.2">
      <c r="G10121" s="889"/>
    </row>
    <row r="10122" spans="7:7" ht="10.5" customHeight="1" x14ac:dyDescent="0.2">
      <c r="G10122" s="889"/>
    </row>
    <row r="10123" spans="7:7" ht="10.5" customHeight="1" x14ac:dyDescent="0.2">
      <c r="G10123" s="889"/>
    </row>
    <row r="10124" spans="7:7" ht="10.5" customHeight="1" x14ac:dyDescent="0.2">
      <c r="G10124" s="889"/>
    </row>
    <row r="10125" spans="7:7" ht="10.5" customHeight="1" x14ac:dyDescent="0.2">
      <c r="G10125" s="889"/>
    </row>
    <row r="10126" spans="7:7" ht="10.5" customHeight="1" x14ac:dyDescent="0.2">
      <c r="G10126" s="889"/>
    </row>
    <row r="10127" spans="7:7" ht="10.5" customHeight="1" x14ac:dyDescent="0.2">
      <c r="G10127" s="889"/>
    </row>
    <row r="10128" spans="7:7" ht="10.5" customHeight="1" x14ac:dyDescent="0.2">
      <c r="G10128" s="889"/>
    </row>
    <row r="10129" spans="7:7" ht="10.5" customHeight="1" x14ac:dyDescent="0.2">
      <c r="G10129" s="889"/>
    </row>
    <row r="10130" spans="7:7" ht="10.5" customHeight="1" x14ac:dyDescent="0.2">
      <c r="G10130" s="889"/>
    </row>
    <row r="10131" spans="7:7" ht="10.5" customHeight="1" x14ac:dyDescent="0.2">
      <c r="G10131" s="889"/>
    </row>
    <row r="10132" spans="7:7" ht="10.5" customHeight="1" x14ac:dyDescent="0.2">
      <c r="G10132" s="889"/>
    </row>
    <row r="10133" spans="7:7" ht="10.5" customHeight="1" x14ac:dyDescent="0.2">
      <c r="G10133" s="889"/>
    </row>
    <row r="10134" spans="7:7" ht="10.5" customHeight="1" x14ac:dyDescent="0.2">
      <c r="G10134" s="889"/>
    </row>
    <row r="10135" spans="7:7" ht="10.5" customHeight="1" x14ac:dyDescent="0.2">
      <c r="G10135" s="889"/>
    </row>
    <row r="10136" spans="7:7" ht="10.5" customHeight="1" x14ac:dyDescent="0.2">
      <c r="G10136" s="889"/>
    </row>
    <row r="10137" spans="7:7" ht="10.5" customHeight="1" x14ac:dyDescent="0.2">
      <c r="G10137" s="889"/>
    </row>
    <row r="10138" spans="7:7" ht="10.5" customHeight="1" x14ac:dyDescent="0.2">
      <c r="G10138" s="889"/>
    </row>
    <row r="10139" spans="7:7" ht="10.5" customHeight="1" x14ac:dyDescent="0.2">
      <c r="G10139" s="889"/>
    </row>
    <row r="10140" spans="7:7" ht="10.5" customHeight="1" x14ac:dyDescent="0.2">
      <c r="G10140" s="889"/>
    </row>
    <row r="10141" spans="7:7" ht="10.5" customHeight="1" x14ac:dyDescent="0.2">
      <c r="G10141" s="889"/>
    </row>
    <row r="10142" spans="7:7" ht="10.5" customHeight="1" x14ac:dyDescent="0.2">
      <c r="G10142" s="889"/>
    </row>
    <row r="10143" spans="7:7" ht="10.5" customHeight="1" x14ac:dyDescent="0.2">
      <c r="G10143" s="889"/>
    </row>
    <row r="10144" spans="7:7" ht="10.5" customHeight="1" x14ac:dyDescent="0.2">
      <c r="G10144" s="889"/>
    </row>
    <row r="10145" spans="7:7" ht="10.5" customHeight="1" x14ac:dyDescent="0.2">
      <c r="G10145" s="889"/>
    </row>
    <row r="10146" spans="7:7" ht="10.5" customHeight="1" x14ac:dyDescent="0.2">
      <c r="G10146" s="889"/>
    </row>
    <row r="10147" spans="7:7" ht="10.5" customHeight="1" x14ac:dyDescent="0.2">
      <c r="G10147" s="889"/>
    </row>
    <row r="10148" spans="7:7" ht="10.5" customHeight="1" x14ac:dyDescent="0.2">
      <c r="G10148" s="889"/>
    </row>
    <row r="10149" spans="7:7" ht="10.5" customHeight="1" x14ac:dyDescent="0.2">
      <c r="G10149" s="889"/>
    </row>
    <row r="10150" spans="7:7" ht="10.5" customHeight="1" x14ac:dyDescent="0.2">
      <c r="G10150" s="889"/>
    </row>
    <row r="10151" spans="7:7" ht="10.5" customHeight="1" x14ac:dyDescent="0.2">
      <c r="G10151" s="889"/>
    </row>
    <row r="10152" spans="7:7" ht="10.5" customHeight="1" x14ac:dyDescent="0.2">
      <c r="G10152" s="889"/>
    </row>
    <row r="10153" spans="7:7" ht="10.5" customHeight="1" x14ac:dyDescent="0.2">
      <c r="G10153" s="889"/>
    </row>
    <row r="10154" spans="7:7" ht="10.5" customHeight="1" x14ac:dyDescent="0.2">
      <c r="G10154" s="889"/>
    </row>
    <row r="10155" spans="7:7" ht="10.5" customHeight="1" x14ac:dyDescent="0.2">
      <c r="G10155" s="889"/>
    </row>
    <row r="10156" spans="7:7" ht="10.5" customHeight="1" x14ac:dyDescent="0.2">
      <c r="G10156" s="889"/>
    </row>
    <row r="10157" spans="7:7" ht="10.5" customHeight="1" x14ac:dyDescent="0.2">
      <c r="G10157" s="889"/>
    </row>
    <row r="10158" spans="7:7" ht="10.5" customHeight="1" x14ac:dyDescent="0.2">
      <c r="G10158" s="889"/>
    </row>
    <row r="10159" spans="7:7" ht="10.5" customHeight="1" x14ac:dyDescent="0.2">
      <c r="G10159" s="889"/>
    </row>
    <row r="10160" spans="7:7" ht="10.5" customHeight="1" x14ac:dyDescent="0.2">
      <c r="G10160" s="889"/>
    </row>
    <row r="10161" spans="7:7" ht="10.5" customHeight="1" x14ac:dyDescent="0.2">
      <c r="G10161" s="889"/>
    </row>
    <row r="10162" spans="7:7" ht="10.5" customHeight="1" x14ac:dyDescent="0.2">
      <c r="G10162" s="889"/>
    </row>
    <row r="10163" spans="7:7" ht="10.5" customHeight="1" x14ac:dyDescent="0.2">
      <c r="G10163" s="889"/>
    </row>
    <row r="10164" spans="7:7" ht="10.5" customHeight="1" x14ac:dyDescent="0.2">
      <c r="G10164" s="889"/>
    </row>
    <row r="10165" spans="7:7" ht="10.5" customHeight="1" x14ac:dyDescent="0.2">
      <c r="G10165" s="889"/>
    </row>
    <row r="10166" spans="7:7" ht="10.5" customHeight="1" x14ac:dyDescent="0.2">
      <c r="G10166" s="889"/>
    </row>
    <row r="10167" spans="7:7" ht="10.5" customHeight="1" x14ac:dyDescent="0.2">
      <c r="G10167" s="889"/>
    </row>
    <row r="10168" spans="7:7" ht="10.5" customHeight="1" x14ac:dyDescent="0.2">
      <c r="G10168" s="889"/>
    </row>
    <row r="10169" spans="7:7" ht="10.5" customHeight="1" x14ac:dyDescent="0.2">
      <c r="G10169" s="889"/>
    </row>
    <row r="10170" spans="7:7" ht="10.5" customHeight="1" x14ac:dyDescent="0.2">
      <c r="G10170" s="889"/>
    </row>
    <row r="10171" spans="7:7" ht="10.5" customHeight="1" x14ac:dyDescent="0.2">
      <c r="G10171" s="889"/>
    </row>
    <row r="10172" spans="7:7" ht="10.5" customHeight="1" x14ac:dyDescent="0.2">
      <c r="G10172" s="889"/>
    </row>
    <row r="10173" spans="7:7" ht="10.5" customHeight="1" x14ac:dyDescent="0.2">
      <c r="G10173" s="889"/>
    </row>
    <row r="10174" spans="7:7" ht="10.5" customHeight="1" x14ac:dyDescent="0.2">
      <c r="G10174" s="889"/>
    </row>
    <row r="10175" spans="7:7" ht="10.5" customHeight="1" x14ac:dyDescent="0.2">
      <c r="G10175" s="889"/>
    </row>
    <row r="10176" spans="7:7" ht="10.5" customHeight="1" x14ac:dyDescent="0.2">
      <c r="G10176" s="889"/>
    </row>
    <row r="10177" spans="7:7" ht="10.5" customHeight="1" x14ac:dyDescent="0.2">
      <c r="G10177" s="889"/>
    </row>
    <row r="10178" spans="7:7" ht="10.5" customHeight="1" x14ac:dyDescent="0.2">
      <c r="G10178" s="889"/>
    </row>
    <row r="10179" spans="7:7" ht="10.5" customHeight="1" x14ac:dyDescent="0.2">
      <c r="G10179" s="889"/>
    </row>
    <row r="10180" spans="7:7" ht="10.5" customHeight="1" x14ac:dyDescent="0.2">
      <c r="G10180" s="889"/>
    </row>
    <row r="10181" spans="7:7" ht="10.5" customHeight="1" x14ac:dyDescent="0.2">
      <c r="G10181" s="889"/>
    </row>
    <row r="10182" spans="7:7" ht="10.5" customHeight="1" x14ac:dyDescent="0.2">
      <c r="G10182" s="889"/>
    </row>
    <row r="10183" spans="7:7" ht="10.5" customHeight="1" x14ac:dyDescent="0.2">
      <c r="G10183" s="889"/>
    </row>
    <row r="10184" spans="7:7" ht="10.5" customHeight="1" x14ac:dyDescent="0.2">
      <c r="G10184" s="889"/>
    </row>
    <row r="10185" spans="7:7" ht="10.5" customHeight="1" x14ac:dyDescent="0.2">
      <c r="G10185" s="889"/>
    </row>
    <row r="10186" spans="7:7" ht="10.5" customHeight="1" x14ac:dyDescent="0.2">
      <c r="G10186" s="889"/>
    </row>
    <row r="10187" spans="7:7" ht="10.5" customHeight="1" x14ac:dyDescent="0.2">
      <c r="G10187" s="889"/>
    </row>
    <row r="10188" spans="7:7" ht="10.5" customHeight="1" x14ac:dyDescent="0.2">
      <c r="G10188" s="889"/>
    </row>
    <row r="10189" spans="7:7" ht="10.5" customHeight="1" x14ac:dyDescent="0.2">
      <c r="G10189" s="889"/>
    </row>
    <row r="10190" spans="7:7" ht="10.5" customHeight="1" x14ac:dyDescent="0.2">
      <c r="G10190" s="889"/>
    </row>
    <row r="10191" spans="7:7" ht="10.5" customHeight="1" x14ac:dyDescent="0.2">
      <c r="G10191" s="889"/>
    </row>
    <row r="10192" spans="7:7" ht="10.5" customHeight="1" x14ac:dyDescent="0.2">
      <c r="G10192" s="889"/>
    </row>
    <row r="10193" spans="7:7" ht="10.5" customHeight="1" x14ac:dyDescent="0.2">
      <c r="G10193" s="889"/>
    </row>
    <row r="10194" spans="7:7" ht="10.5" customHeight="1" x14ac:dyDescent="0.2">
      <c r="G10194" s="889"/>
    </row>
    <row r="10195" spans="7:7" ht="10.5" customHeight="1" x14ac:dyDescent="0.2">
      <c r="G10195" s="889"/>
    </row>
    <row r="10196" spans="7:7" ht="10.5" customHeight="1" x14ac:dyDescent="0.2">
      <c r="G10196" s="889"/>
    </row>
    <row r="10197" spans="7:7" ht="10.5" customHeight="1" x14ac:dyDescent="0.2">
      <c r="G10197" s="889"/>
    </row>
    <row r="10198" spans="7:7" ht="10.5" customHeight="1" x14ac:dyDescent="0.2">
      <c r="G10198" s="889"/>
    </row>
    <row r="10199" spans="7:7" ht="10.5" customHeight="1" x14ac:dyDescent="0.2">
      <c r="G10199" s="889"/>
    </row>
    <row r="10200" spans="7:7" ht="10.5" customHeight="1" x14ac:dyDescent="0.2">
      <c r="G10200" s="889"/>
    </row>
    <row r="10201" spans="7:7" ht="10.5" customHeight="1" x14ac:dyDescent="0.2">
      <c r="G10201" s="889"/>
    </row>
    <row r="10202" spans="7:7" ht="10.5" customHeight="1" x14ac:dyDescent="0.2">
      <c r="G10202" s="889"/>
    </row>
    <row r="10203" spans="7:7" ht="10.5" customHeight="1" x14ac:dyDescent="0.2">
      <c r="G10203" s="889"/>
    </row>
    <row r="10204" spans="7:7" ht="10.5" customHeight="1" x14ac:dyDescent="0.2">
      <c r="G10204" s="889"/>
    </row>
    <row r="10205" spans="7:7" ht="10.5" customHeight="1" x14ac:dyDescent="0.2">
      <c r="G10205" s="889"/>
    </row>
    <row r="10206" spans="7:7" ht="10.5" customHeight="1" x14ac:dyDescent="0.2">
      <c r="G10206" s="889"/>
    </row>
    <row r="10207" spans="7:7" ht="10.5" customHeight="1" x14ac:dyDescent="0.2">
      <c r="G10207" s="889"/>
    </row>
    <row r="10208" spans="7:7" ht="10.5" customHeight="1" x14ac:dyDescent="0.2">
      <c r="G10208" s="889"/>
    </row>
    <row r="10209" spans="7:7" ht="10.5" customHeight="1" x14ac:dyDescent="0.2">
      <c r="G10209" s="889"/>
    </row>
    <row r="10210" spans="7:7" ht="10.5" customHeight="1" x14ac:dyDescent="0.2">
      <c r="G10210" s="889"/>
    </row>
    <row r="10211" spans="7:7" ht="10.5" customHeight="1" x14ac:dyDescent="0.2">
      <c r="G10211" s="889"/>
    </row>
    <row r="10212" spans="7:7" ht="10.5" customHeight="1" x14ac:dyDescent="0.2">
      <c r="G10212" s="889"/>
    </row>
    <row r="10213" spans="7:7" ht="10.5" customHeight="1" x14ac:dyDescent="0.2">
      <c r="G10213" s="889"/>
    </row>
    <row r="10214" spans="7:7" ht="10.5" customHeight="1" x14ac:dyDescent="0.2">
      <c r="G10214" s="889"/>
    </row>
    <row r="10215" spans="7:7" ht="10.5" customHeight="1" x14ac:dyDescent="0.2">
      <c r="G10215" s="889"/>
    </row>
    <row r="10216" spans="7:7" ht="10.5" customHeight="1" x14ac:dyDescent="0.2">
      <c r="G10216" s="889"/>
    </row>
    <row r="10217" spans="7:7" ht="10.5" customHeight="1" x14ac:dyDescent="0.2">
      <c r="G10217" s="889"/>
    </row>
    <row r="10218" spans="7:7" ht="10.5" customHeight="1" x14ac:dyDescent="0.2">
      <c r="G10218" s="889"/>
    </row>
    <row r="10219" spans="7:7" ht="10.5" customHeight="1" x14ac:dyDescent="0.2">
      <c r="G10219" s="889"/>
    </row>
    <row r="10220" spans="7:7" ht="10.5" customHeight="1" x14ac:dyDescent="0.2">
      <c r="G10220" s="889"/>
    </row>
    <row r="10221" spans="7:7" ht="10.5" customHeight="1" x14ac:dyDescent="0.2">
      <c r="G10221" s="889"/>
    </row>
    <row r="10222" spans="7:7" ht="10.5" customHeight="1" x14ac:dyDescent="0.2">
      <c r="G10222" s="889"/>
    </row>
    <row r="10223" spans="7:7" ht="10.5" customHeight="1" x14ac:dyDescent="0.2">
      <c r="G10223" s="889"/>
    </row>
    <row r="10224" spans="7:7" ht="10.5" customHeight="1" x14ac:dyDescent="0.2">
      <c r="G10224" s="889"/>
    </row>
    <row r="10225" spans="7:7" ht="10.5" customHeight="1" x14ac:dyDescent="0.2">
      <c r="G10225" s="889"/>
    </row>
    <row r="10226" spans="7:7" ht="10.5" customHeight="1" x14ac:dyDescent="0.2">
      <c r="G10226" s="889"/>
    </row>
    <row r="10227" spans="7:7" ht="10.5" customHeight="1" x14ac:dyDescent="0.2">
      <c r="G10227" s="889"/>
    </row>
    <row r="10228" spans="7:7" ht="10.5" customHeight="1" x14ac:dyDescent="0.2">
      <c r="G10228" s="889"/>
    </row>
    <row r="10229" spans="7:7" ht="10.5" customHeight="1" x14ac:dyDescent="0.2">
      <c r="G10229" s="889"/>
    </row>
    <row r="10230" spans="7:7" ht="10.5" customHeight="1" x14ac:dyDescent="0.2">
      <c r="G10230" s="889"/>
    </row>
    <row r="10231" spans="7:7" ht="10.5" customHeight="1" x14ac:dyDescent="0.2">
      <c r="G10231" s="889"/>
    </row>
    <row r="10232" spans="7:7" ht="10.5" customHeight="1" x14ac:dyDescent="0.2">
      <c r="G10232" s="889"/>
    </row>
    <row r="10233" spans="7:7" ht="10.5" customHeight="1" x14ac:dyDescent="0.2">
      <c r="G10233" s="889"/>
    </row>
    <row r="10234" spans="7:7" ht="10.5" customHeight="1" x14ac:dyDescent="0.2">
      <c r="G10234" s="889"/>
    </row>
    <row r="10235" spans="7:7" ht="10.5" customHeight="1" x14ac:dyDescent="0.2">
      <c r="G10235" s="889"/>
    </row>
    <row r="10236" spans="7:7" ht="10.5" customHeight="1" x14ac:dyDescent="0.2">
      <c r="G10236" s="889"/>
    </row>
    <row r="10237" spans="7:7" ht="10.5" customHeight="1" x14ac:dyDescent="0.2">
      <c r="G10237" s="889"/>
    </row>
    <row r="10238" spans="7:7" ht="10.5" customHeight="1" x14ac:dyDescent="0.2">
      <c r="G10238" s="889"/>
    </row>
    <row r="10239" spans="7:7" ht="10.5" customHeight="1" x14ac:dyDescent="0.2">
      <c r="G10239" s="889"/>
    </row>
    <row r="10240" spans="7:7" ht="10.5" customHeight="1" x14ac:dyDescent="0.2">
      <c r="G10240" s="889"/>
    </row>
    <row r="10241" spans="7:7" ht="10.5" customHeight="1" x14ac:dyDescent="0.2">
      <c r="G10241" s="889"/>
    </row>
    <row r="10242" spans="7:7" ht="10.5" customHeight="1" x14ac:dyDescent="0.2">
      <c r="G10242" s="889"/>
    </row>
    <row r="10243" spans="7:7" ht="10.5" customHeight="1" x14ac:dyDescent="0.2">
      <c r="G10243" s="889"/>
    </row>
    <row r="10244" spans="7:7" ht="10.5" customHeight="1" x14ac:dyDescent="0.2">
      <c r="G10244" s="889"/>
    </row>
    <row r="10245" spans="7:7" ht="10.5" customHeight="1" x14ac:dyDescent="0.2">
      <c r="G10245" s="889"/>
    </row>
    <row r="10246" spans="7:7" ht="10.5" customHeight="1" x14ac:dyDescent="0.2">
      <c r="G10246" s="889"/>
    </row>
    <row r="10247" spans="7:7" ht="10.5" customHeight="1" x14ac:dyDescent="0.2">
      <c r="G10247" s="889"/>
    </row>
    <row r="10248" spans="7:7" ht="10.5" customHeight="1" x14ac:dyDescent="0.2">
      <c r="G10248" s="889"/>
    </row>
    <row r="10249" spans="7:7" ht="10.5" customHeight="1" x14ac:dyDescent="0.2">
      <c r="G10249" s="889"/>
    </row>
    <row r="10250" spans="7:7" ht="10.5" customHeight="1" x14ac:dyDescent="0.2">
      <c r="G10250" s="889"/>
    </row>
    <row r="10251" spans="7:7" ht="10.5" customHeight="1" x14ac:dyDescent="0.2">
      <c r="G10251" s="889"/>
    </row>
    <row r="10252" spans="7:7" ht="10.5" customHeight="1" x14ac:dyDescent="0.2">
      <c r="G10252" s="889"/>
    </row>
    <row r="10253" spans="7:7" ht="10.5" customHeight="1" x14ac:dyDescent="0.2">
      <c r="G10253" s="889"/>
    </row>
    <row r="10254" spans="7:7" ht="10.5" customHeight="1" x14ac:dyDescent="0.2">
      <c r="G10254" s="889"/>
    </row>
    <row r="10255" spans="7:7" ht="10.5" customHeight="1" x14ac:dyDescent="0.2">
      <c r="G10255" s="889"/>
    </row>
    <row r="10256" spans="7:7" ht="10.5" customHeight="1" x14ac:dyDescent="0.2">
      <c r="G10256" s="889"/>
    </row>
    <row r="10257" spans="7:7" ht="10.5" customHeight="1" x14ac:dyDescent="0.2">
      <c r="G10257" s="889"/>
    </row>
    <row r="10258" spans="7:7" ht="10.5" customHeight="1" x14ac:dyDescent="0.2">
      <c r="G10258" s="889"/>
    </row>
    <row r="10259" spans="7:7" ht="10.5" customHeight="1" x14ac:dyDescent="0.2">
      <c r="G10259" s="889"/>
    </row>
    <row r="10260" spans="7:7" ht="10.5" customHeight="1" x14ac:dyDescent="0.2">
      <c r="G10260" s="889"/>
    </row>
    <row r="10261" spans="7:7" ht="10.5" customHeight="1" x14ac:dyDescent="0.2">
      <c r="G10261" s="889"/>
    </row>
    <row r="10262" spans="7:7" ht="10.5" customHeight="1" x14ac:dyDescent="0.2">
      <c r="G10262" s="889"/>
    </row>
    <row r="10263" spans="7:7" ht="10.5" customHeight="1" x14ac:dyDescent="0.2">
      <c r="G10263" s="889"/>
    </row>
    <row r="10264" spans="7:7" ht="10.5" customHeight="1" x14ac:dyDescent="0.2">
      <c r="G10264" s="889"/>
    </row>
    <row r="10265" spans="7:7" ht="10.5" customHeight="1" x14ac:dyDescent="0.2">
      <c r="G10265" s="889"/>
    </row>
    <row r="10266" spans="7:7" ht="10.5" customHeight="1" x14ac:dyDescent="0.2">
      <c r="G10266" s="889"/>
    </row>
    <row r="10267" spans="7:7" ht="10.5" customHeight="1" x14ac:dyDescent="0.2">
      <c r="G10267" s="889"/>
    </row>
    <row r="10268" spans="7:7" ht="10.5" customHeight="1" x14ac:dyDescent="0.2">
      <c r="G10268" s="889"/>
    </row>
    <row r="10269" spans="7:7" ht="10.5" customHeight="1" x14ac:dyDescent="0.2">
      <c r="G10269" s="889"/>
    </row>
    <row r="10270" spans="7:7" ht="10.5" customHeight="1" x14ac:dyDescent="0.2">
      <c r="G10270" s="889"/>
    </row>
    <row r="10271" spans="7:7" ht="10.5" customHeight="1" x14ac:dyDescent="0.2">
      <c r="G10271" s="889"/>
    </row>
    <row r="10272" spans="7:7" ht="10.5" customHeight="1" x14ac:dyDescent="0.2">
      <c r="G10272" s="889"/>
    </row>
    <row r="10273" spans="7:7" ht="10.5" customHeight="1" x14ac:dyDescent="0.2">
      <c r="G10273" s="889"/>
    </row>
    <row r="10274" spans="7:7" ht="10.5" customHeight="1" x14ac:dyDescent="0.2">
      <c r="G10274" s="889"/>
    </row>
    <row r="10275" spans="7:7" ht="10.5" customHeight="1" x14ac:dyDescent="0.2">
      <c r="G10275" s="889"/>
    </row>
    <row r="10276" spans="7:7" ht="10.5" customHeight="1" x14ac:dyDescent="0.2">
      <c r="G10276" s="889"/>
    </row>
    <row r="10277" spans="7:7" ht="10.5" customHeight="1" x14ac:dyDescent="0.2">
      <c r="G10277" s="889"/>
    </row>
    <row r="10278" spans="7:7" ht="10.5" customHeight="1" x14ac:dyDescent="0.2">
      <c r="G10278" s="889"/>
    </row>
    <row r="10279" spans="7:7" ht="10.5" customHeight="1" x14ac:dyDescent="0.2">
      <c r="G10279" s="889"/>
    </row>
    <row r="10280" spans="7:7" ht="10.5" customHeight="1" x14ac:dyDescent="0.2">
      <c r="G10280" s="889"/>
    </row>
    <row r="10281" spans="7:7" ht="10.5" customHeight="1" x14ac:dyDescent="0.2">
      <c r="G10281" s="889"/>
    </row>
    <row r="10282" spans="7:7" ht="10.5" customHeight="1" x14ac:dyDescent="0.2">
      <c r="G10282" s="889"/>
    </row>
    <row r="10283" spans="7:7" ht="10.5" customHeight="1" x14ac:dyDescent="0.2">
      <c r="G10283" s="889"/>
    </row>
    <row r="10284" spans="7:7" ht="10.5" customHeight="1" x14ac:dyDescent="0.2">
      <c r="G10284" s="889"/>
    </row>
    <row r="10285" spans="7:7" ht="10.5" customHeight="1" x14ac:dyDescent="0.2">
      <c r="G10285" s="889"/>
    </row>
    <row r="10286" spans="7:7" ht="10.5" customHeight="1" x14ac:dyDescent="0.2">
      <c r="G10286" s="889"/>
    </row>
    <row r="10287" spans="7:7" ht="10.5" customHeight="1" x14ac:dyDescent="0.2">
      <c r="G10287" s="889"/>
    </row>
    <row r="10288" spans="7:7" ht="10.5" customHeight="1" x14ac:dyDescent="0.2">
      <c r="G10288" s="889"/>
    </row>
    <row r="10289" spans="7:7" ht="10.5" customHeight="1" x14ac:dyDescent="0.2">
      <c r="G10289" s="889"/>
    </row>
    <row r="10290" spans="7:7" ht="10.5" customHeight="1" x14ac:dyDescent="0.2">
      <c r="G10290" s="889"/>
    </row>
    <row r="10291" spans="7:7" ht="10.5" customHeight="1" x14ac:dyDescent="0.2">
      <c r="G10291" s="889"/>
    </row>
    <row r="10292" spans="7:7" ht="10.5" customHeight="1" x14ac:dyDescent="0.2">
      <c r="G10292" s="889"/>
    </row>
    <row r="10293" spans="7:7" ht="10.5" customHeight="1" x14ac:dyDescent="0.2">
      <c r="G10293" s="889"/>
    </row>
    <row r="10294" spans="7:7" ht="10.5" customHeight="1" x14ac:dyDescent="0.2">
      <c r="G10294" s="889"/>
    </row>
    <row r="10295" spans="7:7" ht="10.5" customHeight="1" x14ac:dyDescent="0.2">
      <c r="G10295" s="889"/>
    </row>
    <row r="10296" spans="7:7" ht="10.5" customHeight="1" x14ac:dyDescent="0.2">
      <c r="G10296" s="889"/>
    </row>
    <row r="10297" spans="7:7" ht="10.5" customHeight="1" x14ac:dyDescent="0.2">
      <c r="G10297" s="889"/>
    </row>
    <row r="10298" spans="7:7" ht="10.5" customHeight="1" x14ac:dyDescent="0.2">
      <c r="G10298" s="889"/>
    </row>
    <row r="10299" spans="7:7" ht="10.5" customHeight="1" x14ac:dyDescent="0.2">
      <c r="G10299" s="889"/>
    </row>
    <row r="10300" spans="7:7" ht="10.5" customHeight="1" x14ac:dyDescent="0.2">
      <c r="G10300" s="889"/>
    </row>
    <row r="10301" spans="7:7" ht="10.5" customHeight="1" x14ac:dyDescent="0.2">
      <c r="G10301" s="889"/>
    </row>
    <row r="10302" spans="7:7" ht="10.5" customHeight="1" x14ac:dyDescent="0.2">
      <c r="G10302" s="889"/>
    </row>
    <row r="10303" spans="7:7" ht="10.5" customHeight="1" x14ac:dyDescent="0.2">
      <c r="G10303" s="889"/>
    </row>
    <row r="10304" spans="7:7" ht="10.5" customHeight="1" x14ac:dyDescent="0.2">
      <c r="G10304" s="889"/>
    </row>
    <row r="10305" spans="7:7" ht="10.5" customHeight="1" x14ac:dyDescent="0.2">
      <c r="G10305" s="889"/>
    </row>
    <row r="10306" spans="7:7" ht="10.5" customHeight="1" x14ac:dyDescent="0.2">
      <c r="G10306" s="889"/>
    </row>
    <row r="10307" spans="7:7" ht="10.5" customHeight="1" x14ac:dyDescent="0.2">
      <c r="G10307" s="889"/>
    </row>
    <row r="10308" spans="7:7" ht="10.5" customHeight="1" x14ac:dyDescent="0.2">
      <c r="G10308" s="889"/>
    </row>
    <row r="10309" spans="7:7" ht="10.5" customHeight="1" x14ac:dyDescent="0.2">
      <c r="G10309" s="889"/>
    </row>
    <row r="10310" spans="7:7" ht="10.5" customHeight="1" x14ac:dyDescent="0.2">
      <c r="G10310" s="889"/>
    </row>
    <row r="10311" spans="7:7" ht="10.5" customHeight="1" x14ac:dyDescent="0.2">
      <c r="G10311" s="889"/>
    </row>
    <row r="10312" spans="7:7" ht="10.5" customHeight="1" x14ac:dyDescent="0.2">
      <c r="G10312" s="889"/>
    </row>
    <row r="10313" spans="7:7" ht="10.5" customHeight="1" x14ac:dyDescent="0.2">
      <c r="G10313" s="889"/>
    </row>
    <row r="10314" spans="7:7" ht="10.5" customHeight="1" x14ac:dyDescent="0.2">
      <c r="G10314" s="889"/>
    </row>
    <row r="10315" spans="7:7" ht="10.5" customHeight="1" x14ac:dyDescent="0.2">
      <c r="G10315" s="889"/>
    </row>
    <row r="10316" spans="7:7" ht="10.5" customHeight="1" x14ac:dyDescent="0.2">
      <c r="G10316" s="889"/>
    </row>
    <row r="10317" spans="7:7" ht="10.5" customHeight="1" x14ac:dyDescent="0.2">
      <c r="G10317" s="889"/>
    </row>
    <row r="10318" spans="7:7" ht="10.5" customHeight="1" x14ac:dyDescent="0.2">
      <c r="G10318" s="889"/>
    </row>
    <row r="10319" spans="7:7" ht="10.5" customHeight="1" x14ac:dyDescent="0.2">
      <c r="G10319" s="889"/>
    </row>
    <row r="10320" spans="7:7" ht="10.5" customHeight="1" x14ac:dyDescent="0.2">
      <c r="G10320" s="889"/>
    </row>
    <row r="10321" spans="7:7" ht="10.5" customHeight="1" x14ac:dyDescent="0.2">
      <c r="G10321" s="889"/>
    </row>
    <row r="10322" spans="7:7" ht="10.5" customHeight="1" x14ac:dyDescent="0.2">
      <c r="G10322" s="889"/>
    </row>
    <row r="10323" spans="7:7" ht="10.5" customHeight="1" x14ac:dyDescent="0.2">
      <c r="G10323" s="889"/>
    </row>
    <row r="10324" spans="7:7" ht="10.5" customHeight="1" x14ac:dyDescent="0.2">
      <c r="G10324" s="889"/>
    </row>
    <row r="10325" spans="7:7" ht="10.5" customHeight="1" x14ac:dyDescent="0.2">
      <c r="G10325" s="889"/>
    </row>
    <row r="10326" spans="7:7" ht="10.5" customHeight="1" x14ac:dyDescent="0.2">
      <c r="G10326" s="889"/>
    </row>
    <row r="10327" spans="7:7" ht="10.5" customHeight="1" x14ac:dyDescent="0.2">
      <c r="G10327" s="889"/>
    </row>
    <row r="10328" spans="7:7" ht="10.5" customHeight="1" x14ac:dyDescent="0.2">
      <c r="G10328" s="889"/>
    </row>
    <row r="10329" spans="7:7" ht="10.5" customHeight="1" x14ac:dyDescent="0.2">
      <c r="G10329" s="889"/>
    </row>
    <row r="10330" spans="7:7" ht="10.5" customHeight="1" x14ac:dyDescent="0.2">
      <c r="G10330" s="889"/>
    </row>
    <row r="10331" spans="7:7" ht="10.5" customHeight="1" x14ac:dyDescent="0.2">
      <c r="G10331" s="889"/>
    </row>
    <row r="10332" spans="7:7" ht="10.5" customHeight="1" x14ac:dyDescent="0.2">
      <c r="G10332" s="889"/>
    </row>
    <row r="10333" spans="7:7" ht="10.5" customHeight="1" x14ac:dyDescent="0.2">
      <c r="G10333" s="889"/>
    </row>
    <row r="10334" spans="7:7" ht="10.5" customHeight="1" x14ac:dyDescent="0.2">
      <c r="G10334" s="889"/>
    </row>
    <row r="10335" spans="7:7" ht="10.5" customHeight="1" x14ac:dyDescent="0.2">
      <c r="G10335" s="889"/>
    </row>
    <row r="10336" spans="7:7" ht="10.5" customHeight="1" x14ac:dyDescent="0.2">
      <c r="G10336" s="889"/>
    </row>
    <row r="10337" spans="7:7" ht="10.5" customHeight="1" x14ac:dyDescent="0.2">
      <c r="G10337" s="889"/>
    </row>
    <row r="10338" spans="7:7" ht="10.5" customHeight="1" x14ac:dyDescent="0.2">
      <c r="G10338" s="889"/>
    </row>
    <row r="10339" spans="7:7" ht="10.5" customHeight="1" x14ac:dyDescent="0.2">
      <c r="G10339" s="889"/>
    </row>
    <row r="10340" spans="7:7" ht="10.5" customHeight="1" x14ac:dyDescent="0.2">
      <c r="G10340" s="889"/>
    </row>
    <row r="10341" spans="7:7" ht="10.5" customHeight="1" x14ac:dyDescent="0.2">
      <c r="G10341" s="889"/>
    </row>
    <row r="10342" spans="7:7" ht="10.5" customHeight="1" x14ac:dyDescent="0.2">
      <c r="G10342" s="889"/>
    </row>
    <row r="10343" spans="7:7" ht="10.5" customHeight="1" x14ac:dyDescent="0.2">
      <c r="G10343" s="889"/>
    </row>
    <row r="10344" spans="7:7" ht="10.5" customHeight="1" x14ac:dyDescent="0.2">
      <c r="G10344" s="889"/>
    </row>
    <row r="10345" spans="7:7" ht="10.5" customHeight="1" x14ac:dyDescent="0.2">
      <c r="G10345" s="889"/>
    </row>
    <row r="10346" spans="7:7" ht="10.5" customHeight="1" x14ac:dyDescent="0.2">
      <c r="G10346" s="889"/>
    </row>
    <row r="10347" spans="7:7" ht="10.5" customHeight="1" x14ac:dyDescent="0.2">
      <c r="G10347" s="889"/>
    </row>
    <row r="10348" spans="7:7" ht="10.5" customHeight="1" x14ac:dyDescent="0.2">
      <c r="G10348" s="889"/>
    </row>
    <row r="10349" spans="7:7" ht="10.5" customHeight="1" x14ac:dyDescent="0.2">
      <c r="G10349" s="889"/>
    </row>
    <row r="10350" spans="7:7" ht="10.5" customHeight="1" x14ac:dyDescent="0.2">
      <c r="G10350" s="889"/>
    </row>
    <row r="10351" spans="7:7" ht="10.5" customHeight="1" x14ac:dyDescent="0.2">
      <c r="G10351" s="889"/>
    </row>
    <row r="10352" spans="7:7" ht="10.5" customHeight="1" x14ac:dyDescent="0.2">
      <c r="G10352" s="889"/>
    </row>
    <row r="10353" spans="7:7" ht="10.5" customHeight="1" x14ac:dyDescent="0.2">
      <c r="G10353" s="889"/>
    </row>
    <row r="10354" spans="7:7" ht="10.5" customHeight="1" x14ac:dyDescent="0.2">
      <c r="G10354" s="889"/>
    </row>
    <row r="10355" spans="7:7" ht="10.5" customHeight="1" x14ac:dyDescent="0.2">
      <c r="G10355" s="889"/>
    </row>
    <row r="10356" spans="7:7" ht="10.5" customHeight="1" x14ac:dyDescent="0.2">
      <c r="G10356" s="889"/>
    </row>
    <row r="10357" spans="7:7" ht="10.5" customHeight="1" x14ac:dyDescent="0.2">
      <c r="G10357" s="889"/>
    </row>
    <row r="10358" spans="7:7" ht="10.5" customHeight="1" x14ac:dyDescent="0.2">
      <c r="G10358" s="889"/>
    </row>
    <row r="10359" spans="7:7" ht="10.5" customHeight="1" x14ac:dyDescent="0.2">
      <c r="G10359" s="889"/>
    </row>
    <row r="10360" spans="7:7" ht="10.5" customHeight="1" x14ac:dyDescent="0.2">
      <c r="G10360" s="889"/>
    </row>
    <row r="10361" spans="7:7" ht="10.5" customHeight="1" x14ac:dyDescent="0.2">
      <c r="G10361" s="889"/>
    </row>
    <row r="10362" spans="7:7" ht="10.5" customHeight="1" x14ac:dyDescent="0.2">
      <c r="G10362" s="889"/>
    </row>
    <row r="10363" spans="7:7" ht="10.5" customHeight="1" x14ac:dyDescent="0.2">
      <c r="G10363" s="889"/>
    </row>
    <row r="10364" spans="7:7" ht="10.5" customHeight="1" x14ac:dyDescent="0.2">
      <c r="G10364" s="889"/>
    </row>
    <row r="10365" spans="7:7" ht="10.5" customHeight="1" x14ac:dyDescent="0.2">
      <c r="G10365" s="889"/>
    </row>
    <row r="10366" spans="7:7" ht="10.5" customHeight="1" x14ac:dyDescent="0.2">
      <c r="G10366" s="889"/>
    </row>
    <row r="10367" spans="7:7" ht="10.5" customHeight="1" x14ac:dyDescent="0.2">
      <c r="G10367" s="889"/>
    </row>
    <row r="10368" spans="7:7" ht="10.5" customHeight="1" x14ac:dyDescent="0.2">
      <c r="G10368" s="889"/>
    </row>
    <row r="10369" spans="7:7" ht="10.5" customHeight="1" x14ac:dyDescent="0.2">
      <c r="G10369" s="889"/>
    </row>
    <row r="10370" spans="7:7" ht="10.5" customHeight="1" x14ac:dyDescent="0.2">
      <c r="G10370" s="889"/>
    </row>
    <row r="10371" spans="7:7" ht="10.5" customHeight="1" x14ac:dyDescent="0.2">
      <c r="G10371" s="889"/>
    </row>
    <row r="10372" spans="7:7" ht="10.5" customHeight="1" x14ac:dyDescent="0.2">
      <c r="G10372" s="889"/>
    </row>
    <row r="10373" spans="7:7" ht="10.5" customHeight="1" x14ac:dyDescent="0.2">
      <c r="G10373" s="889"/>
    </row>
    <row r="10374" spans="7:7" ht="10.5" customHeight="1" x14ac:dyDescent="0.2">
      <c r="G10374" s="889"/>
    </row>
    <row r="10375" spans="7:7" ht="10.5" customHeight="1" x14ac:dyDescent="0.2">
      <c r="G10375" s="889"/>
    </row>
    <row r="10376" spans="7:7" ht="10.5" customHeight="1" x14ac:dyDescent="0.2">
      <c r="G10376" s="889"/>
    </row>
    <row r="10377" spans="7:7" ht="10.5" customHeight="1" x14ac:dyDescent="0.2">
      <c r="G10377" s="889"/>
    </row>
    <row r="10378" spans="7:7" ht="10.5" customHeight="1" x14ac:dyDescent="0.2">
      <c r="G10378" s="889"/>
    </row>
    <row r="10379" spans="7:7" ht="10.5" customHeight="1" x14ac:dyDescent="0.2">
      <c r="G10379" s="889"/>
    </row>
    <row r="10380" spans="7:7" ht="10.5" customHeight="1" x14ac:dyDescent="0.2">
      <c r="G10380" s="889"/>
    </row>
    <row r="10381" spans="7:7" ht="10.5" customHeight="1" x14ac:dyDescent="0.2">
      <c r="G10381" s="889"/>
    </row>
    <row r="10382" spans="7:7" ht="10.5" customHeight="1" x14ac:dyDescent="0.2">
      <c r="G10382" s="889"/>
    </row>
    <row r="10383" spans="7:7" ht="10.5" customHeight="1" x14ac:dyDescent="0.2">
      <c r="G10383" s="889"/>
    </row>
    <row r="10384" spans="7:7" ht="10.5" customHeight="1" x14ac:dyDescent="0.2">
      <c r="G10384" s="889"/>
    </row>
    <row r="10385" spans="7:7" ht="10.5" customHeight="1" x14ac:dyDescent="0.2">
      <c r="G10385" s="889"/>
    </row>
    <row r="10386" spans="7:7" ht="10.5" customHeight="1" x14ac:dyDescent="0.2">
      <c r="G10386" s="889"/>
    </row>
    <row r="10387" spans="7:7" ht="10.5" customHeight="1" x14ac:dyDescent="0.2">
      <c r="G10387" s="889"/>
    </row>
    <row r="10388" spans="7:7" ht="10.5" customHeight="1" x14ac:dyDescent="0.2">
      <c r="G10388" s="889"/>
    </row>
    <row r="10389" spans="7:7" ht="10.5" customHeight="1" x14ac:dyDescent="0.2">
      <c r="G10389" s="889"/>
    </row>
    <row r="10390" spans="7:7" ht="10.5" customHeight="1" x14ac:dyDescent="0.2">
      <c r="G10390" s="889"/>
    </row>
    <row r="10391" spans="7:7" ht="10.5" customHeight="1" x14ac:dyDescent="0.2">
      <c r="G10391" s="889"/>
    </row>
    <row r="10392" spans="7:7" ht="10.5" customHeight="1" x14ac:dyDescent="0.2">
      <c r="G10392" s="889"/>
    </row>
    <row r="10393" spans="7:7" ht="10.5" customHeight="1" x14ac:dyDescent="0.2">
      <c r="G10393" s="889"/>
    </row>
    <row r="10394" spans="7:7" ht="10.5" customHeight="1" x14ac:dyDescent="0.2">
      <c r="G10394" s="889"/>
    </row>
    <row r="10395" spans="7:7" ht="10.5" customHeight="1" x14ac:dyDescent="0.2">
      <c r="G10395" s="889"/>
    </row>
    <row r="10396" spans="7:7" ht="10.5" customHeight="1" x14ac:dyDescent="0.2">
      <c r="G10396" s="889"/>
    </row>
    <row r="10397" spans="7:7" ht="10.5" customHeight="1" x14ac:dyDescent="0.2">
      <c r="G10397" s="889"/>
    </row>
    <row r="10398" spans="7:7" ht="10.5" customHeight="1" x14ac:dyDescent="0.2">
      <c r="G10398" s="889"/>
    </row>
    <row r="10399" spans="7:7" ht="10.5" customHeight="1" x14ac:dyDescent="0.2">
      <c r="G10399" s="889"/>
    </row>
    <row r="10400" spans="7:7" ht="10.5" customHeight="1" x14ac:dyDescent="0.2">
      <c r="G10400" s="889"/>
    </row>
    <row r="10401" spans="7:7" ht="10.5" customHeight="1" x14ac:dyDescent="0.2">
      <c r="G10401" s="889"/>
    </row>
    <row r="10402" spans="7:7" ht="10.5" customHeight="1" x14ac:dyDescent="0.2">
      <c r="G10402" s="889"/>
    </row>
    <row r="10403" spans="7:7" ht="10.5" customHeight="1" x14ac:dyDescent="0.2">
      <c r="G10403" s="889"/>
    </row>
    <row r="10404" spans="7:7" ht="10.5" customHeight="1" x14ac:dyDescent="0.2">
      <c r="G10404" s="889"/>
    </row>
    <row r="10405" spans="7:7" ht="10.5" customHeight="1" x14ac:dyDescent="0.2">
      <c r="G10405" s="889"/>
    </row>
    <row r="10406" spans="7:7" ht="10.5" customHeight="1" x14ac:dyDescent="0.2">
      <c r="G10406" s="889"/>
    </row>
    <row r="10407" spans="7:7" ht="10.5" customHeight="1" x14ac:dyDescent="0.2">
      <c r="G10407" s="889"/>
    </row>
    <row r="10408" spans="7:7" ht="10.5" customHeight="1" x14ac:dyDescent="0.2">
      <c r="G10408" s="889"/>
    </row>
    <row r="10409" spans="7:7" ht="10.5" customHeight="1" x14ac:dyDescent="0.2">
      <c r="G10409" s="889"/>
    </row>
    <row r="10410" spans="7:7" ht="10.5" customHeight="1" x14ac:dyDescent="0.2">
      <c r="G10410" s="889"/>
    </row>
    <row r="10411" spans="7:7" ht="10.5" customHeight="1" x14ac:dyDescent="0.2">
      <c r="G10411" s="889"/>
    </row>
    <row r="10412" spans="7:7" ht="10.5" customHeight="1" x14ac:dyDescent="0.2">
      <c r="G10412" s="889"/>
    </row>
    <row r="10413" spans="7:7" ht="10.5" customHeight="1" x14ac:dyDescent="0.2">
      <c r="G10413" s="889"/>
    </row>
    <row r="10414" spans="7:7" ht="10.5" customHeight="1" x14ac:dyDescent="0.2">
      <c r="G10414" s="889"/>
    </row>
    <row r="10415" spans="7:7" ht="10.5" customHeight="1" x14ac:dyDescent="0.2">
      <c r="G10415" s="889"/>
    </row>
    <row r="10416" spans="7:7" ht="10.5" customHeight="1" x14ac:dyDescent="0.2">
      <c r="G10416" s="889"/>
    </row>
    <row r="10417" spans="7:7" ht="10.5" customHeight="1" x14ac:dyDescent="0.2">
      <c r="G10417" s="889"/>
    </row>
    <row r="10418" spans="7:7" ht="10.5" customHeight="1" x14ac:dyDescent="0.2">
      <c r="G10418" s="889"/>
    </row>
    <row r="10419" spans="7:7" ht="10.5" customHeight="1" x14ac:dyDescent="0.2">
      <c r="G10419" s="889"/>
    </row>
    <row r="10420" spans="7:7" ht="10.5" customHeight="1" x14ac:dyDescent="0.2">
      <c r="G10420" s="889"/>
    </row>
    <row r="10421" spans="7:7" ht="10.5" customHeight="1" x14ac:dyDescent="0.2">
      <c r="G10421" s="889"/>
    </row>
    <row r="10422" spans="7:7" ht="10.5" customHeight="1" x14ac:dyDescent="0.2">
      <c r="G10422" s="889"/>
    </row>
    <row r="10423" spans="7:7" ht="10.5" customHeight="1" x14ac:dyDescent="0.2">
      <c r="G10423" s="889"/>
    </row>
    <row r="10424" spans="7:7" ht="10.5" customHeight="1" x14ac:dyDescent="0.2">
      <c r="G10424" s="889"/>
    </row>
    <row r="10425" spans="7:7" ht="10.5" customHeight="1" x14ac:dyDescent="0.2">
      <c r="G10425" s="889"/>
    </row>
    <row r="10426" spans="7:7" ht="10.5" customHeight="1" x14ac:dyDescent="0.2">
      <c r="G10426" s="889"/>
    </row>
    <row r="10427" spans="7:7" ht="10.5" customHeight="1" x14ac:dyDescent="0.2">
      <c r="G10427" s="889"/>
    </row>
    <row r="10428" spans="7:7" ht="10.5" customHeight="1" x14ac:dyDescent="0.2">
      <c r="G10428" s="889"/>
    </row>
    <row r="10429" spans="7:7" ht="10.5" customHeight="1" x14ac:dyDescent="0.2">
      <c r="G10429" s="889"/>
    </row>
    <row r="10430" spans="7:7" ht="10.5" customHeight="1" x14ac:dyDescent="0.2">
      <c r="G10430" s="889"/>
    </row>
    <row r="10431" spans="7:7" ht="10.5" customHeight="1" x14ac:dyDescent="0.2">
      <c r="G10431" s="889"/>
    </row>
    <row r="10432" spans="7:7" ht="10.5" customHeight="1" x14ac:dyDescent="0.2">
      <c r="G10432" s="889"/>
    </row>
    <row r="10433" spans="7:7" ht="10.5" customHeight="1" x14ac:dyDescent="0.2">
      <c r="G10433" s="889"/>
    </row>
    <row r="10434" spans="7:7" ht="10.5" customHeight="1" x14ac:dyDescent="0.2">
      <c r="G10434" s="889"/>
    </row>
    <row r="10435" spans="7:7" ht="10.5" customHeight="1" x14ac:dyDescent="0.2">
      <c r="G10435" s="889"/>
    </row>
    <row r="10436" spans="7:7" ht="10.5" customHeight="1" x14ac:dyDescent="0.2">
      <c r="G10436" s="889"/>
    </row>
    <row r="10437" spans="7:7" ht="10.5" customHeight="1" x14ac:dyDescent="0.2">
      <c r="G10437" s="889"/>
    </row>
    <row r="10438" spans="7:7" ht="10.5" customHeight="1" x14ac:dyDescent="0.2">
      <c r="G10438" s="889"/>
    </row>
    <row r="10439" spans="7:7" ht="10.5" customHeight="1" x14ac:dyDescent="0.2">
      <c r="G10439" s="889"/>
    </row>
    <row r="10440" spans="7:7" ht="10.5" customHeight="1" x14ac:dyDescent="0.2">
      <c r="G10440" s="889"/>
    </row>
    <row r="10441" spans="7:7" ht="10.5" customHeight="1" x14ac:dyDescent="0.2">
      <c r="G10441" s="889"/>
    </row>
    <row r="10442" spans="7:7" ht="10.5" customHeight="1" x14ac:dyDescent="0.2">
      <c r="G10442" s="889"/>
    </row>
    <row r="10443" spans="7:7" ht="10.5" customHeight="1" x14ac:dyDescent="0.2">
      <c r="G10443" s="889"/>
    </row>
    <row r="10444" spans="7:7" ht="10.5" customHeight="1" x14ac:dyDescent="0.2">
      <c r="G10444" s="889"/>
    </row>
    <row r="10445" spans="7:7" ht="10.5" customHeight="1" x14ac:dyDescent="0.2">
      <c r="G10445" s="889"/>
    </row>
    <row r="10446" spans="7:7" ht="10.5" customHeight="1" x14ac:dyDescent="0.2">
      <c r="G10446" s="889"/>
    </row>
    <row r="10447" spans="7:7" ht="10.5" customHeight="1" x14ac:dyDescent="0.2">
      <c r="G10447" s="889"/>
    </row>
    <row r="10448" spans="7:7" ht="10.5" customHeight="1" x14ac:dyDescent="0.2">
      <c r="G10448" s="889"/>
    </row>
    <row r="10449" spans="7:7" ht="10.5" customHeight="1" x14ac:dyDescent="0.2">
      <c r="G10449" s="889"/>
    </row>
    <row r="10450" spans="7:7" ht="10.5" customHeight="1" x14ac:dyDescent="0.2">
      <c r="G10450" s="889"/>
    </row>
    <row r="10451" spans="7:7" ht="10.5" customHeight="1" x14ac:dyDescent="0.2">
      <c r="G10451" s="889"/>
    </row>
    <row r="10452" spans="7:7" ht="10.5" customHeight="1" x14ac:dyDescent="0.2">
      <c r="G10452" s="889"/>
    </row>
    <row r="10453" spans="7:7" ht="10.5" customHeight="1" x14ac:dyDescent="0.2">
      <c r="G10453" s="889"/>
    </row>
    <row r="10454" spans="7:7" ht="10.5" customHeight="1" x14ac:dyDescent="0.2">
      <c r="G10454" s="889"/>
    </row>
    <row r="10455" spans="7:7" ht="10.5" customHeight="1" x14ac:dyDescent="0.2">
      <c r="G10455" s="889"/>
    </row>
    <row r="10456" spans="7:7" ht="10.5" customHeight="1" x14ac:dyDescent="0.2">
      <c r="G10456" s="889"/>
    </row>
    <row r="10457" spans="7:7" ht="10.5" customHeight="1" x14ac:dyDescent="0.2">
      <c r="G10457" s="889"/>
    </row>
    <row r="10458" spans="7:7" ht="10.5" customHeight="1" x14ac:dyDescent="0.2">
      <c r="G10458" s="889"/>
    </row>
    <row r="10459" spans="7:7" ht="10.5" customHeight="1" x14ac:dyDescent="0.2">
      <c r="G10459" s="889"/>
    </row>
    <row r="10460" spans="7:7" ht="10.5" customHeight="1" x14ac:dyDescent="0.2">
      <c r="G10460" s="889"/>
    </row>
    <row r="10461" spans="7:7" ht="10.5" customHeight="1" x14ac:dyDescent="0.2">
      <c r="G10461" s="889"/>
    </row>
    <row r="10462" spans="7:7" ht="10.5" customHeight="1" x14ac:dyDescent="0.2">
      <c r="G10462" s="889"/>
    </row>
    <row r="10463" spans="7:7" ht="10.5" customHeight="1" x14ac:dyDescent="0.2">
      <c r="G10463" s="889"/>
    </row>
    <row r="10464" spans="7:7" ht="10.5" customHeight="1" x14ac:dyDescent="0.2">
      <c r="G10464" s="889"/>
    </row>
    <row r="10465" spans="7:7" ht="10.5" customHeight="1" x14ac:dyDescent="0.2">
      <c r="G10465" s="889"/>
    </row>
    <row r="10466" spans="7:7" ht="10.5" customHeight="1" x14ac:dyDescent="0.2">
      <c r="G10466" s="889"/>
    </row>
    <row r="10467" spans="7:7" ht="10.5" customHeight="1" x14ac:dyDescent="0.2">
      <c r="G10467" s="889"/>
    </row>
    <row r="10468" spans="7:7" ht="10.5" customHeight="1" x14ac:dyDescent="0.2">
      <c r="G10468" s="889"/>
    </row>
    <row r="10469" spans="7:7" ht="10.5" customHeight="1" x14ac:dyDescent="0.2">
      <c r="G10469" s="889"/>
    </row>
    <row r="10470" spans="7:7" ht="10.5" customHeight="1" x14ac:dyDescent="0.2">
      <c r="G10470" s="889"/>
    </row>
    <row r="10471" spans="7:7" ht="10.5" customHeight="1" x14ac:dyDescent="0.2">
      <c r="G10471" s="889"/>
    </row>
    <row r="10472" spans="7:7" ht="10.5" customHeight="1" x14ac:dyDescent="0.2">
      <c r="G10472" s="889"/>
    </row>
    <row r="10473" spans="7:7" ht="10.5" customHeight="1" x14ac:dyDescent="0.2">
      <c r="G10473" s="889"/>
    </row>
    <row r="10474" spans="7:7" ht="10.5" customHeight="1" x14ac:dyDescent="0.2">
      <c r="G10474" s="889"/>
    </row>
    <row r="10475" spans="7:7" ht="10.5" customHeight="1" x14ac:dyDescent="0.2">
      <c r="G10475" s="889"/>
    </row>
    <row r="10476" spans="7:7" ht="10.5" customHeight="1" x14ac:dyDescent="0.2">
      <c r="G10476" s="889"/>
    </row>
    <row r="10477" spans="7:7" ht="10.5" customHeight="1" x14ac:dyDescent="0.2">
      <c r="G10477" s="889"/>
    </row>
    <row r="10478" spans="7:7" ht="10.5" customHeight="1" x14ac:dyDescent="0.2">
      <c r="G10478" s="889"/>
    </row>
    <row r="10479" spans="7:7" ht="10.5" customHeight="1" x14ac:dyDescent="0.2">
      <c r="G10479" s="889"/>
    </row>
    <row r="10480" spans="7:7" ht="10.5" customHeight="1" x14ac:dyDescent="0.2">
      <c r="G10480" s="889"/>
    </row>
    <row r="10481" spans="7:7" ht="10.5" customHeight="1" x14ac:dyDescent="0.2">
      <c r="G10481" s="889"/>
    </row>
    <row r="10482" spans="7:7" ht="10.5" customHeight="1" x14ac:dyDescent="0.2">
      <c r="G10482" s="889"/>
    </row>
    <row r="10483" spans="7:7" ht="10.5" customHeight="1" x14ac:dyDescent="0.2">
      <c r="G10483" s="889"/>
    </row>
    <row r="10484" spans="7:7" ht="10.5" customHeight="1" x14ac:dyDescent="0.2">
      <c r="G10484" s="889"/>
    </row>
    <row r="10485" spans="7:7" ht="10.5" customHeight="1" x14ac:dyDescent="0.2">
      <c r="G10485" s="889"/>
    </row>
    <row r="10486" spans="7:7" ht="10.5" customHeight="1" x14ac:dyDescent="0.2">
      <c r="G10486" s="889"/>
    </row>
    <row r="10487" spans="7:7" ht="10.5" customHeight="1" x14ac:dyDescent="0.2">
      <c r="G10487" s="889"/>
    </row>
    <row r="10488" spans="7:7" ht="10.5" customHeight="1" x14ac:dyDescent="0.2">
      <c r="G10488" s="889"/>
    </row>
    <row r="10489" spans="7:7" ht="10.5" customHeight="1" x14ac:dyDescent="0.2">
      <c r="G10489" s="889"/>
    </row>
    <row r="10490" spans="7:7" ht="10.5" customHeight="1" x14ac:dyDescent="0.2">
      <c r="G10490" s="889"/>
    </row>
    <row r="10491" spans="7:7" ht="10.5" customHeight="1" x14ac:dyDescent="0.2">
      <c r="G10491" s="889"/>
    </row>
    <row r="10492" spans="7:7" ht="10.5" customHeight="1" x14ac:dyDescent="0.2">
      <c r="G10492" s="889"/>
    </row>
    <row r="10493" spans="7:7" ht="10.5" customHeight="1" x14ac:dyDescent="0.2">
      <c r="G10493" s="889"/>
    </row>
    <row r="10494" spans="7:7" ht="10.5" customHeight="1" x14ac:dyDescent="0.2">
      <c r="G10494" s="889"/>
    </row>
    <row r="10495" spans="7:7" ht="10.5" customHeight="1" x14ac:dyDescent="0.2">
      <c r="G10495" s="889"/>
    </row>
    <row r="10496" spans="7:7" ht="10.5" customHeight="1" x14ac:dyDescent="0.2">
      <c r="G10496" s="889"/>
    </row>
    <row r="10497" spans="7:7" ht="10.5" customHeight="1" x14ac:dyDescent="0.2">
      <c r="G10497" s="889"/>
    </row>
    <row r="10498" spans="7:7" ht="10.5" customHeight="1" x14ac:dyDescent="0.2">
      <c r="G10498" s="889"/>
    </row>
    <row r="10499" spans="7:7" ht="10.5" customHeight="1" x14ac:dyDescent="0.2">
      <c r="G10499" s="889"/>
    </row>
    <row r="10500" spans="7:7" ht="10.5" customHeight="1" x14ac:dyDescent="0.2">
      <c r="G10500" s="889"/>
    </row>
    <row r="10501" spans="7:7" ht="10.5" customHeight="1" x14ac:dyDescent="0.2">
      <c r="G10501" s="889"/>
    </row>
    <row r="10502" spans="7:7" ht="10.5" customHeight="1" x14ac:dyDescent="0.2">
      <c r="G10502" s="889"/>
    </row>
    <row r="10503" spans="7:7" ht="10.5" customHeight="1" x14ac:dyDescent="0.2">
      <c r="G10503" s="889"/>
    </row>
    <row r="10504" spans="7:7" ht="10.5" customHeight="1" x14ac:dyDescent="0.2">
      <c r="G10504" s="889"/>
    </row>
    <row r="10505" spans="7:7" ht="10.5" customHeight="1" x14ac:dyDescent="0.2">
      <c r="G10505" s="889"/>
    </row>
    <row r="10506" spans="7:7" ht="10.5" customHeight="1" x14ac:dyDescent="0.2">
      <c r="G10506" s="889"/>
    </row>
    <row r="10507" spans="7:7" ht="10.5" customHeight="1" x14ac:dyDescent="0.2">
      <c r="G10507" s="889"/>
    </row>
    <row r="10508" spans="7:7" ht="10.5" customHeight="1" x14ac:dyDescent="0.2">
      <c r="G10508" s="889"/>
    </row>
    <row r="10509" spans="7:7" ht="10.5" customHeight="1" x14ac:dyDescent="0.2">
      <c r="G10509" s="889"/>
    </row>
    <row r="10510" spans="7:7" ht="10.5" customHeight="1" x14ac:dyDescent="0.2">
      <c r="G10510" s="889"/>
    </row>
    <row r="10511" spans="7:7" ht="10.5" customHeight="1" x14ac:dyDescent="0.2">
      <c r="G10511" s="889"/>
    </row>
    <row r="10512" spans="7:7" ht="10.5" customHeight="1" x14ac:dyDescent="0.2">
      <c r="G10512" s="889"/>
    </row>
    <row r="10513" spans="7:7" ht="10.5" customHeight="1" x14ac:dyDescent="0.2">
      <c r="G10513" s="889"/>
    </row>
    <row r="10514" spans="7:7" ht="10.5" customHeight="1" x14ac:dyDescent="0.2">
      <c r="G10514" s="889"/>
    </row>
    <row r="10515" spans="7:7" ht="10.5" customHeight="1" x14ac:dyDescent="0.2">
      <c r="G10515" s="889"/>
    </row>
    <row r="10516" spans="7:7" ht="10.5" customHeight="1" x14ac:dyDescent="0.2">
      <c r="G10516" s="889"/>
    </row>
    <row r="10517" spans="7:7" ht="10.5" customHeight="1" x14ac:dyDescent="0.2">
      <c r="G10517" s="889"/>
    </row>
    <row r="10518" spans="7:7" ht="10.5" customHeight="1" x14ac:dyDescent="0.2">
      <c r="G10518" s="889"/>
    </row>
    <row r="10519" spans="7:7" ht="10.5" customHeight="1" x14ac:dyDescent="0.2">
      <c r="G10519" s="889"/>
    </row>
    <row r="10520" spans="7:7" ht="10.5" customHeight="1" x14ac:dyDescent="0.2">
      <c r="G10520" s="889"/>
    </row>
    <row r="10521" spans="7:7" ht="10.5" customHeight="1" x14ac:dyDescent="0.2">
      <c r="G10521" s="889"/>
    </row>
    <row r="10522" spans="7:7" ht="10.5" customHeight="1" x14ac:dyDescent="0.2">
      <c r="G10522" s="889"/>
    </row>
    <row r="10523" spans="7:7" ht="10.5" customHeight="1" x14ac:dyDescent="0.2">
      <c r="G10523" s="889"/>
    </row>
    <row r="10524" spans="7:7" ht="10.5" customHeight="1" x14ac:dyDescent="0.2">
      <c r="G10524" s="889"/>
    </row>
    <row r="10525" spans="7:7" ht="10.5" customHeight="1" x14ac:dyDescent="0.2">
      <c r="G10525" s="889"/>
    </row>
    <row r="10526" spans="7:7" ht="10.5" customHeight="1" x14ac:dyDescent="0.2">
      <c r="G10526" s="889"/>
    </row>
    <row r="10527" spans="7:7" ht="10.5" customHeight="1" x14ac:dyDescent="0.2">
      <c r="G10527" s="889"/>
    </row>
    <row r="10528" spans="7:7" ht="10.5" customHeight="1" x14ac:dyDescent="0.2">
      <c r="G10528" s="889"/>
    </row>
    <row r="10529" spans="7:7" ht="10.5" customHeight="1" x14ac:dyDescent="0.2">
      <c r="G10529" s="889"/>
    </row>
    <row r="10530" spans="7:7" ht="10.5" customHeight="1" x14ac:dyDescent="0.2">
      <c r="G10530" s="889"/>
    </row>
    <row r="10531" spans="7:7" ht="10.5" customHeight="1" x14ac:dyDescent="0.2">
      <c r="G10531" s="889"/>
    </row>
    <row r="10532" spans="7:7" ht="10.5" customHeight="1" x14ac:dyDescent="0.2">
      <c r="G10532" s="889"/>
    </row>
    <row r="10533" spans="7:7" ht="10.5" customHeight="1" x14ac:dyDescent="0.2">
      <c r="G10533" s="889"/>
    </row>
    <row r="10534" spans="7:7" ht="10.5" customHeight="1" x14ac:dyDescent="0.2">
      <c r="G10534" s="889"/>
    </row>
    <row r="10535" spans="7:7" ht="10.5" customHeight="1" x14ac:dyDescent="0.2">
      <c r="G10535" s="889"/>
    </row>
    <row r="10536" spans="7:7" ht="10.5" customHeight="1" x14ac:dyDescent="0.2">
      <c r="G10536" s="889"/>
    </row>
    <row r="10537" spans="7:7" ht="10.5" customHeight="1" x14ac:dyDescent="0.2">
      <c r="G10537" s="889"/>
    </row>
    <row r="10538" spans="7:7" ht="10.5" customHeight="1" x14ac:dyDescent="0.2">
      <c r="G10538" s="889"/>
    </row>
    <row r="10539" spans="7:7" ht="10.5" customHeight="1" x14ac:dyDescent="0.2">
      <c r="G10539" s="889"/>
    </row>
    <row r="10540" spans="7:7" ht="10.5" customHeight="1" x14ac:dyDescent="0.2">
      <c r="G10540" s="889"/>
    </row>
    <row r="10541" spans="7:7" ht="10.5" customHeight="1" x14ac:dyDescent="0.2">
      <c r="G10541" s="889"/>
    </row>
    <row r="10542" spans="7:7" ht="10.5" customHeight="1" x14ac:dyDescent="0.2">
      <c r="G10542" s="889"/>
    </row>
    <row r="10543" spans="7:7" ht="10.5" customHeight="1" x14ac:dyDescent="0.2">
      <c r="G10543" s="889"/>
    </row>
    <row r="10544" spans="7:7" ht="10.5" customHeight="1" x14ac:dyDescent="0.2">
      <c r="G10544" s="889"/>
    </row>
    <row r="10545" spans="7:7" ht="10.5" customHeight="1" x14ac:dyDescent="0.2">
      <c r="G10545" s="889"/>
    </row>
    <row r="10546" spans="7:7" ht="10.5" customHeight="1" x14ac:dyDescent="0.2">
      <c r="G10546" s="889"/>
    </row>
    <row r="10547" spans="7:7" ht="10.5" customHeight="1" x14ac:dyDescent="0.2">
      <c r="G10547" s="889"/>
    </row>
    <row r="10548" spans="7:7" ht="10.5" customHeight="1" x14ac:dyDescent="0.2">
      <c r="G10548" s="889"/>
    </row>
    <row r="10549" spans="7:7" ht="10.5" customHeight="1" x14ac:dyDescent="0.2">
      <c r="G10549" s="889"/>
    </row>
    <row r="10550" spans="7:7" ht="10.5" customHeight="1" x14ac:dyDescent="0.2">
      <c r="G10550" s="889"/>
    </row>
    <row r="10551" spans="7:7" ht="10.5" customHeight="1" x14ac:dyDescent="0.2">
      <c r="G10551" s="889"/>
    </row>
    <row r="10552" spans="7:7" ht="10.5" customHeight="1" x14ac:dyDescent="0.2">
      <c r="G10552" s="889"/>
    </row>
    <row r="10553" spans="7:7" ht="10.5" customHeight="1" x14ac:dyDescent="0.2">
      <c r="G10553" s="889"/>
    </row>
    <row r="10554" spans="7:7" ht="10.5" customHeight="1" x14ac:dyDescent="0.2">
      <c r="G10554" s="889"/>
    </row>
    <row r="10555" spans="7:7" ht="10.5" customHeight="1" x14ac:dyDescent="0.2">
      <c r="G10555" s="889"/>
    </row>
    <row r="10556" spans="7:7" ht="10.5" customHeight="1" x14ac:dyDescent="0.2">
      <c r="G10556" s="889"/>
    </row>
    <row r="10557" spans="7:7" ht="10.5" customHeight="1" x14ac:dyDescent="0.2">
      <c r="G10557" s="889"/>
    </row>
    <row r="10558" spans="7:7" ht="10.5" customHeight="1" x14ac:dyDescent="0.2">
      <c r="G10558" s="889"/>
    </row>
    <row r="10559" spans="7:7" ht="10.5" customHeight="1" x14ac:dyDescent="0.2">
      <c r="G10559" s="889"/>
    </row>
    <row r="10560" spans="7:7" ht="10.5" customHeight="1" x14ac:dyDescent="0.2">
      <c r="G10560" s="889"/>
    </row>
    <row r="10561" spans="7:7" ht="10.5" customHeight="1" x14ac:dyDescent="0.2">
      <c r="G10561" s="889"/>
    </row>
    <row r="10562" spans="7:7" ht="10.5" customHeight="1" x14ac:dyDescent="0.2">
      <c r="G10562" s="889"/>
    </row>
    <row r="10563" spans="7:7" ht="10.5" customHeight="1" x14ac:dyDescent="0.2">
      <c r="G10563" s="889"/>
    </row>
    <row r="10564" spans="7:7" ht="10.5" customHeight="1" x14ac:dyDescent="0.2">
      <c r="G10564" s="889"/>
    </row>
    <row r="10565" spans="7:7" ht="10.5" customHeight="1" x14ac:dyDescent="0.2">
      <c r="G10565" s="889"/>
    </row>
    <row r="10566" spans="7:7" ht="10.5" customHeight="1" x14ac:dyDescent="0.2">
      <c r="G10566" s="889"/>
    </row>
    <row r="10567" spans="7:7" ht="10.5" customHeight="1" x14ac:dyDescent="0.2">
      <c r="G10567" s="889"/>
    </row>
    <row r="10568" spans="7:7" ht="10.5" customHeight="1" x14ac:dyDescent="0.2">
      <c r="G10568" s="889"/>
    </row>
    <row r="10569" spans="7:7" ht="10.5" customHeight="1" x14ac:dyDescent="0.2">
      <c r="G10569" s="889"/>
    </row>
    <row r="10570" spans="7:7" ht="10.5" customHeight="1" x14ac:dyDescent="0.2">
      <c r="G10570" s="889"/>
    </row>
    <row r="10571" spans="7:7" ht="10.5" customHeight="1" x14ac:dyDescent="0.2">
      <c r="G10571" s="889"/>
    </row>
    <row r="10572" spans="7:7" ht="10.5" customHeight="1" x14ac:dyDescent="0.2">
      <c r="G10572" s="889"/>
    </row>
    <row r="10573" spans="7:7" ht="10.5" customHeight="1" x14ac:dyDescent="0.2">
      <c r="G10573" s="889"/>
    </row>
    <row r="10574" spans="7:7" ht="10.5" customHeight="1" x14ac:dyDescent="0.2">
      <c r="G10574" s="889"/>
    </row>
    <row r="10575" spans="7:7" ht="10.5" customHeight="1" x14ac:dyDescent="0.2">
      <c r="G10575" s="889"/>
    </row>
    <row r="10576" spans="7:7" ht="10.5" customHeight="1" x14ac:dyDescent="0.2">
      <c r="G10576" s="889"/>
    </row>
    <row r="10577" spans="7:7" ht="10.5" customHeight="1" x14ac:dyDescent="0.2">
      <c r="G10577" s="889"/>
    </row>
    <row r="10578" spans="7:7" ht="10.5" customHeight="1" x14ac:dyDescent="0.2">
      <c r="G10578" s="889"/>
    </row>
    <row r="10579" spans="7:7" ht="10.5" customHeight="1" x14ac:dyDescent="0.2">
      <c r="G10579" s="889"/>
    </row>
    <row r="10580" spans="7:7" ht="10.5" customHeight="1" x14ac:dyDescent="0.2">
      <c r="G10580" s="889"/>
    </row>
    <row r="10581" spans="7:7" ht="10.5" customHeight="1" x14ac:dyDescent="0.2">
      <c r="G10581" s="889"/>
    </row>
    <row r="10582" spans="7:7" ht="10.5" customHeight="1" x14ac:dyDescent="0.2">
      <c r="G10582" s="889"/>
    </row>
    <row r="10583" spans="7:7" ht="10.5" customHeight="1" x14ac:dyDescent="0.2">
      <c r="G10583" s="889"/>
    </row>
    <row r="10584" spans="7:7" ht="10.5" customHeight="1" x14ac:dyDescent="0.2">
      <c r="G10584" s="889"/>
    </row>
    <row r="10585" spans="7:7" ht="10.5" customHeight="1" x14ac:dyDescent="0.2">
      <c r="G10585" s="889"/>
    </row>
    <row r="10586" spans="7:7" ht="10.5" customHeight="1" x14ac:dyDescent="0.2">
      <c r="G10586" s="889"/>
    </row>
    <row r="10587" spans="7:7" ht="10.5" customHeight="1" x14ac:dyDescent="0.2">
      <c r="G10587" s="889"/>
    </row>
    <row r="10588" spans="7:7" ht="10.5" customHeight="1" x14ac:dyDescent="0.2">
      <c r="G10588" s="889"/>
    </row>
    <row r="10589" spans="7:7" ht="10.5" customHeight="1" x14ac:dyDescent="0.2">
      <c r="G10589" s="889"/>
    </row>
    <row r="10590" spans="7:7" ht="10.5" customHeight="1" x14ac:dyDescent="0.2">
      <c r="G10590" s="889"/>
    </row>
    <row r="10591" spans="7:7" ht="10.5" customHeight="1" x14ac:dyDescent="0.2">
      <c r="G10591" s="889"/>
    </row>
    <row r="10592" spans="7:7" ht="10.5" customHeight="1" x14ac:dyDescent="0.2">
      <c r="G10592" s="889"/>
    </row>
    <row r="10593" spans="7:7" ht="10.5" customHeight="1" x14ac:dyDescent="0.2">
      <c r="G10593" s="889"/>
    </row>
    <row r="10594" spans="7:7" ht="10.5" customHeight="1" x14ac:dyDescent="0.2">
      <c r="G10594" s="889"/>
    </row>
    <row r="10595" spans="7:7" ht="10.5" customHeight="1" x14ac:dyDescent="0.2">
      <c r="G10595" s="889"/>
    </row>
    <row r="10596" spans="7:7" ht="10.5" customHeight="1" x14ac:dyDescent="0.2">
      <c r="G10596" s="889"/>
    </row>
    <row r="10597" spans="7:7" ht="10.5" customHeight="1" x14ac:dyDescent="0.2">
      <c r="G10597" s="889"/>
    </row>
    <row r="10598" spans="7:7" ht="10.5" customHeight="1" x14ac:dyDescent="0.2">
      <c r="G10598" s="889"/>
    </row>
    <row r="10599" spans="7:7" ht="10.5" customHeight="1" x14ac:dyDescent="0.2">
      <c r="G10599" s="889"/>
    </row>
    <row r="10600" spans="7:7" ht="10.5" customHeight="1" x14ac:dyDescent="0.2">
      <c r="G10600" s="889"/>
    </row>
    <row r="10601" spans="7:7" ht="10.5" customHeight="1" x14ac:dyDescent="0.2">
      <c r="G10601" s="889"/>
    </row>
    <row r="10602" spans="7:7" ht="10.5" customHeight="1" x14ac:dyDescent="0.2">
      <c r="G10602" s="889"/>
    </row>
    <row r="10603" spans="7:7" ht="10.5" customHeight="1" x14ac:dyDescent="0.2">
      <c r="G10603" s="889"/>
    </row>
    <row r="10604" spans="7:7" ht="10.5" customHeight="1" x14ac:dyDescent="0.2">
      <c r="G10604" s="889"/>
    </row>
    <row r="10605" spans="7:7" ht="10.5" customHeight="1" x14ac:dyDescent="0.2">
      <c r="G10605" s="889"/>
    </row>
    <row r="10606" spans="7:7" ht="10.5" customHeight="1" x14ac:dyDescent="0.2">
      <c r="G10606" s="889"/>
    </row>
    <row r="10607" spans="7:7" ht="10.5" customHeight="1" x14ac:dyDescent="0.2">
      <c r="G10607" s="889"/>
    </row>
    <row r="10608" spans="7:7" ht="10.5" customHeight="1" x14ac:dyDescent="0.2">
      <c r="G10608" s="889"/>
    </row>
    <row r="10609" spans="7:7" ht="10.5" customHeight="1" x14ac:dyDescent="0.2">
      <c r="G10609" s="889"/>
    </row>
    <row r="10610" spans="7:7" ht="10.5" customHeight="1" x14ac:dyDescent="0.2">
      <c r="G10610" s="889"/>
    </row>
    <row r="10611" spans="7:7" ht="10.5" customHeight="1" x14ac:dyDescent="0.2">
      <c r="G10611" s="889"/>
    </row>
    <row r="10612" spans="7:7" ht="10.5" customHeight="1" x14ac:dyDescent="0.2">
      <c r="G10612" s="889"/>
    </row>
    <row r="10613" spans="7:7" ht="10.5" customHeight="1" x14ac:dyDescent="0.2">
      <c r="G10613" s="889"/>
    </row>
    <row r="10614" spans="7:7" ht="10.5" customHeight="1" x14ac:dyDescent="0.2">
      <c r="G10614" s="889"/>
    </row>
    <row r="10615" spans="7:7" ht="10.5" customHeight="1" x14ac:dyDescent="0.2">
      <c r="G10615" s="889"/>
    </row>
    <row r="10616" spans="7:7" ht="10.5" customHeight="1" x14ac:dyDescent="0.2">
      <c r="G10616" s="889"/>
    </row>
    <row r="10617" spans="7:7" ht="10.5" customHeight="1" x14ac:dyDescent="0.2">
      <c r="G10617" s="889"/>
    </row>
    <row r="10618" spans="7:7" ht="10.5" customHeight="1" x14ac:dyDescent="0.2">
      <c r="G10618" s="889"/>
    </row>
    <row r="10619" spans="7:7" ht="10.5" customHeight="1" x14ac:dyDescent="0.2">
      <c r="G10619" s="889"/>
    </row>
    <row r="10620" spans="7:7" ht="10.5" customHeight="1" x14ac:dyDescent="0.2">
      <c r="G10620" s="889"/>
    </row>
    <row r="10621" spans="7:7" ht="10.5" customHeight="1" x14ac:dyDescent="0.2">
      <c r="G10621" s="889"/>
    </row>
    <row r="10622" spans="7:7" ht="10.5" customHeight="1" x14ac:dyDescent="0.2">
      <c r="G10622" s="889"/>
    </row>
    <row r="10623" spans="7:7" ht="10.5" customHeight="1" x14ac:dyDescent="0.2">
      <c r="G10623" s="889"/>
    </row>
    <row r="10624" spans="7:7" ht="10.5" customHeight="1" x14ac:dyDescent="0.2">
      <c r="G10624" s="889"/>
    </row>
    <row r="10625" spans="7:7" ht="10.5" customHeight="1" x14ac:dyDescent="0.2">
      <c r="G10625" s="889"/>
    </row>
    <row r="10626" spans="7:7" ht="10.5" customHeight="1" x14ac:dyDescent="0.2">
      <c r="G10626" s="889"/>
    </row>
    <row r="10627" spans="7:7" ht="10.5" customHeight="1" x14ac:dyDescent="0.2">
      <c r="G10627" s="889"/>
    </row>
    <row r="10628" spans="7:7" ht="10.5" customHeight="1" x14ac:dyDescent="0.2">
      <c r="G10628" s="889"/>
    </row>
    <row r="10629" spans="7:7" ht="10.5" customHeight="1" x14ac:dyDescent="0.2">
      <c r="G10629" s="889"/>
    </row>
    <row r="10630" spans="7:7" ht="10.5" customHeight="1" x14ac:dyDescent="0.2">
      <c r="G10630" s="889"/>
    </row>
    <row r="10631" spans="7:7" ht="10.5" customHeight="1" x14ac:dyDescent="0.2">
      <c r="G10631" s="889"/>
    </row>
    <row r="10632" spans="7:7" ht="10.5" customHeight="1" x14ac:dyDescent="0.2">
      <c r="G10632" s="889"/>
    </row>
    <row r="10633" spans="7:7" ht="10.5" customHeight="1" x14ac:dyDescent="0.2">
      <c r="G10633" s="889"/>
    </row>
    <row r="10634" spans="7:7" ht="10.5" customHeight="1" x14ac:dyDescent="0.2">
      <c r="G10634" s="889"/>
    </row>
    <row r="10635" spans="7:7" ht="10.5" customHeight="1" x14ac:dyDescent="0.2">
      <c r="G10635" s="889"/>
    </row>
    <row r="10636" spans="7:7" ht="10.5" customHeight="1" x14ac:dyDescent="0.2">
      <c r="G10636" s="889"/>
    </row>
    <row r="10637" spans="7:7" ht="10.5" customHeight="1" x14ac:dyDescent="0.2">
      <c r="G10637" s="889"/>
    </row>
    <row r="10638" spans="7:7" ht="10.5" customHeight="1" x14ac:dyDescent="0.2">
      <c r="G10638" s="889"/>
    </row>
    <row r="10639" spans="7:7" ht="10.5" customHeight="1" x14ac:dyDescent="0.2">
      <c r="G10639" s="889"/>
    </row>
    <row r="10640" spans="7:7" ht="10.5" customHeight="1" x14ac:dyDescent="0.2">
      <c r="G10640" s="889"/>
    </row>
    <row r="10641" spans="7:7" ht="10.5" customHeight="1" x14ac:dyDescent="0.2">
      <c r="G10641" s="889"/>
    </row>
    <row r="10642" spans="7:7" ht="10.5" customHeight="1" x14ac:dyDescent="0.2">
      <c r="G10642" s="889"/>
    </row>
    <row r="10643" spans="7:7" ht="10.5" customHeight="1" x14ac:dyDescent="0.2">
      <c r="G10643" s="889"/>
    </row>
    <row r="10644" spans="7:7" ht="10.5" customHeight="1" x14ac:dyDescent="0.2">
      <c r="G10644" s="889"/>
    </row>
    <row r="10645" spans="7:7" ht="10.5" customHeight="1" x14ac:dyDescent="0.2">
      <c r="G10645" s="889"/>
    </row>
    <row r="10646" spans="7:7" ht="10.5" customHeight="1" x14ac:dyDescent="0.2">
      <c r="G10646" s="889"/>
    </row>
    <row r="10647" spans="7:7" ht="10.5" customHeight="1" x14ac:dyDescent="0.2">
      <c r="G10647" s="889"/>
    </row>
    <row r="10648" spans="7:7" ht="10.5" customHeight="1" x14ac:dyDescent="0.2">
      <c r="G10648" s="889"/>
    </row>
    <row r="10649" spans="7:7" ht="10.5" customHeight="1" x14ac:dyDescent="0.2">
      <c r="G10649" s="889"/>
    </row>
    <row r="10650" spans="7:7" ht="10.5" customHeight="1" x14ac:dyDescent="0.2">
      <c r="G10650" s="889"/>
    </row>
    <row r="10651" spans="7:7" ht="10.5" customHeight="1" x14ac:dyDescent="0.2">
      <c r="G10651" s="889"/>
    </row>
    <row r="10652" spans="7:7" ht="10.5" customHeight="1" x14ac:dyDescent="0.2">
      <c r="G10652" s="889"/>
    </row>
    <row r="10653" spans="7:7" ht="10.5" customHeight="1" x14ac:dyDescent="0.2">
      <c r="G10653" s="889"/>
    </row>
    <row r="10654" spans="7:7" ht="10.5" customHeight="1" x14ac:dyDescent="0.2">
      <c r="G10654" s="889"/>
    </row>
    <row r="10655" spans="7:7" ht="10.5" customHeight="1" x14ac:dyDescent="0.2">
      <c r="G10655" s="889"/>
    </row>
    <row r="10656" spans="7:7" ht="10.5" customHeight="1" x14ac:dyDescent="0.2">
      <c r="G10656" s="889"/>
    </row>
    <row r="10657" spans="7:7" ht="10.5" customHeight="1" x14ac:dyDescent="0.2">
      <c r="G10657" s="889"/>
    </row>
    <row r="10658" spans="7:7" ht="10.5" customHeight="1" x14ac:dyDescent="0.2">
      <c r="G10658" s="889"/>
    </row>
    <row r="10659" spans="7:7" ht="10.5" customHeight="1" x14ac:dyDescent="0.2">
      <c r="G10659" s="889"/>
    </row>
    <row r="10660" spans="7:7" ht="10.5" customHeight="1" x14ac:dyDescent="0.2">
      <c r="G10660" s="889"/>
    </row>
    <row r="10661" spans="7:7" ht="10.5" customHeight="1" x14ac:dyDescent="0.2">
      <c r="G10661" s="889"/>
    </row>
    <row r="10662" spans="7:7" ht="10.5" customHeight="1" x14ac:dyDescent="0.2">
      <c r="G10662" s="889"/>
    </row>
    <row r="10663" spans="7:7" ht="10.5" customHeight="1" x14ac:dyDescent="0.2">
      <c r="G10663" s="889"/>
    </row>
    <row r="10664" spans="7:7" ht="10.5" customHeight="1" x14ac:dyDescent="0.2">
      <c r="G10664" s="889"/>
    </row>
    <row r="10665" spans="7:7" ht="10.5" customHeight="1" x14ac:dyDescent="0.2">
      <c r="G10665" s="889"/>
    </row>
    <row r="10666" spans="7:7" ht="10.5" customHeight="1" x14ac:dyDescent="0.2">
      <c r="G10666" s="889"/>
    </row>
    <row r="10667" spans="7:7" ht="10.5" customHeight="1" x14ac:dyDescent="0.2">
      <c r="G10667" s="889"/>
    </row>
    <row r="10668" spans="7:7" ht="10.5" customHeight="1" x14ac:dyDescent="0.2">
      <c r="G10668" s="889"/>
    </row>
    <row r="10669" spans="7:7" ht="10.5" customHeight="1" x14ac:dyDescent="0.2">
      <c r="G10669" s="889"/>
    </row>
    <row r="10670" spans="7:7" ht="10.5" customHeight="1" x14ac:dyDescent="0.2">
      <c r="G10670" s="889"/>
    </row>
    <row r="10671" spans="7:7" ht="10.5" customHeight="1" x14ac:dyDescent="0.2">
      <c r="G10671" s="889"/>
    </row>
    <row r="10672" spans="7:7" ht="10.5" customHeight="1" x14ac:dyDescent="0.2">
      <c r="G10672" s="889"/>
    </row>
    <row r="10673" spans="7:7" ht="10.5" customHeight="1" x14ac:dyDescent="0.2">
      <c r="G10673" s="889"/>
    </row>
    <row r="10674" spans="7:7" ht="10.5" customHeight="1" x14ac:dyDescent="0.2">
      <c r="G10674" s="889"/>
    </row>
    <row r="10675" spans="7:7" ht="10.5" customHeight="1" x14ac:dyDescent="0.2">
      <c r="G10675" s="889"/>
    </row>
    <row r="10676" spans="7:7" ht="10.5" customHeight="1" x14ac:dyDescent="0.2">
      <c r="G10676" s="889"/>
    </row>
    <row r="10677" spans="7:7" ht="10.5" customHeight="1" x14ac:dyDescent="0.2">
      <c r="G10677" s="889"/>
    </row>
    <row r="10678" spans="7:7" ht="10.5" customHeight="1" x14ac:dyDescent="0.2">
      <c r="G10678" s="889"/>
    </row>
    <row r="10679" spans="7:7" ht="10.5" customHeight="1" x14ac:dyDescent="0.2">
      <c r="G10679" s="889"/>
    </row>
    <row r="10680" spans="7:7" ht="10.5" customHeight="1" x14ac:dyDescent="0.2">
      <c r="G10680" s="889"/>
    </row>
    <row r="10681" spans="7:7" ht="10.5" customHeight="1" x14ac:dyDescent="0.2">
      <c r="G10681" s="889"/>
    </row>
    <row r="10682" spans="7:7" ht="10.5" customHeight="1" x14ac:dyDescent="0.2">
      <c r="G10682" s="889"/>
    </row>
    <row r="10683" spans="7:7" ht="10.5" customHeight="1" x14ac:dyDescent="0.2">
      <c r="G10683" s="889"/>
    </row>
    <row r="10684" spans="7:7" ht="10.5" customHeight="1" x14ac:dyDescent="0.2">
      <c r="G10684" s="889"/>
    </row>
    <row r="10685" spans="7:7" ht="10.5" customHeight="1" x14ac:dyDescent="0.2">
      <c r="G10685" s="889"/>
    </row>
    <row r="10686" spans="7:7" ht="10.5" customHeight="1" x14ac:dyDescent="0.2">
      <c r="G10686" s="889"/>
    </row>
    <row r="10687" spans="7:7" ht="10.5" customHeight="1" x14ac:dyDescent="0.2">
      <c r="G10687" s="889"/>
    </row>
    <row r="10688" spans="7:7" ht="10.5" customHeight="1" x14ac:dyDescent="0.2">
      <c r="G10688" s="889"/>
    </row>
    <row r="10689" spans="7:7" ht="10.5" customHeight="1" x14ac:dyDescent="0.2">
      <c r="G10689" s="889"/>
    </row>
    <row r="10690" spans="7:7" ht="10.5" customHeight="1" x14ac:dyDescent="0.2">
      <c r="G10690" s="889"/>
    </row>
    <row r="10691" spans="7:7" ht="10.5" customHeight="1" x14ac:dyDescent="0.2">
      <c r="G10691" s="889"/>
    </row>
    <row r="10692" spans="7:7" ht="10.5" customHeight="1" x14ac:dyDescent="0.2">
      <c r="G10692" s="889"/>
    </row>
    <row r="10693" spans="7:7" ht="10.5" customHeight="1" x14ac:dyDescent="0.2">
      <c r="G10693" s="889"/>
    </row>
    <row r="10694" spans="7:7" ht="10.5" customHeight="1" x14ac:dyDescent="0.2">
      <c r="G10694" s="889"/>
    </row>
    <row r="10695" spans="7:7" ht="10.5" customHeight="1" x14ac:dyDescent="0.2">
      <c r="G10695" s="889"/>
    </row>
    <row r="10696" spans="7:7" ht="10.5" customHeight="1" x14ac:dyDescent="0.2">
      <c r="G10696" s="889"/>
    </row>
    <row r="10697" spans="7:7" ht="10.5" customHeight="1" x14ac:dyDescent="0.2">
      <c r="G10697" s="889"/>
    </row>
    <row r="10698" spans="7:7" ht="10.5" customHeight="1" x14ac:dyDescent="0.2">
      <c r="G10698" s="889"/>
    </row>
    <row r="10699" spans="7:7" ht="10.5" customHeight="1" x14ac:dyDescent="0.2">
      <c r="G10699" s="889"/>
    </row>
    <row r="10700" spans="7:7" ht="10.5" customHeight="1" x14ac:dyDescent="0.2">
      <c r="G10700" s="889"/>
    </row>
    <row r="10701" spans="7:7" ht="10.5" customHeight="1" x14ac:dyDescent="0.2">
      <c r="G10701" s="889"/>
    </row>
    <row r="10702" spans="7:7" ht="10.5" customHeight="1" x14ac:dyDescent="0.2">
      <c r="G10702" s="889"/>
    </row>
    <row r="10703" spans="7:7" ht="10.5" customHeight="1" x14ac:dyDescent="0.2">
      <c r="G10703" s="889"/>
    </row>
    <row r="10704" spans="7:7" ht="10.5" customHeight="1" x14ac:dyDescent="0.2">
      <c r="G10704" s="889"/>
    </row>
    <row r="10705" spans="7:7" ht="10.5" customHeight="1" x14ac:dyDescent="0.2">
      <c r="G10705" s="889"/>
    </row>
    <row r="10706" spans="7:7" ht="10.5" customHeight="1" x14ac:dyDescent="0.2">
      <c r="G10706" s="889"/>
    </row>
    <row r="10707" spans="7:7" ht="10.5" customHeight="1" x14ac:dyDescent="0.2">
      <c r="G10707" s="889"/>
    </row>
    <row r="10708" spans="7:7" ht="10.5" customHeight="1" x14ac:dyDescent="0.2">
      <c r="G10708" s="889"/>
    </row>
    <row r="10709" spans="7:7" ht="10.5" customHeight="1" x14ac:dyDescent="0.2">
      <c r="G10709" s="889"/>
    </row>
    <row r="10710" spans="7:7" ht="10.5" customHeight="1" x14ac:dyDescent="0.2">
      <c r="G10710" s="889"/>
    </row>
    <row r="10711" spans="7:7" ht="10.5" customHeight="1" x14ac:dyDescent="0.2">
      <c r="G10711" s="889"/>
    </row>
    <row r="10712" spans="7:7" ht="10.5" customHeight="1" x14ac:dyDescent="0.2">
      <c r="G10712" s="889"/>
    </row>
    <row r="10713" spans="7:7" ht="10.5" customHeight="1" x14ac:dyDescent="0.2">
      <c r="G10713" s="889"/>
    </row>
    <row r="10714" spans="7:7" ht="10.5" customHeight="1" x14ac:dyDescent="0.2">
      <c r="G10714" s="889"/>
    </row>
    <row r="10715" spans="7:7" ht="10.5" customHeight="1" x14ac:dyDescent="0.2">
      <c r="G10715" s="889"/>
    </row>
    <row r="10716" spans="7:7" ht="10.5" customHeight="1" x14ac:dyDescent="0.2">
      <c r="G10716" s="889"/>
    </row>
    <row r="10717" spans="7:7" ht="10.5" customHeight="1" x14ac:dyDescent="0.2">
      <c r="G10717" s="889"/>
    </row>
    <row r="10718" spans="7:7" ht="10.5" customHeight="1" x14ac:dyDescent="0.2">
      <c r="G10718" s="889"/>
    </row>
    <row r="10719" spans="7:7" ht="10.5" customHeight="1" x14ac:dyDescent="0.2">
      <c r="G10719" s="889"/>
    </row>
    <row r="10720" spans="7:7" ht="10.5" customHeight="1" x14ac:dyDescent="0.2">
      <c r="G10720" s="889"/>
    </row>
    <row r="10721" spans="7:7" ht="10.5" customHeight="1" x14ac:dyDescent="0.2">
      <c r="G10721" s="889"/>
    </row>
    <row r="10722" spans="7:7" ht="10.5" customHeight="1" x14ac:dyDescent="0.2">
      <c r="G10722" s="889"/>
    </row>
    <row r="10723" spans="7:7" ht="10.5" customHeight="1" x14ac:dyDescent="0.2">
      <c r="G10723" s="889"/>
    </row>
    <row r="10724" spans="7:7" ht="10.5" customHeight="1" x14ac:dyDescent="0.2">
      <c r="G10724" s="889"/>
    </row>
    <row r="10725" spans="7:7" ht="10.5" customHeight="1" x14ac:dyDescent="0.2">
      <c r="G10725" s="889"/>
    </row>
    <row r="10726" spans="7:7" ht="10.5" customHeight="1" x14ac:dyDescent="0.2">
      <c r="G10726" s="889"/>
    </row>
    <row r="10727" spans="7:7" ht="10.5" customHeight="1" x14ac:dyDescent="0.2">
      <c r="G10727" s="889"/>
    </row>
    <row r="10728" spans="7:7" ht="10.5" customHeight="1" x14ac:dyDescent="0.2">
      <c r="G10728" s="889"/>
    </row>
    <row r="10729" spans="7:7" ht="10.5" customHeight="1" x14ac:dyDescent="0.2">
      <c r="G10729" s="889"/>
    </row>
    <row r="10730" spans="7:7" ht="10.5" customHeight="1" x14ac:dyDescent="0.2">
      <c r="G10730" s="889"/>
    </row>
    <row r="10731" spans="7:7" ht="10.5" customHeight="1" x14ac:dyDescent="0.2">
      <c r="G10731" s="889"/>
    </row>
    <row r="10732" spans="7:7" ht="10.5" customHeight="1" x14ac:dyDescent="0.2">
      <c r="G10732" s="889"/>
    </row>
    <row r="10733" spans="7:7" ht="10.5" customHeight="1" x14ac:dyDescent="0.2">
      <c r="G10733" s="889"/>
    </row>
    <row r="10734" spans="7:7" ht="10.5" customHeight="1" x14ac:dyDescent="0.2">
      <c r="G10734" s="889"/>
    </row>
    <row r="10735" spans="7:7" ht="10.5" customHeight="1" x14ac:dyDescent="0.2">
      <c r="G10735" s="889"/>
    </row>
    <row r="10736" spans="7:7" ht="10.5" customHeight="1" x14ac:dyDescent="0.2">
      <c r="G10736" s="889"/>
    </row>
    <row r="10737" spans="7:7" ht="10.5" customHeight="1" x14ac:dyDescent="0.2">
      <c r="G10737" s="889"/>
    </row>
    <row r="10738" spans="7:7" ht="10.5" customHeight="1" x14ac:dyDescent="0.2">
      <c r="G10738" s="889"/>
    </row>
    <row r="10739" spans="7:7" ht="10.5" customHeight="1" x14ac:dyDescent="0.2">
      <c r="G10739" s="889"/>
    </row>
    <row r="10740" spans="7:7" ht="10.5" customHeight="1" x14ac:dyDescent="0.2">
      <c r="G10740" s="889"/>
    </row>
    <row r="10741" spans="7:7" ht="10.5" customHeight="1" x14ac:dyDescent="0.2">
      <c r="G10741" s="889"/>
    </row>
    <row r="10742" spans="7:7" ht="10.5" customHeight="1" x14ac:dyDescent="0.2">
      <c r="G10742" s="889"/>
    </row>
    <row r="10743" spans="7:7" ht="10.5" customHeight="1" x14ac:dyDescent="0.2">
      <c r="G10743" s="889"/>
    </row>
    <row r="10744" spans="7:7" ht="10.5" customHeight="1" x14ac:dyDescent="0.2">
      <c r="G10744" s="889"/>
    </row>
    <row r="10745" spans="7:7" ht="10.5" customHeight="1" x14ac:dyDescent="0.2">
      <c r="G10745" s="889"/>
    </row>
    <row r="10746" spans="7:7" ht="10.5" customHeight="1" x14ac:dyDescent="0.2">
      <c r="G10746" s="889"/>
    </row>
    <row r="10747" spans="7:7" ht="10.5" customHeight="1" x14ac:dyDescent="0.2">
      <c r="G10747" s="889"/>
    </row>
    <row r="10748" spans="7:7" ht="10.5" customHeight="1" x14ac:dyDescent="0.2">
      <c r="G10748" s="889"/>
    </row>
    <row r="10749" spans="7:7" ht="10.5" customHeight="1" x14ac:dyDescent="0.2">
      <c r="G10749" s="889"/>
    </row>
    <row r="10750" spans="7:7" ht="10.5" customHeight="1" x14ac:dyDescent="0.2">
      <c r="G10750" s="889"/>
    </row>
    <row r="10751" spans="7:7" ht="10.5" customHeight="1" x14ac:dyDescent="0.2">
      <c r="G10751" s="889"/>
    </row>
    <row r="10752" spans="7:7" ht="10.5" customHeight="1" x14ac:dyDescent="0.2">
      <c r="G10752" s="889"/>
    </row>
    <row r="10753" spans="7:7" ht="10.5" customHeight="1" x14ac:dyDescent="0.2">
      <c r="G10753" s="889"/>
    </row>
    <row r="10754" spans="7:7" ht="10.5" customHeight="1" x14ac:dyDescent="0.2">
      <c r="G10754" s="889"/>
    </row>
    <row r="10755" spans="7:7" ht="10.5" customHeight="1" x14ac:dyDescent="0.2">
      <c r="G10755" s="889"/>
    </row>
    <row r="10756" spans="7:7" ht="10.5" customHeight="1" x14ac:dyDescent="0.2">
      <c r="G10756" s="889"/>
    </row>
    <row r="10757" spans="7:7" ht="10.5" customHeight="1" x14ac:dyDescent="0.2">
      <c r="G10757" s="889"/>
    </row>
    <row r="10758" spans="7:7" ht="10.5" customHeight="1" x14ac:dyDescent="0.2">
      <c r="G10758" s="889"/>
    </row>
    <row r="10759" spans="7:7" ht="10.5" customHeight="1" x14ac:dyDescent="0.2">
      <c r="G10759" s="889"/>
    </row>
    <row r="10760" spans="7:7" ht="10.5" customHeight="1" x14ac:dyDescent="0.2">
      <c r="G10760" s="889"/>
    </row>
    <row r="10761" spans="7:7" ht="10.5" customHeight="1" x14ac:dyDescent="0.2">
      <c r="G10761" s="889"/>
    </row>
    <row r="10762" spans="7:7" ht="10.5" customHeight="1" x14ac:dyDescent="0.2">
      <c r="G10762" s="889"/>
    </row>
    <row r="10763" spans="7:7" ht="10.5" customHeight="1" x14ac:dyDescent="0.2">
      <c r="G10763" s="889"/>
    </row>
    <row r="10764" spans="7:7" ht="10.5" customHeight="1" x14ac:dyDescent="0.2">
      <c r="G10764" s="889"/>
    </row>
    <row r="10765" spans="7:7" ht="10.5" customHeight="1" x14ac:dyDescent="0.2">
      <c r="G10765" s="889"/>
    </row>
    <row r="10766" spans="7:7" ht="10.5" customHeight="1" x14ac:dyDescent="0.2">
      <c r="G10766" s="889"/>
    </row>
    <row r="10767" spans="7:7" ht="10.5" customHeight="1" x14ac:dyDescent="0.2">
      <c r="G10767" s="889"/>
    </row>
    <row r="10768" spans="7:7" ht="10.5" customHeight="1" x14ac:dyDescent="0.2">
      <c r="G10768" s="889"/>
    </row>
    <row r="10769" spans="7:7" ht="10.5" customHeight="1" x14ac:dyDescent="0.2">
      <c r="G10769" s="889"/>
    </row>
    <row r="10770" spans="7:7" ht="10.5" customHeight="1" x14ac:dyDescent="0.2">
      <c r="G10770" s="889"/>
    </row>
    <row r="10771" spans="7:7" ht="10.5" customHeight="1" x14ac:dyDescent="0.2">
      <c r="G10771" s="889"/>
    </row>
    <row r="10772" spans="7:7" ht="10.5" customHeight="1" x14ac:dyDescent="0.2">
      <c r="G10772" s="889"/>
    </row>
    <row r="10773" spans="7:7" ht="10.5" customHeight="1" x14ac:dyDescent="0.2">
      <c r="G10773" s="889"/>
    </row>
    <row r="10774" spans="7:7" ht="10.5" customHeight="1" x14ac:dyDescent="0.2">
      <c r="G10774" s="889"/>
    </row>
    <row r="10775" spans="7:7" ht="10.5" customHeight="1" x14ac:dyDescent="0.2">
      <c r="G10775" s="889"/>
    </row>
    <row r="10776" spans="7:7" ht="10.5" customHeight="1" x14ac:dyDescent="0.2">
      <c r="G10776" s="889"/>
    </row>
    <row r="10777" spans="7:7" ht="10.5" customHeight="1" x14ac:dyDescent="0.2">
      <c r="G10777" s="889"/>
    </row>
    <row r="10778" spans="7:7" ht="10.5" customHeight="1" x14ac:dyDescent="0.2">
      <c r="G10778" s="889"/>
    </row>
    <row r="10779" spans="7:7" ht="10.5" customHeight="1" x14ac:dyDescent="0.2">
      <c r="G10779" s="889"/>
    </row>
    <row r="10780" spans="7:7" ht="10.5" customHeight="1" x14ac:dyDescent="0.2">
      <c r="G10780" s="889"/>
    </row>
    <row r="10781" spans="7:7" ht="10.5" customHeight="1" x14ac:dyDescent="0.2">
      <c r="G10781" s="889"/>
    </row>
    <row r="10782" spans="7:7" ht="10.5" customHeight="1" x14ac:dyDescent="0.2">
      <c r="G10782" s="889"/>
    </row>
    <row r="10783" spans="7:7" ht="10.5" customHeight="1" x14ac:dyDescent="0.2">
      <c r="G10783" s="889"/>
    </row>
    <row r="10784" spans="7:7" ht="10.5" customHeight="1" x14ac:dyDescent="0.2">
      <c r="G10784" s="889"/>
    </row>
    <row r="10785" spans="7:7" ht="10.5" customHeight="1" x14ac:dyDescent="0.2">
      <c r="G10785" s="889"/>
    </row>
    <row r="10786" spans="7:7" ht="10.5" customHeight="1" x14ac:dyDescent="0.2">
      <c r="G10786" s="889"/>
    </row>
    <row r="10787" spans="7:7" ht="10.5" customHeight="1" x14ac:dyDescent="0.2">
      <c r="G10787" s="889"/>
    </row>
    <row r="10788" spans="7:7" ht="10.5" customHeight="1" x14ac:dyDescent="0.2">
      <c r="G10788" s="889"/>
    </row>
    <row r="10789" spans="7:7" ht="10.5" customHeight="1" x14ac:dyDescent="0.2">
      <c r="G10789" s="889"/>
    </row>
    <row r="10790" spans="7:7" ht="10.5" customHeight="1" x14ac:dyDescent="0.2">
      <c r="G10790" s="889"/>
    </row>
    <row r="10791" spans="7:7" ht="10.5" customHeight="1" x14ac:dyDescent="0.2">
      <c r="G10791" s="889"/>
    </row>
    <row r="10792" spans="7:7" ht="10.5" customHeight="1" x14ac:dyDescent="0.2">
      <c r="G10792" s="889"/>
    </row>
    <row r="10793" spans="7:7" ht="10.5" customHeight="1" x14ac:dyDescent="0.2">
      <c r="G10793" s="889"/>
    </row>
    <row r="10794" spans="7:7" ht="10.5" customHeight="1" x14ac:dyDescent="0.2">
      <c r="G10794" s="889"/>
    </row>
    <row r="10795" spans="7:7" ht="10.5" customHeight="1" x14ac:dyDescent="0.2">
      <c r="G10795" s="889"/>
    </row>
    <row r="10796" spans="7:7" ht="10.5" customHeight="1" x14ac:dyDescent="0.2">
      <c r="G10796" s="889"/>
    </row>
    <row r="10797" spans="7:7" ht="10.5" customHeight="1" x14ac:dyDescent="0.2">
      <c r="G10797" s="889"/>
    </row>
    <row r="10798" spans="7:7" ht="10.5" customHeight="1" x14ac:dyDescent="0.2">
      <c r="G10798" s="889"/>
    </row>
    <row r="10799" spans="7:7" ht="10.5" customHeight="1" x14ac:dyDescent="0.2">
      <c r="G10799" s="889"/>
    </row>
    <row r="10800" spans="7:7" ht="10.5" customHeight="1" x14ac:dyDescent="0.2">
      <c r="G10800" s="889"/>
    </row>
    <row r="10801" spans="7:7" ht="10.5" customHeight="1" x14ac:dyDescent="0.2">
      <c r="G10801" s="889"/>
    </row>
    <row r="10802" spans="7:7" ht="10.5" customHeight="1" x14ac:dyDescent="0.2">
      <c r="G10802" s="889"/>
    </row>
    <row r="10803" spans="7:7" ht="10.5" customHeight="1" x14ac:dyDescent="0.2">
      <c r="G10803" s="889"/>
    </row>
    <row r="10804" spans="7:7" ht="10.5" customHeight="1" x14ac:dyDescent="0.2">
      <c r="G10804" s="889"/>
    </row>
    <row r="10805" spans="7:7" ht="10.5" customHeight="1" x14ac:dyDescent="0.2">
      <c r="G10805" s="889"/>
    </row>
    <row r="10806" spans="7:7" ht="10.5" customHeight="1" x14ac:dyDescent="0.2">
      <c r="G10806" s="889"/>
    </row>
    <row r="10807" spans="7:7" ht="10.5" customHeight="1" x14ac:dyDescent="0.2">
      <c r="G10807" s="889"/>
    </row>
    <row r="10808" spans="7:7" ht="10.5" customHeight="1" x14ac:dyDescent="0.2">
      <c r="G10808" s="889"/>
    </row>
    <row r="10809" spans="7:7" ht="10.5" customHeight="1" x14ac:dyDescent="0.2">
      <c r="G10809" s="889"/>
    </row>
    <row r="10810" spans="7:7" ht="10.5" customHeight="1" x14ac:dyDescent="0.2">
      <c r="G10810" s="889"/>
    </row>
    <row r="10811" spans="7:7" ht="10.5" customHeight="1" x14ac:dyDescent="0.2">
      <c r="G10811" s="889"/>
    </row>
    <row r="10812" spans="7:7" ht="10.5" customHeight="1" x14ac:dyDescent="0.2">
      <c r="G10812" s="889"/>
    </row>
    <row r="10813" spans="7:7" ht="10.5" customHeight="1" x14ac:dyDescent="0.2">
      <c r="G10813" s="889"/>
    </row>
    <row r="10814" spans="7:7" ht="10.5" customHeight="1" x14ac:dyDescent="0.2">
      <c r="G10814" s="889"/>
    </row>
    <row r="10815" spans="7:7" ht="10.5" customHeight="1" x14ac:dyDescent="0.2">
      <c r="G10815" s="889"/>
    </row>
    <row r="10816" spans="7:7" ht="10.5" customHeight="1" x14ac:dyDescent="0.2">
      <c r="G10816" s="889"/>
    </row>
    <row r="10817" spans="7:7" ht="10.5" customHeight="1" x14ac:dyDescent="0.2">
      <c r="G10817" s="889"/>
    </row>
    <row r="10818" spans="7:7" ht="10.5" customHeight="1" x14ac:dyDescent="0.2">
      <c r="G10818" s="889"/>
    </row>
    <row r="10819" spans="7:7" ht="10.5" customHeight="1" x14ac:dyDescent="0.2">
      <c r="G10819" s="889"/>
    </row>
    <row r="10820" spans="7:7" ht="10.5" customHeight="1" x14ac:dyDescent="0.2">
      <c r="G10820" s="889"/>
    </row>
    <row r="10821" spans="7:7" ht="10.5" customHeight="1" x14ac:dyDescent="0.2">
      <c r="G10821" s="889"/>
    </row>
    <row r="10822" spans="7:7" ht="10.5" customHeight="1" x14ac:dyDescent="0.2">
      <c r="G10822" s="889"/>
    </row>
    <row r="10823" spans="7:7" ht="10.5" customHeight="1" x14ac:dyDescent="0.2">
      <c r="G10823" s="889"/>
    </row>
    <row r="10824" spans="7:7" ht="10.5" customHeight="1" x14ac:dyDescent="0.2">
      <c r="G10824" s="889"/>
    </row>
    <row r="10825" spans="7:7" ht="10.5" customHeight="1" x14ac:dyDescent="0.2">
      <c r="G10825" s="889"/>
    </row>
    <row r="10826" spans="7:7" ht="10.5" customHeight="1" x14ac:dyDescent="0.2">
      <c r="G10826" s="889"/>
    </row>
    <row r="10827" spans="7:7" ht="10.5" customHeight="1" x14ac:dyDescent="0.2">
      <c r="G10827" s="889"/>
    </row>
    <row r="10828" spans="7:7" ht="10.5" customHeight="1" x14ac:dyDescent="0.2">
      <c r="G10828" s="889"/>
    </row>
    <row r="10829" spans="7:7" ht="10.5" customHeight="1" x14ac:dyDescent="0.2">
      <c r="G10829" s="889"/>
    </row>
    <row r="10830" spans="7:7" ht="10.5" customHeight="1" x14ac:dyDescent="0.2">
      <c r="G10830" s="889"/>
    </row>
    <row r="10831" spans="7:7" ht="10.5" customHeight="1" x14ac:dyDescent="0.2">
      <c r="G10831" s="889"/>
    </row>
    <row r="10832" spans="7:7" ht="10.5" customHeight="1" x14ac:dyDescent="0.2">
      <c r="G10832" s="889"/>
    </row>
    <row r="10833" spans="7:7" ht="10.5" customHeight="1" x14ac:dyDescent="0.2">
      <c r="G10833" s="889"/>
    </row>
    <row r="10834" spans="7:7" ht="10.5" customHeight="1" x14ac:dyDescent="0.2">
      <c r="G10834" s="889"/>
    </row>
    <row r="10835" spans="7:7" ht="10.5" customHeight="1" x14ac:dyDescent="0.2">
      <c r="G10835" s="889"/>
    </row>
    <row r="10836" spans="7:7" ht="10.5" customHeight="1" x14ac:dyDescent="0.2">
      <c r="G10836" s="889"/>
    </row>
    <row r="10837" spans="7:7" ht="10.5" customHeight="1" x14ac:dyDescent="0.2">
      <c r="G10837" s="889"/>
    </row>
    <row r="10838" spans="7:7" ht="10.5" customHeight="1" x14ac:dyDescent="0.2">
      <c r="G10838" s="889"/>
    </row>
    <row r="10839" spans="7:7" ht="10.5" customHeight="1" x14ac:dyDescent="0.2">
      <c r="G10839" s="889"/>
    </row>
    <row r="10840" spans="7:7" ht="10.5" customHeight="1" x14ac:dyDescent="0.2">
      <c r="G10840" s="889"/>
    </row>
    <row r="10841" spans="7:7" ht="10.5" customHeight="1" x14ac:dyDescent="0.2">
      <c r="G10841" s="889"/>
    </row>
    <row r="10842" spans="7:7" ht="10.5" customHeight="1" x14ac:dyDescent="0.2">
      <c r="G10842" s="889"/>
    </row>
    <row r="10843" spans="7:7" ht="10.5" customHeight="1" x14ac:dyDescent="0.2">
      <c r="G10843" s="889"/>
    </row>
    <row r="10844" spans="7:7" ht="10.5" customHeight="1" x14ac:dyDescent="0.2">
      <c r="G10844" s="889"/>
    </row>
    <row r="10845" spans="7:7" ht="10.5" customHeight="1" x14ac:dyDescent="0.2">
      <c r="G10845" s="889"/>
    </row>
    <row r="10846" spans="7:7" ht="10.5" customHeight="1" x14ac:dyDescent="0.2">
      <c r="G10846" s="889"/>
    </row>
    <row r="10847" spans="7:7" ht="10.5" customHeight="1" x14ac:dyDescent="0.2">
      <c r="G10847" s="889"/>
    </row>
    <row r="10848" spans="7:7" ht="10.5" customHeight="1" x14ac:dyDescent="0.2">
      <c r="G10848" s="889"/>
    </row>
    <row r="10849" spans="7:7" ht="10.5" customHeight="1" x14ac:dyDescent="0.2">
      <c r="G10849" s="889"/>
    </row>
    <row r="10850" spans="7:7" ht="10.5" customHeight="1" x14ac:dyDescent="0.2">
      <c r="G10850" s="889"/>
    </row>
    <row r="10851" spans="7:7" ht="10.5" customHeight="1" x14ac:dyDescent="0.2">
      <c r="G10851" s="889"/>
    </row>
    <row r="10852" spans="7:7" ht="10.5" customHeight="1" x14ac:dyDescent="0.2">
      <c r="G10852" s="889"/>
    </row>
    <row r="10853" spans="7:7" ht="10.5" customHeight="1" x14ac:dyDescent="0.2">
      <c r="G10853" s="889"/>
    </row>
    <row r="10854" spans="7:7" ht="10.5" customHeight="1" x14ac:dyDescent="0.2">
      <c r="G10854" s="889"/>
    </row>
    <row r="10855" spans="7:7" ht="10.5" customHeight="1" x14ac:dyDescent="0.2">
      <c r="G10855" s="889"/>
    </row>
    <row r="10856" spans="7:7" ht="10.5" customHeight="1" x14ac:dyDescent="0.2">
      <c r="G10856" s="889"/>
    </row>
    <row r="10857" spans="7:7" ht="10.5" customHeight="1" x14ac:dyDescent="0.2">
      <c r="G10857" s="889"/>
    </row>
    <row r="10858" spans="7:7" ht="10.5" customHeight="1" x14ac:dyDescent="0.2">
      <c r="G10858" s="889"/>
    </row>
    <row r="10859" spans="7:7" ht="10.5" customHeight="1" x14ac:dyDescent="0.2">
      <c r="G10859" s="889"/>
    </row>
    <row r="10860" spans="7:7" ht="10.5" customHeight="1" x14ac:dyDescent="0.2">
      <c r="G10860" s="889"/>
    </row>
    <row r="10861" spans="7:7" ht="10.5" customHeight="1" x14ac:dyDescent="0.2">
      <c r="G10861" s="889"/>
    </row>
    <row r="10862" spans="7:7" ht="10.5" customHeight="1" x14ac:dyDescent="0.2">
      <c r="G10862" s="889"/>
    </row>
    <row r="10863" spans="7:7" ht="10.5" customHeight="1" x14ac:dyDescent="0.2">
      <c r="G10863" s="889"/>
    </row>
    <row r="10864" spans="7:7" ht="10.5" customHeight="1" x14ac:dyDescent="0.2">
      <c r="G10864" s="889"/>
    </row>
    <row r="10865" spans="7:7" ht="10.5" customHeight="1" x14ac:dyDescent="0.2">
      <c r="G10865" s="889"/>
    </row>
    <row r="10866" spans="7:7" ht="10.5" customHeight="1" x14ac:dyDescent="0.2">
      <c r="G10866" s="889"/>
    </row>
    <row r="10867" spans="7:7" ht="10.5" customHeight="1" x14ac:dyDescent="0.2">
      <c r="G10867" s="889"/>
    </row>
    <row r="10868" spans="7:7" ht="10.5" customHeight="1" x14ac:dyDescent="0.2">
      <c r="G10868" s="889"/>
    </row>
    <row r="10869" spans="7:7" ht="10.5" customHeight="1" x14ac:dyDescent="0.2">
      <c r="G10869" s="889"/>
    </row>
    <row r="10870" spans="7:7" ht="10.5" customHeight="1" x14ac:dyDescent="0.2">
      <c r="G10870" s="889"/>
    </row>
    <row r="10871" spans="7:7" ht="10.5" customHeight="1" x14ac:dyDescent="0.2">
      <c r="G10871" s="889"/>
    </row>
    <row r="10872" spans="7:7" ht="10.5" customHeight="1" x14ac:dyDescent="0.2">
      <c r="G10872" s="889"/>
    </row>
    <row r="10873" spans="7:7" ht="10.5" customHeight="1" x14ac:dyDescent="0.2">
      <c r="G10873" s="889"/>
    </row>
    <row r="10874" spans="7:7" ht="10.5" customHeight="1" x14ac:dyDescent="0.2">
      <c r="G10874" s="889"/>
    </row>
    <row r="10875" spans="7:7" ht="10.5" customHeight="1" x14ac:dyDescent="0.2">
      <c r="G10875" s="889"/>
    </row>
    <row r="10876" spans="7:7" ht="10.5" customHeight="1" x14ac:dyDescent="0.2">
      <c r="G10876" s="889"/>
    </row>
    <row r="10877" spans="7:7" ht="10.5" customHeight="1" x14ac:dyDescent="0.2">
      <c r="G10877" s="889"/>
    </row>
    <row r="10878" spans="7:7" ht="10.5" customHeight="1" x14ac:dyDescent="0.2">
      <c r="G10878" s="889"/>
    </row>
    <row r="10879" spans="7:7" ht="10.5" customHeight="1" x14ac:dyDescent="0.2">
      <c r="G10879" s="889"/>
    </row>
    <row r="10880" spans="7:7" ht="10.5" customHeight="1" x14ac:dyDescent="0.2">
      <c r="G10880" s="889"/>
    </row>
    <row r="10881" spans="7:7" ht="10.5" customHeight="1" x14ac:dyDescent="0.2">
      <c r="G10881" s="889"/>
    </row>
    <row r="10882" spans="7:7" ht="10.5" customHeight="1" x14ac:dyDescent="0.2">
      <c r="G10882" s="889"/>
    </row>
    <row r="10883" spans="7:7" ht="10.5" customHeight="1" x14ac:dyDescent="0.2">
      <c r="G10883" s="889"/>
    </row>
    <row r="10884" spans="7:7" ht="10.5" customHeight="1" x14ac:dyDescent="0.2">
      <c r="G10884" s="889"/>
    </row>
    <row r="10885" spans="7:7" ht="10.5" customHeight="1" x14ac:dyDescent="0.2">
      <c r="G10885" s="889"/>
    </row>
    <row r="10886" spans="7:7" ht="10.5" customHeight="1" x14ac:dyDescent="0.2">
      <c r="G10886" s="889"/>
    </row>
    <row r="10887" spans="7:7" ht="10.5" customHeight="1" x14ac:dyDescent="0.2">
      <c r="G10887" s="889"/>
    </row>
    <row r="10888" spans="7:7" ht="10.5" customHeight="1" x14ac:dyDescent="0.2">
      <c r="G10888" s="889"/>
    </row>
    <row r="10889" spans="7:7" ht="10.5" customHeight="1" x14ac:dyDescent="0.2">
      <c r="G10889" s="889"/>
    </row>
    <row r="10890" spans="7:7" ht="10.5" customHeight="1" x14ac:dyDescent="0.2">
      <c r="G10890" s="889"/>
    </row>
    <row r="10891" spans="7:7" ht="10.5" customHeight="1" x14ac:dyDescent="0.2">
      <c r="G10891" s="889"/>
    </row>
    <row r="10892" spans="7:7" ht="10.5" customHeight="1" x14ac:dyDescent="0.2">
      <c r="G10892" s="889"/>
    </row>
    <row r="10893" spans="7:7" ht="10.5" customHeight="1" x14ac:dyDescent="0.2">
      <c r="G10893" s="889"/>
    </row>
    <row r="10894" spans="7:7" ht="10.5" customHeight="1" x14ac:dyDescent="0.2">
      <c r="G10894" s="889"/>
    </row>
    <row r="10895" spans="7:7" ht="10.5" customHeight="1" x14ac:dyDescent="0.2">
      <c r="G10895" s="889"/>
    </row>
    <row r="10896" spans="7:7" ht="10.5" customHeight="1" x14ac:dyDescent="0.2">
      <c r="G10896" s="889"/>
    </row>
    <row r="10897" spans="7:7" ht="10.5" customHeight="1" x14ac:dyDescent="0.2">
      <c r="G10897" s="889"/>
    </row>
    <row r="10898" spans="7:7" ht="10.5" customHeight="1" x14ac:dyDescent="0.2">
      <c r="G10898" s="889"/>
    </row>
    <row r="10899" spans="7:7" ht="10.5" customHeight="1" x14ac:dyDescent="0.2">
      <c r="G10899" s="889"/>
    </row>
    <row r="10900" spans="7:7" ht="10.5" customHeight="1" x14ac:dyDescent="0.2">
      <c r="G10900" s="889"/>
    </row>
    <row r="10901" spans="7:7" ht="10.5" customHeight="1" x14ac:dyDescent="0.2">
      <c r="G10901" s="889"/>
    </row>
    <row r="10902" spans="7:7" ht="10.5" customHeight="1" x14ac:dyDescent="0.2">
      <c r="G10902" s="889"/>
    </row>
    <row r="10903" spans="7:7" ht="10.5" customHeight="1" x14ac:dyDescent="0.2">
      <c r="G10903" s="889"/>
    </row>
    <row r="10904" spans="7:7" ht="10.5" customHeight="1" x14ac:dyDescent="0.2">
      <c r="G10904" s="889"/>
    </row>
    <row r="10905" spans="7:7" ht="10.5" customHeight="1" x14ac:dyDescent="0.2">
      <c r="G10905" s="889"/>
    </row>
    <row r="10906" spans="7:7" ht="10.5" customHeight="1" x14ac:dyDescent="0.2">
      <c r="G10906" s="889"/>
    </row>
    <row r="10907" spans="7:7" ht="10.5" customHeight="1" x14ac:dyDescent="0.2">
      <c r="G10907" s="889"/>
    </row>
    <row r="10908" spans="7:7" ht="10.5" customHeight="1" x14ac:dyDescent="0.2">
      <c r="G10908" s="889"/>
    </row>
    <row r="10909" spans="7:7" ht="10.5" customHeight="1" x14ac:dyDescent="0.2">
      <c r="G10909" s="889"/>
    </row>
    <row r="10910" spans="7:7" ht="10.5" customHeight="1" x14ac:dyDescent="0.2">
      <c r="G10910" s="889"/>
    </row>
    <row r="10911" spans="7:7" ht="10.5" customHeight="1" x14ac:dyDescent="0.2">
      <c r="G10911" s="889"/>
    </row>
    <row r="10912" spans="7:7" ht="10.5" customHeight="1" x14ac:dyDescent="0.2">
      <c r="G10912" s="889"/>
    </row>
    <row r="10913" spans="7:7" ht="10.5" customHeight="1" x14ac:dyDescent="0.2">
      <c r="G10913" s="889"/>
    </row>
    <row r="10914" spans="7:7" ht="10.5" customHeight="1" x14ac:dyDescent="0.2">
      <c r="G10914" s="889"/>
    </row>
    <row r="10915" spans="7:7" ht="10.5" customHeight="1" x14ac:dyDescent="0.2">
      <c r="G10915" s="889"/>
    </row>
    <row r="10916" spans="7:7" ht="10.5" customHeight="1" x14ac:dyDescent="0.2">
      <c r="G10916" s="889"/>
    </row>
    <row r="10917" spans="7:7" ht="10.5" customHeight="1" x14ac:dyDescent="0.2">
      <c r="G10917" s="889"/>
    </row>
    <row r="10918" spans="7:7" ht="10.5" customHeight="1" x14ac:dyDescent="0.2">
      <c r="G10918" s="889"/>
    </row>
    <row r="10919" spans="7:7" ht="10.5" customHeight="1" x14ac:dyDescent="0.2">
      <c r="G10919" s="889"/>
    </row>
    <row r="10920" spans="7:7" ht="10.5" customHeight="1" x14ac:dyDescent="0.2">
      <c r="G10920" s="889"/>
    </row>
    <row r="10921" spans="7:7" ht="10.5" customHeight="1" x14ac:dyDescent="0.2">
      <c r="G10921" s="889"/>
    </row>
    <row r="10922" spans="7:7" ht="10.5" customHeight="1" x14ac:dyDescent="0.2">
      <c r="G10922" s="889"/>
    </row>
    <row r="10923" spans="7:7" ht="10.5" customHeight="1" x14ac:dyDescent="0.2">
      <c r="G10923" s="889"/>
    </row>
    <row r="10924" spans="7:7" ht="10.5" customHeight="1" x14ac:dyDescent="0.2">
      <c r="G10924" s="889"/>
    </row>
    <row r="10925" spans="7:7" ht="10.5" customHeight="1" x14ac:dyDescent="0.2">
      <c r="G10925" s="889"/>
    </row>
    <row r="10926" spans="7:7" ht="10.5" customHeight="1" x14ac:dyDescent="0.2">
      <c r="G10926" s="889"/>
    </row>
    <row r="10927" spans="7:7" ht="10.5" customHeight="1" x14ac:dyDescent="0.2">
      <c r="G10927" s="889"/>
    </row>
    <row r="10928" spans="7:7" ht="10.5" customHeight="1" x14ac:dyDescent="0.2">
      <c r="G10928" s="889"/>
    </row>
    <row r="10929" spans="7:7" ht="10.5" customHeight="1" x14ac:dyDescent="0.2">
      <c r="G10929" s="889"/>
    </row>
    <row r="10930" spans="7:7" ht="10.5" customHeight="1" x14ac:dyDescent="0.2">
      <c r="G10930" s="889"/>
    </row>
    <row r="10931" spans="7:7" ht="10.5" customHeight="1" x14ac:dyDescent="0.2">
      <c r="G10931" s="889"/>
    </row>
    <row r="10932" spans="7:7" ht="10.5" customHeight="1" x14ac:dyDescent="0.2">
      <c r="G10932" s="889"/>
    </row>
    <row r="10933" spans="7:7" ht="10.5" customHeight="1" x14ac:dyDescent="0.2">
      <c r="G10933" s="889"/>
    </row>
    <row r="10934" spans="7:7" ht="10.5" customHeight="1" x14ac:dyDescent="0.2">
      <c r="G10934" s="889"/>
    </row>
    <row r="10935" spans="7:7" ht="10.5" customHeight="1" x14ac:dyDescent="0.2">
      <c r="G10935" s="889"/>
    </row>
    <row r="10936" spans="7:7" ht="10.5" customHeight="1" x14ac:dyDescent="0.2">
      <c r="G10936" s="889"/>
    </row>
    <row r="10937" spans="7:7" ht="10.5" customHeight="1" x14ac:dyDescent="0.2">
      <c r="G10937" s="889"/>
    </row>
    <row r="10938" spans="7:7" ht="10.5" customHeight="1" x14ac:dyDescent="0.2">
      <c r="G10938" s="889"/>
    </row>
    <row r="10939" spans="7:7" ht="10.5" customHeight="1" x14ac:dyDescent="0.2">
      <c r="G10939" s="889"/>
    </row>
    <row r="10940" spans="7:7" ht="10.5" customHeight="1" x14ac:dyDescent="0.2">
      <c r="G10940" s="889"/>
    </row>
    <row r="10941" spans="7:7" ht="10.5" customHeight="1" x14ac:dyDescent="0.2">
      <c r="G10941" s="889"/>
    </row>
    <row r="10942" spans="7:7" ht="10.5" customHeight="1" x14ac:dyDescent="0.2">
      <c r="G10942" s="889"/>
    </row>
    <row r="10943" spans="7:7" ht="10.5" customHeight="1" x14ac:dyDescent="0.2">
      <c r="G10943" s="889"/>
    </row>
    <row r="10944" spans="7:7" ht="10.5" customHeight="1" x14ac:dyDescent="0.2">
      <c r="G10944" s="889"/>
    </row>
    <row r="10945" spans="7:7" ht="10.5" customHeight="1" x14ac:dyDescent="0.2">
      <c r="G10945" s="889"/>
    </row>
    <row r="10946" spans="7:7" ht="10.5" customHeight="1" x14ac:dyDescent="0.2">
      <c r="G10946" s="889"/>
    </row>
    <row r="10947" spans="7:7" ht="10.5" customHeight="1" x14ac:dyDescent="0.2">
      <c r="G10947" s="889"/>
    </row>
    <row r="10948" spans="7:7" ht="10.5" customHeight="1" x14ac:dyDescent="0.2">
      <c r="G10948" s="889"/>
    </row>
    <row r="10949" spans="7:7" ht="10.5" customHeight="1" x14ac:dyDescent="0.2">
      <c r="G10949" s="889"/>
    </row>
    <row r="10950" spans="7:7" ht="10.5" customHeight="1" x14ac:dyDescent="0.2">
      <c r="G10950" s="889"/>
    </row>
    <row r="10951" spans="7:7" ht="10.5" customHeight="1" x14ac:dyDescent="0.2">
      <c r="G10951" s="889"/>
    </row>
    <row r="10952" spans="7:7" ht="10.5" customHeight="1" x14ac:dyDescent="0.2">
      <c r="G10952" s="889"/>
    </row>
    <row r="10953" spans="7:7" ht="10.5" customHeight="1" x14ac:dyDescent="0.2">
      <c r="G10953" s="889"/>
    </row>
    <row r="10954" spans="7:7" ht="10.5" customHeight="1" x14ac:dyDescent="0.2">
      <c r="G10954" s="889"/>
    </row>
    <row r="10955" spans="7:7" ht="10.5" customHeight="1" x14ac:dyDescent="0.2">
      <c r="G10955" s="889"/>
    </row>
    <row r="10956" spans="7:7" ht="10.5" customHeight="1" x14ac:dyDescent="0.2">
      <c r="G10956" s="889"/>
    </row>
    <row r="10957" spans="7:7" ht="10.5" customHeight="1" x14ac:dyDescent="0.2">
      <c r="G10957" s="889"/>
    </row>
    <row r="10958" spans="7:7" ht="10.5" customHeight="1" x14ac:dyDescent="0.2">
      <c r="G10958" s="889"/>
    </row>
    <row r="10959" spans="7:7" ht="10.5" customHeight="1" x14ac:dyDescent="0.2">
      <c r="G10959" s="889"/>
    </row>
    <row r="10960" spans="7:7" ht="10.5" customHeight="1" x14ac:dyDescent="0.2">
      <c r="G10960" s="889"/>
    </row>
    <row r="10961" spans="7:7" ht="10.5" customHeight="1" x14ac:dyDescent="0.2">
      <c r="G10961" s="889"/>
    </row>
    <row r="10962" spans="7:7" ht="10.5" customHeight="1" x14ac:dyDescent="0.2">
      <c r="G10962" s="889"/>
    </row>
    <row r="10963" spans="7:7" ht="10.5" customHeight="1" x14ac:dyDescent="0.2">
      <c r="G10963" s="889"/>
    </row>
    <row r="10964" spans="7:7" ht="10.5" customHeight="1" x14ac:dyDescent="0.2">
      <c r="G10964" s="889"/>
    </row>
    <row r="10965" spans="7:7" ht="10.5" customHeight="1" x14ac:dyDescent="0.2">
      <c r="G10965" s="889"/>
    </row>
    <row r="10966" spans="7:7" ht="10.5" customHeight="1" x14ac:dyDescent="0.2">
      <c r="G10966" s="889"/>
    </row>
    <row r="10967" spans="7:7" ht="10.5" customHeight="1" x14ac:dyDescent="0.2">
      <c r="G10967" s="889"/>
    </row>
    <row r="10968" spans="7:7" ht="10.5" customHeight="1" x14ac:dyDescent="0.2">
      <c r="G10968" s="889"/>
    </row>
    <row r="10969" spans="7:7" ht="10.5" customHeight="1" x14ac:dyDescent="0.2">
      <c r="G10969" s="889"/>
    </row>
    <row r="10970" spans="7:7" ht="10.5" customHeight="1" x14ac:dyDescent="0.2">
      <c r="G10970" s="889"/>
    </row>
    <row r="10971" spans="7:7" ht="10.5" customHeight="1" x14ac:dyDescent="0.2">
      <c r="G10971" s="889"/>
    </row>
    <row r="10972" spans="7:7" ht="10.5" customHeight="1" x14ac:dyDescent="0.2">
      <c r="G10972" s="889"/>
    </row>
    <row r="10973" spans="7:7" ht="10.5" customHeight="1" x14ac:dyDescent="0.2">
      <c r="G10973" s="889"/>
    </row>
    <row r="10974" spans="7:7" ht="10.5" customHeight="1" x14ac:dyDescent="0.2">
      <c r="G10974" s="889"/>
    </row>
    <row r="10975" spans="7:7" ht="10.5" customHeight="1" x14ac:dyDescent="0.2">
      <c r="G10975" s="889"/>
    </row>
    <row r="10976" spans="7:7" ht="10.5" customHeight="1" x14ac:dyDescent="0.2">
      <c r="G10976" s="889"/>
    </row>
    <row r="10977" spans="7:7" ht="10.5" customHeight="1" x14ac:dyDescent="0.2">
      <c r="G10977" s="889"/>
    </row>
    <row r="10978" spans="7:7" ht="10.5" customHeight="1" x14ac:dyDescent="0.2">
      <c r="G10978" s="889"/>
    </row>
    <row r="10979" spans="7:7" ht="10.5" customHeight="1" x14ac:dyDescent="0.2">
      <c r="G10979" s="889"/>
    </row>
    <row r="10980" spans="7:7" ht="10.5" customHeight="1" x14ac:dyDescent="0.2">
      <c r="G10980" s="889"/>
    </row>
    <row r="10981" spans="7:7" ht="10.5" customHeight="1" x14ac:dyDescent="0.2">
      <c r="G10981" s="889"/>
    </row>
    <row r="10982" spans="7:7" ht="10.5" customHeight="1" x14ac:dyDescent="0.2">
      <c r="G10982" s="889"/>
    </row>
    <row r="10983" spans="7:7" ht="10.5" customHeight="1" x14ac:dyDescent="0.2">
      <c r="G10983" s="889"/>
    </row>
    <row r="10984" spans="7:7" ht="10.5" customHeight="1" x14ac:dyDescent="0.2">
      <c r="G10984" s="889"/>
    </row>
    <row r="10985" spans="7:7" ht="10.5" customHeight="1" x14ac:dyDescent="0.2">
      <c r="G10985" s="889"/>
    </row>
    <row r="10986" spans="7:7" ht="10.5" customHeight="1" x14ac:dyDescent="0.2">
      <c r="G10986" s="889"/>
    </row>
    <row r="10987" spans="7:7" ht="10.5" customHeight="1" x14ac:dyDescent="0.2">
      <c r="G10987" s="889"/>
    </row>
    <row r="10988" spans="7:7" ht="10.5" customHeight="1" x14ac:dyDescent="0.2">
      <c r="G10988" s="889"/>
    </row>
    <row r="10989" spans="7:7" ht="10.5" customHeight="1" x14ac:dyDescent="0.2">
      <c r="G10989" s="889"/>
    </row>
    <row r="10990" spans="7:7" ht="10.5" customHeight="1" x14ac:dyDescent="0.2">
      <c r="G10990" s="889"/>
    </row>
    <row r="10991" spans="7:7" ht="10.5" customHeight="1" x14ac:dyDescent="0.2">
      <c r="G10991" s="889"/>
    </row>
    <row r="10992" spans="7:7" ht="10.5" customHeight="1" x14ac:dyDescent="0.2">
      <c r="G10992" s="889"/>
    </row>
    <row r="10993" spans="7:7" ht="10.5" customHeight="1" x14ac:dyDescent="0.2">
      <c r="G10993" s="889"/>
    </row>
    <row r="10994" spans="7:7" ht="10.5" customHeight="1" x14ac:dyDescent="0.2">
      <c r="G10994" s="889"/>
    </row>
    <row r="10995" spans="7:7" ht="10.5" customHeight="1" x14ac:dyDescent="0.2">
      <c r="G10995" s="889"/>
    </row>
    <row r="10996" spans="7:7" ht="10.5" customHeight="1" x14ac:dyDescent="0.2">
      <c r="G10996" s="889"/>
    </row>
    <row r="10997" spans="7:7" ht="10.5" customHeight="1" x14ac:dyDescent="0.2">
      <c r="G10997" s="889"/>
    </row>
    <row r="10998" spans="7:7" ht="10.5" customHeight="1" x14ac:dyDescent="0.2">
      <c r="G10998" s="889"/>
    </row>
    <row r="10999" spans="7:7" ht="10.5" customHeight="1" x14ac:dyDescent="0.2">
      <c r="G10999" s="889"/>
    </row>
    <row r="11000" spans="7:7" ht="10.5" customHeight="1" x14ac:dyDescent="0.2">
      <c r="G11000" s="889"/>
    </row>
    <row r="11001" spans="7:7" ht="10.5" customHeight="1" x14ac:dyDescent="0.2">
      <c r="G11001" s="889"/>
    </row>
    <row r="11002" spans="7:7" ht="10.5" customHeight="1" x14ac:dyDescent="0.2">
      <c r="G11002" s="889"/>
    </row>
    <row r="11003" spans="7:7" ht="10.5" customHeight="1" x14ac:dyDescent="0.2">
      <c r="G11003" s="889"/>
    </row>
    <row r="11004" spans="7:7" ht="10.5" customHeight="1" x14ac:dyDescent="0.2">
      <c r="G11004" s="889"/>
    </row>
    <row r="11005" spans="7:7" ht="10.5" customHeight="1" x14ac:dyDescent="0.2">
      <c r="G11005" s="889"/>
    </row>
    <row r="11006" spans="7:7" ht="10.5" customHeight="1" x14ac:dyDescent="0.2">
      <c r="G11006" s="889"/>
    </row>
    <row r="11007" spans="7:7" ht="10.5" customHeight="1" x14ac:dyDescent="0.2">
      <c r="G11007" s="889"/>
    </row>
    <row r="11008" spans="7:7" ht="10.5" customHeight="1" x14ac:dyDescent="0.2">
      <c r="G11008" s="889"/>
    </row>
    <row r="11009" spans="7:7" ht="10.5" customHeight="1" x14ac:dyDescent="0.2">
      <c r="G11009" s="889"/>
    </row>
    <row r="11010" spans="7:7" ht="10.5" customHeight="1" x14ac:dyDescent="0.2">
      <c r="G11010" s="889"/>
    </row>
    <row r="11011" spans="7:7" ht="10.5" customHeight="1" x14ac:dyDescent="0.2">
      <c r="G11011" s="889"/>
    </row>
    <row r="11012" spans="7:7" ht="10.5" customHeight="1" x14ac:dyDescent="0.2">
      <c r="G11012" s="889"/>
    </row>
    <row r="11013" spans="7:7" ht="10.5" customHeight="1" x14ac:dyDescent="0.2">
      <c r="G11013" s="889"/>
    </row>
    <row r="11014" spans="7:7" ht="10.5" customHeight="1" x14ac:dyDescent="0.2">
      <c r="G11014" s="889"/>
    </row>
    <row r="11015" spans="7:7" ht="10.5" customHeight="1" x14ac:dyDescent="0.2">
      <c r="G11015" s="889"/>
    </row>
    <row r="11016" spans="7:7" ht="10.5" customHeight="1" x14ac:dyDescent="0.2">
      <c r="G11016" s="889"/>
    </row>
    <row r="11017" spans="7:7" ht="10.5" customHeight="1" x14ac:dyDescent="0.2">
      <c r="G11017" s="889"/>
    </row>
    <row r="11018" spans="7:7" ht="10.5" customHeight="1" x14ac:dyDescent="0.2">
      <c r="G11018" s="889"/>
    </row>
    <row r="11019" spans="7:7" ht="10.5" customHeight="1" x14ac:dyDescent="0.2">
      <c r="G11019" s="889"/>
    </row>
    <row r="11020" spans="7:7" ht="10.5" customHeight="1" x14ac:dyDescent="0.2">
      <c r="G11020" s="889"/>
    </row>
    <row r="11021" spans="7:7" ht="10.5" customHeight="1" x14ac:dyDescent="0.2">
      <c r="G11021" s="889"/>
    </row>
    <row r="11022" spans="7:7" ht="10.5" customHeight="1" x14ac:dyDescent="0.2">
      <c r="G11022" s="889"/>
    </row>
    <row r="11023" spans="7:7" ht="10.5" customHeight="1" x14ac:dyDescent="0.2">
      <c r="G11023" s="889"/>
    </row>
    <row r="11024" spans="7:7" ht="10.5" customHeight="1" x14ac:dyDescent="0.2">
      <c r="G11024" s="889"/>
    </row>
    <row r="11025" spans="7:7" ht="10.5" customHeight="1" x14ac:dyDescent="0.2">
      <c r="G11025" s="889"/>
    </row>
    <row r="11026" spans="7:7" ht="10.5" customHeight="1" x14ac:dyDescent="0.2">
      <c r="G11026" s="889"/>
    </row>
    <row r="11027" spans="7:7" ht="10.5" customHeight="1" x14ac:dyDescent="0.2">
      <c r="G11027" s="889"/>
    </row>
    <row r="11028" spans="7:7" ht="10.5" customHeight="1" x14ac:dyDescent="0.2">
      <c r="G11028" s="889"/>
    </row>
    <row r="11029" spans="7:7" ht="10.5" customHeight="1" x14ac:dyDescent="0.2">
      <c r="G11029" s="889"/>
    </row>
    <row r="11030" spans="7:7" ht="10.5" customHeight="1" x14ac:dyDescent="0.2">
      <c r="G11030" s="889"/>
    </row>
    <row r="11031" spans="7:7" ht="10.5" customHeight="1" x14ac:dyDescent="0.2">
      <c r="G11031" s="889"/>
    </row>
    <row r="11032" spans="7:7" ht="10.5" customHeight="1" x14ac:dyDescent="0.2">
      <c r="G11032" s="889"/>
    </row>
    <row r="11033" spans="7:7" ht="10.5" customHeight="1" x14ac:dyDescent="0.2">
      <c r="G11033" s="889"/>
    </row>
    <row r="11034" spans="7:7" ht="10.5" customHeight="1" x14ac:dyDescent="0.2">
      <c r="G11034" s="889"/>
    </row>
    <row r="11035" spans="7:7" ht="10.5" customHeight="1" x14ac:dyDescent="0.2">
      <c r="G11035" s="889"/>
    </row>
    <row r="11036" spans="7:7" ht="10.5" customHeight="1" x14ac:dyDescent="0.2">
      <c r="G11036" s="889"/>
    </row>
    <row r="11037" spans="7:7" ht="10.5" customHeight="1" x14ac:dyDescent="0.2">
      <c r="G11037" s="889"/>
    </row>
    <row r="11038" spans="7:7" ht="10.5" customHeight="1" x14ac:dyDescent="0.2">
      <c r="G11038" s="889"/>
    </row>
    <row r="11039" spans="7:7" ht="10.5" customHeight="1" x14ac:dyDescent="0.2">
      <c r="G11039" s="889"/>
    </row>
    <row r="11040" spans="7:7" ht="10.5" customHeight="1" x14ac:dyDescent="0.2">
      <c r="G11040" s="889"/>
    </row>
    <row r="11041" spans="7:7" ht="10.5" customHeight="1" x14ac:dyDescent="0.2">
      <c r="G11041" s="889"/>
    </row>
    <row r="11042" spans="7:7" ht="10.5" customHeight="1" x14ac:dyDescent="0.2">
      <c r="G11042" s="889"/>
    </row>
    <row r="11043" spans="7:7" ht="10.5" customHeight="1" x14ac:dyDescent="0.2">
      <c r="G11043" s="889"/>
    </row>
    <row r="11044" spans="7:7" ht="10.5" customHeight="1" x14ac:dyDescent="0.2">
      <c r="G11044" s="889"/>
    </row>
    <row r="11045" spans="7:7" ht="10.5" customHeight="1" x14ac:dyDescent="0.2">
      <c r="G11045" s="889"/>
    </row>
    <row r="11046" spans="7:7" ht="10.5" customHeight="1" x14ac:dyDescent="0.2">
      <c r="G11046" s="889"/>
    </row>
    <row r="11047" spans="7:7" ht="10.5" customHeight="1" x14ac:dyDescent="0.2">
      <c r="G11047" s="889"/>
    </row>
    <row r="11048" spans="7:7" ht="10.5" customHeight="1" x14ac:dyDescent="0.2">
      <c r="G11048" s="889"/>
    </row>
    <row r="11049" spans="7:7" ht="10.5" customHeight="1" x14ac:dyDescent="0.2">
      <c r="G11049" s="889"/>
    </row>
    <row r="11050" spans="7:7" ht="10.5" customHeight="1" x14ac:dyDescent="0.2">
      <c r="G11050" s="889"/>
    </row>
    <row r="11051" spans="7:7" ht="10.5" customHeight="1" x14ac:dyDescent="0.2">
      <c r="G11051" s="889"/>
    </row>
    <row r="11052" spans="7:7" ht="10.5" customHeight="1" x14ac:dyDescent="0.2">
      <c r="G11052" s="889"/>
    </row>
    <row r="11053" spans="7:7" ht="10.5" customHeight="1" x14ac:dyDescent="0.2">
      <c r="G11053" s="889"/>
    </row>
    <row r="11054" spans="7:7" ht="10.5" customHeight="1" x14ac:dyDescent="0.2">
      <c r="G11054" s="889"/>
    </row>
    <row r="11055" spans="7:7" ht="10.5" customHeight="1" x14ac:dyDescent="0.2">
      <c r="G11055" s="889"/>
    </row>
    <row r="11056" spans="7:7" ht="10.5" customHeight="1" x14ac:dyDescent="0.2">
      <c r="G11056" s="889"/>
    </row>
    <row r="11057" spans="7:7" ht="10.5" customHeight="1" x14ac:dyDescent="0.2">
      <c r="G11057" s="889"/>
    </row>
    <row r="11058" spans="7:7" ht="10.5" customHeight="1" x14ac:dyDescent="0.2">
      <c r="G11058" s="889"/>
    </row>
    <row r="11059" spans="7:7" ht="10.5" customHeight="1" x14ac:dyDescent="0.2">
      <c r="G11059" s="889"/>
    </row>
    <row r="11060" spans="7:7" ht="10.5" customHeight="1" x14ac:dyDescent="0.2">
      <c r="G11060" s="889"/>
    </row>
    <row r="11061" spans="7:7" ht="10.5" customHeight="1" x14ac:dyDescent="0.2">
      <c r="G11061" s="889"/>
    </row>
    <row r="11062" spans="7:7" ht="10.5" customHeight="1" x14ac:dyDescent="0.2">
      <c r="G11062" s="889"/>
    </row>
    <row r="11063" spans="7:7" ht="10.5" customHeight="1" x14ac:dyDescent="0.2">
      <c r="G11063" s="889"/>
    </row>
    <row r="11064" spans="7:7" ht="10.5" customHeight="1" x14ac:dyDescent="0.2">
      <c r="G11064" s="889"/>
    </row>
    <row r="11065" spans="7:7" ht="10.5" customHeight="1" x14ac:dyDescent="0.2">
      <c r="G11065" s="889"/>
    </row>
    <row r="11066" spans="7:7" ht="10.5" customHeight="1" x14ac:dyDescent="0.2">
      <c r="G11066" s="889"/>
    </row>
    <row r="11067" spans="7:7" ht="10.5" customHeight="1" x14ac:dyDescent="0.2">
      <c r="G11067" s="889"/>
    </row>
    <row r="11068" spans="7:7" ht="10.5" customHeight="1" x14ac:dyDescent="0.2">
      <c r="G11068" s="889"/>
    </row>
    <row r="11069" spans="7:7" ht="10.5" customHeight="1" x14ac:dyDescent="0.2">
      <c r="G11069" s="889"/>
    </row>
    <row r="11070" spans="7:7" ht="10.5" customHeight="1" x14ac:dyDescent="0.2">
      <c r="G11070" s="889"/>
    </row>
    <row r="11071" spans="7:7" ht="10.5" customHeight="1" x14ac:dyDescent="0.2">
      <c r="G11071" s="889"/>
    </row>
    <row r="11072" spans="7:7" ht="10.5" customHeight="1" x14ac:dyDescent="0.2">
      <c r="G11072" s="889"/>
    </row>
    <row r="11073" spans="7:7" ht="10.5" customHeight="1" x14ac:dyDescent="0.2">
      <c r="G11073" s="889"/>
    </row>
    <row r="11074" spans="7:7" ht="10.5" customHeight="1" x14ac:dyDescent="0.2">
      <c r="G11074" s="889"/>
    </row>
    <row r="11075" spans="7:7" ht="10.5" customHeight="1" x14ac:dyDescent="0.2">
      <c r="G11075" s="889"/>
    </row>
    <row r="11076" spans="7:7" ht="10.5" customHeight="1" x14ac:dyDescent="0.2">
      <c r="G11076" s="889"/>
    </row>
    <row r="11077" spans="7:7" ht="10.5" customHeight="1" x14ac:dyDescent="0.2">
      <c r="G11077" s="889"/>
    </row>
    <row r="11078" spans="7:7" ht="10.5" customHeight="1" x14ac:dyDescent="0.2">
      <c r="G11078" s="889"/>
    </row>
    <row r="11079" spans="7:7" ht="10.5" customHeight="1" x14ac:dyDescent="0.2">
      <c r="G11079" s="889"/>
    </row>
    <row r="11080" spans="7:7" ht="10.5" customHeight="1" x14ac:dyDescent="0.2">
      <c r="G11080" s="889"/>
    </row>
    <row r="11081" spans="7:7" ht="10.5" customHeight="1" x14ac:dyDescent="0.2">
      <c r="G11081" s="889"/>
    </row>
    <row r="11082" spans="7:7" ht="10.5" customHeight="1" x14ac:dyDescent="0.2">
      <c r="G11082" s="889"/>
    </row>
    <row r="11083" spans="7:7" ht="10.5" customHeight="1" x14ac:dyDescent="0.2">
      <c r="G11083" s="889"/>
    </row>
    <row r="11084" spans="7:7" ht="10.5" customHeight="1" x14ac:dyDescent="0.2">
      <c r="G11084" s="889"/>
    </row>
    <row r="11085" spans="7:7" ht="10.5" customHeight="1" x14ac:dyDescent="0.2">
      <c r="G11085" s="889"/>
    </row>
    <row r="11086" spans="7:7" ht="10.5" customHeight="1" x14ac:dyDescent="0.2">
      <c r="G11086" s="889"/>
    </row>
    <row r="11087" spans="7:7" ht="10.5" customHeight="1" x14ac:dyDescent="0.2">
      <c r="G11087" s="889"/>
    </row>
    <row r="11088" spans="7:7" ht="10.5" customHeight="1" x14ac:dyDescent="0.2">
      <c r="G11088" s="889"/>
    </row>
    <row r="11089" spans="7:7" ht="10.5" customHeight="1" x14ac:dyDescent="0.2">
      <c r="G11089" s="889"/>
    </row>
    <row r="11090" spans="7:7" ht="10.5" customHeight="1" x14ac:dyDescent="0.2">
      <c r="G11090" s="889"/>
    </row>
    <row r="11091" spans="7:7" ht="10.5" customHeight="1" x14ac:dyDescent="0.2">
      <c r="G11091" s="889"/>
    </row>
    <row r="11092" spans="7:7" ht="10.5" customHeight="1" x14ac:dyDescent="0.2">
      <c r="G11092" s="889"/>
    </row>
    <row r="11093" spans="7:7" ht="10.5" customHeight="1" x14ac:dyDescent="0.2">
      <c r="G11093" s="889"/>
    </row>
    <row r="11094" spans="7:7" ht="10.5" customHeight="1" x14ac:dyDescent="0.2">
      <c r="G11094" s="889"/>
    </row>
    <row r="11095" spans="7:7" ht="10.5" customHeight="1" x14ac:dyDescent="0.2">
      <c r="G11095" s="889"/>
    </row>
    <row r="11096" spans="7:7" ht="10.5" customHeight="1" x14ac:dyDescent="0.2">
      <c r="G11096" s="889"/>
    </row>
    <row r="11097" spans="7:7" ht="10.5" customHeight="1" x14ac:dyDescent="0.2">
      <c r="G11097" s="889"/>
    </row>
    <row r="11098" spans="7:7" ht="10.5" customHeight="1" x14ac:dyDescent="0.2">
      <c r="G11098" s="889"/>
    </row>
    <row r="11099" spans="7:7" ht="10.5" customHeight="1" x14ac:dyDescent="0.2">
      <c r="G11099" s="889"/>
    </row>
    <row r="11100" spans="7:7" ht="10.5" customHeight="1" x14ac:dyDescent="0.2">
      <c r="G11100" s="889"/>
    </row>
    <row r="11101" spans="7:7" ht="10.5" customHeight="1" x14ac:dyDescent="0.2">
      <c r="G11101" s="889"/>
    </row>
    <row r="11102" spans="7:7" ht="10.5" customHeight="1" x14ac:dyDescent="0.2">
      <c r="G11102" s="889"/>
    </row>
    <row r="11103" spans="7:7" ht="10.5" customHeight="1" x14ac:dyDescent="0.2">
      <c r="G11103" s="889"/>
    </row>
    <row r="11104" spans="7:7" ht="10.5" customHeight="1" x14ac:dyDescent="0.2">
      <c r="G11104" s="889"/>
    </row>
    <row r="11105" spans="7:7" ht="10.5" customHeight="1" x14ac:dyDescent="0.2">
      <c r="G11105" s="889"/>
    </row>
    <row r="11106" spans="7:7" ht="10.5" customHeight="1" x14ac:dyDescent="0.2">
      <c r="G11106" s="889"/>
    </row>
    <row r="11107" spans="7:7" ht="10.5" customHeight="1" x14ac:dyDescent="0.2">
      <c r="G11107" s="889"/>
    </row>
    <row r="11108" spans="7:7" ht="10.5" customHeight="1" x14ac:dyDescent="0.2">
      <c r="G11108" s="889"/>
    </row>
    <row r="11109" spans="7:7" ht="10.5" customHeight="1" x14ac:dyDescent="0.2">
      <c r="G11109" s="889"/>
    </row>
    <row r="11110" spans="7:7" ht="10.5" customHeight="1" x14ac:dyDescent="0.2">
      <c r="G11110" s="889"/>
    </row>
    <row r="11111" spans="7:7" ht="10.5" customHeight="1" x14ac:dyDescent="0.2">
      <c r="G11111" s="889"/>
    </row>
    <row r="11112" spans="7:7" ht="10.5" customHeight="1" x14ac:dyDescent="0.2">
      <c r="G11112" s="889"/>
    </row>
    <row r="11113" spans="7:7" ht="10.5" customHeight="1" x14ac:dyDescent="0.2">
      <c r="G11113" s="889"/>
    </row>
    <row r="11114" spans="7:7" ht="10.5" customHeight="1" x14ac:dyDescent="0.2">
      <c r="G11114" s="889"/>
    </row>
    <row r="11115" spans="7:7" ht="10.5" customHeight="1" x14ac:dyDescent="0.2">
      <c r="G11115" s="889"/>
    </row>
    <row r="11116" spans="7:7" ht="10.5" customHeight="1" x14ac:dyDescent="0.2">
      <c r="G11116" s="889"/>
    </row>
    <row r="11117" spans="7:7" ht="10.5" customHeight="1" x14ac:dyDescent="0.2">
      <c r="G11117" s="889"/>
    </row>
    <row r="11118" spans="7:7" ht="10.5" customHeight="1" x14ac:dyDescent="0.2">
      <c r="G11118" s="889"/>
    </row>
    <row r="11119" spans="7:7" ht="10.5" customHeight="1" x14ac:dyDescent="0.2">
      <c r="G11119" s="889"/>
    </row>
    <row r="11120" spans="7:7" ht="10.5" customHeight="1" x14ac:dyDescent="0.2">
      <c r="G11120" s="889"/>
    </row>
    <row r="11121" spans="7:7" ht="10.5" customHeight="1" x14ac:dyDescent="0.2">
      <c r="G11121" s="889"/>
    </row>
    <row r="11122" spans="7:7" ht="10.5" customHeight="1" x14ac:dyDescent="0.2">
      <c r="G11122" s="889"/>
    </row>
    <row r="11123" spans="7:7" ht="10.5" customHeight="1" x14ac:dyDescent="0.2">
      <c r="G11123" s="889"/>
    </row>
    <row r="11124" spans="7:7" ht="10.5" customHeight="1" x14ac:dyDescent="0.2">
      <c r="G11124" s="889"/>
    </row>
    <row r="11125" spans="7:7" ht="10.5" customHeight="1" x14ac:dyDescent="0.2">
      <c r="G11125" s="889"/>
    </row>
    <row r="11126" spans="7:7" ht="10.5" customHeight="1" x14ac:dyDescent="0.2">
      <c r="G11126" s="889"/>
    </row>
    <row r="11127" spans="7:7" ht="10.5" customHeight="1" x14ac:dyDescent="0.2">
      <c r="G11127" s="889"/>
    </row>
    <row r="11128" spans="7:7" ht="10.5" customHeight="1" x14ac:dyDescent="0.2">
      <c r="G11128" s="889"/>
    </row>
    <row r="11129" spans="7:7" ht="10.5" customHeight="1" x14ac:dyDescent="0.2">
      <c r="G11129" s="889"/>
    </row>
    <row r="11130" spans="7:7" ht="10.5" customHeight="1" x14ac:dyDescent="0.2">
      <c r="G11130" s="889"/>
    </row>
    <row r="11131" spans="7:7" ht="10.5" customHeight="1" x14ac:dyDescent="0.2">
      <c r="G11131" s="889"/>
    </row>
    <row r="11132" spans="7:7" ht="10.5" customHeight="1" x14ac:dyDescent="0.2">
      <c r="G11132" s="889"/>
    </row>
    <row r="11133" spans="7:7" ht="10.5" customHeight="1" x14ac:dyDescent="0.2">
      <c r="G11133" s="889"/>
    </row>
    <row r="11134" spans="7:7" ht="10.5" customHeight="1" x14ac:dyDescent="0.2">
      <c r="G11134" s="889"/>
    </row>
    <row r="11135" spans="7:7" ht="10.5" customHeight="1" x14ac:dyDescent="0.2">
      <c r="G11135" s="889"/>
    </row>
    <row r="11136" spans="7:7" ht="10.5" customHeight="1" x14ac:dyDescent="0.2">
      <c r="G11136" s="889"/>
    </row>
    <row r="11137" spans="7:7" ht="10.5" customHeight="1" x14ac:dyDescent="0.2">
      <c r="G11137" s="889"/>
    </row>
    <row r="11138" spans="7:7" ht="10.5" customHeight="1" x14ac:dyDescent="0.2">
      <c r="G11138" s="889"/>
    </row>
    <row r="11139" spans="7:7" ht="10.5" customHeight="1" x14ac:dyDescent="0.2">
      <c r="G11139" s="889"/>
    </row>
    <row r="11140" spans="7:7" ht="10.5" customHeight="1" x14ac:dyDescent="0.2">
      <c r="G11140" s="889"/>
    </row>
    <row r="11141" spans="7:7" ht="10.5" customHeight="1" x14ac:dyDescent="0.2">
      <c r="G11141" s="889"/>
    </row>
    <row r="11142" spans="7:7" ht="10.5" customHeight="1" x14ac:dyDescent="0.2">
      <c r="G11142" s="889"/>
    </row>
    <row r="11143" spans="7:7" ht="10.5" customHeight="1" x14ac:dyDescent="0.2">
      <c r="G11143" s="889"/>
    </row>
    <row r="11144" spans="7:7" ht="10.5" customHeight="1" x14ac:dyDescent="0.2">
      <c r="G11144" s="889"/>
    </row>
    <row r="11145" spans="7:7" ht="10.5" customHeight="1" x14ac:dyDescent="0.2">
      <c r="G11145" s="889"/>
    </row>
    <row r="11146" spans="7:7" ht="10.5" customHeight="1" x14ac:dyDescent="0.2">
      <c r="G11146" s="889"/>
    </row>
    <row r="11147" spans="7:7" ht="10.5" customHeight="1" x14ac:dyDescent="0.2">
      <c r="G11147" s="889"/>
    </row>
    <row r="11148" spans="7:7" ht="10.5" customHeight="1" x14ac:dyDescent="0.2">
      <c r="G11148" s="889"/>
    </row>
    <row r="11149" spans="7:7" ht="10.5" customHeight="1" x14ac:dyDescent="0.2">
      <c r="G11149" s="889"/>
    </row>
    <row r="11150" spans="7:7" ht="10.5" customHeight="1" x14ac:dyDescent="0.2">
      <c r="G11150" s="889"/>
    </row>
    <row r="11151" spans="7:7" ht="10.5" customHeight="1" x14ac:dyDescent="0.2">
      <c r="G11151" s="889"/>
    </row>
    <row r="11152" spans="7:7" ht="10.5" customHeight="1" x14ac:dyDescent="0.2">
      <c r="G11152" s="889"/>
    </row>
    <row r="11153" spans="7:7" ht="10.5" customHeight="1" x14ac:dyDescent="0.2">
      <c r="G11153" s="889"/>
    </row>
    <row r="11154" spans="7:7" ht="10.5" customHeight="1" x14ac:dyDescent="0.2">
      <c r="G11154" s="889"/>
    </row>
    <row r="11155" spans="7:7" ht="10.5" customHeight="1" x14ac:dyDescent="0.2">
      <c r="G11155" s="889"/>
    </row>
    <row r="11156" spans="7:7" ht="10.5" customHeight="1" x14ac:dyDescent="0.2">
      <c r="G11156" s="889"/>
    </row>
    <row r="11157" spans="7:7" ht="10.5" customHeight="1" x14ac:dyDescent="0.2">
      <c r="G11157" s="889"/>
    </row>
    <row r="11158" spans="7:7" ht="10.5" customHeight="1" x14ac:dyDescent="0.2">
      <c r="G11158" s="889"/>
    </row>
    <row r="11159" spans="7:7" ht="10.5" customHeight="1" x14ac:dyDescent="0.2">
      <c r="G11159" s="889"/>
    </row>
    <row r="11160" spans="7:7" ht="10.5" customHeight="1" x14ac:dyDescent="0.2">
      <c r="G11160" s="889"/>
    </row>
    <row r="11161" spans="7:7" ht="10.5" customHeight="1" x14ac:dyDescent="0.2">
      <c r="G11161" s="889"/>
    </row>
    <row r="11162" spans="7:7" ht="10.5" customHeight="1" x14ac:dyDescent="0.2">
      <c r="G11162" s="889"/>
    </row>
    <row r="11163" spans="7:7" ht="10.5" customHeight="1" x14ac:dyDescent="0.2">
      <c r="G11163" s="889"/>
    </row>
    <row r="11164" spans="7:7" ht="10.5" customHeight="1" x14ac:dyDescent="0.2">
      <c r="G11164" s="889"/>
    </row>
    <row r="11165" spans="7:7" ht="10.5" customHeight="1" x14ac:dyDescent="0.2">
      <c r="G11165" s="889"/>
    </row>
    <row r="11166" spans="7:7" ht="10.5" customHeight="1" x14ac:dyDescent="0.2">
      <c r="G11166" s="889"/>
    </row>
    <row r="11167" spans="7:7" ht="10.5" customHeight="1" x14ac:dyDescent="0.2">
      <c r="G11167" s="889"/>
    </row>
    <row r="11168" spans="7:7" ht="10.5" customHeight="1" x14ac:dyDescent="0.2">
      <c r="G11168" s="889"/>
    </row>
    <row r="11169" spans="7:7" ht="10.5" customHeight="1" x14ac:dyDescent="0.2">
      <c r="G11169" s="889"/>
    </row>
    <row r="11170" spans="7:7" ht="10.5" customHeight="1" x14ac:dyDescent="0.2">
      <c r="G11170" s="889"/>
    </row>
    <row r="11171" spans="7:7" ht="10.5" customHeight="1" x14ac:dyDescent="0.2">
      <c r="G11171" s="889"/>
    </row>
    <row r="11172" spans="7:7" ht="10.5" customHeight="1" x14ac:dyDescent="0.2">
      <c r="G11172" s="889"/>
    </row>
    <row r="11173" spans="7:7" ht="10.5" customHeight="1" x14ac:dyDescent="0.2">
      <c r="G11173" s="889"/>
    </row>
    <row r="11174" spans="7:7" ht="10.5" customHeight="1" x14ac:dyDescent="0.2">
      <c r="G11174" s="889"/>
    </row>
    <row r="11175" spans="7:7" ht="10.5" customHeight="1" x14ac:dyDescent="0.2">
      <c r="G11175" s="889"/>
    </row>
    <row r="11176" spans="7:7" ht="10.5" customHeight="1" x14ac:dyDescent="0.2">
      <c r="G11176" s="889"/>
    </row>
    <row r="11177" spans="7:7" ht="10.5" customHeight="1" x14ac:dyDescent="0.2">
      <c r="G11177" s="889"/>
    </row>
    <row r="11178" spans="7:7" ht="10.5" customHeight="1" x14ac:dyDescent="0.2">
      <c r="G11178" s="889"/>
    </row>
    <row r="11179" spans="7:7" ht="10.5" customHeight="1" x14ac:dyDescent="0.2">
      <c r="G11179" s="889"/>
    </row>
    <row r="11180" spans="7:7" ht="10.5" customHeight="1" x14ac:dyDescent="0.2">
      <c r="G11180" s="889"/>
    </row>
    <row r="11181" spans="7:7" ht="10.5" customHeight="1" x14ac:dyDescent="0.2">
      <c r="G11181" s="889"/>
    </row>
    <row r="11182" spans="7:7" ht="10.5" customHeight="1" x14ac:dyDescent="0.2">
      <c r="G11182" s="889"/>
    </row>
    <row r="11183" spans="7:7" ht="10.5" customHeight="1" x14ac:dyDescent="0.2">
      <c r="G11183" s="889"/>
    </row>
    <row r="11184" spans="7:7" ht="10.5" customHeight="1" x14ac:dyDescent="0.2">
      <c r="G11184" s="889"/>
    </row>
    <row r="11185" spans="7:7" ht="10.5" customHeight="1" x14ac:dyDescent="0.2">
      <c r="G11185" s="889"/>
    </row>
    <row r="11186" spans="7:7" ht="10.5" customHeight="1" x14ac:dyDescent="0.2">
      <c r="G11186" s="889"/>
    </row>
    <row r="11187" spans="7:7" ht="10.5" customHeight="1" x14ac:dyDescent="0.2">
      <c r="G11187" s="889"/>
    </row>
    <row r="11188" spans="7:7" ht="10.5" customHeight="1" x14ac:dyDescent="0.2">
      <c r="G11188" s="889"/>
    </row>
    <row r="11189" spans="7:7" ht="10.5" customHeight="1" x14ac:dyDescent="0.2">
      <c r="G11189" s="889"/>
    </row>
    <row r="11190" spans="7:7" ht="10.5" customHeight="1" x14ac:dyDescent="0.2">
      <c r="G11190" s="889"/>
    </row>
    <row r="11191" spans="7:7" ht="10.5" customHeight="1" x14ac:dyDescent="0.2">
      <c r="G11191" s="889"/>
    </row>
    <row r="11192" spans="7:7" ht="10.5" customHeight="1" x14ac:dyDescent="0.2">
      <c r="G11192" s="889"/>
    </row>
    <row r="11193" spans="7:7" ht="10.5" customHeight="1" x14ac:dyDescent="0.2">
      <c r="G11193" s="889"/>
    </row>
    <row r="11194" spans="7:7" ht="10.5" customHeight="1" x14ac:dyDescent="0.2">
      <c r="G11194" s="889"/>
    </row>
    <row r="11195" spans="7:7" ht="10.5" customHeight="1" x14ac:dyDescent="0.2">
      <c r="G11195" s="889"/>
    </row>
    <row r="11196" spans="7:7" ht="10.5" customHeight="1" x14ac:dyDescent="0.2">
      <c r="G11196" s="889"/>
    </row>
    <row r="11197" spans="7:7" ht="10.5" customHeight="1" x14ac:dyDescent="0.2">
      <c r="G11197" s="889"/>
    </row>
    <row r="11198" spans="7:7" ht="10.5" customHeight="1" x14ac:dyDescent="0.2">
      <c r="G11198" s="889"/>
    </row>
    <row r="11199" spans="7:7" ht="10.5" customHeight="1" x14ac:dyDescent="0.2">
      <c r="G11199" s="889"/>
    </row>
    <row r="11200" spans="7:7" ht="10.5" customHeight="1" x14ac:dyDescent="0.2">
      <c r="G11200" s="889"/>
    </row>
    <row r="11201" spans="7:7" ht="10.5" customHeight="1" x14ac:dyDescent="0.2">
      <c r="G11201" s="889"/>
    </row>
    <row r="11202" spans="7:7" ht="10.5" customHeight="1" x14ac:dyDescent="0.2">
      <c r="G11202" s="889"/>
    </row>
    <row r="11203" spans="7:7" ht="10.5" customHeight="1" x14ac:dyDescent="0.2">
      <c r="G11203" s="889"/>
    </row>
    <row r="11204" spans="7:7" ht="10.5" customHeight="1" x14ac:dyDescent="0.2">
      <c r="G11204" s="889"/>
    </row>
    <row r="11205" spans="7:7" ht="10.5" customHeight="1" x14ac:dyDescent="0.2">
      <c r="G11205" s="889"/>
    </row>
    <row r="11206" spans="7:7" ht="10.5" customHeight="1" x14ac:dyDescent="0.2">
      <c r="G11206" s="889"/>
    </row>
    <row r="11207" spans="7:7" ht="10.5" customHeight="1" x14ac:dyDescent="0.2">
      <c r="G11207" s="889"/>
    </row>
    <row r="11208" spans="7:7" ht="10.5" customHeight="1" x14ac:dyDescent="0.2">
      <c r="G11208" s="889"/>
    </row>
    <row r="11209" spans="7:7" ht="10.5" customHeight="1" x14ac:dyDescent="0.2">
      <c r="G11209" s="889"/>
    </row>
    <row r="11210" spans="7:7" ht="10.5" customHeight="1" x14ac:dyDescent="0.2">
      <c r="G11210" s="889"/>
    </row>
    <row r="11211" spans="7:7" ht="10.5" customHeight="1" x14ac:dyDescent="0.2">
      <c r="G11211" s="889"/>
    </row>
    <row r="11212" spans="7:7" ht="10.5" customHeight="1" x14ac:dyDescent="0.2">
      <c r="G11212" s="889"/>
    </row>
    <row r="11213" spans="7:7" ht="10.5" customHeight="1" x14ac:dyDescent="0.2">
      <c r="G11213" s="889"/>
    </row>
    <row r="11214" spans="7:7" ht="10.5" customHeight="1" x14ac:dyDescent="0.2">
      <c r="G11214" s="889"/>
    </row>
    <row r="11215" spans="7:7" ht="10.5" customHeight="1" x14ac:dyDescent="0.2">
      <c r="G11215" s="889"/>
    </row>
    <row r="11216" spans="7:7" ht="10.5" customHeight="1" x14ac:dyDescent="0.2">
      <c r="G11216" s="889"/>
    </row>
    <row r="11217" spans="7:7" ht="10.5" customHeight="1" x14ac:dyDescent="0.2">
      <c r="G11217" s="889"/>
    </row>
    <row r="11218" spans="7:7" ht="10.5" customHeight="1" x14ac:dyDescent="0.2">
      <c r="G11218" s="889"/>
    </row>
    <row r="11219" spans="7:7" ht="10.5" customHeight="1" x14ac:dyDescent="0.2">
      <c r="G11219" s="889"/>
    </row>
    <row r="11220" spans="7:7" ht="10.5" customHeight="1" x14ac:dyDescent="0.2">
      <c r="G11220" s="889"/>
    </row>
    <row r="11221" spans="7:7" ht="10.5" customHeight="1" x14ac:dyDescent="0.2">
      <c r="G11221" s="889"/>
    </row>
    <row r="11222" spans="7:7" ht="10.5" customHeight="1" x14ac:dyDescent="0.2">
      <c r="G11222" s="889"/>
    </row>
    <row r="11223" spans="7:7" ht="10.5" customHeight="1" x14ac:dyDescent="0.2">
      <c r="G11223" s="889"/>
    </row>
    <row r="11224" spans="7:7" ht="10.5" customHeight="1" x14ac:dyDescent="0.2">
      <c r="G11224" s="889"/>
    </row>
    <row r="11225" spans="7:7" ht="10.5" customHeight="1" x14ac:dyDescent="0.2">
      <c r="G11225" s="889"/>
    </row>
    <row r="11226" spans="7:7" ht="10.5" customHeight="1" x14ac:dyDescent="0.2">
      <c r="G11226" s="889"/>
    </row>
    <row r="11227" spans="7:7" ht="10.5" customHeight="1" x14ac:dyDescent="0.2">
      <c r="G11227" s="889"/>
    </row>
    <row r="11228" spans="7:7" ht="10.5" customHeight="1" x14ac:dyDescent="0.2">
      <c r="G11228" s="889"/>
    </row>
    <row r="11229" spans="7:7" ht="10.5" customHeight="1" x14ac:dyDescent="0.2">
      <c r="G11229" s="889"/>
    </row>
    <row r="11230" spans="7:7" ht="10.5" customHeight="1" x14ac:dyDescent="0.2">
      <c r="G11230" s="889"/>
    </row>
    <row r="11231" spans="7:7" ht="10.5" customHeight="1" x14ac:dyDescent="0.2">
      <c r="G11231" s="889"/>
    </row>
    <row r="11232" spans="7:7" ht="10.5" customHeight="1" x14ac:dyDescent="0.2">
      <c r="G11232" s="889"/>
    </row>
    <row r="11233" spans="7:7" ht="10.5" customHeight="1" x14ac:dyDescent="0.2">
      <c r="G11233" s="889"/>
    </row>
    <row r="11234" spans="7:7" ht="10.5" customHeight="1" x14ac:dyDescent="0.2">
      <c r="G11234" s="889"/>
    </row>
    <row r="11235" spans="7:7" ht="10.5" customHeight="1" x14ac:dyDescent="0.2">
      <c r="G11235" s="889"/>
    </row>
    <row r="11236" spans="7:7" ht="10.5" customHeight="1" x14ac:dyDescent="0.2">
      <c r="G11236" s="889"/>
    </row>
    <row r="11237" spans="7:7" ht="10.5" customHeight="1" x14ac:dyDescent="0.2">
      <c r="G11237" s="889"/>
    </row>
    <row r="11238" spans="7:7" ht="10.5" customHeight="1" x14ac:dyDescent="0.2">
      <c r="G11238" s="889"/>
    </row>
    <row r="11239" spans="7:7" ht="10.5" customHeight="1" x14ac:dyDescent="0.2">
      <c r="G11239" s="889"/>
    </row>
    <row r="11240" spans="7:7" ht="10.5" customHeight="1" x14ac:dyDescent="0.2">
      <c r="G11240" s="889"/>
    </row>
    <row r="11241" spans="7:7" ht="10.5" customHeight="1" x14ac:dyDescent="0.2">
      <c r="G11241" s="889"/>
    </row>
    <row r="11242" spans="7:7" ht="10.5" customHeight="1" x14ac:dyDescent="0.2">
      <c r="G11242" s="889"/>
    </row>
    <row r="11243" spans="7:7" ht="10.5" customHeight="1" x14ac:dyDescent="0.2">
      <c r="G11243" s="889"/>
    </row>
    <row r="11244" spans="7:7" ht="10.5" customHeight="1" x14ac:dyDescent="0.2">
      <c r="G11244" s="889"/>
    </row>
    <row r="11245" spans="7:7" ht="10.5" customHeight="1" x14ac:dyDescent="0.2">
      <c r="G11245" s="889"/>
    </row>
    <row r="11246" spans="7:7" ht="10.5" customHeight="1" x14ac:dyDescent="0.2">
      <c r="G11246" s="889"/>
    </row>
    <row r="11247" spans="7:7" ht="10.5" customHeight="1" x14ac:dyDescent="0.2">
      <c r="G11247" s="889"/>
    </row>
    <row r="11248" spans="7:7" ht="10.5" customHeight="1" x14ac:dyDescent="0.2">
      <c r="G11248" s="889"/>
    </row>
    <row r="11249" spans="7:7" ht="10.5" customHeight="1" x14ac:dyDescent="0.2">
      <c r="G11249" s="889"/>
    </row>
    <row r="11250" spans="7:7" ht="10.5" customHeight="1" x14ac:dyDescent="0.2">
      <c r="G11250" s="889"/>
    </row>
    <row r="11251" spans="7:7" ht="10.5" customHeight="1" x14ac:dyDescent="0.2">
      <c r="G11251" s="889"/>
    </row>
    <row r="11252" spans="7:7" ht="10.5" customHeight="1" x14ac:dyDescent="0.2">
      <c r="G11252" s="889"/>
    </row>
    <row r="11253" spans="7:7" ht="10.5" customHeight="1" x14ac:dyDescent="0.2">
      <c r="G11253" s="889"/>
    </row>
    <row r="11254" spans="7:7" ht="10.5" customHeight="1" x14ac:dyDescent="0.2">
      <c r="G11254" s="889"/>
    </row>
    <row r="11255" spans="7:7" ht="10.5" customHeight="1" x14ac:dyDescent="0.2">
      <c r="G11255" s="889"/>
    </row>
    <row r="11256" spans="7:7" ht="10.5" customHeight="1" x14ac:dyDescent="0.2">
      <c r="G11256" s="889"/>
    </row>
    <row r="11257" spans="7:7" ht="10.5" customHeight="1" x14ac:dyDescent="0.2">
      <c r="G11257" s="889"/>
    </row>
    <row r="11258" spans="7:7" ht="10.5" customHeight="1" x14ac:dyDescent="0.2">
      <c r="G11258" s="889"/>
    </row>
    <row r="11259" spans="7:7" ht="10.5" customHeight="1" x14ac:dyDescent="0.2">
      <c r="G11259" s="889"/>
    </row>
    <row r="11260" spans="7:7" ht="10.5" customHeight="1" x14ac:dyDescent="0.2">
      <c r="G11260" s="889"/>
    </row>
    <row r="11261" spans="7:7" ht="10.5" customHeight="1" x14ac:dyDescent="0.2">
      <c r="G11261" s="889"/>
    </row>
    <row r="11262" spans="7:7" ht="10.5" customHeight="1" x14ac:dyDescent="0.2">
      <c r="G11262" s="889"/>
    </row>
    <row r="11263" spans="7:7" ht="10.5" customHeight="1" x14ac:dyDescent="0.2">
      <c r="G11263" s="889"/>
    </row>
    <row r="11264" spans="7:7" ht="10.5" customHeight="1" x14ac:dyDescent="0.2">
      <c r="G11264" s="889"/>
    </row>
    <row r="11265" spans="7:7" ht="10.5" customHeight="1" x14ac:dyDescent="0.2">
      <c r="G11265" s="889"/>
    </row>
    <row r="11266" spans="7:7" ht="10.5" customHeight="1" x14ac:dyDescent="0.2">
      <c r="G11266" s="889"/>
    </row>
    <row r="11267" spans="7:7" ht="10.5" customHeight="1" x14ac:dyDescent="0.2">
      <c r="G11267" s="889"/>
    </row>
    <row r="11268" spans="7:7" ht="10.5" customHeight="1" x14ac:dyDescent="0.2">
      <c r="G11268" s="889"/>
    </row>
    <row r="11269" spans="7:7" ht="10.5" customHeight="1" x14ac:dyDescent="0.2">
      <c r="G11269" s="889"/>
    </row>
    <row r="11270" spans="7:7" ht="10.5" customHeight="1" x14ac:dyDescent="0.2">
      <c r="G11270" s="889"/>
    </row>
    <row r="11271" spans="7:7" ht="10.5" customHeight="1" x14ac:dyDescent="0.2">
      <c r="G11271" s="889"/>
    </row>
    <row r="11272" spans="7:7" ht="10.5" customHeight="1" x14ac:dyDescent="0.2">
      <c r="G11272" s="889"/>
    </row>
    <row r="11273" spans="7:7" ht="10.5" customHeight="1" x14ac:dyDescent="0.2">
      <c r="G11273" s="889"/>
    </row>
    <row r="11274" spans="7:7" ht="10.5" customHeight="1" x14ac:dyDescent="0.2">
      <c r="G11274" s="889"/>
    </row>
    <row r="11275" spans="7:7" ht="10.5" customHeight="1" x14ac:dyDescent="0.2">
      <c r="G11275" s="889"/>
    </row>
    <row r="11276" spans="7:7" ht="10.5" customHeight="1" x14ac:dyDescent="0.2">
      <c r="G11276" s="889"/>
    </row>
    <row r="11277" spans="7:7" ht="10.5" customHeight="1" x14ac:dyDescent="0.2">
      <c r="G11277" s="889"/>
    </row>
    <row r="11278" spans="7:7" ht="10.5" customHeight="1" x14ac:dyDescent="0.2">
      <c r="G11278" s="889"/>
    </row>
    <row r="11279" spans="7:7" ht="10.5" customHeight="1" x14ac:dyDescent="0.2">
      <c r="G11279" s="889"/>
    </row>
    <row r="11280" spans="7:7" ht="10.5" customHeight="1" x14ac:dyDescent="0.2">
      <c r="G11280" s="889"/>
    </row>
    <row r="11281" spans="7:7" ht="10.5" customHeight="1" x14ac:dyDescent="0.2">
      <c r="G11281" s="889"/>
    </row>
    <row r="11282" spans="7:7" ht="10.5" customHeight="1" x14ac:dyDescent="0.2">
      <c r="G11282" s="889"/>
    </row>
    <row r="11283" spans="7:7" ht="10.5" customHeight="1" x14ac:dyDescent="0.2">
      <c r="G11283" s="889"/>
    </row>
    <row r="11284" spans="7:7" ht="10.5" customHeight="1" x14ac:dyDescent="0.2">
      <c r="G11284" s="889"/>
    </row>
    <row r="11285" spans="7:7" ht="10.5" customHeight="1" x14ac:dyDescent="0.2">
      <c r="G11285" s="889"/>
    </row>
    <row r="11286" spans="7:7" ht="10.5" customHeight="1" x14ac:dyDescent="0.2">
      <c r="G11286" s="889"/>
    </row>
    <row r="11287" spans="7:7" ht="10.5" customHeight="1" x14ac:dyDescent="0.2">
      <c r="G11287" s="889"/>
    </row>
    <row r="11288" spans="7:7" ht="10.5" customHeight="1" x14ac:dyDescent="0.2">
      <c r="G11288" s="889"/>
    </row>
    <row r="11289" spans="7:7" ht="10.5" customHeight="1" x14ac:dyDescent="0.2">
      <c r="G11289" s="889"/>
    </row>
    <row r="11290" spans="7:7" ht="10.5" customHeight="1" x14ac:dyDescent="0.2">
      <c r="G11290" s="889"/>
    </row>
    <row r="11291" spans="7:7" ht="10.5" customHeight="1" x14ac:dyDescent="0.2">
      <c r="G11291" s="889"/>
    </row>
    <row r="11292" spans="7:7" ht="10.5" customHeight="1" x14ac:dyDescent="0.2">
      <c r="G11292" s="889"/>
    </row>
    <row r="11293" spans="7:7" ht="10.5" customHeight="1" x14ac:dyDescent="0.2">
      <c r="G11293" s="889"/>
    </row>
    <row r="11294" spans="7:7" ht="10.5" customHeight="1" x14ac:dyDescent="0.2">
      <c r="G11294" s="889"/>
    </row>
    <row r="11295" spans="7:7" ht="10.5" customHeight="1" x14ac:dyDescent="0.2">
      <c r="G11295" s="889"/>
    </row>
    <row r="11296" spans="7:7" ht="10.5" customHeight="1" x14ac:dyDescent="0.2">
      <c r="G11296" s="889"/>
    </row>
    <row r="11297" spans="7:7" ht="10.5" customHeight="1" x14ac:dyDescent="0.2">
      <c r="G11297" s="889"/>
    </row>
    <row r="11298" spans="7:7" ht="10.5" customHeight="1" x14ac:dyDescent="0.2">
      <c r="G11298" s="889"/>
    </row>
    <row r="11299" spans="7:7" ht="10.5" customHeight="1" x14ac:dyDescent="0.2">
      <c r="G11299" s="889"/>
    </row>
    <row r="11300" spans="7:7" ht="10.5" customHeight="1" x14ac:dyDescent="0.2">
      <c r="G11300" s="889"/>
    </row>
    <row r="11301" spans="7:7" ht="10.5" customHeight="1" x14ac:dyDescent="0.2">
      <c r="G11301" s="889"/>
    </row>
    <row r="11302" spans="7:7" ht="10.5" customHeight="1" x14ac:dyDescent="0.2">
      <c r="G11302" s="889"/>
    </row>
    <row r="11303" spans="7:7" ht="10.5" customHeight="1" x14ac:dyDescent="0.2">
      <c r="G11303" s="889"/>
    </row>
    <row r="11304" spans="7:7" ht="10.5" customHeight="1" x14ac:dyDescent="0.2">
      <c r="G11304" s="889"/>
    </row>
    <row r="11305" spans="7:7" ht="10.5" customHeight="1" x14ac:dyDescent="0.2">
      <c r="G11305" s="889"/>
    </row>
    <row r="11306" spans="7:7" ht="10.5" customHeight="1" x14ac:dyDescent="0.2">
      <c r="G11306" s="889"/>
    </row>
    <row r="11307" spans="7:7" ht="10.5" customHeight="1" x14ac:dyDescent="0.2">
      <c r="G11307" s="889"/>
    </row>
    <row r="11308" spans="7:7" ht="10.5" customHeight="1" x14ac:dyDescent="0.2">
      <c r="G11308" s="889"/>
    </row>
    <row r="11309" spans="7:7" ht="10.5" customHeight="1" x14ac:dyDescent="0.2">
      <c r="G11309" s="889"/>
    </row>
    <row r="11310" spans="7:7" ht="10.5" customHeight="1" x14ac:dyDescent="0.2">
      <c r="G11310" s="889"/>
    </row>
    <row r="11311" spans="7:7" ht="10.5" customHeight="1" x14ac:dyDescent="0.2">
      <c r="G11311" s="889"/>
    </row>
    <row r="11312" spans="7:7" ht="10.5" customHeight="1" x14ac:dyDescent="0.2">
      <c r="G11312" s="889"/>
    </row>
    <row r="11313" spans="7:7" ht="10.5" customHeight="1" x14ac:dyDescent="0.2">
      <c r="G11313" s="889"/>
    </row>
    <row r="11314" spans="7:7" ht="10.5" customHeight="1" x14ac:dyDescent="0.2">
      <c r="G11314" s="889"/>
    </row>
    <row r="11315" spans="7:7" ht="10.5" customHeight="1" x14ac:dyDescent="0.2">
      <c r="G11315" s="889"/>
    </row>
    <row r="11316" spans="7:7" ht="10.5" customHeight="1" x14ac:dyDescent="0.2">
      <c r="G11316" s="889"/>
    </row>
    <row r="11317" spans="7:7" ht="10.5" customHeight="1" x14ac:dyDescent="0.2">
      <c r="G11317" s="889"/>
    </row>
    <row r="11318" spans="7:7" ht="10.5" customHeight="1" x14ac:dyDescent="0.2">
      <c r="G11318" s="889"/>
    </row>
    <row r="11319" spans="7:7" ht="10.5" customHeight="1" x14ac:dyDescent="0.2">
      <c r="G11319" s="889"/>
    </row>
    <row r="11320" spans="7:7" ht="10.5" customHeight="1" x14ac:dyDescent="0.2">
      <c r="G11320" s="889"/>
    </row>
    <row r="11321" spans="7:7" ht="10.5" customHeight="1" x14ac:dyDescent="0.2">
      <c r="G11321" s="889"/>
    </row>
    <row r="11322" spans="7:7" ht="10.5" customHeight="1" x14ac:dyDescent="0.2">
      <c r="G11322" s="889"/>
    </row>
    <row r="11323" spans="7:7" ht="10.5" customHeight="1" x14ac:dyDescent="0.2">
      <c r="G11323" s="889"/>
    </row>
    <row r="11324" spans="7:7" ht="10.5" customHeight="1" x14ac:dyDescent="0.2">
      <c r="G11324" s="889"/>
    </row>
    <row r="11325" spans="7:7" ht="10.5" customHeight="1" x14ac:dyDescent="0.2">
      <c r="G11325" s="889"/>
    </row>
    <row r="11326" spans="7:7" ht="10.5" customHeight="1" x14ac:dyDescent="0.2">
      <c r="G11326" s="889"/>
    </row>
    <row r="11327" spans="7:7" ht="10.5" customHeight="1" x14ac:dyDescent="0.2">
      <c r="G11327" s="889"/>
    </row>
    <row r="11328" spans="7:7" ht="10.5" customHeight="1" x14ac:dyDescent="0.2">
      <c r="G11328" s="889"/>
    </row>
    <row r="11329" spans="7:7" ht="10.5" customHeight="1" x14ac:dyDescent="0.2">
      <c r="G11329" s="889"/>
    </row>
    <row r="11330" spans="7:7" ht="10.5" customHeight="1" x14ac:dyDescent="0.2">
      <c r="G11330" s="889"/>
    </row>
    <row r="11331" spans="7:7" ht="10.5" customHeight="1" x14ac:dyDescent="0.2">
      <c r="G11331" s="889"/>
    </row>
    <row r="11332" spans="7:7" ht="10.5" customHeight="1" x14ac:dyDescent="0.2">
      <c r="G11332" s="889"/>
    </row>
    <row r="11333" spans="7:7" ht="10.5" customHeight="1" x14ac:dyDescent="0.2">
      <c r="G11333" s="889"/>
    </row>
    <row r="11334" spans="7:7" ht="10.5" customHeight="1" x14ac:dyDescent="0.2">
      <c r="G11334" s="889"/>
    </row>
    <row r="11335" spans="7:7" ht="10.5" customHeight="1" x14ac:dyDescent="0.2">
      <c r="G11335" s="889"/>
    </row>
    <row r="11336" spans="7:7" ht="10.5" customHeight="1" x14ac:dyDescent="0.2">
      <c r="G11336" s="889"/>
    </row>
    <row r="11337" spans="7:7" ht="10.5" customHeight="1" x14ac:dyDescent="0.2">
      <c r="G11337" s="889"/>
    </row>
    <row r="11338" spans="7:7" ht="10.5" customHeight="1" x14ac:dyDescent="0.2">
      <c r="G11338" s="889"/>
    </row>
    <row r="11339" spans="7:7" ht="10.5" customHeight="1" x14ac:dyDescent="0.2">
      <c r="G11339" s="889"/>
    </row>
    <row r="11340" spans="7:7" ht="10.5" customHeight="1" x14ac:dyDescent="0.2">
      <c r="G11340" s="889"/>
    </row>
    <row r="11341" spans="7:7" ht="10.5" customHeight="1" x14ac:dyDescent="0.2">
      <c r="G11341" s="889"/>
    </row>
    <row r="11342" spans="7:7" ht="10.5" customHeight="1" x14ac:dyDescent="0.2">
      <c r="G11342" s="889"/>
    </row>
    <row r="11343" spans="7:7" ht="10.5" customHeight="1" x14ac:dyDescent="0.2">
      <c r="G11343" s="889"/>
    </row>
    <row r="11344" spans="7:7" ht="10.5" customHeight="1" x14ac:dyDescent="0.2">
      <c r="G11344" s="889"/>
    </row>
    <row r="11345" spans="7:7" ht="10.5" customHeight="1" x14ac:dyDescent="0.2">
      <c r="G11345" s="889"/>
    </row>
    <row r="11346" spans="7:7" ht="10.5" customHeight="1" x14ac:dyDescent="0.2">
      <c r="G11346" s="889"/>
    </row>
    <row r="11347" spans="7:7" ht="10.5" customHeight="1" x14ac:dyDescent="0.2">
      <c r="G11347" s="889"/>
    </row>
    <row r="11348" spans="7:7" ht="10.5" customHeight="1" x14ac:dyDescent="0.2">
      <c r="G11348" s="889"/>
    </row>
    <row r="11349" spans="7:7" ht="10.5" customHeight="1" x14ac:dyDescent="0.2">
      <c r="G11349" s="889"/>
    </row>
    <row r="11350" spans="7:7" ht="10.5" customHeight="1" x14ac:dyDescent="0.2">
      <c r="G11350" s="889"/>
    </row>
    <row r="11351" spans="7:7" ht="10.5" customHeight="1" x14ac:dyDescent="0.2">
      <c r="G11351" s="889"/>
    </row>
    <row r="11352" spans="7:7" ht="10.5" customHeight="1" x14ac:dyDescent="0.2">
      <c r="G11352" s="889"/>
    </row>
    <row r="11353" spans="7:7" ht="10.5" customHeight="1" x14ac:dyDescent="0.2">
      <c r="G11353" s="889"/>
    </row>
    <row r="11354" spans="7:7" ht="10.5" customHeight="1" x14ac:dyDescent="0.2">
      <c r="G11354" s="889"/>
    </row>
    <row r="11355" spans="7:7" ht="10.5" customHeight="1" x14ac:dyDescent="0.2">
      <c r="G11355" s="889"/>
    </row>
    <row r="11356" spans="7:7" ht="10.5" customHeight="1" x14ac:dyDescent="0.2">
      <c r="G11356" s="889"/>
    </row>
    <row r="11357" spans="7:7" ht="10.5" customHeight="1" x14ac:dyDescent="0.2">
      <c r="G11357" s="889"/>
    </row>
    <row r="11358" spans="7:7" ht="10.5" customHeight="1" x14ac:dyDescent="0.2">
      <c r="G11358" s="889"/>
    </row>
    <row r="11359" spans="7:7" ht="10.5" customHeight="1" x14ac:dyDescent="0.2">
      <c r="G11359" s="889"/>
    </row>
    <row r="11360" spans="7:7" ht="10.5" customHeight="1" x14ac:dyDescent="0.2">
      <c r="G11360" s="889"/>
    </row>
    <row r="11361" spans="7:7" ht="10.5" customHeight="1" x14ac:dyDescent="0.2">
      <c r="G11361" s="889"/>
    </row>
    <row r="11362" spans="7:7" ht="10.5" customHeight="1" x14ac:dyDescent="0.2">
      <c r="G11362" s="889"/>
    </row>
    <row r="11363" spans="7:7" ht="10.5" customHeight="1" x14ac:dyDescent="0.2">
      <c r="G11363" s="889"/>
    </row>
    <row r="11364" spans="7:7" ht="10.5" customHeight="1" x14ac:dyDescent="0.2">
      <c r="G11364" s="889"/>
    </row>
    <row r="11365" spans="7:7" ht="10.5" customHeight="1" x14ac:dyDescent="0.2">
      <c r="G11365" s="889"/>
    </row>
    <row r="11366" spans="7:7" ht="10.5" customHeight="1" x14ac:dyDescent="0.2">
      <c r="G11366" s="889"/>
    </row>
    <row r="11367" spans="7:7" ht="10.5" customHeight="1" x14ac:dyDescent="0.2">
      <c r="G11367" s="889"/>
    </row>
    <row r="11368" spans="7:7" ht="10.5" customHeight="1" x14ac:dyDescent="0.2">
      <c r="G11368" s="889"/>
    </row>
    <row r="11369" spans="7:7" ht="10.5" customHeight="1" x14ac:dyDescent="0.2">
      <c r="G11369" s="889"/>
    </row>
    <row r="11370" spans="7:7" ht="10.5" customHeight="1" x14ac:dyDescent="0.2">
      <c r="G11370" s="889"/>
    </row>
    <row r="11371" spans="7:7" ht="10.5" customHeight="1" x14ac:dyDescent="0.2">
      <c r="G11371" s="889"/>
    </row>
    <row r="11372" spans="7:7" ht="10.5" customHeight="1" x14ac:dyDescent="0.2">
      <c r="G11372" s="889"/>
    </row>
    <row r="11373" spans="7:7" ht="10.5" customHeight="1" x14ac:dyDescent="0.2">
      <c r="G11373" s="889"/>
    </row>
    <row r="11374" spans="7:7" ht="10.5" customHeight="1" x14ac:dyDescent="0.2">
      <c r="G11374" s="889"/>
    </row>
    <row r="11375" spans="7:7" ht="10.5" customHeight="1" x14ac:dyDescent="0.2">
      <c r="G11375" s="889"/>
    </row>
    <row r="11376" spans="7:7" ht="10.5" customHeight="1" x14ac:dyDescent="0.2">
      <c r="G11376" s="889"/>
    </row>
    <row r="11377" spans="7:7" ht="10.5" customHeight="1" x14ac:dyDescent="0.2">
      <c r="G11377" s="889"/>
    </row>
    <row r="11378" spans="7:7" ht="10.5" customHeight="1" x14ac:dyDescent="0.2">
      <c r="G11378" s="889"/>
    </row>
    <row r="11379" spans="7:7" ht="10.5" customHeight="1" x14ac:dyDescent="0.2">
      <c r="G11379" s="889"/>
    </row>
    <row r="11380" spans="7:7" ht="10.5" customHeight="1" x14ac:dyDescent="0.2">
      <c r="G11380" s="889"/>
    </row>
    <row r="11381" spans="7:7" ht="10.5" customHeight="1" x14ac:dyDescent="0.2">
      <c r="G11381" s="889"/>
    </row>
    <row r="11382" spans="7:7" ht="10.5" customHeight="1" x14ac:dyDescent="0.2">
      <c r="G11382" s="889"/>
    </row>
    <row r="11383" spans="7:7" ht="10.5" customHeight="1" x14ac:dyDescent="0.2">
      <c r="G11383" s="889"/>
    </row>
    <row r="11384" spans="7:7" ht="10.5" customHeight="1" x14ac:dyDescent="0.2">
      <c r="G11384" s="889"/>
    </row>
    <row r="11385" spans="7:7" ht="10.5" customHeight="1" x14ac:dyDescent="0.2">
      <c r="G11385" s="889"/>
    </row>
    <row r="11386" spans="7:7" ht="10.5" customHeight="1" x14ac:dyDescent="0.2">
      <c r="G11386" s="889"/>
    </row>
    <row r="11387" spans="7:7" ht="10.5" customHeight="1" x14ac:dyDescent="0.2">
      <c r="G11387" s="889"/>
    </row>
    <row r="11388" spans="7:7" ht="10.5" customHeight="1" x14ac:dyDescent="0.2">
      <c r="G11388" s="889"/>
    </row>
    <row r="11389" spans="7:7" ht="10.5" customHeight="1" x14ac:dyDescent="0.2">
      <c r="G11389" s="889"/>
    </row>
    <row r="11390" spans="7:7" ht="10.5" customHeight="1" x14ac:dyDescent="0.2">
      <c r="G11390" s="889"/>
    </row>
    <row r="11391" spans="7:7" ht="10.5" customHeight="1" x14ac:dyDescent="0.2">
      <c r="G11391" s="889"/>
    </row>
    <row r="11392" spans="7:7" ht="10.5" customHeight="1" x14ac:dyDescent="0.2">
      <c r="G11392" s="889"/>
    </row>
    <row r="11393" spans="7:7" ht="10.5" customHeight="1" x14ac:dyDescent="0.2">
      <c r="G11393" s="889"/>
    </row>
    <row r="11394" spans="7:7" ht="10.5" customHeight="1" x14ac:dyDescent="0.2">
      <c r="G11394" s="889"/>
    </row>
    <row r="11395" spans="7:7" ht="10.5" customHeight="1" x14ac:dyDescent="0.2">
      <c r="G11395" s="889"/>
    </row>
    <row r="11396" spans="7:7" ht="10.5" customHeight="1" x14ac:dyDescent="0.2">
      <c r="G11396" s="889"/>
    </row>
    <row r="11397" spans="7:7" ht="10.5" customHeight="1" x14ac:dyDescent="0.2">
      <c r="G11397" s="889"/>
    </row>
    <row r="11398" spans="7:7" ht="10.5" customHeight="1" x14ac:dyDescent="0.2">
      <c r="G11398" s="889"/>
    </row>
    <row r="11399" spans="7:7" ht="10.5" customHeight="1" x14ac:dyDescent="0.2">
      <c r="G11399" s="889"/>
    </row>
    <row r="11400" spans="7:7" ht="10.5" customHeight="1" x14ac:dyDescent="0.2">
      <c r="G11400" s="889"/>
    </row>
    <row r="11401" spans="7:7" ht="10.5" customHeight="1" x14ac:dyDescent="0.2">
      <c r="G11401" s="889"/>
    </row>
    <row r="11402" spans="7:7" ht="10.5" customHeight="1" x14ac:dyDescent="0.2">
      <c r="G11402" s="889"/>
    </row>
    <row r="11403" spans="7:7" ht="10.5" customHeight="1" x14ac:dyDescent="0.2">
      <c r="G11403" s="889"/>
    </row>
    <row r="11404" spans="7:7" ht="10.5" customHeight="1" x14ac:dyDescent="0.2">
      <c r="G11404" s="889"/>
    </row>
    <row r="11405" spans="7:7" ht="10.5" customHeight="1" x14ac:dyDescent="0.2">
      <c r="G11405" s="889"/>
    </row>
    <row r="11406" spans="7:7" ht="10.5" customHeight="1" x14ac:dyDescent="0.2">
      <c r="G11406" s="889"/>
    </row>
    <row r="11407" spans="7:7" ht="10.5" customHeight="1" x14ac:dyDescent="0.2">
      <c r="G11407" s="889"/>
    </row>
    <row r="11408" spans="7:7" ht="10.5" customHeight="1" x14ac:dyDescent="0.2">
      <c r="G11408" s="889"/>
    </row>
    <row r="11409" spans="7:7" ht="10.5" customHeight="1" x14ac:dyDescent="0.2">
      <c r="G11409" s="889"/>
    </row>
    <row r="11410" spans="7:7" ht="10.5" customHeight="1" x14ac:dyDescent="0.2">
      <c r="G11410" s="889"/>
    </row>
    <row r="11411" spans="7:7" ht="10.5" customHeight="1" x14ac:dyDescent="0.2">
      <c r="G11411" s="889"/>
    </row>
    <row r="11412" spans="7:7" ht="10.5" customHeight="1" x14ac:dyDescent="0.2">
      <c r="G11412" s="889"/>
    </row>
    <row r="11413" spans="7:7" ht="10.5" customHeight="1" x14ac:dyDescent="0.2">
      <c r="G11413" s="889"/>
    </row>
    <row r="11414" spans="7:7" ht="10.5" customHeight="1" x14ac:dyDescent="0.2">
      <c r="G11414" s="889"/>
    </row>
    <row r="11415" spans="7:7" ht="10.5" customHeight="1" x14ac:dyDescent="0.2">
      <c r="G11415" s="889"/>
    </row>
    <row r="11416" spans="7:7" ht="10.5" customHeight="1" x14ac:dyDescent="0.2">
      <c r="G11416" s="889"/>
    </row>
    <row r="11417" spans="7:7" ht="10.5" customHeight="1" x14ac:dyDescent="0.2">
      <c r="G11417" s="889"/>
    </row>
    <row r="11418" spans="7:7" ht="10.5" customHeight="1" x14ac:dyDescent="0.2">
      <c r="G11418" s="889"/>
    </row>
    <row r="11419" spans="7:7" ht="10.5" customHeight="1" x14ac:dyDescent="0.2">
      <c r="G11419" s="889"/>
    </row>
    <row r="11420" spans="7:7" ht="10.5" customHeight="1" x14ac:dyDescent="0.2">
      <c r="G11420" s="889"/>
    </row>
    <row r="11421" spans="7:7" ht="10.5" customHeight="1" x14ac:dyDescent="0.2">
      <c r="G11421" s="889"/>
    </row>
    <row r="11422" spans="7:7" ht="10.5" customHeight="1" x14ac:dyDescent="0.2">
      <c r="G11422" s="889"/>
    </row>
    <row r="11423" spans="7:7" ht="10.5" customHeight="1" x14ac:dyDescent="0.2">
      <c r="G11423" s="889"/>
    </row>
    <row r="11424" spans="7:7" ht="10.5" customHeight="1" x14ac:dyDescent="0.2">
      <c r="G11424" s="889"/>
    </row>
    <row r="11425" spans="7:7" ht="10.5" customHeight="1" x14ac:dyDescent="0.2">
      <c r="G11425" s="889"/>
    </row>
    <row r="11426" spans="7:7" ht="10.5" customHeight="1" x14ac:dyDescent="0.2">
      <c r="G11426" s="889"/>
    </row>
    <row r="11427" spans="7:7" ht="10.5" customHeight="1" x14ac:dyDescent="0.2">
      <c r="G11427" s="889"/>
    </row>
    <row r="11428" spans="7:7" ht="10.5" customHeight="1" x14ac:dyDescent="0.2">
      <c r="G11428" s="889"/>
    </row>
    <row r="11429" spans="7:7" ht="10.5" customHeight="1" x14ac:dyDescent="0.2">
      <c r="G11429" s="889"/>
    </row>
    <row r="11430" spans="7:7" ht="10.5" customHeight="1" x14ac:dyDescent="0.2">
      <c r="G11430" s="889"/>
    </row>
    <row r="11431" spans="7:7" ht="10.5" customHeight="1" x14ac:dyDescent="0.2">
      <c r="G11431" s="889"/>
    </row>
    <row r="11432" spans="7:7" ht="10.5" customHeight="1" x14ac:dyDescent="0.2">
      <c r="G11432" s="889"/>
    </row>
    <row r="11433" spans="7:7" ht="10.5" customHeight="1" x14ac:dyDescent="0.2">
      <c r="G11433" s="889"/>
    </row>
    <row r="11434" spans="7:7" ht="10.5" customHeight="1" x14ac:dyDescent="0.2">
      <c r="G11434" s="889"/>
    </row>
    <row r="11435" spans="7:7" ht="10.5" customHeight="1" x14ac:dyDescent="0.2">
      <c r="G11435" s="889"/>
    </row>
    <row r="11436" spans="7:7" ht="10.5" customHeight="1" x14ac:dyDescent="0.2">
      <c r="G11436" s="889"/>
    </row>
    <row r="11437" spans="7:7" ht="10.5" customHeight="1" x14ac:dyDescent="0.2">
      <c r="G11437" s="889"/>
    </row>
    <row r="11438" spans="7:7" ht="10.5" customHeight="1" x14ac:dyDescent="0.2">
      <c r="G11438" s="889"/>
    </row>
    <row r="11439" spans="7:7" ht="10.5" customHeight="1" x14ac:dyDescent="0.2">
      <c r="G11439" s="889"/>
    </row>
    <row r="11440" spans="7:7" ht="10.5" customHeight="1" x14ac:dyDescent="0.2">
      <c r="G11440" s="889"/>
    </row>
    <row r="11441" spans="7:7" ht="10.5" customHeight="1" x14ac:dyDescent="0.2">
      <c r="G11441" s="889"/>
    </row>
    <row r="11442" spans="7:7" ht="10.5" customHeight="1" x14ac:dyDescent="0.2">
      <c r="G11442" s="889"/>
    </row>
    <row r="11443" spans="7:7" ht="10.5" customHeight="1" x14ac:dyDescent="0.2">
      <c r="G11443" s="889"/>
    </row>
    <row r="11444" spans="7:7" ht="10.5" customHeight="1" x14ac:dyDescent="0.2">
      <c r="G11444" s="889"/>
    </row>
    <row r="11445" spans="7:7" ht="10.5" customHeight="1" x14ac:dyDescent="0.2">
      <c r="G11445" s="889"/>
    </row>
    <row r="11446" spans="7:7" ht="10.5" customHeight="1" x14ac:dyDescent="0.2">
      <c r="G11446" s="889"/>
    </row>
    <row r="11447" spans="7:7" ht="10.5" customHeight="1" x14ac:dyDescent="0.2">
      <c r="G11447" s="889"/>
    </row>
    <row r="11448" spans="7:7" ht="10.5" customHeight="1" x14ac:dyDescent="0.2">
      <c r="G11448" s="889"/>
    </row>
    <row r="11449" spans="7:7" ht="10.5" customHeight="1" x14ac:dyDescent="0.2">
      <c r="G11449" s="889"/>
    </row>
    <row r="11450" spans="7:7" ht="10.5" customHeight="1" x14ac:dyDescent="0.2">
      <c r="G11450" s="889"/>
    </row>
    <row r="11451" spans="7:7" ht="10.5" customHeight="1" x14ac:dyDescent="0.2">
      <c r="G11451" s="889"/>
    </row>
    <row r="11452" spans="7:7" ht="10.5" customHeight="1" x14ac:dyDescent="0.2">
      <c r="G11452" s="889"/>
    </row>
    <row r="11453" spans="7:7" ht="10.5" customHeight="1" x14ac:dyDescent="0.2">
      <c r="G11453" s="889"/>
    </row>
    <row r="11454" spans="7:7" ht="10.5" customHeight="1" x14ac:dyDescent="0.2">
      <c r="G11454" s="889"/>
    </row>
    <row r="11455" spans="7:7" ht="10.5" customHeight="1" x14ac:dyDescent="0.2">
      <c r="G11455" s="889"/>
    </row>
    <row r="11456" spans="7:7" ht="10.5" customHeight="1" x14ac:dyDescent="0.2">
      <c r="G11456" s="889"/>
    </row>
    <row r="11457" spans="7:7" ht="10.5" customHeight="1" x14ac:dyDescent="0.2">
      <c r="G11457" s="889"/>
    </row>
    <row r="11458" spans="7:7" ht="10.5" customHeight="1" x14ac:dyDescent="0.2">
      <c r="G11458" s="889"/>
    </row>
    <row r="11459" spans="7:7" ht="10.5" customHeight="1" x14ac:dyDescent="0.2">
      <c r="G11459" s="889"/>
    </row>
    <row r="11460" spans="7:7" ht="10.5" customHeight="1" x14ac:dyDescent="0.2">
      <c r="G11460" s="889"/>
    </row>
    <row r="11461" spans="7:7" ht="10.5" customHeight="1" x14ac:dyDescent="0.2">
      <c r="G11461" s="889"/>
    </row>
    <row r="11462" spans="7:7" ht="10.5" customHeight="1" x14ac:dyDescent="0.2">
      <c r="G11462" s="889"/>
    </row>
    <row r="11463" spans="7:7" ht="10.5" customHeight="1" x14ac:dyDescent="0.2">
      <c r="G11463" s="889"/>
    </row>
    <row r="11464" spans="7:7" ht="10.5" customHeight="1" x14ac:dyDescent="0.2">
      <c r="G11464" s="889"/>
    </row>
    <row r="11465" spans="7:7" ht="10.5" customHeight="1" x14ac:dyDescent="0.2">
      <c r="G11465" s="889"/>
    </row>
    <row r="11466" spans="7:7" ht="10.5" customHeight="1" x14ac:dyDescent="0.2">
      <c r="G11466" s="889"/>
    </row>
    <row r="11467" spans="7:7" ht="10.5" customHeight="1" x14ac:dyDescent="0.2">
      <c r="G11467" s="889"/>
    </row>
    <row r="11468" spans="7:7" ht="10.5" customHeight="1" x14ac:dyDescent="0.2">
      <c r="G11468" s="889"/>
    </row>
    <row r="11469" spans="7:7" ht="10.5" customHeight="1" x14ac:dyDescent="0.2">
      <c r="G11469" s="889"/>
    </row>
    <row r="11470" spans="7:7" ht="10.5" customHeight="1" x14ac:dyDescent="0.2">
      <c r="G11470" s="889"/>
    </row>
    <row r="11471" spans="7:7" ht="10.5" customHeight="1" x14ac:dyDescent="0.2">
      <c r="G11471" s="889"/>
    </row>
    <row r="11472" spans="7:7" ht="10.5" customHeight="1" x14ac:dyDescent="0.2">
      <c r="G11472" s="889"/>
    </row>
    <row r="11473" spans="7:7" ht="10.5" customHeight="1" x14ac:dyDescent="0.2">
      <c r="G11473" s="889"/>
    </row>
    <row r="11474" spans="7:7" ht="10.5" customHeight="1" x14ac:dyDescent="0.2">
      <c r="G11474" s="889"/>
    </row>
    <row r="11475" spans="7:7" ht="10.5" customHeight="1" x14ac:dyDescent="0.2">
      <c r="G11475" s="889"/>
    </row>
    <row r="11476" spans="7:7" ht="10.5" customHeight="1" x14ac:dyDescent="0.2">
      <c r="G11476" s="889"/>
    </row>
    <row r="11477" spans="7:7" ht="10.5" customHeight="1" x14ac:dyDescent="0.2">
      <c r="G11477" s="889"/>
    </row>
    <row r="11478" spans="7:7" ht="10.5" customHeight="1" x14ac:dyDescent="0.2">
      <c r="G11478" s="889"/>
    </row>
    <row r="11479" spans="7:7" ht="10.5" customHeight="1" x14ac:dyDescent="0.2">
      <c r="G11479" s="889"/>
    </row>
    <row r="11480" spans="7:7" ht="10.5" customHeight="1" x14ac:dyDescent="0.2">
      <c r="G11480" s="889"/>
    </row>
    <row r="11481" spans="7:7" ht="10.5" customHeight="1" x14ac:dyDescent="0.2">
      <c r="G11481" s="889"/>
    </row>
    <row r="11482" spans="7:7" ht="10.5" customHeight="1" x14ac:dyDescent="0.2">
      <c r="G11482" s="889"/>
    </row>
    <row r="11483" spans="7:7" ht="10.5" customHeight="1" x14ac:dyDescent="0.2">
      <c r="G11483" s="889"/>
    </row>
    <row r="11484" spans="7:7" ht="10.5" customHeight="1" x14ac:dyDescent="0.2">
      <c r="G11484" s="889"/>
    </row>
    <row r="11485" spans="7:7" ht="10.5" customHeight="1" x14ac:dyDescent="0.2">
      <c r="G11485" s="889"/>
    </row>
    <row r="11486" spans="7:7" ht="10.5" customHeight="1" x14ac:dyDescent="0.2">
      <c r="G11486" s="889"/>
    </row>
    <row r="11487" spans="7:7" ht="10.5" customHeight="1" x14ac:dyDescent="0.2">
      <c r="G11487" s="889"/>
    </row>
    <row r="11488" spans="7:7" ht="10.5" customHeight="1" x14ac:dyDescent="0.2">
      <c r="G11488" s="889"/>
    </row>
    <row r="11489" spans="7:7" ht="10.5" customHeight="1" x14ac:dyDescent="0.2">
      <c r="G11489" s="889"/>
    </row>
    <row r="11490" spans="7:7" ht="10.5" customHeight="1" x14ac:dyDescent="0.2">
      <c r="G11490" s="889"/>
    </row>
    <row r="11491" spans="7:7" ht="10.5" customHeight="1" x14ac:dyDescent="0.2">
      <c r="G11491" s="889"/>
    </row>
    <row r="11492" spans="7:7" ht="10.5" customHeight="1" x14ac:dyDescent="0.2">
      <c r="G11492" s="889"/>
    </row>
    <row r="11493" spans="7:7" ht="10.5" customHeight="1" x14ac:dyDescent="0.2">
      <c r="G11493" s="889"/>
    </row>
    <row r="11494" spans="7:7" ht="10.5" customHeight="1" x14ac:dyDescent="0.2">
      <c r="G11494" s="889"/>
    </row>
    <row r="11495" spans="7:7" ht="10.5" customHeight="1" x14ac:dyDescent="0.2">
      <c r="G11495" s="889"/>
    </row>
    <row r="11496" spans="7:7" ht="10.5" customHeight="1" x14ac:dyDescent="0.2">
      <c r="G11496" s="889"/>
    </row>
    <row r="11497" spans="7:7" ht="10.5" customHeight="1" x14ac:dyDescent="0.2">
      <c r="G11497" s="889"/>
    </row>
    <row r="11498" spans="7:7" ht="10.5" customHeight="1" x14ac:dyDescent="0.2">
      <c r="G11498" s="889"/>
    </row>
    <row r="11499" spans="7:7" ht="10.5" customHeight="1" x14ac:dyDescent="0.2">
      <c r="G11499" s="889"/>
    </row>
    <row r="11500" spans="7:7" ht="10.5" customHeight="1" x14ac:dyDescent="0.2">
      <c r="G11500" s="889"/>
    </row>
    <row r="11501" spans="7:7" ht="10.5" customHeight="1" x14ac:dyDescent="0.2">
      <c r="G11501" s="889"/>
    </row>
    <row r="11502" spans="7:7" ht="10.5" customHeight="1" x14ac:dyDescent="0.2">
      <c r="G11502" s="889"/>
    </row>
    <row r="11503" spans="7:7" ht="10.5" customHeight="1" x14ac:dyDescent="0.2">
      <c r="G11503" s="889"/>
    </row>
    <row r="11504" spans="7:7" ht="10.5" customHeight="1" x14ac:dyDescent="0.2">
      <c r="G11504" s="889"/>
    </row>
    <row r="11505" spans="7:7" ht="10.5" customHeight="1" x14ac:dyDescent="0.2">
      <c r="G11505" s="889"/>
    </row>
    <row r="11506" spans="7:7" ht="10.5" customHeight="1" x14ac:dyDescent="0.2">
      <c r="G11506" s="889"/>
    </row>
    <row r="11507" spans="7:7" ht="10.5" customHeight="1" x14ac:dyDescent="0.2">
      <c r="G11507" s="889"/>
    </row>
    <row r="11508" spans="7:7" ht="10.5" customHeight="1" x14ac:dyDescent="0.2">
      <c r="G11508" s="889"/>
    </row>
    <row r="11509" spans="7:7" ht="10.5" customHeight="1" x14ac:dyDescent="0.2">
      <c r="G11509" s="889"/>
    </row>
    <row r="11510" spans="7:7" ht="10.5" customHeight="1" x14ac:dyDescent="0.2">
      <c r="G11510" s="889"/>
    </row>
    <row r="11511" spans="7:7" ht="10.5" customHeight="1" x14ac:dyDescent="0.2">
      <c r="G11511" s="889"/>
    </row>
    <row r="11512" spans="7:7" ht="10.5" customHeight="1" x14ac:dyDescent="0.2">
      <c r="G11512" s="889"/>
    </row>
    <row r="11513" spans="7:7" ht="10.5" customHeight="1" x14ac:dyDescent="0.2">
      <c r="G11513" s="889"/>
    </row>
    <row r="11514" spans="7:7" ht="10.5" customHeight="1" x14ac:dyDescent="0.2">
      <c r="G11514" s="889"/>
    </row>
    <row r="11515" spans="7:7" ht="10.5" customHeight="1" x14ac:dyDescent="0.2">
      <c r="G11515" s="889"/>
    </row>
    <row r="11516" spans="7:7" ht="10.5" customHeight="1" x14ac:dyDescent="0.2">
      <c r="G11516" s="889"/>
    </row>
    <row r="11517" spans="7:7" ht="10.5" customHeight="1" x14ac:dyDescent="0.2">
      <c r="G11517" s="889"/>
    </row>
    <row r="11518" spans="7:7" ht="10.5" customHeight="1" x14ac:dyDescent="0.2">
      <c r="G11518" s="889"/>
    </row>
    <row r="11519" spans="7:7" ht="10.5" customHeight="1" x14ac:dyDescent="0.2">
      <c r="G11519" s="889"/>
    </row>
    <row r="11520" spans="7:7" ht="10.5" customHeight="1" x14ac:dyDescent="0.2">
      <c r="G11520" s="889"/>
    </row>
    <row r="11521" spans="7:7" ht="10.5" customHeight="1" x14ac:dyDescent="0.2">
      <c r="G11521" s="889"/>
    </row>
    <row r="11522" spans="7:7" ht="10.5" customHeight="1" x14ac:dyDescent="0.2">
      <c r="G11522" s="889"/>
    </row>
    <row r="11523" spans="7:7" ht="10.5" customHeight="1" x14ac:dyDescent="0.2">
      <c r="G11523" s="889"/>
    </row>
    <row r="11524" spans="7:7" ht="10.5" customHeight="1" x14ac:dyDescent="0.2">
      <c r="G11524" s="889"/>
    </row>
    <row r="11525" spans="7:7" ht="10.5" customHeight="1" x14ac:dyDescent="0.2">
      <c r="G11525" s="889"/>
    </row>
    <row r="11526" spans="7:7" ht="10.5" customHeight="1" x14ac:dyDescent="0.2">
      <c r="G11526" s="889"/>
    </row>
    <row r="11527" spans="7:7" ht="10.5" customHeight="1" x14ac:dyDescent="0.2">
      <c r="G11527" s="889"/>
    </row>
    <row r="11528" spans="7:7" ht="10.5" customHeight="1" x14ac:dyDescent="0.2">
      <c r="G11528" s="889"/>
    </row>
    <row r="11529" spans="7:7" ht="10.5" customHeight="1" x14ac:dyDescent="0.2">
      <c r="G11529" s="889"/>
    </row>
    <row r="11530" spans="7:7" ht="10.5" customHeight="1" x14ac:dyDescent="0.2">
      <c r="G11530" s="889"/>
    </row>
    <row r="11531" spans="7:7" ht="10.5" customHeight="1" x14ac:dyDescent="0.2">
      <c r="G11531" s="889"/>
    </row>
    <row r="11532" spans="7:7" ht="10.5" customHeight="1" x14ac:dyDescent="0.2">
      <c r="G11532" s="889"/>
    </row>
    <row r="11533" spans="7:7" ht="10.5" customHeight="1" x14ac:dyDescent="0.2">
      <c r="G11533" s="889"/>
    </row>
    <row r="11534" spans="7:7" ht="10.5" customHeight="1" x14ac:dyDescent="0.2">
      <c r="G11534" s="889"/>
    </row>
    <row r="11535" spans="7:7" ht="10.5" customHeight="1" x14ac:dyDescent="0.2">
      <c r="G11535" s="889"/>
    </row>
    <row r="11536" spans="7:7" ht="10.5" customHeight="1" x14ac:dyDescent="0.2">
      <c r="G11536" s="889"/>
    </row>
    <row r="11537" spans="7:7" ht="10.5" customHeight="1" x14ac:dyDescent="0.2">
      <c r="G11537" s="889"/>
    </row>
    <row r="11538" spans="7:7" ht="10.5" customHeight="1" x14ac:dyDescent="0.2">
      <c r="G11538" s="889"/>
    </row>
    <row r="11539" spans="7:7" ht="10.5" customHeight="1" x14ac:dyDescent="0.2">
      <c r="G11539" s="889"/>
    </row>
    <row r="11540" spans="7:7" ht="10.5" customHeight="1" x14ac:dyDescent="0.2">
      <c r="G11540" s="889"/>
    </row>
    <row r="11541" spans="7:7" ht="10.5" customHeight="1" x14ac:dyDescent="0.2">
      <c r="G11541" s="889"/>
    </row>
    <row r="11542" spans="7:7" ht="10.5" customHeight="1" x14ac:dyDescent="0.2">
      <c r="G11542" s="889"/>
    </row>
    <row r="11543" spans="7:7" ht="10.5" customHeight="1" x14ac:dyDescent="0.2">
      <c r="G11543" s="889"/>
    </row>
    <row r="11544" spans="7:7" ht="10.5" customHeight="1" x14ac:dyDescent="0.2">
      <c r="G11544" s="889"/>
    </row>
    <row r="11545" spans="7:7" ht="10.5" customHeight="1" x14ac:dyDescent="0.2">
      <c r="G11545" s="889"/>
    </row>
    <row r="11546" spans="7:7" ht="10.5" customHeight="1" x14ac:dyDescent="0.2">
      <c r="G11546" s="889"/>
    </row>
    <row r="11547" spans="7:7" ht="10.5" customHeight="1" x14ac:dyDescent="0.2">
      <c r="G11547" s="889"/>
    </row>
    <row r="11548" spans="7:7" ht="10.5" customHeight="1" x14ac:dyDescent="0.2">
      <c r="G11548" s="889"/>
    </row>
    <row r="11549" spans="7:7" ht="10.5" customHeight="1" x14ac:dyDescent="0.2">
      <c r="G11549" s="889"/>
    </row>
    <row r="11550" spans="7:7" ht="10.5" customHeight="1" x14ac:dyDescent="0.2">
      <c r="G11550" s="889"/>
    </row>
    <row r="11551" spans="7:7" ht="10.5" customHeight="1" x14ac:dyDescent="0.2">
      <c r="G11551" s="889"/>
    </row>
    <row r="11552" spans="7:7" ht="10.5" customHeight="1" x14ac:dyDescent="0.2">
      <c r="G11552" s="889"/>
    </row>
    <row r="11553" spans="7:7" ht="10.5" customHeight="1" x14ac:dyDescent="0.2">
      <c r="G11553" s="889"/>
    </row>
    <row r="11554" spans="7:7" ht="10.5" customHeight="1" x14ac:dyDescent="0.2">
      <c r="G11554" s="889"/>
    </row>
    <row r="11555" spans="7:7" ht="10.5" customHeight="1" x14ac:dyDescent="0.2">
      <c r="G11555" s="889"/>
    </row>
    <row r="11556" spans="7:7" ht="10.5" customHeight="1" x14ac:dyDescent="0.2">
      <c r="G11556" s="889"/>
    </row>
    <row r="11557" spans="7:7" ht="10.5" customHeight="1" x14ac:dyDescent="0.2">
      <c r="G11557" s="889"/>
    </row>
    <row r="11558" spans="7:7" ht="10.5" customHeight="1" x14ac:dyDescent="0.2">
      <c r="G11558" s="889"/>
    </row>
    <row r="11559" spans="7:7" ht="10.5" customHeight="1" x14ac:dyDescent="0.2">
      <c r="G11559" s="889"/>
    </row>
    <row r="11560" spans="7:7" ht="10.5" customHeight="1" x14ac:dyDescent="0.2">
      <c r="G11560" s="889"/>
    </row>
    <row r="11561" spans="7:7" ht="10.5" customHeight="1" x14ac:dyDescent="0.2">
      <c r="G11561" s="889"/>
    </row>
    <row r="11562" spans="7:7" ht="10.5" customHeight="1" x14ac:dyDescent="0.2">
      <c r="G11562" s="889"/>
    </row>
    <row r="11563" spans="7:7" ht="10.5" customHeight="1" x14ac:dyDescent="0.2">
      <c r="G11563" s="889"/>
    </row>
    <row r="11564" spans="7:7" ht="10.5" customHeight="1" x14ac:dyDescent="0.2">
      <c r="G11564" s="889"/>
    </row>
    <row r="11565" spans="7:7" ht="10.5" customHeight="1" x14ac:dyDescent="0.2">
      <c r="G11565" s="889"/>
    </row>
    <row r="11566" spans="7:7" ht="10.5" customHeight="1" x14ac:dyDescent="0.2">
      <c r="G11566" s="889"/>
    </row>
    <row r="11567" spans="7:7" ht="10.5" customHeight="1" x14ac:dyDescent="0.2">
      <c r="G11567" s="889"/>
    </row>
    <row r="11568" spans="7:7" ht="10.5" customHeight="1" x14ac:dyDescent="0.2">
      <c r="G11568" s="889"/>
    </row>
    <row r="11569" spans="7:7" ht="10.5" customHeight="1" x14ac:dyDescent="0.2">
      <c r="G11569" s="889"/>
    </row>
    <row r="11570" spans="7:7" ht="10.5" customHeight="1" x14ac:dyDescent="0.2">
      <c r="G11570" s="889"/>
    </row>
    <row r="11571" spans="7:7" ht="10.5" customHeight="1" x14ac:dyDescent="0.2">
      <c r="G11571" s="889"/>
    </row>
    <row r="11572" spans="7:7" ht="10.5" customHeight="1" x14ac:dyDescent="0.2">
      <c r="G11572" s="889"/>
    </row>
    <row r="11573" spans="7:7" ht="10.5" customHeight="1" x14ac:dyDescent="0.2">
      <c r="G11573" s="889"/>
    </row>
    <row r="11574" spans="7:7" ht="10.5" customHeight="1" x14ac:dyDescent="0.2">
      <c r="G11574" s="889"/>
    </row>
    <row r="11575" spans="7:7" ht="10.5" customHeight="1" x14ac:dyDescent="0.2">
      <c r="G11575" s="889"/>
    </row>
    <row r="11576" spans="7:7" ht="10.5" customHeight="1" x14ac:dyDescent="0.2">
      <c r="G11576" s="889"/>
    </row>
    <row r="11577" spans="7:7" ht="10.5" customHeight="1" x14ac:dyDescent="0.2">
      <c r="G11577" s="889"/>
    </row>
    <row r="11578" spans="7:7" ht="10.5" customHeight="1" x14ac:dyDescent="0.2">
      <c r="G11578" s="889"/>
    </row>
    <row r="11579" spans="7:7" ht="10.5" customHeight="1" x14ac:dyDescent="0.2">
      <c r="G11579" s="889"/>
    </row>
    <row r="11580" spans="7:7" ht="10.5" customHeight="1" x14ac:dyDescent="0.2">
      <c r="G11580" s="889"/>
    </row>
    <row r="11581" spans="7:7" ht="10.5" customHeight="1" x14ac:dyDescent="0.2">
      <c r="G11581" s="889"/>
    </row>
    <row r="11582" spans="7:7" ht="10.5" customHeight="1" x14ac:dyDescent="0.2">
      <c r="G11582" s="889"/>
    </row>
    <row r="11583" spans="7:7" ht="10.5" customHeight="1" x14ac:dyDescent="0.2">
      <c r="G11583" s="889"/>
    </row>
    <row r="11584" spans="7:7" ht="10.5" customHeight="1" x14ac:dyDescent="0.2">
      <c r="G11584" s="889"/>
    </row>
    <row r="11585" spans="7:7" ht="10.5" customHeight="1" x14ac:dyDescent="0.2">
      <c r="G11585" s="889"/>
    </row>
    <row r="11586" spans="7:7" ht="10.5" customHeight="1" x14ac:dyDescent="0.2">
      <c r="G11586" s="889"/>
    </row>
    <row r="11587" spans="7:7" ht="10.5" customHeight="1" x14ac:dyDescent="0.2">
      <c r="G11587" s="889"/>
    </row>
    <row r="11588" spans="7:7" ht="10.5" customHeight="1" x14ac:dyDescent="0.2">
      <c r="G11588" s="889"/>
    </row>
    <row r="11589" spans="7:7" ht="10.5" customHeight="1" x14ac:dyDescent="0.2">
      <c r="G11589" s="889"/>
    </row>
    <row r="11590" spans="7:7" ht="10.5" customHeight="1" x14ac:dyDescent="0.2">
      <c r="G11590" s="889"/>
    </row>
    <row r="11591" spans="7:7" ht="10.5" customHeight="1" x14ac:dyDescent="0.2">
      <c r="G11591" s="889"/>
    </row>
    <row r="11592" spans="7:7" ht="10.5" customHeight="1" x14ac:dyDescent="0.2">
      <c r="G11592" s="889"/>
    </row>
    <row r="11593" spans="7:7" ht="10.5" customHeight="1" x14ac:dyDescent="0.2">
      <c r="G11593" s="889"/>
    </row>
    <row r="11594" spans="7:7" ht="10.5" customHeight="1" x14ac:dyDescent="0.2">
      <c r="G11594" s="889"/>
    </row>
    <row r="11595" spans="7:7" ht="10.5" customHeight="1" x14ac:dyDescent="0.2">
      <c r="G11595" s="889"/>
    </row>
    <row r="11596" spans="7:7" ht="10.5" customHeight="1" x14ac:dyDescent="0.2">
      <c r="G11596" s="889"/>
    </row>
    <row r="11597" spans="7:7" ht="10.5" customHeight="1" x14ac:dyDescent="0.2">
      <c r="G11597" s="889"/>
    </row>
    <row r="11598" spans="7:7" ht="10.5" customHeight="1" x14ac:dyDescent="0.2">
      <c r="G11598" s="889"/>
    </row>
    <row r="11599" spans="7:7" ht="10.5" customHeight="1" x14ac:dyDescent="0.2">
      <c r="G11599" s="889"/>
    </row>
    <row r="11600" spans="7:7" ht="10.5" customHeight="1" x14ac:dyDescent="0.2">
      <c r="G11600" s="889"/>
    </row>
    <row r="11601" spans="7:7" ht="10.5" customHeight="1" x14ac:dyDescent="0.2">
      <c r="G11601" s="889"/>
    </row>
    <row r="11602" spans="7:7" ht="10.5" customHeight="1" x14ac:dyDescent="0.2">
      <c r="G11602" s="889"/>
    </row>
    <row r="11603" spans="7:7" ht="10.5" customHeight="1" x14ac:dyDescent="0.2">
      <c r="G11603" s="889"/>
    </row>
    <row r="11604" spans="7:7" ht="10.5" customHeight="1" x14ac:dyDescent="0.2">
      <c r="G11604" s="889"/>
    </row>
    <row r="11605" spans="7:7" ht="10.5" customHeight="1" x14ac:dyDescent="0.2">
      <c r="G11605" s="889"/>
    </row>
    <row r="11606" spans="7:7" ht="10.5" customHeight="1" x14ac:dyDescent="0.2">
      <c r="G11606" s="889"/>
    </row>
    <row r="11607" spans="7:7" ht="10.5" customHeight="1" x14ac:dyDescent="0.2">
      <c r="G11607" s="889"/>
    </row>
    <row r="11608" spans="7:7" ht="10.5" customHeight="1" x14ac:dyDescent="0.2">
      <c r="G11608" s="889"/>
    </row>
    <row r="11609" spans="7:7" ht="10.5" customHeight="1" x14ac:dyDescent="0.2">
      <c r="G11609" s="889"/>
    </row>
    <row r="11610" spans="7:7" ht="10.5" customHeight="1" x14ac:dyDescent="0.2">
      <c r="G11610" s="889"/>
    </row>
    <row r="11611" spans="7:7" ht="10.5" customHeight="1" x14ac:dyDescent="0.2">
      <c r="G11611" s="889"/>
    </row>
    <row r="11612" spans="7:7" ht="10.5" customHeight="1" x14ac:dyDescent="0.2">
      <c r="G11612" s="889"/>
    </row>
    <row r="11613" spans="7:7" ht="10.5" customHeight="1" x14ac:dyDescent="0.2">
      <c r="G11613" s="889"/>
    </row>
    <row r="11614" spans="7:7" ht="10.5" customHeight="1" x14ac:dyDescent="0.2">
      <c r="G11614" s="889"/>
    </row>
    <row r="11615" spans="7:7" ht="10.5" customHeight="1" x14ac:dyDescent="0.2">
      <c r="G11615" s="889"/>
    </row>
    <row r="11616" spans="7:7" ht="10.5" customHeight="1" x14ac:dyDescent="0.2">
      <c r="G11616" s="889"/>
    </row>
    <row r="11617" spans="7:7" ht="10.5" customHeight="1" x14ac:dyDescent="0.2">
      <c r="G11617" s="889"/>
    </row>
    <row r="11618" spans="7:7" ht="10.5" customHeight="1" x14ac:dyDescent="0.2">
      <c r="G11618" s="889"/>
    </row>
    <row r="11619" spans="7:7" ht="10.5" customHeight="1" x14ac:dyDescent="0.2">
      <c r="G11619" s="889"/>
    </row>
    <row r="11620" spans="7:7" ht="10.5" customHeight="1" x14ac:dyDescent="0.2">
      <c r="G11620" s="889"/>
    </row>
    <row r="11621" spans="7:7" ht="10.5" customHeight="1" x14ac:dyDescent="0.2">
      <c r="G11621" s="889"/>
    </row>
    <row r="11622" spans="7:7" ht="10.5" customHeight="1" x14ac:dyDescent="0.2">
      <c r="G11622" s="889"/>
    </row>
    <row r="11623" spans="7:7" ht="10.5" customHeight="1" x14ac:dyDescent="0.2">
      <c r="G11623" s="889"/>
    </row>
    <row r="11624" spans="7:7" ht="10.5" customHeight="1" x14ac:dyDescent="0.2">
      <c r="G11624" s="889"/>
    </row>
    <row r="11625" spans="7:7" ht="10.5" customHeight="1" x14ac:dyDescent="0.2">
      <c r="G11625" s="889"/>
    </row>
    <row r="11626" spans="7:7" ht="10.5" customHeight="1" x14ac:dyDescent="0.2">
      <c r="G11626" s="889"/>
    </row>
    <row r="11627" spans="7:7" ht="10.5" customHeight="1" x14ac:dyDescent="0.2">
      <c r="G11627" s="889"/>
    </row>
    <row r="11628" spans="7:7" ht="10.5" customHeight="1" x14ac:dyDescent="0.2">
      <c r="G11628" s="889"/>
    </row>
    <row r="11629" spans="7:7" ht="10.5" customHeight="1" x14ac:dyDescent="0.2">
      <c r="G11629" s="889"/>
    </row>
    <row r="11630" spans="7:7" ht="10.5" customHeight="1" x14ac:dyDescent="0.2">
      <c r="G11630" s="889"/>
    </row>
    <row r="11631" spans="7:7" ht="10.5" customHeight="1" x14ac:dyDescent="0.2">
      <c r="G11631" s="889"/>
    </row>
    <row r="11632" spans="7:7" ht="10.5" customHeight="1" x14ac:dyDescent="0.2">
      <c r="G11632" s="889"/>
    </row>
    <row r="11633" spans="7:7" ht="10.5" customHeight="1" x14ac:dyDescent="0.2">
      <c r="G11633" s="889"/>
    </row>
    <row r="11634" spans="7:7" ht="10.5" customHeight="1" x14ac:dyDescent="0.2">
      <c r="G11634" s="889"/>
    </row>
    <row r="11635" spans="7:7" ht="10.5" customHeight="1" x14ac:dyDescent="0.2">
      <c r="G11635" s="889"/>
    </row>
    <row r="11636" spans="7:7" ht="10.5" customHeight="1" x14ac:dyDescent="0.2">
      <c r="G11636" s="889"/>
    </row>
    <row r="11637" spans="7:7" ht="10.5" customHeight="1" x14ac:dyDescent="0.2">
      <c r="G11637" s="889"/>
    </row>
    <row r="11638" spans="7:7" ht="10.5" customHeight="1" x14ac:dyDescent="0.2">
      <c r="G11638" s="889"/>
    </row>
    <row r="11639" spans="7:7" ht="10.5" customHeight="1" x14ac:dyDescent="0.2">
      <c r="G11639" s="889"/>
    </row>
    <row r="11640" spans="7:7" ht="10.5" customHeight="1" x14ac:dyDescent="0.2">
      <c r="G11640" s="889"/>
    </row>
    <row r="11641" spans="7:7" ht="10.5" customHeight="1" x14ac:dyDescent="0.2">
      <c r="G11641" s="889"/>
    </row>
    <row r="11642" spans="7:7" ht="10.5" customHeight="1" x14ac:dyDescent="0.2">
      <c r="G11642" s="889"/>
    </row>
    <row r="11643" spans="7:7" ht="10.5" customHeight="1" x14ac:dyDescent="0.2">
      <c r="G11643" s="889"/>
    </row>
    <row r="11644" spans="7:7" ht="10.5" customHeight="1" x14ac:dyDescent="0.2">
      <c r="G11644" s="889"/>
    </row>
    <row r="11645" spans="7:7" ht="10.5" customHeight="1" x14ac:dyDescent="0.2">
      <c r="G11645" s="889"/>
    </row>
    <row r="11646" spans="7:7" ht="10.5" customHeight="1" x14ac:dyDescent="0.2">
      <c r="G11646" s="889"/>
    </row>
    <row r="11647" spans="7:7" ht="10.5" customHeight="1" x14ac:dyDescent="0.2">
      <c r="G11647" s="889"/>
    </row>
    <row r="11648" spans="7:7" ht="10.5" customHeight="1" x14ac:dyDescent="0.2">
      <c r="G11648" s="889"/>
    </row>
    <row r="11649" spans="7:7" ht="10.5" customHeight="1" x14ac:dyDescent="0.2">
      <c r="G11649" s="889"/>
    </row>
    <row r="11650" spans="7:7" ht="10.5" customHeight="1" x14ac:dyDescent="0.2">
      <c r="G11650" s="889"/>
    </row>
    <row r="11651" spans="7:7" ht="10.5" customHeight="1" x14ac:dyDescent="0.2">
      <c r="G11651" s="889"/>
    </row>
    <row r="11652" spans="7:7" ht="10.5" customHeight="1" x14ac:dyDescent="0.2">
      <c r="G11652" s="889"/>
    </row>
    <row r="11653" spans="7:7" ht="10.5" customHeight="1" x14ac:dyDescent="0.2">
      <c r="G11653" s="889"/>
    </row>
    <row r="11654" spans="7:7" ht="10.5" customHeight="1" x14ac:dyDescent="0.2">
      <c r="G11654" s="889"/>
    </row>
    <row r="11655" spans="7:7" ht="10.5" customHeight="1" x14ac:dyDescent="0.2">
      <c r="G11655" s="889"/>
    </row>
    <row r="11656" spans="7:7" ht="10.5" customHeight="1" x14ac:dyDescent="0.2">
      <c r="G11656" s="889"/>
    </row>
    <row r="11657" spans="7:7" ht="10.5" customHeight="1" x14ac:dyDescent="0.2">
      <c r="G11657" s="889"/>
    </row>
    <row r="11658" spans="7:7" ht="10.5" customHeight="1" x14ac:dyDescent="0.2">
      <c r="G11658" s="889"/>
    </row>
    <row r="11659" spans="7:7" ht="10.5" customHeight="1" x14ac:dyDescent="0.2">
      <c r="G11659" s="889"/>
    </row>
    <row r="11660" spans="7:7" ht="10.5" customHeight="1" x14ac:dyDescent="0.2">
      <c r="G11660" s="889"/>
    </row>
    <row r="11661" spans="7:7" ht="10.5" customHeight="1" x14ac:dyDescent="0.2">
      <c r="G11661" s="889"/>
    </row>
    <row r="11662" spans="7:7" ht="10.5" customHeight="1" x14ac:dyDescent="0.2">
      <c r="G11662" s="889"/>
    </row>
    <row r="11663" spans="7:7" ht="10.5" customHeight="1" x14ac:dyDescent="0.2">
      <c r="G11663" s="889"/>
    </row>
    <row r="11664" spans="7:7" ht="10.5" customHeight="1" x14ac:dyDescent="0.2">
      <c r="G11664" s="889"/>
    </row>
    <row r="11665" spans="7:7" ht="10.5" customHeight="1" x14ac:dyDescent="0.2">
      <c r="G11665" s="889"/>
    </row>
    <row r="11666" spans="7:7" ht="10.5" customHeight="1" x14ac:dyDescent="0.2">
      <c r="G11666" s="889"/>
    </row>
    <row r="11667" spans="7:7" ht="10.5" customHeight="1" x14ac:dyDescent="0.2">
      <c r="G11667" s="889"/>
    </row>
    <row r="11668" spans="7:7" ht="10.5" customHeight="1" x14ac:dyDescent="0.2">
      <c r="G11668" s="889"/>
    </row>
    <row r="11669" spans="7:7" ht="10.5" customHeight="1" x14ac:dyDescent="0.2">
      <c r="G11669" s="889"/>
    </row>
    <row r="11670" spans="7:7" ht="10.5" customHeight="1" x14ac:dyDescent="0.2">
      <c r="G11670" s="889"/>
    </row>
    <row r="11671" spans="7:7" ht="10.5" customHeight="1" x14ac:dyDescent="0.2">
      <c r="G11671" s="889"/>
    </row>
    <row r="11672" spans="7:7" ht="10.5" customHeight="1" x14ac:dyDescent="0.2">
      <c r="G11672" s="889"/>
    </row>
    <row r="11673" spans="7:7" ht="10.5" customHeight="1" x14ac:dyDescent="0.2">
      <c r="G11673" s="889"/>
    </row>
    <row r="11674" spans="7:7" ht="10.5" customHeight="1" x14ac:dyDescent="0.2">
      <c r="G11674" s="889"/>
    </row>
    <row r="11675" spans="7:7" ht="10.5" customHeight="1" x14ac:dyDescent="0.2">
      <c r="G11675" s="889"/>
    </row>
    <row r="11676" spans="7:7" ht="10.5" customHeight="1" x14ac:dyDescent="0.2">
      <c r="G11676" s="889"/>
    </row>
    <row r="11677" spans="7:7" ht="10.5" customHeight="1" x14ac:dyDescent="0.2">
      <c r="G11677" s="889"/>
    </row>
    <row r="11678" spans="7:7" ht="10.5" customHeight="1" x14ac:dyDescent="0.2">
      <c r="G11678" s="889"/>
    </row>
    <row r="11679" spans="7:7" ht="10.5" customHeight="1" x14ac:dyDescent="0.2">
      <c r="G11679" s="889"/>
    </row>
    <row r="11680" spans="7:7" ht="10.5" customHeight="1" x14ac:dyDescent="0.2">
      <c r="G11680" s="889"/>
    </row>
    <row r="11681" spans="7:7" ht="10.5" customHeight="1" x14ac:dyDescent="0.2">
      <c r="G11681" s="889"/>
    </row>
    <row r="11682" spans="7:7" ht="10.5" customHeight="1" x14ac:dyDescent="0.2">
      <c r="G11682" s="889"/>
    </row>
    <row r="11683" spans="7:7" ht="10.5" customHeight="1" x14ac:dyDescent="0.2">
      <c r="G11683" s="889"/>
    </row>
    <row r="11684" spans="7:7" ht="10.5" customHeight="1" x14ac:dyDescent="0.2">
      <c r="G11684" s="889"/>
    </row>
    <row r="11685" spans="7:7" ht="10.5" customHeight="1" x14ac:dyDescent="0.2">
      <c r="G11685" s="889"/>
    </row>
    <row r="11686" spans="7:7" ht="10.5" customHeight="1" x14ac:dyDescent="0.2">
      <c r="G11686" s="889"/>
    </row>
    <row r="11687" spans="7:7" ht="10.5" customHeight="1" x14ac:dyDescent="0.2">
      <c r="G11687" s="889"/>
    </row>
    <row r="11688" spans="7:7" ht="10.5" customHeight="1" x14ac:dyDescent="0.2">
      <c r="G11688" s="889"/>
    </row>
    <row r="11689" spans="7:7" ht="10.5" customHeight="1" x14ac:dyDescent="0.2">
      <c r="G11689" s="889"/>
    </row>
    <row r="11690" spans="7:7" ht="10.5" customHeight="1" x14ac:dyDescent="0.2">
      <c r="G11690" s="889"/>
    </row>
    <row r="11691" spans="7:7" ht="10.5" customHeight="1" x14ac:dyDescent="0.2">
      <c r="G11691" s="889"/>
    </row>
    <row r="11692" spans="7:7" ht="10.5" customHeight="1" x14ac:dyDescent="0.2">
      <c r="G11692" s="889"/>
    </row>
    <row r="11693" spans="7:7" ht="10.5" customHeight="1" x14ac:dyDescent="0.2">
      <c r="G11693" s="889"/>
    </row>
    <row r="11694" spans="7:7" ht="10.5" customHeight="1" x14ac:dyDescent="0.2">
      <c r="G11694" s="889"/>
    </row>
    <row r="11695" spans="7:7" ht="10.5" customHeight="1" x14ac:dyDescent="0.2">
      <c r="G11695" s="889"/>
    </row>
    <row r="11696" spans="7:7" ht="10.5" customHeight="1" x14ac:dyDescent="0.2">
      <c r="G11696" s="889"/>
    </row>
    <row r="11697" spans="7:7" ht="10.5" customHeight="1" x14ac:dyDescent="0.2">
      <c r="G11697" s="889"/>
    </row>
    <row r="11698" spans="7:7" ht="10.5" customHeight="1" x14ac:dyDescent="0.2">
      <c r="G11698" s="889"/>
    </row>
    <row r="11699" spans="7:7" ht="10.5" customHeight="1" x14ac:dyDescent="0.2">
      <c r="G11699" s="889"/>
    </row>
    <row r="11700" spans="7:7" ht="10.5" customHeight="1" x14ac:dyDescent="0.2">
      <c r="G11700" s="889"/>
    </row>
    <row r="11701" spans="7:7" ht="10.5" customHeight="1" x14ac:dyDescent="0.2">
      <c r="G11701" s="889"/>
    </row>
    <row r="11702" spans="7:7" ht="10.5" customHeight="1" x14ac:dyDescent="0.2">
      <c r="G11702" s="889"/>
    </row>
    <row r="11703" spans="7:7" ht="10.5" customHeight="1" x14ac:dyDescent="0.2">
      <c r="G11703" s="889"/>
    </row>
    <row r="11704" spans="7:7" ht="10.5" customHeight="1" x14ac:dyDescent="0.2">
      <c r="G11704" s="889"/>
    </row>
    <row r="11705" spans="7:7" ht="10.5" customHeight="1" x14ac:dyDescent="0.2">
      <c r="G11705" s="889"/>
    </row>
    <row r="11706" spans="7:7" ht="10.5" customHeight="1" x14ac:dyDescent="0.2">
      <c r="G11706" s="889"/>
    </row>
    <row r="11707" spans="7:7" ht="10.5" customHeight="1" x14ac:dyDescent="0.2">
      <c r="G11707" s="889"/>
    </row>
    <row r="11708" spans="7:7" ht="10.5" customHeight="1" x14ac:dyDescent="0.2">
      <c r="G11708" s="889"/>
    </row>
    <row r="11709" spans="7:7" ht="10.5" customHeight="1" x14ac:dyDescent="0.2">
      <c r="G11709" s="889"/>
    </row>
    <row r="11710" spans="7:7" ht="10.5" customHeight="1" x14ac:dyDescent="0.2">
      <c r="G11710" s="889"/>
    </row>
    <row r="11711" spans="7:7" ht="10.5" customHeight="1" x14ac:dyDescent="0.2">
      <c r="G11711" s="889"/>
    </row>
    <row r="11712" spans="7:7" ht="10.5" customHeight="1" x14ac:dyDescent="0.2">
      <c r="G11712" s="889"/>
    </row>
    <row r="11713" spans="7:7" ht="10.5" customHeight="1" x14ac:dyDescent="0.2">
      <c r="G11713" s="889"/>
    </row>
    <row r="11714" spans="7:7" ht="10.5" customHeight="1" x14ac:dyDescent="0.2">
      <c r="G11714" s="889"/>
    </row>
    <row r="11715" spans="7:7" ht="10.5" customHeight="1" x14ac:dyDescent="0.2">
      <c r="G11715" s="889"/>
    </row>
    <row r="11716" spans="7:7" ht="10.5" customHeight="1" x14ac:dyDescent="0.2">
      <c r="G11716" s="889"/>
    </row>
    <row r="11717" spans="7:7" ht="10.5" customHeight="1" x14ac:dyDescent="0.2">
      <c r="G11717" s="889"/>
    </row>
    <row r="11718" spans="7:7" ht="10.5" customHeight="1" x14ac:dyDescent="0.2">
      <c r="G11718" s="889"/>
    </row>
    <row r="11719" spans="7:7" ht="10.5" customHeight="1" x14ac:dyDescent="0.2">
      <c r="G11719" s="889"/>
    </row>
    <row r="11720" spans="7:7" ht="10.5" customHeight="1" x14ac:dyDescent="0.2">
      <c r="G11720" s="889"/>
    </row>
    <row r="11721" spans="7:7" ht="10.5" customHeight="1" x14ac:dyDescent="0.2">
      <c r="G11721" s="889"/>
    </row>
    <row r="11722" spans="7:7" ht="10.5" customHeight="1" x14ac:dyDescent="0.2">
      <c r="G11722" s="889"/>
    </row>
    <row r="11723" spans="7:7" ht="10.5" customHeight="1" x14ac:dyDescent="0.2">
      <c r="G11723" s="889"/>
    </row>
    <row r="11724" spans="7:7" ht="10.5" customHeight="1" x14ac:dyDescent="0.2">
      <c r="G11724" s="889"/>
    </row>
    <row r="11725" spans="7:7" ht="10.5" customHeight="1" x14ac:dyDescent="0.2">
      <c r="G11725" s="889"/>
    </row>
    <row r="11726" spans="7:7" ht="10.5" customHeight="1" x14ac:dyDescent="0.2">
      <c r="G11726" s="889"/>
    </row>
    <row r="11727" spans="7:7" ht="10.5" customHeight="1" x14ac:dyDescent="0.2">
      <c r="G11727" s="889"/>
    </row>
    <row r="11728" spans="7:7" ht="10.5" customHeight="1" x14ac:dyDescent="0.2">
      <c r="G11728" s="889"/>
    </row>
    <row r="11729" spans="7:7" ht="10.5" customHeight="1" x14ac:dyDescent="0.2">
      <c r="G11729" s="889"/>
    </row>
    <row r="11730" spans="7:7" ht="10.5" customHeight="1" x14ac:dyDescent="0.2">
      <c r="G11730" s="889"/>
    </row>
    <row r="11731" spans="7:7" ht="10.5" customHeight="1" x14ac:dyDescent="0.2">
      <c r="G11731" s="889"/>
    </row>
    <row r="11732" spans="7:7" ht="10.5" customHeight="1" x14ac:dyDescent="0.2">
      <c r="G11732" s="889"/>
    </row>
    <row r="11733" spans="7:7" ht="10.5" customHeight="1" x14ac:dyDescent="0.2">
      <c r="G11733" s="889"/>
    </row>
    <row r="11734" spans="7:7" ht="10.5" customHeight="1" x14ac:dyDescent="0.2">
      <c r="G11734" s="889"/>
    </row>
    <row r="11735" spans="7:7" ht="10.5" customHeight="1" x14ac:dyDescent="0.2">
      <c r="G11735" s="889"/>
    </row>
    <row r="11736" spans="7:7" ht="10.5" customHeight="1" x14ac:dyDescent="0.2">
      <c r="G11736" s="889"/>
    </row>
    <row r="11737" spans="7:7" ht="10.5" customHeight="1" x14ac:dyDescent="0.2">
      <c r="G11737" s="889"/>
    </row>
    <row r="11738" spans="7:7" ht="10.5" customHeight="1" x14ac:dyDescent="0.2">
      <c r="G11738" s="889"/>
    </row>
    <row r="11739" spans="7:7" ht="10.5" customHeight="1" x14ac:dyDescent="0.2">
      <c r="G11739" s="889"/>
    </row>
    <row r="11740" spans="7:7" ht="10.5" customHeight="1" x14ac:dyDescent="0.2">
      <c r="G11740" s="889"/>
    </row>
    <row r="11741" spans="7:7" ht="10.5" customHeight="1" x14ac:dyDescent="0.2">
      <c r="G11741" s="889"/>
    </row>
    <row r="11742" spans="7:7" ht="10.5" customHeight="1" x14ac:dyDescent="0.2">
      <c r="G11742" s="889"/>
    </row>
    <row r="11743" spans="7:7" ht="10.5" customHeight="1" x14ac:dyDescent="0.2">
      <c r="G11743" s="889"/>
    </row>
    <row r="11744" spans="7:7" ht="10.5" customHeight="1" x14ac:dyDescent="0.2">
      <c r="G11744" s="889"/>
    </row>
    <row r="11745" spans="7:7" ht="10.5" customHeight="1" x14ac:dyDescent="0.2">
      <c r="G11745" s="889"/>
    </row>
    <row r="11746" spans="7:7" ht="10.5" customHeight="1" x14ac:dyDescent="0.2">
      <c r="G11746" s="889"/>
    </row>
    <row r="11747" spans="7:7" ht="10.5" customHeight="1" x14ac:dyDescent="0.2">
      <c r="G11747" s="889"/>
    </row>
    <row r="11748" spans="7:7" ht="10.5" customHeight="1" x14ac:dyDescent="0.2">
      <c r="G11748" s="889"/>
    </row>
    <row r="11749" spans="7:7" ht="10.5" customHeight="1" x14ac:dyDescent="0.2">
      <c r="G11749" s="889"/>
    </row>
    <row r="11750" spans="7:7" ht="10.5" customHeight="1" x14ac:dyDescent="0.2">
      <c r="G11750" s="889"/>
    </row>
    <row r="11751" spans="7:7" ht="10.5" customHeight="1" x14ac:dyDescent="0.2">
      <c r="G11751" s="889"/>
    </row>
    <row r="11752" spans="7:7" ht="10.5" customHeight="1" x14ac:dyDescent="0.2">
      <c r="G11752" s="889"/>
    </row>
    <row r="11753" spans="7:7" ht="10.5" customHeight="1" x14ac:dyDescent="0.2">
      <c r="G11753" s="889"/>
    </row>
    <row r="11754" spans="7:7" ht="10.5" customHeight="1" x14ac:dyDescent="0.2">
      <c r="G11754" s="889"/>
    </row>
    <row r="11755" spans="7:7" ht="10.5" customHeight="1" x14ac:dyDescent="0.2">
      <c r="G11755" s="889"/>
    </row>
    <row r="11756" spans="7:7" ht="10.5" customHeight="1" x14ac:dyDescent="0.2">
      <c r="G11756" s="889"/>
    </row>
    <row r="11757" spans="7:7" ht="10.5" customHeight="1" x14ac:dyDescent="0.2">
      <c r="G11757" s="889"/>
    </row>
    <row r="11758" spans="7:7" ht="10.5" customHeight="1" x14ac:dyDescent="0.2">
      <c r="G11758" s="889"/>
    </row>
    <row r="11759" spans="7:7" ht="10.5" customHeight="1" x14ac:dyDescent="0.2">
      <c r="G11759" s="889"/>
    </row>
    <row r="11760" spans="7:7" ht="10.5" customHeight="1" x14ac:dyDescent="0.2">
      <c r="G11760" s="889"/>
    </row>
    <row r="11761" spans="7:7" ht="10.5" customHeight="1" x14ac:dyDescent="0.2">
      <c r="G11761" s="889"/>
    </row>
    <row r="11762" spans="7:7" ht="10.5" customHeight="1" x14ac:dyDescent="0.2">
      <c r="G11762" s="889"/>
    </row>
    <row r="11763" spans="7:7" ht="10.5" customHeight="1" x14ac:dyDescent="0.2">
      <c r="G11763" s="889"/>
    </row>
    <row r="11764" spans="7:7" ht="10.5" customHeight="1" x14ac:dyDescent="0.2">
      <c r="G11764" s="889"/>
    </row>
    <row r="11765" spans="7:7" ht="10.5" customHeight="1" x14ac:dyDescent="0.2">
      <c r="G11765" s="889"/>
    </row>
    <row r="11766" spans="7:7" ht="10.5" customHeight="1" x14ac:dyDescent="0.2">
      <c r="G11766" s="889"/>
    </row>
    <row r="11767" spans="7:7" ht="10.5" customHeight="1" x14ac:dyDescent="0.2">
      <c r="G11767" s="889"/>
    </row>
    <row r="11768" spans="7:7" ht="10.5" customHeight="1" x14ac:dyDescent="0.2">
      <c r="G11768" s="889"/>
    </row>
    <row r="11769" spans="7:7" ht="10.5" customHeight="1" x14ac:dyDescent="0.2">
      <c r="G11769" s="889"/>
    </row>
    <row r="11770" spans="7:7" ht="10.5" customHeight="1" x14ac:dyDescent="0.2">
      <c r="G11770" s="889"/>
    </row>
    <row r="11771" spans="7:7" ht="10.5" customHeight="1" x14ac:dyDescent="0.2">
      <c r="G11771" s="889"/>
    </row>
    <row r="11772" spans="7:7" ht="10.5" customHeight="1" x14ac:dyDescent="0.2">
      <c r="G11772" s="889"/>
    </row>
    <row r="11773" spans="7:7" ht="10.5" customHeight="1" x14ac:dyDescent="0.2">
      <c r="G11773" s="889"/>
    </row>
    <row r="11774" spans="7:7" ht="10.5" customHeight="1" x14ac:dyDescent="0.2">
      <c r="G11774" s="889"/>
    </row>
    <row r="11775" spans="7:7" ht="10.5" customHeight="1" x14ac:dyDescent="0.2">
      <c r="G11775" s="889"/>
    </row>
    <row r="11776" spans="7:7" ht="10.5" customHeight="1" x14ac:dyDescent="0.2">
      <c r="G11776" s="889"/>
    </row>
    <row r="11777" spans="7:7" ht="10.5" customHeight="1" x14ac:dyDescent="0.2">
      <c r="G11777" s="889"/>
    </row>
    <row r="11778" spans="7:7" ht="10.5" customHeight="1" x14ac:dyDescent="0.2">
      <c r="G11778" s="889"/>
    </row>
    <row r="11779" spans="7:7" ht="10.5" customHeight="1" x14ac:dyDescent="0.2">
      <c r="G11779" s="889"/>
    </row>
    <row r="11780" spans="7:7" ht="10.5" customHeight="1" x14ac:dyDescent="0.2">
      <c r="G11780" s="889"/>
    </row>
    <row r="11781" spans="7:7" ht="10.5" customHeight="1" x14ac:dyDescent="0.2">
      <c r="G11781" s="889"/>
    </row>
    <row r="11782" spans="7:7" ht="10.5" customHeight="1" x14ac:dyDescent="0.2">
      <c r="G11782" s="889"/>
    </row>
    <row r="11783" spans="7:7" ht="10.5" customHeight="1" x14ac:dyDescent="0.2">
      <c r="G11783" s="889"/>
    </row>
    <row r="11784" spans="7:7" ht="10.5" customHeight="1" x14ac:dyDescent="0.2">
      <c r="G11784" s="889"/>
    </row>
    <row r="11785" spans="7:7" ht="10.5" customHeight="1" x14ac:dyDescent="0.2">
      <c r="G11785" s="889"/>
    </row>
    <row r="11786" spans="7:7" ht="10.5" customHeight="1" x14ac:dyDescent="0.2">
      <c r="G11786" s="889"/>
    </row>
    <row r="11787" spans="7:7" ht="10.5" customHeight="1" x14ac:dyDescent="0.2">
      <c r="G11787" s="889"/>
    </row>
    <row r="11788" spans="7:7" ht="10.5" customHeight="1" x14ac:dyDescent="0.2">
      <c r="G11788" s="889"/>
    </row>
    <row r="11789" spans="7:7" ht="10.5" customHeight="1" x14ac:dyDescent="0.2">
      <c r="G11789" s="889"/>
    </row>
    <row r="11790" spans="7:7" ht="10.5" customHeight="1" x14ac:dyDescent="0.2">
      <c r="G11790" s="889"/>
    </row>
    <row r="11791" spans="7:7" ht="10.5" customHeight="1" x14ac:dyDescent="0.2">
      <c r="G11791" s="889"/>
    </row>
    <row r="11792" spans="7:7" ht="10.5" customHeight="1" x14ac:dyDescent="0.2">
      <c r="G11792" s="889"/>
    </row>
    <row r="11793" spans="7:7" ht="10.5" customHeight="1" x14ac:dyDescent="0.2">
      <c r="G11793" s="889"/>
    </row>
    <row r="11794" spans="7:7" ht="10.5" customHeight="1" x14ac:dyDescent="0.2">
      <c r="G11794" s="889"/>
    </row>
    <row r="11795" spans="7:7" ht="10.5" customHeight="1" x14ac:dyDescent="0.2">
      <c r="G11795" s="889"/>
    </row>
    <row r="11796" spans="7:7" ht="10.5" customHeight="1" x14ac:dyDescent="0.2">
      <c r="G11796" s="889"/>
    </row>
    <row r="11797" spans="7:7" ht="10.5" customHeight="1" x14ac:dyDescent="0.2">
      <c r="G11797" s="889"/>
    </row>
    <row r="11798" spans="7:7" ht="10.5" customHeight="1" x14ac:dyDescent="0.2">
      <c r="G11798" s="889"/>
    </row>
    <row r="11799" spans="7:7" ht="10.5" customHeight="1" x14ac:dyDescent="0.2">
      <c r="G11799" s="889"/>
    </row>
    <row r="11800" spans="7:7" ht="10.5" customHeight="1" x14ac:dyDescent="0.2">
      <c r="G11800" s="889"/>
    </row>
    <row r="11801" spans="7:7" ht="10.5" customHeight="1" x14ac:dyDescent="0.2">
      <c r="G11801" s="889"/>
    </row>
    <row r="11802" spans="7:7" ht="10.5" customHeight="1" x14ac:dyDescent="0.2">
      <c r="G11802" s="889"/>
    </row>
    <row r="11803" spans="7:7" ht="10.5" customHeight="1" x14ac:dyDescent="0.2">
      <c r="G11803" s="889"/>
    </row>
    <row r="11804" spans="7:7" ht="10.5" customHeight="1" x14ac:dyDescent="0.2">
      <c r="G11804" s="889"/>
    </row>
    <row r="11805" spans="7:7" ht="10.5" customHeight="1" x14ac:dyDescent="0.2">
      <c r="G11805" s="889"/>
    </row>
    <row r="11806" spans="7:7" ht="10.5" customHeight="1" x14ac:dyDescent="0.2">
      <c r="G11806" s="889"/>
    </row>
    <row r="11807" spans="7:7" ht="10.5" customHeight="1" x14ac:dyDescent="0.2">
      <c r="G11807" s="889"/>
    </row>
    <row r="11808" spans="7:7" ht="10.5" customHeight="1" x14ac:dyDescent="0.2">
      <c r="G11808" s="889"/>
    </row>
    <row r="11809" spans="7:7" ht="10.5" customHeight="1" x14ac:dyDescent="0.2">
      <c r="G11809" s="889"/>
    </row>
    <row r="11810" spans="7:7" ht="10.5" customHeight="1" x14ac:dyDescent="0.2">
      <c r="G11810" s="889"/>
    </row>
    <row r="11811" spans="7:7" ht="10.5" customHeight="1" x14ac:dyDescent="0.2">
      <c r="G11811" s="889"/>
    </row>
    <row r="11812" spans="7:7" ht="10.5" customHeight="1" x14ac:dyDescent="0.2">
      <c r="G11812" s="889"/>
    </row>
    <row r="11813" spans="7:7" ht="10.5" customHeight="1" x14ac:dyDescent="0.2">
      <c r="G11813" s="889"/>
    </row>
    <row r="11814" spans="7:7" ht="10.5" customHeight="1" x14ac:dyDescent="0.2">
      <c r="G11814" s="889"/>
    </row>
    <row r="11815" spans="7:7" ht="10.5" customHeight="1" x14ac:dyDescent="0.2">
      <c r="G11815" s="889"/>
    </row>
    <row r="11816" spans="7:7" ht="10.5" customHeight="1" x14ac:dyDescent="0.2">
      <c r="G11816" s="889"/>
    </row>
    <row r="11817" spans="7:7" ht="10.5" customHeight="1" x14ac:dyDescent="0.2">
      <c r="G11817" s="889"/>
    </row>
    <row r="11818" spans="7:7" ht="10.5" customHeight="1" x14ac:dyDescent="0.2">
      <c r="G11818" s="889"/>
    </row>
    <row r="11819" spans="7:7" ht="10.5" customHeight="1" x14ac:dyDescent="0.2">
      <c r="G11819" s="889"/>
    </row>
    <row r="11820" spans="7:7" ht="10.5" customHeight="1" x14ac:dyDescent="0.2">
      <c r="G11820" s="889"/>
    </row>
    <row r="11821" spans="7:7" ht="10.5" customHeight="1" x14ac:dyDescent="0.2">
      <c r="G11821" s="889"/>
    </row>
    <row r="11822" spans="7:7" ht="10.5" customHeight="1" x14ac:dyDescent="0.2">
      <c r="G11822" s="889"/>
    </row>
    <row r="11823" spans="7:7" ht="10.5" customHeight="1" x14ac:dyDescent="0.2">
      <c r="G11823" s="889"/>
    </row>
    <row r="11824" spans="7:7" ht="10.5" customHeight="1" x14ac:dyDescent="0.2">
      <c r="G11824" s="889"/>
    </row>
    <row r="11825" spans="7:7" ht="10.5" customHeight="1" x14ac:dyDescent="0.2">
      <c r="G11825" s="889"/>
    </row>
    <row r="11826" spans="7:7" ht="10.5" customHeight="1" x14ac:dyDescent="0.2">
      <c r="G11826" s="889"/>
    </row>
    <row r="11827" spans="7:7" ht="10.5" customHeight="1" x14ac:dyDescent="0.2">
      <c r="G11827" s="889"/>
    </row>
    <row r="11828" spans="7:7" ht="10.5" customHeight="1" x14ac:dyDescent="0.2">
      <c r="G11828" s="889"/>
    </row>
    <row r="11829" spans="7:7" ht="10.5" customHeight="1" x14ac:dyDescent="0.2">
      <c r="G11829" s="889"/>
    </row>
    <row r="11830" spans="7:7" ht="10.5" customHeight="1" x14ac:dyDescent="0.2">
      <c r="G11830" s="889"/>
    </row>
    <row r="11831" spans="7:7" ht="10.5" customHeight="1" x14ac:dyDescent="0.2">
      <c r="G11831" s="889"/>
    </row>
    <row r="11832" spans="7:7" ht="10.5" customHeight="1" x14ac:dyDescent="0.2">
      <c r="G11832" s="889"/>
    </row>
    <row r="11833" spans="7:7" ht="10.5" customHeight="1" x14ac:dyDescent="0.2">
      <c r="G11833" s="889"/>
    </row>
    <row r="11834" spans="7:7" ht="10.5" customHeight="1" x14ac:dyDescent="0.2">
      <c r="G11834" s="889"/>
    </row>
    <row r="11835" spans="7:7" ht="10.5" customHeight="1" x14ac:dyDescent="0.2">
      <c r="G11835" s="889"/>
    </row>
    <row r="11836" spans="7:7" ht="10.5" customHeight="1" x14ac:dyDescent="0.2">
      <c r="G11836" s="889"/>
    </row>
    <row r="11837" spans="7:7" ht="10.5" customHeight="1" x14ac:dyDescent="0.2">
      <c r="G11837" s="889"/>
    </row>
    <row r="11838" spans="7:7" ht="10.5" customHeight="1" x14ac:dyDescent="0.2">
      <c r="G11838" s="889"/>
    </row>
    <row r="11839" spans="7:7" ht="10.5" customHeight="1" x14ac:dyDescent="0.2">
      <c r="G11839" s="889"/>
    </row>
    <row r="11840" spans="7:7" ht="10.5" customHeight="1" x14ac:dyDescent="0.2">
      <c r="G11840" s="889"/>
    </row>
    <row r="11841" spans="7:7" ht="10.5" customHeight="1" x14ac:dyDescent="0.2">
      <c r="G11841" s="889"/>
    </row>
    <row r="11842" spans="7:7" ht="10.5" customHeight="1" x14ac:dyDescent="0.2">
      <c r="G11842" s="889"/>
    </row>
    <row r="11843" spans="7:7" ht="10.5" customHeight="1" x14ac:dyDescent="0.2">
      <c r="G11843" s="889"/>
    </row>
    <row r="11844" spans="7:7" ht="10.5" customHeight="1" x14ac:dyDescent="0.2">
      <c r="G11844" s="889"/>
    </row>
    <row r="11845" spans="7:7" ht="10.5" customHeight="1" x14ac:dyDescent="0.2">
      <c r="G11845" s="889"/>
    </row>
    <row r="11846" spans="7:7" ht="10.5" customHeight="1" x14ac:dyDescent="0.2">
      <c r="G11846" s="889"/>
    </row>
    <row r="11847" spans="7:7" ht="10.5" customHeight="1" x14ac:dyDescent="0.2">
      <c r="G11847" s="889"/>
    </row>
    <row r="11848" spans="7:7" ht="10.5" customHeight="1" x14ac:dyDescent="0.2">
      <c r="G11848" s="889"/>
    </row>
    <row r="11849" spans="7:7" ht="10.5" customHeight="1" x14ac:dyDescent="0.2">
      <c r="G11849" s="889"/>
    </row>
    <row r="11850" spans="7:7" ht="10.5" customHeight="1" x14ac:dyDescent="0.2">
      <c r="G11850" s="889"/>
    </row>
    <row r="11851" spans="7:7" ht="10.5" customHeight="1" x14ac:dyDescent="0.2">
      <c r="G11851" s="889"/>
    </row>
    <row r="11852" spans="7:7" ht="10.5" customHeight="1" x14ac:dyDescent="0.2">
      <c r="G11852" s="889"/>
    </row>
    <row r="11853" spans="7:7" ht="10.5" customHeight="1" x14ac:dyDescent="0.2">
      <c r="G11853" s="889"/>
    </row>
    <row r="11854" spans="7:7" ht="10.5" customHeight="1" x14ac:dyDescent="0.2">
      <c r="G11854" s="889"/>
    </row>
    <row r="11855" spans="7:7" ht="10.5" customHeight="1" x14ac:dyDescent="0.2">
      <c r="G11855" s="889"/>
    </row>
    <row r="11856" spans="7:7" ht="10.5" customHeight="1" x14ac:dyDescent="0.2">
      <c r="G11856" s="889"/>
    </row>
    <row r="11857" spans="7:7" ht="10.5" customHeight="1" x14ac:dyDescent="0.2">
      <c r="G11857" s="889"/>
    </row>
    <row r="11858" spans="7:7" ht="10.5" customHeight="1" x14ac:dyDescent="0.2">
      <c r="G11858" s="889"/>
    </row>
    <row r="11859" spans="7:7" ht="10.5" customHeight="1" x14ac:dyDescent="0.2">
      <c r="G11859" s="889"/>
    </row>
    <row r="11860" spans="7:7" ht="10.5" customHeight="1" x14ac:dyDescent="0.2">
      <c r="G11860" s="889"/>
    </row>
    <row r="11861" spans="7:7" ht="10.5" customHeight="1" x14ac:dyDescent="0.2">
      <c r="G11861" s="889"/>
    </row>
    <row r="11862" spans="7:7" ht="10.5" customHeight="1" x14ac:dyDescent="0.2">
      <c r="G11862" s="889"/>
    </row>
    <row r="11863" spans="7:7" ht="10.5" customHeight="1" x14ac:dyDescent="0.2">
      <c r="G11863" s="889"/>
    </row>
    <row r="11864" spans="7:7" ht="10.5" customHeight="1" x14ac:dyDescent="0.2">
      <c r="G11864" s="889"/>
    </row>
    <row r="11865" spans="7:7" ht="10.5" customHeight="1" x14ac:dyDescent="0.2">
      <c r="G11865" s="889"/>
    </row>
    <row r="11866" spans="7:7" ht="10.5" customHeight="1" x14ac:dyDescent="0.2">
      <c r="G11866" s="889"/>
    </row>
    <row r="11867" spans="7:7" ht="10.5" customHeight="1" x14ac:dyDescent="0.2">
      <c r="G11867" s="889"/>
    </row>
    <row r="11868" spans="7:7" ht="10.5" customHeight="1" x14ac:dyDescent="0.2">
      <c r="G11868" s="889"/>
    </row>
    <row r="11869" spans="7:7" ht="10.5" customHeight="1" x14ac:dyDescent="0.2">
      <c r="G11869" s="889"/>
    </row>
    <row r="11870" spans="7:7" ht="10.5" customHeight="1" x14ac:dyDescent="0.2">
      <c r="G11870" s="889"/>
    </row>
    <row r="11871" spans="7:7" ht="10.5" customHeight="1" x14ac:dyDescent="0.2">
      <c r="G11871" s="889"/>
    </row>
    <row r="11872" spans="7:7" ht="10.5" customHeight="1" x14ac:dyDescent="0.2">
      <c r="G11872" s="889"/>
    </row>
    <row r="11873" spans="7:7" ht="10.5" customHeight="1" x14ac:dyDescent="0.2">
      <c r="G11873" s="889"/>
    </row>
    <row r="11874" spans="7:7" ht="10.5" customHeight="1" x14ac:dyDescent="0.2">
      <c r="G11874" s="889"/>
    </row>
    <row r="11875" spans="7:7" ht="10.5" customHeight="1" x14ac:dyDescent="0.2">
      <c r="G11875" s="889"/>
    </row>
    <row r="11876" spans="7:7" ht="10.5" customHeight="1" x14ac:dyDescent="0.2">
      <c r="G11876" s="889"/>
    </row>
    <row r="11877" spans="7:7" ht="10.5" customHeight="1" x14ac:dyDescent="0.2">
      <c r="G11877" s="889"/>
    </row>
    <row r="11878" spans="7:7" ht="10.5" customHeight="1" x14ac:dyDescent="0.2">
      <c r="G11878" s="889"/>
    </row>
    <row r="11879" spans="7:7" ht="10.5" customHeight="1" x14ac:dyDescent="0.2">
      <c r="G11879" s="889"/>
    </row>
    <row r="11880" spans="7:7" ht="10.5" customHeight="1" x14ac:dyDescent="0.2">
      <c r="G11880" s="889"/>
    </row>
    <row r="11881" spans="7:7" ht="10.5" customHeight="1" x14ac:dyDescent="0.2">
      <c r="G11881" s="889"/>
    </row>
    <row r="11882" spans="7:7" ht="10.5" customHeight="1" x14ac:dyDescent="0.2">
      <c r="G11882" s="889"/>
    </row>
    <row r="11883" spans="7:7" ht="10.5" customHeight="1" x14ac:dyDescent="0.2">
      <c r="G11883" s="889"/>
    </row>
    <row r="11884" spans="7:7" ht="10.5" customHeight="1" x14ac:dyDescent="0.2">
      <c r="G11884" s="889"/>
    </row>
    <row r="11885" spans="7:7" ht="10.5" customHeight="1" x14ac:dyDescent="0.2">
      <c r="G11885" s="889"/>
    </row>
    <row r="11886" spans="7:7" ht="10.5" customHeight="1" x14ac:dyDescent="0.2">
      <c r="G11886" s="889"/>
    </row>
    <row r="11887" spans="7:7" ht="10.5" customHeight="1" x14ac:dyDescent="0.2">
      <c r="G11887" s="889"/>
    </row>
    <row r="11888" spans="7:7" ht="10.5" customHeight="1" x14ac:dyDescent="0.2">
      <c r="G11888" s="889"/>
    </row>
    <row r="11889" spans="7:7" ht="10.5" customHeight="1" x14ac:dyDescent="0.2">
      <c r="G11889" s="889"/>
    </row>
    <row r="11890" spans="7:7" ht="10.5" customHeight="1" x14ac:dyDescent="0.2">
      <c r="G11890" s="889"/>
    </row>
    <row r="11891" spans="7:7" ht="10.5" customHeight="1" x14ac:dyDescent="0.2">
      <c r="G11891" s="889"/>
    </row>
    <row r="11892" spans="7:7" ht="10.5" customHeight="1" x14ac:dyDescent="0.2">
      <c r="G11892" s="889"/>
    </row>
    <row r="11893" spans="7:7" ht="10.5" customHeight="1" x14ac:dyDescent="0.2">
      <c r="G11893" s="889"/>
    </row>
    <row r="11894" spans="7:7" ht="10.5" customHeight="1" x14ac:dyDescent="0.2">
      <c r="G11894" s="889"/>
    </row>
    <row r="11895" spans="7:7" ht="10.5" customHeight="1" x14ac:dyDescent="0.2">
      <c r="G11895" s="889"/>
    </row>
    <row r="11896" spans="7:7" ht="10.5" customHeight="1" x14ac:dyDescent="0.2">
      <c r="G11896" s="889"/>
    </row>
    <row r="11897" spans="7:7" ht="10.5" customHeight="1" x14ac:dyDescent="0.2">
      <c r="G11897" s="889"/>
    </row>
    <row r="11898" spans="7:7" ht="10.5" customHeight="1" x14ac:dyDescent="0.2">
      <c r="G11898" s="889"/>
    </row>
    <row r="11899" spans="7:7" ht="10.5" customHeight="1" x14ac:dyDescent="0.2">
      <c r="G11899" s="889"/>
    </row>
    <row r="11900" spans="7:7" ht="10.5" customHeight="1" x14ac:dyDescent="0.2">
      <c r="G11900" s="889"/>
    </row>
    <row r="11901" spans="7:7" ht="10.5" customHeight="1" x14ac:dyDescent="0.2">
      <c r="G11901" s="889"/>
    </row>
    <row r="11902" spans="7:7" ht="10.5" customHeight="1" x14ac:dyDescent="0.2">
      <c r="G11902" s="889"/>
    </row>
    <row r="11903" spans="7:7" ht="10.5" customHeight="1" x14ac:dyDescent="0.2">
      <c r="G11903" s="889"/>
    </row>
    <row r="11904" spans="7:7" ht="10.5" customHeight="1" x14ac:dyDescent="0.2">
      <c r="G11904" s="889"/>
    </row>
    <row r="11905" spans="7:7" ht="10.5" customHeight="1" x14ac:dyDescent="0.2">
      <c r="G11905" s="889"/>
    </row>
    <row r="11906" spans="7:7" ht="10.5" customHeight="1" x14ac:dyDescent="0.2">
      <c r="G11906" s="889"/>
    </row>
    <row r="11907" spans="7:7" ht="10.5" customHeight="1" x14ac:dyDescent="0.2">
      <c r="G11907" s="889"/>
    </row>
    <row r="11908" spans="7:7" ht="10.5" customHeight="1" x14ac:dyDescent="0.2">
      <c r="G11908" s="889"/>
    </row>
    <row r="11909" spans="7:7" ht="10.5" customHeight="1" x14ac:dyDescent="0.2">
      <c r="G11909" s="889"/>
    </row>
    <row r="11910" spans="7:7" ht="10.5" customHeight="1" x14ac:dyDescent="0.2">
      <c r="G11910" s="889"/>
    </row>
    <row r="11911" spans="7:7" ht="10.5" customHeight="1" x14ac:dyDescent="0.2">
      <c r="G11911" s="889"/>
    </row>
    <row r="11912" spans="7:7" ht="10.5" customHeight="1" x14ac:dyDescent="0.2">
      <c r="G11912" s="889"/>
    </row>
    <row r="11913" spans="7:7" ht="10.5" customHeight="1" x14ac:dyDescent="0.2">
      <c r="G11913" s="889"/>
    </row>
    <row r="11914" spans="7:7" ht="10.5" customHeight="1" x14ac:dyDescent="0.2">
      <c r="G11914" s="889"/>
    </row>
    <row r="11915" spans="7:7" ht="10.5" customHeight="1" x14ac:dyDescent="0.2">
      <c r="G11915" s="889"/>
    </row>
    <row r="11916" spans="7:7" ht="10.5" customHeight="1" x14ac:dyDescent="0.2">
      <c r="G11916" s="889"/>
    </row>
    <row r="11917" spans="7:7" ht="10.5" customHeight="1" x14ac:dyDescent="0.2">
      <c r="G11917" s="889"/>
    </row>
    <row r="11918" spans="7:7" ht="10.5" customHeight="1" x14ac:dyDescent="0.2">
      <c r="G11918" s="889"/>
    </row>
    <row r="11919" spans="7:7" ht="10.5" customHeight="1" x14ac:dyDescent="0.2">
      <c r="G11919" s="889"/>
    </row>
    <row r="11920" spans="7:7" ht="10.5" customHeight="1" x14ac:dyDescent="0.2">
      <c r="G11920" s="889"/>
    </row>
    <row r="11921" spans="7:7" ht="10.5" customHeight="1" x14ac:dyDescent="0.2">
      <c r="G11921" s="889"/>
    </row>
    <row r="11922" spans="7:7" ht="10.5" customHeight="1" x14ac:dyDescent="0.2">
      <c r="G11922" s="889"/>
    </row>
    <row r="11923" spans="7:7" ht="10.5" customHeight="1" x14ac:dyDescent="0.2">
      <c r="G11923" s="889"/>
    </row>
    <row r="11924" spans="7:7" ht="10.5" customHeight="1" x14ac:dyDescent="0.2">
      <c r="G11924" s="889"/>
    </row>
    <row r="11925" spans="7:7" ht="10.5" customHeight="1" x14ac:dyDescent="0.2">
      <c r="G11925" s="889"/>
    </row>
    <row r="11926" spans="7:7" ht="10.5" customHeight="1" x14ac:dyDescent="0.2">
      <c r="G11926" s="889"/>
    </row>
    <row r="11927" spans="7:7" ht="10.5" customHeight="1" x14ac:dyDescent="0.2">
      <c r="G11927" s="889"/>
    </row>
    <row r="11928" spans="7:7" ht="10.5" customHeight="1" x14ac:dyDescent="0.2">
      <c r="G11928" s="889"/>
    </row>
    <row r="11929" spans="7:7" ht="10.5" customHeight="1" x14ac:dyDescent="0.2">
      <c r="G11929" s="889"/>
    </row>
    <row r="11930" spans="7:7" ht="10.5" customHeight="1" x14ac:dyDescent="0.2">
      <c r="G11930" s="889"/>
    </row>
    <row r="11931" spans="7:7" ht="10.5" customHeight="1" x14ac:dyDescent="0.2">
      <c r="G11931" s="889"/>
    </row>
    <row r="11932" spans="7:7" ht="10.5" customHeight="1" x14ac:dyDescent="0.2">
      <c r="G11932" s="889"/>
    </row>
    <row r="11933" spans="7:7" ht="10.5" customHeight="1" x14ac:dyDescent="0.2">
      <c r="G11933" s="889"/>
    </row>
    <row r="11934" spans="7:7" ht="10.5" customHeight="1" x14ac:dyDescent="0.2">
      <c r="G11934" s="889"/>
    </row>
    <row r="11935" spans="7:7" ht="10.5" customHeight="1" x14ac:dyDescent="0.2">
      <c r="G11935" s="889"/>
    </row>
    <row r="11936" spans="7:7" ht="10.5" customHeight="1" x14ac:dyDescent="0.2">
      <c r="G11936" s="889"/>
    </row>
    <row r="11937" spans="7:7" ht="10.5" customHeight="1" x14ac:dyDescent="0.2">
      <c r="G11937" s="889"/>
    </row>
    <row r="11938" spans="7:7" ht="10.5" customHeight="1" x14ac:dyDescent="0.2">
      <c r="G11938" s="889"/>
    </row>
    <row r="11939" spans="7:7" ht="10.5" customHeight="1" x14ac:dyDescent="0.2">
      <c r="G11939" s="889"/>
    </row>
    <row r="11940" spans="7:7" ht="10.5" customHeight="1" x14ac:dyDescent="0.2">
      <c r="G11940" s="889"/>
    </row>
    <row r="11941" spans="7:7" ht="10.5" customHeight="1" x14ac:dyDescent="0.2">
      <c r="G11941" s="889"/>
    </row>
    <row r="11942" spans="7:7" ht="10.5" customHeight="1" x14ac:dyDescent="0.2">
      <c r="G11942" s="889"/>
    </row>
    <row r="11943" spans="7:7" ht="10.5" customHeight="1" x14ac:dyDescent="0.2">
      <c r="G11943" s="889"/>
    </row>
    <row r="11944" spans="7:7" ht="10.5" customHeight="1" x14ac:dyDescent="0.2">
      <c r="G11944" s="889"/>
    </row>
    <row r="11945" spans="7:7" ht="10.5" customHeight="1" x14ac:dyDescent="0.2">
      <c r="G11945" s="889"/>
    </row>
    <row r="11946" spans="7:7" ht="10.5" customHeight="1" x14ac:dyDescent="0.2">
      <c r="G11946" s="889"/>
    </row>
    <row r="11947" spans="7:7" ht="10.5" customHeight="1" x14ac:dyDescent="0.2">
      <c r="G11947" s="889"/>
    </row>
    <row r="11948" spans="7:7" ht="10.5" customHeight="1" x14ac:dyDescent="0.2">
      <c r="G11948" s="889"/>
    </row>
    <row r="11949" spans="7:7" ht="10.5" customHeight="1" x14ac:dyDescent="0.2">
      <c r="G11949" s="889"/>
    </row>
    <row r="11950" spans="7:7" ht="10.5" customHeight="1" x14ac:dyDescent="0.2">
      <c r="G11950" s="889"/>
    </row>
    <row r="11951" spans="7:7" ht="10.5" customHeight="1" x14ac:dyDescent="0.2">
      <c r="G11951" s="889"/>
    </row>
    <row r="11952" spans="7:7" ht="10.5" customHeight="1" x14ac:dyDescent="0.2">
      <c r="G11952" s="889"/>
    </row>
    <row r="11953" spans="7:7" ht="10.5" customHeight="1" x14ac:dyDescent="0.2">
      <c r="G11953" s="889"/>
    </row>
    <row r="11954" spans="7:7" ht="10.5" customHeight="1" x14ac:dyDescent="0.2">
      <c r="G11954" s="889"/>
    </row>
    <row r="11955" spans="7:7" ht="10.5" customHeight="1" x14ac:dyDescent="0.2">
      <c r="G11955" s="889"/>
    </row>
    <row r="11956" spans="7:7" ht="10.5" customHeight="1" x14ac:dyDescent="0.2">
      <c r="G11956" s="889"/>
    </row>
    <row r="11957" spans="7:7" ht="10.5" customHeight="1" x14ac:dyDescent="0.2">
      <c r="G11957" s="889"/>
    </row>
    <row r="11958" spans="7:7" ht="10.5" customHeight="1" x14ac:dyDescent="0.2">
      <c r="G11958" s="889"/>
    </row>
    <row r="11959" spans="7:7" ht="10.5" customHeight="1" x14ac:dyDescent="0.2">
      <c r="G11959" s="889"/>
    </row>
    <row r="11960" spans="7:7" ht="10.5" customHeight="1" x14ac:dyDescent="0.2">
      <c r="G11960" s="889"/>
    </row>
    <row r="11961" spans="7:7" ht="10.5" customHeight="1" x14ac:dyDescent="0.2">
      <c r="G11961" s="889"/>
    </row>
    <row r="11962" spans="7:7" ht="10.5" customHeight="1" x14ac:dyDescent="0.2">
      <c r="G11962" s="889"/>
    </row>
    <row r="11963" spans="7:7" ht="10.5" customHeight="1" x14ac:dyDescent="0.2">
      <c r="G11963" s="889"/>
    </row>
    <row r="11964" spans="7:7" ht="10.5" customHeight="1" x14ac:dyDescent="0.2">
      <c r="G11964" s="889"/>
    </row>
    <row r="11965" spans="7:7" ht="10.5" customHeight="1" x14ac:dyDescent="0.2">
      <c r="G11965" s="889"/>
    </row>
    <row r="11966" spans="7:7" ht="10.5" customHeight="1" x14ac:dyDescent="0.2">
      <c r="G11966" s="889"/>
    </row>
    <row r="11967" spans="7:7" ht="10.5" customHeight="1" x14ac:dyDescent="0.2">
      <c r="G11967" s="889"/>
    </row>
    <row r="11968" spans="7:7" ht="10.5" customHeight="1" x14ac:dyDescent="0.2">
      <c r="G11968" s="889"/>
    </row>
    <row r="11969" spans="7:7" ht="10.5" customHeight="1" x14ac:dyDescent="0.2">
      <c r="G11969" s="889"/>
    </row>
    <row r="11970" spans="7:7" ht="10.5" customHeight="1" x14ac:dyDescent="0.2">
      <c r="G11970" s="889"/>
    </row>
    <row r="11971" spans="7:7" ht="10.5" customHeight="1" x14ac:dyDescent="0.2">
      <c r="G11971" s="889"/>
    </row>
    <row r="11972" spans="7:7" ht="10.5" customHeight="1" x14ac:dyDescent="0.2">
      <c r="G11972" s="889"/>
    </row>
    <row r="11973" spans="7:7" ht="10.5" customHeight="1" x14ac:dyDescent="0.2">
      <c r="G11973" s="889"/>
    </row>
    <row r="11974" spans="7:7" ht="10.5" customHeight="1" x14ac:dyDescent="0.2">
      <c r="G11974" s="889"/>
    </row>
    <row r="11975" spans="7:7" ht="10.5" customHeight="1" x14ac:dyDescent="0.2">
      <c r="G11975" s="889"/>
    </row>
    <row r="11976" spans="7:7" ht="10.5" customHeight="1" x14ac:dyDescent="0.2">
      <c r="G11976" s="889"/>
    </row>
    <row r="11977" spans="7:7" ht="10.5" customHeight="1" x14ac:dyDescent="0.2">
      <c r="G11977" s="889"/>
    </row>
    <row r="11978" spans="7:7" ht="10.5" customHeight="1" x14ac:dyDescent="0.2">
      <c r="G11978" s="889"/>
    </row>
    <row r="11979" spans="7:7" ht="10.5" customHeight="1" x14ac:dyDescent="0.2">
      <c r="G11979" s="889"/>
    </row>
    <row r="11980" spans="7:7" ht="10.5" customHeight="1" x14ac:dyDescent="0.2">
      <c r="G11980" s="889"/>
    </row>
    <row r="11981" spans="7:7" ht="10.5" customHeight="1" x14ac:dyDescent="0.2">
      <c r="G11981" s="889"/>
    </row>
    <row r="11982" spans="7:7" ht="10.5" customHeight="1" x14ac:dyDescent="0.2">
      <c r="G11982" s="889"/>
    </row>
    <row r="11983" spans="7:7" ht="10.5" customHeight="1" x14ac:dyDescent="0.2">
      <c r="G11983" s="889"/>
    </row>
    <row r="11984" spans="7:7" ht="10.5" customHeight="1" x14ac:dyDescent="0.2">
      <c r="G11984" s="889"/>
    </row>
    <row r="11985" spans="7:7" ht="10.5" customHeight="1" x14ac:dyDescent="0.2">
      <c r="G11985" s="889"/>
    </row>
    <row r="11986" spans="7:7" ht="10.5" customHeight="1" x14ac:dyDescent="0.2">
      <c r="G11986" s="889"/>
    </row>
    <row r="11987" spans="7:7" ht="10.5" customHeight="1" x14ac:dyDescent="0.2">
      <c r="G11987" s="889"/>
    </row>
    <row r="11988" spans="7:7" ht="10.5" customHeight="1" x14ac:dyDescent="0.2">
      <c r="G11988" s="889"/>
    </row>
    <row r="11989" spans="7:7" ht="10.5" customHeight="1" x14ac:dyDescent="0.2">
      <c r="G11989" s="889"/>
    </row>
    <row r="11990" spans="7:7" ht="10.5" customHeight="1" x14ac:dyDescent="0.2">
      <c r="G11990" s="889"/>
    </row>
    <row r="11991" spans="7:7" ht="10.5" customHeight="1" x14ac:dyDescent="0.2">
      <c r="G11991" s="889"/>
    </row>
    <row r="11992" spans="7:7" ht="10.5" customHeight="1" x14ac:dyDescent="0.2">
      <c r="G11992" s="889"/>
    </row>
    <row r="11993" spans="7:7" ht="10.5" customHeight="1" x14ac:dyDescent="0.2">
      <c r="G11993" s="889"/>
    </row>
    <row r="11994" spans="7:7" ht="10.5" customHeight="1" x14ac:dyDescent="0.2">
      <c r="G11994" s="889"/>
    </row>
    <row r="11995" spans="7:7" ht="10.5" customHeight="1" x14ac:dyDescent="0.2">
      <c r="G11995" s="889"/>
    </row>
    <row r="11996" spans="7:7" ht="10.5" customHeight="1" x14ac:dyDescent="0.2">
      <c r="G11996" s="889"/>
    </row>
    <row r="11997" spans="7:7" ht="10.5" customHeight="1" x14ac:dyDescent="0.2">
      <c r="G11997" s="889"/>
    </row>
    <row r="11998" spans="7:7" ht="10.5" customHeight="1" x14ac:dyDescent="0.2">
      <c r="G11998" s="889"/>
    </row>
    <row r="11999" spans="7:7" ht="10.5" customHeight="1" x14ac:dyDescent="0.2">
      <c r="G11999" s="889"/>
    </row>
    <row r="12000" spans="7:7" ht="10.5" customHeight="1" x14ac:dyDescent="0.2">
      <c r="G12000" s="889"/>
    </row>
    <row r="12001" spans="7:7" ht="10.5" customHeight="1" x14ac:dyDescent="0.2">
      <c r="G12001" s="889"/>
    </row>
    <row r="12002" spans="7:7" ht="10.5" customHeight="1" x14ac:dyDescent="0.2">
      <c r="G12002" s="889"/>
    </row>
    <row r="12003" spans="7:7" ht="10.5" customHeight="1" x14ac:dyDescent="0.2">
      <c r="G12003" s="889"/>
    </row>
    <row r="12004" spans="7:7" ht="10.5" customHeight="1" x14ac:dyDescent="0.2">
      <c r="G12004" s="889"/>
    </row>
    <row r="12005" spans="7:7" ht="10.5" customHeight="1" x14ac:dyDescent="0.2">
      <c r="G12005" s="889"/>
    </row>
    <row r="12006" spans="7:7" ht="10.5" customHeight="1" x14ac:dyDescent="0.2">
      <c r="G12006" s="889"/>
    </row>
    <row r="12007" spans="7:7" ht="10.5" customHeight="1" x14ac:dyDescent="0.2">
      <c r="G12007" s="889"/>
    </row>
    <row r="12008" spans="7:7" ht="10.5" customHeight="1" x14ac:dyDescent="0.2">
      <c r="G12008" s="889"/>
    </row>
    <row r="12009" spans="7:7" ht="10.5" customHeight="1" x14ac:dyDescent="0.2">
      <c r="G12009" s="889"/>
    </row>
    <row r="12010" spans="7:7" ht="10.5" customHeight="1" x14ac:dyDescent="0.2">
      <c r="G12010" s="889"/>
    </row>
    <row r="12011" spans="7:7" ht="10.5" customHeight="1" x14ac:dyDescent="0.2">
      <c r="G12011" s="889"/>
    </row>
    <row r="12012" spans="7:7" ht="10.5" customHeight="1" x14ac:dyDescent="0.2">
      <c r="G12012" s="889"/>
    </row>
    <row r="12013" spans="7:7" ht="10.5" customHeight="1" x14ac:dyDescent="0.2">
      <c r="G12013" s="889"/>
    </row>
    <row r="12014" spans="7:7" ht="10.5" customHeight="1" x14ac:dyDescent="0.2">
      <c r="G12014" s="889"/>
    </row>
    <row r="12015" spans="7:7" ht="10.5" customHeight="1" x14ac:dyDescent="0.2">
      <c r="G12015" s="889"/>
    </row>
    <row r="12016" spans="7:7" ht="10.5" customHeight="1" x14ac:dyDescent="0.2">
      <c r="G12016" s="889"/>
    </row>
    <row r="12017" spans="7:7" ht="10.5" customHeight="1" x14ac:dyDescent="0.2">
      <c r="G12017" s="889"/>
    </row>
    <row r="12018" spans="7:7" ht="10.5" customHeight="1" x14ac:dyDescent="0.2">
      <c r="G12018" s="889"/>
    </row>
    <row r="12019" spans="7:7" ht="10.5" customHeight="1" x14ac:dyDescent="0.2">
      <c r="G12019" s="889"/>
    </row>
    <row r="12020" spans="7:7" ht="10.5" customHeight="1" x14ac:dyDescent="0.2">
      <c r="G12020" s="889"/>
    </row>
    <row r="12021" spans="7:7" ht="10.5" customHeight="1" x14ac:dyDescent="0.2">
      <c r="G12021" s="889"/>
    </row>
    <row r="12022" spans="7:7" ht="10.5" customHeight="1" x14ac:dyDescent="0.2">
      <c r="G12022" s="889"/>
    </row>
    <row r="12023" spans="7:7" ht="10.5" customHeight="1" x14ac:dyDescent="0.2">
      <c r="G12023" s="889"/>
    </row>
    <row r="12024" spans="7:7" ht="10.5" customHeight="1" x14ac:dyDescent="0.2">
      <c r="G12024" s="889"/>
    </row>
    <row r="12025" spans="7:7" ht="10.5" customHeight="1" x14ac:dyDescent="0.2">
      <c r="G12025" s="889"/>
    </row>
    <row r="12026" spans="7:7" ht="10.5" customHeight="1" x14ac:dyDescent="0.2">
      <c r="G12026" s="889"/>
    </row>
    <row r="12027" spans="7:7" ht="10.5" customHeight="1" x14ac:dyDescent="0.2">
      <c r="G12027" s="889"/>
    </row>
    <row r="12028" spans="7:7" ht="10.5" customHeight="1" x14ac:dyDescent="0.2">
      <c r="G12028" s="889"/>
    </row>
    <row r="12029" spans="7:7" ht="10.5" customHeight="1" x14ac:dyDescent="0.2">
      <c r="G12029" s="889"/>
    </row>
    <row r="12030" spans="7:7" ht="10.5" customHeight="1" x14ac:dyDescent="0.2">
      <c r="G12030" s="889"/>
    </row>
    <row r="12031" spans="7:7" ht="10.5" customHeight="1" x14ac:dyDescent="0.2">
      <c r="G12031" s="889"/>
    </row>
    <row r="12032" spans="7:7" ht="10.5" customHeight="1" x14ac:dyDescent="0.2">
      <c r="G12032" s="889"/>
    </row>
    <row r="12033" spans="7:7" ht="10.5" customHeight="1" x14ac:dyDescent="0.2">
      <c r="G12033" s="889"/>
    </row>
    <row r="12034" spans="7:7" ht="10.5" customHeight="1" x14ac:dyDescent="0.2">
      <c r="G12034" s="889"/>
    </row>
    <row r="12035" spans="7:7" ht="10.5" customHeight="1" x14ac:dyDescent="0.2">
      <c r="G12035" s="889"/>
    </row>
    <row r="12036" spans="7:7" ht="10.5" customHeight="1" x14ac:dyDescent="0.2">
      <c r="G12036" s="889"/>
    </row>
    <row r="12037" spans="7:7" ht="10.5" customHeight="1" x14ac:dyDescent="0.2">
      <c r="G12037" s="889"/>
    </row>
    <row r="12038" spans="7:7" ht="10.5" customHeight="1" x14ac:dyDescent="0.2">
      <c r="G12038" s="889"/>
    </row>
    <row r="12039" spans="7:7" ht="10.5" customHeight="1" x14ac:dyDescent="0.2">
      <c r="G12039" s="889"/>
    </row>
    <row r="12040" spans="7:7" ht="10.5" customHeight="1" x14ac:dyDescent="0.2">
      <c r="G12040" s="889"/>
    </row>
    <row r="12041" spans="7:7" ht="10.5" customHeight="1" x14ac:dyDescent="0.2">
      <c r="G12041" s="889"/>
    </row>
    <row r="12042" spans="7:7" ht="10.5" customHeight="1" x14ac:dyDescent="0.2">
      <c r="G12042" s="889"/>
    </row>
    <row r="12043" spans="7:7" ht="10.5" customHeight="1" x14ac:dyDescent="0.2">
      <c r="G12043" s="889"/>
    </row>
    <row r="12044" spans="7:7" ht="10.5" customHeight="1" x14ac:dyDescent="0.2">
      <c r="G12044" s="889"/>
    </row>
    <row r="12045" spans="7:7" ht="10.5" customHeight="1" x14ac:dyDescent="0.2">
      <c r="G12045" s="889"/>
    </row>
    <row r="12046" spans="7:7" ht="10.5" customHeight="1" x14ac:dyDescent="0.2">
      <c r="G12046" s="889"/>
    </row>
    <row r="12047" spans="7:7" ht="10.5" customHeight="1" x14ac:dyDescent="0.2">
      <c r="G12047" s="889"/>
    </row>
    <row r="12048" spans="7:7" ht="10.5" customHeight="1" x14ac:dyDescent="0.2">
      <c r="G12048" s="889"/>
    </row>
    <row r="12049" spans="7:7" ht="10.5" customHeight="1" x14ac:dyDescent="0.2">
      <c r="G12049" s="889"/>
    </row>
    <row r="12050" spans="7:7" ht="10.5" customHeight="1" x14ac:dyDescent="0.2">
      <c r="G12050" s="889"/>
    </row>
    <row r="12051" spans="7:7" ht="10.5" customHeight="1" x14ac:dyDescent="0.2">
      <c r="G12051" s="889"/>
    </row>
    <row r="12052" spans="7:7" ht="10.5" customHeight="1" x14ac:dyDescent="0.2">
      <c r="G12052" s="889"/>
    </row>
    <row r="12053" spans="7:7" ht="10.5" customHeight="1" x14ac:dyDescent="0.2">
      <c r="G12053" s="889"/>
    </row>
    <row r="12054" spans="7:7" ht="10.5" customHeight="1" x14ac:dyDescent="0.2">
      <c r="G12054" s="889"/>
    </row>
    <row r="12055" spans="7:7" ht="10.5" customHeight="1" x14ac:dyDescent="0.2">
      <c r="G12055" s="889"/>
    </row>
    <row r="12056" spans="7:7" ht="10.5" customHeight="1" x14ac:dyDescent="0.2">
      <c r="G12056" s="889"/>
    </row>
    <row r="12057" spans="7:7" ht="10.5" customHeight="1" x14ac:dyDescent="0.2">
      <c r="G12057" s="889"/>
    </row>
    <row r="12058" spans="7:7" ht="10.5" customHeight="1" x14ac:dyDescent="0.2">
      <c r="G12058" s="889"/>
    </row>
    <row r="12059" spans="7:7" ht="10.5" customHeight="1" x14ac:dyDescent="0.2">
      <c r="G12059" s="889"/>
    </row>
    <row r="12060" spans="7:7" ht="10.5" customHeight="1" x14ac:dyDescent="0.2">
      <c r="G12060" s="889"/>
    </row>
    <row r="12061" spans="7:7" ht="10.5" customHeight="1" x14ac:dyDescent="0.2">
      <c r="G12061" s="889"/>
    </row>
    <row r="12062" spans="7:7" ht="10.5" customHeight="1" x14ac:dyDescent="0.2">
      <c r="G12062" s="889"/>
    </row>
    <row r="12063" spans="7:7" ht="10.5" customHeight="1" x14ac:dyDescent="0.2">
      <c r="G12063" s="889"/>
    </row>
    <row r="12064" spans="7:7" ht="10.5" customHeight="1" x14ac:dyDescent="0.2">
      <c r="G12064" s="889"/>
    </row>
    <row r="12065" spans="7:7" ht="10.5" customHeight="1" x14ac:dyDescent="0.2">
      <c r="G12065" s="889"/>
    </row>
    <row r="12066" spans="7:7" ht="10.5" customHeight="1" x14ac:dyDescent="0.2">
      <c r="G12066" s="889"/>
    </row>
    <row r="12067" spans="7:7" ht="10.5" customHeight="1" x14ac:dyDescent="0.2">
      <c r="G12067" s="889"/>
    </row>
    <row r="12068" spans="7:7" ht="10.5" customHeight="1" x14ac:dyDescent="0.2">
      <c r="G12068" s="889"/>
    </row>
    <row r="12069" spans="7:7" ht="10.5" customHeight="1" x14ac:dyDescent="0.2">
      <c r="G12069" s="889"/>
    </row>
    <row r="12070" spans="7:7" ht="10.5" customHeight="1" x14ac:dyDescent="0.2">
      <c r="G12070" s="889"/>
    </row>
    <row r="12071" spans="7:7" ht="10.5" customHeight="1" x14ac:dyDescent="0.2">
      <c r="G12071" s="889"/>
    </row>
    <row r="12072" spans="7:7" ht="10.5" customHeight="1" x14ac:dyDescent="0.2">
      <c r="G12072" s="889"/>
    </row>
    <row r="12073" spans="7:7" ht="10.5" customHeight="1" x14ac:dyDescent="0.2">
      <c r="G12073" s="889"/>
    </row>
    <row r="12074" spans="7:7" ht="10.5" customHeight="1" x14ac:dyDescent="0.2">
      <c r="G12074" s="889"/>
    </row>
    <row r="12075" spans="7:7" ht="10.5" customHeight="1" x14ac:dyDescent="0.2">
      <c r="G12075" s="889"/>
    </row>
    <row r="12076" spans="7:7" ht="10.5" customHeight="1" x14ac:dyDescent="0.2">
      <c r="G12076" s="889"/>
    </row>
    <row r="12077" spans="7:7" ht="10.5" customHeight="1" x14ac:dyDescent="0.2">
      <c r="G12077" s="889"/>
    </row>
    <row r="12078" spans="7:7" ht="10.5" customHeight="1" x14ac:dyDescent="0.2">
      <c r="G12078" s="889"/>
    </row>
    <row r="12079" spans="7:7" ht="10.5" customHeight="1" x14ac:dyDescent="0.2">
      <c r="G12079" s="889"/>
    </row>
    <row r="12080" spans="7:7" ht="10.5" customHeight="1" x14ac:dyDescent="0.2">
      <c r="G12080" s="889"/>
    </row>
    <row r="12081" spans="7:7" ht="10.5" customHeight="1" x14ac:dyDescent="0.2">
      <c r="G12081" s="889"/>
    </row>
    <row r="12082" spans="7:7" ht="10.5" customHeight="1" x14ac:dyDescent="0.2">
      <c r="G12082" s="889"/>
    </row>
    <row r="12083" spans="7:7" ht="10.5" customHeight="1" x14ac:dyDescent="0.2">
      <c r="G12083" s="889"/>
    </row>
    <row r="12084" spans="7:7" ht="10.5" customHeight="1" x14ac:dyDescent="0.2">
      <c r="G12084" s="889"/>
    </row>
    <row r="12085" spans="7:7" ht="10.5" customHeight="1" x14ac:dyDescent="0.2">
      <c r="G12085" s="889"/>
    </row>
    <row r="12086" spans="7:7" ht="10.5" customHeight="1" x14ac:dyDescent="0.2">
      <c r="G12086" s="889"/>
    </row>
    <row r="12087" spans="7:7" ht="10.5" customHeight="1" x14ac:dyDescent="0.2">
      <c r="G12087" s="889"/>
    </row>
    <row r="12088" spans="7:7" ht="10.5" customHeight="1" x14ac:dyDescent="0.2">
      <c r="G12088" s="889"/>
    </row>
    <row r="12089" spans="7:7" ht="10.5" customHeight="1" x14ac:dyDescent="0.2">
      <c r="G12089" s="889"/>
    </row>
    <row r="12090" spans="7:7" ht="10.5" customHeight="1" x14ac:dyDescent="0.2">
      <c r="G12090" s="889"/>
    </row>
    <row r="12091" spans="7:7" ht="10.5" customHeight="1" x14ac:dyDescent="0.2">
      <c r="G12091" s="889"/>
    </row>
    <row r="12092" spans="7:7" ht="10.5" customHeight="1" x14ac:dyDescent="0.2">
      <c r="G12092" s="889"/>
    </row>
    <row r="12093" spans="7:7" ht="10.5" customHeight="1" x14ac:dyDescent="0.2">
      <c r="G12093" s="889"/>
    </row>
    <row r="12094" spans="7:7" ht="10.5" customHeight="1" x14ac:dyDescent="0.2">
      <c r="G12094" s="889"/>
    </row>
    <row r="12095" spans="7:7" ht="10.5" customHeight="1" x14ac:dyDescent="0.2">
      <c r="G12095" s="889"/>
    </row>
    <row r="12096" spans="7:7" ht="10.5" customHeight="1" x14ac:dyDescent="0.2">
      <c r="G12096" s="889"/>
    </row>
    <row r="12097" spans="7:7" ht="10.5" customHeight="1" x14ac:dyDescent="0.2">
      <c r="G12097" s="889"/>
    </row>
    <row r="12098" spans="7:7" ht="10.5" customHeight="1" x14ac:dyDescent="0.2">
      <c r="G12098" s="889"/>
    </row>
    <row r="12099" spans="7:7" ht="10.5" customHeight="1" x14ac:dyDescent="0.2">
      <c r="G12099" s="889"/>
    </row>
    <row r="12100" spans="7:7" ht="10.5" customHeight="1" x14ac:dyDescent="0.2">
      <c r="G12100" s="889"/>
    </row>
    <row r="12101" spans="7:7" ht="10.5" customHeight="1" x14ac:dyDescent="0.2">
      <c r="G12101" s="889"/>
    </row>
    <row r="12102" spans="7:7" ht="10.5" customHeight="1" x14ac:dyDescent="0.2">
      <c r="G12102" s="889"/>
    </row>
    <row r="12103" spans="7:7" ht="10.5" customHeight="1" x14ac:dyDescent="0.2">
      <c r="G12103" s="889"/>
    </row>
    <row r="12104" spans="7:7" ht="10.5" customHeight="1" x14ac:dyDescent="0.2">
      <c r="G12104" s="889"/>
    </row>
    <row r="12105" spans="7:7" ht="10.5" customHeight="1" x14ac:dyDescent="0.2">
      <c r="G12105" s="889"/>
    </row>
    <row r="12106" spans="7:7" ht="10.5" customHeight="1" x14ac:dyDescent="0.2">
      <c r="G12106" s="889"/>
    </row>
    <row r="12107" spans="7:7" ht="10.5" customHeight="1" x14ac:dyDescent="0.2">
      <c r="G12107" s="889"/>
    </row>
    <row r="12108" spans="7:7" ht="10.5" customHeight="1" x14ac:dyDescent="0.2">
      <c r="G12108" s="889"/>
    </row>
    <row r="12109" spans="7:7" ht="10.5" customHeight="1" x14ac:dyDescent="0.2">
      <c r="G12109" s="889"/>
    </row>
    <row r="12110" spans="7:7" ht="10.5" customHeight="1" x14ac:dyDescent="0.2">
      <c r="G12110" s="889"/>
    </row>
    <row r="12111" spans="7:7" ht="10.5" customHeight="1" x14ac:dyDescent="0.2">
      <c r="G12111" s="889"/>
    </row>
    <row r="12112" spans="7:7" ht="10.5" customHeight="1" x14ac:dyDescent="0.2">
      <c r="G12112" s="889"/>
    </row>
    <row r="12113" spans="7:7" ht="10.5" customHeight="1" x14ac:dyDescent="0.2">
      <c r="G12113" s="889"/>
    </row>
    <row r="12114" spans="7:7" ht="10.5" customHeight="1" x14ac:dyDescent="0.2">
      <c r="G12114" s="889"/>
    </row>
    <row r="12115" spans="7:7" ht="10.5" customHeight="1" x14ac:dyDescent="0.2">
      <c r="G12115" s="889"/>
    </row>
    <row r="12116" spans="7:7" ht="10.5" customHeight="1" x14ac:dyDescent="0.2">
      <c r="G12116" s="889"/>
    </row>
    <row r="12117" spans="7:7" ht="10.5" customHeight="1" x14ac:dyDescent="0.2">
      <c r="G12117" s="889"/>
    </row>
    <row r="12118" spans="7:7" ht="10.5" customHeight="1" x14ac:dyDescent="0.2">
      <c r="G12118" s="889"/>
    </row>
    <row r="12119" spans="7:7" ht="10.5" customHeight="1" x14ac:dyDescent="0.2">
      <c r="G12119" s="889"/>
    </row>
    <row r="12120" spans="7:7" ht="10.5" customHeight="1" x14ac:dyDescent="0.2">
      <c r="G12120" s="889"/>
    </row>
    <row r="12121" spans="7:7" ht="10.5" customHeight="1" x14ac:dyDescent="0.2">
      <c r="G12121" s="889"/>
    </row>
    <row r="12122" spans="7:7" ht="10.5" customHeight="1" x14ac:dyDescent="0.2">
      <c r="G12122" s="889"/>
    </row>
    <row r="12123" spans="7:7" ht="10.5" customHeight="1" x14ac:dyDescent="0.2">
      <c r="G12123" s="889"/>
    </row>
    <row r="12124" spans="7:7" ht="10.5" customHeight="1" x14ac:dyDescent="0.2">
      <c r="G12124" s="889"/>
    </row>
    <row r="12125" spans="7:7" ht="10.5" customHeight="1" x14ac:dyDescent="0.2">
      <c r="G12125" s="889"/>
    </row>
    <row r="12126" spans="7:7" ht="10.5" customHeight="1" x14ac:dyDescent="0.2">
      <c r="G12126" s="889"/>
    </row>
    <row r="12127" spans="7:7" ht="10.5" customHeight="1" x14ac:dyDescent="0.2">
      <c r="G12127" s="889"/>
    </row>
    <row r="12128" spans="7:7" ht="10.5" customHeight="1" x14ac:dyDescent="0.2">
      <c r="G12128" s="889"/>
    </row>
    <row r="12129" spans="7:7" ht="10.5" customHeight="1" x14ac:dyDescent="0.2">
      <c r="G12129" s="889"/>
    </row>
    <row r="12130" spans="7:7" ht="10.5" customHeight="1" x14ac:dyDescent="0.2">
      <c r="G12130" s="889"/>
    </row>
    <row r="12131" spans="7:7" ht="10.5" customHeight="1" x14ac:dyDescent="0.2">
      <c r="G12131" s="889"/>
    </row>
    <row r="12132" spans="7:7" ht="10.5" customHeight="1" x14ac:dyDescent="0.2">
      <c r="G12132" s="889"/>
    </row>
    <row r="12133" spans="7:7" ht="10.5" customHeight="1" x14ac:dyDescent="0.2">
      <c r="G12133" s="889"/>
    </row>
    <row r="12134" spans="7:7" ht="10.5" customHeight="1" x14ac:dyDescent="0.2">
      <c r="G12134" s="889"/>
    </row>
    <row r="12135" spans="7:7" ht="10.5" customHeight="1" x14ac:dyDescent="0.2">
      <c r="G12135" s="889"/>
    </row>
    <row r="12136" spans="7:7" ht="10.5" customHeight="1" x14ac:dyDescent="0.2">
      <c r="G12136" s="889"/>
    </row>
    <row r="12137" spans="7:7" ht="10.5" customHeight="1" x14ac:dyDescent="0.2">
      <c r="G12137" s="889"/>
    </row>
    <row r="12138" spans="7:7" ht="10.5" customHeight="1" x14ac:dyDescent="0.2">
      <c r="G12138" s="889"/>
    </row>
    <row r="12139" spans="7:7" ht="10.5" customHeight="1" x14ac:dyDescent="0.2">
      <c r="G12139" s="889"/>
    </row>
    <row r="12140" spans="7:7" ht="10.5" customHeight="1" x14ac:dyDescent="0.2">
      <c r="G12140" s="889"/>
    </row>
    <row r="12141" spans="7:7" ht="10.5" customHeight="1" x14ac:dyDescent="0.2">
      <c r="G12141" s="889"/>
    </row>
    <row r="12142" spans="7:7" ht="10.5" customHeight="1" x14ac:dyDescent="0.2">
      <c r="G12142" s="889"/>
    </row>
    <row r="12143" spans="7:7" ht="10.5" customHeight="1" x14ac:dyDescent="0.2">
      <c r="G12143" s="889"/>
    </row>
    <row r="12144" spans="7:7" ht="10.5" customHeight="1" x14ac:dyDescent="0.2">
      <c r="G12144" s="889"/>
    </row>
    <row r="12145" spans="7:7" ht="10.5" customHeight="1" x14ac:dyDescent="0.2">
      <c r="G12145" s="889"/>
    </row>
    <row r="12146" spans="7:7" ht="10.5" customHeight="1" x14ac:dyDescent="0.2">
      <c r="G12146" s="889"/>
    </row>
    <row r="12147" spans="7:7" ht="10.5" customHeight="1" x14ac:dyDescent="0.2">
      <c r="G12147" s="889"/>
    </row>
    <row r="12148" spans="7:7" ht="10.5" customHeight="1" x14ac:dyDescent="0.2">
      <c r="G12148" s="889"/>
    </row>
    <row r="12149" spans="7:7" ht="10.5" customHeight="1" x14ac:dyDescent="0.2">
      <c r="G12149" s="889"/>
    </row>
    <row r="12150" spans="7:7" ht="10.5" customHeight="1" x14ac:dyDescent="0.2">
      <c r="G12150" s="889"/>
    </row>
    <row r="12151" spans="7:7" ht="10.5" customHeight="1" x14ac:dyDescent="0.2">
      <c r="G12151" s="889"/>
    </row>
    <row r="12152" spans="7:7" ht="10.5" customHeight="1" x14ac:dyDescent="0.2">
      <c r="G12152" s="889"/>
    </row>
    <row r="12153" spans="7:7" ht="10.5" customHeight="1" x14ac:dyDescent="0.2">
      <c r="G12153" s="889"/>
    </row>
    <row r="12154" spans="7:7" ht="10.5" customHeight="1" x14ac:dyDescent="0.2">
      <c r="G12154" s="889"/>
    </row>
    <row r="12155" spans="7:7" ht="10.5" customHeight="1" x14ac:dyDescent="0.2">
      <c r="G12155" s="889"/>
    </row>
    <row r="12156" spans="7:7" ht="10.5" customHeight="1" x14ac:dyDescent="0.2">
      <c r="G12156" s="889"/>
    </row>
    <row r="12157" spans="7:7" ht="10.5" customHeight="1" x14ac:dyDescent="0.2">
      <c r="G12157" s="889"/>
    </row>
    <row r="12158" spans="7:7" ht="10.5" customHeight="1" x14ac:dyDescent="0.2">
      <c r="G12158" s="889"/>
    </row>
    <row r="12159" spans="7:7" ht="10.5" customHeight="1" x14ac:dyDescent="0.2">
      <c r="G12159" s="889"/>
    </row>
    <row r="12160" spans="7:7" ht="10.5" customHeight="1" x14ac:dyDescent="0.2">
      <c r="G12160" s="889"/>
    </row>
    <row r="12161" spans="7:7" ht="10.5" customHeight="1" x14ac:dyDescent="0.2">
      <c r="G12161" s="889"/>
    </row>
    <row r="12162" spans="7:7" ht="10.5" customHeight="1" x14ac:dyDescent="0.2">
      <c r="G12162" s="889"/>
    </row>
    <row r="12163" spans="7:7" ht="10.5" customHeight="1" x14ac:dyDescent="0.2">
      <c r="G12163" s="889"/>
    </row>
    <row r="12164" spans="7:7" ht="10.5" customHeight="1" x14ac:dyDescent="0.2">
      <c r="G12164" s="889"/>
    </row>
    <row r="12165" spans="7:7" ht="10.5" customHeight="1" x14ac:dyDescent="0.2">
      <c r="G12165" s="889"/>
    </row>
    <row r="12166" spans="7:7" ht="10.5" customHeight="1" x14ac:dyDescent="0.2">
      <c r="G12166" s="889"/>
    </row>
    <row r="12167" spans="7:7" ht="10.5" customHeight="1" x14ac:dyDescent="0.2">
      <c r="G12167" s="889"/>
    </row>
    <row r="12168" spans="7:7" ht="10.5" customHeight="1" x14ac:dyDescent="0.2">
      <c r="G12168" s="889"/>
    </row>
    <row r="12169" spans="7:7" ht="10.5" customHeight="1" x14ac:dyDescent="0.2">
      <c r="G12169" s="889"/>
    </row>
    <row r="12170" spans="7:7" ht="10.5" customHeight="1" x14ac:dyDescent="0.2">
      <c r="G12170" s="889"/>
    </row>
    <row r="12171" spans="7:7" ht="10.5" customHeight="1" x14ac:dyDescent="0.2">
      <c r="G12171" s="889"/>
    </row>
    <row r="12172" spans="7:7" ht="10.5" customHeight="1" x14ac:dyDescent="0.2">
      <c r="G12172" s="889"/>
    </row>
    <row r="12173" spans="7:7" ht="10.5" customHeight="1" x14ac:dyDescent="0.2">
      <c r="G12173" s="889"/>
    </row>
    <row r="12174" spans="7:7" ht="10.5" customHeight="1" x14ac:dyDescent="0.2">
      <c r="G12174" s="889"/>
    </row>
    <row r="12175" spans="7:7" ht="10.5" customHeight="1" x14ac:dyDescent="0.2">
      <c r="G12175" s="889"/>
    </row>
    <row r="12176" spans="7:7" ht="10.5" customHeight="1" x14ac:dyDescent="0.2">
      <c r="G12176" s="889"/>
    </row>
    <row r="12177" spans="7:7" ht="10.5" customHeight="1" x14ac:dyDescent="0.2">
      <c r="G12177" s="889"/>
    </row>
    <row r="12178" spans="7:7" ht="10.5" customHeight="1" x14ac:dyDescent="0.2">
      <c r="G12178" s="889"/>
    </row>
    <row r="12179" spans="7:7" ht="10.5" customHeight="1" x14ac:dyDescent="0.2">
      <c r="G12179" s="889"/>
    </row>
    <row r="12180" spans="7:7" ht="10.5" customHeight="1" x14ac:dyDescent="0.2">
      <c r="G12180" s="889"/>
    </row>
    <row r="12181" spans="7:7" ht="10.5" customHeight="1" x14ac:dyDescent="0.2">
      <c r="G12181" s="889"/>
    </row>
    <row r="12182" spans="7:7" ht="10.5" customHeight="1" x14ac:dyDescent="0.2">
      <c r="G12182" s="889"/>
    </row>
    <row r="12183" spans="7:7" ht="10.5" customHeight="1" x14ac:dyDescent="0.2">
      <c r="G12183" s="889"/>
    </row>
    <row r="12184" spans="7:7" ht="10.5" customHeight="1" x14ac:dyDescent="0.2">
      <c r="G12184" s="889"/>
    </row>
    <row r="12185" spans="7:7" ht="10.5" customHeight="1" x14ac:dyDescent="0.2">
      <c r="G12185" s="889"/>
    </row>
    <row r="12186" spans="7:7" ht="10.5" customHeight="1" x14ac:dyDescent="0.2">
      <c r="G12186" s="889"/>
    </row>
    <row r="12187" spans="7:7" ht="10.5" customHeight="1" x14ac:dyDescent="0.2">
      <c r="G12187" s="889"/>
    </row>
    <row r="12188" spans="7:7" ht="10.5" customHeight="1" x14ac:dyDescent="0.2">
      <c r="G12188" s="889"/>
    </row>
    <row r="12189" spans="7:7" ht="10.5" customHeight="1" x14ac:dyDescent="0.2">
      <c r="G12189" s="889"/>
    </row>
    <row r="12190" spans="7:7" ht="10.5" customHeight="1" x14ac:dyDescent="0.2">
      <c r="G12190" s="889"/>
    </row>
    <row r="12191" spans="7:7" ht="10.5" customHeight="1" x14ac:dyDescent="0.2">
      <c r="G12191" s="889"/>
    </row>
    <row r="12192" spans="7:7" ht="10.5" customHeight="1" x14ac:dyDescent="0.2">
      <c r="G12192" s="889"/>
    </row>
    <row r="12193" spans="7:7" ht="10.5" customHeight="1" x14ac:dyDescent="0.2">
      <c r="G12193" s="889"/>
    </row>
    <row r="12194" spans="7:7" ht="10.5" customHeight="1" x14ac:dyDescent="0.2">
      <c r="G12194" s="889"/>
    </row>
    <row r="12195" spans="7:7" ht="10.5" customHeight="1" x14ac:dyDescent="0.2">
      <c r="G12195" s="889"/>
    </row>
    <row r="12196" spans="7:7" ht="10.5" customHeight="1" x14ac:dyDescent="0.2">
      <c r="G12196" s="889"/>
    </row>
    <row r="12197" spans="7:7" ht="10.5" customHeight="1" x14ac:dyDescent="0.2">
      <c r="G12197" s="889"/>
    </row>
    <row r="12198" spans="7:7" ht="10.5" customHeight="1" x14ac:dyDescent="0.2">
      <c r="G12198" s="889"/>
    </row>
    <row r="12199" spans="7:7" ht="10.5" customHeight="1" x14ac:dyDescent="0.2">
      <c r="G12199" s="889"/>
    </row>
    <row r="12200" spans="7:7" ht="10.5" customHeight="1" x14ac:dyDescent="0.2">
      <c r="G12200" s="889"/>
    </row>
    <row r="12201" spans="7:7" ht="10.5" customHeight="1" x14ac:dyDescent="0.2">
      <c r="G12201" s="889"/>
    </row>
    <row r="12202" spans="7:7" ht="10.5" customHeight="1" x14ac:dyDescent="0.2">
      <c r="G12202" s="889"/>
    </row>
    <row r="12203" spans="7:7" ht="10.5" customHeight="1" x14ac:dyDescent="0.2">
      <c r="G12203" s="889"/>
    </row>
    <row r="12204" spans="7:7" ht="10.5" customHeight="1" x14ac:dyDescent="0.2">
      <c r="G12204" s="889"/>
    </row>
    <row r="12205" spans="7:7" ht="10.5" customHeight="1" x14ac:dyDescent="0.2">
      <c r="G12205" s="889"/>
    </row>
    <row r="12206" spans="7:7" ht="10.5" customHeight="1" x14ac:dyDescent="0.2">
      <c r="G12206" s="889"/>
    </row>
    <row r="12207" spans="7:7" ht="10.5" customHeight="1" x14ac:dyDescent="0.2">
      <c r="G12207" s="889"/>
    </row>
    <row r="12208" spans="7:7" ht="10.5" customHeight="1" x14ac:dyDescent="0.2">
      <c r="G12208" s="889"/>
    </row>
    <row r="12209" spans="7:7" ht="10.5" customHeight="1" x14ac:dyDescent="0.2">
      <c r="G12209" s="889"/>
    </row>
    <row r="12210" spans="7:7" ht="10.5" customHeight="1" x14ac:dyDescent="0.2">
      <c r="G12210" s="889"/>
    </row>
    <row r="12211" spans="7:7" ht="10.5" customHeight="1" x14ac:dyDescent="0.2">
      <c r="G12211" s="889"/>
    </row>
    <row r="12212" spans="7:7" ht="10.5" customHeight="1" x14ac:dyDescent="0.2">
      <c r="G12212" s="889"/>
    </row>
    <row r="12213" spans="7:7" ht="10.5" customHeight="1" x14ac:dyDescent="0.2">
      <c r="G12213" s="889"/>
    </row>
    <row r="12214" spans="7:7" ht="10.5" customHeight="1" x14ac:dyDescent="0.2">
      <c r="G12214" s="889"/>
    </row>
    <row r="12215" spans="7:7" ht="10.5" customHeight="1" x14ac:dyDescent="0.2">
      <c r="G12215" s="889"/>
    </row>
    <row r="12216" spans="7:7" ht="10.5" customHeight="1" x14ac:dyDescent="0.2">
      <c r="G12216" s="889"/>
    </row>
    <row r="12217" spans="7:7" ht="10.5" customHeight="1" x14ac:dyDescent="0.2">
      <c r="G12217" s="889"/>
    </row>
    <row r="12218" spans="7:7" ht="10.5" customHeight="1" x14ac:dyDescent="0.2">
      <c r="G12218" s="889"/>
    </row>
    <row r="12219" spans="7:7" ht="10.5" customHeight="1" x14ac:dyDescent="0.2">
      <c r="G12219" s="889"/>
    </row>
    <row r="12220" spans="7:7" ht="10.5" customHeight="1" x14ac:dyDescent="0.2">
      <c r="G12220" s="889"/>
    </row>
    <row r="12221" spans="7:7" ht="10.5" customHeight="1" x14ac:dyDescent="0.2">
      <c r="G12221" s="889"/>
    </row>
    <row r="12222" spans="7:7" ht="10.5" customHeight="1" x14ac:dyDescent="0.2">
      <c r="G12222" s="889"/>
    </row>
    <row r="12223" spans="7:7" ht="10.5" customHeight="1" x14ac:dyDescent="0.2">
      <c r="G12223" s="889"/>
    </row>
    <row r="12224" spans="7:7" ht="10.5" customHeight="1" x14ac:dyDescent="0.2">
      <c r="G12224" s="889"/>
    </row>
    <row r="12225" spans="7:7" ht="10.5" customHeight="1" x14ac:dyDescent="0.2">
      <c r="G12225" s="889"/>
    </row>
    <row r="12226" spans="7:7" ht="10.5" customHeight="1" x14ac:dyDescent="0.2">
      <c r="G12226" s="889"/>
    </row>
    <row r="12227" spans="7:7" ht="10.5" customHeight="1" x14ac:dyDescent="0.2">
      <c r="G12227" s="889"/>
    </row>
    <row r="12228" spans="7:7" ht="10.5" customHeight="1" x14ac:dyDescent="0.2">
      <c r="G12228" s="889"/>
    </row>
    <row r="12229" spans="7:7" ht="10.5" customHeight="1" x14ac:dyDescent="0.2">
      <c r="G12229" s="889"/>
    </row>
    <row r="12230" spans="7:7" ht="10.5" customHeight="1" x14ac:dyDescent="0.2">
      <c r="G12230" s="889"/>
    </row>
    <row r="12231" spans="7:7" ht="10.5" customHeight="1" x14ac:dyDescent="0.2">
      <c r="G12231" s="889"/>
    </row>
    <row r="12232" spans="7:7" ht="10.5" customHeight="1" x14ac:dyDescent="0.2">
      <c r="G12232" s="889"/>
    </row>
    <row r="12233" spans="7:7" ht="10.5" customHeight="1" x14ac:dyDescent="0.2">
      <c r="G12233" s="889"/>
    </row>
    <row r="12234" spans="7:7" ht="10.5" customHeight="1" x14ac:dyDescent="0.2">
      <c r="G12234" s="889"/>
    </row>
    <row r="12235" spans="7:7" ht="10.5" customHeight="1" x14ac:dyDescent="0.2">
      <c r="G12235" s="889"/>
    </row>
    <row r="12236" spans="7:7" ht="10.5" customHeight="1" x14ac:dyDescent="0.2">
      <c r="G12236" s="889"/>
    </row>
    <row r="12237" spans="7:7" ht="10.5" customHeight="1" x14ac:dyDescent="0.2">
      <c r="G12237" s="889"/>
    </row>
    <row r="12238" spans="7:7" ht="10.5" customHeight="1" x14ac:dyDescent="0.2">
      <c r="G12238" s="889"/>
    </row>
    <row r="12239" spans="7:7" ht="10.5" customHeight="1" x14ac:dyDescent="0.2">
      <c r="G12239" s="889"/>
    </row>
    <row r="12240" spans="7:7" ht="10.5" customHeight="1" x14ac:dyDescent="0.2">
      <c r="G12240" s="889"/>
    </row>
    <row r="12241" spans="7:7" ht="10.5" customHeight="1" x14ac:dyDescent="0.2">
      <c r="G12241" s="889"/>
    </row>
    <row r="12242" spans="7:7" ht="10.5" customHeight="1" x14ac:dyDescent="0.2">
      <c r="G12242" s="889"/>
    </row>
    <row r="12243" spans="7:7" ht="10.5" customHeight="1" x14ac:dyDescent="0.2">
      <c r="G12243" s="889"/>
    </row>
    <row r="12244" spans="7:7" ht="10.5" customHeight="1" x14ac:dyDescent="0.2">
      <c r="G12244" s="889"/>
    </row>
    <row r="12245" spans="7:7" ht="10.5" customHeight="1" x14ac:dyDescent="0.2">
      <c r="G12245" s="889"/>
    </row>
    <row r="12246" spans="7:7" ht="10.5" customHeight="1" x14ac:dyDescent="0.2">
      <c r="G12246" s="889"/>
    </row>
    <row r="12247" spans="7:7" ht="10.5" customHeight="1" x14ac:dyDescent="0.2">
      <c r="G12247" s="889"/>
    </row>
    <row r="12248" spans="7:7" ht="10.5" customHeight="1" x14ac:dyDescent="0.2">
      <c r="G12248" s="889"/>
    </row>
    <row r="12249" spans="7:7" ht="10.5" customHeight="1" x14ac:dyDescent="0.2">
      <c r="G12249" s="889"/>
    </row>
    <row r="12250" spans="7:7" ht="10.5" customHeight="1" x14ac:dyDescent="0.2">
      <c r="G12250" s="889"/>
    </row>
    <row r="12251" spans="7:7" ht="10.5" customHeight="1" x14ac:dyDescent="0.2">
      <c r="G12251" s="889"/>
    </row>
    <row r="12252" spans="7:7" ht="10.5" customHeight="1" x14ac:dyDescent="0.2">
      <c r="G12252" s="889"/>
    </row>
    <row r="12253" spans="7:7" ht="10.5" customHeight="1" x14ac:dyDescent="0.2">
      <c r="G12253" s="889"/>
    </row>
    <row r="12254" spans="7:7" ht="10.5" customHeight="1" x14ac:dyDescent="0.2">
      <c r="G12254" s="889"/>
    </row>
    <row r="12255" spans="7:7" ht="10.5" customHeight="1" x14ac:dyDescent="0.2">
      <c r="G12255" s="889"/>
    </row>
    <row r="12256" spans="7:7" ht="10.5" customHeight="1" x14ac:dyDescent="0.2">
      <c r="G12256" s="889"/>
    </row>
    <row r="12257" spans="7:7" ht="10.5" customHeight="1" x14ac:dyDescent="0.2">
      <c r="G12257" s="889"/>
    </row>
    <row r="12258" spans="7:7" ht="10.5" customHeight="1" x14ac:dyDescent="0.2">
      <c r="G12258" s="889"/>
    </row>
    <row r="12259" spans="7:7" ht="10.5" customHeight="1" x14ac:dyDescent="0.2">
      <c r="G12259" s="889"/>
    </row>
    <row r="12260" spans="7:7" ht="10.5" customHeight="1" x14ac:dyDescent="0.2">
      <c r="G12260" s="889"/>
    </row>
    <row r="12261" spans="7:7" ht="10.5" customHeight="1" x14ac:dyDescent="0.2">
      <c r="G12261" s="889"/>
    </row>
    <row r="12262" spans="7:7" ht="10.5" customHeight="1" x14ac:dyDescent="0.2">
      <c r="G12262" s="889"/>
    </row>
    <row r="12263" spans="7:7" ht="10.5" customHeight="1" x14ac:dyDescent="0.2">
      <c r="G12263" s="889"/>
    </row>
    <row r="12264" spans="7:7" ht="10.5" customHeight="1" x14ac:dyDescent="0.2">
      <c r="G12264" s="889"/>
    </row>
    <row r="12265" spans="7:7" ht="10.5" customHeight="1" x14ac:dyDescent="0.2">
      <c r="G12265" s="889"/>
    </row>
    <row r="12266" spans="7:7" ht="10.5" customHeight="1" x14ac:dyDescent="0.2">
      <c r="G12266" s="889"/>
    </row>
    <row r="12267" spans="7:7" ht="10.5" customHeight="1" x14ac:dyDescent="0.2">
      <c r="G12267" s="889"/>
    </row>
    <row r="12268" spans="7:7" ht="10.5" customHeight="1" x14ac:dyDescent="0.2">
      <c r="G12268" s="889"/>
    </row>
    <row r="12269" spans="7:7" ht="10.5" customHeight="1" x14ac:dyDescent="0.2">
      <c r="G12269" s="889"/>
    </row>
    <row r="12270" spans="7:7" ht="10.5" customHeight="1" x14ac:dyDescent="0.2">
      <c r="G12270" s="889"/>
    </row>
    <row r="12271" spans="7:7" ht="10.5" customHeight="1" x14ac:dyDescent="0.2">
      <c r="G12271" s="889"/>
    </row>
    <row r="12272" spans="7:7" ht="10.5" customHeight="1" x14ac:dyDescent="0.2">
      <c r="G12272" s="889"/>
    </row>
    <row r="12273" spans="7:7" ht="10.5" customHeight="1" x14ac:dyDescent="0.2">
      <c r="G12273" s="889"/>
    </row>
    <row r="12274" spans="7:7" ht="10.5" customHeight="1" x14ac:dyDescent="0.2">
      <c r="G12274" s="889"/>
    </row>
    <row r="12275" spans="7:7" ht="10.5" customHeight="1" x14ac:dyDescent="0.2">
      <c r="G12275" s="889"/>
    </row>
    <row r="12276" spans="7:7" ht="10.5" customHeight="1" x14ac:dyDescent="0.2">
      <c r="G12276" s="889"/>
    </row>
    <row r="12277" spans="7:7" ht="10.5" customHeight="1" x14ac:dyDescent="0.2">
      <c r="G12277" s="889"/>
    </row>
    <row r="12278" spans="7:7" ht="10.5" customHeight="1" x14ac:dyDescent="0.2">
      <c r="G12278" s="889"/>
    </row>
    <row r="12279" spans="7:7" ht="10.5" customHeight="1" x14ac:dyDescent="0.2">
      <c r="G12279" s="889"/>
    </row>
    <row r="12280" spans="7:7" ht="10.5" customHeight="1" x14ac:dyDescent="0.2">
      <c r="G12280" s="889"/>
    </row>
    <row r="12281" spans="7:7" ht="10.5" customHeight="1" x14ac:dyDescent="0.2">
      <c r="G12281" s="889"/>
    </row>
    <row r="12282" spans="7:7" ht="10.5" customHeight="1" x14ac:dyDescent="0.2">
      <c r="G12282" s="889"/>
    </row>
    <row r="12283" spans="7:7" ht="10.5" customHeight="1" x14ac:dyDescent="0.2">
      <c r="G12283" s="889"/>
    </row>
    <row r="12284" spans="7:7" ht="10.5" customHeight="1" x14ac:dyDescent="0.2">
      <c r="G12284" s="889"/>
    </row>
    <row r="12285" spans="7:7" ht="10.5" customHeight="1" x14ac:dyDescent="0.2">
      <c r="G12285" s="889"/>
    </row>
    <row r="12286" spans="7:7" ht="10.5" customHeight="1" x14ac:dyDescent="0.2">
      <c r="G12286" s="889"/>
    </row>
    <row r="12287" spans="7:7" ht="10.5" customHeight="1" x14ac:dyDescent="0.2">
      <c r="G12287" s="889"/>
    </row>
    <row r="12288" spans="7:7" ht="10.5" customHeight="1" x14ac:dyDescent="0.2">
      <c r="G12288" s="889"/>
    </row>
    <row r="12289" spans="7:7" ht="10.5" customHeight="1" x14ac:dyDescent="0.2">
      <c r="G12289" s="889"/>
    </row>
    <row r="12290" spans="7:7" ht="10.5" customHeight="1" x14ac:dyDescent="0.2">
      <c r="G12290" s="889"/>
    </row>
    <row r="12291" spans="7:7" ht="10.5" customHeight="1" x14ac:dyDescent="0.2">
      <c r="G12291" s="889"/>
    </row>
    <row r="12292" spans="7:7" ht="10.5" customHeight="1" x14ac:dyDescent="0.2">
      <c r="G12292" s="889"/>
    </row>
    <row r="12293" spans="7:7" ht="10.5" customHeight="1" x14ac:dyDescent="0.2">
      <c r="G12293" s="889"/>
    </row>
    <row r="12294" spans="7:7" ht="10.5" customHeight="1" x14ac:dyDescent="0.2">
      <c r="G12294" s="889"/>
    </row>
    <row r="12295" spans="7:7" ht="10.5" customHeight="1" x14ac:dyDescent="0.2">
      <c r="G12295" s="889"/>
    </row>
    <row r="12296" spans="7:7" ht="10.5" customHeight="1" x14ac:dyDescent="0.2">
      <c r="G12296" s="889"/>
    </row>
    <row r="12297" spans="7:7" ht="10.5" customHeight="1" x14ac:dyDescent="0.2">
      <c r="G12297" s="889"/>
    </row>
    <row r="12298" spans="7:7" ht="10.5" customHeight="1" x14ac:dyDescent="0.2">
      <c r="G12298" s="889"/>
    </row>
    <row r="12299" spans="7:7" ht="10.5" customHeight="1" x14ac:dyDescent="0.2">
      <c r="G12299" s="889"/>
    </row>
    <row r="12300" spans="7:7" ht="10.5" customHeight="1" x14ac:dyDescent="0.2">
      <c r="G12300" s="889"/>
    </row>
    <row r="12301" spans="7:7" ht="10.5" customHeight="1" x14ac:dyDescent="0.2">
      <c r="G12301" s="889"/>
    </row>
    <row r="12302" spans="7:7" ht="10.5" customHeight="1" x14ac:dyDescent="0.2">
      <c r="G12302" s="889"/>
    </row>
    <row r="12303" spans="7:7" ht="10.5" customHeight="1" x14ac:dyDescent="0.2">
      <c r="G12303" s="889"/>
    </row>
    <row r="12304" spans="7:7" ht="10.5" customHeight="1" x14ac:dyDescent="0.2">
      <c r="G12304" s="889"/>
    </row>
    <row r="12305" spans="7:7" ht="10.5" customHeight="1" x14ac:dyDescent="0.2">
      <c r="G12305" s="889"/>
    </row>
    <row r="12306" spans="7:7" ht="10.5" customHeight="1" x14ac:dyDescent="0.2">
      <c r="G12306" s="889"/>
    </row>
    <row r="12307" spans="7:7" ht="10.5" customHeight="1" x14ac:dyDescent="0.2">
      <c r="G12307" s="889"/>
    </row>
    <row r="12308" spans="7:7" ht="10.5" customHeight="1" x14ac:dyDescent="0.2">
      <c r="G12308" s="889"/>
    </row>
    <row r="12309" spans="7:7" ht="10.5" customHeight="1" x14ac:dyDescent="0.2">
      <c r="G12309" s="889"/>
    </row>
    <row r="12310" spans="7:7" ht="10.5" customHeight="1" x14ac:dyDescent="0.2">
      <c r="G12310" s="889"/>
    </row>
    <row r="12311" spans="7:7" ht="10.5" customHeight="1" x14ac:dyDescent="0.2">
      <c r="G12311" s="889"/>
    </row>
    <row r="12312" spans="7:7" ht="10.5" customHeight="1" x14ac:dyDescent="0.2">
      <c r="G12312" s="889"/>
    </row>
    <row r="12313" spans="7:7" ht="10.5" customHeight="1" x14ac:dyDescent="0.2">
      <c r="G12313" s="889"/>
    </row>
    <row r="12314" spans="7:7" ht="10.5" customHeight="1" x14ac:dyDescent="0.2">
      <c r="G12314" s="889"/>
    </row>
    <row r="12315" spans="7:7" ht="10.5" customHeight="1" x14ac:dyDescent="0.2">
      <c r="G12315" s="889"/>
    </row>
    <row r="12316" spans="7:7" ht="10.5" customHeight="1" x14ac:dyDescent="0.2">
      <c r="G12316" s="889"/>
    </row>
    <row r="12317" spans="7:7" ht="10.5" customHeight="1" x14ac:dyDescent="0.2">
      <c r="G12317" s="889"/>
    </row>
    <row r="12318" spans="7:7" ht="10.5" customHeight="1" x14ac:dyDescent="0.2">
      <c r="G12318" s="889"/>
    </row>
    <row r="12319" spans="7:7" ht="10.5" customHeight="1" x14ac:dyDescent="0.2">
      <c r="G12319" s="889"/>
    </row>
    <row r="12320" spans="7:7" ht="10.5" customHeight="1" x14ac:dyDescent="0.2">
      <c r="G12320" s="889"/>
    </row>
    <row r="12321" spans="7:7" ht="10.5" customHeight="1" x14ac:dyDescent="0.2">
      <c r="G12321" s="889"/>
    </row>
    <row r="12322" spans="7:7" ht="10.5" customHeight="1" x14ac:dyDescent="0.2">
      <c r="G12322" s="889"/>
    </row>
    <row r="12323" spans="7:7" ht="10.5" customHeight="1" x14ac:dyDescent="0.2">
      <c r="G12323" s="889"/>
    </row>
    <row r="12324" spans="7:7" ht="10.5" customHeight="1" x14ac:dyDescent="0.2">
      <c r="G12324" s="889"/>
    </row>
    <row r="12325" spans="7:7" ht="10.5" customHeight="1" x14ac:dyDescent="0.2">
      <c r="G12325" s="889"/>
    </row>
    <row r="12326" spans="7:7" ht="10.5" customHeight="1" x14ac:dyDescent="0.2">
      <c r="G12326" s="889"/>
    </row>
    <row r="12327" spans="7:7" ht="10.5" customHeight="1" x14ac:dyDescent="0.2">
      <c r="G12327" s="889"/>
    </row>
    <row r="12328" spans="7:7" ht="10.5" customHeight="1" x14ac:dyDescent="0.2">
      <c r="G12328" s="889"/>
    </row>
    <row r="12329" spans="7:7" ht="10.5" customHeight="1" x14ac:dyDescent="0.2">
      <c r="G12329" s="889"/>
    </row>
    <row r="12330" spans="7:7" ht="10.5" customHeight="1" x14ac:dyDescent="0.2">
      <c r="G12330" s="889"/>
    </row>
    <row r="12331" spans="7:7" ht="10.5" customHeight="1" x14ac:dyDescent="0.2">
      <c r="G12331" s="889"/>
    </row>
    <row r="12332" spans="7:7" ht="10.5" customHeight="1" x14ac:dyDescent="0.2">
      <c r="G12332" s="889"/>
    </row>
    <row r="12333" spans="7:7" ht="10.5" customHeight="1" x14ac:dyDescent="0.2">
      <c r="G12333" s="889"/>
    </row>
    <row r="12334" spans="7:7" ht="10.5" customHeight="1" x14ac:dyDescent="0.2">
      <c r="G12334" s="889"/>
    </row>
    <row r="12335" spans="7:7" ht="10.5" customHeight="1" x14ac:dyDescent="0.2">
      <c r="G12335" s="889"/>
    </row>
    <row r="12336" spans="7:7" ht="10.5" customHeight="1" x14ac:dyDescent="0.2">
      <c r="G12336" s="889"/>
    </row>
    <row r="12337" spans="7:7" ht="10.5" customHeight="1" x14ac:dyDescent="0.2">
      <c r="G12337" s="889"/>
    </row>
    <row r="12338" spans="7:7" ht="10.5" customHeight="1" x14ac:dyDescent="0.2">
      <c r="G12338" s="889"/>
    </row>
    <row r="12339" spans="7:7" ht="10.5" customHeight="1" x14ac:dyDescent="0.2">
      <c r="G12339" s="889"/>
    </row>
    <row r="12340" spans="7:7" ht="10.5" customHeight="1" x14ac:dyDescent="0.2">
      <c r="G12340" s="889"/>
    </row>
    <row r="12341" spans="7:7" ht="10.5" customHeight="1" x14ac:dyDescent="0.2">
      <c r="G12341" s="889"/>
    </row>
    <row r="12342" spans="7:7" ht="10.5" customHeight="1" x14ac:dyDescent="0.2">
      <c r="G12342" s="889"/>
    </row>
    <row r="12343" spans="7:7" ht="10.5" customHeight="1" x14ac:dyDescent="0.2">
      <c r="G12343" s="889"/>
    </row>
    <row r="12344" spans="7:7" ht="10.5" customHeight="1" x14ac:dyDescent="0.2">
      <c r="G12344" s="889"/>
    </row>
    <row r="12345" spans="7:7" ht="10.5" customHeight="1" x14ac:dyDescent="0.2">
      <c r="G12345" s="889"/>
    </row>
    <row r="12346" spans="7:7" ht="10.5" customHeight="1" x14ac:dyDescent="0.2">
      <c r="G12346" s="889"/>
    </row>
    <row r="12347" spans="7:7" ht="10.5" customHeight="1" x14ac:dyDescent="0.2">
      <c r="G12347" s="889"/>
    </row>
    <row r="12348" spans="7:7" ht="10.5" customHeight="1" x14ac:dyDescent="0.2">
      <c r="G12348" s="889"/>
    </row>
    <row r="12349" spans="7:7" ht="10.5" customHeight="1" x14ac:dyDescent="0.2">
      <c r="G12349" s="889"/>
    </row>
    <row r="12350" spans="7:7" ht="10.5" customHeight="1" x14ac:dyDescent="0.2">
      <c r="G12350" s="889"/>
    </row>
    <row r="12351" spans="7:7" ht="10.5" customHeight="1" x14ac:dyDescent="0.2">
      <c r="G12351" s="889"/>
    </row>
    <row r="12352" spans="7:7" ht="10.5" customHeight="1" x14ac:dyDescent="0.2">
      <c r="G12352" s="889"/>
    </row>
    <row r="12353" spans="7:7" ht="10.5" customHeight="1" x14ac:dyDescent="0.2">
      <c r="G12353" s="889"/>
    </row>
    <row r="12354" spans="7:7" ht="10.5" customHeight="1" x14ac:dyDescent="0.2">
      <c r="G12354" s="889"/>
    </row>
    <row r="12355" spans="7:7" ht="10.5" customHeight="1" x14ac:dyDescent="0.2">
      <c r="G12355" s="889"/>
    </row>
    <row r="12356" spans="7:7" ht="10.5" customHeight="1" x14ac:dyDescent="0.2">
      <c r="G12356" s="889"/>
    </row>
    <row r="12357" spans="7:7" ht="10.5" customHeight="1" x14ac:dyDescent="0.2">
      <c r="G12357" s="889"/>
    </row>
    <row r="12358" spans="7:7" ht="10.5" customHeight="1" x14ac:dyDescent="0.2">
      <c r="G12358" s="889"/>
    </row>
    <row r="12359" spans="7:7" ht="10.5" customHeight="1" x14ac:dyDescent="0.2">
      <c r="G12359" s="889"/>
    </row>
    <row r="12360" spans="7:7" ht="10.5" customHeight="1" x14ac:dyDescent="0.2">
      <c r="G12360" s="889"/>
    </row>
    <row r="12361" spans="7:7" ht="10.5" customHeight="1" x14ac:dyDescent="0.2">
      <c r="G12361" s="889"/>
    </row>
    <row r="12362" spans="7:7" ht="10.5" customHeight="1" x14ac:dyDescent="0.2">
      <c r="G12362" s="889"/>
    </row>
    <row r="12363" spans="7:7" ht="10.5" customHeight="1" x14ac:dyDescent="0.2">
      <c r="G12363" s="889"/>
    </row>
    <row r="12364" spans="7:7" ht="10.5" customHeight="1" x14ac:dyDescent="0.2">
      <c r="G12364" s="889"/>
    </row>
    <row r="12365" spans="7:7" ht="10.5" customHeight="1" x14ac:dyDescent="0.2">
      <c r="G12365" s="889"/>
    </row>
    <row r="12366" spans="7:7" ht="10.5" customHeight="1" x14ac:dyDescent="0.2">
      <c r="G12366" s="889"/>
    </row>
    <row r="12367" spans="7:7" ht="10.5" customHeight="1" x14ac:dyDescent="0.2">
      <c r="G12367" s="889"/>
    </row>
    <row r="12368" spans="7:7" ht="10.5" customHeight="1" x14ac:dyDescent="0.2">
      <c r="G12368" s="889"/>
    </row>
    <row r="12369" spans="7:7" ht="10.5" customHeight="1" x14ac:dyDescent="0.2">
      <c r="G12369" s="889"/>
    </row>
    <row r="12370" spans="7:7" ht="10.5" customHeight="1" x14ac:dyDescent="0.2">
      <c r="G12370" s="889"/>
    </row>
    <row r="12371" spans="7:7" ht="10.5" customHeight="1" x14ac:dyDescent="0.2">
      <c r="G12371" s="889"/>
    </row>
    <row r="12372" spans="7:7" ht="10.5" customHeight="1" x14ac:dyDescent="0.2">
      <c r="G12372" s="889"/>
    </row>
    <row r="12373" spans="7:7" ht="10.5" customHeight="1" x14ac:dyDescent="0.2">
      <c r="G12373" s="889"/>
    </row>
    <row r="12374" spans="7:7" ht="10.5" customHeight="1" x14ac:dyDescent="0.2">
      <c r="G12374" s="889"/>
    </row>
    <row r="12375" spans="7:7" ht="10.5" customHeight="1" x14ac:dyDescent="0.2">
      <c r="G12375" s="889"/>
    </row>
    <row r="12376" spans="7:7" ht="10.5" customHeight="1" x14ac:dyDescent="0.2">
      <c r="G12376" s="889"/>
    </row>
    <row r="12377" spans="7:7" ht="10.5" customHeight="1" x14ac:dyDescent="0.2">
      <c r="G12377" s="889"/>
    </row>
    <row r="12378" spans="7:7" ht="10.5" customHeight="1" x14ac:dyDescent="0.2">
      <c r="G12378" s="889"/>
    </row>
    <row r="12379" spans="7:7" ht="10.5" customHeight="1" x14ac:dyDescent="0.2">
      <c r="G12379" s="889"/>
    </row>
    <row r="12380" spans="7:7" ht="10.5" customHeight="1" x14ac:dyDescent="0.2">
      <c r="G12380" s="889"/>
    </row>
    <row r="12381" spans="7:7" ht="10.5" customHeight="1" x14ac:dyDescent="0.2">
      <c r="G12381" s="889"/>
    </row>
    <row r="12382" spans="7:7" ht="10.5" customHeight="1" x14ac:dyDescent="0.2">
      <c r="G12382" s="889"/>
    </row>
    <row r="12383" spans="7:7" ht="10.5" customHeight="1" x14ac:dyDescent="0.2">
      <c r="G12383" s="889"/>
    </row>
    <row r="12384" spans="7:7" ht="10.5" customHeight="1" x14ac:dyDescent="0.2">
      <c r="G12384" s="889"/>
    </row>
    <row r="12385" spans="7:7" ht="10.5" customHeight="1" x14ac:dyDescent="0.2">
      <c r="G12385" s="889"/>
    </row>
    <row r="12386" spans="7:7" ht="10.5" customHeight="1" x14ac:dyDescent="0.2">
      <c r="G12386" s="889"/>
    </row>
    <row r="12387" spans="7:7" ht="10.5" customHeight="1" x14ac:dyDescent="0.2">
      <c r="G12387" s="889"/>
    </row>
    <row r="12388" spans="7:7" ht="10.5" customHeight="1" x14ac:dyDescent="0.2">
      <c r="G12388" s="889"/>
    </row>
    <row r="12389" spans="7:7" ht="10.5" customHeight="1" x14ac:dyDescent="0.2">
      <c r="G12389" s="889"/>
    </row>
    <row r="12390" spans="7:7" ht="10.5" customHeight="1" x14ac:dyDescent="0.2">
      <c r="G12390" s="889"/>
    </row>
    <row r="12391" spans="7:7" ht="10.5" customHeight="1" x14ac:dyDescent="0.2">
      <c r="G12391" s="889"/>
    </row>
    <row r="12392" spans="7:7" ht="10.5" customHeight="1" x14ac:dyDescent="0.2">
      <c r="G12392" s="889"/>
    </row>
    <row r="12393" spans="7:7" ht="10.5" customHeight="1" x14ac:dyDescent="0.2">
      <c r="G12393" s="889"/>
    </row>
    <row r="12394" spans="7:7" ht="10.5" customHeight="1" x14ac:dyDescent="0.2">
      <c r="G12394" s="889"/>
    </row>
    <row r="12395" spans="7:7" ht="10.5" customHeight="1" x14ac:dyDescent="0.2">
      <c r="G12395" s="889"/>
    </row>
    <row r="12396" spans="7:7" ht="10.5" customHeight="1" x14ac:dyDescent="0.2">
      <c r="G12396" s="889"/>
    </row>
    <row r="12397" spans="7:7" ht="10.5" customHeight="1" x14ac:dyDescent="0.2">
      <c r="G12397" s="889"/>
    </row>
    <row r="12398" spans="7:7" ht="10.5" customHeight="1" x14ac:dyDescent="0.2">
      <c r="G12398" s="889"/>
    </row>
    <row r="12399" spans="7:7" ht="10.5" customHeight="1" x14ac:dyDescent="0.2">
      <c r="G12399" s="889"/>
    </row>
    <row r="12400" spans="7:7" ht="10.5" customHeight="1" x14ac:dyDescent="0.2">
      <c r="G12400" s="889"/>
    </row>
    <row r="12401" spans="7:7" ht="10.5" customHeight="1" x14ac:dyDescent="0.2">
      <c r="G12401" s="889"/>
    </row>
    <row r="12402" spans="7:7" ht="10.5" customHeight="1" x14ac:dyDescent="0.2">
      <c r="G12402" s="889"/>
    </row>
    <row r="12403" spans="7:7" ht="10.5" customHeight="1" x14ac:dyDescent="0.2">
      <c r="G12403" s="889"/>
    </row>
    <row r="12404" spans="7:7" ht="10.5" customHeight="1" x14ac:dyDescent="0.2">
      <c r="G12404" s="889"/>
    </row>
    <row r="12405" spans="7:7" ht="10.5" customHeight="1" x14ac:dyDescent="0.2">
      <c r="G12405" s="889"/>
    </row>
    <row r="12406" spans="7:7" ht="10.5" customHeight="1" x14ac:dyDescent="0.2">
      <c r="G12406" s="889"/>
    </row>
    <row r="12407" spans="7:7" ht="10.5" customHeight="1" x14ac:dyDescent="0.2">
      <c r="G12407" s="889"/>
    </row>
    <row r="12408" spans="7:7" ht="10.5" customHeight="1" x14ac:dyDescent="0.2">
      <c r="G12408" s="889"/>
    </row>
    <row r="12409" spans="7:7" ht="10.5" customHeight="1" x14ac:dyDescent="0.2">
      <c r="G12409" s="889"/>
    </row>
    <row r="12410" spans="7:7" ht="10.5" customHeight="1" x14ac:dyDescent="0.2">
      <c r="G12410" s="889"/>
    </row>
    <row r="12411" spans="7:7" ht="10.5" customHeight="1" x14ac:dyDescent="0.2">
      <c r="G12411" s="889"/>
    </row>
    <row r="12412" spans="7:7" ht="10.5" customHeight="1" x14ac:dyDescent="0.2">
      <c r="G12412" s="889"/>
    </row>
    <row r="12413" spans="7:7" ht="10.5" customHeight="1" x14ac:dyDescent="0.2">
      <c r="G12413" s="889"/>
    </row>
    <row r="12414" spans="7:7" ht="10.5" customHeight="1" x14ac:dyDescent="0.2">
      <c r="G12414" s="889"/>
    </row>
    <row r="12415" spans="7:7" ht="10.5" customHeight="1" x14ac:dyDescent="0.2">
      <c r="G12415" s="889"/>
    </row>
    <row r="12416" spans="7:7" ht="10.5" customHeight="1" x14ac:dyDescent="0.2">
      <c r="G12416" s="889"/>
    </row>
    <row r="12417" spans="7:7" ht="10.5" customHeight="1" x14ac:dyDescent="0.2">
      <c r="G12417" s="889"/>
    </row>
    <row r="12418" spans="7:7" ht="10.5" customHeight="1" x14ac:dyDescent="0.2">
      <c r="G12418" s="889"/>
    </row>
    <row r="12419" spans="7:7" ht="10.5" customHeight="1" x14ac:dyDescent="0.2">
      <c r="G12419" s="889"/>
    </row>
    <row r="12420" spans="7:7" ht="10.5" customHeight="1" x14ac:dyDescent="0.2">
      <c r="G12420" s="889"/>
    </row>
    <row r="12421" spans="7:7" ht="10.5" customHeight="1" x14ac:dyDescent="0.2">
      <c r="G12421" s="889"/>
    </row>
    <row r="12422" spans="7:7" ht="10.5" customHeight="1" x14ac:dyDescent="0.2">
      <c r="G12422" s="889"/>
    </row>
    <row r="12423" spans="7:7" ht="10.5" customHeight="1" x14ac:dyDescent="0.2">
      <c r="G12423" s="889"/>
    </row>
    <row r="12424" spans="7:7" ht="10.5" customHeight="1" x14ac:dyDescent="0.2">
      <c r="G12424" s="889"/>
    </row>
    <row r="12425" spans="7:7" ht="10.5" customHeight="1" x14ac:dyDescent="0.2">
      <c r="G12425" s="889"/>
    </row>
    <row r="12426" spans="7:7" ht="10.5" customHeight="1" x14ac:dyDescent="0.2">
      <c r="G12426" s="889"/>
    </row>
    <row r="12427" spans="7:7" ht="10.5" customHeight="1" x14ac:dyDescent="0.2">
      <c r="G12427" s="889"/>
    </row>
    <row r="12428" spans="7:7" ht="10.5" customHeight="1" x14ac:dyDescent="0.2">
      <c r="G12428" s="889"/>
    </row>
    <row r="12429" spans="7:7" ht="10.5" customHeight="1" x14ac:dyDescent="0.2">
      <c r="G12429" s="889"/>
    </row>
    <row r="12430" spans="7:7" ht="10.5" customHeight="1" x14ac:dyDescent="0.2">
      <c r="G12430" s="889"/>
    </row>
    <row r="12431" spans="7:7" ht="10.5" customHeight="1" x14ac:dyDescent="0.2">
      <c r="G12431" s="889"/>
    </row>
    <row r="12432" spans="7:7" ht="10.5" customHeight="1" x14ac:dyDescent="0.2">
      <c r="G12432" s="889"/>
    </row>
    <row r="12433" spans="7:7" ht="10.5" customHeight="1" x14ac:dyDescent="0.2">
      <c r="G12433" s="889"/>
    </row>
    <row r="12434" spans="7:7" ht="10.5" customHeight="1" x14ac:dyDescent="0.2">
      <c r="G12434" s="889"/>
    </row>
    <row r="12435" spans="7:7" ht="10.5" customHeight="1" x14ac:dyDescent="0.2">
      <c r="G12435" s="889"/>
    </row>
    <row r="12436" spans="7:7" ht="10.5" customHeight="1" x14ac:dyDescent="0.2">
      <c r="G12436" s="889"/>
    </row>
    <row r="12437" spans="7:7" ht="10.5" customHeight="1" x14ac:dyDescent="0.2">
      <c r="G12437" s="889"/>
    </row>
    <row r="12438" spans="7:7" ht="10.5" customHeight="1" x14ac:dyDescent="0.2">
      <c r="G12438" s="889"/>
    </row>
    <row r="12439" spans="7:7" ht="10.5" customHeight="1" x14ac:dyDescent="0.2">
      <c r="G12439" s="889"/>
    </row>
    <row r="12440" spans="7:7" ht="10.5" customHeight="1" x14ac:dyDescent="0.2">
      <c r="G12440" s="889"/>
    </row>
    <row r="12441" spans="7:7" ht="10.5" customHeight="1" x14ac:dyDescent="0.2">
      <c r="G12441" s="889"/>
    </row>
    <row r="12442" spans="7:7" ht="10.5" customHeight="1" x14ac:dyDescent="0.2">
      <c r="G12442" s="889"/>
    </row>
    <row r="12443" spans="7:7" ht="10.5" customHeight="1" x14ac:dyDescent="0.2">
      <c r="G12443" s="889"/>
    </row>
    <row r="12444" spans="7:7" ht="10.5" customHeight="1" x14ac:dyDescent="0.2">
      <c r="G12444" s="889"/>
    </row>
    <row r="12445" spans="7:7" ht="10.5" customHeight="1" x14ac:dyDescent="0.2">
      <c r="G12445" s="889"/>
    </row>
    <row r="12446" spans="7:7" ht="10.5" customHeight="1" x14ac:dyDescent="0.2">
      <c r="G12446" s="889"/>
    </row>
    <row r="12447" spans="7:7" ht="10.5" customHeight="1" x14ac:dyDescent="0.2">
      <c r="G12447" s="889"/>
    </row>
    <row r="12448" spans="7:7" ht="10.5" customHeight="1" x14ac:dyDescent="0.2">
      <c r="G12448" s="889"/>
    </row>
    <row r="12449" spans="7:7" ht="10.5" customHeight="1" x14ac:dyDescent="0.2">
      <c r="G12449" s="889"/>
    </row>
    <row r="12450" spans="7:7" ht="10.5" customHeight="1" x14ac:dyDescent="0.2">
      <c r="G12450" s="889"/>
    </row>
    <row r="12451" spans="7:7" ht="10.5" customHeight="1" x14ac:dyDescent="0.2">
      <c r="G12451" s="889"/>
    </row>
    <row r="12452" spans="7:7" ht="10.5" customHeight="1" x14ac:dyDescent="0.2">
      <c r="G12452" s="889"/>
    </row>
    <row r="12453" spans="7:7" ht="10.5" customHeight="1" x14ac:dyDescent="0.2">
      <c r="G12453" s="889"/>
    </row>
    <row r="12454" spans="7:7" ht="10.5" customHeight="1" x14ac:dyDescent="0.2">
      <c r="G12454" s="889"/>
    </row>
    <row r="12455" spans="7:7" ht="10.5" customHeight="1" x14ac:dyDescent="0.2">
      <c r="G12455" s="889"/>
    </row>
    <row r="12456" spans="7:7" ht="10.5" customHeight="1" x14ac:dyDescent="0.2">
      <c r="G12456" s="889"/>
    </row>
    <row r="12457" spans="7:7" ht="10.5" customHeight="1" x14ac:dyDescent="0.2">
      <c r="G12457" s="889"/>
    </row>
    <row r="12458" spans="7:7" ht="10.5" customHeight="1" x14ac:dyDescent="0.2">
      <c r="G12458" s="889"/>
    </row>
    <row r="12459" spans="7:7" ht="10.5" customHeight="1" x14ac:dyDescent="0.2">
      <c r="G12459" s="889"/>
    </row>
    <row r="12460" spans="7:7" ht="10.5" customHeight="1" x14ac:dyDescent="0.2">
      <c r="G12460" s="889"/>
    </row>
    <row r="12461" spans="7:7" ht="10.5" customHeight="1" x14ac:dyDescent="0.2">
      <c r="G12461" s="889"/>
    </row>
    <row r="12462" spans="7:7" ht="10.5" customHeight="1" x14ac:dyDescent="0.2">
      <c r="G12462" s="889"/>
    </row>
    <row r="12463" spans="7:7" ht="10.5" customHeight="1" x14ac:dyDescent="0.2">
      <c r="G12463" s="889"/>
    </row>
    <row r="12464" spans="7:7" ht="10.5" customHeight="1" x14ac:dyDescent="0.2">
      <c r="G12464" s="889"/>
    </row>
    <row r="12465" spans="7:7" ht="10.5" customHeight="1" x14ac:dyDescent="0.2">
      <c r="G12465" s="889"/>
    </row>
    <row r="12466" spans="7:7" ht="10.5" customHeight="1" x14ac:dyDescent="0.2">
      <c r="G12466" s="889"/>
    </row>
    <row r="12467" spans="7:7" ht="10.5" customHeight="1" x14ac:dyDescent="0.2">
      <c r="G12467" s="889"/>
    </row>
    <row r="12468" spans="7:7" ht="10.5" customHeight="1" x14ac:dyDescent="0.2">
      <c r="G12468" s="889"/>
    </row>
    <row r="12469" spans="7:7" ht="10.5" customHeight="1" x14ac:dyDescent="0.2">
      <c r="G12469" s="889"/>
    </row>
    <row r="12470" spans="7:7" ht="10.5" customHeight="1" x14ac:dyDescent="0.2">
      <c r="G12470" s="889"/>
    </row>
    <row r="12471" spans="7:7" ht="10.5" customHeight="1" x14ac:dyDescent="0.2">
      <c r="G12471" s="889"/>
    </row>
    <row r="12472" spans="7:7" ht="10.5" customHeight="1" x14ac:dyDescent="0.2">
      <c r="G12472" s="889"/>
    </row>
    <row r="12473" spans="7:7" ht="10.5" customHeight="1" x14ac:dyDescent="0.2">
      <c r="G12473" s="889"/>
    </row>
    <row r="12474" spans="7:7" ht="10.5" customHeight="1" x14ac:dyDescent="0.2">
      <c r="G12474" s="889"/>
    </row>
    <row r="12475" spans="7:7" ht="10.5" customHeight="1" x14ac:dyDescent="0.2">
      <c r="G12475" s="889"/>
    </row>
    <row r="12476" spans="7:7" ht="10.5" customHeight="1" x14ac:dyDescent="0.2">
      <c r="G12476" s="889"/>
    </row>
    <row r="12477" spans="7:7" ht="10.5" customHeight="1" x14ac:dyDescent="0.2">
      <c r="G12477" s="889"/>
    </row>
    <row r="12478" spans="7:7" ht="10.5" customHeight="1" x14ac:dyDescent="0.2">
      <c r="G12478" s="889"/>
    </row>
    <row r="12479" spans="7:7" ht="10.5" customHeight="1" x14ac:dyDescent="0.2">
      <c r="G12479" s="889"/>
    </row>
    <row r="12480" spans="7:7" ht="10.5" customHeight="1" x14ac:dyDescent="0.2">
      <c r="G12480" s="889"/>
    </row>
    <row r="12481" spans="7:7" ht="10.5" customHeight="1" x14ac:dyDescent="0.2">
      <c r="G12481" s="889"/>
    </row>
    <row r="12482" spans="7:7" ht="10.5" customHeight="1" x14ac:dyDescent="0.2">
      <c r="G12482" s="889"/>
    </row>
    <row r="12483" spans="7:7" ht="10.5" customHeight="1" x14ac:dyDescent="0.2">
      <c r="G12483" s="889"/>
    </row>
    <row r="12484" spans="7:7" ht="10.5" customHeight="1" x14ac:dyDescent="0.2">
      <c r="G12484" s="889"/>
    </row>
    <row r="12485" spans="7:7" ht="10.5" customHeight="1" x14ac:dyDescent="0.2">
      <c r="G12485" s="889"/>
    </row>
    <row r="12486" spans="7:7" ht="10.5" customHeight="1" x14ac:dyDescent="0.2">
      <c r="G12486" s="889"/>
    </row>
    <row r="12487" spans="7:7" ht="10.5" customHeight="1" x14ac:dyDescent="0.2">
      <c r="G12487" s="889"/>
    </row>
    <row r="12488" spans="7:7" ht="10.5" customHeight="1" x14ac:dyDescent="0.2">
      <c r="G12488" s="889"/>
    </row>
    <row r="12489" spans="7:7" ht="10.5" customHeight="1" x14ac:dyDescent="0.2">
      <c r="G12489" s="889"/>
    </row>
    <row r="12490" spans="7:7" ht="10.5" customHeight="1" x14ac:dyDescent="0.2">
      <c r="G12490" s="889"/>
    </row>
    <row r="12491" spans="7:7" ht="10.5" customHeight="1" x14ac:dyDescent="0.2">
      <c r="G12491" s="889"/>
    </row>
    <row r="12492" spans="7:7" ht="10.5" customHeight="1" x14ac:dyDescent="0.2">
      <c r="G12492" s="889"/>
    </row>
    <row r="12493" spans="7:7" ht="10.5" customHeight="1" x14ac:dyDescent="0.2">
      <c r="G12493" s="889"/>
    </row>
    <row r="12494" spans="7:7" ht="10.5" customHeight="1" x14ac:dyDescent="0.2">
      <c r="G12494" s="889"/>
    </row>
    <row r="12495" spans="7:7" ht="10.5" customHeight="1" x14ac:dyDescent="0.2">
      <c r="G12495" s="889"/>
    </row>
    <row r="12496" spans="7:7" ht="10.5" customHeight="1" x14ac:dyDescent="0.2">
      <c r="G12496" s="889"/>
    </row>
    <row r="12497" spans="7:7" ht="10.5" customHeight="1" x14ac:dyDescent="0.2">
      <c r="G12497" s="889"/>
    </row>
    <row r="12498" spans="7:7" ht="10.5" customHeight="1" x14ac:dyDescent="0.2">
      <c r="G12498" s="889"/>
    </row>
    <row r="12499" spans="7:7" ht="10.5" customHeight="1" x14ac:dyDescent="0.2">
      <c r="G12499" s="889"/>
    </row>
    <row r="12500" spans="7:7" ht="10.5" customHeight="1" x14ac:dyDescent="0.2">
      <c r="G12500" s="889"/>
    </row>
    <row r="12501" spans="7:7" ht="10.5" customHeight="1" x14ac:dyDescent="0.2">
      <c r="G12501" s="889"/>
    </row>
    <row r="12502" spans="7:7" ht="10.5" customHeight="1" x14ac:dyDescent="0.2">
      <c r="G12502" s="889"/>
    </row>
    <row r="12503" spans="7:7" ht="10.5" customHeight="1" x14ac:dyDescent="0.2">
      <c r="G12503" s="889"/>
    </row>
    <row r="12504" spans="7:7" ht="10.5" customHeight="1" x14ac:dyDescent="0.2">
      <c r="G12504" s="889"/>
    </row>
    <row r="12505" spans="7:7" ht="10.5" customHeight="1" x14ac:dyDescent="0.2">
      <c r="G12505" s="889"/>
    </row>
    <row r="12506" spans="7:7" ht="10.5" customHeight="1" x14ac:dyDescent="0.2">
      <c r="G12506" s="889"/>
    </row>
    <row r="12507" spans="7:7" ht="10.5" customHeight="1" x14ac:dyDescent="0.2">
      <c r="G12507" s="889"/>
    </row>
    <row r="12508" spans="7:7" ht="10.5" customHeight="1" x14ac:dyDescent="0.2">
      <c r="G12508" s="889"/>
    </row>
    <row r="12509" spans="7:7" ht="10.5" customHeight="1" x14ac:dyDescent="0.2">
      <c r="G12509" s="889"/>
    </row>
    <row r="12510" spans="7:7" ht="10.5" customHeight="1" x14ac:dyDescent="0.2">
      <c r="G12510" s="889"/>
    </row>
    <row r="12511" spans="7:7" ht="10.5" customHeight="1" x14ac:dyDescent="0.2">
      <c r="G12511" s="889"/>
    </row>
    <row r="12512" spans="7:7" ht="10.5" customHeight="1" x14ac:dyDescent="0.2">
      <c r="G12512" s="889"/>
    </row>
    <row r="12513" spans="7:7" ht="10.5" customHeight="1" x14ac:dyDescent="0.2">
      <c r="G12513" s="889"/>
    </row>
    <row r="12514" spans="7:7" ht="10.5" customHeight="1" x14ac:dyDescent="0.2">
      <c r="G12514" s="889"/>
    </row>
    <row r="12515" spans="7:7" ht="10.5" customHeight="1" x14ac:dyDescent="0.2">
      <c r="G12515" s="889"/>
    </row>
    <row r="12516" spans="7:7" ht="10.5" customHeight="1" x14ac:dyDescent="0.2">
      <c r="G12516" s="889"/>
    </row>
    <row r="12517" spans="7:7" ht="10.5" customHeight="1" x14ac:dyDescent="0.2">
      <c r="G12517" s="889"/>
    </row>
    <row r="12518" spans="7:7" ht="10.5" customHeight="1" x14ac:dyDescent="0.2">
      <c r="G12518" s="889"/>
    </row>
    <row r="12519" spans="7:7" ht="10.5" customHeight="1" x14ac:dyDescent="0.2">
      <c r="G12519" s="889"/>
    </row>
    <row r="12520" spans="7:7" ht="10.5" customHeight="1" x14ac:dyDescent="0.2">
      <c r="G12520" s="889"/>
    </row>
    <row r="12521" spans="7:7" ht="10.5" customHeight="1" x14ac:dyDescent="0.2">
      <c r="G12521" s="889"/>
    </row>
    <row r="12522" spans="7:7" ht="10.5" customHeight="1" x14ac:dyDescent="0.2">
      <c r="G12522" s="889"/>
    </row>
    <row r="12523" spans="7:7" ht="10.5" customHeight="1" x14ac:dyDescent="0.2">
      <c r="G12523" s="889"/>
    </row>
    <row r="12524" spans="7:7" ht="10.5" customHeight="1" x14ac:dyDescent="0.2">
      <c r="G12524" s="889"/>
    </row>
    <row r="12525" spans="7:7" ht="10.5" customHeight="1" x14ac:dyDescent="0.2">
      <c r="G12525" s="889"/>
    </row>
    <row r="12526" spans="7:7" ht="10.5" customHeight="1" x14ac:dyDescent="0.2">
      <c r="G12526" s="889"/>
    </row>
    <row r="12527" spans="7:7" ht="10.5" customHeight="1" x14ac:dyDescent="0.2">
      <c r="G12527" s="889"/>
    </row>
    <row r="12528" spans="7:7" ht="10.5" customHeight="1" x14ac:dyDescent="0.2">
      <c r="G12528" s="889"/>
    </row>
    <row r="12529" spans="7:7" ht="10.5" customHeight="1" x14ac:dyDescent="0.2">
      <c r="G12529" s="889"/>
    </row>
    <row r="12530" spans="7:7" ht="10.5" customHeight="1" x14ac:dyDescent="0.2">
      <c r="G12530" s="889"/>
    </row>
    <row r="12531" spans="7:7" ht="10.5" customHeight="1" x14ac:dyDescent="0.2">
      <c r="G12531" s="889"/>
    </row>
    <row r="12532" spans="7:7" ht="10.5" customHeight="1" x14ac:dyDescent="0.2">
      <c r="G12532" s="889"/>
    </row>
    <row r="12533" spans="7:7" ht="10.5" customHeight="1" x14ac:dyDescent="0.2">
      <c r="G12533" s="889"/>
    </row>
    <row r="12534" spans="7:7" ht="10.5" customHeight="1" x14ac:dyDescent="0.2">
      <c r="G12534" s="889"/>
    </row>
    <row r="12535" spans="7:7" ht="10.5" customHeight="1" x14ac:dyDescent="0.2">
      <c r="G12535" s="889"/>
    </row>
    <row r="12536" spans="7:7" ht="10.5" customHeight="1" x14ac:dyDescent="0.2">
      <c r="G12536" s="889"/>
    </row>
    <row r="12537" spans="7:7" ht="10.5" customHeight="1" x14ac:dyDescent="0.2">
      <c r="G12537" s="889"/>
    </row>
    <row r="12538" spans="7:7" ht="10.5" customHeight="1" x14ac:dyDescent="0.2">
      <c r="G12538" s="889"/>
    </row>
    <row r="12539" spans="7:7" ht="10.5" customHeight="1" x14ac:dyDescent="0.2">
      <c r="G12539" s="889"/>
    </row>
    <row r="12540" spans="7:7" ht="10.5" customHeight="1" x14ac:dyDescent="0.2">
      <c r="G12540" s="889"/>
    </row>
    <row r="12541" spans="7:7" ht="10.5" customHeight="1" x14ac:dyDescent="0.2">
      <c r="G12541" s="889"/>
    </row>
    <row r="12542" spans="7:7" ht="10.5" customHeight="1" x14ac:dyDescent="0.2">
      <c r="G12542" s="889"/>
    </row>
    <row r="12543" spans="7:7" ht="10.5" customHeight="1" x14ac:dyDescent="0.2">
      <c r="G12543" s="889"/>
    </row>
    <row r="12544" spans="7:7" ht="10.5" customHeight="1" x14ac:dyDescent="0.2">
      <c r="G12544" s="889"/>
    </row>
    <row r="12545" spans="7:7" ht="10.5" customHeight="1" x14ac:dyDescent="0.2">
      <c r="G12545" s="889"/>
    </row>
    <row r="12546" spans="7:7" ht="10.5" customHeight="1" x14ac:dyDescent="0.2">
      <c r="G12546" s="889"/>
    </row>
    <row r="12547" spans="7:7" ht="10.5" customHeight="1" x14ac:dyDescent="0.2">
      <c r="G12547" s="889"/>
    </row>
    <row r="12548" spans="7:7" ht="10.5" customHeight="1" x14ac:dyDescent="0.2">
      <c r="G12548" s="889"/>
    </row>
    <row r="12549" spans="7:7" ht="10.5" customHeight="1" x14ac:dyDescent="0.2">
      <c r="G12549" s="889"/>
    </row>
    <row r="12550" spans="7:7" ht="10.5" customHeight="1" x14ac:dyDescent="0.2">
      <c r="G12550" s="889"/>
    </row>
    <row r="12551" spans="7:7" ht="10.5" customHeight="1" x14ac:dyDescent="0.2">
      <c r="G12551" s="889"/>
    </row>
    <row r="12552" spans="7:7" ht="10.5" customHeight="1" x14ac:dyDescent="0.2">
      <c r="G12552" s="889"/>
    </row>
    <row r="12553" spans="7:7" ht="10.5" customHeight="1" x14ac:dyDescent="0.2">
      <c r="G12553" s="889"/>
    </row>
    <row r="12554" spans="7:7" ht="10.5" customHeight="1" x14ac:dyDescent="0.2">
      <c r="G12554" s="889"/>
    </row>
    <row r="12555" spans="7:7" ht="10.5" customHeight="1" x14ac:dyDescent="0.2">
      <c r="G12555" s="889"/>
    </row>
    <row r="12556" spans="7:7" ht="10.5" customHeight="1" x14ac:dyDescent="0.2">
      <c r="G12556" s="889"/>
    </row>
    <row r="12557" spans="7:7" ht="10.5" customHeight="1" x14ac:dyDescent="0.2">
      <c r="G12557" s="889"/>
    </row>
    <row r="12558" spans="7:7" ht="10.5" customHeight="1" x14ac:dyDescent="0.2">
      <c r="G12558" s="889"/>
    </row>
    <row r="12559" spans="7:7" ht="10.5" customHeight="1" x14ac:dyDescent="0.2">
      <c r="G12559" s="889"/>
    </row>
    <row r="12560" spans="7:7" ht="10.5" customHeight="1" x14ac:dyDescent="0.2">
      <c r="G12560" s="889"/>
    </row>
    <row r="12561" spans="7:7" ht="10.5" customHeight="1" x14ac:dyDescent="0.2">
      <c r="G12561" s="889"/>
    </row>
    <row r="12562" spans="7:7" ht="10.5" customHeight="1" x14ac:dyDescent="0.2">
      <c r="G12562" s="889"/>
    </row>
    <row r="12563" spans="7:7" ht="10.5" customHeight="1" x14ac:dyDescent="0.2">
      <c r="G12563" s="889"/>
    </row>
    <row r="12564" spans="7:7" ht="10.5" customHeight="1" x14ac:dyDescent="0.2">
      <c r="G12564" s="889"/>
    </row>
    <row r="12565" spans="7:7" ht="10.5" customHeight="1" x14ac:dyDescent="0.2">
      <c r="G12565" s="889"/>
    </row>
    <row r="12566" spans="7:7" ht="10.5" customHeight="1" x14ac:dyDescent="0.2">
      <c r="G12566" s="889"/>
    </row>
    <row r="12567" spans="7:7" ht="10.5" customHeight="1" x14ac:dyDescent="0.2">
      <c r="G12567" s="889"/>
    </row>
    <row r="12568" spans="7:7" ht="10.5" customHeight="1" x14ac:dyDescent="0.2">
      <c r="G12568" s="889"/>
    </row>
    <row r="12569" spans="7:7" ht="10.5" customHeight="1" x14ac:dyDescent="0.2">
      <c r="G12569" s="889"/>
    </row>
    <row r="12570" spans="7:7" ht="10.5" customHeight="1" x14ac:dyDescent="0.2">
      <c r="G12570" s="889"/>
    </row>
    <row r="12571" spans="7:7" ht="10.5" customHeight="1" x14ac:dyDescent="0.2">
      <c r="G12571" s="889"/>
    </row>
    <row r="12572" spans="7:7" ht="10.5" customHeight="1" x14ac:dyDescent="0.2">
      <c r="G12572" s="889"/>
    </row>
    <row r="12573" spans="7:7" ht="10.5" customHeight="1" x14ac:dyDescent="0.2">
      <c r="G12573" s="889"/>
    </row>
    <row r="12574" spans="7:7" ht="10.5" customHeight="1" x14ac:dyDescent="0.2">
      <c r="G12574" s="889"/>
    </row>
    <row r="12575" spans="7:7" ht="10.5" customHeight="1" x14ac:dyDescent="0.2">
      <c r="G12575" s="889"/>
    </row>
    <row r="12576" spans="7:7" ht="10.5" customHeight="1" x14ac:dyDescent="0.2">
      <c r="G12576" s="889"/>
    </row>
    <row r="12577" spans="7:7" ht="10.5" customHeight="1" x14ac:dyDescent="0.2">
      <c r="G12577" s="889"/>
    </row>
    <row r="12578" spans="7:7" ht="10.5" customHeight="1" x14ac:dyDescent="0.2">
      <c r="G12578" s="889"/>
    </row>
    <row r="12579" spans="7:7" ht="10.5" customHeight="1" x14ac:dyDescent="0.2">
      <c r="G12579" s="889"/>
    </row>
    <row r="12580" spans="7:7" ht="10.5" customHeight="1" x14ac:dyDescent="0.2">
      <c r="G12580" s="889"/>
    </row>
    <row r="12581" spans="7:7" ht="10.5" customHeight="1" x14ac:dyDescent="0.2">
      <c r="G12581" s="889"/>
    </row>
    <row r="12582" spans="7:7" ht="10.5" customHeight="1" x14ac:dyDescent="0.2">
      <c r="G12582" s="889"/>
    </row>
    <row r="12583" spans="7:7" ht="10.5" customHeight="1" x14ac:dyDescent="0.2">
      <c r="G12583" s="889"/>
    </row>
    <row r="12584" spans="7:7" ht="10.5" customHeight="1" x14ac:dyDescent="0.2">
      <c r="G12584" s="889"/>
    </row>
    <row r="12585" spans="7:7" ht="10.5" customHeight="1" x14ac:dyDescent="0.2">
      <c r="G12585" s="889"/>
    </row>
    <row r="12586" spans="7:7" ht="10.5" customHeight="1" x14ac:dyDescent="0.2">
      <c r="G12586" s="889"/>
    </row>
    <row r="12587" spans="7:7" ht="10.5" customHeight="1" x14ac:dyDescent="0.2">
      <c r="G12587" s="889"/>
    </row>
    <row r="12588" spans="7:7" ht="10.5" customHeight="1" x14ac:dyDescent="0.2">
      <c r="G12588" s="889"/>
    </row>
    <row r="12589" spans="7:7" ht="10.5" customHeight="1" x14ac:dyDescent="0.2">
      <c r="G12589" s="889"/>
    </row>
    <row r="12590" spans="7:7" ht="10.5" customHeight="1" x14ac:dyDescent="0.2">
      <c r="G12590" s="889"/>
    </row>
    <row r="12591" spans="7:7" ht="10.5" customHeight="1" x14ac:dyDescent="0.2">
      <c r="G12591" s="889"/>
    </row>
    <row r="12592" spans="7:7" ht="10.5" customHeight="1" x14ac:dyDescent="0.2">
      <c r="G12592" s="889"/>
    </row>
    <row r="12593" spans="7:7" ht="10.5" customHeight="1" x14ac:dyDescent="0.2">
      <c r="G12593" s="889"/>
    </row>
    <row r="12594" spans="7:7" ht="10.5" customHeight="1" x14ac:dyDescent="0.2">
      <c r="G12594" s="889"/>
    </row>
    <row r="12595" spans="7:7" ht="10.5" customHeight="1" x14ac:dyDescent="0.2">
      <c r="G12595" s="889"/>
    </row>
    <row r="12596" spans="7:7" ht="10.5" customHeight="1" x14ac:dyDescent="0.2">
      <c r="G12596" s="889"/>
    </row>
    <row r="12597" spans="7:7" ht="10.5" customHeight="1" x14ac:dyDescent="0.2">
      <c r="G12597" s="889"/>
    </row>
    <row r="12598" spans="7:7" ht="10.5" customHeight="1" x14ac:dyDescent="0.2">
      <c r="G12598" s="889"/>
    </row>
    <row r="12599" spans="7:7" ht="10.5" customHeight="1" x14ac:dyDescent="0.2">
      <c r="G12599" s="889"/>
    </row>
    <row r="12600" spans="7:7" ht="10.5" customHeight="1" x14ac:dyDescent="0.2">
      <c r="G12600" s="889"/>
    </row>
    <row r="12601" spans="7:7" ht="10.5" customHeight="1" x14ac:dyDescent="0.2">
      <c r="G12601" s="889"/>
    </row>
    <row r="12602" spans="7:7" ht="10.5" customHeight="1" x14ac:dyDescent="0.2">
      <c r="G12602" s="889"/>
    </row>
    <row r="12603" spans="7:7" ht="10.5" customHeight="1" x14ac:dyDescent="0.2">
      <c r="G12603" s="889"/>
    </row>
    <row r="12604" spans="7:7" ht="10.5" customHeight="1" x14ac:dyDescent="0.2">
      <c r="G12604" s="889"/>
    </row>
    <row r="12605" spans="7:7" ht="10.5" customHeight="1" x14ac:dyDescent="0.2">
      <c r="G12605" s="889"/>
    </row>
    <row r="12606" spans="7:7" ht="10.5" customHeight="1" x14ac:dyDescent="0.2">
      <c r="G12606" s="889"/>
    </row>
    <row r="12607" spans="7:7" ht="10.5" customHeight="1" x14ac:dyDescent="0.2">
      <c r="G12607" s="889"/>
    </row>
    <row r="12608" spans="7:7" ht="10.5" customHeight="1" x14ac:dyDescent="0.2">
      <c r="G12608" s="889"/>
    </row>
    <row r="12609" spans="7:7" ht="10.5" customHeight="1" x14ac:dyDescent="0.2">
      <c r="G12609" s="889"/>
    </row>
    <row r="12610" spans="7:7" ht="10.5" customHeight="1" x14ac:dyDescent="0.2">
      <c r="G12610" s="889"/>
    </row>
    <row r="12611" spans="7:7" ht="10.5" customHeight="1" x14ac:dyDescent="0.2">
      <c r="G12611" s="889"/>
    </row>
    <row r="12612" spans="7:7" ht="10.5" customHeight="1" x14ac:dyDescent="0.2">
      <c r="G12612" s="889"/>
    </row>
    <row r="12613" spans="7:7" ht="10.5" customHeight="1" x14ac:dyDescent="0.2">
      <c r="G12613" s="889"/>
    </row>
    <row r="12614" spans="7:7" ht="10.5" customHeight="1" x14ac:dyDescent="0.2">
      <c r="G12614" s="889"/>
    </row>
    <row r="12615" spans="7:7" ht="10.5" customHeight="1" x14ac:dyDescent="0.2">
      <c r="G12615" s="889"/>
    </row>
    <row r="12616" spans="7:7" ht="10.5" customHeight="1" x14ac:dyDescent="0.2">
      <c r="G12616" s="889"/>
    </row>
    <row r="12617" spans="7:7" ht="10.5" customHeight="1" x14ac:dyDescent="0.2">
      <c r="G12617" s="889"/>
    </row>
    <row r="12618" spans="7:7" ht="10.5" customHeight="1" x14ac:dyDescent="0.2">
      <c r="G12618" s="889"/>
    </row>
    <row r="12619" spans="7:7" ht="10.5" customHeight="1" x14ac:dyDescent="0.2">
      <c r="G12619" s="889"/>
    </row>
    <row r="12620" spans="7:7" ht="10.5" customHeight="1" x14ac:dyDescent="0.2">
      <c r="G12620" s="889"/>
    </row>
    <row r="12621" spans="7:7" ht="10.5" customHeight="1" x14ac:dyDescent="0.2">
      <c r="G12621" s="889"/>
    </row>
    <row r="12622" spans="7:7" ht="10.5" customHeight="1" x14ac:dyDescent="0.2">
      <c r="G12622" s="889"/>
    </row>
    <row r="12623" spans="7:7" ht="10.5" customHeight="1" x14ac:dyDescent="0.2">
      <c r="G12623" s="889"/>
    </row>
    <row r="12624" spans="7:7" ht="10.5" customHeight="1" x14ac:dyDescent="0.2">
      <c r="G12624" s="889"/>
    </row>
    <row r="12625" spans="7:7" ht="10.5" customHeight="1" x14ac:dyDescent="0.2">
      <c r="G12625" s="889"/>
    </row>
    <row r="12626" spans="7:7" ht="10.5" customHeight="1" x14ac:dyDescent="0.2">
      <c r="G12626" s="889"/>
    </row>
    <row r="12627" spans="7:7" ht="10.5" customHeight="1" x14ac:dyDescent="0.2">
      <c r="G12627" s="889"/>
    </row>
    <row r="12628" spans="7:7" ht="10.5" customHeight="1" x14ac:dyDescent="0.2">
      <c r="G12628" s="889"/>
    </row>
    <row r="12629" spans="7:7" ht="10.5" customHeight="1" x14ac:dyDescent="0.2">
      <c r="G12629" s="889"/>
    </row>
    <row r="12630" spans="7:7" ht="10.5" customHeight="1" x14ac:dyDescent="0.2">
      <c r="G12630" s="889"/>
    </row>
    <row r="12631" spans="7:7" ht="10.5" customHeight="1" x14ac:dyDescent="0.2">
      <c r="G12631" s="889"/>
    </row>
    <row r="12632" spans="7:7" ht="10.5" customHeight="1" x14ac:dyDescent="0.2">
      <c r="G12632" s="889"/>
    </row>
    <row r="12633" spans="7:7" ht="10.5" customHeight="1" x14ac:dyDescent="0.2">
      <c r="G12633" s="889"/>
    </row>
    <row r="12634" spans="7:7" ht="10.5" customHeight="1" x14ac:dyDescent="0.2">
      <c r="G12634" s="889"/>
    </row>
    <row r="12635" spans="7:7" ht="10.5" customHeight="1" x14ac:dyDescent="0.2">
      <c r="G12635" s="889"/>
    </row>
    <row r="12636" spans="7:7" ht="10.5" customHeight="1" x14ac:dyDescent="0.2">
      <c r="G12636" s="889"/>
    </row>
    <row r="12637" spans="7:7" ht="10.5" customHeight="1" x14ac:dyDescent="0.2">
      <c r="G12637" s="889"/>
    </row>
    <row r="12638" spans="7:7" ht="10.5" customHeight="1" x14ac:dyDescent="0.2">
      <c r="G12638" s="889"/>
    </row>
    <row r="12639" spans="7:7" ht="10.5" customHeight="1" x14ac:dyDescent="0.2">
      <c r="G12639" s="889"/>
    </row>
    <row r="12640" spans="7:7" ht="10.5" customHeight="1" x14ac:dyDescent="0.2">
      <c r="G12640" s="889"/>
    </row>
    <row r="12641" spans="7:7" ht="10.5" customHeight="1" x14ac:dyDescent="0.2">
      <c r="G12641" s="889"/>
    </row>
    <row r="12642" spans="7:7" ht="10.5" customHeight="1" x14ac:dyDescent="0.2">
      <c r="G12642" s="889"/>
    </row>
    <row r="12643" spans="7:7" ht="10.5" customHeight="1" x14ac:dyDescent="0.2">
      <c r="G12643" s="889"/>
    </row>
    <row r="12644" spans="7:7" ht="10.5" customHeight="1" x14ac:dyDescent="0.2">
      <c r="G12644" s="889"/>
    </row>
    <row r="12645" spans="7:7" ht="10.5" customHeight="1" x14ac:dyDescent="0.2">
      <c r="G12645" s="889"/>
    </row>
    <row r="12646" spans="7:7" ht="10.5" customHeight="1" x14ac:dyDescent="0.2">
      <c r="G12646" s="889"/>
    </row>
    <row r="12647" spans="7:7" ht="10.5" customHeight="1" x14ac:dyDescent="0.2">
      <c r="G12647" s="889"/>
    </row>
    <row r="12648" spans="7:7" ht="10.5" customHeight="1" x14ac:dyDescent="0.2">
      <c r="G12648" s="889"/>
    </row>
    <row r="12649" spans="7:7" ht="10.5" customHeight="1" x14ac:dyDescent="0.2">
      <c r="G12649" s="889"/>
    </row>
    <row r="12650" spans="7:7" ht="10.5" customHeight="1" x14ac:dyDescent="0.2">
      <c r="G12650" s="889"/>
    </row>
    <row r="12651" spans="7:7" ht="10.5" customHeight="1" x14ac:dyDescent="0.2">
      <c r="G12651" s="889"/>
    </row>
    <row r="12652" spans="7:7" ht="10.5" customHeight="1" x14ac:dyDescent="0.2">
      <c r="G12652" s="889"/>
    </row>
    <row r="12653" spans="7:7" ht="10.5" customHeight="1" x14ac:dyDescent="0.2">
      <c r="G12653" s="889"/>
    </row>
    <row r="12654" spans="7:7" ht="10.5" customHeight="1" x14ac:dyDescent="0.2">
      <c r="G12654" s="889"/>
    </row>
    <row r="12655" spans="7:7" ht="10.5" customHeight="1" x14ac:dyDescent="0.2">
      <c r="G12655" s="889"/>
    </row>
    <row r="12656" spans="7:7" ht="10.5" customHeight="1" x14ac:dyDescent="0.2">
      <c r="G12656" s="889"/>
    </row>
    <row r="12657" spans="7:7" ht="10.5" customHeight="1" x14ac:dyDescent="0.2">
      <c r="G12657" s="889"/>
    </row>
    <row r="12658" spans="7:7" ht="10.5" customHeight="1" x14ac:dyDescent="0.2">
      <c r="G12658" s="889"/>
    </row>
    <row r="12659" spans="7:7" ht="10.5" customHeight="1" x14ac:dyDescent="0.2">
      <c r="G12659" s="889"/>
    </row>
    <row r="12660" spans="7:7" ht="10.5" customHeight="1" x14ac:dyDescent="0.2">
      <c r="G12660" s="889"/>
    </row>
    <row r="12661" spans="7:7" ht="10.5" customHeight="1" x14ac:dyDescent="0.2">
      <c r="G12661" s="889"/>
    </row>
    <row r="12662" spans="7:7" ht="10.5" customHeight="1" x14ac:dyDescent="0.2">
      <c r="G12662" s="889"/>
    </row>
    <row r="12663" spans="7:7" ht="10.5" customHeight="1" x14ac:dyDescent="0.2">
      <c r="G12663" s="889"/>
    </row>
    <row r="12664" spans="7:7" ht="10.5" customHeight="1" x14ac:dyDescent="0.2">
      <c r="G12664" s="889"/>
    </row>
    <row r="12665" spans="7:7" ht="10.5" customHeight="1" x14ac:dyDescent="0.2">
      <c r="G12665" s="889"/>
    </row>
    <row r="12666" spans="7:7" ht="10.5" customHeight="1" x14ac:dyDescent="0.2">
      <c r="G12666" s="889"/>
    </row>
    <row r="12667" spans="7:7" ht="10.5" customHeight="1" x14ac:dyDescent="0.2">
      <c r="G12667" s="889"/>
    </row>
    <row r="12668" spans="7:7" ht="10.5" customHeight="1" x14ac:dyDescent="0.2">
      <c r="G12668" s="889"/>
    </row>
    <row r="12669" spans="7:7" ht="10.5" customHeight="1" x14ac:dyDescent="0.2">
      <c r="G12669" s="889"/>
    </row>
    <row r="12670" spans="7:7" ht="10.5" customHeight="1" x14ac:dyDescent="0.2">
      <c r="G12670" s="889"/>
    </row>
    <row r="12671" spans="7:7" ht="10.5" customHeight="1" x14ac:dyDescent="0.2">
      <c r="G12671" s="889"/>
    </row>
    <row r="12672" spans="7:7" ht="10.5" customHeight="1" x14ac:dyDescent="0.2">
      <c r="G12672" s="889"/>
    </row>
    <row r="12673" spans="7:7" ht="10.5" customHeight="1" x14ac:dyDescent="0.2">
      <c r="G12673" s="889"/>
    </row>
    <row r="12674" spans="7:7" ht="10.5" customHeight="1" x14ac:dyDescent="0.2">
      <c r="G12674" s="889"/>
    </row>
    <row r="12675" spans="7:7" ht="10.5" customHeight="1" x14ac:dyDescent="0.2">
      <c r="G12675" s="889"/>
    </row>
    <row r="12676" spans="7:7" ht="10.5" customHeight="1" x14ac:dyDescent="0.2">
      <c r="G12676" s="889"/>
    </row>
    <row r="12677" spans="7:7" ht="10.5" customHeight="1" x14ac:dyDescent="0.2">
      <c r="G12677" s="889"/>
    </row>
    <row r="12678" spans="7:7" ht="10.5" customHeight="1" x14ac:dyDescent="0.2">
      <c r="G12678" s="889"/>
    </row>
    <row r="12679" spans="7:7" ht="10.5" customHeight="1" x14ac:dyDescent="0.2">
      <c r="G12679" s="889"/>
    </row>
    <row r="12680" spans="7:7" ht="10.5" customHeight="1" x14ac:dyDescent="0.2">
      <c r="G12680" s="889"/>
    </row>
    <row r="12681" spans="7:7" ht="10.5" customHeight="1" x14ac:dyDescent="0.2">
      <c r="G12681" s="889"/>
    </row>
    <row r="12682" spans="7:7" ht="10.5" customHeight="1" x14ac:dyDescent="0.2">
      <c r="G12682" s="889"/>
    </row>
    <row r="12683" spans="7:7" ht="10.5" customHeight="1" x14ac:dyDescent="0.2">
      <c r="G12683" s="889"/>
    </row>
    <row r="12684" spans="7:7" ht="10.5" customHeight="1" x14ac:dyDescent="0.2">
      <c r="G12684" s="889"/>
    </row>
    <row r="12685" spans="7:7" ht="10.5" customHeight="1" x14ac:dyDescent="0.2">
      <c r="G12685" s="889"/>
    </row>
    <row r="12686" spans="7:7" ht="10.5" customHeight="1" x14ac:dyDescent="0.2">
      <c r="G12686" s="889"/>
    </row>
    <row r="12687" spans="7:7" ht="10.5" customHeight="1" x14ac:dyDescent="0.2">
      <c r="G12687" s="889"/>
    </row>
    <row r="12688" spans="7:7" ht="10.5" customHeight="1" x14ac:dyDescent="0.2">
      <c r="G12688" s="889"/>
    </row>
    <row r="12689" spans="7:7" ht="10.5" customHeight="1" x14ac:dyDescent="0.2">
      <c r="G12689" s="889"/>
    </row>
    <row r="12690" spans="7:7" ht="10.5" customHeight="1" x14ac:dyDescent="0.2">
      <c r="G12690" s="889"/>
    </row>
    <row r="12691" spans="7:7" ht="10.5" customHeight="1" x14ac:dyDescent="0.2">
      <c r="G12691" s="889"/>
    </row>
    <row r="12692" spans="7:7" ht="10.5" customHeight="1" x14ac:dyDescent="0.2">
      <c r="G12692" s="889"/>
    </row>
    <row r="12693" spans="7:7" ht="10.5" customHeight="1" x14ac:dyDescent="0.2">
      <c r="G12693" s="889"/>
    </row>
    <row r="12694" spans="7:7" ht="10.5" customHeight="1" x14ac:dyDescent="0.2">
      <c r="G12694" s="889"/>
    </row>
    <row r="12695" spans="7:7" ht="10.5" customHeight="1" x14ac:dyDescent="0.2">
      <c r="G12695" s="889"/>
    </row>
    <row r="12696" spans="7:7" ht="10.5" customHeight="1" x14ac:dyDescent="0.2">
      <c r="G12696" s="889"/>
    </row>
    <row r="12697" spans="7:7" ht="10.5" customHeight="1" x14ac:dyDescent="0.2">
      <c r="G12697" s="889"/>
    </row>
    <row r="12698" spans="7:7" ht="10.5" customHeight="1" x14ac:dyDescent="0.2">
      <c r="G12698" s="889"/>
    </row>
    <row r="12699" spans="7:7" ht="10.5" customHeight="1" x14ac:dyDescent="0.2">
      <c r="G12699" s="889"/>
    </row>
    <row r="12700" spans="7:7" ht="10.5" customHeight="1" x14ac:dyDescent="0.2">
      <c r="G12700" s="889"/>
    </row>
    <row r="12701" spans="7:7" ht="10.5" customHeight="1" x14ac:dyDescent="0.2">
      <c r="G12701" s="889"/>
    </row>
    <row r="12702" spans="7:7" ht="10.5" customHeight="1" x14ac:dyDescent="0.2">
      <c r="G12702" s="889"/>
    </row>
    <row r="12703" spans="7:7" ht="10.5" customHeight="1" x14ac:dyDescent="0.2">
      <c r="G12703" s="889"/>
    </row>
    <row r="12704" spans="7:7" ht="10.5" customHeight="1" x14ac:dyDescent="0.2">
      <c r="G12704" s="889"/>
    </row>
    <row r="12705" spans="7:7" ht="10.5" customHeight="1" x14ac:dyDescent="0.2">
      <c r="G12705" s="889"/>
    </row>
    <row r="12706" spans="7:7" ht="10.5" customHeight="1" x14ac:dyDescent="0.2">
      <c r="G12706" s="889"/>
    </row>
    <row r="12707" spans="7:7" ht="10.5" customHeight="1" x14ac:dyDescent="0.2">
      <c r="G12707" s="889"/>
    </row>
    <row r="12708" spans="7:7" ht="10.5" customHeight="1" x14ac:dyDescent="0.2">
      <c r="G12708" s="889"/>
    </row>
    <row r="12709" spans="7:7" ht="10.5" customHeight="1" x14ac:dyDescent="0.2">
      <c r="G12709" s="889"/>
    </row>
    <row r="12710" spans="7:7" ht="10.5" customHeight="1" x14ac:dyDescent="0.2">
      <c r="G12710" s="889"/>
    </row>
    <row r="12711" spans="7:7" ht="10.5" customHeight="1" x14ac:dyDescent="0.2">
      <c r="G12711" s="889"/>
    </row>
    <row r="12712" spans="7:7" ht="10.5" customHeight="1" x14ac:dyDescent="0.2">
      <c r="G12712" s="889"/>
    </row>
    <row r="12713" spans="7:7" ht="10.5" customHeight="1" x14ac:dyDescent="0.2">
      <c r="G12713" s="889"/>
    </row>
    <row r="12714" spans="7:7" ht="10.5" customHeight="1" x14ac:dyDescent="0.2">
      <c r="G12714" s="889"/>
    </row>
    <row r="12715" spans="7:7" ht="10.5" customHeight="1" x14ac:dyDescent="0.2">
      <c r="G12715" s="889"/>
    </row>
    <row r="12716" spans="7:7" ht="10.5" customHeight="1" x14ac:dyDescent="0.2">
      <c r="G12716" s="889"/>
    </row>
    <row r="12717" spans="7:7" ht="10.5" customHeight="1" x14ac:dyDescent="0.2">
      <c r="G12717" s="889"/>
    </row>
    <row r="12718" spans="7:7" ht="10.5" customHeight="1" x14ac:dyDescent="0.2">
      <c r="G12718" s="889"/>
    </row>
    <row r="12719" spans="7:7" ht="10.5" customHeight="1" x14ac:dyDescent="0.2">
      <c r="G12719" s="889"/>
    </row>
    <row r="12720" spans="7:7" ht="10.5" customHeight="1" x14ac:dyDescent="0.2">
      <c r="G12720" s="889"/>
    </row>
    <row r="12721" spans="7:7" ht="10.5" customHeight="1" x14ac:dyDescent="0.2">
      <c r="G12721" s="889"/>
    </row>
    <row r="12722" spans="7:7" ht="10.5" customHeight="1" x14ac:dyDescent="0.2">
      <c r="G12722" s="889"/>
    </row>
    <row r="12723" spans="7:7" ht="10.5" customHeight="1" x14ac:dyDescent="0.2">
      <c r="G12723" s="889"/>
    </row>
    <row r="12724" spans="7:7" ht="10.5" customHeight="1" x14ac:dyDescent="0.2">
      <c r="G12724" s="889"/>
    </row>
    <row r="12725" spans="7:7" ht="10.5" customHeight="1" x14ac:dyDescent="0.2">
      <c r="G12725" s="889"/>
    </row>
    <row r="12726" spans="7:7" ht="10.5" customHeight="1" x14ac:dyDescent="0.2">
      <c r="G12726" s="889"/>
    </row>
    <row r="12727" spans="7:7" ht="10.5" customHeight="1" x14ac:dyDescent="0.2">
      <c r="G12727" s="889"/>
    </row>
    <row r="12728" spans="7:7" ht="10.5" customHeight="1" x14ac:dyDescent="0.2">
      <c r="G12728" s="889"/>
    </row>
    <row r="12729" spans="7:7" ht="10.5" customHeight="1" x14ac:dyDescent="0.2">
      <c r="G12729" s="889"/>
    </row>
    <row r="12730" spans="7:7" ht="10.5" customHeight="1" x14ac:dyDescent="0.2">
      <c r="G12730" s="889"/>
    </row>
    <row r="12731" spans="7:7" ht="10.5" customHeight="1" x14ac:dyDescent="0.2">
      <c r="G12731" s="889"/>
    </row>
    <row r="12732" spans="7:7" ht="10.5" customHeight="1" x14ac:dyDescent="0.2">
      <c r="G12732" s="889"/>
    </row>
    <row r="12733" spans="7:7" ht="10.5" customHeight="1" x14ac:dyDescent="0.2">
      <c r="G12733" s="889"/>
    </row>
    <row r="12734" spans="7:7" ht="10.5" customHeight="1" x14ac:dyDescent="0.2">
      <c r="G12734" s="889"/>
    </row>
    <row r="12735" spans="7:7" ht="10.5" customHeight="1" x14ac:dyDescent="0.2">
      <c r="G12735" s="889"/>
    </row>
    <row r="12736" spans="7:7" ht="10.5" customHeight="1" x14ac:dyDescent="0.2">
      <c r="G12736" s="889"/>
    </row>
    <row r="12737" spans="7:7" ht="10.5" customHeight="1" x14ac:dyDescent="0.2">
      <c r="G12737" s="889"/>
    </row>
    <row r="12738" spans="7:7" ht="10.5" customHeight="1" x14ac:dyDescent="0.2">
      <c r="G12738" s="889"/>
    </row>
    <row r="12739" spans="7:7" ht="10.5" customHeight="1" x14ac:dyDescent="0.2">
      <c r="G12739" s="889"/>
    </row>
    <row r="12740" spans="7:7" ht="10.5" customHeight="1" x14ac:dyDescent="0.2">
      <c r="G12740" s="889"/>
    </row>
    <row r="12741" spans="7:7" ht="10.5" customHeight="1" x14ac:dyDescent="0.2">
      <c r="G12741" s="889"/>
    </row>
    <row r="12742" spans="7:7" ht="10.5" customHeight="1" x14ac:dyDescent="0.2">
      <c r="G12742" s="889"/>
    </row>
    <row r="12743" spans="7:7" ht="10.5" customHeight="1" x14ac:dyDescent="0.2">
      <c r="G12743" s="889"/>
    </row>
    <row r="12744" spans="7:7" ht="10.5" customHeight="1" x14ac:dyDescent="0.2">
      <c r="G12744" s="889"/>
    </row>
    <row r="12745" spans="7:7" ht="10.5" customHeight="1" x14ac:dyDescent="0.2">
      <c r="G12745" s="889"/>
    </row>
    <row r="12746" spans="7:7" ht="10.5" customHeight="1" x14ac:dyDescent="0.2">
      <c r="G12746" s="889"/>
    </row>
    <row r="12747" spans="7:7" ht="10.5" customHeight="1" x14ac:dyDescent="0.2">
      <c r="G12747" s="889"/>
    </row>
    <row r="12748" spans="7:7" ht="10.5" customHeight="1" x14ac:dyDescent="0.2">
      <c r="G12748" s="889"/>
    </row>
    <row r="12749" spans="7:7" ht="10.5" customHeight="1" x14ac:dyDescent="0.2">
      <c r="G12749" s="889"/>
    </row>
    <row r="12750" spans="7:7" ht="10.5" customHeight="1" x14ac:dyDescent="0.2">
      <c r="G12750" s="889"/>
    </row>
    <row r="12751" spans="7:7" ht="10.5" customHeight="1" x14ac:dyDescent="0.2">
      <c r="G12751" s="889"/>
    </row>
    <row r="12752" spans="7:7" ht="10.5" customHeight="1" x14ac:dyDescent="0.2">
      <c r="G12752" s="889"/>
    </row>
    <row r="12753" spans="7:7" ht="10.5" customHeight="1" x14ac:dyDescent="0.2">
      <c r="G12753" s="889"/>
    </row>
    <row r="12754" spans="7:7" ht="10.5" customHeight="1" x14ac:dyDescent="0.2">
      <c r="G12754" s="889"/>
    </row>
    <row r="12755" spans="7:7" ht="10.5" customHeight="1" x14ac:dyDescent="0.2">
      <c r="G12755" s="889"/>
    </row>
    <row r="12756" spans="7:7" ht="10.5" customHeight="1" x14ac:dyDescent="0.2">
      <c r="G12756" s="889"/>
    </row>
    <row r="12757" spans="7:7" ht="10.5" customHeight="1" x14ac:dyDescent="0.2">
      <c r="G12757" s="889"/>
    </row>
    <row r="12758" spans="7:7" ht="10.5" customHeight="1" x14ac:dyDescent="0.2">
      <c r="G12758" s="889"/>
    </row>
    <row r="12759" spans="7:7" ht="10.5" customHeight="1" x14ac:dyDescent="0.2">
      <c r="G12759" s="889"/>
    </row>
    <row r="12760" spans="7:7" ht="10.5" customHeight="1" x14ac:dyDescent="0.2">
      <c r="G12760" s="889"/>
    </row>
    <row r="12761" spans="7:7" ht="10.5" customHeight="1" x14ac:dyDescent="0.2">
      <c r="G12761" s="889"/>
    </row>
    <row r="12762" spans="7:7" ht="10.5" customHeight="1" x14ac:dyDescent="0.2">
      <c r="G12762" s="889"/>
    </row>
    <row r="12763" spans="7:7" ht="10.5" customHeight="1" x14ac:dyDescent="0.2">
      <c r="G12763" s="889"/>
    </row>
    <row r="12764" spans="7:7" ht="10.5" customHeight="1" x14ac:dyDescent="0.2">
      <c r="G12764" s="889"/>
    </row>
    <row r="12765" spans="7:7" ht="10.5" customHeight="1" x14ac:dyDescent="0.2">
      <c r="G12765" s="889"/>
    </row>
    <row r="12766" spans="7:7" ht="10.5" customHeight="1" x14ac:dyDescent="0.2">
      <c r="G12766" s="889"/>
    </row>
    <row r="12767" spans="7:7" ht="10.5" customHeight="1" x14ac:dyDescent="0.2">
      <c r="G12767" s="889"/>
    </row>
    <row r="12768" spans="7:7" ht="10.5" customHeight="1" x14ac:dyDescent="0.2">
      <c r="G12768" s="889"/>
    </row>
    <row r="12769" spans="7:7" ht="10.5" customHeight="1" x14ac:dyDescent="0.2">
      <c r="G12769" s="889"/>
    </row>
    <row r="12770" spans="7:7" ht="10.5" customHeight="1" x14ac:dyDescent="0.2">
      <c r="G12770" s="889"/>
    </row>
    <row r="12771" spans="7:7" ht="10.5" customHeight="1" x14ac:dyDescent="0.2">
      <c r="G12771" s="889"/>
    </row>
    <row r="12772" spans="7:7" ht="10.5" customHeight="1" x14ac:dyDescent="0.2">
      <c r="G12772" s="889"/>
    </row>
    <row r="12773" spans="7:7" ht="10.5" customHeight="1" x14ac:dyDescent="0.2">
      <c r="G12773" s="889"/>
    </row>
    <row r="12774" spans="7:7" ht="10.5" customHeight="1" x14ac:dyDescent="0.2">
      <c r="G12774" s="889"/>
    </row>
    <row r="12775" spans="7:7" ht="10.5" customHeight="1" x14ac:dyDescent="0.2">
      <c r="G12775" s="889"/>
    </row>
    <row r="12776" spans="7:7" ht="10.5" customHeight="1" x14ac:dyDescent="0.2">
      <c r="G12776" s="889"/>
    </row>
    <row r="12777" spans="7:7" ht="10.5" customHeight="1" x14ac:dyDescent="0.2">
      <c r="G12777" s="889"/>
    </row>
    <row r="12778" spans="7:7" ht="10.5" customHeight="1" x14ac:dyDescent="0.2">
      <c r="G12778" s="889"/>
    </row>
    <row r="12779" spans="7:7" ht="10.5" customHeight="1" x14ac:dyDescent="0.2">
      <c r="G12779" s="889"/>
    </row>
    <row r="12780" spans="7:7" ht="10.5" customHeight="1" x14ac:dyDescent="0.2">
      <c r="G12780" s="889"/>
    </row>
    <row r="12781" spans="7:7" ht="10.5" customHeight="1" x14ac:dyDescent="0.2">
      <c r="G12781" s="889"/>
    </row>
    <row r="12782" spans="7:7" ht="10.5" customHeight="1" x14ac:dyDescent="0.2">
      <c r="G12782" s="889"/>
    </row>
    <row r="12783" spans="7:7" ht="10.5" customHeight="1" x14ac:dyDescent="0.2">
      <c r="G12783" s="889"/>
    </row>
    <row r="12784" spans="7:7" ht="10.5" customHeight="1" x14ac:dyDescent="0.2">
      <c r="G12784" s="889"/>
    </row>
    <row r="12785" spans="7:7" ht="10.5" customHeight="1" x14ac:dyDescent="0.2">
      <c r="G12785" s="889"/>
    </row>
    <row r="12786" spans="7:7" ht="10.5" customHeight="1" x14ac:dyDescent="0.2">
      <c r="G12786" s="889"/>
    </row>
    <row r="12787" spans="7:7" ht="10.5" customHeight="1" x14ac:dyDescent="0.2">
      <c r="G12787" s="889"/>
    </row>
    <row r="12788" spans="7:7" ht="10.5" customHeight="1" x14ac:dyDescent="0.2">
      <c r="G12788" s="889"/>
    </row>
    <row r="12789" spans="7:7" ht="10.5" customHeight="1" x14ac:dyDescent="0.2">
      <c r="G12789" s="889"/>
    </row>
    <row r="12790" spans="7:7" ht="10.5" customHeight="1" x14ac:dyDescent="0.2">
      <c r="G12790" s="889"/>
    </row>
    <row r="12791" spans="7:7" ht="10.5" customHeight="1" x14ac:dyDescent="0.2">
      <c r="G12791" s="889"/>
    </row>
    <row r="12792" spans="7:7" ht="10.5" customHeight="1" x14ac:dyDescent="0.2">
      <c r="G12792" s="889"/>
    </row>
    <row r="12793" spans="7:7" ht="10.5" customHeight="1" x14ac:dyDescent="0.2">
      <c r="G12793" s="889"/>
    </row>
    <row r="12794" spans="7:7" ht="10.5" customHeight="1" x14ac:dyDescent="0.2">
      <c r="G12794" s="889"/>
    </row>
    <row r="12795" spans="7:7" ht="10.5" customHeight="1" x14ac:dyDescent="0.2">
      <c r="G12795" s="889"/>
    </row>
    <row r="12796" spans="7:7" ht="10.5" customHeight="1" x14ac:dyDescent="0.2">
      <c r="G12796" s="889"/>
    </row>
    <row r="12797" spans="7:7" ht="10.5" customHeight="1" x14ac:dyDescent="0.2">
      <c r="G12797" s="889"/>
    </row>
    <row r="12798" spans="7:7" ht="10.5" customHeight="1" x14ac:dyDescent="0.2">
      <c r="G12798" s="889"/>
    </row>
    <row r="12799" spans="7:7" ht="10.5" customHeight="1" x14ac:dyDescent="0.2">
      <c r="G12799" s="889"/>
    </row>
    <row r="12800" spans="7:7" ht="10.5" customHeight="1" x14ac:dyDescent="0.2">
      <c r="G12800" s="889"/>
    </row>
    <row r="12801" spans="7:7" ht="10.5" customHeight="1" x14ac:dyDescent="0.2">
      <c r="G12801" s="889"/>
    </row>
    <row r="12802" spans="7:7" ht="10.5" customHeight="1" x14ac:dyDescent="0.2">
      <c r="G12802" s="889"/>
    </row>
    <row r="12803" spans="7:7" ht="10.5" customHeight="1" x14ac:dyDescent="0.2">
      <c r="G12803" s="889"/>
    </row>
    <row r="12804" spans="7:7" ht="10.5" customHeight="1" x14ac:dyDescent="0.2">
      <c r="G12804" s="889"/>
    </row>
    <row r="12805" spans="7:7" ht="10.5" customHeight="1" x14ac:dyDescent="0.2">
      <c r="G12805" s="889"/>
    </row>
    <row r="12806" spans="7:7" ht="10.5" customHeight="1" x14ac:dyDescent="0.2">
      <c r="G12806" s="889"/>
    </row>
    <row r="12807" spans="7:7" ht="10.5" customHeight="1" x14ac:dyDescent="0.2">
      <c r="G12807" s="889"/>
    </row>
    <row r="12808" spans="7:7" ht="10.5" customHeight="1" x14ac:dyDescent="0.2">
      <c r="G12808" s="889"/>
    </row>
    <row r="12809" spans="7:7" ht="10.5" customHeight="1" x14ac:dyDescent="0.2">
      <c r="G12809" s="889"/>
    </row>
    <row r="12810" spans="7:7" ht="10.5" customHeight="1" x14ac:dyDescent="0.2">
      <c r="G12810" s="889"/>
    </row>
    <row r="12811" spans="7:7" ht="10.5" customHeight="1" x14ac:dyDescent="0.2">
      <c r="G12811" s="889"/>
    </row>
    <row r="12812" spans="7:7" ht="10.5" customHeight="1" x14ac:dyDescent="0.2">
      <c r="G12812" s="889"/>
    </row>
    <row r="12813" spans="7:7" ht="10.5" customHeight="1" x14ac:dyDescent="0.2">
      <c r="G12813" s="889"/>
    </row>
    <row r="12814" spans="7:7" ht="10.5" customHeight="1" x14ac:dyDescent="0.2">
      <c r="G12814" s="889"/>
    </row>
    <row r="12815" spans="7:7" ht="10.5" customHeight="1" x14ac:dyDescent="0.2">
      <c r="G12815" s="889"/>
    </row>
    <row r="12816" spans="7:7" ht="10.5" customHeight="1" x14ac:dyDescent="0.2">
      <c r="G12816" s="889"/>
    </row>
    <row r="12817" spans="7:7" ht="10.5" customHeight="1" x14ac:dyDescent="0.2">
      <c r="G12817" s="889"/>
    </row>
    <row r="12818" spans="7:7" ht="10.5" customHeight="1" x14ac:dyDescent="0.2">
      <c r="G12818" s="889"/>
    </row>
    <row r="12819" spans="7:7" ht="10.5" customHeight="1" x14ac:dyDescent="0.2">
      <c r="G12819" s="889"/>
    </row>
    <row r="12820" spans="7:7" ht="10.5" customHeight="1" x14ac:dyDescent="0.2">
      <c r="G12820" s="889"/>
    </row>
    <row r="12821" spans="7:7" ht="10.5" customHeight="1" x14ac:dyDescent="0.2">
      <c r="G12821" s="889"/>
    </row>
    <row r="12822" spans="7:7" ht="10.5" customHeight="1" x14ac:dyDescent="0.2">
      <c r="G12822" s="889"/>
    </row>
    <row r="12823" spans="7:7" ht="10.5" customHeight="1" x14ac:dyDescent="0.2">
      <c r="G12823" s="889"/>
    </row>
    <row r="12824" spans="7:7" ht="10.5" customHeight="1" x14ac:dyDescent="0.2">
      <c r="G12824" s="889"/>
    </row>
    <row r="12825" spans="7:7" ht="10.5" customHeight="1" x14ac:dyDescent="0.2">
      <c r="G12825" s="889"/>
    </row>
    <row r="12826" spans="7:7" ht="10.5" customHeight="1" x14ac:dyDescent="0.2">
      <c r="G12826" s="889"/>
    </row>
    <row r="12827" spans="7:7" ht="10.5" customHeight="1" x14ac:dyDescent="0.2">
      <c r="G12827" s="889"/>
    </row>
    <row r="12828" spans="7:7" ht="10.5" customHeight="1" x14ac:dyDescent="0.2">
      <c r="G12828" s="889"/>
    </row>
    <row r="12829" spans="7:7" ht="10.5" customHeight="1" x14ac:dyDescent="0.2">
      <c r="G12829" s="889"/>
    </row>
    <row r="12830" spans="7:7" ht="10.5" customHeight="1" x14ac:dyDescent="0.2">
      <c r="G12830" s="889"/>
    </row>
    <row r="12831" spans="7:7" ht="10.5" customHeight="1" x14ac:dyDescent="0.2">
      <c r="G12831" s="889"/>
    </row>
    <row r="12832" spans="7:7" ht="10.5" customHeight="1" x14ac:dyDescent="0.2">
      <c r="G12832" s="889"/>
    </row>
    <row r="12833" spans="7:7" ht="10.5" customHeight="1" x14ac:dyDescent="0.2">
      <c r="G12833" s="889"/>
    </row>
    <row r="12834" spans="7:7" ht="10.5" customHeight="1" x14ac:dyDescent="0.2">
      <c r="G12834" s="889"/>
    </row>
    <row r="12835" spans="7:7" ht="10.5" customHeight="1" x14ac:dyDescent="0.2">
      <c r="G12835" s="889"/>
    </row>
    <row r="12836" spans="7:7" ht="10.5" customHeight="1" x14ac:dyDescent="0.2">
      <c r="G12836" s="889"/>
    </row>
    <row r="12837" spans="7:7" ht="10.5" customHeight="1" x14ac:dyDescent="0.2">
      <c r="G12837" s="889"/>
    </row>
    <row r="12838" spans="7:7" ht="10.5" customHeight="1" x14ac:dyDescent="0.2">
      <c r="G12838" s="889"/>
    </row>
    <row r="12839" spans="7:7" ht="10.5" customHeight="1" x14ac:dyDescent="0.2">
      <c r="G12839" s="889"/>
    </row>
    <row r="12840" spans="7:7" ht="10.5" customHeight="1" x14ac:dyDescent="0.2">
      <c r="G12840" s="889"/>
    </row>
    <row r="12841" spans="7:7" ht="10.5" customHeight="1" x14ac:dyDescent="0.2">
      <c r="G12841" s="889"/>
    </row>
    <row r="12842" spans="7:7" ht="10.5" customHeight="1" x14ac:dyDescent="0.2">
      <c r="G12842" s="889"/>
    </row>
    <row r="12843" spans="7:7" ht="10.5" customHeight="1" x14ac:dyDescent="0.2">
      <c r="G12843" s="889"/>
    </row>
    <row r="12844" spans="7:7" ht="10.5" customHeight="1" x14ac:dyDescent="0.2">
      <c r="G12844" s="889"/>
    </row>
    <row r="12845" spans="7:7" ht="10.5" customHeight="1" x14ac:dyDescent="0.2">
      <c r="G12845" s="889"/>
    </row>
    <row r="12846" spans="7:7" ht="10.5" customHeight="1" x14ac:dyDescent="0.2">
      <c r="G12846" s="889"/>
    </row>
    <row r="12847" spans="7:7" ht="10.5" customHeight="1" x14ac:dyDescent="0.2">
      <c r="G12847" s="889"/>
    </row>
    <row r="12848" spans="7:7" ht="10.5" customHeight="1" x14ac:dyDescent="0.2">
      <c r="G12848" s="889"/>
    </row>
    <row r="12849" spans="7:7" ht="10.5" customHeight="1" x14ac:dyDescent="0.2">
      <c r="G12849" s="889"/>
    </row>
    <row r="12850" spans="7:7" ht="10.5" customHeight="1" x14ac:dyDescent="0.2">
      <c r="G12850" s="889"/>
    </row>
    <row r="12851" spans="7:7" ht="10.5" customHeight="1" x14ac:dyDescent="0.2">
      <c r="G12851" s="889"/>
    </row>
    <row r="12852" spans="7:7" ht="10.5" customHeight="1" x14ac:dyDescent="0.2">
      <c r="G12852" s="889"/>
    </row>
    <row r="12853" spans="7:7" ht="10.5" customHeight="1" x14ac:dyDescent="0.2">
      <c r="G12853" s="889"/>
    </row>
    <row r="12854" spans="7:7" ht="10.5" customHeight="1" x14ac:dyDescent="0.2">
      <c r="G12854" s="889"/>
    </row>
    <row r="12855" spans="7:7" ht="10.5" customHeight="1" x14ac:dyDescent="0.2">
      <c r="G12855" s="889"/>
    </row>
    <row r="12856" spans="7:7" ht="10.5" customHeight="1" x14ac:dyDescent="0.2">
      <c r="G12856" s="889"/>
    </row>
    <row r="12857" spans="7:7" ht="10.5" customHeight="1" x14ac:dyDescent="0.2">
      <c r="G12857" s="889"/>
    </row>
    <row r="12858" spans="7:7" ht="10.5" customHeight="1" x14ac:dyDescent="0.2">
      <c r="G12858" s="889"/>
    </row>
    <row r="12859" spans="7:7" ht="10.5" customHeight="1" x14ac:dyDescent="0.2">
      <c r="G12859" s="889"/>
    </row>
    <row r="12860" spans="7:7" ht="10.5" customHeight="1" x14ac:dyDescent="0.2">
      <c r="G12860" s="889"/>
    </row>
    <row r="12861" spans="7:7" ht="10.5" customHeight="1" x14ac:dyDescent="0.2">
      <c r="G12861" s="889"/>
    </row>
    <row r="12862" spans="7:7" ht="10.5" customHeight="1" x14ac:dyDescent="0.2">
      <c r="G12862" s="889"/>
    </row>
    <row r="12863" spans="7:7" ht="10.5" customHeight="1" x14ac:dyDescent="0.2">
      <c r="G12863" s="889"/>
    </row>
    <row r="12864" spans="7:7" ht="10.5" customHeight="1" x14ac:dyDescent="0.2">
      <c r="G12864" s="889"/>
    </row>
    <row r="12865" spans="7:7" ht="10.5" customHeight="1" x14ac:dyDescent="0.2">
      <c r="G12865" s="889"/>
    </row>
    <row r="12866" spans="7:7" ht="10.5" customHeight="1" x14ac:dyDescent="0.2">
      <c r="G12866" s="889"/>
    </row>
    <row r="12867" spans="7:7" ht="10.5" customHeight="1" x14ac:dyDescent="0.2">
      <c r="G12867" s="889"/>
    </row>
    <row r="12868" spans="7:7" ht="10.5" customHeight="1" x14ac:dyDescent="0.2">
      <c r="G12868" s="889"/>
    </row>
    <row r="12869" spans="7:7" ht="10.5" customHeight="1" x14ac:dyDescent="0.2">
      <c r="G12869" s="889"/>
    </row>
    <row r="12870" spans="7:7" ht="10.5" customHeight="1" x14ac:dyDescent="0.2">
      <c r="G12870" s="889"/>
    </row>
    <row r="12871" spans="7:7" ht="10.5" customHeight="1" x14ac:dyDescent="0.2">
      <c r="G12871" s="889"/>
    </row>
    <row r="12872" spans="7:7" ht="10.5" customHeight="1" x14ac:dyDescent="0.2">
      <c r="G12872" s="889"/>
    </row>
    <row r="12873" spans="7:7" ht="10.5" customHeight="1" x14ac:dyDescent="0.2">
      <c r="G12873" s="889"/>
    </row>
    <row r="12874" spans="7:7" ht="10.5" customHeight="1" x14ac:dyDescent="0.2">
      <c r="G12874" s="889"/>
    </row>
    <row r="12875" spans="7:7" ht="10.5" customHeight="1" x14ac:dyDescent="0.2">
      <c r="G12875" s="889"/>
    </row>
    <row r="12876" spans="7:7" ht="10.5" customHeight="1" x14ac:dyDescent="0.2">
      <c r="G12876" s="889"/>
    </row>
    <row r="12877" spans="7:7" ht="10.5" customHeight="1" x14ac:dyDescent="0.2">
      <c r="G12877" s="889"/>
    </row>
    <row r="12878" spans="7:7" ht="10.5" customHeight="1" x14ac:dyDescent="0.2">
      <c r="G12878" s="889"/>
    </row>
    <row r="12879" spans="7:7" ht="10.5" customHeight="1" x14ac:dyDescent="0.2">
      <c r="G12879" s="889"/>
    </row>
    <row r="12880" spans="7:7" ht="10.5" customHeight="1" x14ac:dyDescent="0.2">
      <c r="G12880" s="889"/>
    </row>
    <row r="12881" spans="7:7" ht="10.5" customHeight="1" x14ac:dyDescent="0.2">
      <c r="G12881" s="889"/>
    </row>
    <row r="12882" spans="7:7" ht="10.5" customHeight="1" x14ac:dyDescent="0.2">
      <c r="G12882" s="889"/>
    </row>
    <row r="12883" spans="7:7" ht="10.5" customHeight="1" x14ac:dyDescent="0.2">
      <c r="G12883" s="889"/>
    </row>
    <row r="12884" spans="7:7" ht="10.5" customHeight="1" x14ac:dyDescent="0.2">
      <c r="G12884" s="889"/>
    </row>
    <row r="12885" spans="7:7" ht="10.5" customHeight="1" x14ac:dyDescent="0.2">
      <c r="G12885" s="889"/>
    </row>
    <row r="12886" spans="7:7" ht="10.5" customHeight="1" x14ac:dyDescent="0.2">
      <c r="G12886" s="889"/>
    </row>
    <row r="12887" spans="7:7" ht="10.5" customHeight="1" x14ac:dyDescent="0.2">
      <c r="G12887" s="889"/>
    </row>
    <row r="12888" spans="7:7" ht="10.5" customHeight="1" x14ac:dyDescent="0.2">
      <c r="G12888" s="889"/>
    </row>
    <row r="12889" spans="7:7" ht="10.5" customHeight="1" x14ac:dyDescent="0.2">
      <c r="G12889" s="889"/>
    </row>
    <row r="12890" spans="7:7" ht="10.5" customHeight="1" x14ac:dyDescent="0.2">
      <c r="G12890" s="889"/>
    </row>
    <row r="12891" spans="7:7" ht="10.5" customHeight="1" x14ac:dyDescent="0.2">
      <c r="G12891" s="889"/>
    </row>
    <row r="12892" spans="7:7" ht="10.5" customHeight="1" x14ac:dyDescent="0.2">
      <c r="G12892" s="889"/>
    </row>
    <row r="12893" spans="7:7" ht="10.5" customHeight="1" x14ac:dyDescent="0.2">
      <c r="G12893" s="889"/>
    </row>
    <row r="12894" spans="7:7" ht="10.5" customHeight="1" x14ac:dyDescent="0.2">
      <c r="G12894" s="889"/>
    </row>
    <row r="12895" spans="7:7" ht="10.5" customHeight="1" x14ac:dyDescent="0.2">
      <c r="G12895" s="889"/>
    </row>
    <row r="12896" spans="7:7" ht="10.5" customHeight="1" x14ac:dyDescent="0.2">
      <c r="G12896" s="889"/>
    </row>
    <row r="12897" spans="7:7" ht="10.5" customHeight="1" x14ac:dyDescent="0.2">
      <c r="G12897" s="889"/>
    </row>
    <row r="12898" spans="7:7" ht="10.5" customHeight="1" x14ac:dyDescent="0.2">
      <c r="G12898" s="889"/>
    </row>
    <row r="12899" spans="7:7" ht="10.5" customHeight="1" x14ac:dyDescent="0.2">
      <c r="G12899" s="889"/>
    </row>
    <row r="12900" spans="7:7" ht="10.5" customHeight="1" x14ac:dyDescent="0.2">
      <c r="G12900" s="889"/>
    </row>
    <row r="12901" spans="7:7" ht="10.5" customHeight="1" x14ac:dyDescent="0.2">
      <c r="G12901" s="889"/>
    </row>
    <row r="12902" spans="7:7" ht="10.5" customHeight="1" x14ac:dyDescent="0.2">
      <c r="G12902" s="889"/>
    </row>
    <row r="12903" spans="7:7" ht="10.5" customHeight="1" x14ac:dyDescent="0.2">
      <c r="G12903" s="889"/>
    </row>
    <row r="12904" spans="7:7" ht="10.5" customHeight="1" x14ac:dyDescent="0.2">
      <c r="G12904" s="889"/>
    </row>
    <row r="12905" spans="7:7" ht="10.5" customHeight="1" x14ac:dyDescent="0.2">
      <c r="G12905" s="889"/>
    </row>
    <row r="12906" spans="7:7" ht="10.5" customHeight="1" x14ac:dyDescent="0.2">
      <c r="G12906" s="889"/>
    </row>
    <row r="12907" spans="7:7" ht="10.5" customHeight="1" x14ac:dyDescent="0.2">
      <c r="G12907" s="889"/>
    </row>
    <row r="12908" spans="7:7" ht="10.5" customHeight="1" x14ac:dyDescent="0.2">
      <c r="G12908" s="889"/>
    </row>
    <row r="12909" spans="7:7" ht="10.5" customHeight="1" x14ac:dyDescent="0.2">
      <c r="G12909" s="889"/>
    </row>
    <row r="12910" spans="7:7" ht="10.5" customHeight="1" x14ac:dyDescent="0.2">
      <c r="G12910" s="889"/>
    </row>
    <row r="12911" spans="7:7" ht="10.5" customHeight="1" x14ac:dyDescent="0.2">
      <c r="G12911" s="889"/>
    </row>
    <row r="12912" spans="7:7" ht="10.5" customHeight="1" x14ac:dyDescent="0.2">
      <c r="G12912" s="889"/>
    </row>
    <row r="12913" spans="7:7" ht="10.5" customHeight="1" x14ac:dyDescent="0.2">
      <c r="G12913" s="889"/>
    </row>
    <row r="12914" spans="7:7" ht="10.5" customHeight="1" x14ac:dyDescent="0.2">
      <c r="G12914" s="889"/>
    </row>
    <row r="12915" spans="7:7" ht="10.5" customHeight="1" x14ac:dyDescent="0.2">
      <c r="G12915" s="889"/>
    </row>
    <row r="12916" spans="7:7" ht="10.5" customHeight="1" x14ac:dyDescent="0.2">
      <c r="G12916" s="889"/>
    </row>
    <row r="12917" spans="7:7" ht="10.5" customHeight="1" x14ac:dyDescent="0.2">
      <c r="G12917" s="889"/>
    </row>
    <row r="12918" spans="7:7" ht="10.5" customHeight="1" x14ac:dyDescent="0.2">
      <c r="G12918" s="889"/>
    </row>
    <row r="12919" spans="7:7" ht="10.5" customHeight="1" x14ac:dyDescent="0.2">
      <c r="G12919" s="889"/>
    </row>
    <row r="12920" spans="7:7" ht="10.5" customHeight="1" x14ac:dyDescent="0.2">
      <c r="G12920" s="889"/>
    </row>
    <row r="12921" spans="7:7" ht="10.5" customHeight="1" x14ac:dyDescent="0.2">
      <c r="G12921" s="889"/>
    </row>
    <row r="12922" spans="7:7" ht="10.5" customHeight="1" x14ac:dyDescent="0.2">
      <c r="G12922" s="889"/>
    </row>
    <row r="12923" spans="7:7" ht="10.5" customHeight="1" x14ac:dyDescent="0.2">
      <c r="G12923" s="889"/>
    </row>
    <row r="12924" spans="7:7" ht="10.5" customHeight="1" x14ac:dyDescent="0.2">
      <c r="G12924" s="889"/>
    </row>
    <row r="12925" spans="7:7" ht="10.5" customHeight="1" x14ac:dyDescent="0.2">
      <c r="G12925" s="889"/>
    </row>
    <row r="12926" spans="7:7" ht="10.5" customHeight="1" x14ac:dyDescent="0.2">
      <c r="G12926" s="889"/>
    </row>
    <row r="12927" spans="7:7" ht="10.5" customHeight="1" x14ac:dyDescent="0.2">
      <c r="G12927" s="889"/>
    </row>
    <row r="12928" spans="7:7" ht="10.5" customHeight="1" x14ac:dyDescent="0.2">
      <c r="G12928" s="889"/>
    </row>
    <row r="12929" spans="7:7" ht="10.5" customHeight="1" x14ac:dyDescent="0.2">
      <c r="G12929" s="889"/>
    </row>
    <row r="12930" spans="7:7" ht="10.5" customHeight="1" x14ac:dyDescent="0.2">
      <c r="G12930" s="889"/>
    </row>
    <row r="12931" spans="7:7" ht="10.5" customHeight="1" x14ac:dyDescent="0.2">
      <c r="G12931" s="889"/>
    </row>
    <row r="12932" spans="7:7" ht="10.5" customHeight="1" x14ac:dyDescent="0.2">
      <c r="G12932" s="889"/>
    </row>
    <row r="12933" spans="7:7" ht="10.5" customHeight="1" x14ac:dyDescent="0.2">
      <c r="G12933" s="889"/>
    </row>
    <row r="12934" spans="7:7" ht="10.5" customHeight="1" x14ac:dyDescent="0.2">
      <c r="G12934" s="889"/>
    </row>
    <row r="12935" spans="7:7" ht="10.5" customHeight="1" x14ac:dyDescent="0.2">
      <c r="G12935" s="889"/>
    </row>
    <row r="12936" spans="7:7" ht="10.5" customHeight="1" x14ac:dyDescent="0.2">
      <c r="G12936" s="889"/>
    </row>
    <row r="12937" spans="7:7" ht="10.5" customHeight="1" x14ac:dyDescent="0.2">
      <c r="G12937" s="889"/>
    </row>
    <row r="12938" spans="7:7" ht="10.5" customHeight="1" x14ac:dyDescent="0.2">
      <c r="G12938" s="889"/>
    </row>
    <row r="12939" spans="7:7" ht="10.5" customHeight="1" x14ac:dyDescent="0.2">
      <c r="G12939" s="889"/>
    </row>
    <row r="12940" spans="7:7" ht="10.5" customHeight="1" x14ac:dyDescent="0.2">
      <c r="G12940" s="889"/>
    </row>
    <row r="12941" spans="7:7" ht="10.5" customHeight="1" x14ac:dyDescent="0.2">
      <c r="G12941" s="889"/>
    </row>
    <row r="12942" spans="7:7" ht="10.5" customHeight="1" x14ac:dyDescent="0.2">
      <c r="G12942" s="889"/>
    </row>
    <row r="12943" spans="7:7" ht="10.5" customHeight="1" x14ac:dyDescent="0.2">
      <c r="G12943" s="889"/>
    </row>
    <row r="12944" spans="7:7" ht="10.5" customHeight="1" x14ac:dyDescent="0.2">
      <c r="G12944" s="889"/>
    </row>
    <row r="12945" spans="7:7" ht="10.5" customHeight="1" x14ac:dyDescent="0.2">
      <c r="G12945" s="889"/>
    </row>
    <row r="12946" spans="7:7" ht="10.5" customHeight="1" x14ac:dyDescent="0.2">
      <c r="G12946" s="889"/>
    </row>
    <row r="12947" spans="7:7" ht="10.5" customHeight="1" x14ac:dyDescent="0.2">
      <c r="G12947" s="889"/>
    </row>
    <row r="12948" spans="7:7" ht="10.5" customHeight="1" x14ac:dyDescent="0.2">
      <c r="G12948" s="889"/>
    </row>
    <row r="12949" spans="7:7" ht="10.5" customHeight="1" x14ac:dyDescent="0.2">
      <c r="G12949" s="889"/>
    </row>
    <row r="12950" spans="7:7" ht="10.5" customHeight="1" x14ac:dyDescent="0.2">
      <c r="G12950" s="889"/>
    </row>
    <row r="12951" spans="7:7" ht="10.5" customHeight="1" x14ac:dyDescent="0.2">
      <c r="G12951" s="889"/>
    </row>
    <row r="12952" spans="7:7" ht="10.5" customHeight="1" x14ac:dyDescent="0.2">
      <c r="G12952" s="889"/>
    </row>
    <row r="12953" spans="7:7" ht="10.5" customHeight="1" x14ac:dyDescent="0.2">
      <c r="G12953" s="889"/>
    </row>
    <row r="12954" spans="7:7" ht="10.5" customHeight="1" x14ac:dyDescent="0.2">
      <c r="G12954" s="889"/>
    </row>
    <row r="12955" spans="7:7" ht="10.5" customHeight="1" x14ac:dyDescent="0.2">
      <c r="G12955" s="889"/>
    </row>
    <row r="12956" spans="7:7" ht="10.5" customHeight="1" x14ac:dyDescent="0.2">
      <c r="G12956" s="889"/>
    </row>
    <row r="12957" spans="7:7" ht="10.5" customHeight="1" x14ac:dyDescent="0.2">
      <c r="G12957" s="889"/>
    </row>
    <row r="12958" spans="7:7" ht="10.5" customHeight="1" x14ac:dyDescent="0.2">
      <c r="G12958" s="889"/>
    </row>
    <row r="12959" spans="7:7" ht="10.5" customHeight="1" x14ac:dyDescent="0.2">
      <c r="G12959" s="889"/>
    </row>
    <row r="12960" spans="7:7" ht="10.5" customHeight="1" x14ac:dyDescent="0.2">
      <c r="G12960" s="889"/>
    </row>
    <row r="12961" spans="7:7" ht="10.5" customHeight="1" x14ac:dyDescent="0.2">
      <c r="G12961" s="889"/>
    </row>
    <row r="12962" spans="7:7" ht="10.5" customHeight="1" x14ac:dyDescent="0.2">
      <c r="G12962" s="889"/>
    </row>
    <row r="12963" spans="7:7" ht="10.5" customHeight="1" x14ac:dyDescent="0.2">
      <c r="G12963" s="889"/>
    </row>
    <row r="12964" spans="7:7" ht="10.5" customHeight="1" x14ac:dyDescent="0.2">
      <c r="G12964" s="889"/>
    </row>
    <row r="12965" spans="7:7" ht="10.5" customHeight="1" x14ac:dyDescent="0.2">
      <c r="G12965" s="889"/>
    </row>
    <row r="12966" spans="7:7" ht="10.5" customHeight="1" x14ac:dyDescent="0.2">
      <c r="G12966" s="889"/>
    </row>
    <row r="12967" spans="7:7" ht="10.5" customHeight="1" x14ac:dyDescent="0.2">
      <c r="G12967" s="889"/>
    </row>
    <row r="12968" spans="7:7" ht="10.5" customHeight="1" x14ac:dyDescent="0.2">
      <c r="G12968" s="889"/>
    </row>
    <row r="12969" spans="7:7" ht="10.5" customHeight="1" x14ac:dyDescent="0.2">
      <c r="G12969" s="889"/>
    </row>
    <row r="12970" spans="7:7" ht="10.5" customHeight="1" x14ac:dyDescent="0.2">
      <c r="G12970" s="889"/>
    </row>
    <row r="12971" spans="7:7" ht="10.5" customHeight="1" x14ac:dyDescent="0.2">
      <c r="G12971" s="889"/>
    </row>
    <row r="12972" spans="7:7" ht="10.5" customHeight="1" x14ac:dyDescent="0.2">
      <c r="G12972" s="889"/>
    </row>
    <row r="12973" spans="7:7" ht="10.5" customHeight="1" x14ac:dyDescent="0.2">
      <c r="G12973" s="889"/>
    </row>
    <row r="12974" spans="7:7" ht="10.5" customHeight="1" x14ac:dyDescent="0.2">
      <c r="G12974" s="889"/>
    </row>
    <row r="12975" spans="7:7" ht="10.5" customHeight="1" x14ac:dyDescent="0.2">
      <c r="G12975" s="889"/>
    </row>
    <row r="12976" spans="7:7" ht="10.5" customHeight="1" x14ac:dyDescent="0.2">
      <c r="G12976" s="889"/>
    </row>
    <row r="12977" spans="7:7" ht="10.5" customHeight="1" x14ac:dyDescent="0.2">
      <c r="G12977" s="889"/>
    </row>
    <row r="12978" spans="7:7" ht="10.5" customHeight="1" x14ac:dyDescent="0.2">
      <c r="G12978" s="889"/>
    </row>
    <row r="12979" spans="7:7" ht="10.5" customHeight="1" x14ac:dyDescent="0.2">
      <c r="G12979" s="889"/>
    </row>
    <row r="12980" spans="7:7" ht="10.5" customHeight="1" x14ac:dyDescent="0.2">
      <c r="G12980" s="889"/>
    </row>
    <row r="12981" spans="7:7" ht="10.5" customHeight="1" x14ac:dyDescent="0.2">
      <c r="G12981" s="889"/>
    </row>
    <row r="12982" spans="7:7" ht="10.5" customHeight="1" x14ac:dyDescent="0.2">
      <c r="G12982" s="889"/>
    </row>
    <row r="12983" spans="7:7" ht="10.5" customHeight="1" x14ac:dyDescent="0.2">
      <c r="G12983" s="889"/>
    </row>
    <row r="12984" spans="7:7" ht="10.5" customHeight="1" x14ac:dyDescent="0.2">
      <c r="G12984" s="889"/>
    </row>
    <row r="12985" spans="7:7" ht="10.5" customHeight="1" x14ac:dyDescent="0.2">
      <c r="G12985" s="889"/>
    </row>
    <row r="12986" spans="7:7" ht="10.5" customHeight="1" x14ac:dyDescent="0.2">
      <c r="G12986" s="889"/>
    </row>
    <row r="12987" spans="7:7" ht="10.5" customHeight="1" x14ac:dyDescent="0.2">
      <c r="G12987" s="889"/>
    </row>
    <row r="12988" spans="7:7" ht="10.5" customHeight="1" x14ac:dyDescent="0.2">
      <c r="G12988" s="889"/>
    </row>
    <row r="12989" spans="7:7" ht="10.5" customHeight="1" x14ac:dyDescent="0.2">
      <c r="G12989" s="889"/>
    </row>
    <row r="12990" spans="7:7" ht="10.5" customHeight="1" x14ac:dyDescent="0.2">
      <c r="G12990" s="889"/>
    </row>
    <row r="12991" spans="7:7" ht="10.5" customHeight="1" x14ac:dyDescent="0.2">
      <c r="G12991" s="889"/>
    </row>
    <row r="12992" spans="7:7" ht="10.5" customHeight="1" x14ac:dyDescent="0.2">
      <c r="G12992" s="889"/>
    </row>
    <row r="12993" spans="7:7" ht="10.5" customHeight="1" x14ac:dyDescent="0.2">
      <c r="G12993" s="889"/>
    </row>
    <row r="12994" spans="7:7" ht="10.5" customHeight="1" x14ac:dyDescent="0.2">
      <c r="G12994" s="889"/>
    </row>
    <row r="12995" spans="7:7" ht="10.5" customHeight="1" x14ac:dyDescent="0.2">
      <c r="G12995" s="889"/>
    </row>
    <row r="12996" spans="7:7" ht="10.5" customHeight="1" x14ac:dyDescent="0.2">
      <c r="G12996" s="889"/>
    </row>
    <row r="12997" spans="7:7" ht="10.5" customHeight="1" x14ac:dyDescent="0.2">
      <c r="G12997" s="889"/>
    </row>
    <row r="12998" spans="7:7" ht="10.5" customHeight="1" x14ac:dyDescent="0.2">
      <c r="G12998" s="889"/>
    </row>
    <row r="12999" spans="7:7" ht="10.5" customHeight="1" x14ac:dyDescent="0.2">
      <c r="G12999" s="889"/>
    </row>
    <row r="13000" spans="7:7" ht="10.5" customHeight="1" x14ac:dyDescent="0.2">
      <c r="G13000" s="889"/>
    </row>
    <row r="13001" spans="7:7" ht="10.5" customHeight="1" x14ac:dyDescent="0.2">
      <c r="G13001" s="889"/>
    </row>
    <row r="13002" spans="7:7" ht="10.5" customHeight="1" x14ac:dyDescent="0.2">
      <c r="G13002" s="889"/>
    </row>
    <row r="13003" spans="7:7" ht="10.5" customHeight="1" x14ac:dyDescent="0.2">
      <c r="G13003" s="889"/>
    </row>
    <row r="13004" spans="7:7" ht="10.5" customHeight="1" x14ac:dyDescent="0.2">
      <c r="G13004" s="889"/>
    </row>
    <row r="13005" spans="7:7" ht="10.5" customHeight="1" x14ac:dyDescent="0.2">
      <c r="G13005" s="889"/>
    </row>
    <row r="13006" spans="7:7" ht="10.5" customHeight="1" x14ac:dyDescent="0.2">
      <c r="G13006" s="889"/>
    </row>
    <row r="13007" spans="7:7" ht="10.5" customHeight="1" x14ac:dyDescent="0.2">
      <c r="G13007" s="889"/>
    </row>
    <row r="13008" spans="7:7" ht="10.5" customHeight="1" x14ac:dyDescent="0.2">
      <c r="G13008" s="889"/>
    </row>
    <row r="13009" spans="7:7" ht="10.5" customHeight="1" x14ac:dyDescent="0.2">
      <c r="G13009" s="889"/>
    </row>
    <row r="13010" spans="7:7" ht="10.5" customHeight="1" x14ac:dyDescent="0.2">
      <c r="G13010" s="889"/>
    </row>
    <row r="13011" spans="7:7" ht="10.5" customHeight="1" x14ac:dyDescent="0.2">
      <c r="G13011" s="889"/>
    </row>
    <row r="13012" spans="7:7" ht="10.5" customHeight="1" x14ac:dyDescent="0.2">
      <c r="G13012" s="889"/>
    </row>
    <row r="13013" spans="7:7" ht="10.5" customHeight="1" x14ac:dyDescent="0.2">
      <c r="G13013" s="889"/>
    </row>
    <row r="13014" spans="7:7" ht="10.5" customHeight="1" x14ac:dyDescent="0.2">
      <c r="G13014" s="889"/>
    </row>
    <row r="13015" spans="7:7" ht="10.5" customHeight="1" x14ac:dyDescent="0.2">
      <c r="G13015" s="889"/>
    </row>
    <row r="13016" spans="7:7" ht="10.5" customHeight="1" x14ac:dyDescent="0.2">
      <c r="G13016" s="889"/>
    </row>
    <row r="13017" spans="7:7" ht="10.5" customHeight="1" x14ac:dyDescent="0.2">
      <c r="G13017" s="889"/>
    </row>
    <row r="13018" spans="7:7" ht="10.5" customHeight="1" x14ac:dyDescent="0.2">
      <c r="G13018" s="889"/>
    </row>
    <row r="13019" spans="7:7" ht="10.5" customHeight="1" x14ac:dyDescent="0.2">
      <c r="G13019" s="889"/>
    </row>
    <row r="13020" spans="7:7" ht="10.5" customHeight="1" x14ac:dyDescent="0.2">
      <c r="G13020" s="889"/>
    </row>
    <row r="13021" spans="7:7" ht="10.5" customHeight="1" x14ac:dyDescent="0.2">
      <c r="G13021" s="889"/>
    </row>
    <row r="13022" spans="7:7" ht="10.5" customHeight="1" x14ac:dyDescent="0.2">
      <c r="G13022" s="889"/>
    </row>
    <row r="13023" spans="7:7" ht="10.5" customHeight="1" x14ac:dyDescent="0.2">
      <c r="G13023" s="889"/>
    </row>
    <row r="13024" spans="7:7" ht="10.5" customHeight="1" x14ac:dyDescent="0.2">
      <c r="G13024" s="889"/>
    </row>
    <row r="13025" spans="7:7" ht="10.5" customHeight="1" x14ac:dyDescent="0.2">
      <c r="G13025" s="889"/>
    </row>
    <row r="13026" spans="7:7" ht="10.5" customHeight="1" x14ac:dyDescent="0.2">
      <c r="G13026" s="889"/>
    </row>
    <row r="13027" spans="7:7" ht="10.5" customHeight="1" x14ac:dyDescent="0.2">
      <c r="G13027" s="889"/>
    </row>
    <row r="13028" spans="7:7" ht="10.5" customHeight="1" x14ac:dyDescent="0.2">
      <c r="G13028" s="889"/>
    </row>
    <row r="13029" spans="7:7" ht="10.5" customHeight="1" x14ac:dyDescent="0.2">
      <c r="G13029" s="889"/>
    </row>
    <row r="13030" spans="7:7" ht="10.5" customHeight="1" x14ac:dyDescent="0.2">
      <c r="G13030" s="889"/>
    </row>
    <row r="13031" spans="7:7" ht="10.5" customHeight="1" x14ac:dyDescent="0.2">
      <c r="G13031" s="889"/>
    </row>
    <row r="13032" spans="7:7" ht="10.5" customHeight="1" x14ac:dyDescent="0.2">
      <c r="G13032" s="889"/>
    </row>
    <row r="13033" spans="7:7" ht="10.5" customHeight="1" x14ac:dyDescent="0.2">
      <c r="G13033" s="889"/>
    </row>
    <row r="13034" spans="7:7" ht="10.5" customHeight="1" x14ac:dyDescent="0.2">
      <c r="G13034" s="889"/>
    </row>
    <row r="13035" spans="7:7" ht="10.5" customHeight="1" x14ac:dyDescent="0.2">
      <c r="G13035" s="889"/>
    </row>
    <row r="13036" spans="7:7" ht="10.5" customHeight="1" x14ac:dyDescent="0.2">
      <c r="G13036" s="889"/>
    </row>
    <row r="13037" spans="7:7" ht="10.5" customHeight="1" x14ac:dyDescent="0.2">
      <c r="G13037" s="889"/>
    </row>
    <row r="13038" spans="7:7" ht="10.5" customHeight="1" x14ac:dyDescent="0.2">
      <c r="G13038" s="889"/>
    </row>
    <row r="13039" spans="7:7" ht="10.5" customHeight="1" x14ac:dyDescent="0.2">
      <c r="G13039" s="889"/>
    </row>
    <row r="13040" spans="7:7" ht="10.5" customHeight="1" x14ac:dyDescent="0.2">
      <c r="G13040" s="889"/>
    </row>
    <row r="13041" spans="7:7" ht="10.5" customHeight="1" x14ac:dyDescent="0.2">
      <c r="G13041" s="889"/>
    </row>
    <row r="13042" spans="7:7" ht="10.5" customHeight="1" x14ac:dyDescent="0.2">
      <c r="G13042" s="889"/>
    </row>
    <row r="13043" spans="7:7" ht="10.5" customHeight="1" x14ac:dyDescent="0.2">
      <c r="G13043" s="889"/>
    </row>
    <row r="13044" spans="7:7" ht="10.5" customHeight="1" x14ac:dyDescent="0.2">
      <c r="G13044" s="889"/>
    </row>
    <row r="13045" spans="7:7" ht="10.5" customHeight="1" x14ac:dyDescent="0.2">
      <c r="G13045" s="889"/>
    </row>
    <row r="13046" spans="7:7" ht="10.5" customHeight="1" x14ac:dyDescent="0.2">
      <c r="G13046" s="889"/>
    </row>
    <row r="13047" spans="7:7" ht="10.5" customHeight="1" x14ac:dyDescent="0.2">
      <c r="G13047" s="889"/>
    </row>
    <row r="13048" spans="7:7" ht="10.5" customHeight="1" x14ac:dyDescent="0.2">
      <c r="G13048" s="889"/>
    </row>
    <row r="13049" spans="7:7" ht="10.5" customHeight="1" x14ac:dyDescent="0.2">
      <c r="G13049" s="889"/>
    </row>
    <row r="13050" spans="7:7" ht="10.5" customHeight="1" x14ac:dyDescent="0.2">
      <c r="G13050" s="889"/>
    </row>
    <row r="13051" spans="7:7" ht="10.5" customHeight="1" x14ac:dyDescent="0.2">
      <c r="G13051" s="889"/>
    </row>
    <row r="13052" spans="7:7" ht="10.5" customHeight="1" x14ac:dyDescent="0.2">
      <c r="G13052" s="889"/>
    </row>
    <row r="13053" spans="7:7" ht="10.5" customHeight="1" x14ac:dyDescent="0.2">
      <c r="G13053" s="889"/>
    </row>
    <row r="13054" spans="7:7" ht="10.5" customHeight="1" x14ac:dyDescent="0.2">
      <c r="G13054" s="889"/>
    </row>
    <row r="13055" spans="7:7" ht="10.5" customHeight="1" x14ac:dyDescent="0.2">
      <c r="G13055" s="889"/>
    </row>
    <row r="13056" spans="7:7" ht="10.5" customHeight="1" x14ac:dyDescent="0.2">
      <c r="G13056" s="889"/>
    </row>
    <row r="13057" spans="7:7" ht="10.5" customHeight="1" x14ac:dyDescent="0.2">
      <c r="G13057" s="889"/>
    </row>
    <row r="13058" spans="7:7" ht="10.5" customHeight="1" x14ac:dyDescent="0.2">
      <c r="G13058" s="889"/>
    </row>
    <row r="13059" spans="7:7" ht="10.5" customHeight="1" x14ac:dyDescent="0.2">
      <c r="G13059" s="889"/>
    </row>
    <row r="13060" spans="7:7" ht="10.5" customHeight="1" x14ac:dyDescent="0.2">
      <c r="G13060" s="889"/>
    </row>
    <row r="13061" spans="7:7" ht="10.5" customHeight="1" x14ac:dyDescent="0.2">
      <c r="G13061" s="889"/>
    </row>
    <row r="13062" spans="7:7" ht="10.5" customHeight="1" x14ac:dyDescent="0.2">
      <c r="G13062" s="889"/>
    </row>
    <row r="13063" spans="7:7" ht="10.5" customHeight="1" x14ac:dyDescent="0.2">
      <c r="G13063" s="889"/>
    </row>
    <row r="13064" spans="7:7" ht="10.5" customHeight="1" x14ac:dyDescent="0.2">
      <c r="G13064" s="889"/>
    </row>
    <row r="13065" spans="7:7" ht="10.5" customHeight="1" x14ac:dyDescent="0.2">
      <c r="G13065" s="889"/>
    </row>
    <row r="13066" spans="7:7" ht="10.5" customHeight="1" x14ac:dyDescent="0.2">
      <c r="G13066" s="889"/>
    </row>
    <row r="13067" spans="7:7" ht="10.5" customHeight="1" x14ac:dyDescent="0.2">
      <c r="G13067" s="889"/>
    </row>
    <row r="13068" spans="7:7" ht="10.5" customHeight="1" x14ac:dyDescent="0.2">
      <c r="G13068" s="889"/>
    </row>
    <row r="13069" spans="7:7" ht="10.5" customHeight="1" x14ac:dyDescent="0.2">
      <c r="G13069" s="889"/>
    </row>
    <row r="13070" spans="7:7" ht="10.5" customHeight="1" x14ac:dyDescent="0.2">
      <c r="G13070" s="889"/>
    </row>
    <row r="13071" spans="7:7" ht="10.5" customHeight="1" x14ac:dyDescent="0.2">
      <c r="G13071" s="889"/>
    </row>
    <row r="13072" spans="7:7" ht="10.5" customHeight="1" x14ac:dyDescent="0.2">
      <c r="G13072" s="889"/>
    </row>
    <row r="13073" spans="7:7" ht="10.5" customHeight="1" x14ac:dyDescent="0.2">
      <c r="G13073" s="889"/>
    </row>
    <row r="13074" spans="7:7" ht="10.5" customHeight="1" x14ac:dyDescent="0.2">
      <c r="G13074" s="889"/>
    </row>
    <row r="13075" spans="7:7" ht="10.5" customHeight="1" x14ac:dyDescent="0.2">
      <c r="G13075" s="889"/>
    </row>
    <row r="13076" spans="7:7" ht="10.5" customHeight="1" x14ac:dyDescent="0.2">
      <c r="G13076" s="889"/>
    </row>
    <row r="13077" spans="7:7" ht="10.5" customHeight="1" x14ac:dyDescent="0.2">
      <c r="G13077" s="889"/>
    </row>
    <row r="13078" spans="7:7" ht="10.5" customHeight="1" x14ac:dyDescent="0.2">
      <c r="G13078" s="889"/>
    </row>
    <row r="13079" spans="7:7" ht="10.5" customHeight="1" x14ac:dyDescent="0.2">
      <c r="G13079" s="889"/>
    </row>
    <row r="13080" spans="7:7" ht="10.5" customHeight="1" x14ac:dyDescent="0.2">
      <c r="G13080" s="889"/>
    </row>
    <row r="13081" spans="7:7" ht="10.5" customHeight="1" x14ac:dyDescent="0.2">
      <c r="G13081" s="889"/>
    </row>
    <row r="13082" spans="7:7" ht="10.5" customHeight="1" x14ac:dyDescent="0.2">
      <c r="G13082" s="889"/>
    </row>
    <row r="13083" spans="7:7" ht="10.5" customHeight="1" x14ac:dyDescent="0.2">
      <c r="G13083" s="889"/>
    </row>
    <row r="13084" spans="7:7" ht="10.5" customHeight="1" x14ac:dyDescent="0.2">
      <c r="G13084" s="889"/>
    </row>
    <row r="13085" spans="7:7" ht="10.5" customHeight="1" x14ac:dyDescent="0.2">
      <c r="G13085" s="889"/>
    </row>
    <row r="13086" spans="7:7" ht="10.5" customHeight="1" x14ac:dyDescent="0.2">
      <c r="G13086" s="889"/>
    </row>
    <row r="13087" spans="7:7" ht="10.5" customHeight="1" x14ac:dyDescent="0.2">
      <c r="G13087" s="889"/>
    </row>
    <row r="13088" spans="7:7" ht="10.5" customHeight="1" x14ac:dyDescent="0.2">
      <c r="G13088" s="889"/>
    </row>
    <row r="13089" spans="7:7" ht="10.5" customHeight="1" x14ac:dyDescent="0.2">
      <c r="G13089" s="889"/>
    </row>
    <row r="13090" spans="7:7" ht="10.5" customHeight="1" x14ac:dyDescent="0.2">
      <c r="G13090" s="889"/>
    </row>
    <row r="13091" spans="7:7" ht="10.5" customHeight="1" x14ac:dyDescent="0.2">
      <c r="G13091" s="889"/>
    </row>
    <row r="13092" spans="7:7" ht="10.5" customHeight="1" x14ac:dyDescent="0.2">
      <c r="G13092" s="889"/>
    </row>
    <row r="13093" spans="7:7" ht="10.5" customHeight="1" x14ac:dyDescent="0.2">
      <c r="G13093" s="889"/>
    </row>
    <row r="13094" spans="7:7" ht="10.5" customHeight="1" x14ac:dyDescent="0.2">
      <c r="G13094" s="889"/>
    </row>
    <row r="13095" spans="7:7" ht="10.5" customHeight="1" x14ac:dyDescent="0.2">
      <c r="G13095" s="889"/>
    </row>
    <row r="13096" spans="7:7" ht="10.5" customHeight="1" x14ac:dyDescent="0.2">
      <c r="G13096" s="889"/>
    </row>
    <row r="13097" spans="7:7" ht="10.5" customHeight="1" x14ac:dyDescent="0.2">
      <c r="G13097" s="889"/>
    </row>
    <row r="13098" spans="7:7" ht="10.5" customHeight="1" x14ac:dyDescent="0.2">
      <c r="G13098" s="889"/>
    </row>
    <row r="13099" spans="7:7" ht="10.5" customHeight="1" x14ac:dyDescent="0.2">
      <c r="G13099" s="889"/>
    </row>
    <row r="13100" spans="7:7" ht="10.5" customHeight="1" x14ac:dyDescent="0.2">
      <c r="G13100" s="889"/>
    </row>
    <row r="13101" spans="7:7" ht="10.5" customHeight="1" x14ac:dyDescent="0.2">
      <c r="G13101" s="889"/>
    </row>
    <row r="13102" spans="7:7" ht="10.5" customHeight="1" x14ac:dyDescent="0.2">
      <c r="G13102" s="889"/>
    </row>
    <row r="13103" spans="7:7" ht="10.5" customHeight="1" x14ac:dyDescent="0.2">
      <c r="G13103" s="889"/>
    </row>
    <row r="13104" spans="7:7" ht="10.5" customHeight="1" x14ac:dyDescent="0.2">
      <c r="G13104" s="889"/>
    </row>
    <row r="13105" spans="7:7" ht="10.5" customHeight="1" x14ac:dyDescent="0.2">
      <c r="G13105" s="889"/>
    </row>
    <row r="13106" spans="7:7" ht="10.5" customHeight="1" x14ac:dyDescent="0.2">
      <c r="G13106" s="889"/>
    </row>
    <row r="13107" spans="7:7" ht="10.5" customHeight="1" x14ac:dyDescent="0.2">
      <c r="G13107" s="889"/>
    </row>
    <row r="13108" spans="7:7" ht="10.5" customHeight="1" x14ac:dyDescent="0.2">
      <c r="G13108" s="889"/>
    </row>
    <row r="13109" spans="7:7" ht="10.5" customHeight="1" x14ac:dyDescent="0.2">
      <c r="G13109" s="889"/>
    </row>
    <row r="13110" spans="7:7" ht="10.5" customHeight="1" x14ac:dyDescent="0.2">
      <c r="G13110" s="889"/>
    </row>
    <row r="13111" spans="7:7" ht="10.5" customHeight="1" x14ac:dyDescent="0.2">
      <c r="G13111" s="889"/>
    </row>
    <row r="13112" spans="7:7" ht="10.5" customHeight="1" x14ac:dyDescent="0.2">
      <c r="G13112" s="889"/>
    </row>
    <row r="13113" spans="7:7" ht="10.5" customHeight="1" x14ac:dyDescent="0.2">
      <c r="G13113" s="889"/>
    </row>
    <row r="13114" spans="7:7" ht="10.5" customHeight="1" x14ac:dyDescent="0.2">
      <c r="G13114" s="889"/>
    </row>
    <row r="13115" spans="7:7" ht="10.5" customHeight="1" x14ac:dyDescent="0.2">
      <c r="G13115" s="889"/>
    </row>
    <row r="13116" spans="7:7" ht="10.5" customHeight="1" x14ac:dyDescent="0.2">
      <c r="G13116" s="889"/>
    </row>
    <row r="13117" spans="7:7" ht="10.5" customHeight="1" x14ac:dyDescent="0.2">
      <c r="G13117" s="889"/>
    </row>
    <row r="13118" spans="7:7" ht="10.5" customHeight="1" x14ac:dyDescent="0.2">
      <c r="G13118" s="889"/>
    </row>
    <row r="13119" spans="7:7" ht="10.5" customHeight="1" x14ac:dyDescent="0.2">
      <c r="G13119" s="889"/>
    </row>
    <row r="13120" spans="7:7" ht="10.5" customHeight="1" x14ac:dyDescent="0.2">
      <c r="G13120" s="889"/>
    </row>
    <row r="13121" spans="7:7" ht="10.5" customHeight="1" x14ac:dyDescent="0.2">
      <c r="G13121" s="889"/>
    </row>
    <row r="13122" spans="7:7" ht="10.5" customHeight="1" x14ac:dyDescent="0.2">
      <c r="G13122" s="889"/>
    </row>
    <row r="13123" spans="7:7" ht="10.5" customHeight="1" x14ac:dyDescent="0.2">
      <c r="G13123" s="889"/>
    </row>
    <row r="13124" spans="7:7" ht="10.5" customHeight="1" x14ac:dyDescent="0.2">
      <c r="G13124" s="889"/>
    </row>
    <row r="13125" spans="7:7" ht="10.5" customHeight="1" x14ac:dyDescent="0.2">
      <c r="G13125" s="889"/>
    </row>
    <row r="13126" spans="7:7" ht="10.5" customHeight="1" x14ac:dyDescent="0.2">
      <c r="G13126" s="889"/>
    </row>
    <row r="13127" spans="7:7" ht="10.5" customHeight="1" x14ac:dyDescent="0.2">
      <c r="G13127" s="889"/>
    </row>
    <row r="13128" spans="7:7" ht="10.5" customHeight="1" x14ac:dyDescent="0.2">
      <c r="G13128" s="889"/>
    </row>
    <row r="13129" spans="7:7" ht="10.5" customHeight="1" x14ac:dyDescent="0.2">
      <c r="G13129" s="889"/>
    </row>
    <row r="13130" spans="7:7" ht="10.5" customHeight="1" x14ac:dyDescent="0.2">
      <c r="G13130" s="889"/>
    </row>
    <row r="13131" spans="7:7" ht="10.5" customHeight="1" x14ac:dyDescent="0.2">
      <c r="G13131" s="889"/>
    </row>
    <row r="13132" spans="7:7" ht="10.5" customHeight="1" x14ac:dyDescent="0.2">
      <c r="G13132" s="889"/>
    </row>
    <row r="13133" spans="7:7" ht="10.5" customHeight="1" x14ac:dyDescent="0.2">
      <c r="G13133" s="889"/>
    </row>
    <row r="13134" spans="7:7" ht="10.5" customHeight="1" x14ac:dyDescent="0.2">
      <c r="G13134" s="889"/>
    </row>
    <row r="13135" spans="7:7" ht="10.5" customHeight="1" x14ac:dyDescent="0.2">
      <c r="G13135" s="889"/>
    </row>
    <row r="13136" spans="7:7" ht="10.5" customHeight="1" x14ac:dyDescent="0.2">
      <c r="G13136" s="889"/>
    </row>
    <row r="13137" spans="7:7" ht="10.5" customHeight="1" x14ac:dyDescent="0.2">
      <c r="G13137" s="889"/>
    </row>
    <row r="13138" spans="7:7" ht="10.5" customHeight="1" x14ac:dyDescent="0.2">
      <c r="G13138" s="889"/>
    </row>
    <row r="13139" spans="7:7" ht="10.5" customHeight="1" x14ac:dyDescent="0.2">
      <c r="G13139" s="889"/>
    </row>
    <row r="13140" spans="7:7" ht="10.5" customHeight="1" x14ac:dyDescent="0.2">
      <c r="G13140" s="889"/>
    </row>
    <row r="13141" spans="7:7" ht="10.5" customHeight="1" x14ac:dyDescent="0.2">
      <c r="G13141" s="889"/>
    </row>
    <row r="13142" spans="7:7" ht="10.5" customHeight="1" x14ac:dyDescent="0.2">
      <c r="G13142" s="889"/>
    </row>
    <row r="13143" spans="7:7" ht="10.5" customHeight="1" x14ac:dyDescent="0.2">
      <c r="G13143" s="889"/>
    </row>
    <row r="13144" spans="7:7" ht="10.5" customHeight="1" x14ac:dyDescent="0.2">
      <c r="G13144" s="889"/>
    </row>
    <row r="13145" spans="7:7" ht="10.5" customHeight="1" x14ac:dyDescent="0.2">
      <c r="G13145" s="889"/>
    </row>
    <row r="13146" spans="7:7" ht="10.5" customHeight="1" x14ac:dyDescent="0.2">
      <c r="G13146" s="889"/>
    </row>
    <row r="13147" spans="7:7" ht="10.5" customHeight="1" x14ac:dyDescent="0.2">
      <c r="G13147" s="889"/>
    </row>
    <row r="13148" spans="7:7" ht="10.5" customHeight="1" x14ac:dyDescent="0.2">
      <c r="G13148" s="889"/>
    </row>
    <row r="13149" spans="7:7" ht="10.5" customHeight="1" x14ac:dyDescent="0.2">
      <c r="G13149" s="889"/>
    </row>
    <row r="13150" spans="7:7" ht="10.5" customHeight="1" x14ac:dyDescent="0.2">
      <c r="G13150" s="889"/>
    </row>
    <row r="13151" spans="7:7" ht="10.5" customHeight="1" x14ac:dyDescent="0.2">
      <c r="G13151" s="889"/>
    </row>
    <row r="13152" spans="7:7" ht="10.5" customHeight="1" x14ac:dyDescent="0.2">
      <c r="G13152" s="889"/>
    </row>
    <row r="13153" spans="7:7" ht="10.5" customHeight="1" x14ac:dyDescent="0.2">
      <c r="G13153" s="889"/>
    </row>
    <row r="13154" spans="7:7" ht="10.5" customHeight="1" x14ac:dyDescent="0.2">
      <c r="G13154" s="889"/>
    </row>
    <row r="13155" spans="7:7" ht="10.5" customHeight="1" x14ac:dyDescent="0.2">
      <c r="G13155" s="889"/>
    </row>
    <row r="13156" spans="7:7" ht="10.5" customHeight="1" x14ac:dyDescent="0.2">
      <c r="G13156" s="889"/>
    </row>
    <row r="13157" spans="7:7" ht="10.5" customHeight="1" x14ac:dyDescent="0.2">
      <c r="G13157" s="889"/>
    </row>
    <row r="13158" spans="7:7" ht="10.5" customHeight="1" x14ac:dyDescent="0.2">
      <c r="G13158" s="889"/>
    </row>
    <row r="13159" spans="7:7" ht="10.5" customHeight="1" x14ac:dyDescent="0.2">
      <c r="G13159" s="889"/>
    </row>
    <row r="13160" spans="7:7" ht="10.5" customHeight="1" x14ac:dyDescent="0.2">
      <c r="G13160" s="889"/>
    </row>
    <row r="13161" spans="7:7" ht="10.5" customHeight="1" x14ac:dyDescent="0.2">
      <c r="G13161" s="889"/>
    </row>
    <row r="13162" spans="7:7" ht="10.5" customHeight="1" x14ac:dyDescent="0.2">
      <c r="G13162" s="889"/>
    </row>
    <row r="13163" spans="7:7" ht="10.5" customHeight="1" x14ac:dyDescent="0.2">
      <c r="G13163" s="889"/>
    </row>
    <row r="13164" spans="7:7" ht="10.5" customHeight="1" x14ac:dyDescent="0.2">
      <c r="G13164" s="889"/>
    </row>
    <row r="13165" spans="7:7" ht="10.5" customHeight="1" x14ac:dyDescent="0.2">
      <c r="G13165" s="889"/>
    </row>
    <row r="13166" spans="7:7" ht="10.5" customHeight="1" x14ac:dyDescent="0.2">
      <c r="G13166" s="889"/>
    </row>
    <row r="13167" spans="7:7" ht="10.5" customHeight="1" x14ac:dyDescent="0.2">
      <c r="G13167" s="889"/>
    </row>
    <row r="13168" spans="7:7" ht="10.5" customHeight="1" x14ac:dyDescent="0.2">
      <c r="G13168" s="889"/>
    </row>
    <row r="13169" spans="7:7" ht="10.5" customHeight="1" x14ac:dyDescent="0.2">
      <c r="G13169" s="889"/>
    </row>
    <row r="13170" spans="7:7" ht="10.5" customHeight="1" x14ac:dyDescent="0.2">
      <c r="G13170" s="889"/>
    </row>
    <row r="13171" spans="7:7" ht="10.5" customHeight="1" x14ac:dyDescent="0.2">
      <c r="G13171" s="889"/>
    </row>
    <row r="13172" spans="7:7" ht="10.5" customHeight="1" x14ac:dyDescent="0.2">
      <c r="G13172" s="889"/>
    </row>
    <row r="13173" spans="7:7" ht="10.5" customHeight="1" x14ac:dyDescent="0.2">
      <c r="G13173" s="889"/>
    </row>
    <row r="13174" spans="7:7" ht="10.5" customHeight="1" x14ac:dyDescent="0.2">
      <c r="G13174" s="889"/>
    </row>
    <row r="13175" spans="7:7" ht="10.5" customHeight="1" x14ac:dyDescent="0.2">
      <c r="G13175" s="889"/>
    </row>
    <row r="13176" spans="7:7" ht="10.5" customHeight="1" x14ac:dyDescent="0.2">
      <c r="G13176" s="889"/>
    </row>
    <row r="13177" spans="7:7" ht="10.5" customHeight="1" x14ac:dyDescent="0.2">
      <c r="G13177" s="889"/>
    </row>
    <row r="13178" spans="7:7" ht="10.5" customHeight="1" x14ac:dyDescent="0.2">
      <c r="G13178" s="889"/>
    </row>
    <row r="13179" spans="7:7" ht="10.5" customHeight="1" x14ac:dyDescent="0.2">
      <c r="G13179" s="889"/>
    </row>
    <row r="13180" spans="7:7" ht="10.5" customHeight="1" x14ac:dyDescent="0.2">
      <c r="G13180" s="889"/>
    </row>
    <row r="13181" spans="7:7" ht="10.5" customHeight="1" x14ac:dyDescent="0.2">
      <c r="G13181" s="889"/>
    </row>
    <row r="13182" spans="7:7" ht="10.5" customHeight="1" x14ac:dyDescent="0.2">
      <c r="G13182" s="889"/>
    </row>
    <row r="13183" spans="7:7" ht="10.5" customHeight="1" x14ac:dyDescent="0.2">
      <c r="G13183" s="889"/>
    </row>
    <row r="13184" spans="7:7" ht="10.5" customHeight="1" x14ac:dyDescent="0.2">
      <c r="G13184" s="889"/>
    </row>
    <row r="13185" spans="7:7" ht="10.5" customHeight="1" x14ac:dyDescent="0.2">
      <c r="G13185" s="889"/>
    </row>
    <row r="13186" spans="7:7" ht="10.5" customHeight="1" x14ac:dyDescent="0.2">
      <c r="G13186" s="889"/>
    </row>
    <row r="13187" spans="7:7" ht="10.5" customHeight="1" x14ac:dyDescent="0.2">
      <c r="G13187" s="889"/>
    </row>
    <row r="13188" spans="7:7" ht="10.5" customHeight="1" x14ac:dyDescent="0.2">
      <c r="G13188" s="889"/>
    </row>
    <row r="13189" spans="7:7" ht="10.5" customHeight="1" x14ac:dyDescent="0.2">
      <c r="G13189" s="889"/>
    </row>
    <row r="13190" spans="7:7" ht="10.5" customHeight="1" x14ac:dyDescent="0.2">
      <c r="G13190" s="889"/>
    </row>
    <row r="13191" spans="7:7" ht="10.5" customHeight="1" x14ac:dyDescent="0.2">
      <c r="G13191" s="889"/>
    </row>
    <row r="13192" spans="7:7" ht="10.5" customHeight="1" x14ac:dyDescent="0.2">
      <c r="G13192" s="889"/>
    </row>
    <row r="13193" spans="7:7" ht="10.5" customHeight="1" x14ac:dyDescent="0.2">
      <c r="G13193" s="889"/>
    </row>
    <row r="13194" spans="7:7" ht="10.5" customHeight="1" x14ac:dyDescent="0.2">
      <c r="G13194" s="889"/>
    </row>
    <row r="13195" spans="7:7" ht="10.5" customHeight="1" x14ac:dyDescent="0.2">
      <c r="G13195" s="889"/>
    </row>
    <row r="13196" spans="7:7" ht="10.5" customHeight="1" x14ac:dyDescent="0.2">
      <c r="G13196" s="889"/>
    </row>
    <row r="13197" spans="7:7" ht="10.5" customHeight="1" x14ac:dyDescent="0.2">
      <c r="G13197" s="889"/>
    </row>
    <row r="13198" spans="7:7" ht="10.5" customHeight="1" x14ac:dyDescent="0.2">
      <c r="G13198" s="889"/>
    </row>
    <row r="13199" spans="7:7" ht="10.5" customHeight="1" x14ac:dyDescent="0.2">
      <c r="G13199" s="889"/>
    </row>
    <row r="13200" spans="7:7" ht="10.5" customHeight="1" x14ac:dyDescent="0.2">
      <c r="G13200" s="889"/>
    </row>
    <row r="13201" spans="7:7" ht="10.5" customHeight="1" x14ac:dyDescent="0.2">
      <c r="G13201" s="889"/>
    </row>
    <row r="13202" spans="7:7" ht="10.5" customHeight="1" x14ac:dyDescent="0.2">
      <c r="G13202" s="889"/>
    </row>
    <row r="13203" spans="7:7" ht="10.5" customHeight="1" x14ac:dyDescent="0.2">
      <c r="G13203" s="889"/>
    </row>
    <row r="13204" spans="7:7" ht="10.5" customHeight="1" x14ac:dyDescent="0.2">
      <c r="G13204" s="889"/>
    </row>
    <row r="13205" spans="7:7" ht="10.5" customHeight="1" x14ac:dyDescent="0.2">
      <c r="G13205" s="889"/>
    </row>
    <row r="13206" spans="7:7" ht="10.5" customHeight="1" x14ac:dyDescent="0.2">
      <c r="G13206" s="889"/>
    </row>
    <row r="13207" spans="7:7" ht="10.5" customHeight="1" x14ac:dyDescent="0.2">
      <c r="G13207" s="889"/>
    </row>
    <row r="13208" spans="7:7" ht="10.5" customHeight="1" x14ac:dyDescent="0.2">
      <c r="G13208" s="889"/>
    </row>
    <row r="13209" spans="7:7" ht="10.5" customHeight="1" x14ac:dyDescent="0.2">
      <c r="G13209" s="889"/>
    </row>
    <row r="13210" spans="7:7" ht="10.5" customHeight="1" x14ac:dyDescent="0.2">
      <c r="G13210" s="889"/>
    </row>
    <row r="13211" spans="7:7" ht="10.5" customHeight="1" x14ac:dyDescent="0.2">
      <c r="G13211" s="889"/>
    </row>
    <row r="13212" spans="7:7" ht="10.5" customHeight="1" x14ac:dyDescent="0.2">
      <c r="G13212" s="889"/>
    </row>
    <row r="13213" spans="7:7" ht="10.5" customHeight="1" x14ac:dyDescent="0.2">
      <c r="G13213" s="889"/>
    </row>
    <row r="13214" spans="7:7" ht="10.5" customHeight="1" x14ac:dyDescent="0.2">
      <c r="G13214" s="889"/>
    </row>
    <row r="13215" spans="7:7" ht="10.5" customHeight="1" x14ac:dyDescent="0.2">
      <c r="G13215" s="889"/>
    </row>
    <row r="13216" spans="7:7" ht="10.5" customHeight="1" x14ac:dyDescent="0.2">
      <c r="G13216" s="889"/>
    </row>
    <row r="13217" spans="7:7" ht="10.5" customHeight="1" x14ac:dyDescent="0.2">
      <c r="G13217" s="889"/>
    </row>
    <row r="13218" spans="7:7" ht="10.5" customHeight="1" x14ac:dyDescent="0.2">
      <c r="G13218" s="889"/>
    </row>
    <row r="13219" spans="7:7" ht="10.5" customHeight="1" x14ac:dyDescent="0.2">
      <c r="G13219" s="889"/>
    </row>
    <row r="13220" spans="7:7" ht="10.5" customHeight="1" x14ac:dyDescent="0.2">
      <c r="G13220" s="889"/>
    </row>
    <row r="13221" spans="7:7" ht="10.5" customHeight="1" x14ac:dyDescent="0.2">
      <c r="G13221" s="889"/>
    </row>
    <row r="13222" spans="7:7" ht="10.5" customHeight="1" x14ac:dyDescent="0.2">
      <c r="G13222" s="889"/>
    </row>
    <row r="13223" spans="7:7" ht="10.5" customHeight="1" x14ac:dyDescent="0.2">
      <c r="G13223" s="889"/>
    </row>
    <row r="13224" spans="7:7" ht="10.5" customHeight="1" x14ac:dyDescent="0.2">
      <c r="G13224" s="889"/>
    </row>
    <row r="13225" spans="7:7" ht="10.5" customHeight="1" x14ac:dyDescent="0.2">
      <c r="G13225" s="889"/>
    </row>
    <row r="13226" spans="7:7" ht="10.5" customHeight="1" x14ac:dyDescent="0.2">
      <c r="G13226" s="889"/>
    </row>
    <row r="13227" spans="7:7" ht="10.5" customHeight="1" x14ac:dyDescent="0.2">
      <c r="G13227" s="889"/>
    </row>
    <row r="13228" spans="7:7" ht="10.5" customHeight="1" x14ac:dyDescent="0.2">
      <c r="G13228" s="889"/>
    </row>
    <row r="13229" spans="7:7" ht="10.5" customHeight="1" x14ac:dyDescent="0.2">
      <c r="G13229" s="889"/>
    </row>
    <row r="13230" spans="7:7" ht="10.5" customHeight="1" x14ac:dyDescent="0.2">
      <c r="G13230" s="889"/>
    </row>
    <row r="13231" spans="7:7" ht="10.5" customHeight="1" x14ac:dyDescent="0.2">
      <c r="G13231" s="889"/>
    </row>
    <row r="13232" spans="7:7" ht="10.5" customHeight="1" x14ac:dyDescent="0.2">
      <c r="G13232" s="889"/>
    </row>
    <row r="13233" spans="7:7" ht="10.5" customHeight="1" x14ac:dyDescent="0.2">
      <c r="G13233" s="889"/>
    </row>
    <row r="13234" spans="7:7" ht="10.5" customHeight="1" x14ac:dyDescent="0.2">
      <c r="G13234" s="889"/>
    </row>
    <row r="13235" spans="7:7" ht="10.5" customHeight="1" x14ac:dyDescent="0.2">
      <c r="G13235" s="889"/>
    </row>
    <row r="13236" spans="7:7" ht="10.5" customHeight="1" x14ac:dyDescent="0.2">
      <c r="G13236" s="889"/>
    </row>
    <row r="13237" spans="7:7" ht="10.5" customHeight="1" x14ac:dyDescent="0.2">
      <c r="G13237" s="889"/>
    </row>
    <row r="13238" spans="7:7" ht="10.5" customHeight="1" x14ac:dyDescent="0.2">
      <c r="G13238" s="889"/>
    </row>
    <row r="13239" spans="7:7" ht="10.5" customHeight="1" x14ac:dyDescent="0.2">
      <c r="G13239" s="889"/>
    </row>
    <row r="13240" spans="7:7" ht="10.5" customHeight="1" x14ac:dyDescent="0.2">
      <c r="G13240" s="889"/>
    </row>
    <row r="13241" spans="7:7" ht="10.5" customHeight="1" x14ac:dyDescent="0.2">
      <c r="G13241" s="889"/>
    </row>
    <row r="13242" spans="7:7" ht="10.5" customHeight="1" x14ac:dyDescent="0.2">
      <c r="G13242" s="889"/>
    </row>
    <row r="13243" spans="7:7" ht="10.5" customHeight="1" x14ac:dyDescent="0.2">
      <c r="G13243" s="889"/>
    </row>
    <row r="13244" spans="7:7" ht="10.5" customHeight="1" x14ac:dyDescent="0.2">
      <c r="G13244" s="889"/>
    </row>
    <row r="13245" spans="7:7" ht="10.5" customHeight="1" x14ac:dyDescent="0.2">
      <c r="G13245" s="889"/>
    </row>
    <row r="13246" spans="7:7" ht="10.5" customHeight="1" x14ac:dyDescent="0.2">
      <c r="G13246" s="889"/>
    </row>
    <row r="13247" spans="7:7" ht="10.5" customHeight="1" x14ac:dyDescent="0.2">
      <c r="G13247" s="889"/>
    </row>
    <row r="13248" spans="7:7" ht="10.5" customHeight="1" x14ac:dyDescent="0.2">
      <c r="G13248" s="889"/>
    </row>
    <row r="13249" spans="7:7" ht="10.5" customHeight="1" x14ac:dyDescent="0.2">
      <c r="G13249" s="889"/>
    </row>
    <row r="13250" spans="7:7" ht="10.5" customHeight="1" x14ac:dyDescent="0.2">
      <c r="G13250" s="889"/>
    </row>
    <row r="13251" spans="7:7" ht="10.5" customHeight="1" x14ac:dyDescent="0.2">
      <c r="G13251" s="889"/>
    </row>
    <row r="13252" spans="7:7" ht="10.5" customHeight="1" x14ac:dyDescent="0.2">
      <c r="G13252" s="889"/>
    </row>
    <row r="13253" spans="7:7" ht="10.5" customHeight="1" x14ac:dyDescent="0.2">
      <c r="G13253" s="889"/>
    </row>
    <row r="13254" spans="7:7" ht="10.5" customHeight="1" x14ac:dyDescent="0.2">
      <c r="G13254" s="889"/>
    </row>
    <row r="13255" spans="7:7" ht="10.5" customHeight="1" x14ac:dyDescent="0.2">
      <c r="G13255" s="889"/>
    </row>
    <row r="13256" spans="7:7" ht="10.5" customHeight="1" x14ac:dyDescent="0.2">
      <c r="G13256" s="889"/>
    </row>
    <row r="13257" spans="7:7" ht="10.5" customHeight="1" x14ac:dyDescent="0.2">
      <c r="G13257" s="889"/>
    </row>
    <row r="13258" spans="7:7" ht="10.5" customHeight="1" x14ac:dyDescent="0.2">
      <c r="G13258" s="889"/>
    </row>
    <row r="13259" spans="7:7" ht="10.5" customHeight="1" x14ac:dyDescent="0.2">
      <c r="G13259" s="889"/>
    </row>
    <row r="13260" spans="7:7" ht="10.5" customHeight="1" x14ac:dyDescent="0.2">
      <c r="G13260" s="889"/>
    </row>
    <row r="13261" spans="7:7" ht="10.5" customHeight="1" x14ac:dyDescent="0.2">
      <c r="G13261" s="889"/>
    </row>
    <row r="13262" spans="7:7" ht="10.5" customHeight="1" x14ac:dyDescent="0.2">
      <c r="G13262" s="889"/>
    </row>
    <row r="13263" spans="7:7" ht="10.5" customHeight="1" x14ac:dyDescent="0.2">
      <c r="G13263" s="889"/>
    </row>
    <row r="13264" spans="7:7" ht="10.5" customHeight="1" x14ac:dyDescent="0.2">
      <c r="G13264" s="889"/>
    </row>
    <row r="13265" spans="7:7" ht="10.5" customHeight="1" x14ac:dyDescent="0.2">
      <c r="G13265" s="889"/>
    </row>
    <row r="13266" spans="7:7" ht="10.5" customHeight="1" x14ac:dyDescent="0.2">
      <c r="G13266" s="889"/>
    </row>
    <row r="13267" spans="7:7" ht="10.5" customHeight="1" x14ac:dyDescent="0.2">
      <c r="G13267" s="889"/>
    </row>
    <row r="13268" spans="7:7" ht="10.5" customHeight="1" x14ac:dyDescent="0.2">
      <c r="G13268" s="889"/>
    </row>
    <row r="13269" spans="7:7" ht="10.5" customHeight="1" x14ac:dyDescent="0.2">
      <c r="G13269" s="889"/>
    </row>
    <row r="13270" spans="7:7" ht="10.5" customHeight="1" x14ac:dyDescent="0.2">
      <c r="G13270" s="889"/>
    </row>
    <row r="13271" spans="7:7" ht="10.5" customHeight="1" x14ac:dyDescent="0.2">
      <c r="G13271" s="889"/>
    </row>
    <row r="13272" spans="7:7" ht="10.5" customHeight="1" x14ac:dyDescent="0.2">
      <c r="G13272" s="889"/>
    </row>
    <row r="13273" spans="7:7" ht="10.5" customHeight="1" x14ac:dyDescent="0.2">
      <c r="G13273" s="889"/>
    </row>
    <row r="13274" spans="7:7" ht="10.5" customHeight="1" x14ac:dyDescent="0.2">
      <c r="G13274" s="889"/>
    </row>
    <row r="13275" spans="7:7" ht="10.5" customHeight="1" x14ac:dyDescent="0.2">
      <c r="G13275" s="889"/>
    </row>
    <row r="13276" spans="7:7" ht="10.5" customHeight="1" x14ac:dyDescent="0.2">
      <c r="G13276" s="889"/>
    </row>
    <row r="13277" spans="7:7" ht="10.5" customHeight="1" x14ac:dyDescent="0.2">
      <c r="G13277" s="889"/>
    </row>
    <row r="13278" spans="7:7" ht="10.5" customHeight="1" x14ac:dyDescent="0.2">
      <c r="G13278" s="889"/>
    </row>
    <row r="13279" spans="7:7" ht="10.5" customHeight="1" x14ac:dyDescent="0.2">
      <c r="G13279" s="889"/>
    </row>
    <row r="13280" spans="7:7" ht="10.5" customHeight="1" x14ac:dyDescent="0.2">
      <c r="G13280" s="889"/>
    </row>
    <row r="13281" spans="7:7" ht="10.5" customHeight="1" x14ac:dyDescent="0.2">
      <c r="G13281" s="889"/>
    </row>
    <row r="13282" spans="7:7" ht="10.5" customHeight="1" x14ac:dyDescent="0.2">
      <c r="G13282" s="889"/>
    </row>
    <row r="13283" spans="7:7" ht="10.5" customHeight="1" x14ac:dyDescent="0.2">
      <c r="G13283" s="889"/>
    </row>
    <row r="13284" spans="7:7" ht="10.5" customHeight="1" x14ac:dyDescent="0.2">
      <c r="G13284" s="889"/>
    </row>
    <row r="13285" spans="7:7" ht="10.5" customHeight="1" x14ac:dyDescent="0.2">
      <c r="G13285" s="889"/>
    </row>
    <row r="13286" spans="7:7" ht="10.5" customHeight="1" x14ac:dyDescent="0.2">
      <c r="G13286" s="889"/>
    </row>
    <row r="13287" spans="7:7" ht="10.5" customHeight="1" x14ac:dyDescent="0.2">
      <c r="G13287" s="889"/>
    </row>
    <row r="13288" spans="7:7" ht="10.5" customHeight="1" x14ac:dyDescent="0.2">
      <c r="G13288" s="889"/>
    </row>
    <row r="13289" spans="7:7" ht="10.5" customHeight="1" x14ac:dyDescent="0.2">
      <c r="G13289" s="889"/>
    </row>
    <row r="13290" spans="7:7" ht="10.5" customHeight="1" x14ac:dyDescent="0.2">
      <c r="G13290" s="889"/>
    </row>
    <row r="13291" spans="7:7" ht="10.5" customHeight="1" x14ac:dyDescent="0.2">
      <c r="G13291" s="889"/>
    </row>
    <row r="13292" spans="7:7" ht="10.5" customHeight="1" x14ac:dyDescent="0.2">
      <c r="G13292" s="889"/>
    </row>
    <row r="13293" spans="7:7" ht="10.5" customHeight="1" x14ac:dyDescent="0.2">
      <c r="G13293" s="889"/>
    </row>
    <row r="13294" spans="7:7" ht="10.5" customHeight="1" x14ac:dyDescent="0.2">
      <c r="G13294" s="889"/>
    </row>
    <row r="13295" spans="7:7" ht="10.5" customHeight="1" x14ac:dyDescent="0.2">
      <c r="G13295" s="889"/>
    </row>
    <row r="13296" spans="7:7" ht="10.5" customHeight="1" x14ac:dyDescent="0.2">
      <c r="G13296" s="889"/>
    </row>
    <row r="13297" spans="7:7" ht="10.5" customHeight="1" x14ac:dyDescent="0.2">
      <c r="G13297" s="889"/>
    </row>
    <row r="13298" spans="7:7" ht="10.5" customHeight="1" x14ac:dyDescent="0.2">
      <c r="G13298" s="889"/>
    </row>
    <row r="13299" spans="7:7" ht="10.5" customHeight="1" x14ac:dyDescent="0.2">
      <c r="G13299" s="889"/>
    </row>
    <row r="13300" spans="7:7" ht="10.5" customHeight="1" x14ac:dyDescent="0.2">
      <c r="G13300" s="889"/>
    </row>
    <row r="13301" spans="7:7" ht="10.5" customHeight="1" x14ac:dyDescent="0.2">
      <c r="G13301" s="889"/>
    </row>
    <row r="13302" spans="7:7" ht="10.5" customHeight="1" x14ac:dyDescent="0.2">
      <c r="G13302" s="889"/>
    </row>
    <row r="13303" spans="7:7" ht="10.5" customHeight="1" x14ac:dyDescent="0.2">
      <c r="G13303" s="889"/>
    </row>
    <row r="13304" spans="7:7" ht="10.5" customHeight="1" x14ac:dyDescent="0.2">
      <c r="G13304" s="889"/>
    </row>
    <row r="13305" spans="7:7" ht="10.5" customHeight="1" x14ac:dyDescent="0.2">
      <c r="G13305" s="889"/>
    </row>
    <row r="13306" spans="7:7" ht="10.5" customHeight="1" x14ac:dyDescent="0.2">
      <c r="G13306" s="889"/>
    </row>
    <row r="13307" spans="7:7" ht="10.5" customHeight="1" x14ac:dyDescent="0.2">
      <c r="G13307" s="889"/>
    </row>
    <row r="13308" spans="7:7" ht="10.5" customHeight="1" x14ac:dyDescent="0.2">
      <c r="G13308" s="889"/>
    </row>
    <row r="13309" spans="7:7" ht="10.5" customHeight="1" x14ac:dyDescent="0.2">
      <c r="G13309" s="889"/>
    </row>
    <row r="13310" spans="7:7" ht="10.5" customHeight="1" x14ac:dyDescent="0.2">
      <c r="G13310" s="889"/>
    </row>
    <row r="13311" spans="7:7" ht="10.5" customHeight="1" x14ac:dyDescent="0.2">
      <c r="G13311" s="889"/>
    </row>
    <row r="13312" spans="7:7" ht="10.5" customHeight="1" x14ac:dyDescent="0.2">
      <c r="G13312" s="889"/>
    </row>
    <row r="13313" spans="7:7" ht="10.5" customHeight="1" x14ac:dyDescent="0.2">
      <c r="G13313" s="889"/>
    </row>
    <row r="13314" spans="7:7" ht="10.5" customHeight="1" x14ac:dyDescent="0.2">
      <c r="G13314" s="889"/>
    </row>
    <row r="13315" spans="7:7" ht="10.5" customHeight="1" x14ac:dyDescent="0.2">
      <c r="G13315" s="889"/>
    </row>
    <row r="13316" spans="7:7" ht="10.5" customHeight="1" x14ac:dyDescent="0.2">
      <c r="G13316" s="889"/>
    </row>
    <row r="13317" spans="7:7" ht="10.5" customHeight="1" x14ac:dyDescent="0.2">
      <c r="G13317" s="889"/>
    </row>
    <row r="13318" spans="7:7" ht="10.5" customHeight="1" x14ac:dyDescent="0.2">
      <c r="G13318" s="889"/>
    </row>
    <row r="13319" spans="7:7" ht="10.5" customHeight="1" x14ac:dyDescent="0.2">
      <c r="G13319" s="889"/>
    </row>
    <row r="13320" spans="7:7" ht="10.5" customHeight="1" x14ac:dyDescent="0.2">
      <c r="G13320" s="889"/>
    </row>
    <row r="13321" spans="7:7" ht="10.5" customHeight="1" x14ac:dyDescent="0.2">
      <c r="G13321" s="889"/>
    </row>
    <row r="13322" spans="7:7" ht="10.5" customHeight="1" x14ac:dyDescent="0.2">
      <c r="G13322" s="889"/>
    </row>
    <row r="13323" spans="7:7" ht="10.5" customHeight="1" x14ac:dyDescent="0.2">
      <c r="G13323" s="889"/>
    </row>
    <row r="13324" spans="7:7" ht="10.5" customHeight="1" x14ac:dyDescent="0.2">
      <c r="G13324" s="889"/>
    </row>
    <row r="13325" spans="7:7" ht="10.5" customHeight="1" x14ac:dyDescent="0.2">
      <c r="G13325" s="889"/>
    </row>
    <row r="13326" spans="7:7" ht="10.5" customHeight="1" x14ac:dyDescent="0.2">
      <c r="G13326" s="889"/>
    </row>
    <row r="13327" spans="7:7" ht="10.5" customHeight="1" x14ac:dyDescent="0.2">
      <c r="G13327" s="889"/>
    </row>
    <row r="13328" spans="7:7" ht="10.5" customHeight="1" x14ac:dyDescent="0.2">
      <c r="G13328" s="889"/>
    </row>
    <row r="13329" spans="7:7" ht="10.5" customHeight="1" x14ac:dyDescent="0.2">
      <c r="G13329" s="889"/>
    </row>
    <row r="13330" spans="7:7" ht="10.5" customHeight="1" x14ac:dyDescent="0.2">
      <c r="G13330" s="889"/>
    </row>
    <row r="13331" spans="7:7" ht="10.5" customHeight="1" x14ac:dyDescent="0.2">
      <c r="G13331" s="889"/>
    </row>
    <row r="13332" spans="7:7" ht="10.5" customHeight="1" x14ac:dyDescent="0.2">
      <c r="G13332" s="889"/>
    </row>
    <row r="13333" spans="7:7" ht="10.5" customHeight="1" x14ac:dyDescent="0.2">
      <c r="G13333" s="889"/>
    </row>
    <row r="13334" spans="7:7" ht="10.5" customHeight="1" x14ac:dyDescent="0.2">
      <c r="G13334" s="889"/>
    </row>
    <row r="13335" spans="7:7" ht="10.5" customHeight="1" x14ac:dyDescent="0.2">
      <c r="G13335" s="889"/>
    </row>
    <row r="13336" spans="7:7" ht="10.5" customHeight="1" x14ac:dyDescent="0.2">
      <c r="G13336" s="889"/>
    </row>
    <row r="13337" spans="7:7" ht="10.5" customHeight="1" x14ac:dyDescent="0.2">
      <c r="G13337" s="889"/>
    </row>
    <row r="13338" spans="7:7" ht="10.5" customHeight="1" x14ac:dyDescent="0.2">
      <c r="G13338" s="889"/>
    </row>
    <row r="13339" spans="7:7" ht="10.5" customHeight="1" x14ac:dyDescent="0.2">
      <c r="G13339" s="889"/>
    </row>
    <row r="13340" spans="7:7" ht="10.5" customHeight="1" x14ac:dyDescent="0.2">
      <c r="G13340" s="889"/>
    </row>
    <row r="13341" spans="7:7" ht="10.5" customHeight="1" x14ac:dyDescent="0.2">
      <c r="G13341" s="889"/>
    </row>
    <row r="13342" spans="7:7" ht="10.5" customHeight="1" x14ac:dyDescent="0.2">
      <c r="G13342" s="889"/>
    </row>
    <row r="13343" spans="7:7" ht="10.5" customHeight="1" x14ac:dyDescent="0.2">
      <c r="G13343" s="889"/>
    </row>
    <row r="13344" spans="7:7" ht="10.5" customHeight="1" x14ac:dyDescent="0.2">
      <c r="G13344" s="889"/>
    </row>
    <row r="13345" spans="7:7" ht="10.5" customHeight="1" x14ac:dyDescent="0.2">
      <c r="G13345" s="889"/>
    </row>
    <row r="13346" spans="7:7" ht="10.5" customHeight="1" x14ac:dyDescent="0.2">
      <c r="G13346" s="889"/>
    </row>
    <row r="13347" spans="7:7" ht="10.5" customHeight="1" x14ac:dyDescent="0.2">
      <c r="G13347" s="889"/>
    </row>
    <row r="13348" spans="7:7" ht="10.5" customHeight="1" x14ac:dyDescent="0.2">
      <c r="G13348" s="889"/>
    </row>
    <row r="13349" spans="7:7" ht="10.5" customHeight="1" x14ac:dyDescent="0.2">
      <c r="G13349" s="889"/>
    </row>
    <row r="13350" spans="7:7" ht="10.5" customHeight="1" x14ac:dyDescent="0.2">
      <c r="G13350" s="889"/>
    </row>
    <row r="13351" spans="7:7" ht="10.5" customHeight="1" x14ac:dyDescent="0.2">
      <c r="G13351" s="889"/>
    </row>
    <row r="13352" spans="7:7" ht="10.5" customHeight="1" x14ac:dyDescent="0.2">
      <c r="G13352" s="889"/>
    </row>
    <row r="13353" spans="7:7" ht="10.5" customHeight="1" x14ac:dyDescent="0.2">
      <c r="G13353" s="889"/>
    </row>
    <row r="13354" spans="7:7" ht="10.5" customHeight="1" x14ac:dyDescent="0.2">
      <c r="G13354" s="889"/>
    </row>
    <row r="13355" spans="7:7" ht="10.5" customHeight="1" x14ac:dyDescent="0.2">
      <c r="G13355" s="889"/>
    </row>
    <row r="13356" spans="7:7" ht="10.5" customHeight="1" x14ac:dyDescent="0.2">
      <c r="G13356" s="889"/>
    </row>
    <row r="13357" spans="7:7" ht="10.5" customHeight="1" x14ac:dyDescent="0.2">
      <c r="G13357" s="889"/>
    </row>
    <row r="13358" spans="7:7" ht="10.5" customHeight="1" x14ac:dyDescent="0.2">
      <c r="G13358" s="889"/>
    </row>
    <row r="13359" spans="7:7" ht="10.5" customHeight="1" x14ac:dyDescent="0.2">
      <c r="G13359" s="889"/>
    </row>
    <row r="13360" spans="7:7" ht="10.5" customHeight="1" x14ac:dyDescent="0.2">
      <c r="G13360" s="889"/>
    </row>
    <row r="13361" spans="7:7" ht="10.5" customHeight="1" x14ac:dyDescent="0.2">
      <c r="G13361" s="889"/>
    </row>
    <row r="13362" spans="7:7" ht="10.5" customHeight="1" x14ac:dyDescent="0.2">
      <c r="G13362" s="889"/>
    </row>
    <row r="13363" spans="7:7" ht="10.5" customHeight="1" x14ac:dyDescent="0.2">
      <c r="G13363" s="889"/>
    </row>
    <row r="13364" spans="7:7" ht="10.5" customHeight="1" x14ac:dyDescent="0.2">
      <c r="G13364" s="889"/>
    </row>
    <row r="13365" spans="7:7" ht="10.5" customHeight="1" x14ac:dyDescent="0.2">
      <c r="G13365" s="889"/>
    </row>
    <row r="13366" spans="7:7" ht="10.5" customHeight="1" x14ac:dyDescent="0.2">
      <c r="G13366" s="889"/>
    </row>
    <row r="13367" spans="7:7" ht="10.5" customHeight="1" x14ac:dyDescent="0.2">
      <c r="G13367" s="889"/>
    </row>
    <row r="13368" spans="7:7" ht="10.5" customHeight="1" x14ac:dyDescent="0.2">
      <c r="G13368" s="889"/>
    </row>
    <row r="13369" spans="7:7" ht="10.5" customHeight="1" x14ac:dyDescent="0.2">
      <c r="G13369" s="889"/>
    </row>
    <row r="13370" spans="7:7" ht="10.5" customHeight="1" x14ac:dyDescent="0.2">
      <c r="G13370" s="889"/>
    </row>
    <row r="13371" spans="7:7" ht="10.5" customHeight="1" x14ac:dyDescent="0.2">
      <c r="G13371" s="889"/>
    </row>
    <row r="13372" spans="7:7" ht="10.5" customHeight="1" x14ac:dyDescent="0.2">
      <c r="G13372" s="889"/>
    </row>
    <row r="13373" spans="7:7" ht="10.5" customHeight="1" x14ac:dyDescent="0.2">
      <c r="G13373" s="889"/>
    </row>
    <row r="13374" spans="7:7" ht="10.5" customHeight="1" x14ac:dyDescent="0.2">
      <c r="G13374" s="889"/>
    </row>
    <row r="13375" spans="7:7" ht="10.5" customHeight="1" x14ac:dyDescent="0.2">
      <c r="G13375" s="889"/>
    </row>
    <row r="13376" spans="7:7" ht="10.5" customHeight="1" x14ac:dyDescent="0.2">
      <c r="G13376" s="889"/>
    </row>
    <row r="13377" spans="7:7" ht="10.5" customHeight="1" x14ac:dyDescent="0.2">
      <c r="G13377" s="889"/>
    </row>
    <row r="13378" spans="7:7" ht="10.5" customHeight="1" x14ac:dyDescent="0.2">
      <c r="G13378" s="889"/>
    </row>
    <row r="13379" spans="7:7" ht="10.5" customHeight="1" x14ac:dyDescent="0.2">
      <c r="G13379" s="889"/>
    </row>
    <row r="13380" spans="7:7" ht="10.5" customHeight="1" x14ac:dyDescent="0.2">
      <c r="G13380" s="889"/>
    </row>
    <row r="13381" spans="7:7" ht="10.5" customHeight="1" x14ac:dyDescent="0.2">
      <c r="G13381" s="889"/>
    </row>
    <row r="13382" spans="7:7" ht="10.5" customHeight="1" x14ac:dyDescent="0.2">
      <c r="G13382" s="889"/>
    </row>
    <row r="13383" spans="7:7" ht="10.5" customHeight="1" x14ac:dyDescent="0.2">
      <c r="G13383" s="889"/>
    </row>
    <row r="13384" spans="7:7" ht="10.5" customHeight="1" x14ac:dyDescent="0.2">
      <c r="G13384" s="889"/>
    </row>
    <row r="13385" spans="7:7" ht="10.5" customHeight="1" x14ac:dyDescent="0.2">
      <c r="G13385" s="889"/>
    </row>
    <row r="13386" spans="7:7" ht="10.5" customHeight="1" x14ac:dyDescent="0.2">
      <c r="G13386" s="889"/>
    </row>
    <row r="13387" spans="7:7" ht="10.5" customHeight="1" x14ac:dyDescent="0.2">
      <c r="G13387" s="889"/>
    </row>
    <row r="13388" spans="7:7" ht="10.5" customHeight="1" x14ac:dyDescent="0.2">
      <c r="G13388" s="889"/>
    </row>
    <row r="13389" spans="7:7" ht="10.5" customHeight="1" x14ac:dyDescent="0.2">
      <c r="G13389" s="889"/>
    </row>
    <row r="13390" spans="7:7" ht="10.5" customHeight="1" x14ac:dyDescent="0.2">
      <c r="G13390" s="889"/>
    </row>
    <row r="13391" spans="7:7" ht="10.5" customHeight="1" x14ac:dyDescent="0.2">
      <c r="G13391" s="889"/>
    </row>
    <row r="13392" spans="7:7" ht="10.5" customHeight="1" x14ac:dyDescent="0.2">
      <c r="G13392" s="889"/>
    </row>
    <row r="13393" spans="7:7" ht="10.5" customHeight="1" x14ac:dyDescent="0.2">
      <c r="G13393" s="889"/>
    </row>
    <row r="13394" spans="7:7" ht="10.5" customHeight="1" x14ac:dyDescent="0.2">
      <c r="G13394" s="889"/>
    </row>
    <row r="13395" spans="7:7" ht="10.5" customHeight="1" x14ac:dyDescent="0.2">
      <c r="G13395" s="889"/>
    </row>
    <row r="13396" spans="7:7" ht="10.5" customHeight="1" x14ac:dyDescent="0.2">
      <c r="G13396" s="889"/>
    </row>
    <row r="13397" spans="7:7" ht="10.5" customHeight="1" x14ac:dyDescent="0.2">
      <c r="G13397" s="889"/>
    </row>
    <row r="13398" spans="7:7" ht="10.5" customHeight="1" x14ac:dyDescent="0.2">
      <c r="G13398" s="889"/>
    </row>
    <row r="13399" spans="7:7" ht="10.5" customHeight="1" x14ac:dyDescent="0.2">
      <c r="G13399" s="889"/>
    </row>
    <row r="13400" spans="7:7" ht="10.5" customHeight="1" x14ac:dyDescent="0.2">
      <c r="G13400" s="889"/>
    </row>
    <row r="13401" spans="7:7" ht="10.5" customHeight="1" x14ac:dyDescent="0.2">
      <c r="G13401" s="889"/>
    </row>
    <row r="13402" spans="7:7" ht="10.5" customHeight="1" x14ac:dyDescent="0.2">
      <c r="G13402" s="889"/>
    </row>
    <row r="13403" spans="7:7" ht="10.5" customHeight="1" x14ac:dyDescent="0.2">
      <c r="G13403" s="889"/>
    </row>
    <row r="13404" spans="7:7" ht="10.5" customHeight="1" x14ac:dyDescent="0.2">
      <c r="G13404" s="889"/>
    </row>
    <row r="13405" spans="7:7" ht="10.5" customHeight="1" x14ac:dyDescent="0.2">
      <c r="G13405" s="889"/>
    </row>
    <row r="13406" spans="7:7" ht="10.5" customHeight="1" x14ac:dyDescent="0.2">
      <c r="G13406" s="889"/>
    </row>
    <row r="13407" spans="7:7" ht="10.5" customHeight="1" x14ac:dyDescent="0.2">
      <c r="G13407" s="889"/>
    </row>
    <row r="13408" spans="7:7" ht="10.5" customHeight="1" x14ac:dyDescent="0.2">
      <c r="G13408" s="889"/>
    </row>
    <row r="13409" spans="7:7" ht="10.5" customHeight="1" x14ac:dyDescent="0.2">
      <c r="G13409" s="889"/>
    </row>
    <row r="13410" spans="7:7" ht="10.5" customHeight="1" x14ac:dyDescent="0.2">
      <c r="G13410" s="889"/>
    </row>
    <row r="13411" spans="7:7" ht="10.5" customHeight="1" x14ac:dyDescent="0.2">
      <c r="G13411" s="889"/>
    </row>
    <row r="13412" spans="7:7" ht="10.5" customHeight="1" x14ac:dyDescent="0.2">
      <c r="G13412" s="889"/>
    </row>
    <row r="13413" spans="7:7" ht="10.5" customHeight="1" x14ac:dyDescent="0.2">
      <c r="G13413" s="889"/>
    </row>
    <row r="13414" spans="7:7" ht="10.5" customHeight="1" x14ac:dyDescent="0.2">
      <c r="G13414" s="889"/>
    </row>
    <row r="13415" spans="7:7" ht="10.5" customHeight="1" x14ac:dyDescent="0.2">
      <c r="G13415" s="889"/>
    </row>
    <row r="13416" spans="7:7" ht="10.5" customHeight="1" x14ac:dyDescent="0.2">
      <c r="G13416" s="889"/>
    </row>
    <row r="13417" spans="7:7" ht="10.5" customHeight="1" x14ac:dyDescent="0.2">
      <c r="G13417" s="889"/>
    </row>
    <row r="13418" spans="7:7" ht="10.5" customHeight="1" x14ac:dyDescent="0.2">
      <c r="G13418" s="889"/>
    </row>
    <row r="13419" spans="7:7" ht="10.5" customHeight="1" x14ac:dyDescent="0.2">
      <c r="G13419" s="889"/>
    </row>
    <row r="13420" spans="7:7" ht="10.5" customHeight="1" x14ac:dyDescent="0.2">
      <c r="G13420" s="889"/>
    </row>
    <row r="13421" spans="7:7" ht="10.5" customHeight="1" x14ac:dyDescent="0.2">
      <c r="G13421" s="889"/>
    </row>
    <row r="13422" spans="7:7" ht="10.5" customHeight="1" x14ac:dyDescent="0.2">
      <c r="G13422" s="889"/>
    </row>
    <row r="13423" spans="7:7" ht="10.5" customHeight="1" x14ac:dyDescent="0.2">
      <c r="G13423" s="889"/>
    </row>
    <row r="13424" spans="7:7" ht="10.5" customHeight="1" x14ac:dyDescent="0.2">
      <c r="G13424" s="889"/>
    </row>
    <row r="13425" spans="7:7" ht="10.5" customHeight="1" x14ac:dyDescent="0.2">
      <c r="G13425" s="889"/>
    </row>
    <row r="13426" spans="7:7" ht="10.5" customHeight="1" x14ac:dyDescent="0.2">
      <c r="G13426" s="889"/>
    </row>
    <row r="13427" spans="7:7" ht="10.5" customHeight="1" x14ac:dyDescent="0.2">
      <c r="G13427" s="889"/>
    </row>
    <row r="13428" spans="7:7" ht="10.5" customHeight="1" x14ac:dyDescent="0.2">
      <c r="G13428" s="889"/>
    </row>
    <row r="13429" spans="7:7" ht="10.5" customHeight="1" x14ac:dyDescent="0.2">
      <c r="G13429" s="889"/>
    </row>
    <row r="13430" spans="7:7" ht="10.5" customHeight="1" x14ac:dyDescent="0.2">
      <c r="G13430" s="889"/>
    </row>
    <row r="13431" spans="7:7" ht="10.5" customHeight="1" x14ac:dyDescent="0.2">
      <c r="G13431" s="889"/>
    </row>
    <row r="13432" spans="7:7" ht="10.5" customHeight="1" x14ac:dyDescent="0.2">
      <c r="G13432" s="889"/>
    </row>
    <row r="13433" spans="7:7" ht="10.5" customHeight="1" x14ac:dyDescent="0.2">
      <c r="G13433" s="889"/>
    </row>
    <row r="13434" spans="7:7" ht="10.5" customHeight="1" x14ac:dyDescent="0.2">
      <c r="G13434" s="889"/>
    </row>
    <row r="13435" spans="7:7" ht="10.5" customHeight="1" x14ac:dyDescent="0.2">
      <c r="G13435" s="889"/>
    </row>
    <row r="13436" spans="7:7" ht="10.5" customHeight="1" x14ac:dyDescent="0.2">
      <c r="G13436" s="889"/>
    </row>
    <row r="13437" spans="7:7" ht="10.5" customHeight="1" x14ac:dyDescent="0.2">
      <c r="G13437" s="889"/>
    </row>
    <row r="13438" spans="7:7" ht="10.5" customHeight="1" x14ac:dyDescent="0.2">
      <c r="G13438" s="889"/>
    </row>
    <row r="13439" spans="7:7" ht="10.5" customHeight="1" x14ac:dyDescent="0.2">
      <c r="G13439" s="889"/>
    </row>
    <row r="13440" spans="7:7" ht="10.5" customHeight="1" x14ac:dyDescent="0.2">
      <c r="G13440" s="889"/>
    </row>
    <row r="13441" spans="7:7" ht="10.5" customHeight="1" x14ac:dyDescent="0.2">
      <c r="G13441" s="889"/>
    </row>
    <row r="13442" spans="7:7" ht="10.5" customHeight="1" x14ac:dyDescent="0.2">
      <c r="G13442" s="889"/>
    </row>
    <row r="13443" spans="7:7" ht="10.5" customHeight="1" x14ac:dyDescent="0.2">
      <c r="G13443" s="889"/>
    </row>
    <row r="13444" spans="7:7" ht="10.5" customHeight="1" x14ac:dyDescent="0.2">
      <c r="G13444" s="889"/>
    </row>
    <row r="13445" spans="7:7" ht="10.5" customHeight="1" x14ac:dyDescent="0.2">
      <c r="G13445" s="889"/>
    </row>
    <row r="13446" spans="7:7" ht="10.5" customHeight="1" x14ac:dyDescent="0.2">
      <c r="G13446" s="889"/>
    </row>
    <row r="13447" spans="7:7" ht="10.5" customHeight="1" x14ac:dyDescent="0.2">
      <c r="G13447" s="889"/>
    </row>
    <row r="13448" spans="7:7" ht="10.5" customHeight="1" x14ac:dyDescent="0.2">
      <c r="G13448" s="889"/>
    </row>
    <row r="13449" spans="7:7" ht="10.5" customHeight="1" x14ac:dyDescent="0.2">
      <c r="G13449" s="889"/>
    </row>
    <row r="13450" spans="7:7" ht="10.5" customHeight="1" x14ac:dyDescent="0.2">
      <c r="G13450" s="889"/>
    </row>
    <row r="13451" spans="7:7" ht="10.5" customHeight="1" x14ac:dyDescent="0.2">
      <c r="G13451" s="889"/>
    </row>
    <row r="13452" spans="7:7" ht="10.5" customHeight="1" x14ac:dyDescent="0.2">
      <c r="G13452" s="889"/>
    </row>
    <row r="13453" spans="7:7" ht="10.5" customHeight="1" x14ac:dyDescent="0.2">
      <c r="G13453" s="889"/>
    </row>
    <row r="13454" spans="7:7" ht="10.5" customHeight="1" x14ac:dyDescent="0.2">
      <c r="G13454" s="889"/>
    </row>
    <row r="13455" spans="7:7" ht="10.5" customHeight="1" x14ac:dyDescent="0.2">
      <c r="G13455" s="889"/>
    </row>
    <row r="13456" spans="7:7" ht="10.5" customHeight="1" x14ac:dyDescent="0.2">
      <c r="G13456" s="889"/>
    </row>
    <row r="13457" spans="7:7" ht="10.5" customHeight="1" x14ac:dyDescent="0.2">
      <c r="G13457" s="889"/>
    </row>
    <row r="13458" spans="7:7" ht="10.5" customHeight="1" x14ac:dyDescent="0.2">
      <c r="G13458" s="889"/>
    </row>
    <row r="13459" spans="7:7" ht="10.5" customHeight="1" x14ac:dyDescent="0.2">
      <c r="G13459" s="889"/>
    </row>
    <row r="13460" spans="7:7" ht="10.5" customHeight="1" x14ac:dyDescent="0.2">
      <c r="G13460" s="889"/>
    </row>
    <row r="13461" spans="7:7" ht="10.5" customHeight="1" x14ac:dyDescent="0.2">
      <c r="G13461" s="889"/>
    </row>
    <row r="13462" spans="7:7" ht="10.5" customHeight="1" x14ac:dyDescent="0.2">
      <c r="G13462" s="889"/>
    </row>
    <row r="13463" spans="7:7" ht="10.5" customHeight="1" x14ac:dyDescent="0.2">
      <c r="G13463" s="889"/>
    </row>
    <row r="13464" spans="7:7" ht="10.5" customHeight="1" x14ac:dyDescent="0.2">
      <c r="G13464" s="889"/>
    </row>
    <row r="13465" spans="7:7" ht="10.5" customHeight="1" x14ac:dyDescent="0.2">
      <c r="G13465" s="889"/>
    </row>
    <row r="13466" spans="7:7" ht="10.5" customHeight="1" x14ac:dyDescent="0.2">
      <c r="G13466" s="889"/>
    </row>
    <row r="13467" spans="7:7" ht="10.5" customHeight="1" x14ac:dyDescent="0.2">
      <c r="G13467" s="889"/>
    </row>
    <row r="13468" spans="7:7" ht="10.5" customHeight="1" x14ac:dyDescent="0.2">
      <c r="G13468" s="889"/>
    </row>
    <row r="13469" spans="7:7" ht="10.5" customHeight="1" x14ac:dyDescent="0.2">
      <c r="G13469" s="889"/>
    </row>
    <row r="13470" spans="7:7" ht="10.5" customHeight="1" x14ac:dyDescent="0.2">
      <c r="G13470" s="889"/>
    </row>
    <row r="13471" spans="7:7" ht="10.5" customHeight="1" x14ac:dyDescent="0.2">
      <c r="G13471" s="889"/>
    </row>
    <row r="13472" spans="7:7" ht="10.5" customHeight="1" x14ac:dyDescent="0.2">
      <c r="G13472" s="889"/>
    </row>
    <row r="13473" spans="7:7" ht="10.5" customHeight="1" x14ac:dyDescent="0.2">
      <c r="G13473" s="889"/>
    </row>
    <row r="13474" spans="7:7" ht="10.5" customHeight="1" x14ac:dyDescent="0.2">
      <c r="G13474" s="889"/>
    </row>
    <row r="13475" spans="7:7" ht="10.5" customHeight="1" x14ac:dyDescent="0.2">
      <c r="G13475" s="889"/>
    </row>
    <row r="13476" spans="7:7" ht="10.5" customHeight="1" x14ac:dyDescent="0.2">
      <c r="G13476" s="889"/>
    </row>
    <row r="13477" spans="7:7" ht="10.5" customHeight="1" x14ac:dyDescent="0.2">
      <c r="G13477" s="889"/>
    </row>
    <row r="13478" spans="7:7" ht="10.5" customHeight="1" x14ac:dyDescent="0.2">
      <c r="G13478" s="889"/>
    </row>
    <row r="13479" spans="7:7" ht="10.5" customHeight="1" x14ac:dyDescent="0.2">
      <c r="G13479" s="889"/>
    </row>
    <row r="13480" spans="7:7" ht="10.5" customHeight="1" x14ac:dyDescent="0.2">
      <c r="G13480" s="889"/>
    </row>
    <row r="13481" spans="7:7" ht="10.5" customHeight="1" x14ac:dyDescent="0.2">
      <c r="G13481" s="889"/>
    </row>
    <row r="13482" spans="7:7" ht="10.5" customHeight="1" x14ac:dyDescent="0.2">
      <c r="G13482" s="889"/>
    </row>
    <row r="13483" spans="7:7" ht="10.5" customHeight="1" x14ac:dyDescent="0.2">
      <c r="G13483" s="889"/>
    </row>
    <row r="13484" spans="7:7" ht="10.5" customHeight="1" x14ac:dyDescent="0.2">
      <c r="G13484" s="889"/>
    </row>
    <row r="13485" spans="7:7" ht="10.5" customHeight="1" x14ac:dyDescent="0.2">
      <c r="G13485" s="889"/>
    </row>
    <row r="13486" spans="7:7" ht="10.5" customHeight="1" x14ac:dyDescent="0.2">
      <c r="G13486" s="889"/>
    </row>
    <row r="13487" spans="7:7" ht="10.5" customHeight="1" x14ac:dyDescent="0.2">
      <c r="G13487" s="889"/>
    </row>
    <row r="13488" spans="7:7" ht="10.5" customHeight="1" x14ac:dyDescent="0.2">
      <c r="G13488" s="889"/>
    </row>
    <row r="13489" spans="7:7" ht="10.5" customHeight="1" x14ac:dyDescent="0.2">
      <c r="G13489" s="889"/>
    </row>
    <row r="13490" spans="7:7" ht="10.5" customHeight="1" x14ac:dyDescent="0.2">
      <c r="G13490" s="889"/>
    </row>
    <row r="13491" spans="7:7" ht="10.5" customHeight="1" x14ac:dyDescent="0.2">
      <c r="G13491" s="889"/>
    </row>
    <row r="13492" spans="7:7" ht="10.5" customHeight="1" x14ac:dyDescent="0.2">
      <c r="G13492" s="889"/>
    </row>
    <row r="13493" spans="7:7" ht="10.5" customHeight="1" x14ac:dyDescent="0.2">
      <c r="G13493" s="889"/>
    </row>
    <row r="13494" spans="7:7" ht="10.5" customHeight="1" x14ac:dyDescent="0.2">
      <c r="G13494" s="889"/>
    </row>
    <row r="13495" spans="7:7" ht="10.5" customHeight="1" x14ac:dyDescent="0.2">
      <c r="G13495" s="889"/>
    </row>
    <row r="13496" spans="7:7" ht="10.5" customHeight="1" x14ac:dyDescent="0.2">
      <c r="G13496" s="889"/>
    </row>
    <row r="13497" spans="7:7" ht="10.5" customHeight="1" x14ac:dyDescent="0.2">
      <c r="G13497" s="889"/>
    </row>
    <row r="13498" spans="7:7" ht="10.5" customHeight="1" x14ac:dyDescent="0.2">
      <c r="G13498" s="889"/>
    </row>
    <row r="13499" spans="7:7" ht="10.5" customHeight="1" x14ac:dyDescent="0.2">
      <c r="G13499" s="889"/>
    </row>
    <row r="13500" spans="7:7" ht="10.5" customHeight="1" x14ac:dyDescent="0.2">
      <c r="G13500" s="889"/>
    </row>
    <row r="13501" spans="7:7" ht="10.5" customHeight="1" x14ac:dyDescent="0.2">
      <c r="G13501" s="889"/>
    </row>
    <row r="13502" spans="7:7" ht="10.5" customHeight="1" x14ac:dyDescent="0.2">
      <c r="G13502" s="889"/>
    </row>
    <row r="13503" spans="7:7" ht="10.5" customHeight="1" x14ac:dyDescent="0.2">
      <c r="G13503" s="889"/>
    </row>
    <row r="13504" spans="7:7" ht="10.5" customHeight="1" x14ac:dyDescent="0.2">
      <c r="G13504" s="889"/>
    </row>
    <row r="13505" spans="7:7" ht="10.5" customHeight="1" x14ac:dyDescent="0.2">
      <c r="G13505" s="889"/>
    </row>
    <row r="13506" spans="7:7" ht="10.5" customHeight="1" x14ac:dyDescent="0.2">
      <c r="G13506" s="889"/>
    </row>
    <row r="13507" spans="7:7" ht="10.5" customHeight="1" x14ac:dyDescent="0.2">
      <c r="G13507" s="889"/>
    </row>
    <row r="13508" spans="7:7" ht="10.5" customHeight="1" x14ac:dyDescent="0.2">
      <c r="G13508" s="889"/>
    </row>
    <row r="13509" spans="7:7" ht="10.5" customHeight="1" x14ac:dyDescent="0.2">
      <c r="G13509" s="889"/>
    </row>
    <row r="13510" spans="7:7" ht="10.5" customHeight="1" x14ac:dyDescent="0.2">
      <c r="G13510" s="889"/>
    </row>
    <row r="13511" spans="7:7" ht="10.5" customHeight="1" x14ac:dyDescent="0.2">
      <c r="G13511" s="889"/>
    </row>
    <row r="13512" spans="7:7" ht="10.5" customHeight="1" x14ac:dyDescent="0.2">
      <c r="G13512" s="889"/>
    </row>
    <row r="13513" spans="7:7" ht="10.5" customHeight="1" x14ac:dyDescent="0.2">
      <c r="G13513" s="889"/>
    </row>
    <row r="13514" spans="7:7" ht="10.5" customHeight="1" x14ac:dyDescent="0.2">
      <c r="G13514" s="889"/>
    </row>
    <row r="13515" spans="7:7" ht="10.5" customHeight="1" x14ac:dyDescent="0.2">
      <c r="G13515" s="889"/>
    </row>
    <row r="13516" spans="7:7" ht="10.5" customHeight="1" x14ac:dyDescent="0.2">
      <c r="G13516" s="889"/>
    </row>
    <row r="13517" spans="7:7" ht="10.5" customHeight="1" x14ac:dyDescent="0.2">
      <c r="G13517" s="889"/>
    </row>
    <row r="13518" spans="7:7" ht="10.5" customHeight="1" x14ac:dyDescent="0.2">
      <c r="G13518" s="889"/>
    </row>
    <row r="13519" spans="7:7" ht="10.5" customHeight="1" x14ac:dyDescent="0.2">
      <c r="G13519" s="889"/>
    </row>
    <row r="13520" spans="7:7" ht="10.5" customHeight="1" x14ac:dyDescent="0.2">
      <c r="G13520" s="889"/>
    </row>
    <row r="13521" spans="7:7" ht="10.5" customHeight="1" x14ac:dyDescent="0.2">
      <c r="G13521" s="889"/>
    </row>
    <row r="13522" spans="7:7" ht="10.5" customHeight="1" x14ac:dyDescent="0.2">
      <c r="G13522" s="889"/>
    </row>
    <row r="13523" spans="7:7" ht="10.5" customHeight="1" x14ac:dyDescent="0.2">
      <c r="G13523" s="889"/>
    </row>
    <row r="13524" spans="7:7" ht="10.5" customHeight="1" x14ac:dyDescent="0.2">
      <c r="G13524" s="889"/>
    </row>
    <row r="13525" spans="7:7" ht="10.5" customHeight="1" x14ac:dyDescent="0.2">
      <c r="G13525" s="889"/>
    </row>
    <row r="13526" spans="7:7" ht="10.5" customHeight="1" x14ac:dyDescent="0.2">
      <c r="G13526" s="889"/>
    </row>
    <row r="13527" spans="7:7" ht="10.5" customHeight="1" x14ac:dyDescent="0.2">
      <c r="G13527" s="889"/>
    </row>
    <row r="13528" spans="7:7" ht="10.5" customHeight="1" x14ac:dyDescent="0.2">
      <c r="G13528" s="889"/>
    </row>
    <row r="13529" spans="7:7" ht="10.5" customHeight="1" x14ac:dyDescent="0.2">
      <c r="G13529" s="889"/>
    </row>
    <row r="13530" spans="7:7" ht="10.5" customHeight="1" x14ac:dyDescent="0.2">
      <c r="G13530" s="889"/>
    </row>
    <row r="13531" spans="7:7" ht="10.5" customHeight="1" x14ac:dyDescent="0.2">
      <c r="G13531" s="889"/>
    </row>
    <row r="13532" spans="7:7" ht="10.5" customHeight="1" x14ac:dyDescent="0.2">
      <c r="G13532" s="889"/>
    </row>
    <row r="13533" spans="7:7" ht="10.5" customHeight="1" x14ac:dyDescent="0.2">
      <c r="G13533" s="889"/>
    </row>
    <row r="13534" spans="7:7" ht="10.5" customHeight="1" x14ac:dyDescent="0.2">
      <c r="G13534" s="889"/>
    </row>
    <row r="13535" spans="7:7" ht="10.5" customHeight="1" x14ac:dyDescent="0.2">
      <c r="G13535" s="889"/>
    </row>
    <row r="13536" spans="7:7" ht="10.5" customHeight="1" x14ac:dyDescent="0.2">
      <c r="G13536" s="889"/>
    </row>
    <row r="13537" spans="7:7" ht="10.5" customHeight="1" x14ac:dyDescent="0.2">
      <c r="G13537" s="889"/>
    </row>
    <row r="13538" spans="7:7" ht="10.5" customHeight="1" x14ac:dyDescent="0.2">
      <c r="G13538" s="889"/>
    </row>
    <row r="13539" spans="7:7" ht="10.5" customHeight="1" x14ac:dyDescent="0.2">
      <c r="G13539" s="889"/>
    </row>
    <row r="13540" spans="7:7" ht="10.5" customHeight="1" x14ac:dyDescent="0.2">
      <c r="G13540" s="889"/>
    </row>
    <row r="13541" spans="7:7" ht="10.5" customHeight="1" x14ac:dyDescent="0.2">
      <c r="G13541" s="889"/>
    </row>
    <row r="13542" spans="7:7" ht="10.5" customHeight="1" x14ac:dyDescent="0.2">
      <c r="G13542" s="889"/>
    </row>
    <row r="13543" spans="7:7" ht="10.5" customHeight="1" x14ac:dyDescent="0.2">
      <c r="G13543" s="889"/>
    </row>
    <row r="13544" spans="7:7" ht="10.5" customHeight="1" x14ac:dyDescent="0.2">
      <c r="G13544" s="889"/>
    </row>
    <row r="13545" spans="7:7" ht="10.5" customHeight="1" x14ac:dyDescent="0.2">
      <c r="G13545" s="889"/>
    </row>
    <row r="13546" spans="7:7" ht="10.5" customHeight="1" x14ac:dyDescent="0.2">
      <c r="G13546" s="889"/>
    </row>
    <row r="13547" spans="7:7" ht="10.5" customHeight="1" x14ac:dyDescent="0.2">
      <c r="G13547" s="889"/>
    </row>
    <row r="13548" spans="7:7" ht="10.5" customHeight="1" x14ac:dyDescent="0.2">
      <c r="G13548" s="889"/>
    </row>
    <row r="13549" spans="7:7" ht="10.5" customHeight="1" x14ac:dyDescent="0.2">
      <c r="G13549" s="889"/>
    </row>
    <row r="13550" spans="7:7" ht="10.5" customHeight="1" x14ac:dyDescent="0.2">
      <c r="G13550" s="889"/>
    </row>
    <row r="13551" spans="7:7" ht="10.5" customHeight="1" x14ac:dyDescent="0.2">
      <c r="G13551" s="889"/>
    </row>
    <row r="13552" spans="7:7" ht="10.5" customHeight="1" x14ac:dyDescent="0.2">
      <c r="G13552" s="889"/>
    </row>
    <row r="13553" spans="7:7" ht="10.5" customHeight="1" x14ac:dyDescent="0.2">
      <c r="G13553" s="889"/>
    </row>
    <row r="13554" spans="7:7" ht="10.5" customHeight="1" x14ac:dyDescent="0.2">
      <c r="G13554" s="889"/>
    </row>
    <row r="13555" spans="7:7" ht="10.5" customHeight="1" x14ac:dyDescent="0.2">
      <c r="G13555" s="889"/>
    </row>
    <row r="13556" spans="7:7" ht="10.5" customHeight="1" x14ac:dyDescent="0.2">
      <c r="G13556" s="889"/>
    </row>
    <row r="13557" spans="7:7" ht="10.5" customHeight="1" x14ac:dyDescent="0.2">
      <c r="G13557" s="889"/>
    </row>
    <row r="13558" spans="7:7" ht="10.5" customHeight="1" x14ac:dyDescent="0.2">
      <c r="G13558" s="889"/>
    </row>
    <row r="13559" spans="7:7" ht="10.5" customHeight="1" x14ac:dyDescent="0.2">
      <c r="G13559" s="889"/>
    </row>
    <row r="13560" spans="7:7" ht="10.5" customHeight="1" x14ac:dyDescent="0.2">
      <c r="G13560" s="889"/>
    </row>
    <row r="13561" spans="7:7" ht="10.5" customHeight="1" x14ac:dyDescent="0.2">
      <c r="G13561" s="889"/>
    </row>
    <row r="13562" spans="7:7" ht="10.5" customHeight="1" x14ac:dyDescent="0.2">
      <c r="G13562" s="889"/>
    </row>
    <row r="13563" spans="7:7" ht="10.5" customHeight="1" x14ac:dyDescent="0.2">
      <c r="G13563" s="889"/>
    </row>
    <row r="13564" spans="7:7" ht="10.5" customHeight="1" x14ac:dyDescent="0.2">
      <c r="G13564" s="889"/>
    </row>
    <row r="13565" spans="7:7" ht="10.5" customHeight="1" x14ac:dyDescent="0.2">
      <c r="G13565" s="889"/>
    </row>
    <row r="13566" spans="7:7" ht="10.5" customHeight="1" x14ac:dyDescent="0.2">
      <c r="G13566" s="889"/>
    </row>
    <row r="13567" spans="7:7" ht="10.5" customHeight="1" x14ac:dyDescent="0.2">
      <c r="G13567" s="889"/>
    </row>
    <row r="13568" spans="7:7" ht="10.5" customHeight="1" x14ac:dyDescent="0.2">
      <c r="G13568" s="889"/>
    </row>
    <row r="13569" spans="7:7" ht="10.5" customHeight="1" x14ac:dyDescent="0.2">
      <c r="G13569" s="889"/>
    </row>
    <row r="13570" spans="7:7" ht="10.5" customHeight="1" x14ac:dyDescent="0.2">
      <c r="G13570" s="889"/>
    </row>
    <row r="13571" spans="7:7" ht="10.5" customHeight="1" x14ac:dyDescent="0.2">
      <c r="G13571" s="889"/>
    </row>
    <row r="13572" spans="7:7" ht="10.5" customHeight="1" x14ac:dyDescent="0.2">
      <c r="G13572" s="889"/>
    </row>
    <row r="13573" spans="7:7" ht="10.5" customHeight="1" x14ac:dyDescent="0.2">
      <c r="G13573" s="889"/>
    </row>
    <row r="13574" spans="7:7" ht="10.5" customHeight="1" x14ac:dyDescent="0.2">
      <c r="G13574" s="889"/>
    </row>
    <row r="13575" spans="7:7" ht="10.5" customHeight="1" x14ac:dyDescent="0.2">
      <c r="G13575" s="889"/>
    </row>
    <row r="13576" spans="7:7" ht="10.5" customHeight="1" x14ac:dyDescent="0.2">
      <c r="G13576" s="889"/>
    </row>
    <row r="13577" spans="7:7" ht="10.5" customHeight="1" x14ac:dyDescent="0.2">
      <c r="G13577" s="889"/>
    </row>
    <row r="13578" spans="7:7" ht="10.5" customHeight="1" x14ac:dyDescent="0.2">
      <c r="G13578" s="889"/>
    </row>
    <row r="13579" spans="7:7" ht="10.5" customHeight="1" x14ac:dyDescent="0.2">
      <c r="G13579" s="889"/>
    </row>
    <row r="13580" spans="7:7" ht="10.5" customHeight="1" x14ac:dyDescent="0.2">
      <c r="G13580" s="889"/>
    </row>
    <row r="13581" spans="7:7" ht="10.5" customHeight="1" x14ac:dyDescent="0.2">
      <c r="G13581" s="889"/>
    </row>
    <row r="13582" spans="7:7" ht="10.5" customHeight="1" x14ac:dyDescent="0.2">
      <c r="G13582" s="889"/>
    </row>
    <row r="13583" spans="7:7" ht="10.5" customHeight="1" x14ac:dyDescent="0.2">
      <c r="G13583" s="889"/>
    </row>
    <row r="13584" spans="7:7" ht="10.5" customHeight="1" x14ac:dyDescent="0.2">
      <c r="G13584" s="889"/>
    </row>
    <row r="13585" spans="7:7" ht="10.5" customHeight="1" x14ac:dyDescent="0.2">
      <c r="G13585" s="889"/>
    </row>
    <row r="13586" spans="7:7" ht="10.5" customHeight="1" x14ac:dyDescent="0.2">
      <c r="G13586" s="889"/>
    </row>
    <row r="13587" spans="7:7" ht="10.5" customHeight="1" x14ac:dyDescent="0.2">
      <c r="G13587" s="889"/>
    </row>
    <row r="13588" spans="7:7" ht="10.5" customHeight="1" x14ac:dyDescent="0.2">
      <c r="G13588" s="889"/>
    </row>
    <row r="13589" spans="7:7" ht="10.5" customHeight="1" x14ac:dyDescent="0.2">
      <c r="G13589" s="889"/>
    </row>
    <row r="13590" spans="7:7" ht="10.5" customHeight="1" x14ac:dyDescent="0.2">
      <c r="G13590" s="889"/>
    </row>
    <row r="13591" spans="7:7" ht="10.5" customHeight="1" x14ac:dyDescent="0.2">
      <c r="G13591" s="889"/>
    </row>
    <row r="13592" spans="7:7" ht="10.5" customHeight="1" x14ac:dyDescent="0.2">
      <c r="G13592" s="889"/>
    </row>
    <row r="13593" spans="7:7" ht="10.5" customHeight="1" x14ac:dyDescent="0.2">
      <c r="G13593" s="889"/>
    </row>
    <row r="13594" spans="7:7" ht="10.5" customHeight="1" x14ac:dyDescent="0.2">
      <c r="G13594" s="889"/>
    </row>
    <row r="13595" spans="7:7" ht="10.5" customHeight="1" x14ac:dyDescent="0.2">
      <c r="G13595" s="889"/>
    </row>
    <row r="13596" spans="7:7" ht="10.5" customHeight="1" x14ac:dyDescent="0.2">
      <c r="G13596" s="889"/>
    </row>
    <row r="13597" spans="7:7" ht="10.5" customHeight="1" x14ac:dyDescent="0.2">
      <c r="G13597" s="889"/>
    </row>
    <row r="13598" spans="7:7" ht="10.5" customHeight="1" x14ac:dyDescent="0.2">
      <c r="G13598" s="889"/>
    </row>
    <row r="13599" spans="7:7" ht="10.5" customHeight="1" x14ac:dyDescent="0.2">
      <c r="G13599" s="889"/>
    </row>
    <row r="13600" spans="7:7" ht="10.5" customHeight="1" x14ac:dyDescent="0.2">
      <c r="G13600" s="889"/>
    </row>
    <row r="13601" spans="7:7" ht="10.5" customHeight="1" x14ac:dyDescent="0.2">
      <c r="G13601" s="889"/>
    </row>
    <row r="13602" spans="7:7" ht="10.5" customHeight="1" x14ac:dyDescent="0.2">
      <c r="G13602" s="889"/>
    </row>
    <row r="13603" spans="7:7" ht="10.5" customHeight="1" x14ac:dyDescent="0.2">
      <c r="G13603" s="889"/>
    </row>
    <row r="13604" spans="7:7" ht="10.5" customHeight="1" x14ac:dyDescent="0.2">
      <c r="G13604" s="889"/>
    </row>
    <row r="13605" spans="7:7" ht="10.5" customHeight="1" x14ac:dyDescent="0.2">
      <c r="G13605" s="889"/>
    </row>
    <row r="13606" spans="7:7" ht="10.5" customHeight="1" x14ac:dyDescent="0.2">
      <c r="G13606" s="889"/>
    </row>
    <row r="13607" spans="7:7" ht="10.5" customHeight="1" x14ac:dyDescent="0.2">
      <c r="G13607" s="889"/>
    </row>
    <row r="13608" spans="7:7" ht="10.5" customHeight="1" x14ac:dyDescent="0.2">
      <c r="G13608" s="889"/>
    </row>
    <row r="13609" spans="7:7" ht="10.5" customHeight="1" x14ac:dyDescent="0.2">
      <c r="G13609" s="889"/>
    </row>
    <row r="13610" spans="7:7" ht="10.5" customHeight="1" x14ac:dyDescent="0.2">
      <c r="G13610" s="889"/>
    </row>
    <row r="13611" spans="7:7" ht="10.5" customHeight="1" x14ac:dyDescent="0.2">
      <c r="G13611" s="889"/>
    </row>
    <row r="13612" spans="7:7" ht="10.5" customHeight="1" x14ac:dyDescent="0.2">
      <c r="G13612" s="889"/>
    </row>
    <row r="13613" spans="7:7" ht="10.5" customHeight="1" x14ac:dyDescent="0.2">
      <c r="G13613" s="889"/>
    </row>
    <row r="13614" spans="7:7" ht="10.5" customHeight="1" x14ac:dyDescent="0.2">
      <c r="G13614" s="889"/>
    </row>
    <row r="13615" spans="7:7" ht="10.5" customHeight="1" x14ac:dyDescent="0.2">
      <c r="G13615" s="889"/>
    </row>
    <row r="13616" spans="7:7" ht="10.5" customHeight="1" x14ac:dyDescent="0.2">
      <c r="G13616" s="889"/>
    </row>
    <row r="13617" spans="7:7" ht="10.5" customHeight="1" x14ac:dyDescent="0.2">
      <c r="G13617" s="889"/>
    </row>
    <row r="13618" spans="7:7" ht="10.5" customHeight="1" x14ac:dyDescent="0.2">
      <c r="G13618" s="889"/>
    </row>
    <row r="13619" spans="7:7" ht="10.5" customHeight="1" x14ac:dyDescent="0.2">
      <c r="G13619" s="889"/>
    </row>
    <row r="13620" spans="7:7" ht="10.5" customHeight="1" x14ac:dyDescent="0.2">
      <c r="G13620" s="889"/>
    </row>
    <row r="13621" spans="7:7" ht="10.5" customHeight="1" x14ac:dyDescent="0.2">
      <c r="G13621" s="889"/>
    </row>
    <row r="13622" spans="7:7" ht="10.5" customHeight="1" x14ac:dyDescent="0.2">
      <c r="G13622" s="889"/>
    </row>
    <row r="13623" spans="7:7" ht="10.5" customHeight="1" x14ac:dyDescent="0.2">
      <c r="G13623" s="889"/>
    </row>
    <row r="13624" spans="7:7" ht="10.5" customHeight="1" x14ac:dyDescent="0.2">
      <c r="G13624" s="889"/>
    </row>
    <row r="13625" spans="7:7" ht="10.5" customHeight="1" x14ac:dyDescent="0.2">
      <c r="G13625" s="889"/>
    </row>
    <row r="13626" spans="7:7" ht="10.5" customHeight="1" x14ac:dyDescent="0.2">
      <c r="G13626" s="889"/>
    </row>
    <row r="13627" spans="7:7" ht="10.5" customHeight="1" x14ac:dyDescent="0.2">
      <c r="G13627" s="889"/>
    </row>
    <row r="13628" spans="7:7" ht="10.5" customHeight="1" x14ac:dyDescent="0.2">
      <c r="G13628" s="889"/>
    </row>
    <row r="13629" spans="7:7" ht="10.5" customHeight="1" x14ac:dyDescent="0.2">
      <c r="G13629" s="889"/>
    </row>
    <row r="13630" spans="7:7" ht="10.5" customHeight="1" x14ac:dyDescent="0.2">
      <c r="G13630" s="889"/>
    </row>
    <row r="13631" spans="7:7" ht="10.5" customHeight="1" x14ac:dyDescent="0.2">
      <c r="G13631" s="889"/>
    </row>
    <row r="13632" spans="7:7" ht="10.5" customHeight="1" x14ac:dyDescent="0.2">
      <c r="G13632" s="889"/>
    </row>
    <row r="13633" spans="7:7" ht="10.5" customHeight="1" x14ac:dyDescent="0.2">
      <c r="G13633" s="889"/>
    </row>
    <row r="13634" spans="7:7" ht="10.5" customHeight="1" x14ac:dyDescent="0.2">
      <c r="G13634" s="889"/>
    </row>
    <row r="13635" spans="7:7" ht="10.5" customHeight="1" x14ac:dyDescent="0.2">
      <c r="G13635" s="889"/>
    </row>
    <row r="13636" spans="7:7" ht="10.5" customHeight="1" x14ac:dyDescent="0.2">
      <c r="G13636" s="889"/>
    </row>
    <row r="13637" spans="7:7" ht="10.5" customHeight="1" x14ac:dyDescent="0.2">
      <c r="G13637" s="889"/>
    </row>
    <row r="13638" spans="7:7" ht="10.5" customHeight="1" x14ac:dyDescent="0.2">
      <c r="G13638" s="889"/>
    </row>
    <row r="13639" spans="7:7" ht="10.5" customHeight="1" x14ac:dyDescent="0.2">
      <c r="G13639" s="889"/>
    </row>
    <row r="13640" spans="7:7" ht="10.5" customHeight="1" x14ac:dyDescent="0.2">
      <c r="G13640" s="889"/>
    </row>
    <row r="13641" spans="7:7" ht="10.5" customHeight="1" x14ac:dyDescent="0.2">
      <c r="G13641" s="889"/>
    </row>
    <row r="13642" spans="7:7" ht="10.5" customHeight="1" x14ac:dyDescent="0.2">
      <c r="G13642" s="889"/>
    </row>
    <row r="13643" spans="7:7" ht="10.5" customHeight="1" x14ac:dyDescent="0.2">
      <c r="G13643" s="889"/>
    </row>
    <row r="13644" spans="7:7" ht="10.5" customHeight="1" x14ac:dyDescent="0.2">
      <c r="G13644" s="889"/>
    </row>
    <row r="13645" spans="7:7" ht="10.5" customHeight="1" x14ac:dyDescent="0.2">
      <c r="G13645" s="889"/>
    </row>
    <row r="13646" spans="7:7" ht="10.5" customHeight="1" x14ac:dyDescent="0.2">
      <c r="G13646" s="889"/>
    </row>
    <row r="13647" spans="7:7" ht="10.5" customHeight="1" x14ac:dyDescent="0.2">
      <c r="G13647" s="889"/>
    </row>
    <row r="13648" spans="7:7" ht="10.5" customHeight="1" x14ac:dyDescent="0.2">
      <c r="G13648" s="889"/>
    </row>
    <row r="13649" spans="7:7" ht="10.5" customHeight="1" x14ac:dyDescent="0.2">
      <c r="G13649" s="889"/>
    </row>
    <row r="13650" spans="7:7" ht="10.5" customHeight="1" x14ac:dyDescent="0.2">
      <c r="G13650" s="889"/>
    </row>
    <row r="13651" spans="7:7" ht="10.5" customHeight="1" x14ac:dyDescent="0.2">
      <c r="G13651" s="889"/>
    </row>
    <row r="13652" spans="7:7" ht="10.5" customHeight="1" x14ac:dyDescent="0.2">
      <c r="G13652" s="889"/>
    </row>
    <row r="13653" spans="7:7" ht="10.5" customHeight="1" x14ac:dyDescent="0.2">
      <c r="G13653" s="889"/>
    </row>
    <row r="13654" spans="7:7" ht="10.5" customHeight="1" x14ac:dyDescent="0.2">
      <c r="G13654" s="889"/>
    </row>
    <row r="13655" spans="7:7" ht="10.5" customHeight="1" x14ac:dyDescent="0.2">
      <c r="G13655" s="889"/>
    </row>
    <row r="13656" spans="7:7" ht="10.5" customHeight="1" x14ac:dyDescent="0.2">
      <c r="G13656" s="889"/>
    </row>
    <row r="13657" spans="7:7" ht="10.5" customHeight="1" x14ac:dyDescent="0.2">
      <c r="G13657" s="889"/>
    </row>
    <row r="13658" spans="7:7" ht="10.5" customHeight="1" x14ac:dyDescent="0.2">
      <c r="G13658" s="889"/>
    </row>
    <row r="13659" spans="7:7" ht="10.5" customHeight="1" x14ac:dyDescent="0.2">
      <c r="G13659" s="889"/>
    </row>
    <row r="13660" spans="7:7" ht="10.5" customHeight="1" x14ac:dyDescent="0.2">
      <c r="G13660" s="889"/>
    </row>
    <row r="13661" spans="7:7" ht="10.5" customHeight="1" x14ac:dyDescent="0.2">
      <c r="G13661" s="889"/>
    </row>
    <row r="13662" spans="7:7" ht="10.5" customHeight="1" x14ac:dyDescent="0.2">
      <c r="G13662" s="889"/>
    </row>
    <row r="13663" spans="7:7" ht="10.5" customHeight="1" x14ac:dyDescent="0.2">
      <c r="G13663" s="889"/>
    </row>
    <row r="13664" spans="7:7" ht="10.5" customHeight="1" x14ac:dyDescent="0.2">
      <c r="G13664" s="889"/>
    </row>
    <row r="13665" spans="7:7" ht="10.5" customHeight="1" x14ac:dyDescent="0.2">
      <c r="G13665" s="889"/>
    </row>
    <row r="13666" spans="7:7" ht="10.5" customHeight="1" x14ac:dyDescent="0.2">
      <c r="G13666" s="889"/>
    </row>
    <row r="13667" spans="7:7" ht="10.5" customHeight="1" x14ac:dyDescent="0.2">
      <c r="G13667" s="889"/>
    </row>
    <row r="13668" spans="7:7" ht="10.5" customHeight="1" x14ac:dyDescent="0.2">
      <c r="G13668" s="889"/>
    </row>
    <row r="13669" spans="7:7" ht="10.5" customHeight="1" x14ac:dyDescent="0.2">
      <c r="G13669" s="889"/>
    </row>
    <row r="13670" spans="7:7" ht="10.5" customHeight="1" x14ac:dyDescent="0.2">
      <c r="G13670" s="889"/>
    </row>
    <row r="13671" spans="7:7" ht="10.5" customHeight="1" x14ac:dyDescent="0.2">
      <c r="G13671" s="889"/>
    </row>
    <row r="13672" spans="7:7" ht="10.5" customHeight="1" x14ac:dyDescent="0.2">
      <c r="G13672" s="889"/>
    </row>
    <row r="13673" spans="7:7" ht="10.5" customHeight="1" x14ac:dyDescent="0.2">
      <c r="G13673" s="889"/>
    </row>
    <row r="13674" spans="7:7" ht="10.5" customHeight="1" x14ac:dyDescent="0.2">
      <c r="G13674" s="889"/>
    </row>
    <row r="13675" spans="7:7" ht="10.5" customHeight="1" x14ac:dyDescent="0.2">
      <c r="G13675" s="889"/>
    </row>
    <row r="13676" spans="7:7" ht="10.5" customHeight="1" x14ac:dyDescent="0.2">
      <c r="G13676" s="889"/>
    </row>
    <row r="13677" spans="7:7" ht="10.5" customHeight="1" x14ac:dyDescent="0.2">
      <c r="G13677" s="889"/>
    </row>
    <row r="13678" spans="7:7" ht="10.5" customHeight="1" x14ac:dyDescent="0.2">
      <c r="G13678" s="889"/>
    </row>
    <row r="13679" spans="7:7" ht="10.5" customHeight="1" x14ac:dyDescent="0.2">
      <c r="G13679" s="889"/>
    </row>
    <row r="13680" spans="7:7" ht="10.5" customHeight="1" x14ac:dyDescent="0.2">
      <c r="G13680" s="889"/>
    </row>
    <row r="13681" spans="7:7" ht="10.5" customHeight="1" x14ac:dyDescent="0.2">
      <c r="G13681" s="889"/>
    </row>
    <row r="13682" spans="7:7" ht="10.5" customHeight="1" x14ac:dyDescent="0.2">
      <c r="G13682" s="889"/>
    </row>
    <row r="13683" spans="7:7" ht="10.5" customHeight="1" x14ac:dyDescent="0.2">
      <c r="G13683" s="889"/>
    </row>
    <row r="13684" spans="7:7" ht="10.5" customHeight="1" x14ac:dyDescent="0.2">
      <c r="G13684" s="889"/>
    </row>
    <row r="13685" spans="7:7" ht="10.5" customHeight="1" x14ac:dyDescent="0.2">
      <c r="G13685" s="889"/>
    </row>
    <row r="13686" spans="7:7" ht="10.5" customHeight="1" x14ac:dyDescent="0.2">
      <c r="G13686" s="889"/>
    </row>
    <row r="13687" spans="7:7" ht="10.5" customHeight="1" x14ac:dyDescent="0.2">
      <c r="G13687" s="889"/>
    </row>
    <row r="13688" spans="7:7" ht="10.5" customHeight="1" x14ac:dyDescent="0.2">
      <c r="G13688" s="889"/>
    </row>
    <row r="13689" spans="7:7" ht="10.5" customHeight="1" x14ac:dyDescent="0.2">
      <c r="G13689" s="889"/>
    </row>
    <row r="13690" spans="7:7" ht="10.5" customHeight="1" x14ac:dyDescent="0.2">
      <c r="G13690" s="889"/>
    </row>
    <row r="13691" spans="7:7" ht="10.5" customHeight="1" x14ac:dyDescent="0.2">
      <c r="G13691" s="889"/>
    </row>
    <row r="13692" spans="7:7" ht="10.5" customHeight="1" x14ac:dyDescent="0.2">
      <c r="G13692" s="889"/>
    </row>
    <row r="13693" spans="7:7" ht="10.5" customHeight="1" x14ac:dyDescent="0.2">
      <c r="G13693" s="889"/>
    </row>
    <row r="13694" spans="7:7" ht="10.5" customHeight="1" x14ac:dyDescent="0.2">
      <c r="G13694" s="889"/>
    </row>
    <row r="13695" spans="7:7" ht="10.5" customHeight="1" x14ac:dyDescent="0.2">
      <c r="G13695" s="889"/>
    </row>
    <row r="13696" spans="7:7" ht="10.5" customHeight="1" x14ac:dyDescent="0.2">
      <c r="G13696" s="889"/>
    </row>
    <row r="13697" spans="7:7" ht="10.5" customHeight="1" x14ac:dyDescent="0.2">
      <c r="G13697" s="889"/>
    </row>
    <row r="13698" spans="7:7" ht="10.5" customHeight="1" x14ac:dyDescent="0.2">
      <c r="G13698" s="889"/>
    </row>
    <row r="13699" spans="7:7" ht="10.5" customHeight="1" x14ac:dyDescent="0.2">
      <c r="G13699" s="889"/>
    </row>
    <row r="13700" spans="7:7" ht="10.5" customHeight="1" x14ac:dyDescent="0.2">
      <c r="G13700" s="889"/>
    </row>
    <row r="13701" spans="7:7" ht="10.5" customHeight="1" x14ac:dyDescent="0.2">
      <c r="G13701" s="889"/>
    </row>
    <row r="13702" spans="7:7" ht="10.5" customHeight="1" x14ac:dyDescent="0.2">
      <c r="G13702" s="889"/>
    </row>
    <row r="13703" spans="7:7" ht="10.5" customHeight="1" x14ac:dyDescent="0.2">
      <c r="G13703" s="889"/>
    </row>
    <row r="13704" spans="7:7" ht="10.5" customHeight="1" x14ac:dyDescent="0.2">
      <c r="G13704" s="889"/>
    </row>
    <row r="13705" spans="7:7" ht="10.5" customHeight="1" x14ac:dyDescent="0.2">
      <c r="G13705" s="889"/>
    </row>
    <row r="13706" spans="7:7" ht="10.5" customHeight="1" x14ac:dyDescent="0.2">
      <c r="G13706" s="889"/>
    </row>
    <row r="13707" spans="7:7" ht="10.5" customHeight="1" x14ac:dyDescent="0.2">
      <c r="G13707" s="889"/>
    </row>
    <row r="13708" spans="7:7" ht="10.5" customHeight="1" x14ac:dyDescent="0.2">
      <c r="G13708" s="889"/>
    </row>
    <row r="13709" spans="7:7" ht="10.5" customHeight="1" x14ac:dyDescent="0.2">
      <c r="G13709" s="889"/>
    </row>
    <row r="13710" spans="7:7" ht="10.5" customHeight="1" x14ac:dyDescent="0.2">
      <c r="G13710" s="889"/>
    </row>
    <row r="13711" spans="7:7" ht="10.5" customHeight="1" x14ac:dyDescent="0.2">
      <c r="G13711" s="889"/>
    </row>
    <row r="13712" spans="7:7" ht="10.5" customHeight="1" x14ac:dyDescent="0.2">
      <c r="G13712" s="889"/>
    </row>
    <row r="13713" spans="7:7" ht="10.5" customHeight="1" x14ac:dyDescent="0.2">
      <c r="G13713" s="889"/>
    </row>
    <row r="13714" spans="7:7" ht="10.5" customHeight="1" x14ac:dyDescent="0.2">
      <c r="G13714" s="889"/>
    </row>
    <row r="13715" spans="7:7" ht="10.5" customHeight="1" x14ac:dyDescent="0.2">
      <c r="G13715" s="889"/>
    </row>
    <row r="13716" spans="7:7" ht="10.5" customHeight="1" x14ac:dyDescent="0.2">
      <c r="G13716" s="889"/>
    </row>
    <row r="13717" spans="7:7" ht="10.5" customHeight="1" x14ac:dyDescent="0.2">
      <c r="G13717" s="889"/>
    </row>
    <row r="13718" spans="7:7" ht="10.5" customHeight="1" x14ac:dyDescent="0.2">
      <c r="G13718" s="889"/>
    </row>
    <row r="13719" spans="7:7" ht="10.5" customHeight="1" x14ac:dyDescent="0.2">
      <c r="G13719" s="889"/>
    </row>
    <row r="13720" spans="7:7" ht="10.5" customHeight="1" x14ac:dyDescent="0.2">
      <c r="G13720" s="889"/>
    </row>
    <row r="13721" spans="7:7" ht="10.5" customHeight="1" x14ac:dyDescent="0.2">
      <c r="G13721" s="889"/>
    </row>
    <row r="13722" spans="7:7" ht="10.5" customHeight="1" x14ac:dyDescent="0.2">
      <c r="G13722" s="889"/>
    </row>
    <row r="13723" spans="7:7" ht="10.5" customHeight="1" x14ac:dyDescent="0.2">
      <c r="G13723" s="889"/>
    </row>
    <row r="13724" spans="7:7" ht="10.5" customHeight="1" x14ac:dyDescent="0.2">
      <c r="G13724" s="889"/>
    </row>
    <row r="13725" spans="7:7" ht="10.5" customHeight="1" x14ac:dyDescent="0.2">
      <c r="G13725" s="889"/>
    </row>
    <row r="13726" spans="7:7" ht="10.5" customHeight="1" x14ac:dyDescent="0.2">
      <c r="G13726" s="889"/>
    </row>
    <row r="13727" spans="7:7" ht="10.5" customHeight="1" x14ac:dyDescent="0.2">
      <c r="G13727" s="889"/>
    </row>
    <row r="13728" spans="7:7" ht="10.5" customHeight="1" x14ac:dyDescent="0.2">
      <c r="G13728" s="889"/>
    </row>
    <row r="13729" spans="7:7" ht="10.5" customHeight="1" x14ac:dyDescent="0.2">
      <c r="G13729" s="889"/>
    </row>
    <row r="13730" spans="7:7" ht="10.5" customHeight="1" x14ac:dyDescent="0.2">
      <c r="G13730" s="889"/>
    </row>
    <row r="13731" spans="7:7" ht="10.5" customHeight="1" x14ac:dyDescent="0.2">
      <c r="G13731" s="889"/>
    </row>
    <row r="13732" spans="7:7" ht="10.5" customHeight="1" x14ac:dyDescent="0.2">
      <c r="G13732" s="889"/>
    </row>
    <row r="13733" spans="7:7" ht="10.5" customHeight="1" x14ac:dyDescent="0.2">
      <c r="G13733" s="889"/>
    </row>
    <row r="13734" spans="7:7" ht="10.5" customHeight="1" x14ac:dyDescent="0.2">
      <c r="G13734" s="889"/>
    </row>
    <row r="13735" spans="7:7" ht="10.5" customHeight="1" x14ac:dyDescent="0.2">
      <c r="G13735" s="889"/>
    </row>
    <row r="13736" spans="7:7" ht="10.5" customHeight="1" x14ac:dyDescent="0.2">
      <c r="G13736" s="889"/>
    </row>
    <row r="13737" spans="7:7" ht="10.5" customHeight="1" x14ac:dyDescent="0.2">
      <c r="G13737" s="889"/>
    </row>
    <row r="13738" spans="7:7" ht="10.5" customHeight="1" x14ac:dyDescent="0.2">
      <c r="G13738" s="889"/>
    </row>
    <row r="13739" spans="7:7" ht="10.5" customHeight="1" x14ac:dyDescent="0.2">
      <c r="G13739" s="889"/>
    </row>
    <row r="13740" spans="7:7" ht="10.5" customHeight="1" x14ac:dyDescent="0.2">
      <c r="G13740" s="889"/>
    </row>
    <row r="13741" spans="7:7" ht="10.5" customHeight="1" x14ac:dyDescent="0.2">
      <c r="G13741" s="889"/>
    </row>
    <row r="13742" spans="7:7" ht="10.5" customHeight="1" x14ac:dyDescent="0.2">
      <c r="G13742" s="889"/>
    </row>
    <row r="13743" spans="7:7" ht="10.5" customHeight="1" x14ac:dyDescent="0.2">
      <c r="G13743" s="889"/>
    </row>
    <row r="13744" spans="7:7" ht="10.5" customHeight="1" x14ac:dyDescent="0.2">
      <c r="G13744" s="889"/>
    </row>
    <row r="13745" spans="7:7" ht="10.5" customHeight="1" x14ac:dyDescent="0.2">
      <c r="G13745" s="889"/>
    </row>
    <row r="13746" spans="7:7" ht="10.5" customHeight="1" x14ac:dyDescent="0.2">
      <c r="G13746" s="889"/>
    </row>
    <row r="13747" spans="7:7" ht="10.5" customHeight="1" x14ac:dyDescent="0.2">
      <c r="G13747" s="889"/>
    </row>
    <row r="13748" spans="7:7" ht="10.5" customHeight="1" x14ac:dyDescent="0.2">
      <c r="G13748" s="889"/>
    </row>
    <row r="13749" spans="7:7" ht="10.5" customHeight="1" x14ac:dyDescent="0.2">
      <c r="G13749" s="889"/>
    </row>
    <row r="13750" spans="7:7" ht="10.5" customHeight="1" x14ac:dyDescent="0.2">
      <c r="G13750" s="889"/>
    </row>
    <row r="13751" spans="7:7" ht="10.5" customHeight="1" x14ac:dyDescent="0.2">
      <c r="G13751" s="889"/>
    </row>
    <row r="13752" spans="7:7" ht="10.5" customHeight="1" x14ac:dyDescent="0.2">
      <c r="G13752" s="889"/>
    </row>
    <row r="13753" spans="7:7" ht="10.5" customHeight="1" x14ac:dyDescent="0.2">
      <c r="G13753" s="889"/>
    </row>
    <row r="13754" spans="7:7" ht="10.5" customHeight="1" x14ac:dyDescent="0.2">
      <c r="G13754" s="889"/>
    </row>
    <row r="13755" spans="7:7" ht="10.5" customHeight="1" x14ac:dyDescent="0.2">
      <c r="G13755" s="889"/>
    </row>
    <row r="13756" spans="7:7" ht="10.5" customHeight="1" x14ac:dyDescent="0.2">
      <c r="G13756" s="889"/>
    </row>
    <row r="13757" spans="7:7" ht="10.5" customHeight="1" x14ac:dyDescent="0.2">
      <c r="G13757" s="889"/>
    </row>
    <row r="13758" spans="7:7" ht="10.5" customHeight="1" x14ac:dyDescent="0.2">
      <c r="G13758" s="889"/>
    </row>
    <row r="13759" spans="7:7" ht="10.5" customHeight="1" x14ac:dyDescent="0.2">
      <c r="G13759" s="889"/>
    </row>
    <row r="13760" spans="7:7" ht="10.5" customHeight="1" x14ac:dyDescent="0.2">
      <c r="G13760" s="889"/>
    </row>
    <row r="13761" spans="7:7" ht="10.5" customHeight="1" x14ac:dyDescent="0.2">
      <c r="G13761" s="889"/>
    </row>
    <row r="13762" spans="7:7" ht="10.5" customHeight="1" x14ac:dyDescent="0.2">
      <c r="G13762" s="889"/>
    </row>
    <row r="13763" spans="7:7" ht="10.5" customHeight="1" x14ac:dyDescent="0.2">
      <c r="G13763" s="889"/>
    </row>
    <row r="13764" spans="7:7" ht="10.5" customHeight="1" x14ac:dyDescent="0.2">
      <c r="G13764" s="889"/>
    </row>
    <row r="13765" spans="7:7" ht="10.5" customHeight="1" x14ac:dyDescent="0.2">
      <c r="G13765" s="889"/>
    </row>
    <row r="13766" spans="7:7" ht="10.5" customHeight="1" x14ac:dyDescent="0.2">
      <c r="G13766" s="889"/>
    </row>
    <row r="13767" spans="7:7" ht="10.5" customHeight="1" x14ac:dyDescent="0.2">
      <c r="G13767" s="889"/>
    </row>
    <row r="13768" spans="7:7" ht="10.5" customHeight="1" x14ac:dyDescent="0.2">
      <c r="G13768" s="889"/>
    </row>
    <row r="13769" spans="7:7" ht="10.5" customHeight="1" x14ac:dyDescent="0.2">
      <c r="G13769" s="889"/>
    </row>
    <row r="13770" spans="7:7" ht="10.5" customHeight="1" x14ac:dyDescent="0.2">
      <c r="G13770" s="889"/>
    </row>
    <row r="13771" spans="7:7" ht="10.5" customHeight="1" x14ac:dyDescent="0.2">
      <c r="G13771" s="889"/>
    </row>
    <row r="13772" spans="7:7" ht="10.5" customHeight="1" x14ac:dyDescent="0.2">
      <c r="G13772" s="889"/>
    </row>
    <row r="13773" spans="7:7" ht="10.5" customHeight="1" x14ac:dyDescent="0.2">
      <c r="G13773" s="889"/>
    </row>
    <row r="13774" spans="7:7" ht="10.5" customHeight="1" x14ac:dyDescent="0.2">
      <c r="G13774" s="889"/>
    </row>
    <row r="13775" spans="7:7" ht="10.5" customHeight="1" x14ac:dyDescent="0.2">
      <c r="G13775" s="889"/>
    </row>
    <row r="13776" spans="7:7" ht="10.5" customHeight="1" x14ac:dyDescent="0.2">
      <c r="G13776" s="889"/>
    </row>
    <row r="13777" spans="7:7" ht="10.5" customHeight="1" x14ac:dyDescent="0.2">
      <c r="G13777" s="889"/>
    </row>
    <row r="13778" spans="7:7" ht="10.5" customHeight="1" x14ac:dyDescent="0.2">
      <c r="G13778" s="889"/>
    </row>
    <row r="13779" spans="7:7" ht="10.5" customHeight="1" x14ac:dyDescent="0.2">
      <c r="G13779" s="889"/>
    </row>
    <row r="13780" spans="7:7" ht="10.5" customHeight="1" x14ac:dyDescent="0.2">
      <c r="G13780" s="889"/>
    </row>
    <row r="13781" spans="7:7" ht="10.5" customHeight="1" x14ac:dyDescent="0.2">
      <c r="G13781" s="889"/>
    </row>
    <row r="13782" spans="7:7" ht="10.5" customHeight="1" x14ac:dyDescent="0.2">
      <c r="G13782" s="889"/>
    </row>
    <row r="13783" spans="7:7" ht="10.5" customHeight="1" x14ac:dyDescent="0.2">
      <c r="G13783" s="889"/>
    </row>
    <row r="13784" spans="7:7" ht="10.5" customHeight="1" x14ac:dyDescent="0.2">
      <c r="G13784" s="889"/>
    </row>
    <row r="13785" spans="7:7" ht="10.5" customHeight="1" x14ac:dyDescent="0.2">
      <c r="G13785" s="889"/>
    </row>
    <row r="13786" spans="7:7" ht="10.5" customHeight="1" x14ac:dyDescent="0.2">
      <c r="G13786" s="889"/>
    </row>
    <row r="13787" spans="7:7" ht="10.5" customHeight="1" x14ac:dyDescent="0.2">
      <c r="G13787" s="889"/>
    </row>
    <row r="13788" spans="7:7" ht="10.5" customHeight="1" x14ac:dyDescent="0.2">
      <c r="G13788" s="889"/>
    </row>
    <row r="13789" spans="7:7" ht="10.5" customHeight="1" x14ac:dyDescent="0.2">
      <c r="G13789" s="889"/>
    </row>
    <row r="13790" spans="7:7" ht="10.5" customHeight="1" x14ac:dyDescent="0.2">
      <c r="G13790" s="889"/>
    </row>
    <row r="13791" spans="7:7" ht="10.5" customHeight="1" x14ac:dyDescent="0.2">
      <c r="G13791" s="889"/>
    </row>
    <row r="13792" spans="7:7" ht="10.5" customHeight="1" x14ac:dyDescent="0.2">
      <c r="G13792" s="889"/>
    </row>
    <row r="13793" spans="7:7" ht="10.5" customHeight="1" x14ac:dyDescent="0.2">
      <c r="G13793" s="889"/>
    </row>
    <row r="13794" spans="7:7" ht="10.5" customHeight="1" x14ac:dyDescent="0.2">
      <c r="G13794" s="889"/>
    </row>
    <row r="13795" spans="7:7" ht="10.5" customHeight="1" x14ac:dyDescent="0.2">
      <c r="G13795" s="889"/>
    </row>
    <row r="13796" spans="7:7" ht="10.5" customHeight="1" x14ac:dyDescent="0.2">
      <c r="G13796" s="889"/>
    </row>
    <row r="13797" spans="7:7" ht="10.5" customHeight="1" x14ac:dyDescent="0.2">
      <c r="G13797" s="889"/>
    </row>
    <row r="13798" spans="7:7" ht="10.5" customHeight="1" x14ac:dyDescent="0.2">
      <c r="G13798" s="889"/>
    </row>
    <row r="13799" spans="7:7" ht="10.5" customHeight="1" x14ac:dyDescent="0.2">
      <c r="G13799" s="889"/>
    </row>
    <row r="13800" spans="7:7" ht="10.5" customHeight="1" x14ac:dyDescent="0.2">
      <c r="G13800" s="889"/>
    </row>
    <row r="13801" spans="7:7" ht="10.5" customHeight="1" x14ac:dyDescent="0.2">
      <c r="G13801" s="889"/>
    </row>
    <row r="13802" spans="7:7" ht="10.5" customHeight="1" x14ac:dyDescent="0.2">
      <c r="G13802" s="889"/>
    </row>
    <row r="13803" spans="7:7" ht="10.5" customHeight="1" x14ac:dyDescent="0.2">
      <c r="G13803" s="889"/>
    </row>
    <row r="13804" spans="7:7" ht="10.5" customHeight="1" x14ac:dyDescent="0.2">
      <c r="G13804" s="889"/>
    </row>
    <row r="13805" spans="7:7" ht="10.5" customHeight="1" x14ac:dyDescent="0.2">
      <c r="G13805" s="889"/>
    </row>
    <row r="13806" spans="7:7" ht="10.5" customHeight="1" x14ac:dyDescent="0.2">
      <c r="G13806" s="889"/>
    </row>
    <row r="13807" spans="7:7" ht="10.5" customHeight="1" x14ac:dyDescent="0.2">
      <c r="G13807" s="889"/>
    </row>
    <row r="13808" spans="7:7" ht="10.5" customHeight="1" x14ac:dyDescent="0.2">
      <c r="G13808" s="889"/>
    </row>
    <row r="13809" spans="7:7" ht="10.5" customHeight="1" x14ac:dyDescent="0.2">
      <c r="G13809" s="889"/>
    </row>
    <row r="13810" spans="7:7" ht="10.5" customHeight="1" x14ac:dyDescent="0.2">
      <c r="G13810" s="889"/>
    </row>
    <row r="13811" spans="7:7" ht="10.5" customHeight="1" x14ac:dyDescent="0.2">
      <c r="G13811" s="889"/>
    </row>
    <row r="13812" spans="7:7" ht="10.5" customHeight="1" x14ac:dyDescent="0.2">
      <c r="G13812" s="889"/>
    </row>
    <row r="13813" spans="7:7" ht="10.5" customHeight="1" x14ac:dyDescent="0.2">
      <c r="G13813" s="889"/>
    </row>
    <row r="13814" spans="7:7" ht="10.5" customHeight="1" x14ac:dyDescent="0.2">
      <c r="G13814" s="889"/>
    </row>
    <row r="13815" spans="7:7" ht="10.5" customHeight="1" x14ac:dyDescent="0.2">
      <c r="G13815" s="889"/>
    </row>
    <row r="13816" spans="7:7" ht="10.5" customHeight="1" x14ac:dyDescent="0.2">
      <c r="G13816" s="889"/>
    </row>
    <row r="13817" spans="7:7" ht="10.5" customHeight="1" x14ac:dyDescent="0.2">
      <c r="G13817" s="889"/>
    </row>
    <row r="13818" spans="7:7" ht="10.5" customHeight="1" x14ac:dyDescent="0.2">
      <c r="G13818" s="889"/>
    </row>
    <row r="13819" spans="7:7" ht="10.5" customHeight="1" x14ac:dyDescent="0.2">
      <c r="G13819" s="889"/>
    </row>
    <row r="13820" spans="7:7" ht="10.5" customHeight="1" x14ac:dyDescent="0.2">
      <c r="G13820" s="889"/>
    </row>
    <row r="13821" spans="7:7" ht="10.5" customHeight="1" x14ac:dyDescent="0.2">
      <c r="G13821" s="889"/>
    </row>
    <row r="13822" spans="7:7" ht="10.5" customHeight="1" x14ac:dyDescent="0.2">
      <c r="G13822" s="889"/>
    </row>
    <row r="13823" spans="7:7" ht="10.5" customHeight="1" x14ac:dyDescent="0.2">
      <c r="G13823" s="889"/>
    </row>
    <row r="13824" spans="7:7" ht="10.5" customHeight="1" x14ac:dyDescent="0.2">
      <c r="G13824" s="889"/>
    </row>
    <row r="13825" spans="7:7" ht="10.5" customHeight="1" x14ac:dyDescent="0.2">
      <c r="G13825" s="889"/>
    </row>
    <row r="13826" spans="7:7" ht="10.5" customHeight="1" x14ac:dyDescent="0.2">
      <c r="G13826" s="889"/>
    </row>
    <row r="13827" spans="7:7" ht="10.5" customHeight="1" x14ac:dyDescent="0.2">
      <c r="G13827" s="889"/>
    </row>
    <row r="13828" spans="7:7" ht="10.5" customHeight="1" x14ac:dyDescent="0.2">
      <c r="G13828" s="889"/>
    </row>
    <row r="13829" spans="7:7" ht="10.5" customHeight="1" x14ac:dyDescent="0.2">
      <c r="G13829" s="889"/>
    </row>
    <row r="13830" spans="7:7" ht="10.5" customHeight="1" x14ac:dyDescent="0.2">
      <c r="G13830" s="889"/>
    </row>
    <row r="13831" spans="7:7" ht="10.5" customHeight="1" x14ac:dyDescent="0.2">
      <c r="G13831" s="889"/>
    </row>
    <row r="13832" spans="7:7" ht="10.5" customHeight="1" x14ac:dyDescent="0.2">
      <c r="G13832" s="889"/>
    </row>
    <row r="13833" spans="7:7" ht="10.5" customHeight="1" x14ac:dyDescent="0.2">
      <c r="G13833" s="889"/>
    </row>
    <row r="13834" spans="7:7" ht="10.5" customHeight="1" x14ac:dyDescent="0.2">
      <c r="G13834" s="889"/>
    </row>
    <row r="13835" spans="7:7" ht="10.5" customHeight="1" x14ac:dyDescent="0.2">
      <c r="G13835" s="889"/>
    </row>
    <row r="13836" spans="7:7" ht="10.5" customHeight="1" x14ac:dyDescent="0.2">
      <c r="G13836" s="889"/>
    </row>
    <row r="13837" spans="7:7" ht="10.5" customHeight="1" x14ac:dyDescent="0.2">
      <c r="G13837" s="889"/>
    </row>
    <row r="13838" spans="7:7" ht="10.5" customHeight="1" x14ac:dyDescent="0.2">
      <c r="G13838" s="889"/>
    </row>
    <row r="13839" spans="7:7" ht="10.5" customHeight="1" x14ac:dyDescent="0.2">
      <c r="G13839" s="889"/>
    </row>
    <row r="13840" spans="7:7" ht="10.5" customHeight="1" x14ac:dyDescent="0.2">
      <c r="G13840" s="889"/>
    </row>
    <row r="13841" spans="7:7" ht="10.5" customHeight="1" x14ac:dyDescent="0.2">
      <c r="G13841" s="889"/>
    </row>
    <row r="13842" spans="7:7" ht="10.5" customHeight="1" x14ac:dyDescent="0.2">
      <c r="G13842" s="889"/>
    </row>
    <row r="13843" spans="7:7" ht="10.5" customHeight="1" x14ac:dyDescent="0.2">
      <c r="G13843" s="889"/>
    </row>
    <row r="13844" spans="7:7" ht="10.5" customHeight="1" x14ac:dyDescent="0.2">
      <c r="G13844" s="889"/>
    </row>
    <row r="13845" spans="7:7" ht="10.5" customHeight="1" x14ac:dyDescent="0.2">
      <c r="G13845" s="889"/>
    </row>
    <row r="13846" spans="7:7" ht="10.5" customHeight="1" x14ac:dyDescent="0.2">
      <c r="G13846" s="889"/>
    </row>
    <row r="13847" spans="7:7" ht="10.5" customHeight="1" x14ac:dyDescent="0.2">
      <c r="G13847" s="889"/>
    </row>
    <row r="13848" spans="7:7" ht="10.5" customHeight="1" x14ac:dyDescent="0.2">
      <c r="G13848" s="889"/>
    </row>
    <row r="13849" spans="7:7" ht="10.5" customHeight="1" x14ac:dyDescent="0.2">
      <c r="G13849" s="889"/>
    </row>
    <row r="13850" spans="7:7" ht="10.5" customHeight="1" x14ac:dyDescent="0.2">
      <c r="G13850" s="889"/>
    </row>
    <row r="13851" spans="7:7" ht="10.5" customHeight="1" x14ac:dyDescent="0.2">
      <c r="G13851" s="889"/>
    </row>
    <row r="13852" spans="7:7" ht="10.5" customHeight="1" x14ac:dyDescent="0.2">
      <c r="G13852" s="889"/>
    </row>
    <row r="13853" spans="7:7" ht="10.5" customHeight="1" x14ac:dyDescent="0.2">
      <c r="G13853" s="889"/>
    </row>
    <row r="13854" spans="7:7" ht="10.5" customHeight="1" x14ac:dyDescent="0.2">
      <c r="G13854" s="889"/>
    </row>
    <row r="13855" spans="7:7" ht="10.5" customHeight="1" x14ac:dyDescent="0.2">
      <c r="G13855" s="889"/>
    </row>
    <row r="13856" spans="7:7" ht="10.5" customHeight="1" x14ac:dyDescent="0.2">
      <c r="G13856" s="889"/>
    </row>
    <row r="13857" spans="7:7" ht="10.5" customHeight="1" x14ac:dyDescent="0.2">
      <c r="G13857" s="889"/>
    </row>
    <row r="13858" spans="7:7" ht="10.5" customHeight="1" x14ac:dyDescent="0.2">
      <c r="G13858" s="889"/>
    </row>
    <row r="13859" spans="7:7" ht="10.5" customHeight="1" x14ac:dyDescent="0.2">
      <c r="G13859" s="889"/>
    </row>
    <row r="13860" spans="7:7" ht="10.5" customHeight="1" x14ac:dyDescent="0.2">
      <c r="G13860" s="889"/>
    </row>
    <row r="13861" spans="7:7" ht="10.5" customHeight="1" x14ac:dyDescent="0.2">
      <c r="G13861" s="889"/>
    </row>
    <row r="13862" spans="7:7" ht="10.5" customHeight="1" x14ac:dyDescent="0.2">
      <c r="G13862" s="889"/>
    </row>
    <row r="13863" spans="7:7" ht="10.5" customHeight="1" x14ac:dyDescent="0.2">
      <c r="G13863" s="889"/>
    </row>
    <row r="13864" spans="7:7" ht="10.5" customHeight="1" x14ac:dyDescent="0.2">
      <c r="G13864" s="889"/>
    </row>
    <row r="13865" spans="7:7" ht="10.5" customHeight="1" x14ac:dyDescent="0.2">
      <c r="G13865" s="889"/>
    </row>
    <row r="13866" spans="7:7" ht="10.5" customHeight="1" x14ac:dyDescent="0.2">
      <c r="G13866" s="889"/>
    </row>
    <row r="13867" spans="7:7" ht="10.5" customHeight="1" x14ac:dyDescent="0.2">
      <c r="G13867" s="889"/>
    </row>
    <row r="13868" spans="7:7" ht="10.5" customHeight="1" x14ac:dyDescent="0.2">
      <c r="G13868" s="889"/>
    </row>
    <row r="13869" spans="7:7" ht="10.5" customHeight="1" x14ac:dyDescent="0.2">
      <c r="G13869" s="889"/>
    </row>
    <row r="13870" spans="7:7" ht="10.5" customHeight="1" x14ac:dyDescent="0.2">
      <c r="G13870" s="889"/>
    </row>
    <row r="13871" spans="7:7" ht="10.5" customHeight="1" x14ac:dyDescent="0.2">
      <c r="G13871" s="889"/>
    </row>
    <row r="13872" spans="7:7" ht="10.5" customHeight="1" x14ac:dyDescent="0.2">
      <c r="G13872" s="889"/>
    </row>
    <row r="13873" spans="7:7" ht="10.5" customHeight="1" x14ac:dyDescent="0.2">
      <c r="G13873" s="889"/>
    </row>
    <row r="13874" spans="7:7" ht="10.5" customHeight="1" x14ac:dyDescent="0.2">
      <c r="G13874" s="889"/>
    </row>
    <row r="13875" spans="7:7" ht="10.5" customHeight="1" x14ac:dyDescent="0.2">
      <c r="G13875" s="889"/>
    </row>
    <row r="13876" spans="7:7" ht="10.5" customHeight="1" x14ac:dyDescent="0.2">
      <c r="G13876" s="889"/>
    </row>
    <row r="13877" spans="7:7" ht="10.5" customHeight="1" x14ac:dyDescent="0.2">
      <c r="G13877" s="889"/>
    </row>
    <row r="13878" spans="7:7" ht="10.5" customHeight="1" x14ac:dyDescent="0.2">
      <c r="G13878" s="889"/>
    </row>
    <row r="13879" spans="7:7" ht="10.5" customHeight="1" x14ac:dyDescent="0.2">
      <c r="G13879" s="889"/>
    </row>
    <row r="13880" spans="7:7" ht="10.5" customHeight="1" x14ac:dyDescent="0.2">
      <c r="G13880" s="889"/>
    </row>
    <row r="13881" spans="7:7" ht="10.5" customHeight="1" x14ac:dyDescent="0.2">
      <c r="G13881" s="889"/>
    </row>
    <row r="13882" spans="7:7" ht="10.5" customHeight="1" x14ac:dyDescent="0.2">
      <c r="G13882" s="889"/>
    </row>
    <row r="13883" spans="7:7" ht="10.5" customHeight="1" x14ac:dyDescent="0.2">
      <c r="G13883" s="889"/>
    </row>
    <row r="13884" spans="7:7" ht="10.5" customHeight="1" x14ac:dyDescent="0.2">
      <c r="G13884" s="889"/>
    </row>
    <row r="13885" spans="7:7" ht="10.5" customHeight="1" x14ac:dyDescent="0.2">
      <c r="G13885" s="889"/>
    </row>
    <row r="13886" spans="7:7" ht="10.5" customHeight="1" x14ac:dyDescent="0.2">
      <c r="G13886" s="889"/>
    </row>
    <row r="13887" spans="7:7" ht="10.5" customHeight="1" x14ac:dyDescent="0.2">
      <c r="G13887" s="889"/>
    </row>
    <row r="13888" spans="7:7" ht="10.5" customHeight="1" x14ac:dyDescent="0.2">
      <c r="G13888" s="889"/>
    </row>
    <row r="13889" spans="7:7" ht="10.5" customHeight="1" x14ac:dyDescent="0.2">
      <c r="G13889" s="889"/>
    </row>
    <row r="13890" spans="7:7" ht="10.5" customHeight="1" x14ac:dyDescent="0.2">
      <c r="G13890" s="889"/>
    </row>
    <row r="13891" spans="7:7" ht="10.5" customHeight="1" x14ac:dyDescent="0.2">
      <c r="G13891" s="889"/>
    </row>
    <row r="13892" spans="7:7" ht="10.5" customHeight="1" x14ac:dyDescent="0.2">
      <c r="G13892" s="889"/>
    </row>
    <row r="13893" spans="7:7" ht="10.5" customHeight="1" x14ac:dyDescent="0.2">
      <c r="G13893" s="889"/>
    </row>
    <row r="13894" spans="7:7" ht="10.5" customHeight="1" x14ac:dyDescent="0.2">
      <c r="G13894" s="889"/>
    </row>
    <row r="13895" spans="7:7" ht="10.5" customHeight="1" x14ac:dyDescent="0.2">
      <c r="G13895" s="889"/>
    </row>
    <row r="13896" spans="7:7" ht="10.5" customHeight="1" x14ac:dyDescent="0.2">
      <c r="G13896" s="889"/>
    </row>
    <row r="13897" spans="7:7" ht="10.5" customHeight="1" x14ac:dyDescent="0.2">
      <c r="G13897" s="889"/>
    </row>
    <row r="13898" spans="7:7" ht="10.5" customHeight="1" x14ac:dyDescent="0.2">
      <c r="G13898" s="889"/>
    </row>
    <row r="13899" spans="7:7" ht="10.5" customHeight="1" x14ac:dyDescent="0.2">
      <c r="G13899" s="889"/>
    </row>
    <row r="13900" spans="7:7" ht="10.5" customHeight="1" x14ac:dyDescent="0.2">
      <c r="G13900" s="889"/>
    </row>
    <row r="13901" spans="7:7" ht="10.5" customHeight="1" x14ac:dyDescent="0.2">
      <c r="G13901" s="889"/>
    </row>
    <row r="13902" spans="7:7" ht="10.5" customHeight="1" x14ac:dyDescent="0.2">
      <c r="G13902" s="889"/>
    </row>
    <row r="13903" spans="7:7" ht="10.5" customHeight="1" x14ac:dyDescent="0.2">
      <c r="G13903" s="889"/>
    </row>
    <row r="13904" spans="7:7" ht="10.5" customHeight="1" x14ac:dyDescent="0.2">
      <c r="G13904" s="889"/>
    </row>
    <row r="13905" spans="7:7" ht="10.5" customHeight="1" x14ac:dyDescent="0.2">
      <c r="G13905" s="889"/>
    </row>
    <row r="13906" spans="7:7" ht="10.5" customHeight="1" x14ac:dyDescent="0.2">
      <c r="G13906" s="889"/>
    </row>
    <row r="13907" spans="7:7" ht="10.5" customHeight="1" x14ac:dyDescent="0.2">
      <c r="G13907" s="889"/>
    </row>
    <row r="13908" spans="7:7" ht="10.5" customHeight="1" x14ac:dyDescent="0.2">
      <c r="G13908" s="889"/>
    </row>
    <row r="13909" spans="7:7" ht="10.5" customHeight="1" x14ac:dyDescent="0.2">
      <c r="G13909" s="889"/>
    </row>
    <row r="13910" spans="7:7" ht="10.5" customHeight="1" x14ac:dyDescent="0.2">
      <c r="G13910" s="889"/>
    </row>
    <row r="13911" spans="7:7" ht="10.5" customHeight="1" x14ac:dyDescent="0.2">
      <c r="G13911" s="889"/>
    </row>
    <row r="13912" spans="7:7" ht="10.5" customHeight="1" x14ac:dyDescent="0.2">
      <c r="G13912" s="889"/>
    </row>
    <row r="13913" spans="7:7" ht="10.5" customHeight="1" x14ac:dyDescent="0.2">
      <c r="G13913" s="889"/>
    </row>
    <row r="13914" spans="7:7" ht="10.5" customHeight="1" x14ac:dyDescent="0.2">
      <c r="G13914" s="889"/>
    </row>
    <row r="13915" spans="7:7" ht="10.5" customHeight="1" x14ac:dyDescent="0.2">
      <c r="G13915" s="889"/>
    </row>
    <row r="13916" spans="7:7" ht="10.5" customHeight="1" x14ac:dyDescent="0.2">
      <c r="G13916" s="889"/>
    </row>
    <row r="13917" spans="7:7" ht="10.5" customHeight="1" x14ac:dyDescent="0.2">
      <c r="G13917" s="889"/>
    </row>
    <row r="13918" spans="7:7" ht="10.5" customHeight="1" x14ac:dyDescent="0.2">
      <c r="G13918" s="889"/>
    </row>
    <row r="13919" spans="7:7" ht="10.5" customHeight="1" x14ac:dyDescent="0.2">
      <c r="G13919" s="889"/>
    </row>
    <row r="13920" spans="7:7" ht="10.5" customHeight="1" x14ac:dyDescent="0.2">
      <c r="G13920" s="889"/>
    </row>
    <row r="13921" spans="7:7" ht="10.5" customHeight="1" x14ac:dyDescent="0.2">
      <c r="G13921" s="889"/>
    </row>
    <row r="13922" spans="7:7" ht="10.5" customHeight="1" x14ac:dyDescent="0.2">
      <c r="G13922" s="889"/>
    </row>
    <row r="13923" spans="7:7" ht="10.5" customHeight="1" x14ac:dyDescent="0.2">
      <c r="G13923" s="889"/>
    </row>
    <row r="13924" spans="7:7" ht="10.5" customHeight="1" x14ac:dyDescent="0.2">
      <c r="G13924" s="889"/>
    </row>
    <row r="13925" spans="7:7" ht="10.5" customHeight="1" x14ac:dyDescent="0.2">
      <c r="G13925" s="889"/>
    </row>
    <row r="13926" spans="7:7" ht="10.5" customHeight="1" x14ac:dyDescent="0.2">
      <c r="G13926" s="889"/>
    </row>
    <row r="13927" spans="7:7" ht="10.5" customHeight="1" x14ac:dyDescent="0.2">
      <c r="G13927" s="889"/>
    </row>
    <row r="13928" spans="7:7" ht="10.5" customHeight="1" x14ac:dyDescent="0.2">
      <c r="G13928" s="889"/>
    </row>
    <row r="13929" spans="7:7" ht="10.5" customHeight="1" x14ac:dyDescent="0.2">
      <c r="G13929" s="889"/>
    </row>
    <row r="13930" spans="7:7" ht="10.5" customHeight="1" x14ac:dyDescent="0.2">
      <c r="G13930" s="889"/>
    </row>
    <row r="13931" spans="7:7" ht="10.5" customHeight="1" x14ac:dyDescent="0.2">
      <c r="G13931" s="889"/>
    </row>
    <row r="13932" spans="7:7" ht="10.5" customHeight="1" x14ac:dyDescent="0.2">
      <c r="G13932" s="889"/>
    </row>
    <row r="13933" spans="7:7" ht="10.5" customHeight="1" x14ac:dyDescent="0.2">
      <c r="G13933" s="889"/>
    </row>
    <row r="13934" spans="7:7" ht="10.5" customHeight="1" x14ac:dyDescent="0.2">
      <c r="G13934" s="889"/>
    </row>
    <row r="13935" spans="7:7" ht="10.5" customHeight="1" x14ac:dyDescent="0.2">
      <c r="G13935" s="889"/>
    </row>
    <row r="13936" spans="7:7" ht="10.5" customHeight="1" x14ac:dyDescent="0.2">
      <c r="G13936" s="889"/>
    </row>
    <row r="13937" spans="7:7" ht="10.5" customHeight="1" x14ac:dyDescent="0.2">
      <c r="G13937" s="889"/>
    </row>
    <row r="13938" spans="7:7" ht="10.5" customHeight="1" x14ac:dyDescent="0.2">
      <c r="G13938" s="889"/>
    </row>
    <row r="13939" spans="7:7" ht="10.5" customHeight="1" x14ac:dyDescent="0.2">
      <c r="G13939" s="889"/>
    </row>
    <row r="13940" spans="7:7" ht="10.5" customHeight="1" x14ac:dyDescent="0.2">
      <c r="G13940" s="889"/>
    </row>
    <row r="13941" spans="7:7" ht="10.5" customHeight="1" x14ac:dyDescent="0.2">
      <c r="G13941" s="889"/>
    </row>
    <row r="13942" spans="7:7" ht="10.5" customHeight="1" x14ac:dyDescent="0.2">
      <c r="G13942" s="889"/>
    </row>
    <row r="13943" spans="7:7" ht="10.5" customHeight="1" x14ac:dyDescent="0.2">
      <c r="G13943" s="889"/>
    </row>
    <row r="13944" spans="7:7" ht="10.5" customHeight="1" x14ac:dyDescent="0.2">
      <c r="G13944" s="889"/>
    </row>
    <row r="13945" spans="7:7" ht="10.5" customHeight="1" x14ac:dyDescent="0.2">
      <c r="G13945" s="889"/>
    </row>
    <row r="13946" spans="7:7" ht="10.5" customHeight="1" x14ac:dyDescent="0.2">
      <c r="G13946" s="889"/>
    </row>
    <row r="13947" spans="7:7" ht="10.5" customHeight="1" x14ac:dyDescent="0.2">
      <c r="G13947" s="889"/>
    </row>
    <row r="13948" spans="7:7" ht="10.5" customHeight="1" x14ac:dyDescent="0.2">
      <c r="G13948" s="889"/>
    </row>
    <row r="13949" spans="7:7" ht="10.5" customHeight="1" x14ac:dyDescent="0.2">
      <c r="G13949" s="889"/>
    </row>
    <row r="13950" spans="7:7" ht="10.5" customHeight="1" x14ac:dyDescent="0.2">
      <c r="G13950" s="889"/>
    </row>
    <row r="13951" spans="7:7" ht="10.5" customHeight="1" x14ac:dyDescent="0.2">
      <c r="G13951" s="889"/>
    </row>
    <row r="13952" spans="7:7" ht="10.5" customHeight="1" x14ac:dyDescent="0.2">
      <c r="G13952" s="889"/>
    </row>
    <row r="13953" spans="7:7" ht="10.5" customHeight="1" x14ac:dyDescent="0.2">
      <c r="G13953" s="889"/>
    </row>
    <row r="13954" spans="7:7" ht="10.5" customHeight="1" x14ac:dyDescent="0.2">
      <c r="G13954" s="889"/>
    </row>
    <row r="13955" spans="7:7" ht="10.5" customHeight="1" x14ac:dyDescent="0.2">
      <c r="G13955" s="889"/>
    </row>
    <row r="13956" spans="7:7" ht="10.5" customHeight="1" x14ac:dyDescent="0.2">
      <c r="G13956" s="889"/>
    </row>
    <row r="13957" spans="7:7" ht="10.5" customHeight="1" x14ac:dyDescent="0.2">
      <c r="G13957" s="889"/>
    </row>
    <row r="13958" spans="7:7" ht="10.5" customHeight="1" x14ac:dyDescent="0.2">
      <c r="G13958" s="889"/>
    </row>
    <row r="13959" spans="7:7" ht="10.5" customHeight="1" x14ac:dyDescent="0.2">
      <c r="G13959" s="889"/>
    </row>
    <row r="13960" spans="7:7" ht="10.5" customHeight="1" x14ac:dyDescent="0.2">
      <c r="G13960" s="889"/>
    </row>
    <row r="13961" spans="7:7" ht="10.5" customHeight="1" x14ac:dyDescent="0.2">
      <c r="G13961" s="889"/>
    </row>
    <row r="13962" spans="7:7" ht="10.5" customHeight="1" x14ac:dyDescent="0.2">
      <c r="G13962" s="889"/>
    </row>
    <row r="13963" spans="7:7" ht="10.5" customHeight="1" x14ac:dyDescent="0.2">
      <c r="G13963" s="889"/>
    </row>
    <row r="13964" spans="7:7" ht="10.5" customHeight="1" x14ac:dyDescent="0.2">
      <c r="G13964" s="889"/>
    </row>
    <row r="13965" spans="7:7" ht="10.5" customHeight="1" x14ac:dyDescent="0.2">
      <c r="G13965" s="889"/>
    </row>
    <row r="13966" spans="7:7" ht="10.5" customHeight="1" x14ac:dyDescent="0.2">
      <c r="G13966" s="889"/>
    </row>
    <row r="13967" spans="7:7" ht="10.5" customHeight="1" x14ac:dyDescent="0.2">
      <c r="G13967" s="889"/>
    </row>
    <row r="13968" spans="7:7" ht="10.5" customHeight="1" x14ac:dyDescent="0.2">
      <c r="G13968" s="889"/>
    </row>
    <row r="13969" spans="7:7" ht="10.5" customHeight="1" x14ac:dyDescent="0.2">
      <c r="G13969" s="889"/>
    </row>
    <row r="13970" spans="7:7" ht="10.5" customHeight="1" x14ac:dyDescent="0.2">
      <c r="G13970" s="889"/>
    </row>
    <row r="13971" spans="7:7" ht="10.5" customHeight="1" x14ac:dyDescent="0.2">
      <c r="G13971" s="889"/>
    </row>
    <row r="13972" spans="7:7" ht="10.5" customHeight="1" x14ac:dyDescent="0.2">
      <c r="G13972" s="889"/>
    </row>
    <row r="13973" spans="7:7" ht="10.5" customHeight="1" x14ac:dyDescent="0.2">
      <c r="G13973" s="889"/>
    </row>
    <row r="13974" spans="7:7" ht="10.5" customHeight="1" x14ac:dyDescent="0.2">
      <c r="G13974" s="889"/>
    </row>
    <row r="13975" spans="7:7" ht="10.5" customHeight="1" x14ac:dyDescent="0.2">
      <c r="G13975" s="889"/>
    </row>
    <row r="13976" spans="7:7" ht="10.5" customHeight="1" x14ac:dyDescent="0.2">
      <c r="G13976" s="889"/>
    </row>
    <row r="13977" spans="7:7" ht="10.5" customHeight="1" x14ac:dyDescent="0.2">
      <c r="G13977" s="889"/>
    </row>
    <row r="13978" spans="7:7" ht="10.5" customHeight="1" x14ac:dyDescent="0.2">
      <c r="G13978" s="889"/>
    </row>
    <row r="13979" spans="7:7" ht="10.5" customHeight="1" x14ac:dyDescent="0.2">
      <c r="G13979" s="889"/>
    </row>
    <row r="13980" spans="7:7" ht="10.5" customHeight="1" x14ac:dyDescent="0.2">
      <c r="G13980" s="889"/>
    </row>
    <row r="13981" spans="7:7" ht="10.5" customHeight="1" x14ac:dyDescent="0.2">
      <c r="G13981" s="889"/>
    </row>
    <row r="13982" spans="7:7" ht="10.5" customHeight="1" x14ac:dyDescent="0.2">
      <c r="G13982" s="889"/>
    </row>
    <row r="13983" spans="7:7" ht="10.5" customHeight="1" x14ac:dyDescent="0.2">
      <c r="G13983" s="889"/>
    </row>
    <row r="13984" spans="7:7" ht="10.5" customHeight="1" x14ac:dyDescent="0.2">
      <c r="G13984" s="889"/>
    </row>
    <row r="13985" spans="7:7" ht="10.5" customHeight="1" x14ac:dyDescent="0.2">
      <c r="G13985" s="889"/>
    </row>
    <row r="13986" spans="7:7" ht="10.5" customHeight="1" x14ac:dyDescent="0.2">
      <c r="G13986" s="889"/>
    </row>
    <row r="13987" spans="7:7" ht="10.5" customHeight="1" x14ac:dyDescent="0.2">
      <c r="G13987" s="889"/>
    </row>
    <row r="13988" spans="7:7" ht="10.5" customHeight="1" x14ac:dyDescent="0.2">
      <c r="G13988" s="889"/>
    </row>
    <row r="13989" spans="7:7" ht="10.5" customHeight="1" x14ac:dyDescent="0.2">
      <c r="G13989" s="889"/>
    </row>
    <row r="13990" spans="7:7" ht="10.5" customHeight="1" x14ac:dyDescent="0.2">
      <c r="G13990" s="889"/>
    </row>
    <row r="13991" spans="7:7" ht="10.5" customHeight="1" x14ac:dyDescent="0.2">
      <c r="G13991" s="889"/>
    </row>
    <row r="13992" spans="7:7" ht="10.5" customHeight="1" x14ac:dyDescent="0.2">
      <c r="G13992" s="889"/>
    </row>
    <row r="13993" spans="7:7" ht="10.5" customHeight="1" x14ac:dyDescent="0.2">
      <c r="G13993" s="889"/>
    </row>
    <row r="13994" spans="7:7" ht="10.5" customHeight="1" x14ac:dyDescent="0.2">
      <c r="G13994" s="889"/>
    </row>
    <row r="13995" spans="7:7" ht="10.5" customHeight="1" x14ac:dyDescent="0.2">
      <c r="G13995" s="889"/>
    </row>
    <row r="13996" spans="7:7" ht="10.5" customHeight="1" x14ac:dyDescent="0.2">
      <c r="G13996" s="889"/>
    </row>
    <row r="13997" spans="7:7" ht="10.5" customHeight="1" x14ac:dyDescent="0.2">
      <c r="G13997" s="889"/>
    </row>
    <row r="13998" spans="7:7" ht="10.5" customHeight="1" x14ac:dyDescent="0.2">
      <c r="G13998" s="889"/>
    </row>
    <row r="13999" spans="7:7" ht="10.5" customHeight="1" x14ac:dyDescent="0.2">
      <c r="G13999" s="889"/>
    </row>
    <row r="14000" spans="7:7" ht="10.5" customHeight="1" x14ac:dyDescent="0.2">
      <c r="G14000" s="889"/>
    </row>
    <row r="14001" spans="7:7" ht="10.5" customHeight="1" x14ac:dyDescent="0.2">
      <c r="G14001" s="889"/>
    </row>
    <row r="14002" spans="7:7" ht="10.5" customHeight="1" x14ac:dyDescent="0.2">
      <c r="G14002" s="889"/>
    </row>
    <row r="14003" spans="7:7" ht="10.5" customHeight="1" x14ac:dyDescent="0.2">
      <c r="G14003" s="889"/>
    </row>
    <row r="14004" spans="7:7" ht="10.5" customHeight="1" x14ac:dyDescent="0.2">
      <c r="G14004" s="889"/>
    </row>
    <row r="14005" spans="7:7" ht="10.5" customHeight="1" x14ac:dyDescent="0.2">
      <c r="G14005" s="889"/>
    </row>
    <row r="14006" spans="7:7" ht="10.5" customHeight="1" x14ac:dyDescent="0.2">
      <c r="G14006" s="889"/>
    </row>
    <row r="14007" spans="7:7" ht="10.5" customHeight="1" x14ac:dyDescent="0.2">
      <c r="G14007" s="889"/>
    </row>
    <row r="14008" spans="7:7" ht="10.5" customHeight="1" x14ac:dyDescent="0.2">
      <c r="G14008" s="889"/>
    </row>
    <row r="14009" spans="7:7" ht="10.5" customHeight="1" x14ac:dyDescent="0.2">
      <c r="G14009" s="889"/>
    </row>
    <row r="14010" spans="7:7" ht="10.5" customHeight="1" x14ac:dyDescent="0.2">
      <c r="G14010" s="889"/>
    </row>
    <row r="14011" spans="7:7" ht="10.5" customHeight="1" x14ac:dyDescent="0.2">
      <c r="G14011" s="889"/>
    </row>
    <row r="14012" spans="7:7" ht="10.5" customHeight="1" x14ac:dyDescent="0.2">
      <c r="G14012" s="889"/>
    </row>
    <row r="14013" spans="7:7" ht="10.5" customHeight="1" x14ac:dyDescent="0.2">
      <c r="G14013" s="889"/>
    </row>
    <row r="14014" spans="7:7" ht="10.5" customHeight="1" x14ac:dyDescent="0.2">
      <c r="G14014" s="889"/>
    </row>
    <row r="14015" spans="7:7" ht="10.5" customHeight="1" x14ac:dyDescent="0.2">
      <c r="G14015" s="889"/>
    </row>
    <row r="14016" spans="7:7" ht="10.5" customHeight="1" x14ac:dyDescent="0.2">
      <c r="G14016" s="889"/>
    </row>
    <row r="14017" spans="7:7" ht="10.5" customHeight="1" x14ac:dyDescent="0.2">
      <c r="G14017" s="889"/>
    </row>
    <row r="14018" spans="7:7" ht="10.5" customHeight="1" x14ac:dyDescent="0.2">
      <c r="G14018" s="889"/>
    </row>
    <row r="14019" spans="7:7" ht="10.5" customHeight="1" x14ac:dyDescent="0.2">
      <c r="G14019" s="889"/>
    </row>
    <row r="14020" spans="7:7" ht="10.5" customHeight="1" x14ac:dyDescent="0.2">
      <c r="G14020" s="889"/>
    </row>
    <row r="14021" spans="7:7" ht="10.5" customHeight="1" x14ac:dyDescent="0.2">
      <c r="G14021" s="889"/>
    </row>
    <row r="14022" spans="7:7" ht="10.5" customHeight="1" x14ac:dyDescent="0.2">
      <c r="G14022" s="889"/>
    </row>
    <row r="14023" spans="7:7" ht="10.5" customHeight="1" x14ac:dyDescent="0.2">
      <c r="G14023" s="889"/>
    </row>
    <row r="14024" spans="7:7" ht="10.5" customHeight="1" x14ac:dyDescent="0.2">
      <c r="G14024" s="889"/>
    </row>
    <row r="14025" spans="7:7" ht="10.5" customHeight="1" x14ac:dyDescent="0.2">
      <c r="G14025" s="889"/>
    </row>
    <row r="14026" spans="7:7" ht="10.5" customHeight="1" x14ac:dyDescent="0.2">
      <c r="G14026" s="889"/>
    </row>
    <row r="14027" spans="7:7" ht="10.5" customHeight="1" x14ac:dyDescent="0.2">
      <c r="G14027" s="889"/>
    </row>
    <row r="14028" spans="7:7" ht="10.5" customHeight="1" x14ac:dyDescent="0.2">
      <c r="G14028" s="889"/>
    </row>
    <row r="14029" spans="7:7" ht="10.5" customHeight="1" x14ac:dyDescent="0.2">
      <c r="G14029" s="889"/>
    </row>
    <row r="14030" spans="7:7" ht="10.5" customHeight="1" x14ac:dyDescent="0.2">
      <c r="G14030" s="889"/>
    </row>
    <row r="14031" spans="7:7" ht="10.5" customHeight="1" x14ac:dyDescent="0.2">
      <c r="G14031" s="889"/>
    </row>
    <row r="14032" spans="7:7" ht="10.5" customHeight="1" x14ac:dyDescent="0.2">
      <c r="G14032" s="889"/>
    </row>
    <row r="14033" spans="7:7" ht="10.5" customHeight="1" x14ac:dyDescent="0.2">
      <c r="G14033" s="889"/>
    </row>
    <row r="14034" spans="7:7" ht="10.5" customHeight="1" x14ac:dyDescent="0.2">
      <c r="G14034" s="889"/>
    </row>
    <row r="14035" spans="7:7" ht="10.5" customHeight="1" x14ac:dyDescent="0.2">
      <c r="G14035" s="889"/>
    </row>
    <row r="14036" spans="7:7" ht="10.5" customHeight="1" x14ac:dyDescent="0.2">
      <c r="G14036" s="889"/>
    </row>
    <row r="14037" spans="7:7" ht="10.5" customHeight="1" x14ac:dyDescent="0.2">
      <c r="G14037" s="889"/>
    </row>
    <row r="14038" spans="7:7" ht="10.5" customHeight="1" x14ac:dyDescent="0.2">
      <c r="G14038" s="889"/>
    </row>
    <row r="14039" spans="7:7" ht="10.5" customHeight="1" x14ac:dyDescent="0.2">
      <c r="G14039" s="889"/>
    </row>
    <row r="14040" spans="7:7" ht="10.5" customHeight="1" x14ac:dyDescent="0.2">
      <c r="G14040" s="889"/>
    </row>
    <row r="14041" spans="7:7" ht="10.5" customHeight="1" x14ac:dyDescent="0.2">
      <c r="G14041" s="889"/>
    </row>
    <row r="14042" spans="7:7" ht="10.5" customHeight="1" x14ac:dyDescent="0.2">
      <c r="G14042" s="889"/>
    </row>
    <row r="14043" spans="7:7" ht="10.5" customHeight="1" x14ac:dyDescent="0.2">
      <c r="G14043" s="889"/>
    </row>
    <row r="14044" spans="7:7" ht="10.5" customHeight="1" x14ac:dyDescent="0.2">
      <c r="G14044" s="889"/>
    </row>
    <row r="14045" spans="7:7" ht="10.5" customHeight="1" x14ac:dyDescent="0.2">
      <c r="G14045" s="889"/>
    </row>
    <row r="14046" spans="7:7" ht="10.5" customHeight="1" x14ac:dyDescent="0.2">
      <c r="G14046" s="889"/>
    </row>
    <row r="14047" spans="7:7" ht="10.5" customHeight="1" x14ac:dyDescent="0.2">
      <c r="G14047" s="889"/>
    </row>
    <row r="14048" spans="7:7" ht="10.5" customHeight="1" x14ac:dyDescent="0.2">
      <c r="G14048" s="889"/>
    </row>
    <row r="14049" spans="7:7" ht="10.5" customHeight="1" x14ac:dyDescent="0.2">
      <c r="G14049" s="889"/>
    </row>
    <row r="14050" spans="7:7" ht="10.5" customHeight="1" x14ac:dyDescent="0.2">
      <c r="G14050" s="889"/>
    </row>
    <row r="14051" spans="7:7" ht="10.5" customHeight="1" x14ac:dyDescent="0.2">
      <c r="G14051" s="889"/>
    </row>
    <row r="14052" spans="7:7" ht="10.5" customHeight="1" x14ac:dyDescent="0.2">
      <c r="G14052" s="889"/>
    </row>
    <row r="14053" spans="7:7" ht="10.5" customHeight="1" x14ac:dyDescent="0.2">
      <c r="G14053" s="889"/>
    </row>
    <row r="14054" spans="7:7" ht="10.5" customHeight="1" x14ac:dyDescent="0.2">
      <c r="G14054" s="889"/>
    </row>
    <row r="14055" spans="7:7" ht="10.5" customHeight="1" x14ac:dyDescent="0.2">
      <c r="G14055" s="889"/>
    </row>
    <row r="14056" spans="7:7" ht="10.5" customHeight="1" x14ac:dyDescent="0.2">
      <c r="G14056" s="889"/>
    </row>
    <row r="14057" spans="7:7" ht="10.5" customHeight="1" x14ac:dyDescent="0.2">
      <c r="G14057" s="889"/>
    </row>
    <row r="14058" spans="7:7" ht="10.5" customHeight="1" x14ac:dyDescent="0.2">
      <c r="G14058" s="889"/>
    </row>
    <row r="14059" spans="7:7" ht="10.5" customHeight="1" x14ac:dyDescent="0.2">
      <c r="G14059" s="889"/>
    </row>
    <row r="14060" spans="7:7" ht="10.5" customHeight="1" x14ac:dyDescent="0.2">
      <c r="G14060" s="889"/>
    </row>
    <row r="14061" spans="7:7" ht="10.5" customHeight="1" x14ac:dyDescent="0.2">
      <c r="G14061" s="889"/>
    </row>
    <row r="14062" spans="7:7" ht="10.5" customHeight="1" x14ac:dyDescent="0.2">
      <c r="G14062" s="889"/>
    </row>
    <row r="14063" spans="7:7" ht="10.5" customHeight="1" x14ac:dyDescent="0.2">
      <c r="G14063" s="889"/>
    </row>
    <row r="14064" spans="7:7" ht="10.5" customHeight="1" x14ac:dyDescent="0.2">
      <c r="G14064" s="889"/>
    </row>
    <row r="14065" spans="7:7" ht="10.5" customHeight="1" x14ac:dyDescent="0.2">
      <c r="G14065" s="889"/>
    </row>
    <row r="14066" spans="7:7" ht="10.5" customHeight="1" x14ac:dyDescent="0.2">
      <c r="G14066" s="889"/>
    </row>
    <row r="14067" spans="7:7" ht="10.5" customHeight="1" x14ac:dyDescent="0.2">
      <c r="G14067" s="889"/>
    </row>
    <row r="14068" spans="7:7" ht="10.5" customHeight="1" x14ac:dyDescent="0.2">
      <c r="G14068" s="889"/>
    </row>
    <row r="14069" spans="7:7" ht="10.5" customHeight="1" x14ac:dyDescent="0.2">
      <c r="G14069" s="889"/>
    </row>
    <row r="14070" spans="7:7" ht="10.5" customHeight="1" x14ac:dyDescent="0.2">
      <c r="G14070" s="889"/>
    </row>
    <row r="14071" spans="7:7" ht="10.5" customHeight="1" x14ac:dyDescent="0.2">
      <c r="G14071" s="889"/>
    </row>
    <row r="14072" spans="7:7" ht="10.5" customHeight="1" x14ac:dyDescent="0.2">
      <c r="G14072" s="889"/>
    </row>
    <row r="14073" spans="7:7" ht="10.5" customHeight="1" x14ac:dyDescent="0.2">
      <c r="G14073" s="889"/>
    </row>
    <row r="14074" spans="7:7" ht="10.5" customHeight="1" x14ac:dyDescent="0.2">
      <c r="G14074" s="889"/>
    </row>
    <row r="14075" spans="7:7" ht="10.5" customHeight="1" x14ac:dyDescent="0.2">
      <c r="G14075" s="889"/>
    </row>
    <row r="14076" spans="7:7" ht="10.5" customHeight="1" x14ac:dyDescent="0.2">
      <c r="G14076" s="889"/>
    </row>
    <row r="14077" spans="7:7" ht="10.5" customHeight="1" x14ac:dyDescent="0.2">
      <c r="G14077" s="889"/>
    </row>
    <row r="14078" spans="7:7" ht="10.5" customHeight="1" x14ac:dyDescent="0.2">
      <c r="G14078" s="889"/>
    </row>
    <row r="14079" spans="7:7" ht="10.5" customHeight="1" x14ac:dyDescent="0.2">
      <c r="G14079" s="889"/>
    </row>
    <row r="14080" spans="7:7" ht="10.5" customHeight="1" x14ac:dyDescent="0.2">
      <c r="G14080" s="889"/>
    </row>
    <row r="14081" spans="7:7" ht="10.5" customHeight="1" x14ac:dyDescent="0.2">
      <c r="G14081" s="889"/>
    </row>
    <row r="14082" spans="7:7" ht="10.5" customHeight="1" x14ac:dyDescent="0.2">
      <c r="G14082" s="889"/>
    </row>
    <row r="14083" spans="7:7" ht="10.5" customHeight="1" x14ac:dyDescent="0.2">
      <c r="G14083" s="889"/>
    </row>
    <row r="14084" spans="7:7" ht="10.5" customHeight="1" x14ac:dyDescent="0.2">
      <c r="G14084" s="889"/>
    </row>
    <row r="14085" spans="7:7" ht="10.5" customHeight="1" x14ac:dyDescent="0.2">
      <c r="G14085" s="889"/>
    </row>
    <row r="14086" spans="7:7" ht="10.5" customHeight="1" x14ac:dyDescent="0.2">
      <c r="G14086" s="889"/>
    </row>
    <row r="14087" spans="7:7" ht="10.5" customHeight="1" x14ac:dyDescent="0.2">
      <c r="G14087" s="889"/>
    </row>
    <row r="14088" spans="7:7" ht="10.5" customHeight="1" x14ac:dyDescent="0.2">
      <c r="G14088" s="889"/>
    </row>
    <row r="14089" spans="7:7" ht="10.5" customHeight="1" x14ac:dyDescent="0.2">
      <c r="G14089" s="889"/>
    </row>
    <row r="14090" spans="7:7" ht="10.5" customHeight="1" x14ac:dyDescent="0.2">
      <c r="G14090" s="889"/>
    </row>
    <row r="14091" spans="7:7" ht="10.5" customHeight="1" x14ac:dyDescent="0.2">
      <c r="G14091" s="889"/>
    </row>
    <row r="14092" spans="7:7" ht="10.5" customHeight="1" x14ac:dyDescent="0.2">
      <c r="G14092" s="889"/>
    </row>
    <row r="14093" spans="7:7" ht="10.5" customHeight="1" x14ac:dyDescent="0.2">
      <c r="G14093" s="889"/>
    </row>
    <row r="14094" spans="7:7" ht="10.5" customHeight="1" x14ac:dyDescent="0.2">
      <c r="G14094" s="889"/>
    </row>
    <row r="14095" spans="7:7" ht="10.5" customHeight="1" x14ac:dyDescent="0.2">
      <c r="G14095" s="889"/>
    </row>
    <row r="14096" spans="7:7" ht="10.5" customHeight="1" x14ac:dyDescent="0.2">
      <c r="G14096" s="889"/>
    </row>
    <row r="14097" spans="7:7" ht="10.5" customHeight="1" x14ac:dyDescent="0.2">
      <c r="G14097" s="889"/>
    </row>
    <row r="14098" spans="7:7" ht="10.5" customHeight="1" x14ac:dyDescent="0.2">
      <c r="G14098" s="889"/>
    </row>
    <row r="14099" spans="7:7" ht="10.5" customHeight="1" x14ac:dyDescent="0.2">
      <c r="G14099" s="889"/>
    </row>
    <row r="14100" spans="7:7" ht="10.5" customHeight="1" x14ac:dyDescent="0.2">
      <c r="G14100" s="889"/>
    </row>
    <row r="14101" spans="7:7" ht="10.5" customHeight="1" x14ac:dyDescent="0.2">
      <c r="G14101" s="889"/>
    </row>
    <row r="14102" spans="7:7" ht="10.5" customHeight="1" x14ac:dyDescent="0.2">
      <c r="G14102" s="889"/>
    </row>
    <row r="14103" spans="7:7" ht="10.5" customHeight="1" x14ac:dyDescent="0.2">
      <c r="G14103" s="889"/>
    </row>
    <row r="14104" spans="7:7" ht="10.5" customHeight="1" x14ac:dyDescent="0.2">
      <c r="G14104" s="889"/>
    </row>
    <row r="14105" spans="7:7" ht="10.5" customHeight="1" x14ac:dyDescent="0.2">
      <c r="G14105" s="889"/>
    </row>
    <row r="14106" spans="7:7" ht="10.5" customHeight="1" x14ac:dyDescent="0.2">
      <c r="G14106" s="889"/>
    </row>
    <row r="14107" spans="7:7" ht="10.5" customHeight="1" x14ac:dyDescent="0.2">
      <c r="G14107" s="889"/>
    </row>
    <row r="14108" spans="7:7" ht="10.5" customHeight="1" x14ac:dyDescent="0.2">
      <c r="G14108" s="889"/>
    </row>
    <row r="14109" spans="7:7" ht="10.5" customHeight="1" x14ac:dyDescent="0.2">
      <c r="G14109" s="889"/>
    </row>
    <row r="14110" spans="7:7" ht="10.5" customHeight="1" x14ac:dyDescent="0.2">
      <c r="G14110" s="889"/>
    </row>
    <row r="14111" spans="7:7" ht="10.5" customHeight="1" x14ac:dyDescent="0.2">
      <c r="G14111" s="889"/>
    </row>
    <row r="14112" spans="7:7" ht="10.5" customHeight="1" x14ac:dyDescent="0.2">
      <c r="G14112" s="889"/>
    </row>
    <row r="14113" spans="7:7" ht="10.5" customHeight="1" x14ac:dyDescent="0.2">
      <c r="G14113" s="889"/>
    </row>
    <row r="14114" spans="7:7" ht="10.5" customHeight="1" x14ac:dyDescent="0.2">
      <c r="G14114" s="889"/>
    </row>
    <row r="14115" spans="7:7" ht="10.5" customHeight="1" x14ac:dyDescent="0.2">
      <c r="G14115" s="889"/>
    </row>
    <row r="14116" spans="7:7" ht="10.5" customHeight="1" x14ac:dyDescent="0.2">
      <c r="G14116" s="889"/>
    </row>
    <row r="14117" spans="7:7" ht="10.5" customHeight="1" x14ac:dyDescent="0.2">
      <c r="G14117" s="889"/>
    </row>
    <row r="14118" spans="7:7" ht="10.5" customHeight="1" x14ac:dyDescent="0.2">
      <c r="G14118" s="889"/>
    </row>
    <row r="14119" spans="7:7" ht="10.5" customHeight="1" x14ac:dyDescent="0.2">
      <c r="G14119" s="889"/>
    </row>
    <row r="14120" spans="7:7" ht="10.5" customHeight="1" x14ac:dyDescent="0.2">
      <c r="G14120" s="889"/>
    </row>
    <row r="14121" spans="7:7" ht="10.5" customHeight="1" x14ac:dyDescent="0.2">
      <c r="G14121" s="889"/>
    </row>
    <row r="14122" spans="7:7" ht="10.5" customHeight="1" x14ac:dyDescent="0.2">
      <c r="G14122" s="889"/>
    </row>
    <row r="14123" spans="7:7" ht="10.5" customHeight="1" x14ac:dyDescent="0.2">
      <c r="G14123" s="889"/>
    </row>
    <row r="14124" spans="7:7" ht="10.5" customHeight="1" x14ac:dyDescent="0.2">
      <c r="G14124" s="889"/>
    </row>
    <row r="14125" spans="7:7" ht="10.5" customHeight="1" x14ac:dyDescent="0.2">
      <c r="G14125" s="889"/>
    </row>
    <row r="14126" spans="7:7" ht="10.5" customHeight="1" x14ac:dyDescent="0.2">
      <c r="G14126" s="889"/>
    </row>
    <row r="14127" spans="7:7" ht="10.5" customHeight="1" x14ac:dyDescent="0.2">
      <c r="G14127" s="889"/>
    </row>
    <row r="14128" spans="7:7" ht="10.5" customHeight="1" x14ac:dyDescent="0.2">
      <c r="G14128" s="889"/>
    </row>
    <row r="14129" spans="7:7" ht="10.5" customHeight="1" x14ac:dyDescent="0.2">
      <c r="G14129" s="889"/>
    </row>
    <row r="14130" spans="7:7" ht="10.5" customHeight="1" x14ac:dyDescent="0.2">
      <c r="G14130" s="889"/>
    </row>
    <row r="14131" spans="7:7" ht="10.5" customHeight="1" x14ac:dyDescent="0.2">
      <c r="G14131" s="889"/>
    </row>
    <row r="14132" spans="7:7" ht="10.5" customHeight="1" x14ac:dyDescent="0.2">
      <c r="G14132" s="889"/>
    </row>
    <row r="14133" spans="7:7" ht="10.5" customHeight="1" x14ac:dyDescent="0.2">
      <c r="G14133" s="889"/>
    </row>
    <row r="14134" spans="7:7" ht="10.5" customHeight="1" x14ac:dyDescent="0.2">
      <c r="G14134" s="889"/>
    </row>
    <row r="14135" spans="7:7" ht="10.5" customHeight="1" x14ac:dyDescent="0.2">
      <c r="G14135" s="889"/>
    </row>
    <row r="14136" spans="7:7" ht="10.5" customHeight="1" x14ac:dyDescent="0.2">
      <c r="G14136" s="889"/>
    </row>
    <row r="14137" spans="7:7" ht="10.5" customHeight="1" x14ac:dyDescent="0.2">
      <c r="G14137" s="889"/>
    </row>
    <row r="14138" spans="7:7" ht="10.5" customHeight="1" x14ac:dyDescent="0.2">
      <c r="G14138" s="889"/>
    </row>
    <row r="14139" spans="7:7" ht="10.5" customHeight="1" x14ac:dyDescent="0.2">
      <c r="G14139" s="889"/>
    </row>
    <row r="14140" spans="7:7" ht="10.5" customHeight="1" x14ac:dyDescent="0.2">
      <c r="G14140" s="889"/>
    </row>
    <row r="14141" spans="7:7" ht="10.5" customHeight="1" x14ac:dyDescent="0.2">
      <c r="G14141" s="889"/>
    </row>
    <row r="14142" spans="7:7" ht="10.5" customHeight="1" x14ac:dyDescent="0.2">
      <c r="G14142" s="889"/>
    </row>
    <row r="14143" spans="7:7" ht="10.5" customHeight="1" x14ac:dyDescent="0.2">
      <c r="G14143" s="889"/>
    </row>
    <row r="14144" spans="7:7" ht="10.5" customHeight="1" x14ac:dyDescent="0.2">
      <c r="G14144" s="889"/>
    </row>
    <row r="14145" spans="7:7" ht="10.5" customHeight="1" x14ac:dyDescent="0.2">
      <c r="G14145" s="889"/>
    </row>
    <row r="14146" spans="7:7" ht="10.5" customHeight="1" x14ac:dyDescent="0.2">
      <c r="G14146" s="889"/>
    </row>
    <row r="14147" spans="7:7" ht="10.5" customHeight="1" x14ac:dyDescent="0.2">
      <c r="G14147" s="889"/>
    </row>
    <row r="14148" spans="7:7" ht="10.5" customHeight="1" x14ac:dyDescent="0.2">
      <c r="G14148" s="889"/>
    </row>
    <row r="14149" spans="7:7" ht="10.5" customHeight="1" x14ac:dyDescent="0.2">
      <c r="G14149" s="889"/>
    </row>
    <row r="14150" spans="7:7" ht="10.5" customHeight="1" x14ac:dyDescent="0.2">
      <c r="G14150" s="889"/>
    </row>
    <row r="14151" spans="7:7" ht="10.5" customHeight="1" x14ac:dyDescent="0.2">
      <c r="G14151" s="889"/>
    </row>
    <row r="14152" spans="7:7" ht="10.5" customHeight="1" x14ac:dyDescent="0.2">
      <c r="G14152" s="889"/>
    </row>
    <row r="14153" spans="7:7" ht="10.5" customHeight="1" x14ac:dyDescent="0.2">
      <c r="G14153" s="889"/>
    </row>
    <row r="14154" spans="7:7" ht="10.5" customHeight="1" x14ac:dyDescent="0.2">
      <c r="G14154" s="889"/>
    </row>
    <row r="14155" spans="7:7" ht="10.5" customHeight="1" x14ac:dyDescent="0.2">
      <c r="G14155" s="889"/>
    </row>
    <row r="14156" spans="7:7" ht="10.5" customHeight="1" x14ac:dyDescent="0.2">
      <c r="G14156" s="889"/>
    </row>
    <row r="14157" spans="7:7" ht="10.5" customHeight="1" x14ac:dyDescent="0.2">
      <c r="G14157" s="889"/>
    </row>
    <row r="14158" spans="7:7" ht="10.5" customHeight="1" x14ac:dyDescent="0.2">
      <c r="G14158" s="889"/>
    </row>
    <row r="14159" spans="7:7" ht="10.5" customHeight="1" x14ac:dyDescent="0.2">
      <c r="G14159" s="889"/>
    </row>
    <row r="14160" spans="7:7" ht="10.5" customHeight="1" x14ac:dyDescent="0.2">
      <c r="G14160" s="889"/>
    </row>
    <row r="14161" spans="7:7" ht="10.5" customHeight="1" x14ac:dyDescent="0.2">
      <c r="G14161" s="889"/>
    </row>
    <row r="14162" spans="7:7" ht="10.5" customHeight="1" x14ac:dyDescent="0.2">
      <c r="G14162" s="889"/>
    </row>
    <row r="14163" spans="7:7" ht="10.5" customHeight="1" x14ac:dyDescent="0.2">
      <c r="G14163" s="889"/>
    </row>
    <row r="14164" spans="7:7" ht="10.5" customHeight="1" x14ac:dyDescent="0.2">
      <c r="G14164" s="889"/>
    </row>
    <row r="14165" spans="7:7" ht="10.5" customHeight="1" x14ac:dyDescent="0.2">
      <c r="G14165" s="889"/>
    </row>
    <row r="14166" spans="7:7" ht="10.5" customHeight="1" x14ac:dyDescent="0.2">
      <c r="G14166" s="889"/>
    </row>
    <row r="14167" spans="7:7" ht="10.5" customHeight="1" x14ac:dyDescent="0.2">
      <c r="G14167" s="889"/>
    </row>
    <row r="14168" spans="7:7" ht="10.5" customHeight="1" x14ac:dyDescent="0.2">
      <c r="G14168" s="889"/>
    </row>
    <row r="14169" spans="7:7" ht="10.5" customHeight="1" x14ac:dyDescent="0.2">
      <c r="G14169" s="889"/>
    </row>
    <row r="14170" spans="7:7" ht="10.5" customHeight="1" x14ac:dyDescent="0.2">
      <c r="G14170" s="889"/>
    </row>
    <row r="14171" spans="7:7" ht="10.5" customHeight="1" x14ac:dyDescent="0.2">
      <c r="G14171" s="889"/>
    </row>
    <row r="14172" spans="7:7" ht="10.5" customHeight="1" x14ac:dyDescent="0.2">
      <c r="G14172" s="889"/>
    </row>
    <row r="14173" spans="7:7" ht="10.5" customHeight="1" x14ac:dyDescent="0.2">
      <c r="G14173" s="889"/>
    </row>
    <row r="14174" spans="7:7" ht="10.5" customHeight="1" x14ac:dyDescent="0.2">
      <c r="G14174" s="889"/>
    </row>
    <row r="14175" spans="7:7" ht="10.5" customHeight="1" x14ac:dyDescent="0.2">
      <c r="G14175" s="889"/>
    </row>
    <row r="14176" spans="7:7" ht="10.5" customHeight="1" x14ac:dyDescent="0.2">
      <c r="G14176" s="889"/>
    </row>
    <row r="14177" spans="7:7" ht="10.5" customHeight="1" x14ac:dyDescent="0.2">
      <c r="G14177" s="889"/>
    </row>
    <row r="14178" spans="7:7" ht="10.5" customHeight="1" x14ac:dyDescent="0.2">
      <c r="G14178" s="889"/>
    </row>
    <row r="14179" spans="7:7" ht="10.5" customHeight="1" x14ac:dyDescent="0.2">
      <c r="G14179" s="889"/>
    </row>
    <row r="14180" spans="7:7" ht="10.5" customHeight="1" x14ac:dyDescent="0.2">
      <c r="G14180" s="889"/>
    </row>
    <row r="14181" spans="7:7" ht="10.5" customHeight="1" x14ac:dyDescent="0.2">
      <c r="G14181" s="889"/>
    </row>
    <row r="14182" spans="7:7" ht="10.5" customHeight="1" x14ac:dyDescent="0.2">
      <c r="G14182" s="889"/>
    </row>
    <row r="14183" spans="7:7" ht="10.5" customHeight="1" x14ac:dyDescent="0.2">
      <c r="G14183" s="889"/>
    </row>
    <row r="14184" spans="7:7" ht="10.5" customHeight="1" x14ac:dyDescent="0.2">
      <c r="G14184" s="889"/>
    </row>
    <row r="14185" spans="7:7" ht="10.5" customHeight="1" x14ac:dyDescent="0.2">
      <c r="G14185" s="889"/>
    </row>
    <row r="14186" spans="7:7" ht="10.5" customHeight="1" x14ac:dyDescent="0.2">
      <c r="G14186" s="889"/>
    </row>
    <row r="14187" spans="7:7" ht="10.5" customHeight="1" x14ac:dyDescent="0.2">
      <c r="G14187" s="889"/>
    </row>
    <row r="14188" spans="7:7" ht="10.5" customHeight="1" x14ac:dyDescent="0.2">
      <c r="G14188" s="889"/>
    </row>
    <row r="14189" spans="7:7" ht="10.5" customHeight="1" x14ac:dyDescent="0.2">
      <c r="G14189" s="889"/>
    </row>
    <row r="14190" spans="7:7" ht="10.5" customHeight="1" x14ac:dyDescent="0.2">
      <c r="G14190" s="889"/>
    </row>
    <row r="14191" spans="7:7" ht="10.5" customHeight="1" x14ac:dyDescent="0.2">
      <c r="G14191" s="889"/>
    </row>
    <row r="14192" spans="7:7" ht="10.5" customHeight="1" x14ac:dyDescent="0.2">
      <c r="G14192" s="889"/>
    </row>
    <row r="14193" spans="7:7" ht="10.5" customHeight="1" x14ac:dyDescent="0.2">
      <c r="G14193" s="889"/>
    </row>
    <row r="14194" spans="7:7" ht="10.5" customHeight="1" x14ac:dyDescent="0.2">
      <c r="G14194" s="889"/>
    </row>
    <row r="14195" spans="7:7" ht="10.5" customHeight="1" x14ac:dyDescent="0.2">
      <c r="G14195" s="889"/>
    </row>
    <row r="14196" spans="7:7" ht="10.5" customHeight="1" x14ac:dyDescent="0.2">
      <c r="G14196" s="889"/>
    </row>
    <row r="14197" spans="7:7" ht="10.5" customHeight="1" x14ac:dyDescent="0.2">
      <c r="G14197" s="889"/>
    </row>
    <row r="14198" spans="7:7" ht="10.5" customHeight="1" x14ac:dyDescent="0.2">
      <c r="G14198" s="889"/>
    </row>
    <row r="14199" spans="7:7" ht="10.5" customHeight="1" x14ac:dyDescent="0.2">
      <c r="G14199" s="889"/>
    </row>
    <row r="14200" spans="7:7" ht="10.5" customHeight="1" x14ac:dyDescent="0.2">
      <c r="G14200" s="889"/>
    </row>
    <row r="14201" spans="7:7" ht="10.5" customHeight="1" x14ac:dyDescent="0.2">
      <c r="G14201" s="889"/>
    </row>
    <row r="14202" spans="7:7" ht="10.5" customHeight="1" x14ac:dyDescent="0.2">
      <c r="G14202" s="889"/>
    </row>
    <row r="14203" spans="7:7" ht="10.5" customHeight="1" x14ac:dyDescent="0.2">
      <c r="G14203" s="889"/>
    </row>
    <row r="14204" spans="7:7" ht="10.5" customHeight="1" x14ac:dyDescent="0.2">
      <c r="G14204" s="889"/>
    </row>
    <row r="14205" spans="7:7" ht="10.5" customHeight="1" x14ac:dyDescent="0.2">
      <c r="G14205" s="889"/>
    </row>
    <row r="14206" spans="7:7" ht="10.5" customHeight="1" x14ac:dyDescent="0.2">
      <c r="G14206" s="889"/>
    </row>
    <row r="14207" spans="7:7" ht="10.5" customHeight="1" x14ac:dyDescent="0.2">
      <c r="G14207" s="889"/>
    </row>
    <row r="14208" spans="7:7" ht="10.5" customHeight="1" x14ac:dyDescent="0.2">
      <c r="G14208" s="889"/>
    </row>
    <row r="14209" spans="7:7" ht="10.5" customHeight="1" x14ac:dyDescent="0.2">
      <c r="G14209" s="889"/>
    </row>
    <row r="14210" spans="7:7" ht="10.5" customHeight="1" x14ac:dyDescent="0.2">
      <c r="G14210" s="889"/>
    </row>
    <row r="14211" spans="7:7" ht="10.5" customHeight="1" x14ac:dyDescent="0.2">
      <c r="G14211" s="889"/>
    </row>
    <row r="14212" spans="7:7" ht="10.5" customHeight="1" x14ac:dyDescent="0.2">
      <c r="G14212" s="889"/>
    </row>
    <row r="14213" spans="7:7" ht="10.5" customHeight="1" x14ac:dyDescent="0.2">
      <c r="G14213" s="889"/>
    </row>
    <row r="14214" spans="7:7" ht="10.5" customHeight="1" x14ac:dyDescent="0.2">
      <c r="G14214" s="889"/>
    </row>
    <row r="14215" spans="7:7" ht="10.5" customHeight="1" x14ac:dyDescent="0.2">
      <c r="G14215" s="889"/>
    </row>
    <row r="14216" spans="7:7" ht="10.5" customHeight="1" x14ac:dyDescent="0.2">
      <c r="G14216" s="889"/>
    </row>
    <row r="14217" spans="7:7" ht="10.5" customHeight="1" x14ac:dyDescent="0.2">
      <c r="G14217" s="889"/>
    </row>
    <row r="14218" spans="7:7" ht="10.5" customHeight="1" x14ac:dyDescent="0.2">
      <c r="G14218" s="889"/>
    </row>
    <row r="14219" spans="7:7" ht="10.5" customHeight="1" x14ac:dyDescent="0.2">
      <c r="G14219" s="889"/>
    </row>
    <row r="14220" spans="7:7" ht="10.5" customHeight="1" x14ac:dyDescent="0.2">
      <c r="G14220" s="889"/>
    </row>
    <row r="14221" spans="7:7" ht="10.5" customHeight="1" x14ac:dyDescent="0.2">
      <c r="G14221" s="889"/>
    </row>
    <row r="14222" spans="7:7" ht="10.5" customHeight="1" x14ac:dyDescent="0.2">
      <c r="G14222" s="889"/>
    </row>
    <row r="14223" spans="7:7" ht="10.5" customHeight="1" x14ac:dyDescent="0.2">
      <c r="G14223" s="889"/>
    </row>
    <row r="14224" spans="7:7" ht="10.5" customHeight="1" x14ac:dyDescent="0.2">
      <c r="G14224" s="889"/>
    </row>
    <row r="14225" spans="7:7" ht="10.5" customHeight="1" x14ac:dyDescent="0.2">
      <c r="G14225" s="889"/>
    </row>
    <row r="14226" spans="7:7" ht="10.5" customHeight="1" x14ac:dyDescent="0.2">
      <c r="G14226" s="889"/>
    </row>
    <row r="14227" spans="7:7" ht="10.5" customHeight="1" x14ac:dyDescent="0.2">
      <c r="G14227" s="889"/>
    </row>
    <row r="14228" spans="7:7" ht="10.5" customHeight="1" x14ac:dyDescent="0.2">
      <c r="G14228" s="889"/>
    </row>
    <row r="14229" spans="7:7" ht="10.5" customHeight="1" x14ac:dyDescent="0.2">
      <c r="G14229" s="889"/>
    </row>
    <row r="14230" spans="7:7" ht="10.5" customHeight="1" x14ac:dyDescent="0.2">
      <c r="G14230" s="889"/>
    </row>
    <row r="14231" spans="7:7" ht="10.5" customHeight="1" x14ac:dyDescent="0.2">
      <c r="G14231" s="889"/>
    </row>
    <row r="14232" spans="7:7" ht="10.5" customHeight="1" x14ac:dyDescent="0.2">
      <c r="G14232" s="889"/>
    </row>
    <row r="14233" spans="7:7" ht="10.5" customHeight="1" x14ac:dyDescent="0.2">
      <c r="G14233" s="889"/>
    </row>
    <row r="14234" spans="7:7" ht="10.5" customHeight="1" x14ac:dyDescent="0.2">
      <c r="G14234" s="889"/>
    </row>
    <row r="14235" spans="7:7" ht="10.5" customHeight="1" x14ac:dyDescent="0.2">
      <c r="G14235" s="889"/>
    </row>
    <row r="14236" spans="7:7" ht="10.5" customHeight="1" x14ac:dyDescent="0.2">
      <c r="G14236" s="889"/>
    </row>
    <row r="14237" spans="7:7" ht="10.5" customHeight="1" x14ac:dyDescent="0.2">
      <c r="G14237" s="889"/>
    </row>
    <row r="14238" spans="7:7" ht="10.5" customHeight="1" x14ac:dyDescent="0.2">
      <c r="G14238" s="889"/>
    </row>
    <row r="14239" spans="7:7" ht="10.5" customHeight="1" x14ac:dyDescent="0.2">
      <c r="G14239" s="889"/>
    </row>
    <row r="14240" spans="7:7" ht="10.5" customHeight="1" x14ac:dyDescent="0.2">
      <c r="G14240" s="889"/>
    </row>
    <row r="14241" spans="7:7" ht="10.5" customHeight="1" x14ac:dyDescent="0.2">
      <c r="G14241" s="889"/>
    </row>
    <row r="14242" spans="7:7" ht="10.5" customHeight="1" x14ac:dyDescent="0.2">
      <c r="G14242" s="889"/>
    </row>
    <row r="14243" spans="7:7" ht="10.5" customHeight="1" x14ac:dyDescent="0.2">
      <c r="G14243" s="889"/>
    </row>
    <row r="14244" spans="7:7" ht="10.5" customHeight="1" x14ac:dyDescent="0.2">
      <c r="G14244" s="889"/>
    </row>
    <row r="14245" spans="7:7" ht="10.5" customHeight="1" x14ac:dyDescent="0.2">
      <c r="G14245" s="889"/>
    </row>
    <row r="14246" spans="7:7" ht="10.5" customHeight="1" x14ac:dyDescent="0.2">
      <c r="G14246" s="889"/>
    </row>
    <row r="14247" spans="7:7" ht="10.5" customHeight="1" x14ac:dyDescent="0.2">
      <c r="G14247" s="889"/>
    </row>
    <row r="14248" spans="7:7" ht="10.5" customHeight="1" x14ac:dyDescent="0.2">
      <c r="G14248" s="889"/>
    </row>
    <row r="14249" spans="7:7" ht="10.5" customHeight="1" x14ac:dyDescent="0.2">
      <c r="G14249" s="889"/>
    </row>
    <row r="14250" spans="7:7" ht="10.5" customHeight="1" x14ac:dyDescent="0.2">
      <c r="G14250" s="889"/>
    </row>
    <row r="14251" spans="7:7" ht="10.5" customHeight="1" x14ac:dyDescent="0.2">
      <c r="G14251" s="889"/>
    </row>
    <row r="14252" spans="7:7" ht="10.5" customHeight="1" x14ac:dyDescent="0.2">
      <c r="G14252" s="889"/>
    </row>
    <row r="14253" spans="7:7" ht="10.5" customHeight="1" x14ac:dyDescent="0.2">
      <c r="G14253" s="889"/>
    </row>
    <row r="14254" spans="7:7" ht="10.5" customHeight="1" x14ac:dyDescent="0.2">
      <c r="G14254" s="889"/>
    </row>
    <row r="14255" spans="7:7" ht="10.5" customHeight="1" x14ac:dyDescent="0.2">
      <c r="G14255" s="889"/>
    </row>
    <row r="14256" spans="7:7" ht="10.5" customHeight="1" x14ac:dyDescent="0.2">
      <c r="G14256" s="889"/>
    </row>
    <row r="14257" spans="7:7" ht="10.5" customHeight="1" x14ac:dyDescent="0.2">
      <c r="G14257" s="889"/>
    </row>
    <row r="14258" spans="7:7" ht="10.5" customHeight="1" x14ac:dyDescent="0.2">
      <c r="G14258" s="889"/>
    </row>
    <row r="14259" spans="7:7" ht="10.5" customHeight="1" x14ac:dyDescent="0.2">
      <c r="G14259" s="889"/>
    </row>
    <row r="14260" spans="7:7" ht="10.5" customHeight="1" x14ac:dyDescent="0.2">
      <c r="G14260" s="889"/>
    </row>
    <row r="14261" spans="7:7" ht="10.5" customHeight="1" x14ac:dyDescent="0.2">
      <c r="G14261" s="889"/>
    </row>
    <row r="14262" spans="7:7" ht="10.5" customHeight="1" x14ac:dyDescent="0.2">
      <c r="G14262" s="889"/>
    </row>
    <row r="14263" spans="7:7" ht="10.5" customHeight="1" x14ac:dyDescent="0.2">
      <c r="G14263" s="889"/>
    </row>
    <row r="14264" spans="7:7" ht="10.5" customHeight="1" x14ac:dyDescent="0.2">
      <c r="G14264" s="889"/>
    </row>
    <row r="14265" spans="7:7" ht="10.5" customHeight="1" x14ac:dyDescent="0.2">
      <c r="G14265" s="889"/>
    </row>
    <row r="14266" spans="7:7" ht="10.5" customHeight="1" x14ac:dyDescent="0.2">
      <c r="G14266" s="889"/>
    </row>
    <row r="14267" spans="7:7" ht="10.5" customHeight="1" x14ac:dyDescent="0.2">
      <c r="G14267" s="889"/>
    </row>
    <row r="14268" spans="7:7" ht="10.5" customHeight="1" x14ac:dyDescent="0.2">
      <c r="G14268" s="889"/>
    </row>
    <row r="14269" spans="7:7" ht="10.5" customHeight="1" x14ac:dyDescent="0.2">
      <c r="G14269" s="889"/>
    </row>
    <row r="14270" spans="7:7" ht="10.5" customHeight="1" x14ac:dyDescent="0.2">
      <c r="G14270" s="889"/>
    </row>
    <row r="14271" spans="7:7" ht="10.5" customHeight="1" x14ac:dyDescent="0.2">
      <c r="G14271" s="889"/>
    </row>
    <row r="14272" spans="7:7" ht="10.5" customHeight="1" x14ac:dyDescent="0.2">
      <c r="G14272" s="889"/>
    </row>
    <row r="14273" spans="7:7" ht="10.5" customHeight="1" x14ac:dyDescent="0.2">
      <c r="G14273" s="889"/>
    </row>
    <row r="14274" spans="7:7" ht="10.5" customHeight="1" x14ac:dyDescent="0.2">
      <c r="G14274" s="889"/>
    </row>
    <row r="14275" spans="7:7" ht="10.5" customHeight="1" x14ac:dyDescent="0.2">
      <c r="G14275" s="889"/>
    </row>
    <row r="14276" spans="7:7" ht="10.5" customHeight="1" x14ac:dyDescent="0.2">
      <c r="G14276" s="889"/>
    </row>
    <row r="14277" spans="7:7" ht="10.5" customHeight="1" x14ac:dyDescent="0.2">
      <c r="G14277" s="889"/>
    </row>
    <row r="14278" spans="7:7" ht="10.5" customHeight="1" x14ac:dyDescent="0.2">
      <c r="G14278" s="889"/>
    </row>
    <row r="14279" spans="7:7" ht="10.5" customHeight="1" x14ac:dyDescent="0.2">
      <c r="G14279" s="889"/>
    </row>
    <row r="14280" spans="7:7" ht="10.5" customHeight="1" x14ac:dyDescent="0.2">
      <c r="G14280" s="889"/>
    </row>
    <row r="14281" spans="7:7" ht="10.5" customHeight="1" x14ac:dyDescent="0.2">
      <c r="G14281" s="889"/>
    </row>
    <row r="14282" spans="7:7" ht="10.5" customHeight="1" x14ac:dyDescent="0.2">
      <c r="G14282" s="889"/>
    </row>
    <row r="14283" spans="7:7" ht="10.5" customHeight="1" x14ac:dyDescent="0.2">
      <c r="G14283" s="889"/>
    </row>
    <row r="14284" spans="7:7" ht="10.5" customHeight="1" x14ac:dyDescent="0.2">
      <c r="G14284" s="889"/>
    </row>
    <row r="14285" spans="7:7" ht="10.5" customHeight="1" x14ac:dyDescent="0.2">
      <c r="G14285" s="889"/>
    </row>
    <row r="14286" spans="7:7" ht="10.5" customHeight="1" x14ac:dyDescent="0.2">
      <c r="G14286" s="889"/>
    </row>
    <row r="14287" spans="7:7" ht="10.5" customHeight="1" x14ac:dyDescent="0.2">
      <c r="G14287" s="889"/>
    </row>
    <row r="14288" spans="7:7" ht="10.5" customHeight="1" x14ac:dyDescent="0.2">
      <c r="G14288" s="889"/>
    </row>
    <row r="14289" spans="7:7" ht="10.5" customHeight="1" x14ac:dyDescent="0.2">
      <c r="G14289" s="889"/>
    </row>
    <row r="14290" spans="7:7" ht="10.5" customHeight="1" x14ac:dyDescent="0.2">
      <c r="G14290" s="889"/>
    </row>
    <row r="14291" spans="7:7" ht="10.5" customHeight="1" x14ac:dyDescent="0.2">
      <c r="G14291" s="889"/>
    </row>
    <row r="14292" spans="7:7" ht="10.5" customHeight="1" x14ac:dyDescent="0.2">
      <c r="G14292" s="889"/>
    </row>
    <row r="14293" spans="7:7" ht="10.5" customHeight="1" x14ac:dyDescent="0.2">
      <c r="G14293" s="889"/>
    </row>
    <row r="14294" spans="7:7" ht="10.5" customHeight="1" x14ac:dyDescent="0.2">
      <c r="G14294" s="889"/>
    </row>
    <row r="14295" spans="7:7" ht="10.5" customHeight="1" x14ac:dyDescent="0.2">
      <c r="G14295" s="889"/>
    </row>
    <row r="14296" spans="7:7" ht="10.5" customHeight="1" x14ac:dyDescent="0.2">
      <c r="G14296" s="889"/>
    </row>
    <row r="14297" spans="7:7" ht="10.5" customHeight="1" x14ac:dyDescent="0.2">
      <c r="G14297" s="889"/>
    </row>
    <row r="14298" spans="7:7" ht="10.5" customHeight="1" x14ac:dyDescent="0.2">
      <c r="G14298" s="889"/>
    </row>
    <row r="14299" spans="7:7" ht="10.5" customHeight="1" x14ac:dyDescent="0.2">
      <c r="G14299" s="889"/>
    </row>
    <row r="14300" spans="7:7" ht="10.5" customHeight="1" x14ac:dyDescent="0.2">
      <c r="G14300" s="889"/>
    </row>
    <row r="14301" spans="7:7" ht="10.5" customHeight="1" x14ac:dyDescent="0.2">
      <c r="G14301" s="889"/>
    </row>
    <row r="14302" spans="7:7" ht="10.5" customHeight="1" x14ac:dyDescent="0.2">
      <c r="G14302" s="889"/>
    </row>
    <row r="14303" spans="7:7" ht="10.5" customHeight="1" x14ac:dyDescent="0.2">
      <c r="G14303" s="889"/>
    </row>
    <row r="14304" spans="7:7" ht="10.5" customHeight="1" x14ac:dyDescent="0.2">
      <c r="G14304" s="889"/>
    </row>
    <row r="14305" spans="7:7" ht="10.5" customHeight="1" x14ac:dyDescent="0.2">
      <c r="G14305" s="889"/>
    </row>
    <row r="14306" spans="7:7" ht="10.5" customHeight="1" x14ac:dyDescent="0.2">
      <c r="G14306" s="889"/>
    </row>
    <row r="14307" spans="7:7" ht="10.5" customHeight="1" x14ac:dyDescent="0.2">
      <c r="G14307" s="889"/>
    </row>
    <row r="14308" spans="7:7" ht="10.5" customHeight="1" x14ac:dyDescent="0.2">
      <c r="G14308" s="889"/>
    </row>
    <row r="14309" spans="7:7" ht="10.5" customHeight="1" x14ac:dyDescent="0.2">
      <c r="G14309" s="889"/>
    </row>
    <row r="14310" spans="7:7" ht="10.5" customHeight="1" x14ac:dyDescent="0.2">
      <c r="G14310" s="889"/>
    </row>
    <row r="14311" spans="7:7" ht="10.5" customHeight="1" x14ac:dyDescent="0.2">
      <c r="G14311" s="889"/>
    </row>
    <row r="14312" spans="7:7" ht="10.5" customHeight="1" x14ac:dyDescent="0.2">
      <c r="G14312" s="889"/>
    </row>
    <row r="14313" spans="7:7" ht="10.5" customHeight="1" x14ac:dyDescent="0.2">
      <c r="G14313" s="889"/>
    </row>
    <row r="14314" spans="7:7" ht="10.5" customHeight="1" x14ac:dyDescent="0.2">
      <c r="G14314" s="889"/>
    </row>
    <row r="14315" spans="7:7" ht="10.5" customHeight="1" x14ac:dyDescent="0.2">
      <c r="G14315" s="889"/>
    </row>
    <row r="14316" spans="7:7" ht="10.5" customHeight="1" x14ac:dyDescent="0.2">
      <c r="G14316" s="889"/>
    </row>
    <row r="14317" spans="7:7" ht="10.5" customHeight="1" x14ac:dyDescent="0.2">
      <c r="G14317" s="889"/>
    </row>
    <row r="14318" spans="7:7" ht="10.5" customHeight="1" x14ac:dyDescent="0.2">
      <c r="G14318" s="889"/>
    </row>
    <row r="14319" spans="7:7" ht="10.5" customHeight="1" x14ac:dyDescent="0.2">
      <c r="G14319" s="889"/>
    </row>
    <row r="14320" spans="7:7" ht="10.5" customHeight="1" x14ac:dyDescent="0.2">
      <c r="G14320" s="889"/>
    </row>
    <row r="14321" spans="7:7" ht="10.5" customHeight="1" x14ac:dyDescent="0.2">
      <c r="G14321" s="889"/>
    </row>
    <row r="14322" spans="7:7" ht="10.5" customHeight="1" x14ac:dyDescent="0.2">
      <c r="G14322" s="889"/>
    </row>
    <row r="14323" spans="7:7" ht="10.5" customHeight="1" x14ac:dyDescent="0.2">
      <c r="G14323" s="889"/>
    </row>
    <row r="14324" spans="7:7" ht="10.5" customHeight="1" x14ac:dyDescent="0.2">
      <c r="G14324" s="889"/>
    </row>
    <row r="14325" spans="7:7" ht="10.5" customHeight="1" x14ac:dyDescent="0.2">
      <c r="G14325" s="889"/>
    </row>
    <row r="14326" spans="7:7" ht="10.5" customHeight="1" x14ac:dyDescent="0.2">
      <c r="G14326" s="889"/>
    </row>
    <row r="14327" spans="7:7" ht="10.5" customHeight="1" x14ac:dyDescent="0.2">
      <c r="G14327" s="889"/>
    </row>
    <row r="14328" spans="7:7" ht="10.5" customHeight="1" x14ac:dyDescent="0.2">
      <c r="G14328" s="889"/>
    </row>
    <row r="14329" spans="7:7" ht="10.5" customHeight="1" x14ac:dyDescent="0.2">
      <c r="G14329" s="889"/>
    </row>
    <row r="14330" spans="7:7" ht="10.5" customHeight="1" x14ac:dyDescent="0.2">
      <c r="G14330" s="889"/>
    </row>
    <row r="14331" spans="7:7" ht="10.5" customHeight="1" x14ac:dyDescent="0.2">
      <c r="G14331" s="889"/>
    </row>
    <row r="14332" spans="7:7" ht="10.5" customHeight="1" x14ac:dyDescent="0.2">
      <c r="G14332" s="889"/>
    </row>
    <row r="14333" spans="7:7" ht="10.5" customHeight="1" x14ac:dyDescent="0.2">
      <c r="G14333" s="889"/>
    </row>
    <row r="14334" spans="7:7" ht="10.5" customHeight="1" x14ac:dyDescent="0.2">
      <c r="G14334" s="889"/>
    </row>
    <row r="14335" spans="7:7" ht="10.5" customHeight="1" x14ac:dyDescent="0.2">
      <c r="G14335" s="889"/>
    </row>
    <row r="14336" spans="7:7" ht="10.5" customHeight="1" x14ac:dyDescent="0.2">
      <c r="G14336" s="889"/>
    </row>
    <row r="14337" spans="7:7" ht="10.5" customHeight="1" x14ac:dyDescent="0.2">
      <c r="G14337" s="889"/>
    </row>
    <row r="14338" spans="7:7" ht="10.5" customHeight="1" x14ac:dyDescent="0.2">
      <c r="G14338" s="889"/>
    </row>
    <row r="14339" spans="7:7" ht="10.5" customHeight="1" x14ac:dyDescent="0.2">
      <c r="G14339" s="889"/>
    </row>
    <row r="14340" spans="7:7" ht="10.5" customHeight="1" x14ac:dyDescent="0.2">
      <c r="G14340" s="889"/>
    </row>
    <row r="14341" spans="7:7" ht="10.5" customHeight="1" x14ac:dyDescent="0.2">
      <c r="G14341" s="889"/>
    </row>
    <row r="14342" spans="7:7" ht="10.5" customHeight="1" x14ac:dyDescent="0.2">
      <c r="G14342" s="889"/>
    </row>
    <row r="14343" spans="7:7" ht="10.5" customHeight="1" x14ac:dyDescent="0.2">
      <c r="G14343" s="889"/>
    </row>
    <row r="14344" spans="7:7" ht="10.5" customHeight="1" x14ac:dyDescent="0.2">
      <c r="G14344" s="889"/>
    </row>
    <row r="14345" spans="7:7" ht="10.5" customHeight="1" x14ac:dyDescent="0.2">
      <c r="G14345" s="889"/>
    </row>
    <row r="14346" spans="7:7" ht="10.5" customHeight="1" x14ac:dyDescent="0.2">
      <c r="G14346" s="889"/>
    </row>
    <row r="14347" spans="7:7" ht="10.5" customHeight="1" x14ac:dyDescent="0.2">
      <c r="G14347" s="889"/>
    </row>
    <row r="14348" spans="7:7" ht="10.5" customHeight="1" x14ac:dyDescent="0.2">
      <c r="G14348" s="889"/>
    </row>
    <row r="14349" spans="7:7" ht="10.5" customHeight="1" x14ac:dyDescent="0.2">
      <c r="G14349" s="889"/>
    </row>
    <row r="14350" spans="7:7" ht="10.5" customHeight="1" x14ac:dyDescent="0.2">
      <c r="G14350" s="889"/>
    </row>
    <row r="14351" spans="7:7" ht="10.5" customHeight="1" x14ac:dyDescent="0.2">
      <c r="G14351" s="889"/>
    </row>
    <row r="14352" spans="7:7" ht="10.5" customHeight="1" x14ac:dyDescent="0.2">
      <c r="G14352" s="889"/>
    </row>
    <row r="14353" spans="7:7" ht="10.5" customHeight="1" x14ac:dyDescent="0.2">
      <c r="G14353" s="889"/>
    </row>
    <row r="14354" spans="7:7" ht="10.5" customHeight="1" x14ac:dyDescent="0.2">
      <c r="G14354" s="889"/>
    </row>
    <row r="14355" spans="7:7" ht="10.5" customHeight="1" x14ac:dyDescent="0.2">
      <c r="G14355" s="889"/>
    </row>
    <row r="14356" spans="7:7" ht="10.5" customHeight="1" x14ac:dyDescent="0.2">
      <c r="G14356" s="889"/>
    </row>
    <row r="14357" spans="7:7" ht="10.5" customHeight="1" x14ac:dyDescent="0.2">
      <c r="G14357" s="889"/>
    </row>
    <row r="14358" spans="7:7" ht="10.5" customHeight="1" x14ac:dyDescent="0.2">
      <c r="G14358" s="889"/>
    </row>
    <row r="14359" spans="7:7" ht="10.5" customHeight="1" x14ac:dyDescent="0.2">
      <c r="G14359" s="889"/>
    </row>
    <row r="14360" spans="7:7" ht="10.5" customHeight="1" x14ac:dyDescent="0.2">
      <c r="G14360" s="889"/>
    </row>
    <row r="14361" spans="7:7" ht="10.5" customHeight="1" x14ac:dyDescent="0.2">
      <c r="G14361" s="889"/>
    </row>
    <row r="14362" spans="7:7" ht="10.5" customHeight="1" x14ac:dyDescent="0.2">
      <c r="G14362" s="889"/>
    </row>
    <row r="14363" spans="7:7" ht="10.5" customHeight="1" x14ac:dyDescent="0.2">
      <c r="G14363" s="889"/>
    </row>
    <row r="14364" spans="7:7" ht="10.5" customHeight="1" x14ac:dyDescent="0.2">
      <c r="G14364" s="889"/>
    </row>
    <row r="14365" spans="7:7" ht="10.5" customHeight="1" x14ac:dyDescent="0.2">
      <c r="G14365" s="889"/>
    </row>
    <row r="14366" spans="7:7" ht="10.5" customHeight="1" x14ac:dyDescent="0.2">
      <c r="G14366" s="889"/>
    </row>
    <row r="14367" spans="7:7" ht="10.5" customHeight="1" x14ac:dyDescent="0.2">
      <c r="G14367" s="889"/>
    </row>
    <row r="14368" spans="7:7" ht="10.5" customHeight="1" x14ac:dyDescent="0.2">
      <c r="G14368" s="889"/>
    </row>
    <row r="14369" spans="7:7" ht="10.5" customHeight="1" x14ac:dyDescent="0.2">
      <c r="G14369" s="889"/>
    </row>
    <row r="14370" spans="7:7" ht="10.5" customHeight="1" x14ac:dyDescent="0.2">
      <c r="G14370" s="889"/>
    </row>
    <row r="14371" spans="7:7" ht="10.5" customHeight="1" x14ac:dyDescent="0.2">
      <c r="G14371" s="889"/>
    </row>
    <row r="14372" spans="7:7" ht="10.5" customHeight="1" x14ac:dyDescent="0.2">
      <c r="G14372" s="889"/>
    </row>
    <row r="14373" spans="7:7" ht="10.5" customHeight="1" x14ac:dyDescent="0.2">
      <c r="G14373" s="889"/>
    </row>
    <row r="14374" spans="7:7" ht="10.5" customHeight="1" x14ac:dyDescent="0.2">
      <c r="G14374" s="889"/>
    </row>
    <row r="14375" spans="7:7" ht="10.5" customHeight="1" x14ac:dyDescent="0.2">
      <c r="G14375" s="889"/>
    </row>
    <row r="14376" spans="7:7" ht="10.5" customHeight="1" x14ac:dyDescent="0.2">
      <c r="G14376" s="889"/>
    </row>
    <row r="14377" spans="7:7" ht="10.5" customHeight="1" x14ac:dyDescent="0.2">
      <c r="G14377" s="889"/>
    </row>
    <row r="14378" spans="7:7" ht="10.5" customHeight="1" x14ac:dyDescent="0.2">
      <c r="G14378" s="889"/>
    </row>
    <row r="14379" spans="7:7" ht="10.5" customHeight="1" x14ac:dyDescent="0.2">
      <c r="G14379" s="889"/>
    </row>
    <row r="14380" spans="7:7" ht="10.5" customHeight="1" x14ac:dyDescent="0.2">
      <c r="G14380" s="889"/>
    </row>
    <row r="14381" spans="7:7" ht="10.5" customHeight="1" x14ac:dyDescent="0.2">
      <c r="G14381" s="889"/>
    </row>
    <row r="14382" spans="7:7" ht="10.5" customHeight="1" x14ac:dyDescent="0.2">
      <c r="G14382" s="889"/>
    </row>
    <row r="14383" spans="7:7" ht="10.5" customHeight="1" x14ac:dyDescent="0.2">
      <c r="G14383" s="889"/>
    </row>
    <row r="14384" spans="7:7" ht="10.5" customHeight="1" x14ac:dyDescent="0.2">
      <c r="G14384" s="889"/>
    </row>
    <row r="14385" spans="7:7" ht="10.5" customHeight="1" x14ac:dyDescent="0.2">
      <c r="G14385" s="889"/>
    </row>
    <row r="14386" spans="7:7" ht="10.5" customHeight="1" x14ac:dyDescent="0.2">
      <c r="G14386" s="889"/>
    </row>
    <row r="14387" spans="7:7" ht="10.5" customHeight="1" x14ac:dyDescent="0.2">
      <c r="G14387" s="889"/>
    </row>
    <row r="14388" spans="7:7" ht="10.5" customHeight="1" x14ac:dyDescent="0.2">
      <c r="G14388" s="889"/>
    </row>
    <row r="14389" spans="7:7" ht="10.5" customHeight="1" x14ac:dyDescent="0.2">
      <c r="G14389" s="889"/>
    </row>
    <row r="14390" spans="7:7" ht="10.5" customHeight="1" x14ac:dyDescent="0.2">
      <c r="G14390" s="889"/>
    </row>
    <row r="14391" spans="7:7" ht="10.5" customHeight="1" x14ac:dyDescent="0.2">
      <c r="G14391" s="889"/>
    </row>
    <row r="14392" spans="7:7" ht="10.5" customHeight="1" x14ac:dyDescent="0.2">
      <c r="G14392" s="889"/>
    </row>
    <row r="14393" spans="7:7" ht="10.5" customHeight="1" x14ac:dyDescent="0.2">
      <c r="G14393" s="889"/>
    </row>
    <row r="14394" spans="7:7" ht="10.5" customHeight="1" x14ac:dyDescent="0.2">
      <c r="G14394" s="889"/>
    </row>
    <row r="14395" spans="7:7" ht="10.5" customHeight="1" x14ac:dyDescent="0.2">
      <c r="G14395" s="889"/>
    </row>
    <row r="14396" spans="7:7" ht="10.5" customHeight="1" x14ac:dyDescent="0.2">
      <c r="G14396" s="889"/>
    </row>
    <row r="14397" spans="7:7" ht="10.5" customHeight="1" x14ac:dyDescent="0.2">
      <c r="G14397" s="889"/>
    </row>
    <row r="14398" spans="7:7" ht="10.5" customHeight="1" x14ac:dyDescent="0.2">
      <c r="G14398" s="889"/>
    </row>
    <row r="14399" spans="7:7" ht="10.5" customHeight="1" x14ac:dyDescent="0.2">
      <c r="G14399" s="889"/>
    </row>
    <row r="14400" spans="7:7" ht="10.5" customHeight="1" x14ac:dyDescent="0.2">
      <c r="G14400" s="889"/>
    </row>
    <row r="14401" spans="7:7" ht="10.5" customHeight="1" x14ac:dyDescent="0.2">
      <c r="G14401" s="889"/>
    </row>
    <row r="14402" spans="7:7" ht="10.5" customHeight="1" x14ac:dyDescent="0.2">
      <c r="G14402" s="889"/>
    </row>
    <row r="14403" spans="7:7" ht="10.5" customHeight="1" x14ac:dyDescent="0.2">
      <c r="G14403" s="889"/>
    </row>
    <row r="14404" spans="7:7" ht="10.5" customHeight="1" x14ac:dyDescent="0.2">
      <c r="G14404" s="889"/>
    </row>
    <row r="14405" spans="7:7" ht="10.5" customHeight="1" x14ac:dyDescent="0.2">
      <c r="G14405" s="889"/>
    </row>
    <row r="14406" spans="7:7" ht="10.5" customHeight="1" x14ac:dyDescent="0.2">
      <c r="G14406" s="889"/>
    </row>
    <row r="14407" spans="7:7" ht="10.5" customHeight="1" x14ac:dyDescent="0.2">
      <c r="G14407" s="889"/>
    </row>
    <row r="14408" spans="7:7" ht="10.5" customHeight="1" x14ac:dyDescent="0.2">
      <c r="G14408" s="889"/>
    </row>
    <row r="14409" spans="7:7" ht="10.5" customHeight="1" x14ac:dyDescent="0.2">
      <c r="G14409" s="889"/>
    </row>
    <row r="14410" spans="7:7" ht="10.5" customHeight="1" x14ac:dyDescent="0.2">
      <c r="G14410" s="889"/>
    </row>
    <row r="14411" spans="7:7" ht="10.5" customHeight="1" x14ac:dyDescent="0.2">
      <c r="G14411" s="889"/>
    </row>
    <row r="14412" spans="7:7" ht="10.5" customHeight="1" x14ac:dyDescent="0.2">
      <c r="G14412" s="889"/>
    </row>
    <row r="14413" spans="7:7" ht="10.5" customHeight="1" x14ac:dyDescent="0.2">
      <c r="G14413" s="889"/>
    </row>
    <row r="14414" spans="7:7" ht="10.5" customHeight="1" x14ac:dyDescent="0.2">
      <c r="G14414" s="889"/>
    </row>
    <row r="14415" spans="7:7" ht="10.5" customHeight="1" x14ac:dyDescent="0.2">
      <c r="G14415" s="889"/>
    </row>
    <row r="14416" spans="7:7" ht="10.5" customHeight="1" x14ac:dyDescent="0.2">
      <c r="G14416" s="889"/>
    </row>
    <row r="14417" spans="7:7" ht="10.5" customHeight="1" x14ac:dyDescent="0.2">
      <c r="G14417" s="889"/>
    </row>
    <row r="14418" spans="7:7" ht="10.5" customHeight="1" x14ac:dyDescent="0.2">
      <c r="G14418" s="889"/>
    </row>
    <row r="14419" spans="7:7" ht="10.5" customHeight="1" x14ac:dyDescent="0.2">
      <c r="G14419" s="889"/>
    </row>
    <row r="14420" spans="7:7" ht="10.5" customHeight="1" x14ac:dyDescent="0.2">
      <c r="G14420" s="889"/>
    </row>
    <row r="14421" spans="7:7" ht="10.5" customHeight="1" x14ac:dyDescent="0.2">
      <c r="G14421" s="889"/>
    </row>
    <row r="14422" spans="7:7" ht="10.5" customHeight="1" x14ac:dyDescent="0.2">
      <c r="G14422" s="889"/>
    </row>
    <row r="14423" spans="7:7" ht="10.5" customHeight="1" x14ac:dyDescent="0.2">
      <c r="G14423" s="889"/>
    </row>
    <row r="14424" spans="7:7" ht="10.5" customHeight="1" x14ac:dyDescent="0.2">
      <c r="G14424" s="889"/>
    </row>
    <row r="14425" spans="7:7" ht="10.5" customHeight="1" x14ac:dyDescent="0.2">
      <c r="G14425" s="889"/>
    </row>
    <row r="14426" spans="7:7" ht="10.5" customHeight="1" x14ac:dyDescent="0.2">
      <c r="G14426" s="889"/>
    </row>
    <row r="14427" spans="7:7" ht="10.5" customHeight="1" x14ac:dyDescent="0.2">
      <c r="G14427" s="889"/>
    </row>
    <row r="14428" spans="7:7" ht="10.5" customHeight="1" x14ac:dyDescent="0.2">
      <c r="G14428" s="889"/>
    </row>
    <row r="14429" spans="7:7" ht="10.5" customHeight="1" x14ac:dyDescent="0.2">
      <c r="G14429" s="889"/>
    </row>
    <row r="14430" spans="7:7" ht="10.5" customHeight="1" x14ac:dyDescent="0.2">
      <c r="G14430" s="889"/>
    </row>
    <row r="14431" spans="7:7" ht="10.5" customHeight="1" x14ac:dyDescent="0.2">
      <c r="G14431" s="889"/>
    </row>
    <row r="14432" spans="7:7" ht="10.5" customHeight="1" x14ac:dyDescent="0.2">
      <c r="G14432" s="889"/>
    </row>
    <row r="14433" spans="7:7" ht="10.5" customHeight="1" x14ac:dyDescent="0.2">
      <c r="G14433" s="889"/>
    </row>
    <row r="14434" spans="7:7" ht="10.5" customHeight="1" x14ac:dyDescent="0.2">
      <c r="G14434" s="889"/>
    </row>
    <row r="14435" spans="7:7" ht="10.5" customHeight="1" x14ac:dyDescent="0.2">
      <c r="G14435" s="889"/>
    </row>
    <row r="14436" spans="7:7" ht="10.5" customHeight="1" x14ac:dyDescent="0.2">
      <c r="G14436" s="889"/>
    </row>
    <row r="14437" spans="7:7" ht="10.5" customHeight="1" x14ac:dyDescent="0.2">
      <c r="G14437" s="889"/>
    </row>
    <row r="14438" spans="7:7" ht="10.5" customHeight="1" x14ac:dyDescent="0.2">
      <c r="G14438" s="889"/>
    </row>
    <row r="14439" spans="7:7" ht="10.5" customHeight="1" x14ac:dyDescent="0.2">
      <c r="G14439" s="889"/>
    </row>
    <row r="14440" spans="7:7" ht="10.5" customHeight="1" x14ac:dyDescent="0.2">
      <c r="G14440" s="889"/>
    </row>
    <row r="14441" spans="7:7" ht="10.5" customHeight="1" x14ac:dyDescent="0.2">
      <c r="G14441" s="889"/>
    </row>
    <row r="14442" spans="7:7" ht="10.5" customHeight="1" x14ac:dyDescent="0.2">
      <c r="G14442" s="889"/>
    </row>
    <row r="14443" spans="7:7" ht="10.5" customHeight="1" x14ac:dyDescent="0.2">
      <c r="G14443" s="889"/>
    </row>
    <row r="14444" spans="7:7" ht="10.5" customHeight="1" x14ac:dyDescent="0.2">
      <c r="G14444" s="889"/>
    </row>
    <row r="14445" spans="7:7" ht="10.5" customHeight="1" x14ac:dyDescent="0.2">
      <c r="G14445" s="889"/>
    </row>
    <row r="14446" spans="7:7" ht="10.5" customHeight="1" x14ac:dyDescent="0.2">
      <c r="G14446" s="889"/>
    </row>
    <row r="14447" spans="7:7" ht="10.5" customHeight="1" x14ac:dyDescent="0.2">
      <c r="G14447" s="889"/>
    </row>
    <row r="14448" spans="7:7" ht="10.5" customHeight="1" x14ac:dyDescent="0.2">
      <c r="G14448" s="889"/>
    </row>
    <row r="14449" spans="7:7" ht="10.5" customHeight="1" x14ac:dyDescent="0.2">
      <c r="G14449" s="889"/>
    </row>
    <row r="14450" spans="7:7" ht="10.5" customHeight="1" x14ac:dyDescent="0.2">
      <c r="G14450" s="889"/>
    </row>
    <row r="14451" spans="7:7" ht="10.5" customHeight="1" x14ac:dyDescent="0.2">
      <c r="G14451" s="889"/>
    </row>
    <row r="14452" spans="7:7" ht="10.5" customHeight="1" x14ac:dyDescent="0.2">
      <c r="G14452" s="889"/>
    </row>
    <row r="14453" spans="7:7" ht="10.5" customHeight="1" x14ac:dyDescent="0.2">
      <c r="G14453" s="889"/>
    </row>
    <row r="14454" spans="7:7" ht="10.5" customHeight="1" x14ac:dyDescent="0.2">
      <c r="G14454" s="889"/>
    </row>
    <row r="14455" spans="7:7" ht="10.5" customHeight="1" x14ac:dyDescent="0.2">
      <c r="G14455" s="889"/>
    </row>
    <row r="14456" spans="7:7" ht="10.5" customHeight="1" x14ac:dyDescent="0.2">
      <c r="G14456" s="889"/>
    </row>
    <row r="14457" spans="7:7" ht="10.5" customHeight="1" x14ac:dyDescent="0.2">
      <c r="G14457" s="889"/>
    </row>
    <row r="14458" spans="7:7" ht="10.5" customHeight="1" x14ac:dyDescent="0.2">
      <c r="G14458" s="889"/>
    </row>
    <row r="14459" spans="7:7" ht="10.5" customHeight="1" x14ac:dyDescent="0.2">
      <c r="G14459" s="889"/>
    </row>
    <row r="14460" spans="7:7" ht="10.5" customHeight="1" x14ac:dyDescent="0.2">
      <c r="G14460" s="889"/>
    </row>
    <row r="14461" spans="7:7" ht="10.5" customHeight="1" x14ac:dyDescent="0.2">
      <c r="G14461" s="889"/>
    </row>
    <row r="14462" spans="7:7" ht="10.5" customHeight="1" x14ac:dyDescent="0.2">
      <c r="G14462" s="889"/>
    </row>
    <row r="14463" spans="7:7" ht="10.5" customHeight="1" x14ac:dyDescent="0.2">
      <c r="G14463" s="889"/>
    </row>
    <row r="14464" spans="7:7" ht="10.5" customHeight="1" x14ac:dyDescent="0.2">
      <c r="G14464" s="889"/>
    </row>
    <row r="14465" spans="7:7" ht="10.5" customHeight="1" x14ac:dyDescent="0.2">
      <c r="G14465" s="889"/>
    </row>
    <row r="14466" spans="7:7" ht="10.5" customHeight="1" x14ac:dyDescent="0.2">
      <c r="G14466" s="889"/>
    </row>
    <row r="14467" spans="7:7" ht="10.5" customHeight="1" x14ac:dyDescent="0.2">
      <c r="G14467" s="889"/>
    </row>
    <row r="14468" spans="7:7" ht="10.5" customHeight="1" x14ac:dyDescent="0.2">
      <c r="G14468" s="889"/>
    </row>
    <row r="14469" spans="7:7" ht="10.5" customHeight="1" x14ac:dyDescent="0.2">
      <c r="G14469" s="889"/>
    </row>
    <row r="14470" spans="7:7" ht="10.5" customHeight="1" x14ac:dyDescent="0.2">
      <c r="G14470" s="889"/>
    </row>
    <row r="14471" spans="7:7" ht="10.5" customHeight="1" x14ac:dyDescent="0.2">
      <c r="G14471" s="889"/>
    </row>
    <row r="14472" spans="7:7" ht="10.5" customHeight="1" x14ac:dyDescent="0.2">
      <c r="G14472" s="889"/>
    </row>
    <row r="14473" spans="7:7" ht="10.5" customHeight="1" x14ac:dyDescent="0.2">
      <c r="G14473" s="889"/>
    </row>
    <row r="14474" spans="7:7" ht="10.5" customHeight="1" x14ac:dyDescent="0.2">
      <c r="G14474" s="889"/>
    </row>
    <row r="14475" spans="7:7" ht="10.5" customHeight="1" x14ac:dyDescent="0.2">
      <c r="G14475" s="889"/>
    </row>
    <row r="14476" spans="7:7" ht="10.5" customHeight="1" x14ac:dyDescent="0.2">
      <c r="G14476" s="889"/>
    </row>
    <row r="14477" spans="7:7" ht="10.5" customHeight="1" x14ac:dyDescent="0.2">
      <c r="G14477" s="889"/>
    </row>
    <row r="14478" spans="7:7" ht="10.5" customHeight="1" x14ac:dyDescent="0.2">
      <c r="G14478" s="889"/>
    </row>
    <row r="14479" spans="7:7" ht="10.5" customHeight="1" x14ac:dyDescent="0.2">
      <c r="G14479" s="889"/>
    </row>
    <row r="14480" spans="7:7" ht="10.5" customHeight="1" x14ac:dyDescent="0.2">
      <c r="G14480" s="889"/>
    </row>
    <row r="14481" spans="7:7" ht="10.5" customHeight="1" x14ac:dyDescent="0.2">
      <c r="G14481" s="889"/>
    </row>
    <row r="14482" spans="7:7" ht="10.5" customHeight="1" x14ac:dyDescent="0.2">
      <c r="G14482" s="889"/>
    </row>
    <row r="14483" spans="7:7" ht="10.5" customHeight="1" x14ac:dyDescent="0.2">
      <c r="G14483" s="889"/>
    </row>
    <row r="14484" spans="7:7" ht="10.5" customHeight="1" x14ac:dyDescent="0.2">
      <c r="G14484" s="889"/>
    </row>
    <row r="14485" spans="7:7" ht="10.5" customHeight="1" x14ac:dyDescent="0.2">
      <c r="G14485" s="889"/>
    </row>
    <row r="14486" spans="7:7" ht="10.5" customHeight="1" x14ac:dyDescent="0.2">
      <c r="G14486" s="889"/>
    </row>
    <row r="14487" spans="7:7" ht="10.5" customHeight="1" x14ac:dyDescent="0.2">
      <c r="G14487" s="889"/>
    </row>
    <row r="14488" spans="7:7" ht="10.5" customHeight="1" x14ac:dyDescent="0.2">
      <c r="G14488" s="889"/>
    </row>
    <row r="14489" spans="7:7" ht="10.5" customHeight="1" x14ac:dyDescent="0.2">
      <c r="G14489" s="889"/>
    </row>
    <row r="14490" spans="7:7" ht="10.5" customHeight="1" x14ac:dyDescent="0.2">
      <c r="G14490" s="889"/>
    </row>
    <row r="14491" spans="7:7" ht="10.5" customHeight="1" x14ac:dyDescent="0.2">
      <c r="G14491" s="889"/>
    </row>
    <row r="14492" spans="7:7" ht="10.5" customHeight="1" x14ac:dyDescent="0.2">
      <c r="G14492" s="889"/>
    </row>
    <row r="14493" spans="7:7" ht="10.5" customHeight="1" x14ac:dyDescent="0.2">
      <c r="G14493" s="889"/>
    </row>
    <row r="14494" spans="7:7" ht="10.5" customHeight="1" x14ac:dyDescent="0.2">
      <c r="G14494" s="889"/>
    </row>
    <row r="14495" spans="7:7" ht="10.5" customHeight="1" x14ac:dyDescent="0.2">
      <c r="G14495" s="889"/>
    </row>
    <row r="14496" spans="7:7" ht="10.5" customHeight="1" x14ac:dyDescent="0.2">
      <c r="G14496" s="889"/>
    </row>
    <row r="14497" spans="7:7" ht="10.5" customHeight="1" x14ac:dyDescent="0.2">
      <c r="G14497" s="889"/>
    </row>
    <row r="14498" spans="7:7" ht="10.5" customHeight="1" x14ac:dyDescent="0.2">
      <c r="G14498" s="889"/>
    </row>
    <row r="14499" spans="7:7" ht="10.5" customHeight="1" x14ac:dyDescent="0.2">
      <c r="G14499" s="889"/>
    </row>
    <row r="14500" spans="7:7" ht="10.5" customHeight="1" x14ac:dyDescent="0.2">
      <c r="G14500" s="889"/>
    </row>
    <row r="14501" spans="7:7" ht="10.5" customHeight="1" x14ac:dyDescent="0.2">
      <c r="G14501" s="889"/>
    </row>
    <row r="14502" spans="7:7" ht="10.5" customHeight="1" x14ac:dyDescent="0.2">
      <c r="G14502" s="889"/>
    </row>
    <row r="14503" spans="7:7" ht="10.5" customHeight="1" x14ac:dyDescent="0.2">
      <c r="G14503" s="889"/>
    </row>
    <row r="14504" spans="7:7" ht="10.5" customHeight="1" x14ac:dyDescent="0.2">
      <c r="G14504" s="889"/>
    </row>
    <row r="14505" spans="7:7" ht="10.5" customHeight="1" x14ac:dyDescent="0.2">
      <c r="G14505" s="889"/>
    </row>
    <row r="14506" spans="7:7" ht="10.5" customHeight="1" x14ac:dyDescent="0.2">
      <c r="G14506" s="889"/>
    </row>
    <row r="14507" spans="7:7" ht="10.5" customHeight="1" x14ac:dyDescent="0.2">
      <c r="G14507" s="889"/>
    </row>
    <row r="14508" spans="7:7" ht="10.5" customHeight="1" x14ac:dyDescent="0.2">
      <c r="G14508" s="889"/>
    </row>
    <row r="14509" spans="7:7" ht="10.5" customHeight="1" x14ac:dyDescent="0.2">
      <c r="G14509" s="889"/>
    </row>
    <row r="14510" spans="7:7" ht="10.5" customHeight="1" x14ac:dyDescent="0.2">
      <c r="G14510" s="889"/>
    </row>
    <row r="14511" spans="7:7" ht="10.5" customHeight="1" x14ac:dyDescent="0.2">
      <c r="G14511" s="889"/>
    </row>
    <row r="14512" spans="7:7" ht="10.5" customHeight="1" x14ac:dyDescent="0.2">
      <c r="G14512" s="889"/>
    </row>
    <row r="14513" spans="7:7" ht="10.5" customHeight="1" x14ac:dyDescent="0.2">
      <c r="G14513" s="889"/>
    </row>
    <row r="14514" spans="7:7" ht="10.5" customHeight="1" x14ac:dyDescent="0.2">
      <c r="G14514" s="889"/>
    </row>
    <row r="14515" spans="7:7" ht="10.5" customHeight="1" x14ac:dyDescent="0.2">
      <c r="G14515" s="889"/>
    </row>
    <row r="14516" spans="7:7" ht="10.5" customHeight="1" x14ac:dyDescent="0.2">
      <c r="G14516" s="889"/>
    </row>
    <row r="14517" spans="7:7" ht="10.5" customHeight="1" x14ac:dyDescent="0.2">
      <c r="G14517" s="889"/>
    </row>
    <row r="14518" spans="7:7" ht="10.5" customHeight="1" x14ac:dyDescent="0.2">
      <c r="G14518" s="889"/>
    </row>
    <row r="14519" spans="7:7" ht="10.5" customHeight="1" x14ac:dyDescent="0.2">
      <c r="G14519" s="889"/>
    </row>
    <row r="14520" spans="7:7" ht="10.5" customHeight="1" x14ac:dyDescent="0.2">
      <c r="G14520" s="889"/>
    </row>
    <row r="14521" spans="7:7" ht="10.5" customHeight="1" x14ac:dyDescent="0.2">
      <c r="G14521" s="889"/>
    </row>
    <row r="14522" spans="7:7" ht="10.5" customHeight="1" x14ac:dyDescent="0.2">
      <c r="G14522" s="889"/>
    </row>
    <row r="14523" spans="7:7" ht="10.5" customHeight="1" x14ac:dyDescent="0.2">
      <c r="G14523" s="889"/>
    </row>
    <row r="14524" spans="7:7" ht="10.5" customHeight="1" x14ac:dyDescent="0.2">
      <c r="G14524" s="889"/>
    </row>
    <row r="14525" spans="7:7" ht="10.5" customHeight="1" x14ac:dyDescent="0.2">
      <c r="G14525" s="889"/>
    </row>
    <row r="14526" spans="7:7" ht="10.5" customHeight="1" x14ac:dyDescent="0.2">
      <c r="G14526" s="889"/>
    </row>
    <row r="14527" spans="7:7" ht="10.5" customHeight="1" x14ac:dyDescent="0.2">
      <c r="G14527" s="889"/>
    </row>
    <row r="14528" spans="7:7" ht="10.5" customHeight="1" x14ac:dyDescent="0.2">
      <c r="G14528" s="889"/>
    </row>
    <row r="14529" spans="7:7" ht="10.5" customHeight="1" x14ac:dyDescent="0.2">
      <c r="G14529" s="889"/>
    </row>
    <row r="14530" spans="7:7" ht="10.5" customHeight="1" x14ac:dyDescent="0.2">
      <c r="G14530" s="889"/>
    </row>
    <row r="14531" spans="7:7" ht="10.5" customHeight="1" x14ac:dyDescent="0.2">
      <c r="G14531" s="889"/>
    </row>
    <row r="14532" spans="7:7" ht="10.5" customHeight="1" x14ac:dyDescent="0.2">
      <c r="G14532" s="889"/>
    </row>
    <row r="14533" spans="7:7" ht="10.5" customHeight="1" x14ac:dyDescent="0.2">
      <c r="G14533" s="889"/>
    </row>
    <row r="14534" spans="7:7" ht="10.5" customHeight="1" x14ac:dyDescent="0.2">
      <c r="G14534" s="889"/>
    </row>
    <row r="14535" spans="7:7" ht="10.5" customHeight="1" x14ac:dyDescent="0.2">
      <c r="G14535" s="889"/>
    </row>
    <row r="14536" spans="7:7" ht="10.5" customHeight="1" x14ac:dyDescent="0.2">
      <c r="G14536" s="889"/>
    </row>
    <row r="14537" spans="7:7" ht="10.5" customHeight="1" x14ac:dyDescent="0.2">
      <c r="G14537" s="889"/>
    </row>
    <row r="14538" spans="7:7" ht="10.5" customHeight="1" x14ac:dyDescent="0.2">
      <c r="G14538" s="889"/>
    </row>
    <row r="14539" spans="7:7" ht="10.5" customHeight="1" x14ac:dyDescent="0.2">
      <c r="G14539" s="889"/>
    </row>
    <row r="14540" spans="7:7" ht="10.5" customHeight="1" x14ac:dyDescent="0.2">
      <c r="G14540" s="889"/>
    </row>
    <row r="14541" spans="7:7" ht="10.5" customHeight="1" x14ac:dyDescent="0.2">
      <c r="G14541" s="889"/>
    </row>
    <row r="14542" spans="7:7" ht="10.5" customHeight="1" x14ac:dyDescent="0.2">
      <c r="G14542" s="889"/>
    </row>
    <row r="14543" spans="7:7" ht="10.5" customHeight="1" x14ac:dyDescent="0.2">
      <c r="G14543" s="889"/>
    </row>
    <row r="14544" spans="7:7" ht="10.5" customHeight="1" x14ac:dyDescent="0.2">
      <c r="G14544" s="889"/>
    </row>
    <row r="14545" spans="7:7" ht="10.5" customHeight="1" x14ac:dyDescent="0.2">
      <c r="G14545" s="889"/>
    </row>
    <row r="14546" spans="7:7" ht="10.5" customHeight="1" x14ac:dyDescent="0.2">
      <c r="G14546" s="889"/>
    </row>
    <row r="14547" spans="7:7" ht="10.5" customHeight="1" x14ac:dyDescent="0.2">
      <c r="G14547" s="889"/>
    </row>
    <row r="14548" spans="7:7" ht="10.5" customHeight="1" x14ac:dyDescent="0.2">
      <c r="G14548" s="889"/>
    </row>
    <row r="14549" spans="7:7" ht="10.5" customHeight="1" x14ac:dyDescent="0.2">
      <c r="G14549" s="889"/>
    </row>
    <row r="14550" spans="7:7" ht="10.5" customHeight="1" x14ac:dyDescent="0.2">
      <c r="G14550" s="889"/>
    </row>
    <row r="14551" spans="7:7" ht="10.5" customHeight="1" x14ac:dyDescent="0.2">
      <c r="G14551" s="889"/>
    </row>
    <row r="14552" spans="7:7" ht="10.5" customHeight="1" x14ac:dyDescent="0.2">
      <c r="G14552" s="889"/>
    </row>
    <row r="14553" spans="7:7" ht="10.5" customHeight="1" x14ac:dyDescent="0.2">
      <c r="G14553" s="889"/>
    </row>
    <row r="14554" spans="7:7" ht="10.5" customHeight="1" x14ac:dyDescent="0.2">
      <c r="G14554" s="889"/>
    </row>
    <row r="14555" spans="7:7" ht="10.5" customHeight="1" x14ac:dyDescent="0.2">
      <c r="G14555" s="889"/>
    </row>
    <row r="14556" spans="7:7" ht="10.5" customHeight="1" x14ac:dyDescent="0.2">
      <c r="G14556" s="889"/>
    </row>
    <row r="14557" spans="7:7" ht="10.5" customHeight="1" x14ac:dyDescent="0.2">
      <c r="G14557" s="889"/>
    </row>
    <row r="14558" spans="7:7" ht="10.5" customHeight="1" x14ac:dyDescent="0.2">
      <c r="G14558" s="889"/>
    </row>
    <row r="14559" spans="7:7" ht="10.5" customHeight="1" x14ac:dyDescent="0.2">
      <c r="G14559" s="889"/>
    </row>
    <row r="14560" spans="7:7" ht="10.5" customHeight="1" x14ac:dyDescent="0.2">
      <c r="G14560" s="889"/>
    </row>
    <row r="14561" spans="7:7" ht="10.5" customHeight="1" x14ac:dyDescent="0.2">
      <c r="G14561" s="889"/>
    </row>
    <row r="14562" spans="7:7" ht="10.5" customHeight="1" x14ac:dyDescent="0.2">
      <c r="G14562" s="889"/>
    </row>
    <row r="14563" spans="7:7" ht="10.5" customHeight="1" x14ac:dyDescent="0.2">
      <c r="G14563" s="889"/>
    </row>
    <row r="14564" spans="7:7" ht="10.5" customHeight="1" x14ac:dyDescent="0.2">
      <c r="G14564" s="889"/>
    </row>
    <row r="14565" spans="7:7" ht="10.5" customHeight="1" x14ac:dyDescent="0.2">
      <c r="G14565" s="889"/>
    </row>
    <row r="14566" spans="7:7" ht="10.5" customHeight="1" x14ac:dyDescent="0.2">
      <c r="G14566" s="889"/>
    </row>
    <row r="14567" spans="7:7" ht="10.5" customHeight="1" x14ac:dyDescent="0.2">
      <c r="G14567" s="889"/>
    </row>
    <row r="14568" spans="7:7" ht="10.5" customHeight="1" x14ac:dyDescent="0.2">
      <c r="G14568" s="889"/>
    </row>
    <row r="14569" spans="7:7" ht="10.5" customHeight="1" x14ac:dyDescent="0.2">
      <c r="G14569" s="889"/>
    </row>
    <row r="14570" spans="7:7" ht="10.5" customHeight="1" x14ac:dyDescent="0.2">
      <c r="G14570" s="889"/>
    </row>
    <row r="14571" spans="7:7" ht="10.5" customHeight="1" x14ac:dyDescent="0.2">
      <c r="G14571" s="889"/>
    </row>
    <row r="14572" spans="7:7" ht="10.5" customHeight="1" x14ac:dyDescent="0.2">
      <c r="G14572" s="889"/>
    </row>
    <row r="14573" spans="7:7" ht="10.5" customHeight="1" x14ac:dyDescent="0.2">
      <c r="G14573" s="889"/>
    </row>
    <row r="14574" spans="7:7" ht="10.5" customHeight="1" x14ac:dyDescent="0.2">
      <c r="G14574" s="889"/>
    </row>
    <row r="14575" spans="7:7" ht="10.5" customHeight="1" x14ac:dyDescent="0.2">
      <c r="G14575" s="889"/>
    </row>
    <row r="14576" spans="7:7" ht="10.5" customHeight="1" x14ac:dyDescent="0.2">
      <c r="G14576" s="889"/>
    </row>
    <row r="14577" spans="7:7" ht="10.5" customHeight="1" x14ac:dyDescent="0.2">
      <c r="G14577" s="889"/>
    </row>
    <row r="14578" spans="7:7" ht="10.5" customHeight="1" x14ac:dyDescent="0.2">
      <c r="G14578" s="889"/>
    </row>
    <row r="14579" spans="7:7" ht="10.5" customHeight="1" x14ac:dyDescent="0.2">
      <c r="G14579" s="889"/>
    </row>
    <row r="14580" spans="7:7" ht="10.5" customHeight="1" x14ac:dyDescent="0.2">
      <c r="G14580" s="889"/>
    </row>
    <row r="14581" spans="7:7" ht="10.5" customHeight="1" x14ac:dyDescent="0.2">
      <c r="G14581" s="889"/>
    </row>
    <row r="14582" spans="7:7" ht="10.5" customHeight="1" x14ac:dyDescent="0.2">
      <c r="G14582" s="889"/>
    </row>
    <row r="14583" spans="7:7" ht="10.5" customHeight="1" x14ac:dyDescent="0.2">
      <c r="G14583" s="889"/>
    </row>
    <row r="14584" spans="7:7" ht="10.5" customHeight="1" x14ac:dyDescent="0.2">
      <c r="G14584" s="889"/>
    </row>
    <row r="14585" spans="7:7" ht="10.5" customHeight="1" x14ac:dyDescent="0.2">
      <c r="G14585" s="889"/>
    </row>
    <row r="14586" spans="7:7" ht="10.5" customHeight="1" x14ac:dyDescent="0.2">
      <c r="G14586" s="889"/>
    </row>
    <row r="14587" spans="7:7" ht="10.5" customHeight="1" x14ac:dyDescent="0.2">
      <c r="G14587" s="889"/>
    </row>
    <row r="14588" spans="7:7" ht="10.5" customHeight="1" x14ac:dyDescent="0.2">
      <c r="G14588" s="889"/>
    </row>
    <row r="14589" spans="7:7" ht="10.5" customHeight="1" x14ac:dyDescent="0.2">
      <c r="G14589" s="889"/>
    </row>
    <row r="14590" spans="7:7" ht="10.5" customHeight="1" x14ac:dyDescent="0.2">
      <c r="G14590" s="889"/>
    </row>
    <row r="14591" spans="7:7" ht="10.5" customHeight="1" x14ac:dyDescent="0.2">
      <c r="G14591" s="889"/>
    </row>
    <row r="14592" spans="7:7" ht="10.5" customHeight="1" x14ac:dyDescent="0.2">
      <c r="G14592" s="889"/>
    </row>
    <row r="14593" spans="7:7" ht="10.5" customHeight="1" x14ac:dyDescent="0.2">
      <c r="G14593" s="889"/>
    </row>
    <row r="14594" spans="7:7" ht="10.5" customHeight="1" x14ac:dyDescent="0.2">
      <c r="G14594" s="889"/>
    </row>
    <row r="14595" spans="7:7" ht="10.5" customHeight="1" x14ac:dyDescent="0.2">
      <c r="G14595" s="889"/>
    </row>
    <row r="14596" spans="7:7" ht="10.5" customHeight="1" x14ac:dyDescent="0.2">
      <c r="G14596" s="889"/>
    </row>
    <row r="14597" spans="7:7" ht="10.5" customHeight="1" x14ac:dyDescent="0.2">
      <c r="G14597" s="889"/>
    </row>
    <row r="14598" spans="7:7" ht="10.5" customHeight="1" x14ac:dyDescent="0.2">
      <c r="G14598" s="889"/>
    </row>
    <row r="14599" spans="7:7" ht="10.5" customHeight="1" x14ac:dyDescent="0.2">
      <c r="G14599" s="889"/>
    </row>
    <row r="14600" spans="7:7" ht="10.5" customHeight="1" x14ac:dyDescent="0.2">
      <c r="G14600" s="889"/>
    </row>
    <row r="14601" spans="7:7" ht="10.5" customHeight="1" x14ac:dyDescent="0.2">
      <c r="G14601" s="889"/>
    </row>
    <row r="14602" spans="7:7" ht="10.5" customHeight="1" x14ac:dyDescent="0.2">
      <c r="G14602" s="889"/>
    </row>
    <row r="14603" spans="7:7" ht="10.5" customHeight="1" x14ac:dyDescent="0.2">
      <c r="G14603" s="889"/>
    </row>
    <row r="14604" spans="7:7" ht="10.5" customHeight="1" x14ac:dyDescent="0.2">
      <c r="G14604" s="889"/>
    </row>
    <row r="14605" spans="7:7" ht="10.5" customHeight="1" x14ac:dyDescent="0.2">
      <c r="G14605" s="889"/>
    </row>
    <row r="14606" spans="7:7" ht="10.5" customHeight="1" x14ac:dyDescent="0.2">
      <c r="G14606" s="889"/>
    </row>
    <row r="14607" spans="7:7" ht="10.5" customHeight="1" x14ac:dyDescent="0.2">
      <c r="G14607" s="889"/>
    </row>
    <row r="14608" spans="7:7" ht="10.5" customHeight="1" x14ac:dyDescent="0.2">
      <c r="G14608" s="889"/>
    </row>
    <row r="14609" spans="7:7" ht="10.5" customHeight="1" x14ac:dyDescent="0.2">
      <c r="G14609" s="889"/>
    </row>
    <row r="14610" spans="7:7" ht="10.5" customHeight="1" x14ac:dyDescent="0.2">
      <c r="G14610" s="889"/>
    </row>
    <row r="14611" spans="7:7" ht="10.5" customHeight="1" x14ac:dyDescent="0.2">
      <c r="G14611" s="889"/>
    </row>
    <row r="14612" spans="7:7" ht="10.5" customHeight="1" x14ac:dyDescent="0.2">
      <c r="G14612" s="889"/>
    </row>
    <row r="14613" spans="7:7" ht="10.5" customHeight="1" x14ac:dyDescent="0.2">
      <c r="G14613" s="889"/>
    </row>
    <row r="14614" spans="7:7" ht="10.5" customHeight="1" x14ac:dyDescent="0.2">
      <c r="G14614" s="889"/>
    </row>
    <row r="14615" spans="7:7" ht="10.5" customHeight="1" x14ac:dyDescent="0.2">
      <c r="G14615" s="889"/>
    </row>
    <row r="14616" spans="7:7" ht="10.5" customHeight="1" x14ac:dyDescent="0.2">
      <c r="G14616" s="889"/>
    </row>
    <row r="14617" spans="7:7" ht="10.5" customHeight="1" x14ac:dyDescent="0.2">
      <c r="G14617" s="889"/>
    </row>
    <row r="14618" spans="7:7" ht="10.5" customHeight="1" x14ac:dyDescent="0.2">
      <c r="G14618" s="889"/>
    </row>
    <row r="14619" spans="7:7" ht="10.5" customHeight="1" x14ac:dyDescent="0.2">
      <c r="G14619" s="889"/>
    </row>
    <row r="14620" spans="7:7" ht="10.5" customHeight="1" x14ac:dyDescent="0.2">
      <c r="G14620" s="889"/>
    </row>
    <row r="14621" spans="7:7" ht="10.5" customHeight="1" x14ac:dyDescent="0.2">
      <c r="G14621" s="889"/>
    </row>
    <row r="14622" spans="7:7" ht="10.5" customHeight="1" x14ac:dyDescent="0.2">
      <c r="G14622" s="889"/>
    </row>
    <row r="14623" spans="7:7" ht="10.5" customHeight="1" x14ac:dyDescent="0.2">
      <c r="G14623" s="889"/>
    </row>
    <row r="14624" spans="7:7" ht="10.5" customHeight="1" x14ac:dyDescent="0.2">
      <c r="G14624" s="889"/>
    </row>
    <row r="14625" spans="7:7" ht="10.5" customHeight="1" x14ac:dyDescent="0.2">
      <c r="G14625" s="889"/>
    </row>
    <row r="14626" spans="7:7" ht="10.5" customHeight="1" x14ac:dyDescent="0.2">
      <c r="G14626" s="889"/>
    </row>
    <row r="14627" spans="7:7" ht="10.5" customHeight="1" x14ac:dyDescent="0.2">
      <c r="G14627" s="889"/>
    </row>
    <row r="14628" spans="7:7" ht="10.5" customHeight="1" x14ac:dyDescent="0.2">
      <c r="G14628" s="889"/>
    </row>
    <row r="14629" spans="7:7" ht="10.5" customHeight="1" x14ac:dyDescent="0.2">
      <c r="G14629" s="889"/>
    </row>
    <row r="14630" spans="7:7" ht="10.5" customHeight="1" x14ac:dyDescent="0.2">
      <c r="G14630" s="889"/>
    </row>
    <row r="14631" spans="7:7" ht="10.5" customHeight="1" x14ac:dyDescent="0.2">
      <c r="G14631" s="889"/>
    </row>
    <row r="14632" spans="7:7" ht="10.5" customHeight="1" x14ac:dyDescent="0.2">
      <c r="G14632" s="889"/>
    </row>
    <row r="14633" spans="7:7" ht="10.5" customHeight="1" x14ac:dyDescent="0.2">
      <c r="G14633" s="889"/>
    </row>
    <row r="14634" spans="7:7" ht="10.5" customHeight="1" x14ac:dyDescent="0.2">
      <c r="G14634" s="889"/>
    </row>
    <row r="14635" spans="7:7" ht="10.5" customHeight="1" x14ac:dyDescent="0.2">
      <c r="G14635" s="889"/>
    </row>
    <row r="14636" spans="7:7" ht="10.5" customHeight="1" x14ac:dyDescent="0.2">
      <c r="G14636" s="889"/>
    </row>
    <row r="14637" spans="7:7" ht="10.5" customHeight="1" x14ac:dyDescent="0.2">
      <c r="G14637" s="889"/>
    </row>
    <row r="14638" spans="7:7" ht="10.5" customHeight="1" x14ac:dyDescent="0.2">
      <c r="G14638" s="889"/>
    </row>
    <row r="14639" spans="7:7" ht="10.5" customHeight="1" x14ac:dyDescent="0.2">
      <c r="G14639" s="889"/>
    </row>
    <row r="14640" spans="7:7" ht="10.5" customHeight="1" x14ac:dyDescent="0.2">
      <c r="G14640" s="889"/>
    </row>
    <row r="14641" spans="7:7" ht="10.5" customHeight="1" x14ac:dyDescent="0.2">
      <c r="G14641" s="889"/>
    </row>
    <row r="14642" spans="7:7" ht="10.5" customHeight="1" x14ac:dyDescent="0.2">
      <c r="G14642" s="889"/>
    </row>
    <row r="14643" spans="7:7" ht="10.5" customHeight="1" x14ac:dyDescent="0.2">
      <c r="G14643" s="889"/>
    </row>
    <row r="14644" spans="7:7" ht="10.5" customHeight="1" x14ac:dyDescent="0.2">
      <c r="G14644" s="889"/>
    </row>
    <row r="14645" spans="7:7" ht="10.5" customHeight="1" x14ac:dyDescent="0.2">
      <c r="G14645" s="889"/>
    </row>
    <row r="14646" spans="7:7" ht="10.5" customHeight="1" x14ac:dyDescent="0.2">
      <c r="G14646" s="889"/>
    </row>
    <row r="14647" spans="7:7" ht="10.5" customHeight="1" x14ac:dyDescent="0.2">
      <c r="G14647" s="889"/>
    </row>
    <row r="14648" spans="7:7" ht="10.5" customHeight="1" x14ac:dyDescent="0.2">
      <c r="G14648" s="889"/>
    </row>
    <row r="14649" spans="7:7" ht="10.5" customHeight="1" x14ac:dyDescent="0.2">
      <c r="G14649" s="889"/>
    </row>
    <row r="14650" spans="7:7" ht="10.5" customHeight="1" x14ac:dyDescent="0.2">
      <c r="G14650" s="889"/>
    </row>
    <row r="14651" spans="7:7" ht="10.5" customHeight="1" x14ac:dyDescent="0.2">
      <c r="G14651" s="889"/>
    </row>
    <row r="14652" spans="7:7" ht="10.5" customHeight="1" x14ac:dyDescent="0.2">
      <c r="G14652" s="889"/>
    </row>
    <row r="14653" spans="7:7" ht="10.5" customHeight="1" x14ac:dyDescent="0.2">
      <c r="G14653" s="889"/>
    </row>
    <row r="14654" spans="7:7" ht="10.5" customHeight="1" x14ac:dyDescent="0.2">
      <c r="G14654" s="889"/>
    </row>
    <row r="14655" spans="7:7" ht="10.5" customHeight="1" x14ac:dyDescent="0.2">
      <c r="G14655" s="889"/>
    </row>
    <row r="14656" spans="7:7" ht="10.5" customHeight="1" x14ac:dyDescent="0.2">
      <c r="G14656" s="889"/>
    </row>
    <row r="14657" spans="7:7" ht="10.5" customHeight="1" x14ac:dyDescent="0.2">
      <c r="G14657" s="889"/>
    </row>
    <row r="14658" spans="7:7" ht="10.5" customHeight="1" x14ac:dyDescent="0.2">
      <c r="G14658" s="889"/>
    </row>
    <row r="14659" spans="7:7" ht="10.5" customHeight="1" x14ac:dyDescent="0.2">
      <c r="G14659" s="889"/>
    </row>
    <row r="14660" spans="7:7" ht="10.5" customHeight="1" x14ac:dyDescent="0.2">
      <c r="G14660" s="889"/>
    </row>
    <row r="14661" spans="7:7" ht="10.5" customHeight="1" x14ac:dyDescent="0.2">
      <c r="G14661" s="889"/>
    </row>
    <row r="14662" spans="7:7" ht="10.5" customHeight="1" x14ac:dyDescent="0.2">
      <c r="G14662" s="889"/>
    </row>
    <row r="14663" spans="7:7" ht="10.5" customHeight="1" x14ac:dyDescent="0.2">
      <c r="G14663" s="889"/>
    </row>
    <row r="14664" spans="7:7" ht="10.5" customHeight="1" x14ac:dyDescent="0.2">
      <c r="G14664" s="889"/>
    </row>
    <row r="14665" spans="7:7" ht="10.5" customHeight="1" x14ac:dyDescent="0.2">
      <c r="G14665" s="889"/>
    </row>
    <row r="14666" spans="7:7" ht="10.5" customHeight="1" x14ac:dyDescent="0.2">
      <c r="G14666" s="889"/>
    </row>
    <row r="14667" spans="7:7" ht="10.5" customHeight="1" x14ac:dyDescent="0.2">
      <c r="G14667" s="889"/>
    </row>
    <row r="14668" spans="7:7" ht="10.5" customHeight="1" x14ac:dyDescent="0.2">
      <c r="G14668" s="889"/>
    </row>
    <row r="14669" spans="7:7" ht="10.5" customHeight="1" x14ac:dyDescent="0.2">
      <c r="G14669" s="889"/>
    </row>
    <row r="14670" spans="7:7" ht="10.5" customHeight="1" x14ac:dyDescent="0.2">
      <c r="G14670" s="889"/>
    </row>
    <row r="14671" spans="7:7" ht="10.5" customHeight="1" x14ac:dyDescent="0.2">
      <c r="G14671" s="889"/>
    </row>
    <row r="14672" spans="7:7" ht="10.5" customHeight="1" x14ac:dyDescent="0.2">
      <c r="G14672" s="889"/>
    </row>
    <row r="14673" spans="7:7" ht="10.5" customHeight="1" x14ac:dyDescent="0.2">
      <c r="G14673" s="889"/>
    </row>
    <row r="14674" spans="7:7" ht="10.5" customHeight="1" x14ac:dyDescent="0.2">
      <c r="G14674" s="889"/>
    </row>
    <row r="14675" spans="7:7" ht="10.5" customHeight="1" x14ac:dyDescent="0.2">
      <c r="G14675" s="889"/>
    </row>
    <row r="14676" spans="7:7" ht="10.5" customHeight="1" x14ac:dyDescent="0.2">
      <c r="G14676" s="889"/>
    </row>
    <row r="14677" spans="7:7" ht="10.5" customHeight="1" x14ac:dyDescent="0.2">
      <c r="G14677" s="889"/>
    </row>
    <row r="14678" spans="7:7" ht="10.5" customHeight="1" x14ac:dyDescent="0.2">
      <c r="G14678" s="889"/>
    </row>
    <row r="14679" spans="7:7" ht="10.5" customHeight="1" x14ac:dyDescent="0.2">
      <c r="G14679" s="889"/>
    </row>
    <row r="14680" spans="7:7" ht="10.5" customHeight="1" x14ac:dyDescent="0.2">
      <c r="G14680" s="889"/>
    </row>
    <row r="14681" spans="7:7" ht="10.5" customHeight="1" x14ac:dyDescent="0.2">
      <c r="G14681" s="889"/>
    </row>
    <row r="14682" spans="7:7" ht="10.5" customHeight="1" x14ac:dyDescent="0.2">
      <c r="G14682" s="889"/>
    </row>
    <row r="14683" spans="7:7" ht="10.5" customHeight="1" x14ac:dyDescent="0.2">
      <c r="G14683" s="889"/>
    </row>
    <row r="14684" spans="7:7" ht="10.5" customHeight="1" x14ac:dyDescent="0.2">
      <c r="G14684" s="889"/>
    </row>
    <row r="14685" spans="7:7" ht="10.5" customHeight="1" x14ac:dyDescent="0.2">
      <c r="G14685" s="889"/>
    </row>
    <row r="14686" spans="7:7" ht="10.5" customHeight="1" x14ac:dyDescent="0.2">
      <c r="G14686" s="889"/>
    </row>
    <row r="14687" spans="7:7" ht="10.5" customHeight="1" x14ac:dyDescent="0.2">
      <c r="G14687" s="889"/>
    </row>
    <row r="14688" spans="7:7" ht="10.5" customHeight="1" x14ac:dyDescent="0.2">
      <c r="G14688" s="889"/>
    </row>
    <row r="14689" spans="7:7" ht="10.5" customHeight="1" x14ac:dyDescent="0.2">
      <c r="G14689" s="889"/>
    </row>
    <row r="14690" spans="7:7" ht="10.5" customHeight="1" x14ac:dyDescent="0.2">
      <c r="G14690" s="889"/>
    </row>
    <row r="14691" spans="7:7" ht="10.5" customHeight="1" x14ac:dyDescent="0.2">
      <c r="G14691" s="889"/>
    </row>
    <row r="14692" spans="7:7" ht="10.5" customHeight="1" x14ac:dyDescent="0.2">
      <c r="G14692" s="889"/>
    </row>
    <row r="14693" spans="7:7" ht="10.5" customHeight="1" x14ac:dyDescent="0.2">
      <c r="G14693" s="889"/>
    </row>
    <row r="14694" spans="7:7" ht="10.5" customHeight="1" x14ac:dyDescent="0.2">
      <c r="G14694" s="889"/>
    </row>
    <row r="14695" spans="7:7" ht="10.5" customHeight="1" x14ac:dyDescent="0.2">
      <c r="G14695" s="889"/>
    </row>
    <row r="14696" spans="7:7" ht="10.5" customHeight="1" x14ac:dyDescent="0.2">
      <c r="G14696" s="889"/>
    </row>
    <row r="14697" spans="7:7" ht="10.5" customHeight="1" x14ac:dyDescent="0.2">
      <c r="G14697" s="889"/>
    </row>
    <row r="14698" spans="7:7" ht="10.5" customHeight="1" x14ac:dyDescent="0.2">
      <c r="G14698" s="889"/>
    </row>
    <row r="14699" spans="7:7" ht="10.5" customHeight="1" x14ac:dyDescent="0.2">
      <c r="G14699" s="889"/>
    </row>
    <row r="14700" spans="7:7" ht="10.5" customHeight="1" x14ac:dyDescent="0.2">
      <c r="G14700" s="889"/>
    </row>
    <row r="14701" spans="7:7" ht="10.5" customHeight="1" x14ac:dyDescent="0.2">
      <c r="G14701" s="889"/>
    </row>
    <row r="14702" spans="7:7" ht="10.5" customHeight="1" x14ac:dyDescent="0.2">
      <c r="G14702" s="889"/>
    </row>
    <row r="14703" spans="7:7" ht="10.5" customHeight="1" x14ac:dyDescent="0.2">
      <c r="G14703" s="889"/>
    </row>
    <row r="14704" spans="7:7" ht="10.5" customHeight="1" x14ac:dyDescent="0.2">
      <c r="G14704" s="889"/>
    </row>
    <row r="14705" spans="7:7" ht="10.5" customHeight="1" x14ac:dyDescent="0.2">
      <c r="G14705" s="889"/>
    </row>
    <row r="14706" spans="7:7" ht="10.5" customHeight="1" x14ac:dyDescent="0.2">
      <c r="G14706" s="889"/>
    </row>
    <row r="14707" spans="7:7" ht="10.5" customHeight="1" x14ac:dyDescent="0.2">
      <c r="G14707" s="889"/>
    </row>
    <row r="14708" spans="7:7" ht="10.5" customHeight="1" x14ac:dyDescent="0.2">
      <c r="G14708" s="889"/>
    </row>
    <row r="14709" spans="7:7" ht="10.5" customHeight="1" x14ac:dyDescent="0.2">
      <c r="G14709" s="889"/>
    </row>
    <row r="14710" spans="7:7" ht="10.5" customHeight="1" x14ac:dyDescent="0.2">
      <c r="G14710" s="889"/>
    </row>
    <row r="14711" spans="7:7" ht="10.5" customHeight="1" x14ac:dyDescent="0.2">
      <c r="G14711" s="889"/>
    </row>
    <row r="14712" spans="7:7" ht="10.5" customHeight="1" x14ac:dyDescent="0.2">
      <c r="G14712" s="889"/>
    </row>
    <row r="14713" spans="7:7" ht="10.5" customHeight="1" x14ac:dyDescent="0.2">
      <c r="G14713" s="889"/>
    </row>
    <row r="14714" spans="7:7" ht="10.5" customHeight="1" x14ac:dyDescent="0.2">
      <c r="G14714" s="889"/>
    </row>
    <row r="14715" spans="7:7" ht="10.5" customHeight="1" x14ac:dyDescent="0.2">
      <c r="G14715" s="889"/>
    </row>
    <row r="14716" spans="7:7" ht="10.5" customHeight="1" x14ac:dyDescent="0.2">
      <c r="G14716" s="889"/>
    </row>
    <row r="14717" spans="7:7" ht="10.5" customHeight="1" x14ac:dyDescent="0.2">
      <c r="G14717" s="889"/>
    </row>
    <row r="14718" spans="7:7" ht="10.5" customHeight="1" x14ac:dyDescent="0.2">
      <c r="G14718" s="889"/>
    </row>
    <row r="14719" spans="7:7" ht="10.5" customHeight="1" x14ac:dyDescent="0.2">
      <c r="G14719" s="889"/>
    </row>
    <row r="14720" spans="7:7" ht="10.5" customHeight="1" x14ac:dyDescent="0.2">
      <c r="G14720" s="889"/>
    </row>
    <row r="14721" spans="7:7" ht="10.5" customHeight="1" x14ac:dyDescent="0.2">
      <c r="G14721" s="889"/>
    </row>
    <row r="14722" spans="7:7" ht="10.5" customHeight="1" x14ac:dyDescent="0.2">
      <c r="G14722" s="889"/>
    </row>
    <row r="14723" spans="7:7" ht="10.5" customHeight="1" x14ac:dyDescent="0.2">
      <c r="G14723" s="889"/>
    </row>
    <row r="14724" spans="7:7" ht="10.5" customHeight="1" x14ac:dyDescent="0.2">
      <c r="G14724" s="889"/>
    </row>
    <row r="14725" spans="7:7" ht="10.5" customHeight="1" x14ac:dyDescent="0.2">
      <c r="G14725" s="889"/>
    </row>
    <row r="14726" spans="7:7" ht="10.5" customHeight="1" x14ac:dyDescent="0.2">
      <c r="G14726" s="889"/>
    </row>
    <row r="14727" spans="7:7" ht="10.5" customHeight="1" x14ac:dyDescent="0.2">
      <c r="G14727" s="889"/>
    </row>
    <row r="14728" spans="7:7" ht="10.5" customHeight="1" x14ac:dyDescent="0.2">
      <c r="G14728" s="889"/>
    </row>
    <row r="14729" spans="7:7" ht="10.5" customHeight="1" x14ac:dyDescent="0.2">
      <c r="G14729" s="889"/>
    </row>
    <row r="14730" spans="7:7" ht="10.5" customHeight="1" x14ac:dyDescent="0.2">
      <c r="G14730" s="889"/>
    </row>
    <row r="14731" spans="7:7" ht="10.5" customHeight="1" x14ac:dyDescent="0.2">
      <c r="G14731" s="889"/>
    </row>
    <row r="14732" spans="7:7" ht="10.5" customHeight="1" x14ac:dyDescent="0.2">
      <c r="G14732" s="889"/>
    </row>
    <row r="14733" spans="7:7" ht="10.5" customHeight="1" x14ac:dyDescent="0.2">
      <c r="G14733" s="889"/>
    </row>
    <row r="14734" spans="7:7" ht="10.5" customHeight="1" x14ac:dyDescent="0.2">
      <c r="G14734" s="889"/>
    </row>
    <row r="14735" spans="7:7" ht="10.5" customHeight="1" x14ac:dyDescent="0.2">
      <c r="G14735" s="889"/>
    </row>
    <row r="14736" spans="7:7" ht="10.5" customHeight="1" x14ac:dyDescent="0.2">
      <c r="G14736" s="889"/>
    </row>
    <row r="14737" spans="7:7" ht="10.5" customHeight="1" x14ac:dyDescent="0.2">
      <c r="G14737" s="889"/>
    </row>
    <row r="14738" spans="7:7" ht="10.5" customHeight="1" x14ac:dyDescent="0.2">
      <c r="G14738" s="889"/>
    </row>
    <row r="14739" spans="7:7" ht="10.5" customHeight="1" x14ac:dyDescent="0.2">
      <c r="G14739" s="889"/>
    </row>
    <row r="14740" spans="7:7" ht="10.5" customHeight="1" x14ac:dyDescent="0.2">
      <c r="G14740" s="889"/>
    </row>
    <row r="14741" spans="7:7" ht="10.5" customHeight="1" x14ac:dyDescent="0.2">
      <c r="G14741" s="889"/>
    </row>
    <row r="14742" spans="7:7" ht="10.5" customHeight="1" x14ac:dyDescent="0.2">
      <c r="G14742" s="889"/>
    </row>
    <row r="14743" spans="7:7" ht="10.5" customHeight="1" x14ac:dyDescent="0.2">
      <c r="G14743" s="889"/>
    </row>
    <row r="14744" spans="7:7" ht="10.5" customHeight="1" x14ac:dyDescent="0.2">
      <c r="G14744" s="889"/>
    </row>
    <row r="14745" spans="7:7" ht="10.5" customHeight="1" x14ac:dyDescent="0.2">
      <c r="G14745" s="889"/>
    </row>
    <row r="14746" spans="7:7" ht="10.5" customHeight="1" x14ac:dyDescent="0.2">
      <c r="G14746" s="889"/>
    </row>
    <row r="14747" spans="7:7" ht="10.5" customHeight="1" x14ac:dyDescent="0.2">
      <c r="G14747" s="889"/>
    </row>
    <row r="14748" spans="7:7" ht="10.5" customHeight="1" x14ac:dyDescent="0.2">
      <c r="G14748" s="889"/>
    </row>
    <row r="14749" spans="7:7" ht="10.5" customHeight="1" x14ac:dyDescent="0.2">
      <c r="G14749" s="889"/>
    </row>
    <row r="14750" spans="7:7" ht="10.5" customHeight="1" x14ac:dyDescent="0.2">
      <c r="G14750" s="889"/>
    </row>
    <row r="14751" spans="7:7" ht="10.5" customHeight="1" x14ac:dyDescent="0.2">
      <c r="G14751" s="889"/>
    </row>
    <row r="14752" spans="7:7" ht="10.5" customHeight="1" x14ac:dyDescent="0.2">
      <c r="G14752" s="889"/>
    </row>
    <row r="14753" spans="7:7" ht="10.5" customHeight="1" x14ac:dyDescent="0.2">
      <c r="G14753" s="889"/>
    </row>
    <row r="14754" spans="7:7" ht="10.5" customHeight="1" x14ac:dyDescent="0.2">
      <c r="G14754" s="889"/>
    </row>
    <row r="14755" spans="7:7" ht="10.5" customHeight="1" x14ac:dyDescent="0.2">
      <c r="G14755" s="889"/>
    </row>
    <row r="14756" spans="7:7" ht="10.5" customHeight="1" x14ac:dyDescent="0.2">
      <c r="G14756" s="889"/>
    </row>
    <row r="14757" spans="7:7" ht="10.5" customHeight="1" x14ac:dyDescent="0.2">
      <c r="G14757" s="889"/>
    </row>
    <row r="14758" spans="7:7" ht="10.5" customHeight="1" x14ac:dyDescent="0.2">
      <c r="G14758" s="889"/>
    </row>
    <row r="14759" spans="7:7" ht="10.5" customHeight="1" x14ac:dyDescent="0.2">
      <c r="G14759" s="889"/>
    </row>
    <row r="14760" spans="7:7" ht="10.5" customHeight="1" x14ac:dyDescent="0.2">
      <c r="G14760" s="889"/>
    </row>
    <row r="14761" spans="7:7" ht="10.5" customHeight="1" x14ac:dyDescent="0.2">
      <c r="G14761" s="889"/>
    </row>
    <row r="14762" spans="7:7" ht="10.5" customHeight="1" x14ac:dyDescent="0.2">
      <c r="G14762" s="889"/>
    </row>
    <row r="14763" spans="7:7" ht="10.5" customHeight="1" x14ac:dyDescent="0.2">
      <c r="G14763" s="889"/>
    </row>
    <row r="14764" spans="7:7" ht="10.5" customHeight="1" x14ac:dyDescent="0.2">
      <c r="G14764" s="889"/>
    </row>
    <row r="14765" spans="7:7" ht="10.5" customHeight="1" x14ac:dyDescent="0.2">
      <c r="G14765" s="889"/>
    </row>
    <row r="14766" spans="7:7" ht="10.5" customHeight="1" x14ac:dyDescent="0.2">
      <c r="G14766" s="889"/>
    </row>
    <row r="14767" spans="7:7" ht="10.5" customHeight="1" x14ac:dyDescent="0.2">
      <c r="G14767" s="889"/>
    </row>
    <row r="14768" spans="7:7" ht="10.5" customHeight="1" x14ac:dyDescent="0.2">
      <c r="G14768" s="889"/>
    </row>
    <row r="14769" spans="7:7" ht="10.5" customHeight="1" x14ac:dyDescent="0.2">
      <c r="G14769" s="889"/>
    </row>
    <row r="14770" spans="7:7" ht="10.5" customHeight="1" x14ac:dyDescent="0.2">
      <c r="G14770" s="889"/>
    </row>
    <row r="14771" spans="7:7" ht="10.5" customHeight="1" x14ac:dyDescent="0.2">
      <c r="G14771" s="889"/>
    </row>
    <row r="14772" spans="7:7" ht="10.5" customHeight="1" x14ac:dyDescent="0.2">
      <c r="G14772" s="889"/>
    </row>
    <row r="14773" spans="7:7" ht="10.5" customHeight="1" x14ac:dyDescent="0.2">
      <c r="G14773" s="889"/>
    </row>
    <row r="14774" spans="7:7" ht="10.5" customHeight="1" x14ac:dyDescent="0.2">
      <c r="G14774" s="889"/>
    </row>
    <row r="14775" spans="7:7" ht="10.5" customHeight="1" x14ac:dyDescent="0.2">
      <c r="G14775" s="889"/>
    </row>
    <row r="14776" spans="7:7" ht="10.5" customHeight="1" x14ac:dyDescent="0.2">
      <c r="G14776" s="889"/>
    </row>
    <row r="14777" spans="7:7" ht="10.5" customHeight="1" x14ac:dyDescent="0.2">
      <c r="G14777" s="889"/>
    </row>
    <row r="14778" spans="7:7" ht="10.5" customHeight="1" x14ac:dyDescent="0.2">
      <c r="G14778" s="889"/>
    </row>
    <row r="14779" spans="7:7" ht="10.5" customHeight="1" x14ac:dyDescent="0.2">
      <c r="G14779" s="889"/>
    </row>
    <row r="14780" spans="7:7" ht="10.5" customHeight="1" x14ac:dyDescent="0.2">
      <c r="G14780" s="889"/>
    </row>
    <row r="14781" spans="7:7" ht="10.5" customHeight="1" x14ac:dyDescent="0.2">
      <c r="G14781" s="889"/>
    </row>
    <row r="14782" spans="7:7" ht="10.5" customHeight="1" x14ac:dyDescent="0.2">
      <c r="G14782" s="889"/>
    </row>
    <row r="14783" spans="7:7" ht="10.5" customHeight="1" x14ac:dyDescent="0.2">
      <c r="G14783" s="889"/>
    </row>
    <row r="14784" spans="7:7" ht="10.5" customHeight="1" x14ac:dyDescent="0.2">
      <c r="G14784" s="889"/>
    </row>
    <row r="14785" spans="7:7" ht="10.5" customHeight="1" x14ac:dyDescent="0.2">
      <c r="G14785" s="889"/>
    </row>
    <row r="14786" spans="7:7" ht="10.5" customHeight="1" x14ac:dyDescent="0.2">
      <c r="G14786" s="889"/>
    </row>
    <row r="14787" spans="7:7" ht="10.5" customHeight="1" x14ac:dyDescent="0.2">
      <c r="G14787" s="889"/>
    </row>
    <row r="14788" spans="7:7" ht="10.5" customHeight="1" x14ac:dyDescent="0.2">
      <c r="G14788" s="889"/>
    </row>
    <row r="14789" spans="7:7" ht="10.5" customHeight="1" x14ac:dyDescent="0.2">
      <c r="G14789" s="889"/>
    </row>
    <row r="14790" spans="7:7" ht="10.5" customHeight="1" x14ac:dyDescent="0.2">
      <c r="G14790" s="889"/>
    </row>
    <row r="14791" spans="7:7" ht="10.5" customHeight="1" x14ac:dyDescent="0.2">
      <c r="G14791" s="889"/>
    </row>
    <row r="14792" spans="7:7" ht="10.5" customHeight="1" x14ac:dyDescent="0.2">
      <c r="G14792" s="889"/>
    </row>
    <row r="14793" spans="7:7" ht="10.5" customHeight="1" x14ac:dyDescent="0.2">
      <c r="G14793" s="889"/>
    </row>
    <row r="14794" spans="7:7" ht="10.5" customHeight="1" x14ac:dyDescent="0.2">
      <c r="G14794" s="889"/>
    </row>
    <row r="14795" spans="7:7" ht="10.5" customHeight="1" x14ac:dyDescent="0.2">
      <c r="G14795" s="889"/>
    </row>
    <row r="14796" spans="7:7" ht="10.5" customHeight="1" x14ac:dyDescent="0.2">
      <c r="G14796" s="889"/>
    </row>
    <row r="14797" spans="7:7" ht="10.5" customHeight="1" x14ac:dyDescent="0.2">
      <c r="G14797" s="889"/>
    </row>
    <row r="14798" spans="7:7" ht="10.5" customHeight="1" x14ac:dyDescent="0.2">
      <c r="G14798" s="889"/>
    </row>
    <row r="14799" spans="7:7" ht="10.5" customHeight="1" x14ac:dyDescent="0.2">
      <c r="G14799" s="889"/>
    </row>
    <row r="14800" spans="7:7" ht="10.5" customHeight="1" x14ac:dyDescent="0.2">
      <c r="G14800" s="889"/>
    </row>
    <row r="14801" spans="7:7" ht="10.5" customHeight="1" x14ac:dyDescent="0.2">
      <c r="G14801" s="889"/>
    </row>
    <row r="14802" spans="7:7" ht="10.5" customHeight="1" x14ac:dyDescent="0.2">
      <c r="G14802" s="889"/>
    </row>
    <row r="14803" spans="7:7" ht="10.5" customHeight="1" x14ac:dyDescent="0.2">
      <c r="G14803" s="889"/>
    </row>
    <row r="14804" spans="7:7" ht="10.5" customHeight="1" x14ac:dyDescent="0.2">
      <c r="G14804" s="889"/>
    </row>
    <row r="14805" spans="7:7" ht="10.5" customHeight="1" x14ac:dyDescent="0.2">
      <c r="G14805" s="889"/>
    </row>
    <row r="14806" spans="7:7" ht="10.5" customHeight="1" x14ac:dyDescent="0.2">
      <c r="G14806" s="889"/>
    </row>
    <row r="14807" spans="7:7" ht="10.5" customHeight="1" x14ac:dyDescent="0.2">
      <c r="G14807" s="889"/>
    </row>
    <row r="14808" spans="7:7" ht="10.5" customHeight="1" x14ac:dyDescent="0.2">
      <c r="G14808" s="889"/>
    </row>
    <row r="14809" spans="7:7" ht="10.5" customHeight="1" x14ac:dyDescent="0.2">
      <c r="G14809" s="889"/>
    </row>
    <row r="14810" spans="7:7" ht="10.5" customHeight="1" x14ac:dyDescent="0.2">
      <c r="G14810" s="889"/>
    </row>
    <row r="14811" spans="7:7" ht="10.5" customHeight="1" x14ac:dyDescent="0.2">
      <c r="G14811" s="889"/>
    </row>
    <row r="14812" spans="7:7" ht="10.5" customHeight="1" x14ac:dyDescent="0.2">
      <c r="G14812" s="889"/>
    </row>
    <row r="14813" spans="7:7" ht="10.5" customHeight="1" x14ac:dyDescent="0.2">
      <c r="G14813" s="889"/>
    </row>
    <row r="14814" spans="7:7" ht="10.5" customHeight="1" x14ac:dyDescent="0.2">
      <c r="G14814" s="889"/>
    </row>
    <row r="14815" spans="7:7" ht="10.5" customHeight="1" x14ac:dyDescent="0.2">
      <c r="G14815" s="889"/>
    </row>
    <row r="14816" spans="7:7" ht="10.5" customHeight="1" x14ac:dyDescent="0.2">
      <c r="G14816" s="889"/>
    </row>
    <row r="14817" spans="7:7" ht="10.5" customHeight="1" x14ac:dyDescent="0.2">
      <c r="G14817" s="889"/>
    </row>
    <row r="14818" spans="7:7" ht="10.5" customHeight="1" x14ac:dyDescent="0.2">
      <c r="G14818" s="889"/>
    </row>
    <row r="14819" spans="7:7" ht="10.5" customHeight="1" x14ac:dyDescent="0.2">
      <c r="G14819" s="889"/>
    </row>
    <row r="14820" spans="7:7" ht="10.5" customHeight="1" x14ac:dyDescent="0.2">
      <c r="G14820" s="889"/>
    </row>
    <row r="14821" spans="7:7" ht="10.5" customHeight="1" x14ac:dyDescent="0.2">
      <c r="G14821" s="889"/>
    </row>
    <row r="14822" spans="7:7" ht="10.5" customHeight="1" x14ac:dyDescent="0.2">
      <c r="G14822" s="889"/>
    </row>
    <row r="14823" spans="7:7" ht="10.5" customHeight="1" x14ac:dyDescent="0.2">
      <c r="G14823" s="889"/>
    </row>
    <row r="14824" spans="7:7" ht="10.5" customHeight="1" x14ac:dyDescent="0.2">
      <c r="G14824" s="889"/>
    </row>
    <row r="14825" spans="7:7" ht="10.5" customHeight="1" x14ac:dyDescent="0.2">
      <c r="G14825" s="889"/>
    </row>
    <row r="14826" spans="7:7" ht="10.5" customHeight="1" x14ac:dyDescent="0.2">
      <c r="G14826" s="889"/>
    </row>
    <row r="14827" spans="7:7" ht="10.5" customHeight="1" x14ac:dyDescent="0.2">
      <c r="G14827" s="889"/>
    </row>
    <row r="14828" spans="7:7" ht="10.5" customHeight="1" x14ac:dyDescent="0.2">
      <c r="G14828" s="889"/>
    </row>
    <row r="14829" spans="7:7" ht="10.5" customHeight="1" x14ac:dyDescent="0.2">
      <c r="G14829" s="889"/>
    </row>
    <row r="14830" spans="7:7" ht="10.5" customHeight="1" x14ac:dyDescent="0.2">
      <c r="G14830" s="889"/>
    </row>
    <row r="14831" spans="7:7" ht="10.5" customHeight="1" x14ac:dyDescent="0.2">
      <c r="G14831" s="889"/>
    </row>
    <row r="14832" spans="7:7" ht="10.5" customHeight="1" x14ac:dyDescent="0.2">
      <c r="G14832" s="889"/>
    </row>
    <row r="14833" spans="7:7" ht="10.5" customHeight="1" x14ac:dyDescent="0.2">
      <c r="G14833" s="889"/>
    </row>
    <row r="14834" spans="7:7" ht="10.5" customHeight="1" x14ac:dyDescent="0.2">
      <c r="G14834" s="889"/>
    </row>
    <row r="14835" spans="7:7" ht="10.5" customHeight="1" x14ac:dyDescent="0.2">
      <c r="G14835" s="889"/>
    </row>
    <row r="14836" spans="7:7" ht="10.5" customHeight="1" x14ac:dyDescent="0.2">
      <c r="G14836" s="889"/>
    </row>
    <row r="14837" spans="7:7" ht="10.5" customHeight="1" x14ac:dyDescent="0.2">
      <c r="G14837" s="889"/>
    </row>
    <row r="14838" spans="7:7" ht="10.5" customHeight="1" x14ac:dyDescent="0.2">
      <c r="G14838" s="889"/>
    </row>
    <row r="14839" spans="7:7" ht="10.5" customHeight="1" x14ac:dyDescent="0.2">
      <c r="G14839" s="889"/>
    </row>
    <row r="14840" spans="7:7" ht="10.5" customHeight="1" x14ac:dyDescent="0.2">
      <c r="G14840" s="889"/>
    </row>
    <row r="14841" spans="7:7" ht="10.5" customHeight="1" x14ac:dyDescent="0.2">
      <c r="G14841" s="889"/>
    </row>
    <row r="14842" spans="7:7" ht="10.5" customHeight="1" x14ac:dyDescent="0.2">
      <c r="G14842" s="889"/>
    </row>
    <row r="14843" spans="7:7" ht="10.5" customHeight="1" x14ac:dyDescent="0.2">
      <c r="G14843" s="889"/>
    </row>
    <row r="14844" spans="7:7" ht="10.5" customHeight="1" x14ac:dyDescent="0.2">
      <c r="G14844" s="889"/>
    </row>
    <row r="14845" spans="7:7" ht="10.5" customHeight="1" x14ac:dyDescent="0.2">
      <c r="G14845" s="889"/>
    </row>
    <row r="14846" spans="7:7" ht="10.5" customHeight="1" x14ac:dyDescent="0.2">
      <c r="G14846" s="889"/>
    </row>
    <row r="14847" spans="7:7" ht="10.5" customHeight="1" x14ac:dyDescent="0.2">
      <c r="G14847" s="889"/>
    </row>
    <row r="14848" spans="7:7" ht="10.5" customHeight="1" x14ac:dyDescent="0.2">
      <c r="G14848" s="889"/>
    </row>
    <row r="14849" spans="7:7" ht="10.5" customHeight="1" x14ac:dyDescent="0.2">
      <c r="G14849" s="889"/>
    </row>
    <row r="14850" spans="7:7" ht="10.5" customHeight="1" x14ac:dyDescent="0.2">
      <c r="G14850" s="889"/>
    </row>
    <row r="14851" spans="7:7" ht="10.5" customHeight="1" x14ac:dyDescent="0.2">
      <c r="G14851" s="889"/>
    </row>
    <row r="14852" spans="7:7" ht="10.5" customHeight="1" x14ac:dyDescent="0.2">
      <c r="G14852" s="889"/>
    </row>
    <row r="14853" spans="7:7" ht="10.5" customHeight="1" x14ac:dyDescent="0.2">
      <c r="G14853" s="889"/>
    </row>
    <row r="14854" spans="7:7" ht="10.5" customHeight="1" x14ac:dyDescent="0.2">
      <c r="G14854" s="889"/>
    </row>
    <row r="14855" spans="7:7" ht="10.5" customHeight="1" x14ac:dyDescent="0.2">
      <c r="G14855" s="889"/>
    </row>
    <row r="14856" spans="7:7" ht="10.5" customHeight="1" x14ac:dyDescent="0.2">
      <c r="G14856" s="889"/>
    </row>
    <row r="14857" spans="7:7" ht="10.5" customHeight="1" x14ac:dyDescent="0.2">
      <c r="G14857" s="889"/>
    </row>
    <row r="14858" spans="7:7" ht="10.5" customHeight="1" x14ac:dyDescent="0.2">
      <c r="G14858" s="889"/>
    </row>
    <row r="14859" spans="7:7" ht="10.5" customHeight="1" x14ac:dyDescent="0.2">
      <c r="G14859" s="889"/>
    </row>
    <row r="14860" spans="7:7" ht="10.5" customHeight="1" x14ac:dyDescent="0.2">
      <c r="G14860" s="889"/>
    </row>
    <row r="14861" spans="7:7" ht="10.5" customHeight="1" x14ac:dyDescent="0.2">
      <c r="G14861" s="889"/>
    </row>
    <row r="14862" spans="7:7" ht="10.5" customHeight="1" x14ac:dyDescent="0.2">
      <c r="G14862" s="889"/>
    </row>
    <row r="14863" spans="7:7" ht="10.5" customHeight="1" x14ac:dyDescent="0.2">
      <c r="G14863" s="889"/>
    </row>
    <row r="14864" spans="7:7" ht="10.5" customHeight="1" x14ac:dyDescent="0.2">
      <c r="G14864" s="889"/>
    </row>
    <row r="14865" spans="7:7" ht="10.5" customHeight="1" x14ac:dyDescent="0.2">
      <c r="G14865" s="889"/>
    </row>
    <row r="14866" spans="7:7" ht="10.5" customHeight="1" x14ac:dyDescent="0.2">
      <c r="G14866" s="889"/>
    </row>
    <row r="14867" spans="7:7" ht="10.5" customHeight="1" x14ac:dyDescent="0.2">
      <c r="G14867" s="889"/>
    </row>
    <row r="14868" spans="7:7" ht="10.5" customHeight="1" x14ac:dyDescent="0.2">
      <c r="G14868" s="889"/>
    </row>
    <row r="14869" spans="7:7" ht="10.5" customHeight="1" x14ac:dyDescent="0.2">
      <c r="G14869" s="889"/>
    </row>
    <row r="14870" spans="7:7" ht="10.5" customHeight="1" x14ac:dyDescent="0.2">
      <c r="G14870" s="889"/>
    </row>
    <row r="14871" spans="7:7" ht="10.5" customHeight="1" x14ac:dyDescent="0.2">
      <c r="G14871" s="889"/>
    </row>
    <row r="14872" spans="7:7" ht="10.5" customHeight="1" x14ac:dyDescent="0.2">
      <c r="G14872" s="889"/>
    </row>
    <row r="14873" spans="7:7" ht="10.5" customHeight="1" x14ac:dyDescent="0.2">
      <c r="G14873" s="889"/>
    </row>
    <row r="14874" spans="7:7" ht="10.5" customHeight="1" x14ac:dyDescent="0.2">
      <c r="G14874" s="889"/>
    </row>
    <row r="14875" spans="7:7" ht="10.5" customHeight="1" x14ac:dyDescent="0.2">
      <c r="G14875" s="889"/>
    </row>
    <row r="14876" spans="7:7" ht="10.5" customHeight="1" x14ac:dyDescent="0.2">
      <c r="G14876" s="889"/>
    </row>
    <row r="14877" spans="7:7" ht="10.5" customHeight="1" x14ac:dyDescent="0.2">
      <c r="G14877" s="889"/>
    </row>
    <row r="14878" spans="7:7" ht="10.5" customHeight="1" x14ac:dyDescent="0.2">
      <c r="G14878" s="889"/>
    </row>
    <row r="14879" spans="7:7" ht="10.5" customHeight="1" x14ac:dyDescent="0.2">
      <c r="G14879" s="889"/>
    </row>
    <row r="14880" spans="7:7" ht="10.5" customHeight="1" x14ac:dyDescent="0.2">
      <c r="G14880" s="889"/>
    </row>
    <row r="14881" spans="7:7" ht="10.5" customHeight="1" x14ac:dyDescent="0.2">
      <c r="G14881" s="889"/>
    </row>
    <row r="14882" spans="7:7" ht="10.5" customHeight="1" x14ac:dyDescent="0.2">
      <c r="G14882" s="889"/>
    </row>
    <row r="14883" spans="7:7" ht="10.5" customHeight="1" x14ac:dyDescent="0.2">
      <c r="G14883" s="889"/>
    </row>
    <row r="14884" spans="7:7" ht="10.5" customHeight="1" x14ac:dyDescent="0.2">
      <c r="G14884" s="889"/>
    </row>
    <row r="14885" spans="7:7" ht="10.5" customHeight="1" x14ac:dyDescent="0.2">
      <c r="G14885" s="889"/>
    </row>
    <row r="14886" spans="7:7" ht="10.5" customHeight="1" x14ac:dyDescent="0.2">
      <c r="G14886" s="889"/>
    </row>
    <row r="14887" spans="7:7" ht="10.5" customHeight="1" x14ac:dyDescent="0.2">
      <c r="G14887" s="889"/>
    </row>
    <row r="14888" spans="7:7" ht="10.5" customHeight="1" x14ac:dyDescent="0.2">
      <c r="G14888" s="889"/>
    </row>
    <row r="14889" spans="7:7" ht="10.5" customHeight="1" x14ac:dyDescent="0.2">
      <c r="G14889" s="889"/>
    </row>
    <row r="14890" spans="7:7" ht="10.5" customHeight="1" x14ac:dyDescent="0.2">
      <c r="G14890" s="889"/>
    </row>
    <row r="14891" spans="7:7" ht="10.5" customHeight="1" x14ac:dyDescent="0.2">
      <c r="G14891" s="889"/>
    </row>
    <row r="14892" spans="7:7" ht="10.5" customHeight="1" x14ac:dyDescent="0.2">
      <c r="G14892" s="889"/>
    </row>
    <row r="14893" spans="7:7" ht="10.5" customHeight="1" x14ac:dyDescent="0.2">
      <c r="G14893" s="889"/>
    </row>
    <row r="14894" spans="7:7" ht="10.5" customHeight="1" x14ac:dyDescent="0.2">
      <c r="G14894" s="889"/>
    </row>
    <row r="14895" spans="7:7" ht="10.5" customHeight="1" x14ac:dyDescent="0.2">
      <c r="G14895" s="889"/>
    </row>
    <row r="14896" spans="7:7" ht="10.5" customHeight="1" x14ac:dyDescent="0.2">
      <c r="G14896" s="889"/>
    </row>
    <row r="14897" spans="7:7" ht="10.5" customHeight="1" x14ac:dyDescent="0.2">
      <c r="G14897" s="889"/>
    </row>
    <row r="14898" spans="7:7" ht="10.5" customHeight="1" x14ac:dyDescent="0.2">
      <c r="G14898" s="889"/>
    </row>
    <row r="14899" spans="7:7" ht="10.5" customHeight="1" x14ac:dyDescent="0.2">
      <c r="G14899" s="889"/>
    </row>
    <row r="14900" spans="7:7" ht="10.5" customHeight="1" x14ac:dyDescent="0.2">
      <c r="G14900" s="889"/>
    </row>
    <row r="14901" spans="7:7" ht="10.5" customHeight="1" x14ac:dyDescent="0.2">
      <c r="G14901" s="889"/>
    </row>
    <row r="14902" spans="7:7" ht="10.5" customHeight="1" x14ac:dyDescent="0.2">
      <c r="G14902" s="889"/>
    </row>
    <row r="14903" spans="7:7" ht="10.5" customHeight="1" x14ac:dyDescent="0.2">
      <c r="G14903" s="889"/>
    </row>
    <row r="14904" spans="7:7" ht="10.5" customHeight="1" x14ac:dyDescent="0.2">
      <c r="G14904" s="889"/>
    </row>
    <row r="14905" spans="7:7" ht="10.5" customHeight="1" x14ac:dyDescent="0.2">
      <c r="G14905" s="889"/>
    </row>
    <row r="14906" spans="7:7" ht="10.5" customHeight="1" x14ac:dyDescent="0.2">
      <c r="G14906" s="889"/>
    </row>
    <row r="14907" spans="7:7" ht="10.5" customHeight="1" x14ac:dyDescent="0.2">
      <c r="G14907" s="889"/>
    </row>
    <row r="14908" spans="7:7" ht="10.5" customHeight="1" x14ac:dyDescent="0.2">
      <c r="G14908" s="889"/>
    </row>
    <row r="14909" spans="7:7" ht="10.5" customHeight="1" x14ac:dyDescent="0.2">
      <c r="G14909" s="889"/>
    </row>
    <row r="14910" spans="7:7" ht="10.5" customHeight="1" x14ac:dyDescent="0.2">
      <c r="G14910" s="889"/>
    </row>
    <row r="14911" spans="7:7" ht="10.5" customHeight="1" x14ac:dyDescent="0.2">
      <c r="G14911" s="889"/>
    </row>
    <row r="14912" spans="7:7" ht="10.5" customHeight="1" x14ac:dyDescent="0.2">
      <c r="G14912" s="889"/>
    </row>
    <row r="14913" spans="7:7" ht="10.5" customHeight="1" x14ac:dyDescent="0.2">
      <c r="G14913" s="889"/>
    </row>
    <row r="14914" spans="7:7" ht="10.5" customHeight="1" x14ac:dyDescent="0.2">
      <c r="G14914" s="889"/>
    </row>
    <row r="14915" spans="7:7" ht="10.5" customHeight="1" x14ac:dyDescent="0.2">
      <c r="G14915" s="889"/>
    </row>
    <row r="14916" spans="7:7" ht="10.5" customHeight="1" x14ac:dyDescent="0.2">
      <c r="G14916" s="889"/>
    </row>
    <row r="14917" spans="7:7" ht="10.5" customHeight="1" x14ac:dyDescent="0.2">
      <c r="G14917" s="889"/>
    </row>
    <row r="14918" spans="7:7" ht="10.5" customHeight="1" x14ac:dyDescent="0.2">
      <c r="G14918" s="889"/>
    </row>
    <row r="14919" spans="7:7" ht="10.5" customHeight="1" x14ac:dyDescent="0.2">
      <c r="G14919" s="889"/>
    </row>
    <row r="14920" spans="7:7" ht="10.5" customHeight="1" x14ac:dyDescent="0.2">
      <c r="G14920" s="889"/>
    </row>
    <row r="14921" spans="7:7" ht="10.5" customHeight="1" x14ac:dyDescent="0.2">
      <c r="G14921" s="889"/>
    </row>
    <row r="14922" spans="7:7" ht="10.5" customHeight="1" x14ac:dyDescent="0.2">
      <c r="G14922" s="889"/>
    </row>
    <row r="14923" spans="7:7" ht="10.5" customHeight="1" x14ac:dyDescent="0.2">
      <c r="G14923" s="889"/>
    </row>
    <row r="14924" spans="7:7" ht="10.5" customHeight="1" x14ac:dyDescent="0.2">
      <c r="G14924" s="889"/>
    </row>
    <row r="14925" spans="7:7" ht="10.5" customHeight="1" x14ac:dyDescent="0.2">
      <c r="G14925" s="889"/>
    </row>
    <row r="14926" spans="7:7" ht="10.5" customHeight="1" x14ac:dyDescent="0.2">
      <c r="G14926" s="889"/>
    </row>
    <row r="14927" spans="7:7" ht="10.5" customHeight="1" x14ac:dyDescent="0.2">
      <c r="G14927" s="889"/>
    </row>
    <row r="14928" spans="7:7" ht="10.5" customHeight="1" x14ac:dyDescent="0.2">
      <c r="G14928" s="889"/>
    </row>
    <row r="14929" spans="7:7" ht="10.5" customHeight="1" x14ac:dyDescent="0.2">
      <c r="G14929" s="889"/>
    </row>
    <row r="14930" spans="7:7" ht="10.5" customHeight="1" x14ac:dyDescent="0.2">
      <c r="G14930" s="889"/>
    </row>
    <row r="14931" spans="7:7" ht="10.5" customHeight="1" x14ac:dyDescent="0.2">
      <c r="G14931" s="889"/>
    </row>
    <row r="14932" spans="7:7" ht="10.5" customHeight="1" x14ac:dyDescent="0.2">
      <c r="G14932" s="889"/>
    </row>
    <row r="14933" spans="7:7" ht="10.5" customHeight="1" x14ac:dyDescent="0.2">
      <c r="G14933" s="889"/>
    </row>
    <row r="14934" spans="7:7" ht="10.5" customHeight="1" x14ac:dyDescent="0.2">
      <c r="G14934" s="889"/>
    </row>
    <row r="14935" spans="7:7" ht="10.5" customHeight="1" x14ac:dyDescent="0.2">
      <c r="G14935" s="889"/>
    </row>
    <row r="14936" spans="7:7" ht="10.5" customHeight="1" x14ac:dyDescent="0.2">
      <c r="G14936" s="889"/>
    </row>
    <row r="14937" spans="7:7" ht="10.5" customHeight="1" x14ac:dyDescent="0.2">
      <c r="G14937" s="889"/>
    </row>
    <row r="14938" spans="7:7" ht="10.5" customHeight="1" x14ac:dyDescent="0.2">
      <c r="G14938" s="889"/>
    </row>
    <row r="14939" spans="7:7" ht="10.5" customHeight="1" x14ac:dyDescent="0.2">
      <c r="G14939" s="889"/>
    </row>
    <row r="14940" spans="7:7" ht="10.5" customHeight="1" x14ac:dyDescent="0.2">
      <c r="G14940" s="889"/>
    </row>
    <row r="14941" spans="7:7" ht="10.5" customHeight="1" x14ac:dyDescent="0.2">
      <c r="G14941" s="889"/>
    </row>
    <row r="14942" spans="7:7" ht="10.5" customHeight="1" x14ac:dyDescent="0.2">
      <c r="G14942" s="889"/>
    </row>
    <row r="14943" spans="7:7" ht="10.5" customHeight="1" x14ac:dyDescent="0.2">
      <c r="G14943" s="889"/>
    </row>
    <row r="14944" spans="7:7" ht="10.5" customHeight="1" x14ac:dyDescent="0.2">
      <c r="G14944" s="889"/>
    </row>
    <row r="14945" spans="7:7" ht="10.5" customHeight="1" x14ac:dyDescent="0.2">
      <c r="G14945" s="889"/>
    </row>
    <row r="14946" spans="7:7" ht="10.5" customHeight="1" x14ac:dyDescent="0.2">
      <c r="G14946" s="889"/>
    </row>
    <row r="14947" spans="7:7" ht="10.5" customHeight="1" x14ac:dyDescent="0.2">
      <c r="G14947" s="889"/>
    </row>
    <row r="14948" spans="7:7" ht="10.5" customHeight="1" x14ac:dyDescent="0.2">
      <c r="G14948" s="889"/>
    </row>
    <row r="14949" spans="7:7" ht="10.5" customHeight="1" x14ac:dyDescent="0.2">
      <c r="G14949" s="889"/>
    </row>
    <row r="14950" spans="7:7" ht="10.5" customHeight="1" x14ac:dyDescent="0.2">
      <c r="G14950" s="889"/>
    </row>
    <row r="14951" spans="7:7" ht="10.5" customHeight="1" x14ac:dyDescent="0.2">
      <c r="G14951" s="889"/>
    </row>
    <row r="14952" spans="7:7" ht="10.5" customHeight="1" x14ac:dyDescent="0.2">
      <c r="G14952" s="889"/>
    </row>
    <row r="14953" spans="7:7" ht="10.5" customHeight="1" x14ac:dyDescent="0.2">
      <c r="G14953" s="889"/>
    </row>
    <row r="14954" spans="7:7" ht="10.5" customHeight="1" x14ac:dyDescent="0.2">
      <c r="G14954" s="889"/>
    </row>
    <row r="14955" spans="7:7" ht="10.5" customHeight="1" x14ac:dyDescent="0.2">
      <c r="G14955" s="889"/>
    </row>
    <row r="14956" spans="7:7" ht="10.5" customHeight="1" x14ac:dyDescent="0.2">
      <c r="G14956" s="889"/>
    </row>
    <row r="14957" spans="7:7" ht="10.5" customHeight="1" x14ac:dyDescent="0.2">
      <c r="G14957" s="889"/>
    </row>
    <row r="14958" spans="7:7" ht="10.5" customHeight="1" x14ac:dyDescent="0.2">
      <c r="G14958" s="889"/>
    </row>
    <row r="14959" spans="7:7" ht="10.5" customHeight="1" x14ac:dyDescent="0.2">
      <c r="G14959" s="889"/>
    </row>
    <row r="14960" spans="7:7" ht="10.5" customHeight="1" x14ac:dyDescent="0.2">
      <c r="G14960" s="889"/>
    </row>
    <row r="14961" spans="7:7" ht="10.5" customHeight="1" x14ac:dyDescent="0.2">
      <c r="G14961" s="889"/>
    </row>
    <row r="14962" spans="7:7" ht="10.5" customHeight="1" x14ac:dyDescent="0.2">
      <c r="G14962" s="889"/>
    </row>
    <row r="14963" spans="7:7" ht="10.5" customHeight="1" x14ac:dyDescent="0.2">
      <c r="G14963" s="889"/>
    </row>
    <row r="14964" spans="7:7" ht="10.5" customHeight="1" x14ac:dyDescent="0.2">
      <c r="G14964" s="889"/>
    </row>
    <row r="14965" spans="7:7" ht="10.5" customHeight="1" x14ac:dyDescent="0.2">
      <c r="G14965" s="889"/>
    </row>
    <row r="14966" spans="7:7" ht="10.5" customHeight="1" x14ac:dyDescent="0.2">
      <c r="G14966" s="889"/>
    </row>
    <row r="14967" spans="7:7" ht="10.5" customHeight="1" x14ac:dyDescent="0.2">
      <c r="G14967" s="889"/>
    </row>
    <row r="14968" spans="7:7" ht="10.5" customHeight="1" x14ac:dyDescent="0.2">
      <c r="G14968" s="889"/>
    </row>
    <row r="14969" spans="7:7" ht="10.5" customHeight="1" x14ac:dyDescent="0.2">
      <c r="G14969" s="889"/>
    </row>
    <row r="14970" spans="7:7" ht="10.5" customHeight="1" x14ac:dyDescent="0.2">
      <c r="G14970" s="889"/>
    </row>
    <row r="14971" spans="7:7" ht="10.5" customHeight="1" x14ac:dyDescent="0.2">
      <c r="G14971" s="889"/>
    </row>
    <row r="14972" spans="7:7" ht="10.5" customHeight="1" x14ac:dyDescent="0.2">
      <c r="G14972" s="889"/>
    </row>
    <row r="14973" spans="7:7" ht="10.5" customHeight="1" x14ac:dyDescent="0.2">
      <c r="G14973" s="889"/>
    </row>
    <row r="14974" spans="7:7" ht="10.5" customHeight="1" x14ac:dyDescent="0.2">
      <c r="G14974" s="889"/>
    </row>
    <row r="14975" spans="7:7" ht="10.5" customHeight="1" x14ac:dyDescent="0.2">
      <c r="G14975" s="889"/>
    </row>
    <row r="14976" spans="7:7" ht="10.5" customHeight="1" x14ac:dyDescent="0.2">
      <c r="G14976" s="889"/>
    </row>
    <row r="14977" spans="7:7" ht="10.5" customHeight="1" x14ac:dyDescent="0.2">
      <c r="G14977" s="889"/>
    </row>
    <row r="14978" spans="7:7" ht="10.5" customHeight="1" x14ac:dyDescent="0.2">
      <c r="G14978" s="889"/>
    </row>
    <row r="14979" spans="7:7" ht="10.5" customHeight="1" x14ac:dyDescent="0.2">
      <c r="G14979" s="889"/>
    </row>
    <row r="14980" spans="7:7" ht="10.5" customHeight="1" x14ac:dyDescent="0.2">
      <c r="G14980" s="889"/>
    </row>
    <row r="14981" spans="7:7" ht="10.5" customHeight="1" x14ac:dyDescent="0.2">
      <c r="G14981" s="889"/>
    </row>
    <row r="14982" spans="7:7" ht="10.5" customHeight="1" x14ac:dyDescent="0.2">
      <c r="G14982" s="889"/>
    </row>
    <row r="14983" spans="7:7" ht="10.5" customHeight="1" x14ac:dyDescent="0.2">
      <c r="G14983" s="889"/>
    </row>
    <row r="14984" spans="7:7" ht="10.5" customHeight="1" x14ac:dyDescent="0.2">
      <c r="G14984" s="889"/>
    </row>
    <row r="14985" spans="7:7" ht="10.5" customHeight="1" x14ac:dyDescent="0.2">
      <c r="G14985" s="889"/>
    </row>
    <row r="14986" spans="7:7" ht="10.5" customHeight="1" x14ac:dyDescent="0.2">
      <c r="G14986" s="889"/>
    </row>
    <row r="14987" spans="7:7" ht="10.5" customHeight="1" x14ac:dyDescent="0.2">
      <c r="G14987" s="889"/>
    </row>
    <row r="14988" spans="7:7" ht="10.5" customHeight="1" x14ac:dyDescent="0.2">
      <c r="G14988" s="889"/>
    </row>
    <row r="14989" spans="7:7" ht="10.5" customHeight="1" x14ac:dyDescent="0.2">
      <c r="G14989" s="889"/>
    </row>
    <row r="14990" spans="7:7" ht="10.5" customHeight="1" x14ac:dyDescent="0.2">
      <c r="G14990" s="889"/>
    </row>
    <row r="14991" spans="7:7" ht="10.5" customHeight="1" x14ac:dyDescent="0.2">
      <c r="G14991" s="889"/>
    </row>
    <row r="14992" spans="7:7" ht="10.5" customHeight="1" x14ac:dyDescent="0.2">
      <c r="G14992" s="889"/>
    </row>
    <row r="14993" spans="7:7" ht="10.5" customHeight="1" x14ac:dyDescent="0.2">
      <c r="G14993" s="889"/>
    </row>
    <row r="14994" spans="7:7" ht="10.5" customHeight="1" x14ac:dyDescent="0.2">
      <c r="G14994" s="889"/>
    </row>
    <row r="14995" spans="7:7" ht="10.5" customHeight="1" x14ac:dyDescent="0.2">
      <c r="G14995" s="889"/>
    </row>
    <row r="14996" spans="7:7" ht="10.5" customHeight="1" x14ac:dyDescent="0.2">
      <c r="G14996" s="889"/>
    </row>
    <row r="14997" spans="7:7" ht="10.5" customHeight="1" x14ac:dyDescent="0.2">
      <c r="G14997" s="889"/>
    </row>
    <row r="14998" spans="7:7" ht="10.5" customHeight="1" x14ac:dyDescent="0.2">
      <c r="G14998" s="889"/>
    </row>
    <row r="14999" spans="7:7" ht="10.5" customHeight="1" x14ac:dyDescent="0.2">
      <c r="G14999" s="889"/>
    </row>
    <row r="15000" spans="7:7" ht="10.5" customHeight="1" x14ac:dyDescent="0.2">
      <c r="G15000" s="889"/>
    </row>
    <row r="15001" spans="7:7" ht="10.5" customHeight="1" x14ac:dyDescent="0.2">
      <c r="G15001" s="889"/>
    </row>
    <row r="15002" spans="7:7" ht="10.5" customHeight="1" x14ac:dyDescent="0.2">
      <c r="G15002" s="889"/>
    </row>
    <row r="15003" spans="7:7" ht="10.5" customHeight="1" x14ac:dyDescent="0.2">
      <c r="G15003" s="889"/>
    </row>
    <row r="15004" spans="7:7" ht="10.5" customHeight="1" x14ac:dyDescent="0.2">
      <c r="G15004" s="889"/>
    </row>
    <row r="15005" spans="7:7" ht="10.5" customHeight="1" x14ac:dyDescent="0.2">
      <c r="G15005" s="889"/>
    </row>
    <row r="15006" spans="7:7" ht="10.5" customHeight="1" x14ac:dyDescent="0.2">
      <c r="G15006" s="889"/>
    </row>
    <row r="15007" spans="7:7" ht="10.5" customHeight="1" x14ac:dyDescent="0.2">
      <c r="G15007" s="889"/>
    </row>
    <row r="15008" spans="7:7" ht="10.5" customHeight="1" x14ac:dyDescent="0.2">
      <c r="G15008" s="889"/>
    </row>
    <row r="15009" spans="7:7" ht="10.5" customHeight="1" x14ac:dyDescent="0.2">
      <c r="G15009" s="889"/>
    </row>
    <row r="15010" spans="7:7" ht="10.5" customHeight="1" x14ac:dyDescent="0.2">
      <c r="G15010" s="889"/>
    </row>
    <row r="15011" spans="7:7" ht="10.5" customHeight="1" x14ac:dyDescent="0.2">
      <c r="G15011" s="889"/>
    </row>
    <row r="15012" spans="7:7" ht="10.5" customHeight="1" x14ac:dyDescent="0.2">
      <c r="G15012" s="889"/>
    </row>
    <row r="15013" spans="7:7" ht="10.5" customHeight="1" x14ac:dyDescent="0.2">
      <c r="G15013" s="889"/>
    </row>
    <row r="15014" spans="7:7" ht="10.5" customHeight="1" x14ac:dyDescent="0.2">
      <c r="G15014" s="889"/>
    </row>
    <row r="15015" spans="7:7" ht="10.5" customHeight="1" x14ac:dyDescent="0.2">
      <c r="G15015" s="889"/>
    </row>
    <row r="15016" spans="7:7" ht="10.5" customHeight="1" x14ac:dyDescent="0.2">
      <c r="G15016" s="889"/>
    </row>
    <row r="15017" spans="7:7" ht="10.5" customHeight="1" x14ac:dyDescent="0.2">
      <c r="G15017" s="889"/>
    </row>
    <row r="15018" spans="7:7" ht="10.5" customHeight="1" x14ac:dyDescent="0.2">
      <c r="G15018" s="889"/>
    </row>
    <row r="15019" spans="7:7" ht="10.5" customHeight="1" x14ac:dyDescent="0.2">
      <c r="G15019" s="889"/>
    </row>
    <row r="15020" spans="7:7" ht="10.5" customHeight="1" x14ac:dyDescent="0.2">
      <c r="G15020" s="889"/>
    </row>
    <row r="15021" spans="7:7" ht="10.5" customHeight="1" x14ac:dyDescent="0.2">
      <c r="G15021" s="889"/>
    </row>
    <row r="15022" spans="7:7" ht="10.5" customHeight="1" x14ac:dyDescent="0.2">
      <c r="G15022" s="889"/>
    </row>
    <row r="15023" spans="7:7" ht="10.5" customHeight="1" x14ac:dyDescent="0.2">
      <c r="G15023" s="889"/>
    </row>
    <row r="15024" spans="7:7" ht="10.5" customHeight="1" x14ac:dyDescent="0.2">
      <c r="G15024" s="889"/>
    </row>
    <row r="15025" spans="7:7" ht="10.5" customHeight="1" x14ac:dyDescent="0.2">
      <c r="G15025" s="889"/>
    </row>
    <row r="15026" spans="7:7" ht="10.5" customHeight="1" x14ac:dyDescent="0.2">
      <c r="G15026" s="889"/>
    </row>
    <row r="15027" spans="7:7" ht="10.5" customHeight="1" x14ac:dyDescent="0.2">
      <c r="G15027" s="889"/>
    </row>
    <row r="15028" spans="7:7" ht="10.5" customHeight="1" x14ac:dyDescent="0.2">
      <c r="G15028" s="889"/>
    </row>
    <row r="15029" spans="7:7" ht="10.5" customHeight="1" x14ac:dyDescent="0.2">
      <c r="G15029" s="889"/>
    </row>
    <row r="15030" spans="7:7" ht="10.5" customHeight="1" x14ac:dyDescent="0.2">
      <c r="G15030" s="889"/>
    </row>
    <row r="15031" spans="7:7" ht="10.5" customHeight="1" x14ac:dyDescent="0.2">
      <c r="G15031" s="889"/>
    </row>
    <row r="15032" spans="7:7" ht="10.5" customHeight="1" x14ac:dyDescent="0.2">
      <c r="G15032" s="889"/>
    </row>
    <row r="15033" spans="7:7" ht="10.5" customHeight="1" x14ac:dyDescent="0.2">
      <c r="G15033" s="889"/>
    </row>
    <row r="15034" spans="7:7" ht="10.5" customHeight="1" x14ac:dyDescent="0.2">
      <c r="G15034" s="889"/>
    </row>
    <row r="15035" spans="7:7" ht="10.5" customHeight="1" x14ac:dyDescent="0.2">
      <c r="G15035" s="889"/>
    </row>
    <row r="15036" spans="7:7" ht="10.5" customHeight="1" x14ac:dyDescent="0.2">
      <c r="G15036" s="889"/>
    </row>
    <row r="15037" spans="7:7" ht="10.5" customHeight="1" x14ac:dyDescent="0.2">
      <c r="G15037" s="889"/>
    </row>
    <row r="15038" spans="7:7" ht="10.5" customHeight="1" x14ac:dyDescent="0.2">
      <c r="G15038" s="889"/>
    </row>
    <row r="15039" spans="7:7" ht="10.5" customHeight="1" x14ac:dyDescent="0.2">
      <c r="G15039" s="889"/>
    </row>
    <row r="15040" spans="7:7" ht="10.5" customHeight="1" x14ac:dyDescent="0.2">
      <c r="G15040" s="889"/>
    </row>
    <row r="15041" spans="7:7" ht="10.5" customHeight="1" x14ac:dyDescent="0.2">
      <c r="G15041" s="889"/>
    </row>
    <row r="15042" spans="7:7" ht="10.5" customHeight="1" x14ac:dyDescent="0.2">
      <c r="G15042" s="889"/>
    </row>
    <row r="15043" spans="7:7" ht="10.5" customHeight="1" x14ac:dyDescent="0.2">
      <c r="G15043" s="889"/>
    </row>
    <row r="15044" spans="7:7" ht="10.5" customHeight="1" x14ac:dyDescent="0.2">
      <c r="G15044" s="889"/>
    </row>
    <row r="15045" spans="7:7" ht="10.5" customHeight="1" x14ac:dyDescent="0.2">
      <c r="G15045" s="889"/>
    </row>
    <row r="15046" spans="7:7" ht="10.5" customHeight="1" x14ac:dyDescent="0.2">
      <c r="G15046" s="889"/>
    </row>
    <row r="15047" spans="7:7" ht="10.5" customHeight="1" x14ac:dyDescent="0.2">
      <c r="G15047" s="889"/>
    </row>
    <row r="15048" spans="7:7" ht="10.5" customHeight="1" x14ac:dyDescent="0.2">
      <c r="G15048" s="889"/>
    </row>
    <row r="15049" spans="7:7" ht="10.5" customHeight="1" x14ac:dyDescent="0.2">
      <c r="G15049" s="889"/>
    </row>
    <row r="15050" spans="7:7" ht="10.5" customHeight="1" x14ac:dyDescent="0.2">
      <c r="G15050" s="889"/>
    </row>
    <row r="15051" spans="7:7" ht="10.5" customHeight="1" x14ac:dyDescent="0.2">
      <c r="G15051" s="889"/>
    </row>
    <row r="15052" spans="7:7" ht="10.5" customHeight="1" x14ac:dyDescent="0.2">
      <c r="G15052" s="889"/>
    </row>
    <row r="15053" spans="7:7" ht="10.5" customHeight="1" x14ac:dyDescent="0.2">
      <c r="G15053" s="889"/>
    </row>
    <row r="15054" spans="7:7" ht="10.5" customHeight="1" x14ac:dyDescent="0.2">
      <c r="G15054" s="889"/>
    </row>
    <row r="15055" spans="7:7" ht="10.5" customHeight="1" x14ac:dyDescent="0.2">
      <c r="G15055" s="889"/>
    </row>
    <row r="15056" spans="7:7" ht="10.5" customHeight="1" x14ac:dyDescent="0.2">
      <c r="G15056" s="889"/>
    </row>
    <row r="15057" spans="7:7" ht="10.5" customHeight="1" x14ac:dyDescent="0.2">
      <c r="G15057" s="889"/>
    </row>
    <row r="15058" spans="7:7" ht="10.5" customHeight="1" x14ac:dyDescent="0.2">
      <c r="G15058" s="889"/>
    </row>
    <row r="15059" spans="7:7" ht="10.5" customHeight="1" x14ac:dyDescent="0.2">
      <c r="G15059" s="889"/>
    </row>
    <row r="15060" spans="7:7" ht="10.5" customHeight="1" x14ac:dyDescent="0.2">
      <c r="G15060" s="889"/>
    </row>
    <row r="15061" spans="7:7" ht="10.5" customHeight="1" x14ac:dyDescent="0.2">
      <c r="G15061" s="889"/>
    </row>
    <row r="15062" spans="7:7" ht="10.5" customHeight="1" x14ac:dyDescent="0.2">
      <c r="G15062" s="889"/>
    </row>
    <row r="15063" spans="7:7" ht="10.5" customHeight="1" x14ac:dyDescent="0.2">
      <c r="G15063" s="889"/>
    </row>
    <row r="15064" spans="7:7" ht="10.5" customHeight="1" x14ac:dyDescent="0.2">
      <c r="G15064" s="889"/>
    </row>
    <row r="15065" spans="7:7" ht="10.5" customHeight="1" x14ac:dyDescent="0.2">
      <c r="G15065" s="889"/>
    </row>
    <row r="15066" spans="7:7" ht="10.5" customHeight="1" x14ac:dyDescent="0.2">
      <c r="G15066" s="889"/>
    </row>
    <row r="15067" spans="7:7" ht="10.5" customHeight="1" x14ac:dyDescent="0.2">
      <c r="G15067" s="889"/>
    </row>
    <row r="15068" spans="7:7" ht="10.5" customHeight="1" x14ac:dyDescent="0.2">
      <c r="G15068" s="889"/>
    </row>
    <row r="15069" spans="7:7" ht="10.5" customHeight="1" x14ac:dyDescent="0.2">
      <c r="G15069" s="889"/>
    </row>
    <row r="15070" spans="7:7" ht="10.5" customHeight="1" x14ac:dyDescent="0.2">
      <c r="G15070" s="889"/>
    </row>
    <row r="15071" spans="7:7" ht="10.5" customHeight="1" x14ac:dyDescent="0.2">
      <c r="G15071" s="889"/>
    </row>
    <row r="15072" spans="7:7" ht="10.5" customHeight="1" x14ac:dyDescent="0.2">
      <c r="G15072" s="889"/>
    </row>
    <row r="15073" spans="7:7" ht="10.5" customHeight="1" x14ac:dyDescent="0.2">
      <c r="G15073" s="889"/>
    </row>
    <row r="15074" spans="7:7" ht="10.5" customHeight="1" x14ac:dyDescent="0.2">
      <c r="G15074" s="889"/>
    </row>
    <row r="15075" spans="7:7" ht="10.5" customHeight="1" x14ac:dyDescent="0.2">
      <c r="G15075" s="889"/>
    </row>
    <row r="15076" spans="7:7" ht="10.5" customHeight="1" x14ac:dyDescent="0.2">
      <c r="G15076" s="889"/>
    </row>
    <row r="15077" spans="7:7" ht="10.5" customHeight="1" x14ac:dyDescent="0.2">
      <c r="G15077" s="889"/>
    </row>
    <row r="15078" spans="7:7" ht="10.5" customHeight="1" x14ac:dyDescent="0.2">
      <c r="G15078" s="889"/>
    </row>
    <row r="15079" spans="7:7" ht="10.5" customHeight="1" x14ac:dyDescent="0.2">
      <c r="G15079" s="889"/>
    </row>
    <row r="15080" spans="7:7" ht="10.5" customHeight="1" x14ac:dyDescent="0.2">
      <c r="G15080" s="889"/>
    </row>
    <row r="15081" spans="7:7" ht="10.5" customHeight="1" x14ac:dyDescent="0.2">
      <c r="G15081" s="889"/>
    </row>
    <row r="15082" spans="7:7" ht="10.5" customHeight="1" x14ac:dyDescent="0.2">
      <c r="G15082" s="889"/>
    </row>
    <row r="15083" spans="7:7" ht="10.5" customHeight="1" x14ac:dyDescent="0.2">
      <c r="G15083" s="889"/>
    </row>
    <row r="15084" spans="7:7" ht="10.5" customHeight="1" x14ac:dyDescent="0.2">
      <c r="G15084" s="889"/>
    </row>
    <row r="15085" spans="7:7" ht="10.5" customHeight="1" x14ac:dyDescent="0.2">
      <c r="G15085" s="889"/>
    </row>
    <row r="15086" spans="7:7" ht="10.5" customHeight="1" x14ac:dyDescent="0.2">
      <c r="G15086" s="889"/>
    </row>
    <row r="15087" spans="7:7" ht="10.5" customHeight="1" x14ac:dyDescent="0.2">
      <c r="G15087" s="889"/>
    </row>
    <row r="15088" spans="7:7" ht="10.5" customHeight="1" x14ac:dyDescent="0.2">
      <c r="G15088" s="889"/>
    </row>
    <row r="15089" spans="7:7" ht="10.5" customHeight="1" x14ac:dyDescent="0.2">
      <c r="G15089" s="889"/>
    </row>
    <row r="15090" spans="7:7" ht="10.5" customHeight="1" x14ac:dyDescent="0.2">
      <c r="G15090" s="889"/>
    </row>
    <row r="15091" spans="7:7" ht="10.5" customHeight="1" x14ac:dyDescent="0.2">
      <c r="G15091" s="889"/>
    </row>
    <row r="15092" spans="7:7" ht="10.5" customHeight="1" x14ac:dyDescent="0.2">
      <c r="G15092" s="889"/>
    </row>
    <row r="15093" spans="7:7" ht="10.5" customHeight="1" x14ac:dyDescent="0.2">
      <c r="G15093" s="889"/>
    </row>
    <row r="15094" spans="7:7" ht="10.5" customHeight="1" x14ac:dyDescent="0.2">
      <c r="G15094" s="889"/>
    </row>
    <row r="15095" spans="7:7" ht="10.5" customHeight="1" x14ac:dyDescent="0.2">
      <c r="G15095" s="889"/>
    </row>
    <row r="15096" spans="7:7" ht="10.5" customHeight="1" x14ac:dyDescent="0.2">
      <c r="G15096" s="889"/>
    </row>
    <row r="15097" spans="7:7" ht="10.5" customHeight="1" x14ac:dyDescent="0.2">
      <c r="G15097" s="889"/>
    </row>
    <row r="15098" spans="7:7" ht="10.5" customHeight="1" x14ac:dyDescent="0.2">
      <c r="G15098" s="889"/>
    </row>
    <row r="15099" spans="7:7" ht="10.5" customHeight="1" x14ac:dyDescent="0.2">
      <c r="G15099" s="889"/>
    </row>
    <row r="15100" spans="7:7" ht="10.5" customHeight="1" x14ac:dyDescent="0.2">
      <c r="G15100" s="889"/>
    </row>
    <row r="15101" spans="7:7" ht="10.5" customHeight="1" x14ac:dyDescent="0.2">
      <c r="G15101" s="889"/>
    </row>
    <row r="15102" spans="7:7" ht="10.5" customHeight="1" x14ac:dyDescent="0.2">
      <c r="G15102" s="889"/>
    </row>
    <row r="15103" spans="7:7" ht="10.5" customHeight="1" x14ac:dyDescent="0.2">
      <c r="G15103" s="889"/>
    </row>
    <row r="15104" spans="7:7" ht="10.5" customHeight="1" x14ac:dyDescent="0.2">
      <c r="G15104" s="889"/>
    </row>
    <row r="15105" spans="7:7" ht="10.5" customHeight="1" x14ac:dyDescent="0.2">
      <c r="G15105" s="889"/>
    </row>
    <row r="15106" spans="7:7" ht="10.5" customHeight="1" x14ac:dyDescent="0.2">
      <c r="G15106" s="889"/>
    </row>
    <row r="15107" spans="7:7" ht="10.5" customHeight="1" x14ac:dyDescent="0.2">
      <c r="G15107" s="889"/>
    </row>
    <row r="15108" spans="7:7" ht="10.5" customHeight="1" x14ac:dyDescent="0.2">
      <c r="G15108" s="889"/>
    </row>
    <row r="15109" spans="7:7" ht="10.5" customHeight="1" x14ac:dyDescent="0.2">
      <c r="G15109" s="889"/>
    </row>
    <row r="15110" spans="7:7" ht="10.5" customHeight="1" x14ac:dyDescent="0.2">
      <c r="G15110" s="889"/>
    </row>
    <row r="15111" spans="7:7" ht="10.5" customHeight="1" x14ac:dyDescent="0.2">
      <c r="G15111" s="889"/>
    </row>
    <row r="15112" spans="7:7" ht="10.5" customHeight="1" x14ac:dyDescent="0.2">
      <c r="G15112" s="889"/>
    </row>
    <row r="15113" spans="7:7" ht="10.5" customHeight="1" x14ac:dyDescent="0.2">
      <c r="G15113" s="889"/>
    </row>
    <row r="15114" spans="7:7" ht="10.5" customHeight="1" x14ac:dyDescent="0.2">
      <c r="G15114" s="889"/>
    </row>
    <row r="15115" spans="7:7" ht="10.5" customHeight="1" x14ac:dyDescent="0.2">
      <c r="G15115" s="889"/>
    </row>
    <row r="15116" spans="7:7" ht="10.5" customHeight="1" x14ac:dyDescent="0.2">
      <c r="G15116" s="889"/>
    </row>
    <row r="15117" spans="7:7" ht="10.5" customHeight="1" x14ac:dyDescent="0.2">
      <c r="G15117" s="889"/>
    </row>
    <row r="15118" spans="7:7" ht="10.5" customHeight="1" x14ac:dyDescent="0.2">
      <c r="G15118" s="889"/>
    </row>
    <row r="15119" spans="7:7" ht="10.5" customHeight="1" x14ac:dyDescent="0.2">
      <c r="G15119" s="889"/>
    </row>
    <row r="15120" spans="7:7" ht="10.5" customHeight="1" x14ac:dyDescent="0.2">
      <c r="G15120" s="889"/>
    </row>
    <row r="15121" spans="7:7" ht="10.5" customHeight="1" x14ac:dyDescent="0.2">
      <c r="G15121" s="889"/>
    </row>
    <row r="15122" spans="7:7" ht="10.5" customHeight="1" x14ac:dyDescent="0.2">
      <c r="G15122" s="889"/>
    </row>
    <row r="15123" spans="7:7" ht="10.5" customHeight="1" x14ac:dyDescent="0.2">
      <c r="G15123" s="889"/>
    </row>
    <row r="15124" spans="7:7" ht="10.5" customHeight="1" x14ac:dyDescent="0.2">
      <c r="G15124" s="889"/>
    </row>
    <row r="15125" spans="7:7" ht="10.5" customHeight="1" x14ac:dyDescent="0.2">
      <c r="G15125" s="889"/>
    </row>
    <row r="15126" spans="7:7" ht="10.5" customHeight="1" x14ac:dyDescent="0.2">
      <c r="G15126" s="889"/>
    </row>
    <row r="15127" spans="7:7" ht="10.5" customHeight="1" x14ac:dyDescent="0.2">
      <c r="G15127" s="889"/>
    </row>
    <row r="15128" spans="7:7" ht="10.5" customHeight="1" x14ac:dyDescent="0.2">
      <c r="G15128" s="889"/>
    </row>
    <row r="15129" spans="7:7" ht="10.5" customHeight="1" x14ac:dyDescent="0.2">
      <c r="G15129" s="889"/>
    </row>
    <row r="15130" spans="7:7" ht="10.5" customHeight="1" x14ac:dyDescent="0.2">
      <c r="G15130" s="889"/>
    </row>
    <row r="15131" spans="7:7" ht="10.5" customHeight="1" x14ac:dyDescent="0.2">
      <c r="G15131" s="889"/>
    </row>
    <row r="15132" spans="7:7" ht="10.5" customHeight="1" x14ac:dyDescent="0.2">
      <c r="G15132" s="889"/>
    </row>
    <row r="15133" spans="7:7" ht="10.5" customHeight="1" x14ac:dyDescent="0.2">
      <c r="G15133" s="889"/>
    </row>
    <row r="15134" spans="7:7" ht="10.5" customHeight="1" x14ac:dyDescent="0.2">
      <c r="G15134" s="889"/>
    </row>
    <row r="15135" spans="7:7" ht="10.5" customHeight="1" x14ac:dyDescent="0.2">
      <c r="G15135" s="889"/>
    </row>
    <row r="15136" spans="7:7" ht="10.5" customHeight="1" x14ac:dyDescent="0.2">
      <c r="G15136" s="889"/>
    </row>
    <row r="15137" spans="7:7" ht="10.5" customHeight="1" x14ac:dyDescent="0.2">
      <c r="G15137" s="889"/>
    </row>
    <row r="15138" spans="7:7" ht="10.5" customHeight="1" x14ac:dyDescent="0.2">
      <c r="G15138" s="889"/>
    </row>
    <row r="15139" spans="7:7" ht="10.5" customHeight="1" x14ac:dyDescent="0.2">
      <c r="G15139" s="889"/>
    </row>
    <row r="15140" spans="7:7" ht="10.5" customHeight="1" x14ac:dyDescent="0.2">
      <c r="G15140" s="889"/>
    </row>
    <row r="15141" spans="7:7" ht="10.5" customHeight="1" x14ac:dyDescent="0.2">
      <c r="G15141" s="889"/>
    </row>
    <row r="15142" spans="7:7" ht="10.5" customHeight="1" x14ac:dyDescent="0.2">
      <c r="G15142" s="889"/>
    </row>
    <row r="15143" spans="7:7" ht="10.5" customHeight="1" x14ac:dyDescent="0.2">
      <c r="G15143" s="889"/>
    </row>
    <row r="15144" spans="7:7" ht="10.5" customHeight="1" x14ac:dyDescent="0.2">
      <c r="G15144" s="889"/>
    </row>
    <row r="15145" spans="7:7" ht="10.5" customHeight="1" x14ac:dyDescent="0.2">
      <c r="G15145" s="889"/>
    </row>
    <row r="15146" spans="7:7" ht="10.5" customHeight="1" x14ac:dyDescent="0.2">
      <c r="G15146" s="889"/>
    </row>
    <row r="15147" spans="7:7" ht="10.5" customHeight="1" x14ac:dyDescent="0.2">
      <c r="G15147" s="889"/>
    </row>
    <row r="15148" spans="7:7" ht="10.5" customHeight="1" x14ac:dyDescent="0.2">
      <c r="G15148" s="889"/>
    </row>
    <row r="15149" spans="7:7" ht="10.5" customHeight="1" x14ac:dyDescent="0.2">
      <c r="G15149" s="889"/>
    </row>
    <row r="15150" spans="7:7" ht="10.5" customHeight="1" x14ac:dyDescent="0.2">
      <c r="G15150" s="889"/>
    </row>
    <row r="15151" spans="7:7" ht="10.5" customHeight="1" x14ac:dyDescent="0.2">
      <c r="G15151" s="889"/>
    </row>
    <row r="15152" spans="7:7" ht="10.5" customHeight="1" x14ac:dyDescent="0.2">
      <c r="G15152" s="889"/>
    </row>
    <row r="15153" spans="7:7" ht="10.5" customHeight="1" x14ac:dyDescent="0.2">
      <c r="G15153" s="889"/>
    </row>
    <row r="15154" spans="7:7" ht="10.5" customHeight="1" x14ac:dyDescent="0.2">
      <c r="G15154" s="889"/>
    </row>
    <row r="15155" spans="7:7" ht="10.5" customHeight="1" x14ac:dyDescent="0.2">
      <c r="G15155" s="889"/>
    </row>
    <row r="15156" spans="7:7" ht="10.5" customHeight="1" x14ac:dyDescent="0.2">
      <c r="G15156" s="889"/>
    </row>
    <row r="15157" spans="7:7" ht="10.5" customHeight="1" x14ac:dyDescent="0.2">
      <c r="G15157" s="889"/>
    </row>
    <row r="15158" spans="7:7" ht="10.5" customHeight="1" x14ac:dyDescent="0.2">
      <c r="G15158" s="889"/>
    </row>
    <row r="15159" spans="7:7" ht="10.5" customHeight="1" x14ac:dyDescent="0.2">
      <c r="G15159" s="889"/>
    </row>
    <row r="15160" spans="7:7" ht="10.5" customHeight="1" x14ac:dyDescent="0.2">
      <c r="G15160" s="889"/>
    </row>
    <row r="15161" spans="7:7" ht="10.5" customHeight="1" x14ac:dyDescent="0.2">
      <c r="G15161" s="889"/>
    </row>
    <row r="15162" spans="7:7" ht="10.5" customHeight="1" x14ac:dyDescent="0.2">
      <c r="G15162" s="889"/>
    </row>
    <row r="15163" spans="7:7" ht="10.5" customHeight="1" x14ac:dyDescent="0.2">
      <c r="G15163" s="889"/>
    </row>
    <row r="15164" spans="7:7" ht="10.5" customHeight="1" x14ac:dyDescent="0.2">
      <c r="G15164" s="889"/>
    </row>
    <row r="15165" spans="7:7" ht="10.5" customHeight="1" x14ac:dyDescent="0.2">
      <c r="G15165" s="889"/>
    </row>
    <row r="15166" spans="7:7" ht="10.5" customHeight="1" x14ac:dyDescent="0.2">
      <c r="G15166" s="889"/>
    </row>
    <row r="15167" spans="7:7" ht="10.5" customHeight="1" x14ac:dyDescent="0.2">
      <c r="G15167" s="889"/>
    </row>
    <row r="15168" spans="7:7" ht="10.5" customHeight="1" x14ac:dyDescent="0.2">
      <c r="G15168" s="889"/>
    </row>
    <row r="15169" spans="7:7" ht="10.5" customHeight="1" x14ac:dyDescent="0.2">
      <c r="G15169" s="889"/>
    </row>
    <row r="15170" spans="7:7" ht="10.5" customHeight="1" x14ac:dyDescent="0.2">
      <c r="G15170" s="889"/>
    </row>
    <row r="15171" spans="7:7" ht="10.5" customHeight="1" x14ac:dyDescent="0.2">
      <c r="G15171" s="889"/>
    </row>
    <row r="15172" spans="7:7" ht="10.5" customHeight="1" x14ac:dyDescent="0.2">
      <c r="G15172" s="889"/>
    </row>
    <row r="15173" spans="7:7" ht="10.5" customHeight="1" x14ac:dyDescent="0.2">
      <c r="G15173" s="889"/>
    </row>
    <row r="15174" spans="7:7" ht="10.5" customHeight="1" x14ac:dyDescent="0.2">
      <c r="G15174" s="889"/>
    </row>
    <row r="15175" spans="7:7" ht="10.5" customHeight="1" x14ac:dyDescent="0.2">
      <c r="G15175" s="889"/>
    </row>
    <row r="15176" spans="7:7" ht="10.5" customHeight="1" x14ac:dyDescent="0.2">
      <c r="G15176" s="889"/>
    </row>
    <row r="15177" spans="7:7" ht="10.5" customHeight="1" x14ac:dyDescent="0.2">
      <c r="G15177" s="889"/>
    </row>
    <row r="15178" spans="7:7" ht="10.5" customHeight="1" x14ac:dyDescent="0.2">
      <c r="G15178" s="889"/>
    </row>
    <row r="15179" spans="7:7" ht="10.5" customHeight="1" x14ac:dyDescent="0.2">
      <c r="G15179" s="889"/>
    </row>
    <row r="15180" spans="7:7" ht="10.5" customHeight="1" x14ac:dyDescent="0.2">
      <c r="G15180" s="889"/>
    </row>
    <row r="15181" spans="7:7" ht="10.5" customHeight="1" x14ac:dyDescent="0.2">
      <c r="G15181" s="889"/>
    </row>
    <row r="15182" spans="7:7" ht="10.5" customHeight="1" x14ac:dyDescent="0.2">
      <c r="G15182" s="889"/>
    </row>
    <row r="15183" spans="7:7" ht="10.5" customHeight="1" x14ac:dyDescent="0.2">
      <c r="G15183" s="889"/>
    </row>
    <row r="15184" spans="7:7" ht="10.5" customHeight="1" x14ac:dyDescent="0.2">
      <c r="G15184" s="889"/>
    </row>
    <row r="15185" spans="7:7" ht="10.5" customHeight="1" x14ac:dyDescent="0.2">
      <c r="G15185" s="889"/>
    </row>
    <row r="15186" spans="7:7" ht="10.5" customHeight="1" x14ac:dyDescent="0.2">
      <c r="G15186" s="889"/>
    </row>
    <row r="15187" spans="7:7" ht="10.5" customHeight="1" x14ac:dyDescent="0.2">
      <c r="G15187" s="889"/>
    </row>
    <row r="15188" spans="7:7" ht="10.5" customHeight="1" x14ac:dyDescent="0.2">
      <c r="G15188" s="889"/>
    </row>
    <row r="15189" spans="7:7" ht="10.5" customHeight="1" x14ac:dyDescent="0.2">
      <c r="G15189" s="889"/>
    </row>
    <row r="15190" spans="7:7" ht="10.5" customHeight="1" x14ac:dyDescent="0.2">
      <c r="G15190" s="889"/>
    </row>
    <row r="15191" spans="7:7" ht="10.5" customHeight="1" x14ac:dyDescent="0.2">
      <c r="G15191" s="889"/>
    </row>
    <row r="15192" spans="7:7" ht="10.5" customHeight="1" x14ac:dyDescent="0.2">
      <c r="G15192" s="889"/>
    </row>
    <row r="15193" spans="7:7" ht="10.5" customHeight="1" x14ac:dyDescent="0.2">
      <c r="G15193" s="889"/>
    </row>
    <row r="15194" spans="7:7" ht="10.5" customHeight="1" x14ac:dyDescent="0.2">
      <c r="G15194" s="889"/>
    </row>
    <row r="15195" spans="7:7" ht="10.5" customHeight="1" x14ac:dyDescent="0.2">
      <c r="G15195" s="889"/>
    </row>
    <row r="15196" spans="7:7" ht="10.5" customHeight="1" x14ac:dyDescent="0.2">
      <c r="G15196" s="889"/>
    </row>
    <row r="15197" spans="7:7" ht="10.5" customHeight="1" x14ac:dyDescent="0.2">
      <c r="G15197" s="889"/>
    </row>
    <row r="15198" spans="7:7" ht="10.5" customHeight="1" x14ac:dyDescent="0.2">
      <c r="G15198" s="889"/>
    </row>
    <row r="15199" spans="7:7" ht="10.5" customHeight="1" x14ac:dyDescent="0.2">
      <c r="G15199" s="889"/>
    </row>
    <row r="15200" spans="7:7" ht="10.5" customHeight="1" x14ac:dyDescent="0.2">
      <c r="G15200" s="889"/>
    </row>
    <row r="15201" spans="7:7" ht="10.5" customHeight="1" x14ac:dyDescent="0.2">
      <c r="G15201" s="889"/>
    </row>
    <row r="15202" spans="7:7" ht="10.5" customHeight="1" x14ac:dyDescent="0.2">
      <c r="G15202" s="889"/>
    </row>
    <row r="15203" spans="7:7" ht="10.5" customHeight="1" x14ac:dyDescent="0.2">
      <c r="G15203" s="889"/>
    </row>
    <row r="15204" spans="7:7" ht="10.5" customHeight="1" x14ac:dyDescent="0.2">
      <c r="G15204" s="889"/>
    </row>
    <row r="15205" spans="7:7" ht="10.5" customHeight="1" x14ac:dyDescent="0.2">
      <c r="G15205" s="889"/>
    </row>
    <row r="15206" spans="7:7" ht="10.5" customHeight="1" x14ac:dyDescent="0.2">
      <c r="G15206" s="889"/>
    </row>
    <row r="15207" spans="7:7" ht="10.5" customHeight="1" x14ac:dyDescent="0.2">
      <c r="G15207" s="889"/>
    </row>
    <row r="15208" spans="7:7" ht="10.5" customHeight="1" x14ac:dyDescent="0.2">
      <c r="G15208" s="889"/>
    </row>
    <row r="15209" spans="7:7" ht="10.5" customHeight="1" x14ac:dyDescent="0.2">
      <c r="G15209" s="889"/>
    </row>
    <row r="15210" spans="7:7" ht="10.5" customHeight="1" x14ac:dyDescent="0.2">
      <c r="G15210" s="889"/>
    </row>
    <row r="15211" spans="7:7" ht="10.5" customHeight="1" x14ac:dyDescent="0.2">
      <c r="G15211" s="889"/>
    </row>
    <row r="15212" spans="7:7" ht="10.5" customHeight="1" x14ac:dyDescent="0.2">
      <c r="G15212" s="889"/>
    </row>
    <row r="15213" spans="7:7" ht="10.5" customHeight="1" x14ac:dyDescent="0.2">
      <c r="G15213" s="889"/>
    </row>
    <row r="15214" spans="7:7" ht="10.5" customHeight="1" x14ac:dyDescent="0.2">
      <c r="G15214" s="889"/>
    </row>
    <row r="15215" spans="7:7" ht="10.5" customHeight="1" x14ac:dyDescent="0.2">
      <c r="G15215" s="889"/>
    </row>
    <row r="15216" spans="7:7" ht="10.5" customHeight="1" x14ac:dyDescent="0.2">
      <c r="G15216" s="889"/>
    </row>
    <row r="15217" spans="7:7" ht="10.5" customHeight="1" x14ac:dyDescent="0.2">
      <c r="G15217" s="889"/>
    </row>
    <row r="15218" spans="7:7" ht="10.5" customHeight="1" x14ac:dyDescent="0.2">
      <c r="G15218" s="889"/>
    </row>
    <row r="15219" spans="7:7" ht="10.5" customHeight="1" x14ac:dyDescent="0.2">
      <c r="G15219" s="889"/>
    </row>
    <row r="15220" spans="7:7" ht="10.5" customHeight="1" x14ac:dyDescent="0.2">
      <c r="G15220" s="889"/>
    </row>
    <row r="15221" spans="7:7" ht="10.5" customHeight="1" x14ac:dyDescent="0.2">
      <c r="G15221" s="889"/>
    </row>
    <row r="15222" spans="7:7" ht="10.5" customHeight="1" x14ac:dyDescent="0.2">
      <c r="G15222" s="889"/>
    </row>
    <row r="15223" spans="7:7" ht="10.5" customHeight="1" x14ac:dyDescent="0.2">
      <c r="G15223" s="889"/>
    </row>
    <row r="15224" spans="7:7" ht="10.5" customHeight="1" x14ac:dyDescent="0.2">
      <c r="G15224" s="889"/>
    </row>
    <row r="15225" spans="7:7" ht="10.5" customHeight="1" x14ac:dyDescent="0.2">
      <c r="G15225" s="889"/>
    </row>
    <row r="15226" spans="7:7" ht="10.5" customHeight="1" x14ac:dyDescent="0.2">
      <c r="G15226" s="889"/>
    </row>
    <row r="15227" spans="7:7" ht="10.5" customHeight="1" x14ac:dyDescent="0.2">
      <c r="G15227" s="889"/>
    </row>
    <row r="15228" spans="7:7" ht="10.5" customHeight="1" x14ac:dyDescent="0.2">
      <c r="G15228" s="889"/>
    </row>
    <row r="15229" spans="7:7" ht="10.5" customHeight="1" x14ac:dyDescent="0.2">
      <c r="G15229" s="889"/>
    </row>
    <row r="15230" spans="7:7" ht="10.5" customHeight="1" x14ac:dyDescent="0.2">
      <c r="G15230" s="889"/>
    </row>
    <row r="15231" spans="7:7" ht="10.5" customHeight="1" x14ac:dyDescent="0.2">
      <c r="G15231" s="889"/>
    </row>
    <row r="15232" spans="7:7" ht="10.5" customHeight="1" x14ac:dyDescent="0.2">
      <c r="G15232" s="889"/>
    </row>
    <row r="15233" spans="7:7" ht="10.5" customHeight="1" x14ac:dyDescent="0.2">
      <c r="G15233" s="889"/>
    </row>
    <row r="15234" spans="7:7" ht="10.5" customHeight="1" x14ac:dyDescent="0.2">
      <c r="G15234" s="889"/>
    </row>
    <row r="15235" spans="7:7" ht="10.5" customHeight="1" x14ac:dyDescent="0.2">
      <c r="G15235" s="889"/>
    </row>
    <row r="15236" spans="7:7" ht="10.5" customHeight="1" x14ac:dyDescent="0.2">
      <c r="G15236" s="889"/>
    </row>
    <row r="15237" spans="7:7" ht="10.5" customHeight="1" x14ac:dyDescent="0.2">
      <c r="G15237" s="889"/>
    </row>
    <row r="15238" spans="7:7" ht="10.5" customHeight="1" x14ac:dyDescent="0.2">
      <c r="G15238" s="889"/>
    </row>
    <row r="15239" spans="7:7" ht="10.5" customHeight="1" x14ac:dyDescent="0.2">
      <c r="G15239" s="889"/>
    </row>
    <row r="15240" spans="7:7" ht="10.5" customHeight="1" x14ac:dyDescent="0.2">
      <c r="G15240" s="889"/>
    </row>
    <row r="15241" spans="7:7" ht="10.5" customHeight="1" x14ac:dyDescent="0.2">
      <c r="G15241" s="889"/>
    </row>
    <row r="15242" spans="7:7" ht="10.5" customHeight="1" x14ac:dyDescent="0.2">
      <c r="G15242" s="889"/>
    </row>
    <row r="15243" spans="7:7" ht="10.5" customHeight="1" x14ac:dyDescent="0.2">
      <c r="G15243" s="889"/>
    </row>
    <row r="15244" spans="7:7" ht="10.5" customHeight="1" x14ac:dyDescent="0.2">
      <c r="G15244" s="889"/>
    </row>
    <row r="15245" spans="7:7" ht="10.5" customHeight="1" x14ac:dyDescent="0.2">
      <c r="G15245" s="889"/>
    </row>
    <row r="15246" spans="7:7" ht="10.5" customHeight="1" x14ac:dyDescent="0.2">
      <c r="G15246" s="889"/>
    </row>
    <row r="15247" spans="7:7" ht="10.5" customHeight="1" x14ac:dyDescent="0.2">
      <c r="G15247" s="889"/>
    </row>
    <row r="15248" spans="7:7" ht="10.5" customHeight="1" x14ac:dyDescent="0.2">
      <c r="G15248" s="889"/>
    </row>
    <row r="15249" spans="7:7" ht="10.5" customHeight="1" x14ac:dyDescent="0.2">
      <c r="G15249" s="889"/>
    </row>
    <row r="15250" spans="7:7" ht="10.5" customHeight="1" x14ac:dyDescent="0.2">
      <c r="G15250" s="889"/>
    </row>
    <row r="15251" spans="7:7" ht="10.5" customHeight="1" x14ac:dyDescent="0.2">
      <c r="G15251" s="889"/>
    </row>
    <row r="15252" spans="7:7" ht="10.5" customHeight="1" x14ac:dyDescent="0.2">
      <c r="G15252" s="889"/>
    </row>
    <row r="15253" spans="7:7" ht="10.5" customHeight="1" x14ac:dyDescent="0.2">
      <c r="G15253" s="889"/>
    </row>
    <row r="15254" spans="7:7" ht="10.5" customHeight="1" x14ac:dyDescent="0.2">
      <c r="G15254" s="889"/>
    </row>
    <row r="15255" spans="7:7" ht="10.5" customHeight="1" x14ac:dyDescent="0.2">
      <c r="G15255" s="889"/>
    </row>
    <row r="15256" spans="7:7" ht="10.5" customHeight="1" x14ac:dyDescent="0.2">
      <c r="G15256" s="889"/>
    </row>
    <row r="15257" spans="7:7" ht="10.5" customHeight="1" x14ac:dyDescent="0.2">
      <c r="G15257" s="889"/>
    </row>
    <row r="15258" spans="7:7" ht="10.5" customHeight="1" x14ac:dyDescent="0.2">
      <c r="G15258" s="889"/>
    </row>
    <row r="15259" spans="7:7" ht="10.5" customHeight="1" x14ac:dyDescent="0.2">
      <c r="G15259" s="889"/>
    </row>
    <row r="15260" spans="7:7" ht="10.5" customHeight="1" x14ac:dyDescent="0.2">
      <c r="G15260" s="889"/>
    </row>
    <row r="15261" spans="7:7" ht="10.5" customHeight="1" x14ac:dyDescent="0.2">
      <c r="G15261" s="889"/>
    </row>
    <row r="15262" spans="7:7" ht="10.5" customHeight="1" x14ac:dyDescent="0.2">
      <c r="G15262" s="889"/>
    </row>
    <row r="15263" spans="7:7" ht="10.5" customHeight="1" x14ac:dyDescent="0.2">
      <c r="G15263" s="889"/>
    </row>
    <row r="15264" spans="7:7" ht="10.5" customHeight="1" x14ac:dyDescent="0.2">
      <c r="G15264" s="889"/>
    </row>
    <row r="15265" spans="7:7" ht="10.5" customHeight="1" x14ac:dyDescent="0.2">
      <c r="G15265" s="889"/>
    </row>
    <row r="15266" spans="7:7" ht="10.5" customHeight="1" x14ac:dyDescent="0.2">
      <c r="G15266" s="889"/>
    </row>
    <row r="15267" spans="7:7" ht="10.5" customHeight="1" x14ac:dyDescent="0.2">
      <c r="G15267" s="889"/>
    </row>
    <row r="15268" spans="7:7" ht="10.5" customHeight="1" x14ac:dyDescent="0.2">
      <c r="G15268" s="889"/>
    </row>
    <row r="15269" spans="7:7" ht="10.5" customHeight="1" x14ac:dyDescent="0.2">
      <c r="G15269" s="889"/>
    </row>
    <row r="15270" spans="7:7" ht="10.5" customHeight="1" x14ac:dyDescent="0.2">
      <c r="G15270" s="889"/>
    </row>
    <row r="15271" spans="7:7" ht="10.5" customHeight="1" x14ac:dyDescent="0.2">
      <c r="G15271" s="889"/>
    </row>
    <row r="15272" spans="7:7" ht="10.5" customHeight="1" x14ac:dyDescent="0.2">
      <c r="G15272" s="889"/>
    </row>
    <row r="15273" spans="7:7" ht="10.5" customHeight="1" x14ac:dyDescent="0.2">
      <c r="G15273" s="889"/>
    </row>
    <row r="15274" spans="7:7" ht="10.5" customHeight="1" x14ac:dyDescent="0.2">
      <c r="G15274" s="889"/>
    </row>
    <row r="15275" spans="7:7" ht="10.5" customHeight="1" x14ac:dyDescent="0.2">
      <c r="G15275" s="889"/>
    </row>
    <row r="15276" spans="7:7" ht="10.5" customHeight="1" x14ac:dyDescent="0.2">
      <c r="G15276" s="889"/>
    </row>
    <row r="15277" spans="7:7" ht="10.5" customHeight="1" x14ac:dyDescent="0.2">
      <c r="G15277" s="889"/>
    </row>
    <row r="15278" spans="7:7" ht="10.5" customHeight="1" x14ac:dyDescent="0.2">
      <c r="G15278" s="889"/>
    </row>
    <row r="15279" spans="7:7" ht="10.5" customHeight="1" x14ac:dyDescent="0.2">
      <c r="G15279" s="889"/>
    </row>
    <row r="15280" spans="7:7" ht="10.5" customHeight="1" x14ac:dyDescent="0.2">
      <c r="G15280" s="889"/>
    </row>
    <row r="15281" spans="7:7" ht="10.5" customHeight="1" x14ac:dyDescent="0.2">
      <c r="G15281" s="889"/>
    </row>
    <row r="15282" spans="7:7" ht="10.5" customHeight="1" x14ac:dyDescent="0.2">
      <c r="G15282" s="889"/>
    </row>
    <row r="15283" spans="7:7" ht="10.5" customHeight="1" x14ac:dyDescent="0.2">
      <c r="G15283" s="889"/>
    </row>
    <row r="15284" spans="7:7" ht="10.5" customHeight="1" x14ac:dyDescent="0.2">
      <c r="G15284" s="889"/>
    </row>
    <row r="15285" spans="7:7" ht="10.5" customHeight="1" x14ac:dyDescent="0.2">
      <c r="G15285" s="889"/>
    </row>
    <row r="15286" spans="7:7" ht="10.5" customHeight="1" x14ac:dyDescent="0.2">
      <c r="G15286" s="889"/>
    </row>
    <row r="15287" spans="7:7" ht="10.5" customHeight="1" x14ac:dyDescent="0.2">
      <c r="G15287" s="889"/>
    </row>
    <row r="15288" spans="7:7" ht="10.5" customHeight="1" x14ac:dyDescent="0.2">
      <c r="G15288" s="889"/>
    </row>
    <row r="15289" spans="7:7" ht="10.5" customHeight="1" x14ac:dyDescent="0.2">
      <c r="G15289" s="889"/>
    </row>
    <row r="15290" spans="7:7" ht="10.5" customHeight="1" x14ac:dyDescent="0.2">
      <c r="G15290" s="889"/>
    </row>
    <row r="15291" spans="7:7" ht="10.5" customHeight="1" x14ac:dyDescent="0.2">
      <c r="G15291" s="889"/>
    </row>
    <row r="15292" spans="7:7" ht="10.5" customHeight="1" x14ac:dyDescent="0.2">
      <c r="G15292" s="889"/>
    </row>
    <row r="15293" spans="7:7" ht="10.5" customHeight="1" x14ac:dyDescent="0.2">
      <c r="G15293" s="889"/>
    </row>
    <row r="15294" spans="7:7" ht="10.5" customHeight="1" x14ac:dyDescent="0.2">
      <c r="G15294" s="889"/>
    </row>
    <row r="15295" spans="7:7" ht="10.5" customHeight="1" x14ac:dyDescent="0.2">
      <c r="G15295" s="889"/>
    </row>
    <row r="15296" spans="7:7" ht="10.5" customHeight="1" x14ac:dyDescent="0.2">
      <c r="G15296" s="889"/>
    </row>
    <row r="15297" spans="7:7" ht="10.5" customHeight="1" x14ac:dyDescent="0.2">
      <c r="G15297" s="889"/>
    </row>
    <row r="15298" spans="7:7" ht="10.5" customHeight="1" x14ac:dyDescent="0.2">
      <c r="G15298" s="889"/>
    </row>
    <row r="15299" spans="7:7" ht="10.5" customHeight="1" x14ac:dyDescent="0.2">
      <c r="G15299" s="889"/>
    </row>
    <row r="15300" spans="7:7" ht="10.5" customHeight="1" x14ac:dyDescent="0.2">
      <c r="G15300" s="889"/>
    </row>
    <row r="15301" spans="7:7" ht="10.5" customHeight="1" x14ac:dyDescent="0.2">
      <c r="G15301" s="889"/>
    </row>
    <row r="15302" spans="7:7" ht="10.5" customHeight="1" x14ac:dyDescent="0.2">
      <c r="G15302" s="889"/>
    </row>
    <row r="15303" spans="7:7" ht="10.5" customHeight="1" x14ac:dyDescent="0.2">
      <c r="G15303" s="889"/>
    </row>
    <row r="15304" spans="7:7" ht="10.5" customHeight="1" x14ac:dyDescent="0.2">
      <c r="G15304" s="889"/>
    </row>
    <row r="15305" spans="7:7" ht="10.5" customHeight="1" x14ac:dyDescent="0.2">
      <c r="G15305" s="889"/>
    </row>
    <row r="15306" spans="7:7" ht="10.5" customHeight="1" x14ac:dyDescent="0.2">
      <c r="G15306" s="889"/>
    </row>
    <row r="15307" spans="7:7" ht="10.5" customHeight="1" x14ac:dyDescent="0.2">
      <c r="G15307" s="889"/>
    </row>
    <row r="15308" spans="7:7" ht="10.5" customHeight="1" x14ac:dyDescent="0.2">
      <c r="G15308" s="889"/>
    </row>
    <row r="15309" spans="7:7" ht="10.5" customHeight="1" x14ac:dyDescent="0.2">
      <c r="G15309" s="889"/>
    </row>
    <row r="15310" spans="7:7" ht="10.5" customHeight="1" x14ac:dyDescent="0.2">
      <c r="G15310" s="889"/>
    </row>
    <row r="15311" spans="7:7" ht="10.5" customHeight="1" x14ac:dyDescent="0.2">
      <c r="G15311" s="889"/>
    </row>
    <row r="15312" spans="7:7" ht="10.5" customHeight="1" x14ac:dyDescent="0.2">
      <c r="G15312" s="889"/>
    </row>
    <row r="15313" spans="7:7" ht="10.5" customHeight="1" x14ac:dyDescent="0.2">
      <c r="G15313" s="889"/>
    </row>
    <row r="15314" spans="7:7" ht="10.5" customHeight="1" x14ac:dyDescent="0.2">
      <c r="G15314" s="889"/>
    </row>
    <row r="15315" spans="7:7" ht="10.5" customHeight="1" x14ac:dyDescent="0.2">
      <c r="G15315" s="889"/>
    </row>
    <row r="15316" spans="7:7" ht="10.5" customHeight="1" x14ac:dyDescent="0.2">
      <c r="G15316" s="889"/>
    </row>
    <row r="15317" spans="7:7" ht="10.5" customHeight="1" x14ac:dyDescent="0.2">
      <c r="G15317" s="889"/>
    </row>
    <row r="15318" spans="7:7" ht="10.5" customHeight="1" x14ac:dyDescent="0.2">
      <c r="G15318" s="889"/>
    </row>
    <row r="15319" spans="7:7" ht="10.5" customHeight="1" x14ac:dyDescent="0.2">
      <c r="G15319" s="889"/>
    </row>
    <row r="15320" spans="7:7" ht="10.5" customHeight="1" x14ac:dyDescent="0.2">
      <c r="G15320" s="889"/>
    </row>
    <row r="15321" spans="7:7" ht="10.5" customHeight="1" x14ac:dyDescent="0.2">
      <c r="G15321" s="889"/>
    </row>
    <row r="15322" spans="7:7" ht="10.5" customHeight="1" x14ac:dyDescent="0.2">
      <c r="G15322" s="889"/>
    </row>
    <row r="15323" spans="7:7" ht="10.5" customHeight="1" x14ac:dyDescent="0.2">
      <c r="G15323" s="889"/>
    </row>
    <row r="15324" spans="7:7" ht="10.5" customHeight="1" x14ac:dyDescent="0.2">
      <c r="G15324" s="889"/>
    </row>
    <row r="15325" spans="7:7" ht="10.5" customHeight="1" x14ac:dyDescent="0.2">
      <c r="G15325" s="889"/>
    </row>
    <row r="15326" spans="7:7" ht="10.5" customHeight="1" x14ac:dyDescent="0.2">
      <c r="G15326" s="889"/>
    </row>
    <row r="15327" spans="7:7" ht="10.5" customHeight="1" x14ac:dyDescent="0.2">
      <c r="G15327" s="889"/>
    </row>
    <row r="15328" spans="7:7" ht="10.5" customHeight="1" x14ac:dyDescent="0.2">
      <c r="G15328" s="889"/>
    </row>
    <row r="15329" spans="7:7" ht="10.5" customHeight="1" x14ac:dyDescent="0.2">
      <c r="G15329" s="889"/>
    </row>
    <row r="15330" spans="7:7" ht="10.5" customHeight="1" x14ac:dyDescent="0.2">
      <c r="G15330" s="889"/>
    </row>
    <row r="15331" spans="7:7" ht="10.5" customHeight="1" x14ac:dyDescent="0.2">
      <c r="G15331" s="889"/>
    </row>
    <row r="15332" spans="7:7" ht="10.5" customHeight="1" x14ac:dyDescent="0.2">
      <c r="G15332" s="889"/>
    </row>
    <row r="15333" spans="7:7" ht="10.5" customHeight="1" x14ac:dyDescent="0.2">
      <c r="G15333" s="889"/>
    </row>
    <row r="15334" spans="7:7" ht="10.5" customHeight="1" x14ac:dyDescent="0.2">
      <c r="G15334" s="889"/>
    </row>
    <row r="15335" spans="7:7" ht="10.5" customHeight="1" x14ac:dyDescent="0.2">
      <c r="G15335" s="889"/>
    </row>
    <row r="15336" spans="7:7" ht="10.5" customHeight="1" x14ac:dyDescent="0.2">
      <c r="G15336" s="889"/>
    </row>
    <row r="15337" spans="7:7" ht="10.5" customHeight="1" x14ac:dyDescent="0.2">
      <c r="G15337" s="889"/>
    </row>
    <row r="15338" spans="7:7" ht="10.5" customHeight="1" x14ac:dyDescent="0.2">
      <c r="G15338" s="889"/>
    </row>
    <row r="15339" spans="7:7" ht="10.5" customHeight="1" x14ac:dyDescent="0.2">
      <c r="G15339" s="889"/>
    </row>
    <row r="15340" spans="7:7" ht="10.5" customHeight="1" x14ac:dyDescent="0.2">
      <c r="G15340" s="889"/>
    </row>
    <row r="15341" spans="7:7" ht="10.5" customHeight="1" x14ac:dyDescent="0.2">
      <c r="G15341" s="889"/>
    </row>
    <row r="15342" spans="7:7" ht="10.5" customHeight="1" x14ac:dyDescent="0.2">
      <c r="G15342" s="889"/>
    </row>
    <row r="15343" spans="7:7" ht="10.5" customHeight="1" x14ac:dyDescent="0.2">
      <c r="G15343" s="889"/>
    </row>
    <row r="15344" spans="7:7" ht="10.5" customHeight="1" x14ac:dyDescent="0.2">
      <c r="G15344" s="889"/>
    </row>
    <row r="15345" spans="7:7" ht="10.5" customHeight="1" x14ac:dyDescent="0.2">
      <c r="G15345" s="889"/>
    </row>
    <row r="15346" spans="7:7" ht="10.5" customHeight="1" x14ac:dyDescent="0.2">
      <c r="G15346" s="889"/>
    </row>
    <row r="15347" spans="7:7" ht="10.5" customHeight="1" x14ac:dyDescent="0.2">
      <c r="G15347" s="889"/>
    </row>
    <row r="15348" spans="7:7" ht="10.5" customHeight="1" x14ac:dyDescent="0.2">
      <c r="G15348" s="889"/>
    </row>
    <row r="15349" spans="7:7" ht="10.5" customHeight="1" x14ac:dyDescent="0.2">
      <c r="G15349" s="889"/>
    </row>
    <row r="15350" spans="7:7" ht="10.5" customHeight="1" x14ac:dyDescent="0.2">
      <c r="G15350" s="889"/>
    </row>
    <row r="15351" spans="7:7" ht="10.5" customHeight="1" x14ac:dyDescent="0.2">
      <c r="G15351" s="889"/>
    </row>
    <row r="15352" spans="7:7" ht="10.5" customHeight="1" x14ac:dyDescent="0.2">
      <c r="G15352" s="889"/>
    </row>
    <row r="15353" spans="7:7" ht="10.5" customHeight="1" x14ac:dyDescent="0.2">
      <c r="G15353" s="889"/>
    </row>
    <row r="15354" spans="7:7" ht="10.5" customHeight="1" x14ac:dyDescent="0.2">
      <c r="G15354" s="889"/>
    </row>
    <row r="15355" spans="7:7" ht="10.5" customHeight="1" x14ac:dyDescent="0.2">
      <c r="G15355" s="889"/>
    </row>
    <row r="15356" spans="7:7" ht="10.5" customHeight="1" x14ac:dyDescent="0.2">
      <c r="G15356" s="889"/>
    </row>
    <row r="15357" spans="7:7" ht="10.5" customHeight="1" x14ac:dyDescent="0.2">
      <c r="G15357" s="889"/>
    </row>
    <row r="15358" spans="7:7" ht="10.5" customHeight="1" x14ac:dyDescent="0.2">
      <c r="G15358" s="889"/>
    </row>
    <row r="15359" spans="7:7" ht="10.5" customHeight="1" x14ac:dyDescent="0.2">
      <c r="G15359" s="889"/>
    </row>
    <row r="15360" spans="7:7" ht="10.5" customHeight="1" x14ac:dyDescent="0.2">
      <c r="G15360" s="889"/>
    </row>
    <row r="15361" spans="7:7" ht="10.5" customHeight="1" x14ac:dyDescent="0.2">
      <c r="G15361" s="889"/>
    </row>
    <row r="15362" spans="7:7" ht="10.5" customHeight="1" x14ac:dyDescent="0.2">
      <c r="G15362" s="889"/>
    </row>
    <row r="15363" spans="7:7" ht="10.5" customHeight="1" x14ac:dyDescent="0.2">
      <c r="G15363" s="889"/>
    </row>
    <row r="15364" spans="7:7" ht="10.5" customHeight="1" x14ac:dyDescent="0.2">
      <c r="G15364" s="889"/>
    </row>
    <row r="15365" spans="7:7" ht="10.5" customHeight="1" x14ac:dyDescent="0.2">
      <c r="G15365" s="889"/>
    </row>
    <row r="15366" spans="7:7" ht="10.5" customHeight="1" x14ac:dyDescent="0.2">
      <c r="G15366" s="889"/>
    </row>
    <row r="15367" spans="7:7" ht="10.5" customHeight="1" x14ac:dyDescent="0.2">
      <c r="G15367" s="889"/>
    </row>
    <row r="15368" spans="7:7" ht="10.5" customHeight="1" x14ac:dyDescent="0.2">
      <c r="G15368" s="889"/>
    </row>
    <row r="15369" spans="7:7" ht="10.5" customHeight="1" x14ac:dyDescent="0.2">
      <c r="G15369" s="889"/>
    </row>
    <row r="15370" spans="7:7" ht="10.5" customHeight="1" x14ac:dyDescent="0.2">
      <c r="G15370" s="889"/>
    </row>
    <row r="15371" spans="7:7" ht="10.5" customHeight="1" x14ac:dyDescent="0.2">
      <c r="G15371" s="889"/>
    </row>
    <row r="15372" spans="7:7" ht="10.5" customHeight="1" x14ac:dyDescent="0.2">
      <c r="G15372" s="889"/>
    </row>
    <row r="15373" spans="7:7" ht="10.5" customHeight="1" x14ac:dyDescent="0.2">
      <c r="G15373" s="889"/>
    </row>
    <row r="15374" spans="7:7" ht="10.5" customHeight="1" x14ac:dyDescent="0.2">
      <c r="G15374" s="889"/>
    </row>
    <row r="15375" spans="7:7" ht="10.5" customHeight="1" x14ac:dyDescent="0.2">
      <c r="G15375" s="889"/>
    </row>
    <row r="15376" spans="7:7" ht="10.5" customHeight="1" x14ac:dyDescent="0.2">
      <c r="G15376" s="889"/>
    </row>
    <row r="15377" spans="7:7" ht="10.5" customHeight="1" x14ac:dyDescent="0.2">
      <c r="G15377" s="889"/>
    </row>
    <row r="15378" spans="7:7" ht="10.5" customHeight="1" x14ac:dyDescent="0.2">
      <c r="G15378" s="889"/>
    </row>
    <row r="15379" spans="7:7" ht="10.5" customHeight="1" x14ac:dyDescent="0.2">
      <c r="G15379" s="889"/>
    </row>
    <row r="15380" spans="7:7" ht="10.5" customHeight="1" x14ac:dyDescent="0.2">
      <c r="G15380" s="889"/>
    </row>
    <row r="15381" spans="7:7" ht="10.5" customHeight="1" x14ac:dyDescent="0.2">
      <c r="G15381" s="889"/>
    </row>
    <row r="15382" spans="7:7" ht="10.5" customHeight="1" x14ac:dyDescent="0.2">
      <c r="G15382" s="889"/>
    </row>
    <row r="15383" spans="7:7" ht="10.5" customHeight="1" x14ac:dyDescent="0.2">
      <c r="G15383" s="889"/>
    </row>
    <row r="15384" spans="7:7" ht="10.5" customHeight="1" x14ac:dyDescent="0.2">
      <c r="G15384" s="889"/>
    </row>
    <row r="15385" spans="7:7" ht="10.5" customHeight="1" x14ac:dyDescent="0.2">
      <c r="G15385" s="889"/>
    </row>
    <row r="15386" spans="7:7" ht="10.5" customHeight="1" x14ac:dyDescent="0.2">
      <c r="G15386" s="889"/>
    </row>
    <row r="15387" spans="7:7" ht="10.5" customHeight="1" x14ac:dyDescent="0.2">
      <c r="G15387" s="889"/>
    </row>
    <row r="15388" spans="7:7" ht="10.5" customHeight="1" x14ac:dyDescent="0.2">
      <c r="G15388" s="889"/>
    </row>
    <row r="15389" spans="7:7" ht="10.5" customHeight="1" x14ac:dyDescent="0.2">
      <c r="G15389" s="889"/>
    </row>
    <row r="15390" spans="7:7" ht="10.5" customHeight="1" x14ac:dyDescent="0.2">
      <c r="G15390" s="889"/>
    </row>
    <row r="15391" spans="7:7" ht="10.5" customHeight="1" x14ac:dyDescent="0.2">
      <c r="G15391" s="889"/>
    </row>
    <row r="15392" spans="7:7" ht="10.5" customHeight="1" x14ac:dyDescent="0.2">
      <c r="G15392" s="889"/>
    </row>
    <row r="15393" spans="7:7" ht="10.5" customHeight="1" x14ac:dyDescent="0.2">
      <c r="G15393" s="889"/>
    </row>
    <row r="15394" spans="7:7" ht="10.5" customHeight="1" x14ac:dyDescent="0.2">
      <c r="G15394" s="889"/>
    </row>
    <row r="15395" spans="7:7" ht="10.5" customHeight="1" x14ac:dyDescent="0.2">
      <c r="G15395" s="889"/>
    </row>
    <row r="15396" spans="7:7" ht="10.5" customHeight="1" x14ac:dyDescent="0.2">
      <c r="G15396" s="889"/>
    </row>
    <row r="15397" spans="7:7" ht="10.5" customHeight="1" x14ac:dyDescent="0.2">
      <c r="G15397" s="889"/>
    </row>
    <row r="15398" spans="7:7" ht="10.5" customHeight="1" x14ac:dyDescent="0.2">
      <c r="G15398" s="889"/>
    </row>
    <row r="15399" spans="7:7" ht="10.5" customHeight="1" x14ac:dyDescent="0.2">
      <c r="G15399" s="889"/>
    </row>
    <row r="15400" spans="7:7" ht="10.5" customHeight="1" x14ac:dyDescent="0.2">
      <c r="G15400" s="889"/>
    </row>
    <row r="15401" spans="7:7" ht="10.5" customHeight="1" x14ac:dyDescent="0.2">
      <c r="G15401" s="889"/>
    </row>
    <row r="15402" spans="7:7" ht="10.5" customHeight="1" x14ac:dyDescent="0.2">
      <c r="G15402" s="889"/>
    </row>
    <row r="15403" spans="7:7" ht="10.5" customHeight="1" x14ac:dyDescent="0.2">
      <c r="G15403" s="889"/>
    </row>
    <row r="15404" spans="7:7" ht="10.5" customHeight="1" x14ac:dyDescent="0.2">
      <c r="G15404" s="889"/>
    </row>
    <row r="15405" spans="7:7" ht="10.5" customHeight="1" x14ac:dyDescent="0.2">
      <c r="G15405" s="889"/>
    </row>
    <row r="15406" spans="7:7" ht="10.5" customHeight="1" x14ac:dyDescent="0.2">
      <c r="G15406" s="889"/>
    </row>
    <row r="15407" spans="7:7" ht="10.5" customHeight="1" x14ac:dyDescent="0.2">
      <c r="G15407" s="889"/>
    </row>
    <row r="15408" spans="7:7" ht="10.5" customHeight="1" x14ac:dyDescent="0.2">
      <c r="G15408" s="889"/>
    </row>
    <row r="15409" spans="7:7" ht="10.5" customHeight="1" x14ac:dyDescent="0.2">
      <c r="G15409" s="889"/>
    </row>
    <row r="15410" spans="7:7" ht="10.5" customHeight="1" x14ac:dyDescent="0.2">
      <c r="G15410" s="889"/>
    </row>
    <row r="15411" spans="7:7" ht="10.5" customHeight="1" x14ac:dyDescent="0.2">
      <c r="G15411" s="889"/>
    </row>
    <row r="15412" spans="7:7" ht="10.5" customHeight="1" x14ac:dyDescent="0.2">
      <c r="G15412" s="889"/>
    </row>
    <row r="15413" spans="7:7" ht="10.5" customHeight="1" x14ac:dyDescent="0.2">
      <c r="G15413" s="889"/>
    </row>
    <row r="15414" spans="7:7" ht="10.5" customHeight="1" x14ac:dyDescent="0.2">
      <c r="G15414" s="889"/>
    </row>
    <row r="15415" spans="7:7" ht="10.5" customHeight="1" x14ac:dyDescent="0.2">
      <c r="G15415" s="889"/>
    </row>
    <row r="15416" spans="7:7" ht="10.5" customHeight="1" x14ac:dyDescent="0.2">
      <c r="G15416" s="889"/>
    </row>
    <row r="15417" spans="7:7" ht="10.5" customHeight="1" x14ac:dyDescent="0.2">
      <c r="G15417" s="889"/>
    </row>
    <row r="15418" spans="7:7" ht="10.5" customHeight="1" x14ac:dyDescent="0.2">
      <c r="G15418" s="889"/>
    </row>
    <row r="15419" spans="7:7" ht="10.5" customHeight="1" x14ac:dyDescent="0.2">
      <c r="G15419" s="889"/>
    </row>
    <row r="15420" spans="7:7" ht="10.5" customHeight="1" x14ac:dyDescent="0.2">
      <c r="G15420" s="889"/>
    </row>
    <row r="15421" spans="7:7" ht="10.5" customHeight="1" x14ac:dyDescent="0.2">
      <c r="G15421" s="889"/>
    </row>
    <row r="15422" spans="7:7" ht="10.5" customHeight="1" x14ac:dyDescent="0.2">
      <c r="G15422" s="889"/>
    </row>
    <row r="15423" spans="7:7" ht="10.5" customHeight="1" x14ac:dyDescent="0.2">
      <c r="G15423" s="889"/>
    </row>
    <row r="15424" spans="7:7" ht="10.5" customHeight="1" x14ac:dyDescent="0.2">
      <c r="G15424" s="889"/>
    </row>
    <row r="15425" spans="7:7" ht="10.5" customHeight="1" x14ac:dyDescent="0.2">
      <c r="G15425" s="889"/>
    </row>
    <row r="15426" spans="7:7" ht="10.5" customHeight="1" x14ac:dyDescent="0.2">
      <c r="G15426" s="889"/>
    </row>
    <row r="15427" spans="7:7" ht="10.5" customHeight="1" x14ac:dyDescent="0.2">
      <c r="G15427" s="889"/>
    </row>
    <row r="15428" spans="7:7" ht="10.5" customHeight="1" x14ac:dyDescent="0.2">
      <c r="G15428" s="889"/>
    </row>
    <row r="15429" spans="7:7" ht="10.5" customHeight="1" x14ac:dyDescent="0.2">
      <c r="G15429" s="889"/>
    </row>
    <row r="15430" spans="7:7" ht="10.5" customHeight="1" x14ac:dyDescent="0.2">
      <c r="G15430" s="889"/>
    </row>
    <row r="15431" spans="7:7" ht="10.5" customHeight="1" x14ac:dyDescent="0.2">
      <c r="G15431" s="889"/>
    </row>
    <row r="15432" spans="7:7" ht="10.5" customHeight="1" x14ac:dyDescent="0.2">
      <c r="G15432" s="889"/>
    </row>
    <row r="15433" spans="7:7" ht="10.5" customHeight="1" x14ac:dyDescent="0.2">
      <c r="G15433" s="889"/>
    </row>
    <row r="15434" spans="7:7" ht="10.5" customHeight="1" x14ac:dyDescent="0.2">
      <c r="G15434" s="889"/>
    </row>
    <row r="15435" spans="7:7" ht="10.5" customHeight="1" x14ac:dyDescent="0.2">
      <c r="G15435" s="889"/>
    </row>
    <row r="15436" spans="7:7" ht="10.5" customHeight="1" x14ac:dyDescent="0.2">
      <c r="G15436" s="889"/>
    </row>
    <row r="15437" spans="7:7" ht="10.5" customHeight="1" x14ac:dyDescent="0.2">
      <c r="G15437" s="889"/>
    </row>
    <row r="15438" spans="7:7" ht="10.5" customHeight="1" x14ac:dyDescent="0.2">
      <c r="G15438" s="889"/>
    </row>
    <row r="15439" spans="7:7" ht="10.5" customHeight="1" x14ac:dyDescent="0.2">
      <c r="G15439" s="889"/>
    </row>
    <row r="15440" spans="7:7" ht="10.5" customHeight="1" x14ac:dyDescent="0.2">
      <c r="G15440" s="889"/>
    </row>
    <row r="15441" spans="7:7" ht="10.5" customHeight="1" x14ac:dyDescent="0.2">
      <c r="G15441" s="889"/>
    </row>
    <row r="15442" spans="7:7" ht="10.5" customHeight="1" x14ac:dyDescent="0.2">
      <c r="G15442" s="889"/>
    </row>
    <row r="15443" spans="7:7" ht="10.5" customHeight="1" x14ac:dyDescent="0.2">
      <c r="G15443" s="889"/>
    </row>
    <row r="15444" spans="7:7" ht="10.5" customHeight="1" x14ac:dyDescent="0.2">
      <c r="G15444" s="889"/>
    </row>
    <row r="15445" spans="7:7" ht="10.5" customHeight="1" x14ac:dyDescent="0.2">
      <c r="G15445" s="889"/>
    </row>
    <row r="15446" spans="7:7" ht="10.5" customHeight="1" x14ac:dyDescent="0.2">
      <c r="G15446" s="889"/>
    </row>
    <row r="15447" spans="7:7" ht="10.5" customHeight="1" x14ac:dyDescent="0.2">
      <c r="G15447" s="889"/>
    </row>
    <row r="15448" spans="7:7" ht="10.5" customHeight="1" x14ac:dyDescent="0.2">
      <c r="G15448" s="889"/>
    </row>
    <row r="15449" spans="7:7" ht="10.5" customHeight="1" x14ac:dyDescent="0.2">
      <c r="G15449" s="889"/>
    </row>
    <row r="15450" spans="7:7" ht="10.5" customHeight="1" x14ac:dyDescent="0.2">
      <c r="G15450" s="889"/>
    </row>
    <row r="15451" spans="7:7" ht="10.5" customHeight="1" x14ac:dyDescent="0.2">
      <c r="G15451" s="889"/>
    </row>
    <row r="15452" spans="7:7" ht="10.5" customHeight="1" x14ac:dyDescent="0.2">
      <c r="G15452" s="889"/>
    </row>
    <row r="15453" spans="7:7" ht="10.5" customHeight="1" x14ac:dyDescent="0.2">
      <c r="G15453" s="889"/>
    </row>
    <row r="15454" spans="7:7" ht="10.5" customHeight="1" x14ac:dyDescent="0.2">
      <c r="G15454" s="889"/>
    </row>
    <row r="15455" spans="7:7" ht="10.5" customHeight="1" x14ac:dyDescent="0.2">
      <c r="G15455" s="889"/>
    </row>
    <row r="15456" spans="7:7" ht="10.5" customHeight="1" x14ac:dyDescent="0.2">
      <c r="G15456" s="889"/>
    </row>
    <row r="15457" spans="7:7" ht="10.5" customHeight="1" x14ac:dyDescent="0.2">
      <c r="G15457" s="889"/>
    </row>
    <row r="15458" spans="7:7" ht="10.5" customHeight="1" x14ac:dyDescent="0.2">
      <c r="G15458" s="889"/>
    </row>
    <row r="15459" spans="7:7" ht="10.5" customHeight="1" x14ac:dyDescent="0.2">
      <c r="G15459" s="889"/>
    </row>
    <row r="15460" spans="7:7" ht="10.5" customHeight="1" x14ac:dyDescent="0.2">
      <c r="G15460" s="889"/>
    </row>
    <row r="15461" spans="7:7" ht="10.5" customHeight="1" x14ac:dyDescent="0.2">
      <c r="G15461" s="889"/>
    </row>
    <row r="15462" spans="7:7" ht="10.5" customHeight="1" x14ac:dyDescent="0.2">
      <c r="G15462" s="889"/>
    </row>
    <row r="15463" spans="7:7" ht="10.5" customHeight="1" x14ac:dyDescent="0.2">
      <c r="G15463" s="889"/>
    </row>
    <row r="15464" spans="7:7" ht="10.5" customHeight="1" x14ac:dyDescent="0.2">
      <c r="G15464" s="889"/>
    </row>
    <row r="15465" spans="7:7" ht="10.5" customHeight="1" x14ac:dyDescent="0.2">
      <c r="G15465" s="889"/>
    </row>
    <row r="15466" spans="7:7" ht="10.5" customHeight="1" x14ac:dyDescent="0.2">
      <c r="G15466" s="889"/>
    </row>
    <row r="15467" spans="7:7" ht="10.5" customHeight="1" x14ac:dyDescent="0.2">
      <c r="G15467" s="889"/>
    </row>
    <row r="15468" spans="7:7" ht="10.5" customHeight="1" x14ac:dyDescent="0.2">
      <c r="G15468" s="889"/>
    </row>
    <row r="15469" spans="7:7" ht="10.5" customHeight="1" x14ac:dyDescent="0.2">
      <c r="G15469" s="889"/>
    </row>
    <row r="15470" spans="7:7" ht="10.5" customHeight="1" x14ac:dyDescent="0.2">
      <c r="G15470" s="889"/>
    </row>
    <row r="15471" spans="7:7" ht="10.5" customHeight="1" x14ac:dyDescent="0.2">
      <c r="G15471" s="889"/>
    </row>
    <row r="15472" spans="7:7" ht="10.5" customHeight="1" x14ac:dyDescent="0.2">
      <c r="G15472" s="889"/>
    </row>
    <row r="15473" spans="7:7" ht="10.5" customHeight="1" x14ac:dyDescent="0.2">
      <c r="G15473" s="889"/>
    </row>
    <row r="15474" spans="7:7" ht="10.5" customHeight="1" x14ac:dyDescent="0.2">
      <c r="G15474" s="889"/>
    </row>
    <row r="15475" spans="7:7" ht="10.5" customHeight="1" x14ac:dyDescent="0.2">
      <c r="G15475" s="889"/>
    </row>
    <row r="15476" spans="7:7" ht="10.5" customHeight="1" x14ac:dyDescent="0.2">
      <c r="G15476" s="889"/>
    </row>
    <row r="15477" spans="7:7" ht="10.5" customHeight="1" x14ac:dyDescent="0.2">
      <c r="G15477" s="889"/>
    </row>
    <row r="15478" spans="7:7" ht="10.5" customHeight="1" x14ac:dyDescent="0.2">
      <c r="G15478" s="889"/>
    </row>
    <row r="15479" spans="7:7" ht="10.5" customHeight="1" x14ac:dyDescent="0.2">
      <c r="G15479" s="889"/>
    </row>
    <row r="15480" spans="7:7" ht="10.5" customHeight="1" x14ac:dyDescent="0.2">
      <c r="G15480" s="889"/>
    </row>
    <row r="15481" spans="7:7" ht="10.5" customHeight="1" x14ac:dyDescent="0.2">
      <c r="G15481" s="889"/>
    </row>
    <row r="15482" spans="7:7" ht="10.5" customHeight="1" x14ac:dyDescent="0.2">
      <c r="G15482" s="889"/>
    </row>
    <row r="15483" spans="7:7" ht="10.5" customHeight="1" x14ac:dyDescent="0.2">
      <c r="G15483" s="889"/>
    </row>
    <row r="15484" spans="7:7" ht="10.5" customHeight="1" x14ac:dyDescent="0.2">
      <c r="G15484" s="889"/>
    </row>
    <row r="15485" spans="7:7" ht="10.5" customHeight="1" x14ac:dyDescent="0.2">
      <c r="G15485" s="889"/>
    </row>
    <row r="15486" spans="7:7" ht="10.5" customHeight="1" x14ac:dyDescent="0.2">
      <c r="G15486" s="889"/>
    </row>
    <row r="15487" spans="7:7" ht="10.5" customHeight="1" x14ac:dyDescent="0.2">
      <c r="G15487" s="889"/>
    </row>
    <row r="15488" spans="7:7" ht="10.5" customHeight="1" x14ac:dyDescent="0.2">
      <c r="G15488" s="889"/>
    </row>
    <row r="15489" spans="7:7" ht="10.5" customHeight="1" x14ac:dyDescent="0.2">
      <c r="G15489" s="889"/>
    </row>
    <row r="15490" spans="7:7" ht="10.5" customHeight="1" x14ac:dyDescent="0.2">
      <c r="G15490" s="889"/>
    </row>
    <row r="15491" spans="7:7" ht="10.5" customHeight="1" x14ac:dyDescent="0.2">
      <c r="G15491" s="889"/>
    </row>
    <row r="15492" spans="7:7" ht="10.5" customHeight="1" x14ac:dyDescent="0.2">
      <c r="G15492" s="889"/>
    </row>
    <row r="15493" spans="7:7" ht="10.5" customHeight="1" x14ac:dyDescent="0.2">
      <c r="G15493" s="889"/>
    </row>
    <row r="15494" spans="7:7" ht="10.5" customHeight="1" x14ac:dyDescent="0.2">
      <c r="G15494" s="889"/>
    </row>
    <row r="15495" spans="7:7" ht="10.5" customHeight="1" x14ac:dyDescent="0.2">
      <c r="G15495" s="889"/>
    </row>
    <row r="15496" spans="7:7" ht="10.5" customHeight="1" x14ac:dyDescent="0.2">
      <c r="G15496" s="889"/>
    </row>
    <row r="15497" spans="7:7" ht="10.5" customHeight="1" x14ac:dyDescent="0.2">
      <c r="G15497" s="889"/>
    </row>
    <row r="15498" spans="7:7" ht="10.5" customHeight="1" x14ac:dyDescent="0.2">
      <c r="G15498" s="889"/>
    </row>
    <row r="15499" spans="7:7" ht="10.5" customHeight="1" x14ac:dyDescent="0.2">
      <c r="G15499" s="889"/>
    </row>
    <row r="15500" spans="7:7" ht="10.5" customHeight="1" x14ac:dyDescent="0.2">
      <c r="G15500" s="889"/>
    </row>
    <row r="15501" spans="7:7" ht="10.5" customHeight="1" x14ac:dyDescent="0.2">
      <c r="G15501" s="889"/>
    </row>
    <row r="15502" spans="7:7" ht="10.5" customHeight="1" x14ac:dyDescent="0.2">
      <c r="G15502" s="889"/>
    </row>
    <row r="15503" spans="7:7" ht="10.5" customHeight="1" x14ac:dyDescent="0.2">
      <c r="G15503" s="889"/>
    </row>
    <row r="15504" spans="7:7" ht="10.5" customHeight="1" x14ac:dyDescent="0.2">
      <c r="G15504" s="889"/>
    </row>
    <row r="15505" spans="7:7" ht="10.5" customHeight="1" x14ac:dyDescent="0.2">
      <c r="G15505" s="889"/>
    </row>
    <row r="15506" spans="7:7" ht="10.5" customHeight="1" x14ac:dyDescent="0.2">
      <c r="G15506" s="889"/>
    </row>
    <row r="15507" spans="7:7" ht="10.5" customHeight="1" x14ac:dyDescent="0.2">
      <c r="G15507" s="889"/>
    </row>
    <row r="15508" spans="7:7" ht="10.5" customHeight="1" x14ac:dyDescent="0.2">
      <c r="G15508" s="889"/>
    </row>
    <row r="15509" spans="7:7" ht="10.5" customHeight="1" x14ac:dyDescent="0.2">
      <c r="G15509" s="889"/>
    </row>
    <row r="15510" spans="7:7" ht="10.5" customHeight="1" x14ac:dyDescent="0.2">
      <c r="G15510" s="889"/>
    </row>
    <row r="15511" spans="7:7" ht="10.5" customHeight="1" x14ac:dyDescent="0.2">
      <c r="G15511" s="889"/>
    </row>
    <row r="15512" spans="7:7" ht="10.5" customHeight="1" x14ac:dyDescent="0.2">
      <c r="G15512" s="889"/>
    </row>
    <row r="15513" spans="7:7" ht="10.5" customHeight="1" x14ac:dyDescent="0.2">
      <c r="G15513" s="889"/>
    </row>
    <row r="15514" spans="7:7" ht="10.5" customHeight="1" x14ac:dyDescent="0.2">
      <c r="G15514" s="889"/>
    </row>
    <row r="15515" spans="7:7" ht="10.5" customHeight="1" x14ac:dyDescent="0.2">
      <c r="G15515" s="889"/>
    </row>
    <row r="15516" spans="7:7" ht="10.5" customHeight="1" x14ac:dyDescent="0.2">
      <c r="G15516" s="889"/>
    </row>
    <row r="15517" spans="7:7" ht="10.5" customHeight="1" x14ac:dyDescent="0.2">
      <c r="G15517" s="889"/>
    </row>
    <row r="15518" spans="7:7" ht="10.5" customHeight="1" x14ac:dyDescent="0.2">
      <c r="G15518" s="889"/>
    </row>
    <row r="15519" spans="7:7" ht="10.5" customHeight="1" x14ac:dyDescent="0.2">
      <c r="G15519" s="889"/>
    </row>
    <row r="15520" spans="7:7" ht="10.5" customHeight="1" x14ac:dyDescent="0.2">
      <c r="G15520" s="889"/>
    </row>
    <row r="15521" spans="7:7" ht="10.5" customHeight="1" x14ac:dyDescent="0.2">
      <c r="G15521" s="889"/>
    </row>
    <row r="15522" spans="7:7" ht="10.5" customHeight="1" x14ac:dyDescent="0.2">
      <c r="G15522" s="889"/>
    </row>
    <row r="15523" spans="7:7" ht="10.5" customHeight="1" x14ac:dyDescent="0.2">
      <c r="G15523" s="889"/>
    </row>
    <row r="15524" spans="7:7" ht="10.5" customHeight="1" x14ac:dyDescent="0.2">
      <c r="G15524" s="889"/>
    </row>
    <row r="15525" spans="7:7" ht="10.5" customHeight="1" x14ac:dyDescent="0.2">
      <c r="G15525" s="889"/>
    </row>
    <row r="15526" spans="7:7" ht="10.5" customHeight="1" x14ac:dyDescent="0.2">
      <c r="G15526" s="889"/>
    </row>
    <row r="15527" spans="7:7" ht="10.5" customHeight="1" x14ac:dyDescent="0.2">
      <c r="G15527" s="889"/>
    </row>
    <row r="15528" spans="7:7" ht="10.5" customHeight="1" x14ac:dyDescent="0.2">
      <c r="G15528" s="889"/>
    </row>
    <row r="15529" spans="7:7" ht="10.5" customHeight="1" x14ac:dyDescent="0.2">
      <c r="G15529" s="889"/>
    </row>
    <row r="15530" spans="7:7" ht="10.5" customHeight="1" x14ac:dyDescent="0.2">
      <c r="G15530" s="889"/>
    </row>
    <row r="15531" spans="7:7" ht="10.5" customHeight="1" x14ac:dyDescent="0.2">
      <c r="G15531" s="889"/>
    </row>
    <row r="15532" spans="7:7" ht="10.5" customHeight="1" x14ac:dyDescent="0.2">
      <c r="G15532" s="889"/>
    </row>
    <row r="15533" spans="7:7" ht="10.5" customHeight="1" x14ac:dyDescent="0.2">
      <c r="G15533" s="889"/>
    </row>
    <row r="15534" spans="7:7" ht="10.5" customHeight="1" x14ac:dyDescent="0.2">
      <c r="G15534" s="889"/>
    </row>
    <row r="15535" spans="7:7" ht="10.5" customHeight="1" x14ac:dyDescent="0.2">
      <c r="G15535" s="889"/>
    </row>
    <row r="15536" spans="7:7" ht="10.5" customHeight="1" x14ac:dyDescent="0.2">
      <c r="G15536" s="889"/>
    </row>
    <row r="15537" spans="7:7" ht="10.5" customHeight="1" x14ac:dyDescent="0.2">
      <c r="G15537" s="889"/>
    </row>
    <row r="15538" spans="7:7" ht="10.5" customHeight="1" x14ac:dyDescent="0.2">
      <c r="G15538" s="889"/>
    </row>
    <row r="15539" spans="7:7" ht="10.5" customHeight="1" x14ac:dyDescent="0.2">
      <c r="G15539" s="889"/>
    </row>
    <row r="15540" spans="7:7" ht="10.5" customHeight="1" x14ac:dyDescent="0.2">
      <c r="G15540" s="889"/>
    </row>
    <row r="15541" spans="7:7" ht="10.5" customHeight="1" x14ac:dyDescent="0.2">
      <c r="G15541" s="889"/>
    </row>
    <row r="15542" spans="7:7" ht="10.5" customHeight="1" x14ac:dyDescent="0.2">
      <c r="G15542" s="889"/>
    </row>
    <row r="15543" spans="7:7" ht="10.5" customHeight="1" x14ac:dyDescent="0.2">
      <c r="G15543" s="889"/>
    </row>
    <row r="15544" spans="7:7" ht="10.5" customHeight="1" x14ac:dyDescent="0.2">
      <c r="G15544" s="889"/>
    </row>
    <row r="15545" spans="7:7" ht="10.5" customHeight="1" x14ac:dyDescent="0.2">
      <c r="G15545" s="889"/>
    </row>
    <row r="15546" spans="7:7" ht="10.5" customHeight="1" x14ac:dyDescent="0.2">
      <c r="G15546" s="889"/>
    </row>
    <row r="15547" spans="7:7" ht="10.5" customHeight="1" x14ac:dyDescent="0.2">
      <c r="G15547" s="889"/>
    </row>
    <row r="15548" spans="7:7" ht="10.5" customHeight="1" x14ac:dyDescent="0.2">
      <c r="G15548" s="889"/>
    </row>
    <row r="15549" spans="7:7" ht="10.5" customHeight="1" x14ac:dyDescent="0.2">
      <c r="G15549" s="889"/>
    </row>
    <row r="15550" spans="7:7" ht="10.5" customHeight="1" x14ac:dyDescent="0.2">
      <c r="G15550" s="889"/>
    </row>
    <row r="15551" spans="7:7" ht="10.5" customHeight="1" x14ac:dyDescent="0.2">
      <c r="G15551" s="889"/>
    </row>
    <row r="15552" spans="7:7" ht="10.5" customHeight="1" x14ac:dyDescent="0.2">
      <c r="G15552" s="889"/>
    </row>
    <row r="15553" spans="7:7" ht="10.5" customHeight="1" x14ac:dyDescent="0.2">
      <c r="G15553" s="889"/>
    </row>
    <row r="15554" spans="7:7" ht="10.5" customHeight="1" x14ac:dyDescent="0.2">
      <c r="G15554" s="889"/>
    </row>
    <row r="15555" spans="7:7" ht="10.5" customHeight="1" x14ac:dyDescent="0.2">
      <c r="G15555" s="889"/>
    </row>
    <row r="15556" spans="7:7" ht="10.5" customHeight="1" x14ac:dyDescent="0.2">
      <c r="G15556" s="889"/>
    </row>
    <row r="15557" spans="7:7" ht="10.5" customHeight="1" x14ac:dyDescent="0.2">
      <c r="G15557" s="889"/>
    </row>
    <row r="15558" spans="7:7" ht="10.5" customHeight="1" x14ac:dyDescent="0.2">
      <c r="G15558" s="889"/>
    </row>
    <row r="15559" spans="7:7" ht="10.5" customHeight="1" x14ac:dyDescent="0.2">
      <c r="G15559" s="889"/>
    </row>
    <row r="15560" spans="7:7" ht="10.5" customHeight="1" x14ac:dyDescent="0.2">
      <c r="G15560" s="889"/>
    </row>
    <row r="15561" spans="7:7" ht="10.5" customHeight="1" x14ac:dyDescent="0.2">
      <c r="G15561" s="889"/>
    </row>
    <row r="15562" spans="7:7" ht="10.5" customHeight="1" x14ac:dyDescent="0.2">
      <c r="G15562" s="889"/>
    </row>
    <row r="15563" spans="7:7" ht="10.5" customHeight="1" x14ac:dyDescent="0.2">
      <c r="G15563" s="889"/>
    </row>
    <row r="15564" spans="7:7" ht="10.5" customHeight="1" x14ac:dyDescent="0.2">
      <c r="G15564" s="889"/>
    </row>
    <row r="15565" spans="7:7" ht="10.5" customHeight="1" x14ac:dyDescent="0.2">
      <c r="G15565" s="889"/>
    </row>
    <row r="15566" spans="7:7" ht="10.5" customHeight="1" x14ac:dyDescent="0.2">
      <c r="G15566" s="889"/>
    </row>
    <row r="15567" spans="7:7" ht="10.5" customHeight="1" x14ac:dyDescent="0.2">
      <c r="G15567" s="889"/>
    </row>
    <row r="15568" spans="7:7" ht="10.5" customHeight="1" x14ac:dyDescent="0.2">
      <c r="G15568" s="889"/>
    </row>
    <row r="15569" spans="7:7" ht="10.5" customHeight="1" x14ac:dyDescent="0.2">
      <c r="G15569" s="889"/>
    </row>
    <row r="15570" spans="7:7" ht="10.5" customHeight="1" x14ac:dyDescent="0.2">
      <c r="G15570" s="889"/>
    </row>
    <row r="15571" spans="7:7" ht="10.5" customHeight="1" x14ac:dyDescent="0.2">
      <c r="G15571" s="889"/>
    </row>
    <row r="15572" spans="7:7" ht="10.5" customHeight="1" x14ac:dyDescent="0.2">
      <c r="G15572" s="889"/>
    </row>
    <row r="15573" spans="7:7" ht="10.5" customHeight="1" x14ac:dyDescent="0.2">
      <c r="G15573" s="889"/>
    </row>
    <row r="15574" spans="7:7" ht="10.5" customHeight="1" x14ac:dyDescent="0.2">
      <c r="G15574" s="889"/>
    </row>
    <row r="15575" spans="7:7" ht="10.5" customHeight="1" x14ac:dyDescent="0.2">
      <c r="G15575" s="889"/>
    </row>
    <row r="15576" spans="7:7" ht="10.5" customHeight="1" x14ac:dyDescent="0.2">
      <c r="G15576" s="889"/>
    </row>
    <row r="15577" spans="7:7" ht="10.5" customHeight="1" x14ac:dyDescent="0.2">
      <c r="G15577" s="889"/>
    </row>
    <row r="15578" spans="7:7" ht="10.5" customHeight="1" x14ac:dyDescent="0.2">
      <c r="G15578" s="889"/>
    </row>
    <row r="15579" spans="7:7" ht="10.5" customHeight="1" x14ac:dyDescent="0.2">
      <c r="G15579" s="889"/>
    </row>
    <row r="15580" spans="7:7" ht="10.5" customHeight="1" x14ac:dyDescent="0.2">
      <c r="G15580" s="889"/>
    </row>
    <row r="15581" spans="7:7" ht="10.5" customHeight="1" x14ac:dyDescent="0.2">
      <c r="G15581" s="889"/>
    </row>
    <row r="15582" spans="7:7" ht="10.5" customHeight="1" x14ac:dyDescent="0.2">
      <c r="G15582" s="889"/>
    </row>
    <row r="15583" spans="7:7" ht="10.5" customHeight="1" x14ac:dyDescent="0.2">
      <c r="G15583" s="889"/>
    </row>
    <row r="15584" spans="7:7" ht="10.5" customHeight="1" x14ac:dyDescent="0.2">
      <c r="G15584" s="889"/>
    </row>
    <row r="15585" spans="7:7" ht="10.5" customHeight="1" x14ac:dyDescent="0.2">
      <c r="G15585" s="889"/>
    </row>
    <row r="15586" spans="7:7" ht="10.5" customHeight="1" x14ac:dyDescent="0.2">
      <c r="G15586" s="889"/>
    </row>
    <row r="15587" spans="7:7" ht="10.5" customHeight="1" x14ac:dyDescent="0.2">
      <c r="G15587" s="889"/>
    </row>
    <row r="15588" spans="7:7" ht="10.5" customHeight="1" x14ac:dyDescent="0.2">
      <c r="G15588" s="889"/>
    </row>
    <row r="15589" spans="7:7" ht="10.5" customHeight="1" x14ac:dyDescent="0.2">
      <c r="G15589" s="889"/>
    </row>
    <row r="15590" spans="7:7" ht="10.5" customHeight="1" x14ac:dyDescent="0.2">
      <c r="G15590" s="889"/>
    </row>
    <row r="15591" spans="7:7" ht="10.5" customHeight="1" x14ac:dyDescent="0.2">
      <c r="G15591" s="889"/>
    </row>
    <row r="15592" spans="7:7" ht="10.5" customHeight="1" x14ac:dyDescent="0.2">
      <c r="G15592" s="889"/>
    </row>
    <row r="15593" spans="7:7" ht="10.5" customHeight="1" x14ac:dyDescent="0.2">
      <c r="G15593" s="889"/>
    </row>
    <row r="15594" spans="7:7" ht="10.5" customHeight="1" x14ac:dyDescent="0.2">
      <c r="G15594" s="889"/>
    </row>
    <row r="15595" spans="7:7" ht="10.5" customHeight="1" x14ac:dyDescent="0.2">
      <c r="G15595" s="889"/>
    </row>
    <row r="15596" spans="7:7" ht="10.5" customHeight="1" x14ac:dyDescent="0.2">
      <c r="G15596" s="889"/>
    </row>
    <row r="15597" spans="7:7" ht="10.5" customHeight="1" x14ac:dyDescent="0.2">
      <c r="G15597" s="889"/>
    </row>
    <row r="15598" spans="7:7" ht="10.5" customHeight="1" x14ac:dyDescent="0.2">
      <c r="G15598" s="889"/>
    </row>
    <row r="15599" spans="7:7" ht="10.5" customHeight="1" x14ac:dyDescent="0.2">
      <c r="G15599" s="889"/>
    </row>
    <row r="15600" spans="7:7" ht="10.5" customHeight="1" x14ac:dyDescent="0.2">
      <c r="G15600" s="889"/>
    </row>
    <row r="15601" spans="7:7" ht="10.5" customHeight="1" x14ac:dyDescent="0.2">
      <c r="G15601" s="889"/>
    </row>
    <row r="15602" spans="7:7" ht="10.5" customHeight="1" x14ac:dyDescent="0.2">
      <c r="G15602" s="889"/>
    </row>
    <row r="15603" spans="7:7" ht="10.5" customHeight="1" x14ac:dyDescent="0.2">
      <c r="G15603" s="889"/>
    </row>
    <row r="15604" spans="7:7" ht="10.5" customHeight="1" x14ac:dyDescent="0.2">
      <c r="G15604" s="889"/>
    </row>
    <row r="15605" spans="7:7" ht="10.5" customHeight="1" x14ac:dyDescent="0.2">
      <c r="G15605" s="889"/>
    </row>
    <row r="15606" spans="7:7" ht="10.5" customHeight="1" x14ac:dyDescent="0.2">
      <c r="G15606" s="889"/>
    </row>
    <row r="15607" spans="7:7" ht="10.5" customHeight="1" x14ac:dyDescent="0.2">
      <c r="G15607" s="889"/>
    </row>
    <row r="15608" spans="7:7" ht="10.5" customHeight="1" x14ac:dyDescent="0.2">
      <c r="G15608" s="889"/>
    </row>
    <row r="15609" spans="7:7" ht="10.5" customHeight="1" x14ac:dyDescent="0.2">
      <c r="G15609" s="889"/>
    </row>
    <row r="15610" spans="7:7" ht="10.5" customHeight="1" x14ac:dyDescent="0.2">
      <c r="G15610" s="889"/>
    </row>
    <row r="15611" spans="7:7" ht="10.5" customHeight="1" x14ac:dyDescent="0.2">
      <c r="G15611" s="889"/>
    </row>
    <row r="15612" spans="7:7" ht="10.5" customHeight="1" x14ac:dyDescent="0.2">
      <c r="G15612" s="889"/>
    </row>
    <row r="15613" spans="7:7" ht="10.5" customHeight="1" x14ac:dyDescent="0.2">
      <c r="G15613" s="889"/>
    </row>
    <row r="15614" spans="7:7" ht="10.5" customHeight="1" x14ac:dyDescent="0.2">
      <c r="G15614" s="889"/>
    </row>
    <row r="15615" spans="7:7" ht="10.5" customHeight="1" x14ac:dyDescent="0.2">
      <c r="G15615" s="889"/>
    </row>
    <row r="15616" spans="7:7" ht="10.5" customHeight="1" x14ac:dyDescent="0.2">
      <c r="G15616" s="889"/>
    </row>
    <row r="15617" spans="7:7" ht="10.5" customHeight="1" x14ac:dyDescent="0.2">
      <c r="G15617" s="889"/>
    </row>
    <row r="15618" spans="7:7" ht="10.5" customHeight="1" x14ac:dyDescent="0.2">
      <c r="G15618" s="889"/>
    </row>
    <row r="15619" spans="7:7" ht="10.5" customHeight="1" x14ac:dyDescent="0.2">
      <c r="G15619" s="889"/>
    </row>
    <row r="15620" spans="7:7" ht="10.5" customHeight="1" x14ac:dyDescent="0.2">
      <c r="G15620" s="889"/>
    </row>
    <row r="15621" spans="7:7" ht="10.5" customHeight="1" x14ac:dyDescent="0.2">
      <c r="G15621" s="889"/>
    </row>
    <row r="15622" spans="7:7" ht="10.5" customHeight="1" x14ac:dyDescent="0.2">
      <c r="G15622" s="889"/>
    </row>
    <row r="15623" spans="7:7" ht="10.5" customHeight="1" x14ac:dyDescent="0.2">
      <c r="G15623" s="889"/>
    </row>
    <row r="15624" spans="7:7" ht="10.5" customHeight="1" x14ac:dyDescent="0.2">
      <c r="G15624" s="889"/>
    </row>
    <row r="15625" spans="7:7" ht="10.5" customHeight="1" x14ac:dyDescent="0.2">
      <c r="G15625" s="889"/>
    </row>
    <row r="15626" spans="7:7" ht="10.5" customHeight="1" x14ac:dyDescent="0.2">
      <c r="G15626" s="889"/>
    </row>
    <row r="15627" spans="7:7" ht="10.5" customHeight="1" x14ac:dyDescent="0.2">
      <c r="G15627" s="889"/>
    </row>
    <row r="15628" spans="7:7" ht="10.5" customHeight="1" x14ac:dyDescent="0.2">
      <c r="G15628" s="889"/>
    </row>
    <row r="15629" spans="7:7" ht="10.5" customHeight="1" x14ac:dyDescent="0.2">
      <c r="G15629" s="889"/>
    </row>
    <row r="15630" spans="7:7" ht="10.5" customHeight="1" x14ac:dyDescent="0.2">
      <c r="G15630" s="889"/>
    </row>
    <row r="15631" spans="7:7" ht="10.5" customHeight="1" x14ac:dyDescent="0.2">
      <c r="G15631" s="889"/>
    </row>
    <row r="15632" spans="7:7" ht="10.5" customHeight="1" x14ac:dyDescent="0.2">
      <c r="G15632" s="889"/>
    </row>
    <row r="15633" spans="7:7" ht="10.5" customHeight="1" x14ac:dyDescent="0.2">
      <c r="G15633" s="889"/>
    </row>
    <row r="15634" spans="7:7" ht="10.5" customHeight="1" x14ac:dyDescent="0.2">
      <c r="G15634" s="889"/>
    </row>
    <row r="15635" spans="7:7" ht="10.5" customHeight="1" x14ac:dyDescent="0.2">
      <c r="G15635" s="889"/>
    </row>
    <row r="15636" spans="7:7" ht="10.5" customHeight="1" x14ac:dyDescent="0.2">
      <c r="G15636" s="889"/>
    </row>
    <row r="15637" spans="7:7" ht="10.5" customHeight="1" x14ac:dyDescent="0.2">
      <c r="G15637" s="889"/>
    </row>
    <row r="15638" spans="7:7" ht="10.5" customHeight="1" x14ac:dyDescent="0.2">
      <c r="G15638" s="889"/>
    </row>
    <row r="15639" spans="7:7" ht="10.5" customHeight="1" x14ac:dyDescent="0.2">
      <c r="G15639" s="889"/>
    </row>
    <row r="15640" spans="7:7" ht="10.5" customHeight="1" x14ac:dyDescent="0.2">
      <c r="G15640" s="889"/>
    </row>
    <row r="15641" spans="7:7" ht="10.5" customHeight="1" x14ac:dyDescent="0.2">
      <c r="G15641" s="889"/>
    </row>
    <row r="15642" spans="7:7" ht="10.5" customHeight="1" x14ac:dyDescent="0.2">
      <c r="G15642" s="889"/>
    </row>
    <row r="15643" spans="7:7" ht="10.5" customHeight="1" x14ac:dyDescent="0.2">
      <c r="G15643" s="889"/>
    </row>
    <row r="15644" spans="7:7" ht="10.5" customHeight="1" x14ac:dyDescent="0.2">
      <c r="G15644" s="889"/>
    </row>
    <row r="15645" spans="7:7" ht="10.5" customHeight="1" x14ac:dyDescent="0.2">
      <c r="G15645" s="889"/>
    </row>
    <row r="15646" spans="7:7" ht="10.5" customHeight="1" x14ac:dyDescent="0.2">
      <c r="G15646" s="889"/>
    </row>
    <row r="15647" spans="7:7" ht="10.5" customHeight="1" x14ac:dyDescent="0.2">
      <c r="G15647" s="889"/>
    </row>
    <row r="15648" spans="7:7" ht="10.5" customHeight="1" x14ac:dyDescent="0.2">
      <c r="G15648" s="889"/>
    </row>
    <row r="15649" spans="7:7" ht="10.5" customHeight="1" x14ac:dyDescent="0.2">
      <c r="G15649" s="889"/>
    </row>
    <row r="15650" spans="7:7" ht="10.5" customHeight="1" x14ac:dyDescent="0.2">
      <c r="G15650" s="889"/>
    </row>
    <row r="15651" spans="7:7" ht="10.5" customHeight="1" x14ac:dyDescent="0.2">
      <c r="G15651" s="889"/>
    </row>
    <row r="15652" spans="7:7" ht="10.5" customHeight="1" x14ac:dyDescent="0.2">
      <c r="G15652" s="889"/>
    </row>
    <row r="15653" spans="7:7" ht="10.5" customHeight="1" x14ac:dyDescent="0.2">
      <c r="G15653" s="889"/>
    </row>
    <row r="15654" spans="7:7" ht="10.5" customHeight="1" x14ac:dyDescent="0.2">
      <c r="G15654" s="889"/>
    </row>
    <row r="15655" spans="7:7" ht="10.5" customHeight="1" x14ac:dyDescent="0.2">
      <c r="G15655" s="889"/>
    </row>
    <row r="15656" spans="7:7" ht="10.5" customHeight="1" x14ac:dyDescent="0.2">
      <c r="G15656" s="889"/>
    </row>
    <row r="15657" spans="7:7" ht="10.5" customHeight="1" x14ac:dyDescent="0.2">
      <c r="G15657" s="889"/>
    </row>
    <row r="15658" spans="7:7" ht="10.5" customHeight="1" x14ac:dyDescent="0.2">
      <c r="G15658" s="889"/>
    </row>
    <row r="15659" spans="7:7" ht="10.5" customHeight="1" x14ac:dyDescent="0.2">
      <c r="G15659" s="889"/>
    </row>
    <row r="15660" spans="7:7" ht="10.5" customHeight="1" x14ac:dyDescent="0.2">
      <c r="G15660" s="889"/>
    </row>
    <row r="15661" spans="7:7" ht="10.5" customHeight="1" x14ac:dyDescent="0.2">
      <c r="G15661" s="889"/>
    </row>
    <row r="15662" spans="7:7" ht="10.5" customHeight="1" x14ac:dyDescent="0.2">
      <c r="G15662" s="889"/>
    </row>
    <row r="15663" spans="7:7" ht="10.5" customHeight="1" x14ac:dyDescent="0.2">
      <c r="G15663" s="889"/>
    </row>
    <row r="15664" spans="7:7" ht="10.5" customHeight="1" x14ac:dyDescent="0.2">
      <c r="G15664" s="889"/>
    </row>
    <row r="15665" spans="7:7" ht="10.5" customHeight="1" x14ac:dyDescent="0.2">
      <c r="G15665" s="889"/>
    </row>
    <row r="15666" spans="7:7" ht="10.5" customHeight="1" x14ac:dyDescent="0.2">
      <c r="G15666" s="889"/>
    </row>
    <row r="15667" spans="7:7" ht="10.5" customHeight="1" x14ac:dyDescent="0.2">
      <c r="G15667" s="889"/>
    </row>
    <row r="15668" spans="7:7" ht="10.5" customHeight="1" x14ac:dyDescent="0.2">
      <c r="G15668" s="889"/>
    </row>
    <row r="15669" spans="7:7" ht="10.5" customHeight="1" x14ac:dyDescent="0.2">
      <c r="G15669" s="889"/>
    </row>
    <row r="15670" spans="7:7" ht="10.5" customHeight="1" x14ac:dyDescent="0.2">
      <c r="G15670" s="889"/>
    </row>
    <row r="15671" spans="7:7" ht="10.5" customHeight="1" x14ac:dyDescent="0.2">
      <c r="G15671" s="889"/>
    </row>
    <row r="15672" spans="7:7" ht="10.5" customHeight="1" x14ac:dyDescent="0.2">
      <c r="G15672" s="889"/>
    </row>
    <row r="15673" spans="7:7" ht="10.5" customHeight="1" x14ac:dyDescent="0.2">
      <c r="G15673" s="889"/>
    </row>
    <row r="15674" spans="7:7" ht="10.5" customHeight="1" x14ac:dyDescent="0.2">
      <c r="G15674" s="889"/>
    </row>
    <row r="15675" spans="7:7" ht="10.5" customHeight="1" x14ac:dyDescent="0.2">
      <c r="G15675" s="889"/>
    </row>
    <row r="15676" spans="7:7" ht="10.5" customHeight="1" x14ac:dyDescent="0.2">
      <c r="G15676" s="889"/>
    </row>
    <row r="15677" spans="7:7" ht="10.5" customHeight="1" x14ac:dyDescent="0.2">
      <c r="G15677" s="889"/>
    </row>
    <row r="15678" spans="7:7" ht="10.5" customHeight="1" x14ac:dyDescent="0.2">
      <c r="G15678" s="889"/>
    </row>
    <row r="15679" spans="7:7" ht="10.5" customHeight="1" x14ac:dyDescent="0.2">
      <c r="G15679" s="889"/>
    </row>
    <row r="15680" spans="7:7" ht="10.5" customHeight="1" x14ac:dyDescent="0.2">
      <c r="G15680" s="889"/>
    </row>
    <row r="15681" spans="7:7" ht="10.5" customHeight="1" x14ac:dyDescent="0.2">
      <c r="G15681" s="889"/>
    </row>
    <row r="15682" spans="7:7" ht="10.5" customHeight="1" x14ac:dyDescent="0.2">
      <c r="G15682" s="889"/>
    </row>
    <row r="15683" spans="7:7" ht="10.5" customHeight="1" x14ac:dyDescent="0.2">
      <c r="G15683" s="889"/>
    </row>
    <row r="15684" spans="7:7" ht="10.5" customHeight="1" x14ac:dyDescent="0.2">
      <c r="G15684" s="889"/>
    </row>
    <row r="15685" spans="7:7" ht="10.5" customHeight="1" x14ac:dyDescent="0.2">
      <c r="G15685" s="889"/>
    </row>
    <row r="15686" spans="7:7" ht="10.5" customHeight="1" x14ac:dyDescent="0.2">
      <c r="G15686" s="889"/>
    </row>
    <row r="15687" spans="7:7" ht="10.5" customHeight="1" x14ac:dyDescent="0.2">
      <c r="G15687" s="889"/>
    </row>
    <row r="15688" spans="7:7" ht="10.5" customHeight="1" x14ac:dyDescent="0.2">
      <c r="G15688" s="889"/>
    </row>
    <row r="15689" spans="7:7" ht="10.5" customHeight="1" x14ac:dyDescent="0.2">
      <c r="G15689" s="889"/>
    </row>
    <row r="15690" spans="7:7" ht="10.5" customHeight="1" x14ac:dyDescent="0.2">
      <c r="G15690" s="889"/>
    </row>
    <row r="15691" spans="7:7" ht="10.5" customHeight="1" x14ac:dyDescent="0.2">
      <c r="G15691" s="889"/>
    </row>
    <row r="15692" spans="7:7" ht="10.5" customHeight="1" x14ac:dyDescent="0.2">
      <c r="G15692" s="889"/>
    </row>
    <row r="15693" spans="7:7" ht="10.5" customHeight="1" x14ac:dyDescent="0.2">
      <c r="G15693" s="889"/>
    </row>
    <row r="15694" spans="7:7" ht="10.5" customHeight="1" x14ac:dyDescent="0.2">
      <c r="G15694" s="889"/>
    </row>
    <row r="15695" spans="7:7" ht="10.5" customHeight="1" x14ac:dyDescent="0.2">
      <c r="G15695" s="889"/>
    </row>
    <row r="15696" spans="7:7" ht="10.5" customHeight="1" x14ac:dyDescent="0.2">
      <c r="G15696" s="889"/>
    </row>
    <row r="15697" spans="7:7" ht="10.5" customHeight="1" x14ac:dyDescent="0.2">
      <c r="G15697" s="889"/>
    </row>
    <row r="15698" spans="7:7" ht="10.5" customHeight="1" x14ac:dyDescent="0.2">
      <c r="G15698" s="889"/>
    </row>
    <row r="15699" spans="7:7" ht="10.5" customHeight="1" x14ac:dyDescent="0.2">
      <c r="G15699" s="889"/>
    </row>
    <row r="15700" spans="7:7" ht="10.5" customHeight="1" x14ac:dyDescent="0.2">
      <c r="G15700" s="889"/>
    </row>
    <row r="15701" spans="7:7" ht="10.5" customHeight="1" x14ac:dyDescent="0.2">
      <c r="G15701" s="889"/>
    </row>
    <row r="15702" spans="7:7" ht="10.5" customHeight="1" x14ac:dyDescent="0.2">
      <c r="G15702" s="889"/>
    </row>
    <row r="15703" spans="7:7" ht="10.5" customHeight="1" x14ac:dyDescent="0.2">
      <c r="G15703" s="889"/>
    </row>
    <row r="15704" spans="7:7" ht="10.5" customHeight="1" x14ac:dyDescent="0.2">
      <c r="G15704" s="889"/>
    </row>
    <row r="15705" spans="7:7" ht="10.5" customHeight="1" x14ac:dyDescent="0.2">
      <c r="G15705" s="889"/>
    </row>
    <row r="15706" spans="7:7" ht="10.5" customHeight="1" x14ac:dyDescent="0.2">
      <c r="G15706" s="889"/>
    </row>
    <row r="15707" spans="7:7" ht="10.5" customHeight="1" x14ac:dyDescent="0.2">
      <c r="G15707" s="889"/>
    </row>
    <row r="15708" spans="7:7" ht="10.5" customHeight="1" x14ac:dyDescent="0.2">
      <c r="G15708" s="889"/>
    </row>
    <row r="15709" spans="7:7" ht="10.5" customHeight="1" x14ac:dyDescent="0.2">
      <c r="G15709" s="889"/>
    </row>
    <row r="15710" spans="7:7" ht="10.5" customHeight="1" x14ac:dyDescent="0.2">
      <c r="G15710" s="889"/>
    </row>
    <row r="15711" spans="7:7" ht="10.5" customHeight="1" x14ac:dyDescent="0.2">
      <c r="G15711" s="889"/>
    </row>
    <row r="15712" spans="7:7" ht="10.5" customHeight="1" x14ac:dyDescent="0.2">
      <c r="G15712" s="889"/>
    </row>
    <row r="15713" spans="7:7" ht="10.5" customHeight="1" x14ac:dyDescent="0.2">
      <c r="G15713" s="889"/>
    </row>
    <row r="15714" spans="7:7" ht="10.5" customHeight="1" x14ac:dyDescent="0.2">
      <c r="G15714" s="889"/>
    </row>
    <row r="15715" spans="7:7" ht="10.5" customHeight="1" x14ac:dyDescent="0.2">
      <c r="G15715" s="889"/>
    </row>
    <row r="15716" spans="7:7" ht="10.5" customHeight="1" x14ac:dyDescent="0.2">
      <c r="G15716" s="889"/>
    </row>
    <row r="15717" spans="7:7" ht="10.5" customHeight="1" x14ac:dyDescent="0.2">
      <c r="G15717" s="889"/>
    </row>
    <row r="15718" spans="7:7" ht="10.5" customHeight="1" x14ac:dyDescent="0.2">
      <c r="G15718" s="889"/>
    </row>
    <row r="15719" spans="7:7" ht="10.5" customHeight="1" x14ac:dyDescent="0.2">
      <c r="G15719" s="889"/>
    </row>
    <row r="15720" spans="7:7" ht="10.5" customHeight="1" x14ac:dyDescent="0.2">
      <c r="G15720" s="889"/>
    </row>
    <row r="15721" spans="7:7" ht="10.5" customHeight="1" x14ac:dyDescent="0.2">
      <c r="G15721" s="889"/>
    </row>
    <row r="15722" spans="7:7" ht="10.5" customHeight="1" x14ac:dyDescent="0.2">
      <c r="G15722" s="889"/>
    </row>
    <row r="15723" spans="7:7" ht="10.5" customHeight="1" x14ac:dyDescent="0.2">
      <c r="G15723" s="889"/>
    </row>
    <row r="15724" spans="7:7" ht="10.5" customHeight="1" x14ac:dyDescent="0.2">
      <c r="G15724" s="889"/>
    </row>
    <row r="15725" spans="7:7" ht="10.5" customHeight="1" x14ac:dyDescent="0.2">
      <c r="G15725" s="889"/>
    </row>
    <row r="15726" spans="7:7" ht="10.5" customHeight="1" x14ac:dyDescent="0.2">
      <c r="G15726" s="889"/>
    </row>
    <row r="15727" spans="7:7" ht="10.5" customHeight="1" x14ac:dyDescent="0.2">
      <c r="G15727" s="889"/>
    </row>
    <row r="15728" spans="7:7" ht="10.5" customHeight="1" x14ac:dyDescent="0.2">
      <c r="G15728" s="889"/>
    </row>
    <row r="15729" spans="7:7" ht="10.5" customHeight="1" x14ac:dyDescent="0.2">
      <c r="G15729" s="889"/>
    </row>
    <row r="15730" spans="7:7" ht="10.5" customHeight="1" x14ac:dyDescent="0.2">
      <c r="G15730" s="889"/>
    </row>
    <row r="15731" spans="7:7" ht="10.5" customHeight="1" x14ac:dyDescent="0.2">
      <c r="G15731" s="889"/>
    </row>
    <row r="15732" spans="7:7" ht="10.5" customHeight="1" x14ac:dyDescent="0.2">
      <c r="G15732" s="889"/>
    </row>
    <row r="15733" spans="7:7" ht="10.5" customHeight="1" x14ac:dyDescent="0.2">
      <c r="G15733" s="889"/>
    </row>
    <row r="15734" spans="7:7" ht="10.5" customHeight="1" x14ac:dyDescent="0.2">
      <c r="G15734" s="889"/>
    </row>
    <row r="15735" spans="7:7" ht="10.5" customHeight="1" x14ac:dyDescent="0.2">
      <c r="G15735" s="889"/>
    </row>
    <row r="15736" spans="7:7" ht="10.5" customHeight="1" x14ac:dyDescent="0.2">
      <c r="G15736" s="889"/>
    </row>
    <row r="15737" spans="7:7" ht="10.5" customHeight="1" x14ac:dyDescent="0.2">
      <c r="G15737" s="889"/>
    </row>
    <row r="15738" spans="7:7" ht="10.5" customHeight="1" x14ac:dyDescent="0.2">
      <c r="G15738" s="889"/>
    </row>
    <row r="15739" spans="7:7" ht="10.5" customHeight="1" x14ac:dyDescent="0.2">
      <c r="G15739" s="889"/>
    </row>
    <row r="15740" spans="7:7" ht="10.5" customHeight="1" x14ac:dyDescent="0.2">
      <c r="G15740" s="889"/>
    </row>
    <row r="15741" spans="7:7" ht="10.5" customHeight="1" x14ac:dyDescent="0.2">
      <c r="G15741" s="889"/>
    </row>
    <row r="15742" spans="7:7" ht="10.5" customHeight="1" x14ac:dyDescent="0.2">
      <c r="G15742" s="889"/>
    </row>
    <row r="15743" spans="7:7" ht="10.5" customHeight="1" x14ac:dyDescent="0.2">
      <c r="G15743" s="889"/>
    </row>
    <row r="15744" spans="7:7" ht="10.5" customHeight="1" x14ac:dyDescent="0.2">
      <c r="G15744" s="889"/>
    </row>
    <row r="15745" spans="7:7" ht="10.5" customHeight="1" x14ac:dyDescent="0.2">
      <c r="G15745" s="889"/>
    </row>
    <row r="15746" spans="7:7" ht="10.5" customHeight="1" x14ac:dyDescent="0.2">
      <c r="G15746" s="889"/>
    </row>
    <row r="15747" spans="7:7" ht="10.5" customHeight="1" x14ac:dyDescent="0.2">
      <c r="G15747" s="889"/>
    </row>
    <row r="15748" spans="7:7" ht="10.5" customHeight="1" x14ac:dyDescent="0.2">
      <c r="G15748" s="889"/>
    </row>
    <row r="15749" spans="7:7" ht="10.5" customHeight="1" x14ac:dyDescent="0.2">
      <c r="G15749" s="889"/>
    </row>
    <row r="15750" spans="7:7" ht="10.5" customHeight="1" x14ac:dyDescent="0.2">
      <c r="G15750" s="889"/>
    </row>
    <row r="15751" spans="7:7" ht="10.5" customHeight="1" x14ac:dyDescent="0.2">
      <c r="G15751" s="889"/>
    </row>
    <row r="15752" spans="7:7" ht="10.5" customHeight="1" x14ac:dyDescent="0.2">
      <c r="G15752" s="889"/>
    </row>
    <row r="15753" spans="7:7" ht="10.5" customHeight="1" x14ac:dyDescent="0.2">
      <c r="G15753" s="889"/>
    </row>
    <row r="15754" spans="7:7" ht="10.5" customHeight="1" x14ac:dyDescent="0.2">
      <c r="G15754" s="889"/>
    </row>
    <row r="15755" spans="7:7" ht="10.5" customHeight="1" x14ac:dyDescent="0.2">
      <c r="G15755" s="889"/>
    </row>
    <row r="15756" spans="7:7" ht="10.5" customHeight="1" x14ac:dyDescent="0.2">
      <c r="G15756" s="889"/>
    </row>
    <row r="15757" spans="7:7" ht="10.5" customHeight="1" x14ac:dyDescent="0.2">
      <c r="G15757" s="889"/>
    </row>
    <row r="15758" spans="7:7" ht="10.5" customHeight="1" x14ac:dyDescent="0.2">
      <c r="G15758" s="889"/>
    </row>
    <row r="15759" spans="7:7" ht="10.5" customHeight="1" x14ac:dyDescent="0.2">
      <c r="G15759" s="889"/>
    </row>
    <row r="15760" spans="7:7" ht="10.5" customHeight="1" x14ac:dyDescent="0.2">
      <c r="G15760" s="889"/>
    </row>
    <row r="15761" spans="7:7" ht="10.5" customHeight="1" x14ac:dyDescent="0.2">
      <c r="G15761" s="889"/>
    </row>
    <row r="15762" spans="7:7" ht="10.5" customHeight="1" x14ac:dyDescent="0.2">
      <c r="G15762" s="889"/>
    </row>
    <row r="15763" spans="7:7" ht="10.5" customHeight="1" x14ac:dyDescent="0.2">
      <c r="G15763" s="889"/>
    </row>
    <row r="15764" spans="7:7" ht="10.5" customHeight="1" x14ac:dyDescent="0.2">
      <c r="G15764" s="889"/>
    </row>
    <row r="15765" spans="7:7" ht="10.5" customHeight="1" x14ac:dyDescent="0.2">
      <c r="G15765" s="889"/>
    </row>
    <row r="15766" spans="7:7" ht="10.5" customHeight="1" x14ac:dyDescent="0.2">
      <c r="G15766" s="889"/>
    </row>
    <row r="15767" spans="7:7" ht="10.5" customHeight="1" x14ac:dyDescent="0.2">
      <c r="G15767" s="889"/>
    </row>
    <row r="15768" spans="7:7" ht="10.5" customHeight="1" x14ac:dyDescent="0.2">
      <c r="G15768" s="889"/>
    </row>
    <row r="15769" spans="7:7" ht="10.5" customHeight="1" x14ac:dyDescent="0.2">
      <c r="G15769" s="889"/>
    </row>
    <row r="15770" spans="7:7" ht="10.5" customHeight="1" x14ac:dyDescent="0.2">
      <c r="G15770" s="889"/>
    </row>
    <row r="15771" spans="7:7" ht="10.5" customHeight="1" x14ac:dyDescent="0.2">
      <c r="G15771" s="889"/>
    </row>
    <row r="15772" spans="7:7" ht="10.5" customHeight="1" x14ac:dyDescent="0.2">
      <c r="G15772" s="889"/>
    </row>
    <row r="15773" spans="7:7" ht="10.5" customHeight="1" x14ac:dyDescent="0.2">
      <c r="G15773" s="889"/>
    </row>
    <row r="15774" spans="7:7" ht="10.5" customHeight="1" x14ac:dyDescent="0.2">
      <c r="G15774" s="889"/>
    </row>
    <row r="15775" spans="7:7" ht="10.5" customHeight="1" x14ac:dyDescent="0.2">
      <c r="G15775" s="889"/>
    </row>
    <row r="15776" spans="7:7" ht="10.5" customHeight="1" x14ac:dyDescent="0.2">
      <c r="G15776" s="889"/>
    </row>
    <row r="15777" spans="7:7" ht="10.5" customHeight="1" x14ac:dyDescent="0.2">
      <c r="G15777" s="889"/>
    </row>
    <row r="15778" spans="7:7" ht="10.5" customHeight="1" x14ac:dyDescent="0.2">
      <c r="G15778" s="889"/>
    </row>
    <row r="15779" spans="7:7" ht="10.5" customHeight="1" x14ac:dyDescent="0.2">
      <c r="G15779" s="889"/>
    </row>
    <row r="15780" spans="7:7" ht="10.5" customHeight="1" x14ac:dyDescent="0.2">
      <c r="G15780" s="889"/>
    </row>
    <row r="15781" spans="7:7" ht="10.5" customHeight="1" x14ac:dyDescent="0.2">
      <c r="G15781" s="889"/>
    </row>
    <row r="15782" spans="7:7" ht="10.5" customHeight="1" x14ac:dyDescent="0.2">
      <c r="G15782" s="889"/>
    </row>
    <row r="15783" spans="7:7" ht="10.5" customHeight="1" x14ac:dyDescent="0.2">
      <c r="G15783" s="889"/>
    </row>
    <row r="15784" spans="7:7" ht="10.5" customHeight="1" x14ac:dyDescent="0.2">
      <c r="G15784" s="889"/>
    </row>
    <row r="15785" spans="7:7" ht="10.5" customHeight="1" x14ac:dyDescent="0.2">
      <c r="G15785" s="889"/>
    </row>
    <row r="15786" spans="7:7" ht="10.5" customHeight="1" x14ac:dyDescent="0.2">
      <c r="G15786" s="889"/>
    </row>
    <row r="15787" spans="7:7" ht="10.5" customHeight="1" x14ac:dyDescent="0.2">
      <c r="G15787" s="889"/>
    </row>
    <row r="15788" spans="7:7" ht="10.5" customHeight="1" x14ac:dyDescent="0.2">
      <c r="G15788" s="889"/>
    </row>
    <row r="15789" spans="7:7" ht="10.5" customHeight="1" x14ac:dyDescent="0.2">
      <c r="G15789" s="889"/>
    </row>
    <row r="15790" spans="7:7" ht="10.5" customHeight="1" x14ac:dyDescent="0.2">
      <c r="G15790" s="889"/>
    </row>
    <row r="15791" spans="7:7" ht="10.5" customHeight="1" x14ac:dyDescent="0.2">
      <c r="G15791" s="889"/>
    </row>
    <row r="15792" spans="7:7" ht="10.5" customHeight="1" x14ac:dyDescent="0.2">
      <c r="G15792" s="889"/>
    </row>
    <row r="15793" spans="7:7" ht="10.5" customHeight="1" x14ac:dyDescent="0.2">
      <c r="G15793" s="889"/>
    </row>
    <row r="15794" spans="7:7" ht="10.5" customHeight="1" x14ac:dyDescent="0.2">
      <c r="G15794" s="889"/>
    </row>
    <row r="15795" spans="7:7" ht="10.5" customHeight="1" x14ac:dyDescent="0.2">
      <c r="G15795" s="889"/>
    </row>
    <row r="15796" spans="7:7" ht="10.5" customHeight="1" x14ac:dyDescent="0.2">
      <c r="G15796" s="889"/>
    </row>
    <row r="15797" spans="7:7" ht="10.5" customHeight="1" x14ac:dyDescent="0.2">
      <c r="G15797" s="889"/>
    </row>
    <row r="15798" spans="7:7" ht="10.5" customHeight="1" x14ac:dyDescent="0.2">
      <c r="G15798" s="889"/>
    </row>
    <row r="15799" spans="7:7" ht="10.5" customHeight="1" x14ac:dyDescent="0.2">
      <c r="G15799" s="889"/>
    </row>
    <row r="15800" spans="7:7" ht="10.5" customHeight="1" x14ac:dyDescent="0.2">
      <c r="G15800" s="889"/>
    </row>
    <row r="15801" spans="7:7" ht="10.5" customHeight="1" x14ac:dyDescent="0.2">
      <c r="G15801" s="889"/>
    </row>
    <row r="15802" spans="7:7" ht="10.5" customHeight="1" x14ac:dyDescent="0.2">
      <c r="G15802" s="889"/>
    </row>
    <row r="15803" spans="7:7" ht="10.5" customHeight="1" x14ac:dyDescent="0.2">
      <c r="G15803" s="889"/>
    </row>
    <row r="15804" spans="7:7" ht="10.5" customHeight="1" x14ac:dyDescent="0.2">
      <c r="G15804" s="889"/>
    </row>
    <row r="15805" spans="7:7" ht="10.5" customHeight="1" x14ac:dyDescent="0.2">
      <c r="G15805" s="889"/>
    </row>
    <row r="15806" spans="7:7" ht="10.5" customHeight="1" x14ac:dyDescent="0.2">
      <c r="G15806" s="889"/>
    </row>
    <row r="15807" spans="7:7" ht="10.5" customHeight="1" x14ac:dyDescent="0.2">
      <c r="G15807" s="889"/>
    </row>
    <row r="15808" spans="7:7" ht="10.5" customHeight="1" x14ac:dyDescent="0.2">
      <c r="G15808" s="889"/>
    </row>
    <row r="15809" spans="7:7" ht="10.5" customHeight="1" x14ac:dyDescent="0.2">
      <c r="G15809" s="889"/>
    </row>
    <row r="15810" spans="7:7" ht="10.5" customHeight="1" x14ac:dyDescent="0.2">
      <c r="G15810" s="889"/>
    </row>
    <row r="15811" spans="7:7" ht="10.5" customHeight="1" x14ac:dyDescent="0.2">
      <c r="G15811" s="889"/>
    </row>
    <row r="15812" spans="7:7" ht="10.5" customHeight="1" x14ac:dyDescent="0.2">
      <c r="G15812" s="889"/>
    </row>
    <row r="15813" spans="7:7" ht="10.5" customHeight="1" x14ac:dyDescent="0.2">
      <c r="G15813" s="889"/>
    </row>
    <row r="15814" spans="7:7" ht="10.5" customHeight="1" x14ac:dyDescent="0.2">
      <c r="G15814" s="889"/>
    </row>
    <row r="15815" spans="7:7" ht="10.5" customHeight="1" x14ac:dyDescent="0.2">
      <c r="G15815" s="889"/>
    </row>
    <row r="15816" spans="7:7" ht="10.5" customHeight="1" x14ac:dyDescent="0.2">
      <c r="G15816" s="889"/>
    </row>
    <row r="15817" spans="7:7" ht="10.5" customHeight="1" x14ac:dyDescent="0.2">
      <c r="G15817" s="889"/>
    </row>
    <row r="15818" spans="7:7" ht="10.5" customHeight="1" x14ac:dyDescent="0.2">
      <c r="G15818" s="889"/>
    </row>
    <row r="15819" spans="7:7" ht="10.5" customHeight="1" x14ac:dyDescent="0.2">
      <c r="G15819" s="889"/>
    </row>
    <row r="15820" spans="7:7" ht="10.5" customHeight="1" x14ac:dyDescent="0.2">
      <c r="G15820" s="889"/>
    </row>
    <row r="15821" spans="7:7" ht="10.5" customHeight="1" x14ac:dyDescent="0.2">
      <c r="G15821" s="889"/>
    </row>
    <row r="15822" spans="7:7" ht="10.5" customHeight="1" x14ac:dyDescent="0.2">
      <c r="G15822" s="889"/>
    </row>
    <row r="15823" spans="7:7" ht="10.5" customHeight="1" x14ac:dyDescent="0.2">
      <c r="G15823" s="889"/>
    </row>
    <row r="15824" spans="7:7" ht="10.5" customHeight="1" x14ac:dyDescent="0.2">
      <c r="G15824" s="889"/>
    </row>
    <row r="15825" spans="7:7" ht="10.5" customHeight="1" x14ac:dyDescent="0.2">
      <c r="G15825" s="889"/>
    </row>
    <row r="15826" spans="7:7" ht="10.5" customHeight="1" x14ac:dyDescent="0.2">
      <c r="G15826" s="889"/>
    </row>
    <row r="15827" spans="7:7" ht="10.5" customHeight="1" x14ac:dyDescent="0.2">
      <c r="G15827" s="889"/>
    </row>
    <row r="15828" spans="7:7" ht="10.5" customHeight="1" x14ac:dyDescent="0.2">
      <c r="G15828" s="889"/>
    </row>
    <row r="15829" spans="7:7" ht="10.5" customHeight="1" x14ac:dyDescent="0.2">
      <c r="G15829" s="889"/>
    </row>
    <row r="15830" spans="7:7" ht="10.5" customHeight="1" x14ac:dyDescent="0.2">
      <c r="G15830" s="889"/>
    </row>
    <row r="15831" spans="7:7" ht="10.5" customHeight="1" x14ac:dyDescent="0.2">
      <c r="G15831" s="889"/>
    </row>
    <row r="15832" spans="7:7" ht="10.5" customHeight="1" x14ac:dyDescent="0.2">
      <c r="G15832" s="889"/>
    </row>
    <row r="15833" spans="7:7" ht="10.5" customHeight="1" x14ac:dyDescent="0.2">
      <c r="G15833" s="889"/>
    </row>
    <row r="15834" spans="7:7" ht="10.5" customHeight="1" x14ac:dyDescent="0.2">
      <c r="G15834" s="889"/>
    </row>
    <row r="15835" spans="7:7" ht="10.5" customHeight="1" x14ac:dyDescent="0.2">
      <c r="G15835" s="889"/>
    </row>
    <row r="15836" spans="7:7" ht="10.5" customHeight="1" x14ac:dyDescent="0.2">
      <c r="G15836" s="889"/>
    </row>
    <row r="15837" spans="7:7" ht="10.5" customHeight="1" x14ac:dyDescent="0.2">
      <c r="G15837" s="889"/>
    </row>
    <row r="15838" spans="7:7" ht="10.5" customHeight="1" x14ac:dyDescent="0.2">
      <c r="G15838" s="889"/>
    </row>
    <row r="15839" spans="7:7" ht="10.5" customHeight="1" x14ac:dyDescent="0.2">
      <c r="G15839" s="889"/>
    </row>
    <row r="15840" spans="7:7" ht="10.5" customHeight="1" x14ac:dyDescent="0.2">
      <c r="G15840" s="889"/>
    </row>
    <row r="15841" spans="7:7" ht="10.5" customHeight="1" x14ac:dyDescent="0.2">
      <c r="G15841" s="889"/>
    </row>
    <row r="15842" spans="7:7" ht="10.5" customHeight="1" x14ac:dyDescent="0.2">
      <c r="G15842" s="889"/>
    </row>
    <row r="15843" spans="7:7" ht="10.5" customHeight="1" x14ac:dyDescent="0.2">
      <c r="G15843" s="889"/>
    </row>
    <row r="15844" spans="7:7" ht="10.5" customHeight="1" x14ac:dyDescent="0.2">
      <c r="G15844" s="889"/>
    </row>
    <row r="15845" spans="7:7" ht="10.5" customHeight="1" x14ac:dyDescent="0.2">
      <c r="G15845" s="889"/>
    </row>
    <row r="15846" spans="7:7" ht="10.5" customHeight="1" x14ac:dyDescent="0.2">
      <c r="G15846" s="889"/>
    </row>
    <row r="15847" spans="7:7" ht="10.5" customHeight="1" x14ac:dyDescent="0.2">
      <c r="G15847" s="889"/>
    </row>
    <row r="15848" spans="7:7" ht="10.5" customHeight="1" x14ac:dyDescent="0.2">
      <c r="G15848" s="889"/>
    </row>
    <row r="15849" spans="7:7" ht="10.5" customHeight="1" x14ac:dyDescent="0.2">
      <c r="G15849" s="889"/>
    </row>
    <row r="15850" spans="7:7" ht="10.5" customHeight="1" x14ac:dyDescent="0.2">
      <c r="G15850" s="889"/>
    </row>
    <row r="15851" spans="7:7" ht="10.5" customHeight="1" x14ac:dyDescent="0.2">
      <c r="G15851" s="889"/>
    </row>
    <row r="15852" spans="7:7" ht="10.5" customHeight="1" x14ac:dyDescent="0.2">
      <c r="G15852" s="889"/>
    </row>
    <row r="15853" spans="7:7" ht="10.5" customHeight="1" x14ac:dyDescent="0.2">
      <c r="G15853" s="889"/>
    </row>
    <row r="15854" spans="7:7" ht="10.5" customHeight="1" x14ac:dyDescent="0.2">
      <c r="G15854" s="889"/>
    </row>
    <row r="15855" spans="7:7" ht="10.5" customHeight="1" x14ac:dyDescent="0.2">
      <c r="G15855" s="889"/>
    </row>
    <row r="15856" spans="7:7" ht="10.5" customHeight="1" x14ac:dyDescent="0.2">
      <c r="G15856" s="889"/>
    </row>
    <row r="15857" spans="7:7" ht="10.5" customHeight="1" x14ac:dyDescent="0.2">
      <c r="G15857" s="889"/>
    </row>
    <row r="15858" spans="7:7" ht="10.5" customHeight="1" x14ac:dyDescent="0.2">
      <c r="G15858" s="889"/>
    </row>
    <row r="15859" spans="7:7" ht="10.5" customHeight="1" x14ac:dyDescent="0.2">
      <c r="G15859" s="889"/>
    </row>
    <row r="15860" spans="7:7" ht="10.5" customHeight="1" x14ac:dyDescent="0.2">
      <c r="G15860" s="889"/>
    </row>
    <row r="15861" spans="7:7" ht="10.5" customHeight="1" x14ac:dyDescent="0.2">
      <c r="G15861" s="889"/>
    </row>
    <row r="15862" spans="7:7" ht="10.5" customHeight="1" x14ac:dyDescent="0.2">
      <c r="G15862" s="889"/>
    </row>
    <row r="15863" spans="7:7" ht="10.5" customHeight="1" x14ac:dyDescent="0.2">
      <c r="G15863" s="889"/>
    </row>
    <row r="15864" spans="7:7" ht="10.5" customHeight="1" x14ac:dyDescent="0.2">
      <c r="G15864" s="889"/>
    </row>
    <row r="15865" spans="7:7" ht="10.5" customHeight="1" x14ac:dyDescent="0.2">
      <c r="G15865" s="889"/>
    </row>
    <row r="15866" spans="7:7" ht="10.5" customHeight="1" x14ac:dyDescent="0.2">
      <c r="G15866" s="889"/>
    </row>
    <row r="15867" spans="7:7" ht="10.5" customHeight="1" x14ac:dyDescent="0.2">
      <c r="G15867" s="889"/>
    </row>
    <row r="15868" spans="7:7" ht="10.5" customHeight="1" x14ac:dyDescent="0.2">
      <c r="G15868" s="889"/>
    </row>
    <row r="15869" spans="7:7" ht="10.5" customHeight="1" x14ac:dyDescent="0.2">
      <c r="G15869" s="889"/>
    </row>
    <row r="15870" spans="7:7" ht="10.5" customHeight="1" x14ac:dyDescent="0.2">
      <c r="G15870" s="889"/>
    </row>
    <row r="15871" spans="7:7" ht="10.5" customHeight="1" x14ac:dyDescent="0.2">
      <c r="G15871" s="889"/>
    </row>
    <row r="15872" spans="7:7" ht="10.5" customHeight="1" x14ac:dyDescent="0.2">
      <c r="G15872" s="889"/>
    </row>
    <row r="15873" spans="7:7" ht="10.5" customHeight="1" x14ac:dyDescent="0.2">
      <c r="G15873" s="889"/>
    </row>
    <row r="15874" spans="7:7" ht="10.5" customHeight="1" x14ac:dyDescent="0.2">
      <c r="G15874" s="889"/>
    </row>
    <row r="15875" spans="7:7" ht="10.5" customHeight="1" x14ac:dyDescent="0.2">
      <c r="G15875" s="889"/>
    </row>
    <row r="15876" spans="7:7" ht="10.5" customHeight="1" x14ac:dyDescent="0.2">
      <c r="G15876" s="889"/>
    </row>
    <row r="15877" spans="7:7" ht="10.5" customHeight="1" x14ac:dyDescent="0.2">
      <c r="G15877" s="889"/>
    </row>
    <row r="15878" spans="7:7" ht="10.5" customHeight="1" x14ac:dyDescent="0.2">
      <c r="G15878" s="889"/>
    </row>
    <row r="15879" spans="7:7" ht="10.5" customHeight="1" x14ac:dyDescent="0.2">
      <c r="G15879" s="889"/>
    </row>
    <row r="15880" spans="7:7" ht="10.5" customHeight="1" x14ac:dyDescent="0.2">
      <c r="G15880" s="889"/>
    </row>
    <row r="15881" spans="7:7" ht="10.5" customHeight="1" x14ac:dyDescent="0.2">
      <c r="G15881" s="889"/>
    </row>
    <row r="15882" spans="7:7" ht="10.5" customHeight="1" x14ac:dyDescent="0.2">
      <c r="G15882" s="889"/>
    </row>
    <row r="15883" spans="7:7" ht="10.5" customHeight="1" x14ac:dyDescent="0.2">
      <c r="G15883" s="889"/>
    </row>
    <row r="15884" spans="7:7" ht="10.5" customHeight="1" x14ac:dyDescent="0.2">
      <c r="G15884" s="889"/>
    </row>
    <row r="15885" spans="7:7" ht="10.5" customHeight="1" x14ac:dyDescent="0.2">
      <c r="G15885" s="889"/>
    </row>
    <row r="15886" spans="7:7" ht="10.5" customHeight="1" x14ac:dyDescent="0.2">
      <c r="G15886" s="889"/>
    </row>
    <row r="15887" spans="7:7" ht="10.5" customHeight="1" x14ac:dyDescent="0.2">
      <c r="G15887" s="889"/>
    </row>
    <row r="15888" spans="7:7" ht="10.5" customHeight="1" x14ac:dyDescent="0.2">
      <c r="G15888" s="889"/>
    </row>
    <row r="15889" spans="7:7" ht="10.5" customHeight="1" x14ac:dyDescent="0.2">
      <c r="G15889" s="889"/>
    </row>
    <row r="15890" spans="7:7" ht="10.5" customHeight="1" x14ac:dyDescent="0.2">
      <c r="G15890" s="889"/>
    </row>
    <row r="15891" spans="7:7" ht="10.5" customHeight="1" x14ac:dyDescent="0.2">
      <c r="G15891" s="889"/>
    </row>
    <row r="15892" spans="7:7" ht="10.5" customHeight="1" x14ac:dyDescent="0.2">
      <c r="G15892" s="889"/>
    </row>
    <row r="15893" spans="7:7" ht="10.5" customHeight="1" x14ac:dyDescent="0.2">
      <c r="G15893" s="889"/>
    </row>
    <row r="15894" spans="7:7" ht="10.5" customHeight="1" x14ac:dyDescent="0.2">
      <c r="G15894" s="889"/>
    </row>
    <row r="15895" spans="7:7" ht="10.5" customHeight="1" x14ac:dyDescent="0.2">
      <c r="G15895" s="889"/>
    </row>
    <row r="15896" spans="7:7" ht="10.5" customHeight="1" x14ac:dyDescent="0.2">
      <c r="G15896" s="889"/>
    </row>
    <row r="15897" spans="7:7" ht="10.5" customHeight="1" x14ac:dyDescent="0.2">
      <c r="G15897" s="889"/>
    </row>
    <row r="15898" spans="7:7" ht="10.5" customHeight="1" x14ac:dyDescent="0.2">
      <c r="G15898" s="889"/>
    </row>
    <row r="15899" spans="7:7" ht="10.5" customHeight="1" x14ac:dyDescent="0.2">
      <c r="G15899" s="889"/>
    </row>
    <row r="15900" spans="7:7" ht="10.5" customHeight="1" x14ac:dyDescent="0.2">
      <c r="G15900" s="889"/>
    </row>
    <row r="15901" spans="7:7" ht="10.5" customHeight="1" x14ac:dyDescent="0.2">
      <c r="G15901" s="889"/>
    </row>
    <row r="15902" spans="7:7" ht="10.5" customHeight="1" x14ac:dyDescent="0.2">
      <c r="G15902" s="889"/>
    </row>
    <row r="15903" spans="7:7" ht="10.5" customHeight="1" x14ac:dyDescent="0.2">
      <c r="G15903" s="889"/>
    </row>
    <row r="15904" spans="7:7" ht="10.5" customHeight="1" x14ac:dyDescent="0.2">
      <c r="G15904" s="889"/>
    </row>
    <row r="15905" spans="7:7" ht="10.5" customHeight="1" x14ac:dyDescent="0.2">
      <c r="G15905" s="889"/>
    </row>
    <row r="15906" spans="7:7" ht="10.5" customHeight="1" x14ac:dyDescent="0.2">
      <c r="G15906" s="889"/>
    </row>
    <row r="15907" spans="7:7" ht="10.5" customHeight="1" x14ac:dyDescent="0.2">
      <c r="G15907" s="889"/>
    </row>
    <row r="15908" spans="7:7" ht="10.5" customHeight="1" x14ac:dyDescent="0.2">
      <c r="G15908" s="889"/>
    </row>
    <row r="15909" spans="7:7" ht="10.5" customHeight="1" x14ac:dyDescent="0.2">
      <c r="G15909" s="889"/>
    </row>
    <row r="15910" spans="7:7" ht="10.5" customHeight="1" x14ac:dyDescent="0.2">
      <c r="G15910" s="889"/>
    </row>
    <row r="15911" spans="7:7" ht="10.5" customHeight="1" x14ac:dyDescent="0.2">
      <c r="G15911" s="889"/>
    </row>
    <row r="15912" spans="7:7" ht="10.5" customHeight="1" x14ac:dyDescent="0.2">
      <c r="G15912" s="889"/>
    </row>
    <row r="15913" spans="7:7" ht="10.5" customHeight="1" x14ac:dyDescent="0.2">
      <c r="G15913" s="889"/>
    </row>
    <row r="15914" spans="7:7" ht="10.5" customHeight="1" x14ac:dyDescent="0.2">
      <c r="G15914" s="889"/>
    </row>
    <row r="15915" spans="7:7" ht="10.5" customHeight="1" x14ac:dyDescent="0.2">
      <c r="G15915" s="889"/>
    </row>
    <row r="15916" spans="7:7" ht="10.5" customHeight="1" x14ac:dyDescent="0.2">
      <c r="G15916" s="889"/>
    </row>
    <row r="15917" spans="7:7" ht="10.5" customHeight="1" x14ac:dyDescent="0.2">
      <c r="G15917" s="889"/>
    </row>
    <row r="15918" spans="7:7" ht="10.5" customHeight="1" x14ac:dyDescent="0.2">
      <c r="G15918" s="889"/>
    </row>
    <row r="15919" spans="7:7" ht="10.5" customHeight="1" x14ac:dyDescent="0.2">
      <c r="G15919" s="889"/>
    </row>
    <row r="15920" spans="7:7" ht="10.5" customHeight="1" x14ac:dyDescent="0.2">
      <c r="G15920" s="889"/>
    </row>
    <row r="15921" spans="7:7" ht="10.5" customHeight="1" x14ac:dyDescent="0.2">
      <c r="G15921" s="889"/>
    </row>
    <row r="15922" spans="7:7" ht="10.5" customHeight="1" x14ac:dyDescent="0.2">
      <c r="G15922" s="889"/>
    </row>
    <row r="15923" spans="7:7" ht="10.5" customHeight="1" x14ac:dyDescent="0.2">
      <c r="G15923" s="889"/>
    </row>
    <row r="15924" spans="7:7" ht="10.5" customHeight="1" x14ac:dyDescent="0.2">
      <c r="G15924" s="889"/>
    </row>
    <row r="15925" spans="7:7" ht="10.5" customHeight="1" x14ac:dyDescent="0.2">
      <c r="G15925" s="889"/>
    </row>
    <row r="15926" spans="7:7" ht="10.5" customHeight="1" x14ac:dyDescent="0.2">
      <c r="G15926" s="889"/>
    </row>
    <row r="15927" spans="7:7" ht="10.5" customHeight="1" x14ac:dyDescent="0.2">
      <c r="G15927" s="889"/>
    </row>
    <row r="15928" spans="7:7" ht="10.5" customHeight="1" x14ac:dyDescent="0.2">
      <c r="G15928" s="889"/>
    </row>
    <row r="15929" spans="7:7" ht="10.5" customHeight="1" x14ac:dyDescent="0.2">
      <c r="G15929" s="889"/>
    </row>
    <row r="15930" spans="7:7" ht="10.5" customHeight="1" x14ac:dyDescent="0.2">
      <c r="G15930" s="889"/>
    </row>
    <row r="15931" spans="7:7" ht="10.5" customHeight="1" x14ac:dyDescent="0.2">
      <c r="G15931" s="889"/>
    </row>
    <row r="15932" spans="7:7" ht="10.5" customHeight="1" x14ac:dyDescent="0.2">
      <c r="G15932" s="889"/>
    </row>
    <row r="15933" spans="7:7" ht="10.5" customHeight="1" x14ac:dyDescent="0.2">
      <c r="G15933" s="889"/>
    </row>
    <row r="15934" spans="7:7" ht="10.5" customHeight="1" x14ac:dyDescent="0.2">
      <c r="G15934" s="889"/>
    </row>
    <row r="15935" spans="7:7" ht="10.5" customHeight="1" x14ac:dyDescent="0.2">
      <c r="G15935" s="889"/>
    </row>
    <row r="15936" spans="7:7" ht="10.5" customHeight="1" x14ac:dyDescent="0.2">
      <c r="G15936" s="889"/>
    </row>
    <row r="15937" spans="7:7" ht="10.5" customHeight="1" x14ac:dyDescent="0.2">
      <c r="G15937" s="889"/>
    </row>
    <row r="15938" spans="7:7" ht="10.5" customHeight="1" x14ac:dyDescent="0.2">
      <c r="G15938" s="889"/>
    </row>
    <row r="15939" spans="7:7" ht="10.5" customHeight="1" x14ac:dyDescent="0.2">
      <c r="G15939" s="889"/>
    </row>
    <row r="15940" spans="7:7" ht="10.5" customHeight="1" x14ac:dyDescent="0.2">
      <c r="G15940" s="889"/>
    </row>
    <row r="15941" spans="7:7" ht="10.5" customHeight="1" x14ac:dyDescent="0.2">
      <c r="G15941" s="889"/>
    </row>
    <row r="15942" spans="7:7" ht="10.5" customHeight="1" x14ac:dyDescent="0.2">
      <c r="G15942" s="889"/>
    </row>
    <row r="15943" spans="7:7" ht="10.5" customHeight="1" x14ac:dyDescent="0.2">
      <c r="G15943" s="889"/>
    </row>
    <row r="15944" spans="7:7" ht="10.5" customHeight="1" x14ac:dyDescent="0.2">
      <c r="G15944" s="889"/>
    </row>
    <row r="15945" spans="7:7" ht="10.5" customHeight="1" x14ac:dyDescent="0.2">
      <c r="G15945" s="889"/>
    </row>
    <row r="15946" spans="7:7" ht="10.5" customHeight="1" x14ac:dyDescent="0.2">
      <c r="G15946" s="889"/>
    </row>
    <row r="15947" spans="7:7" ht="10.5" customHeight="1" x14ac:dyDescent="0.2">
      <c r="G15947" s="889"/>
    </row>
    <row r="15948" spans="7:7" ht="10.5" customHeight="1" x14ac:dyDescent="0.2">
      <c r="G15948" s="889"/>
    </row>
    <row r="15949" spans="7:7" ht="10.5" customHeight="1" x14ac:dyDescent="0.2">
      <c r="G15949" s="889"/>
    </row>
    <row r="15950" spans="7:7" ht="10.5" customHeight="1" x14ac:dyDescent="0.2">
      <c r="G15950" s="889"/>
    </row>
    <row r="15951" spans="7:7" ht="10.5" customHeight="1" x14ac:dyDescent="0.2">
      <c r="G15951" s="889"/>
    </row>
    <row r="15952" spans="7:7" ht="10.5" customHeight="1" x14ac:dyDescent="0.2">
      <c r="G15952" s="889"/>
    </row>
    <row r="15953" spans="7:7" ht="10.5" customHeight="1" x14ac:dyDescent="0.2">
      <c r="G15953" s="889"/>
    </row>
    <row r="15954" spans="7:7" ht="10.5" customHeight="1" x14ac:dyDescent="0.2">
      <c r="G15954" s="889"/>
    </row>
    <row r="15955" spans="7:7" ht="10.5" customHeight="1" x14ac:dyDescent="0.2">
      <c r="G15955" s="889"/>
    </row>
    <row r="15956" spans="7:7" ht="10.5" customHeight="1" x14ac:dyDescent="0.2">
      <c r="G15956" s="889"/>
    </row>
    <row r="15957" spans="7:7" ht="10.5" customHeight="1" x14ac:dyDescent="0.2">
      <c r="G15957" s="889"/>
    </row>
    <row r="15958" spans="7:7" ht="10.5" customHeight="1" x14ac:dyDescent="0.2">
      <c r="G15958" s="889"/>
    </row>
    <row r="15959" spans="7:7" ht="10.5" customHeight="1" x14ac:dyDescent="0.2">
      <c r="G15959" s="889"/>
    </row>
    <row r="15960" spans="7:7" ht="10.5" customHeight="1" x14ac:dyDescent="0.2">
      <c r="G15960" s="889"/>
    </row>
    <row r="15961" spans="7:7" ht="10.5" customHeight="1" x14ac:dyDescent="0.2">
      <c r="G15961" s="889"/>
    </row>
    <row r="15962" spans="7:7" ht="10.5" customHeight="1" x14ac:dyDescent="0.2">
      <c r="G15962" s="889"/>
    </row>
    <row r="15963" spans="7:7" ht="10.5" customHeight="1" x14ac:dyDescent="0.2">
      <c r="G15963" s="889"/>
    </row>
    <row r="15964" spans="7:7" ht="10.5" customHeight="1" x14ac:dyDescent="0.2">
      <c r="G15964" s="889"/>
    </row>
    <row r="15965" spans="7:7" ht="10.5" customHeight="1" x14ac:dyDescent="0.2">
      <c r="G15965" s="889"/>
    </row>
    <row r="15966" spans="7:7" ht="10.5" customHeight="1" x14ac:dyDescent="0.2">
      <c r="G15966" s="889"/>
    </row>
    <row r="15967" spans="7:7" ht="10.5" customHeight="1" x14ac:dyDescent="0.2">
      <c r="G15967" s="889"/>
    </row>
    <row r="15968" spans="7:7" ht="10.5" customHeight="1" x14ac:dyDescent="0.2">
      <c r="G15968" s="889"/>
    </row>
    <row r="15969" spans="7:7" ht="10.5" customHeight="1" x14ac:dyDescent="0.2">
      <c r="G15969" s="889"/>
    </row>
    <row r="15970" spans="7:7" ht="10.5" customHeight="1" x14ac:dyDescent="0.2">
      <c r="G15970" s="889"/>
    </row>
    <row r="15971" spans="7:7" ht="10.5" customHeight="1" x14ac:dyDescent="0.2">
      <c r="G15971" s="889"/>
    </row>
    <row r="15972" spans="7:7" ht="10.5" customHeight="1" x14ac:dyDescent="0.2">
      <c r="G15972" s="889"/>
    </row>
    <row r="15973" spans="7:7" ht="10.5" customHeight="1" x14ac:dyDescent="0.2">
      <c r="G15973" s="889"/>
    </row>
    <row r="15974" spans="7:7" ht="10.5" customHeight="1" x14ac:dyDescent="0.2">
      <c r="G15974" s="889"/>
    </row>
    <row r="15975" spans="7:7" ht="10.5" customHeight="1" x14ac:dyDescent="0.2">
      <c r="G15975" s="889"/>
    </row>
    <row r="15976" spans="7:7" ht="10.5" customHeight="1" x14ac:dyDescent="0.2">
      <c r="G15976" s="889"/>
    </row>
    <row r="15977" spans="7:7" ht="10.5" customHeight="1" x14ac:dyDescent="0.2">
      <c r="G15977" s="889"/>
    </row>
    <row r="15978" spans="7:7" ht="10.5" customHeight="1" x14ac:dyDescent="0.2">
      <c r="G15978" s="889"/>
    </row>
    <row r="15979" spans="7:7" ht="10.5" customHeight="1" x14ac:dyDescent="0.2">
      <c r="G15979" s="889"/>
    </row>
    <row r="15980" spans="7:7" ht="10.5" customHeight="1" x14ac:dyDescent="0.2">
      <c r="G15980" s="889"/>
    </row>
    <row r="15981" spans="7:7" ht="10.5" customHeight="1" x14ac:dyDescent="0.2">
      <c r="G15981" s="889"/>
    </row>
    <row r="15982" spans="7:7" ht="10.5" customHeight="1" x14ac:dyDescent="0.2">
      <c r="G15982" s="889"/>
    </row>
    <row r="15983" spans="7:7" ht="10.5" customHeight="1" x14ac:dyDescent="0.2">
      <c r="G15983" s="889"/>
    </row>
    <row r="15984" spans="7:7" ht="10.5" customHeight="1" x14ac:dyDescent="0.2">
      <c r="G15984" s="889"/>
    </row>
    <row r="15985" spans="7:7" ht="10.5" customHeight="1" x14ac:dyDescent="0.2">
      <c r="G15985" s="889"/>
    </row>
    <row r="15986" spans="7:7" ht="10.5" customHeight="1" x14ac:dyDescent="0.2">
      <c r="G15986" s="889"/>
    </row>
    <row r="15987" spans="7:7" ht="10.5" customHeight="1" x14ac:dyDescent="0.2">
      <c r="G15987" s="889"/>
    </row>
    <row r="15988" spans="7:7" ht="10.5" customHeight="1" x14ac:dyDescent="0.2">
      <c r="G15988" s="889"/>
    </row>
    <row r="15989" spans="7:7" ht="10.5" customHeight="1" x14ac:dyDescent="0.2">
      <c r="G15989" s="889"/>
    </row>
    <row r="15990" spans="7:7" ht="10.5" customHeight="1" x14ac:dyDescent="0.2">
      <c r="G15990" s="889"/>
    </row>
    <row r="15991" spans="7:7" ht="10.5" customHeight="1" x14ac:dyDescent="0.2">
      <c r="G15991" s="889"/>
    </row>
    <row r="15992" spans="7:7" ht="10.5" customHeight="1" x14ac:dyDescent="0.2">
      <c r="G15992" s="889"/>
    </row>
    <row r="15993" spans="7:7" ht="10.5" customHeight="1" x14ac:dyDescent="0.2">
      <c r="G15993" s="889"/>
    </row>
    <row r="15994" spans="7:7" ht="10.5" customHeight="1" x14ac:dyDescent="0.2">
      <c r="G15994" s="889"/>
    </row>
    <row r="15995" spans="7:7" ht="10.5" customHeight="1" x14ac:dyDescent="0.2">
      <c r="G15995" s="889"/>
    </row>
    <row r="15996" spans="7:7" ht="10.5" customHeight="1" x14ac:dyDescent="0.2">
      <c r="G15996" s="889"/>
    </row>
    <row r="15997" spans="7:7" ht="10.5" customHeight="1" x14ac:dyDescent="0.2">
      <c r="G15997" s="889"/>
    </row>
    <row r="15998" spans="7:7" ht="10.5" customHeight="1" x14ac:dyDescent="0.2">
      <c r="G15998" s="889"/>
    </row>
    <row r="15999" spans="7:7" ht="10.5" customHeight="1" x14ac:dyDescent="0.2">
      <c r="G15999" s="889"/>
    </row>
    <row r="16000" spans="7:7" ht="10.5" customHeight="1" x14ac:dyDescent="0.2">
      <c r="G16000" s="889"/>
    </row>
    <row r="16001" spans="7:7" ht="10.5" customHeight="1" x14ac:dyDescent="0.2">
      <c r="G16001" s="889"/>
    </row>
    <row r="16002" spans="7:7" ht="10.5" customHeight="1" x14ac:dyDescent="0.2">
      <c r="G16002" s="889"/>
    </row>
    <row r="16003" spans="7:7" ht="10.5" customHeight="1" x14ac:dyDescent="0.2">
      <c r="G16003" s="889"/>
    </row>
    <row r="16004" spans="7:7" ht="10.5" customHeight="1" x14ac:dyDescent="0.2">
      <c r="G16004" s="889"/>
    </row>
    <row r="16005" spans="7:7" ht="10.5" customHeight="1" x14ac:dyDescent="0.2">
      <c r="G16005" s="889"/>
    </row>
    <row r="16006" spans="7:7" ht="10.5" customHeight="1" x14ac:dyDescent="0.2">
      <c r="G16006" s="889"/>
    </row>
    <row r="16007" spans="7:7" ht="10.5" customHeight="1" x14ac:dyDescent="0.2">
      <c r="G16007" s="889"/>
    </row>
    <row r="16008" spans="7:7" ht="10.5" customHeight="1" x14ac:dyDescent="0.2">
      <c r="G16008" s="889"/>
    </row>
    <row r="16009" spans="7:7" ht="10.5" customHeight="1" x14ac:dyDescent="0.2">
      <c r="G16009" s="889"/>
    </row>
    <row r="16010" spans="7:7" ht="10.5" customHeight="1" x14ac:dyDescent="0.2">
      <c r="G16010" s="889"/>
    </row>
    <row r="16011" spans="7:7" ht="10.5" customHeight="1" x14ac:dyDescent="0.2">
      <c r="G16011" s="889"/>
    </row>
    <row r="16012" spans="7:7" ht="10.5" customHeight="1" x14ac:dyDescent="0.2">
      <c r="G16012" s="889"/>
    </row>
    <row r="16013" spans="7:7" ht="10.5" customHeight="1" x14ac:dyDescent="0.2">
      <c r="G16013" s="889"/>
    </row>
    <row r="16014" spans="7:7" ht="10.5" customHeight="1" x14ac:dyDescent="0.2">
      <c r="G16014" s="889"/>
    </row>
    <row r="16015" spans="7:7" ht="10.5" customHeight="1" x14ac:dyDescent="0.2">
      <c r="G16015" s="889"/>
    </row>
    <row r="16016" spans="7:7" ht="10.5" customHeight="1" x14ac:dyDescent="0.2">
      <c r="G16016" s="889"/>
    </row>
    <row r="16017" spans="7:7" ht="10.5" customHeight="1" x14ac:dyDescent="0.2">
      <c r="G16017" s="889"/>
    </row>
    <row r="16018" spans="7:7" ht="10.5" customHeight="1" x14ac:dyDescent="0.2">
      <c r="G16018" s="889"/>
    </row>
    <row r="16019" spans="7:7" ht="10.5" customHeight="1" x14ac:dyDescent="0.2">
      <c r="G16019" s="889"/>
    </row>
    <row r="16020" spans="7:7" ht="10.5" customHeight="1" x14ac:dyDescent="0.2">
      <c r="G16020" s="889"/>
    </row>
    <row r="16021" spans="7:7" ht="10.5" customHeight="1" x14ac:dyDescent="0.2">
      <c r="G16021" s="889"/>
    </row>
    <row r="16022" spans="7:7" ht="10.5" customHeight="1" x14ac:dyDescent="0.2">
      <c r="G16022" s="889"/>
    </row>
    <row r="16023" spans="7:7" ht="10.5" customHeight="1" x14ac:dyDescent="0.2">
      <c r="G16023" s="889"/>
    </row>
    <row r="16024" spans="7:7" ht="10.5" customHeight="1" x14ac:dyDescent="0.2">
      <c r="G16024" s="889"/>
    </row>
    <row r="16025" spans="7:7" ht="10.5" customHeight="1" x14ac:dyDescent="0.2">
      <c r="G16025" s="889"/>
    </row>
    <row r="16026" spans="7:7" ht="10.5" customHeight="1" x14ac:dyDescent="0.2">
      <c r="G16026" s="889"/>
    </row>
    <row r="16027" spans="7:7" ht="10.5" customHeight="1" x14ac:dyDescent="0.2">
      <c r="G16027" s="889"/>
    </row>
    <row r="16028" spans="7:7" ht="10.5" customHeight="1" x14ac:dyDescent="0.2">
      <c r="G16028" s="889"/>
    </row>
    <row r="16029" spans="7:7" ht="10.5" customHeight="1" x14ac:dyDescent="0.2">
      <c r="G16029" s="889"/>
    </row>
    <row r="16030" spans="7:7" ht="10.5" customHeight="1" x14ac:dyDescent="0.2">
      <c r="G16030" s="889"/>
    </row>
    <row r="16031" spans="7:7" ht="10.5" customHeight="1" x14ac:dyDescent="0.2">
      <c r="G16031" s="889"/>
    </row>
    <row r="16032" spans="7:7" ht="10.5" customHeight="1" x14ac:dyDescent="0.2">
      <c r="G16032" s="889"/>
    </row>
    <row r="16033" spans="7:7" ht="10.5" customHeight="1" x14ac:dyDescent="0.2">
      <c r="G16033" s="889"/>
    </row>
    <row r="16034" spans="7:7" ht="10.5" customHeight="1" x14ac:dyDescent="0.2">
      <c r="G16034" s="889"/>
    </row>
    <row r="16035" spans="7:7" ht="10.5" customHeight="1" x14ac:dyDescent="0.2">
      <c r="G16035" s="889"/>
    </row>
    <row r="16036" spans="7:7" ht="10.5" customHeight="1" x14ac:dyDescent="0.2">
      <c r="G16036" s="889"/>
    </row>
    <row r="16037" spans="7:7" ht="10.5" customHeight="1" x14ac:dyDescent="0.2">
      <c r="G16037" s="889"/>
    </row>
    <row r="16038" spans="7:7" ht="10.5" customHeight="1" x14ac:dyDescent="0.2">
      <c r="G16038" s="889"/>
    </row>
    <row r="16039" spans="7:7" ht="10.5" customHeight="1" x14ac:dyDescent="0.2">
      <c r="G16039" s="889"/>
    </row>
    <row r="16040" spans="7:7" ht="10.5" customHeight="1" x14ac:dyDescent="0.2">
      <c r="G16040" s="889"/>
    </row>
    <row r="16041" spans="7:7" ht="10.5" customHeight="1" x14ac:dyDescent="0.2">
      <c r="G16041" s="889"/>
    </row>
    <row r="16042" spans="7:7" ht="10.5" customHeight="1" x14ac:dyDescent="0.2">
      <c r="G16042" s="889"/>
    </row>
    <row r="16043" spans="7:7" ht="10.5" customHeight="1" x14ac:dyDescent="0.2">
      <c r="G16043" s="889"/>
    </row>
    <row r="16044" spans="7:7" ht="10.5" customHeight="1" x14ac:dyDescent="0.2">
      <c r="G16044" s="889"/>
    </row>
    <row r="16045" spans="7:7" ht="10.5" customHeight="1" x14ac:dyDescent="0.2">
      <c r="G16045" s="889"/>
    </row>
    <row r="16046" spans="7:7" ht="10.5" customHeight="1" x14ac:dyDescent="0.2">
      <c r="G16046" s="889"/>
    </row>
    <row r="16047" spans="7:7" ht="10.5" customHeight="1" x14ac:dyDescent="0.2">
      <c r="G16047" s="889"/>
    </row>
    <row r="16048" spans="7:7" ht="10.5" customHeight="1" x14ac:dyDescent="0.2">
      <c r="G16048" s="889"/>
    </row>
    <row r="16049" spans="7:7" ht="10.5" customHeight="1" x14ac:dyDescent="0.2">
      <c r="G16049" s="889"/>
    </row>
    <row r="16050" spans="7:7" ht="10.5" customHeight="1" x14ac:dyDescent="0.2">
      <c r="G16050" s="889"/>
    </row>
    <row r="16051" spans="7:7" ht="10.5" customHeight="1" x14ac:dyDescent="0.2">
      <c r="G16051" s="889"/>
    </row>
    <row r="16052" spans="7:7" ht="10.5" customHeight="1" x14ac:dyDescent="0.2">
      <c r="G16052" s="889"/>
    </row>
    <row r="16053" spans="7:7" ht="10.5" customHeight="1" x14ac:dyDescent="0.2">
      <c r="G16053" s="889"/>
    </row>
    <row r="16054" spans="7:7" ht="10.5" customHeight="1" x14ac:dyDescent="0.2">
      <c r="G16054" s="889"/>
    </row>
    <row r="16055" spans="7:7" ht="10.5" customHeight="1" x14ac:dyDescent="0.2">
      <c r="G16055" s="889"/>
    </row>
    <row r="16056" spans="7:7" ht="10.5" customHeight="1" x14ac:dyDescent="0.2">
      <c r="G16056" s="889"/>
    </row>
    <row r="16057" spans="7:7" ht="10.5" customHeight="1" x14ac:dyDescent="0.2">
      <c r="G16057" s="889"/>
    </row>
    <row r="16058" spans="7:7" ht="10.5" customHeight="1" x14ac:dyDescent="0.2">
      <c r="G16058" s="889"/>
    </row>
    <row r="16059" spans="7:7" ht="10.5" customHeight="1" x14ac:dyDescent="0.2">
      <c r="G16059" s="889"/>
    </row>
    <row r="16060" spans="7:7" ht="10.5" customHeight="1" x14ac:dyDescent="0.2">
      <c r="G16060" s="889"/>
    </row>
    <row r="16061" spans="7:7" ht="10.5" customHeight="1" x14ac:dyDescent="0.2">
      <c r="G16061" s="889"/>
    </row>
    <row r="16062" spans="7:7" ht="10.5" customHeight="1" x14ac:dyDescent="0.2">
      <c r="G16062" s="889"/>
    </row>
    <row r="16063" spans="7:7" ht="10.5" customHeight="1" x14ac:dyDescent="0.2">
      <c r="G16063" s="889"/>
    </row>
    <row r="16064" spans="7:7" ht="10.5" customHeight="1" x14ac:dyDescent="0.2">
      <c r="G16064" s="889"/>
    </row>
    <row r="16065" spans="7:7" ht="10.5" customHeight="1" x14ac:dyDescent="0.2">
      <c r="G16065" s="889"/>
    </row>
    <row r="16066" spans="7:7" ht="10.5" customHeight="1" x14ac:dyDescent="0.2">
      <c r="G16066" s="889"/>
    </row>
    <row r="16067" spans="7:7" ht="10.5" customHeight="1" x14ac:dyDescent="0.2">
      <c r="G16067" s="889"/>
    </row>
    <row r="16068" spans="7:7" ht="10.5" customHeight="1" x14ac:dyDescent="0.2">
      <c r="G16068" s="889"/>
    </row>
    <row r="16069" spans="7:7" ht="10.5" customHeight="1" x14ac:dyDescent="0.2">
      <c r="G16069" s="889"/>
    </row>
    <row r="16070" spans="7:7" ht="10.5" customHeight="1" x14ac:dyDescent="0.2">
      <c r="G16070" s="889"/>
    </row>
    <row r="16071" spans="7:7" ht="10.5" customHeight="1" x14ac:dyDescent="0.2">
      <c r="G16071" s="889"/>
    </row>
    <row r="16072" spans="7:7" ht="10.5" customHeight="1" x14ac:dyDescent="0.2">
      <c r="G16072" s="889"/>
    </row>
    <row r="16073" spans="7:7" ht="10.5" customHeight="1" x14ac:dyDescent="0.2">
      <c r="G16073" s="889"/>
    </row>
    <row r="16074" spans="7:7" ht="10.5" customHeight="1" x14ac:dyDescent="0.2">
      <c r="G16074" s="889"/>
    </row>
    <row r="16075" spans="7:7" ht="10.5" customHeight="1" x14ac:dyDescent="0.2">
      <c r="G16075" s="889"/>
    </row>
    <row r="16076" spans="7:7" ht="10.5" customHeight="1" x14ac:dyDescent="0.2">
      <c r="G16076" s="889"/>
    </row>
    <row r="16077" spans="7:7" ht="10.5" customHeight="1" x14ac:dyDescent="0.2">
      <c r="G16077" s="889"/>
    </row>
    <row r="16078" spans="7:7" ht="10.5" customHeight="1" x14ac:dyDescent="0.2">
      <c r="G16078" s="889"/>
    </row>
    <row r="16079" spans="7:7" ht="10.5" customHeight="1" x14ac:dyDescent="0.2">
      <c r="G16079" s="889"/>
    </row>
    <row r="16080" spans="7:7" ht="10.5" customHeight="1" x14ac:dyDescent="0.2">
      <c r="G16080" s="889"/>
    </row>
    <row r="16081" spans="7:7" ht="10.5" customHeight="1" x14ac:dyDescent="0.2">
      <c r="G16081" s="889"/>
    </row>
    <row r="16082" spans="7:7" ht="10.5" customHeight="1" x14ac:dyDescent="0.2">
      <c r="G16082" s="889"/>
    </row>
    <row r="16083" spans="7:7" ht="10.5" customHeight="1" x14ac:dyDescent="0.2">
      <c r="G16083" s="889"/>
    </row>
    <row r="16084" spans="7:7" ht="10.5" customHeight="1" x14ac:dyDescent="0.2">
      <c r="G16084" s="889"/>
    </row>
    <row r="16085" spans="7:7" ht="10.5" customHeight="1" x14ac:dyDescent="0.2">
      <c r="G16085" s="889"/>
    </row>
    <row r="16086" spans="7:7" ht="10.5" customHeight="1" x14ac:dyDescent="0.2">
      <c r="G16086" s="889"/>
    </row>
    <row r="16087" spans="7:7" ht="10.5" customHeight="1" x14ac:dyDescent="0.2">
      <c r="G16087" s="889"/>
    </row>
    <row r="16088" spans="7:7" ht="10.5" customHeight="1" x14ac:dyDescent="0.2">
      <c r="G16088" s="889"/>
    </row>
    <row r="16089" spans="7:7" ht="10.5" customHeight="1" x14ac:dyDescent="0.2">
      <c r="G16089" s="889"/>
    </row>
    <row r="16090" spans="7:7" ht="10.5" customHeight="1" x14ac:dyDescent="0.2">
      <c r="G16090" s="889"/>
    </row>
    <row r="16091" spans="7:7" ht="10.5" customHeight="1" x14ac:dyDescent="0.2">
      <c r="G16091" s="889"/>
    </row>
    <row r="16092" spans="7:7" ht="10.5" customHeight="1" x14ac:dyDescent="0.2">
      <c r="G16092" s="889"/>
    </row>
    <row r="16093" spans="7:7" ht="10.5" customHeight="1" x14ac:dyDescent="0.2">
      <c r="G16093" s="889"/>
    </row>
    <row r="16094" spans="7:7" ht="10.5" customHeight="1" x14ac:dyDescent="0.2">
      <c r="G16094" s="889"/>
    </row>
    <row r="16095" spans="7:7" ht="10.5" customHeight="1" x14ac:dyDescent="0.2">
      <c r="G16095" s="889"/>
    </row>
    <row r="16096" spans="7:7" ht="10.5" customHeight="1" x14ac:dyDescent="0.2">
      <c r="G16096" s="889"/>
    </row>
    <row r="16097" spans="7:7" ht="10.5" customHeight="1" x14ac:dyDescent="0.2">
      <c r="G16097" s="889"/>
    </row>
    <row r="16098" spans="7:7" ht="10.5" customHeight="1" x14ac:dyDescent="0.2">
      <c r="G16098" s="889"/>
    </row>
    <row r="16099" spans="7:7" ht="10.5" customHeight="1" x14ac:dyDescent="0.2">
      <c r="G16099" s="889"/>
    </row>
    <row r="16100" spans="7:7" ht="10.5" customHeight="1" x14ac:dyDescent="0.2">
      <c r="G16100" s="889"/>
    </row>
    <row r="16101" spans="7:7" ht="10.5" customHeight="1" x14ac:dyDescent="0.2">
      <c r="G16101" s="889"/>
    </row>
    <row r="16102" spans="7:7" ht="10.5" customHeight="1" x14ac:dyDescent="0.2">
      <c r="G16102" s="889"/>
    </row>
    <row r="16103" spans="7:7" ht="10.5" customHeight="1" x14ac:dyDescent="0.2">
      <c r="G16103" s="889"/>
    </row>
    <row r="16104" spans="7:7" ht="10.5" customHeight="1" x14ac:dyDescent="0.2">
      <c r="G16104" s="889"/>
    </row>
    <row r="16105" spans="7:7" ht="10.5" customHeight="1" x14ac:dyDescent="0.2">
      <c r="G16105" s="889"/>
    </row>
    <row r="16106" spans="7:7" ht="10.5" customHeight="1" x14ac:dyDescent="0.2">
      <c r="G16106" s="889"/>
    </row>
    <row r="16107" spans="7:7" ht="10.5" customHeight="1" x14ac:dyDescent="0.2">
      <c r="G16107" s="889"/>
    </row>
    <row r="16108" spans="7:7" ht="10.5" customHeight="1" x14ac:dyDescent="0.2">
      <c r="G16108" s="889"/>
    </row>
    <row r="16109" spans="7:7" ht="10.5" customHeight="1" x14ac:dyDescent="0.2">
      <c r="G16109" s="889"/>
    </row>
    <row r="16110" spans="7:7" ht="10.5" customHeight="1" x14ac:dyDescent="0.2">
      <c r="G16110" s="889"/>
    </row>
    <row r="16111" spans="7:7" ht="10.5" customHeight="1" x14ac:dyDescent="0.2">
      <c r="G16111" s="889"/>
    </row>
    <row r="16112" spans="7:7" ht="10.5" customHeight="1" x14ac:dyDescent="0.2">
      <c r="G16112" s="889"/>
    </row>
    <row r="16113" spans="7:7" ht="10.5" customHeight="1" x14ac:dyDescent="0.2">
      <c r="G16113" s="889"/>
    </row>
    <row r="16114" spans="7:7" ht="10.5" customHeight="1" x14ac:dyDescent="0.2">
      <c r="G16114" s="889"/>
    </row>
    <row r="16115" spans="7:7" ht="10.5" customHeight="1" x14ac:dyDescent="0.2">
      <c r="G16115" s="889"/>
    </row>
    <row r="16116" spans="7:7" ht="10.5" customHeight="1" x14ac:dyDescent="0.2">
      <c r="G16116" s="889"/>
    </row>
    <row r="16117" spans="7:7" ht="10.5" customHeight="1" x14ac:dyDescent="0.2">
      <c r="G16117" s="889"/>
    </row>
    <row r="16118" spans="7:7" ht="10.5" customHeight="1" x14ac:dyDescent="0.2">
      <c r="G16118" s="889"/>
    </row>
    <row r="16119" spans="7:7" ht="10.5" customHeight="1" x14ac:dyDescent="0.2">
      <c r="G16119" s="889"/>
    </row>
    <row r="16120" spans="7:7" ht="10.5" customHeight="1" x14ac:dyDescent="0.2">
      <c r="G16120" s="889"/>
    </row>
    <row r="16121" spans="7:7" ht="10.5" customHeight="1" x14ac:dyDescent="0.2">
      <c r="G16121" s="889"/>
    </row>
    <row r="16122" spans="7:7" ht="10.5" customHeight="1" x14ac:dyDescent="0.2">
      <c r="G16122" s="889"/>
    </row>
    <row r="16123" spans="7:7" ht="10.5" customHeight="1" x14ac:dyDescent="0.2">
      <c r="G16123" s="889"/>
    </row>
    <row r="16124" spans="7:7" ht="10.5" customHeight="1" x14ac:dyDescent="0.2">
      <c r="G16124" s="889"/>
    </row>
    <row r="16125" spans="7:7" ht="10.5" customHeight="1" x14ac:dyDescent="0.2">
      <c r="G16125" s="889"/>
    </row>
    <row r="16126" spans="7:7" ht="10.5" customHeight="1" x14ac:dyDescent="0.2">
      <c r="G16126" s="889"/>
    </row>
    <row r="16127" spans="7:7" ht="10.5" customHeight="1" x14ac:dyDescent="0.2">
      <c r="G16127" s="889"/>
    </row>
    <row r="16128" spans="7:7" ht="10.5" customHeight="1" x14ac:dyDescent="0.2">
      <c r="G16128" s="889"/>
    </row>
    <row r="16129" spans="7:7" ht="10.5" customHeight="1" x14ac:dyDescent="0.2">
      <c r="G16129" s="889"/>
    </row>
    <row r="16130" spans="7:7" ht="10.5" customHeight="1" x14ac:dyDescent="0.2">
      <c r="G16130" s="889"/>
    </row>
    <row r="16131" spans="7:7" ht="10.5" customHeight="1" x14ac:dyDescent="0.2">
      <c r="G16131" s="889"/>
    </row>
    <row r="16132" spans="7:7" ht="10.5" customHeight="1" x14ac:dyDescent="0.2">
      <c r="G16132" s="889"/>
    </row>
    <row r="16133" spans="7:7" ht="10.5" customHeight="1" x14ac:dyDescent="0.2">
      <c r="G16133" s="889"/>
    </row>
    <row r="16134" spans="7:7" ht="10.5" customHeight="1" x14ac:dyDescent="0.2">
      <c r="G16134" s="889"/>
    </row>
    <row r="16135" spans="7:7" ht="10.5" customHeight="1" x14ac:dyDescent="0.2">
      <c r="G16135" s="889"/>
    </row>
    <row r="16136" spans="7:7" ht="10.5" customHeight="1" x14ac:dyDescent="0.2">
      <c r="G16136" s="889"/>
    </row>
    <row r="16137" spans="7:7" ht="10.5" customHeight="1" x14ac:dyDescent="0.2">
      <c r="G16137" s="889"/>
    </row>
    <row r="16138" spans="7:7" ht="10.5" customHeight="1" x14ac:dyDescent="0.2">
      <c r="G16138" s="889"/>
    </row>
    <row r="16139" spans="7:7" ht="10.5" customHeight="1" x14ac:dyDescent="0.2">
      <c r="G16139" s="889"/>
    </row>
    <row r="16140" spans="7:7" ht="10.5" customHeight="1" x14ac:dyDescent="0.2">
      <c r="G16140" s="889"/>
    </row>
    <row r="16141" spans="7:7" ht="10.5" customHeight="1" x14ac:dyDescent="0.2">
      <c r="G16141" s="889"/>
    </row>
    <row r="16142" spans="7:7" ht="10.5" customHeight="1" x14ac:dyDescent="0.2">
      <c r="G16142" s="889"/>
    </row>
    <row r="16143" spans="7:7" ht="10.5" customHeight="1" x14ac:dyDescent="0.2">
      <c r="G16143" s="889"/>
    </row>
    <row r="16144" spans="7:7" ht="10.5" customHeight="1" x14ac:dyDescent="0.2">
      <c r="G16144" s="889"/>
    </row>
    <row r="16145" spans="7:7" ht="10.5" customHeight="1" x14ac:dyDescent="0.2">
      <c r="G16145" s="889"/>
    </row>
    <row r="16146" spans="7:7" ht="10.5" customHeight="1" x14ac:dyDescent="0.2">
      <c r="G16146" s="889"/>
    </row>
    <row r="16147" spans="7:7" ht="10.5" customHeight="1" x14ac:dyDescent="0.2">
      <c r="G16147" s="889"/>
    </row>
    <row r="16148" spans="7:7" ht="10.5" customHeight="1" x14ac:dyDescent="0.2">
      <c r="G16148" s="889"/>
    </row>
    <row r="16149" spans="7:7" ht="10.5" customHeight="1" x14ac:dyDescent="0.2">
      <c r="G16149" s="889"/>
    </row>
    <row r="16150" spans="7:7" ht="10.5" customHeight="1" x14ac:dyDescent="0.2">
      <c r="G16150" s="889"/>
    </row>
    <row r="16151" spans="7:7" ht="10.5" customHeight="1" x14ac:dyDescent="0.2">
      <c r="G16151" s="889"/>
    </row>
    <row r="16152" spans="7:7" ht="10.5" customHeight="1" x14ac:dyDescent="0.2">
      <c r="G16152" s="889"/>
    </row>
    <row r="16153" spans="7:7" ht="10.5" customHeight="1" x14ac:dyDescent="0.2">
      <c r="G16153" s="889"/>
    </row>
    <row r="16154" spans="7:7" ht="10.5" customHeight="1" x14ac:dyDescent="0.2">
      <c r="G16154" s="889"/>
    </row>
    <row r="16155" spans="7:7" ht="10.5" customHeight="1" x14ac:dyDescent="0.2">
      <c r="G16155" s="889"/>
    </row>
    <row r="16156" spans="7:7" ht="10.5" customHeight="1" x14ac:dyDescent="0.2">
      <c r="G16156" s="889"/>
    </row>
    <row r="16157" spans="7:7" ht="10.5" customHeight="1" x14ac:dyDescent="0.2">
      <c r="G16157" s="889"/>
    </row>
    <row r="16158" spans="7:7" ht="10.5" customHeight="1" x14ac:dyDescent="0.2">
      <c r="G16158" s="889"/>
    </row>
    <row r="16159" spans="7:7" ht="10.5" customHeight="1" x14ac:dyDescent="0.2">
      <c r="G16159" s="889"/>
    </row>
    <row r="16160" spans="7:7" ht="10.5" customHeight="1" x14ac:dyDescent="0.2">
      <c r="G16160" s="889"/>
    </row>
    <row r="16161" spans="7:7" ht="10.5" customHeight="1" x14ac:dyDescent="0.2">
      <c r="G16161" s="889"/>
    </row>
    <row r="16162" spans="7:7" ht="10.5" customHeight="1" x14ac:dyDescent="0.2">
      <c r="G16162" s="889"/>
    </row>
    <row r="16163" spans="7:7" ht="10.5" customHeight="1" x14ac:dyDescent="0.2">
      <c r="G16163" s="889"/>
    </row>
    <row r="16164" spans="7:7" ht="10.5" customHeight="1" x14ac:dyDescent="0.2">
      <c r="G16164" s="889"/>
    </row>
    <row r="16165" spans="7:7" ht="10.5" customHeight="1" x14ac:dyDescent="0.2">
      <c r="G16165" s="889"/>
    </row>
    <row r="16166" spans="7:7" ht="10.5" customHeight="1" x14ac:dyDescent="0.2">
      <c r="G16166" s="889"/>
    </row>
    <row r="16167" spans="7:7" ht="10.5" customHeight="1" x14ac:dyDescent="0.2">
      <c r="G16167" s="889"/>
    </row>
    <row r="16168" spans="7:7" ht="10.5" customHeight="1" x14ac:dyDescent="0.2">
      <c r="G16168" s="889"/>
    </row>
    <row r="16169" spans="7:7" ht="10.5" customHeight="1" x14ac:dyDescent="0.2">
      <c r="G16169" s="889"/>
    </row>
    <row r="16170" spans="7:7" ht="10.5" customHeight="1" x14ac:dyDescent="0.2">
      <c r="G16170" s="889"/>
    </row>
    <row r="16171" spans="7:7" ht="10.5" customHeight="1" x14ac:dyDescent="0.2">
      <c r="G16171" s="889"/>
    </row>
    <row r="16172" spans="7:7" ht="10.5" customHeight="1" x14ac:dyDescent="0.2">
      <c r="G16172" s="889"/>
    </row>
    <row r="16173" spans="7:7" ht="10.5" customHeight="1" x14ac:dyDescent="0.2">
      <c r="G16173" s="889"/>
    </row>
    <row r="16174" spans="7:7" ht="10.5" customHeight="1" x14ac:dyDescent="0.2">
      <c r="G16174" s="889"/>
    </row>
    <row r="16175" spans="7:7" ht="10.5" customHeight="1" x14ac:dyDescent="0.2">
      <c r="G16175" s="889"/>
    </row>
    <row r="16176" spans="7:7" ht="10.5" customHeight="1" x14ac:dyDescent="0.2">
      <c r="G16176" s="889"/>
    </row>
    <row r="16177" spans="7:7" ht="10.5" customHeight="1" x14ac:dyDescent="0.2">
      <c r="G16177" s="889"/>
    </row>
    <row r="16178" spans="7:7" ht="10.5" customHeight="1" x14ac:dyDescent="0.2">
      <c r="G16178" s="889"/>
    </row>
    <row r="16179" spans="7:7" ht="10.5" customHeight="1" x14ac:dyDescent="0.2">
      <c r="G16179" s="889"/>
    </row>
    <row r="16180" spans="7:7" ht="10.5" customHeight="1" x14ac:dyDescent="0.2">
      <c r="G16180" s="889"/>
    </row>
    <row r="16181" spans="7:7" ht="10.5" customHeight="1" x14ac:dyDescent="0.2">
      <c r="G16181" s="889"/>
    </row>
    <row r="16182" spans="7:7" ht="10.5" customHeight="1" x14ac:dyDescent="0.2">
      <c r="G16182" s="889"/>
    </row>
    <row r="16183" spans="7:7" ht="10.5" customHeight="1" x14ac:dyDescent="0.2">
      <c r="G16183" s="889"/>
    </row>
    <row r="16184" spans="7:7" ht="10.5" customHeight="1" x14ac:dyDescent="0.2">
      <c r="G16184" s="889"/>
    </row>
    <row r="16185" spans="7:7" ht="10.5" customHeight="1" x14ac:dyDescent="0.2">
      <c r="G16185" s="889"/>
    </row>
    <row r="16186" spans="7:7" ht="10.5" customHeight="1" x14ac:dyDescent="0.2">
      <c r="G16186" s="889"/>
    </row>
    <row r="16187" spans="7:7" ht="10.5" customHeight="1" x14ac:dyDescent="0.2">
      <c r="G16187" s="889"/>
    </row>
    <row r="16188" spans="7:7" ht="10.5" customHeight="1" x14ac:dyDescent="0.2">
      <c r="G16188" s="889"/>
    </row>
    <row r="16189" spans="7:7" ht="10.5" customHeight="1" x14ac:dyDescent="0.2">
      <c r="G16189" s="889"/>
    </row>
    <row r="16190" spans="7:7" ht="10.5" customHeight="1" x14ac:dyDescent="0.2">
      <c r="G16190" s="889"/>
    </row>
    <row r="16191" spans="7:7" ht="10.5" customHeight="1" x14ac:dyDescent="0.2">
      <c r="G16191" s="889"/>
    </row>
    <row r="16192" spans="7:7" ht="10.5" customHeight="1" x14ac:dyDescent="0.2">
      <c r="G16192" s="889"/>
    </row>
    <row r="16193" spans="7:7" ht="10.5" customHeight="1" x14ac:dyDescent="0.2">
      <c r="G16193" s="889"/>
    </row>
    <row r="16194" spans="7:7" ht="10.5" customHeight="1" x14ac:dyDescent="0.2">
      <c r="G16194" s="889"/>
    </row>
    <row r="16195" spans="7:7" ht="10.5" customHeight="1" x14ac:dyDescent="0.2">
      <c r="G16195" s="889"/>
    </row>
    <row r="16196" spans="7:7" ht="10.5" customHeight="1" x14ac:dyDescent="0.2">
      <c r="G16196" s="889"/>
    </row>
    <row r="16197" spans="7:7" ht="10.5" customHeight="1" x14ac:dyDescent="0.2">
      <c r="G16197" s="889"/>
    </row>
    <row r="16198" spans="7:7" ht="10.5" customHeight="1" x14ac:dyDescent="0.2">
      <c r="G16198" s="889"/>
    </row>
    <row r="16199" spans="7:7" ht="10.5" customHeight="1" x14ac:dyDescent="0.2">
      <c r="G16199" s="889"/>
    </row>
    <row r="16200" spans="7:7" ht="10.5" customHeight="1" x14ac:dyDescent="0.2">
      <c r="G16200" s="889"/>
    </row>
    <row r="16201" spans="7:7" ht="10.5" customHeight="1" x14ac:dyDescent="0.2">
      <c r="G16201" s="889"/>
    </row>
    <row r="16202" spans="7:7" ht="10.5" customHeight="1" x14ac:dyDescent="0.2">
      <c r="G16202" s="889"/>
    </row>
    <row r="16203" spans="7:7" ht="10.5" customHeight="1" x14ac:dyDescent="0.2">
      <c r="G16203" s="889"/>
    </row>
    <row r="16204" spans="7:7" ht="10.5" customHeight="1" x14ac:dyDescent="0.2">
      <c r="G16204" s="889"/>
    </row>
    <row r="16205" spans="7:7" ht="10.5" customHeight="1" x14ac:dyDescent="0.2">
      <c r="G16205" s="889"/>
    </row>
    <row r="16206" spans="7:7" ht="10.5" customHeight="1" x14ac:dyDescent="0.2">
      <c r="G16206" s="889"/>
    </row>
    <row r="16207" spans="7:7" ht="10.5" customHeight="1" x14ac:dyDescent="0.2">
      <c r="G16207" s="889"/>
    </row>
    <row r="16208" spans="7:7" ht="10.5" customHeight="1" x14ac:dyDescent="0.2">
      <c r="G16208" s="889"/>
    </row>
    <row r="16209" spans="7:7" ht="10.5" customHeight="1" x14ac:dyDescent="0.2">
      <c r="G16209" s="889"/>
    </row>
    <row r="16210" spans="7:7" ht="10.5" customHeight="1" x14ac:dyDescent="0.2">
      <c r="G16210" s="889"/>
    </row>
    <row r="16211" spans="7:7" ht="10.5" customHeight="1" x14ac:dyDescent="0.2">
      <c r="G16211" s="889"/>
    </row>
    <row r="16212" spans="7:7" ht="10.5" customHeight="1" x14ac:dyDescent="0.2">
      <c r="G16212" s="889"/>
    </row>
    <row r="16213" spans="7:7" ht="10.5" customHeight="1" x14ac:dyDescent="0.2">
      <c r="G16213" s="889"/>
    </row>
    <row r="16214" spans="7:7" ht="10.5" customHeight="1" x14ac:dyDescent="0.2">
      <c r="G16214" s="889"/>
    </row>
    <row r="16215" spans="7:7" ht="10.5" customHeight="1" x14ac:dyDescent="0.2">
      <c r="G16215" s="889"/>
    </row>
    <row r="16216" spans="7:7" ht="10.5" customHeight="1" x14ac:dyDescent="0.2">
      <c r="G16216" s="889"/>
    </row>
    <row r="16217" spans="7:7" ht="10.5" customHeight="1" x14ac:dyDescent="0.2">
      <c r="G16217" s="889"/>
    </row>
    <row r="16218" spans="7:7" ht="10.5" customHeight="1" x14ac:dyDescent="0.2">
      <c r="G16218" s="889"/>
    </row>
    <row r="16219" spans="7:7" ht="10.5" customHeight="1" x14ac:dyDescent="0.2">
      <c r="G16219" s="889"/>
    </row>
    <row r="16220" spans="7:7" ht="10.5" customHeight="1" x14ac:dyDescent="0.2">
      <c r="G16220" s="889"/>
    </row>
    <row r="16221" spans="7:7" ht="10.5" customHeight="1" x14ac:dyDescent="0.2">
      <c r="G16221" s="889"/>
    </row>
    <row r="16222" spans="7:7" ht="10.5" customHeight="1" x14ac:dyDescent="0.2">
      <c r="G16222" s="889"/>
    </row>
    <row r="16223" spans="7:7" ht="10.5" customHeight="1" x14ac:dyDescent="0.2">
      <c r="G16223" s="889"/>
    </row>
    <row r="16224" spans="7:7" ht="10.5" customHeight="1" x14ac:dyDescent="0.2">
      <c r="G16224" s="889"/>
    </row>
    <row r="16225" spans="7:7" ht="10.5" customHeight="1" x14ac:dyDescent="0.2">
      <c r="G16225" s="889"/>
    </row>
    <row r="16226" spans="7:7" ht="10.5" customHeight="1" x14ac:dyDescent="0.2">
      <c r="G16226" s="889"/>
    </row>
    <row r="16227" spans="7:7" ht="10.5" customHeight="1" x14ac:dyDescent="0.2">
      <c r="G16227" s="889"/>
    </row>
    <row r="16228" spans="7:7" ht="10.5" customHeight="1" x14ac:dyDescent="0.2">
      <c r="G16228" s="889"/>
    </row>
    <row r="16229" spans="7:7" ht="10.5" customHeight="1" x14ac:dyDescent="0.2">
      <c r="G16229" s="889"/>
    </row>
    <row r="16230" spans="7:7" ht="10.5" customHeight="1" x14ac:dyDescent="0.2">
      <c r="G16230" s="889"/>
    </row>
    <row r="16231" spans="7:7" ht="10.5" customHeight="1" x14ac:dyDescent="0.2">
      <c r="G16231" s="889"/>
    </row>
    <row r="16232" spans="7:7" ht="10.5" customHeight="1" x14ac:dyDescent="0.2">
      <c r="G16232" s="889"/>
    </row>
    <row r="16233" spans="7:7" ht="10.5" customHeight="1" x14ac:dyDescent="0.2">
      <c r="G16233" s="889"/>
    </row>
    <row r="16234" spans="7:7" ht="10.5" customHeight="1" x14ac:dyDescent="0.2">
      <c r="G16234" s="889"/>
    </row>
    <row r="16235" spans="7:7" ht="10.5" customHeight="1" x14ac:dyDescent="0.2">
      <c r="G16235" s="889"/>
    </row>
    <row r="16236" spans="7:7" ht="10.5" customHeight="1" x14ac:dyDescent="0.2">
      <c r="G16236" s="889"/>
    </row>
    <row r="16237" spans="7:7" ht="10.5" customHeight="1" x14ac:dyDescent="0.2">
      <c r="G16237" s="889"/>
    </row>
    <row r="16238" spans="7:7" ht="10.5" customHeight="1" x14ac:dyDescent="0.2">
      <c r="G16238" s="889"/>
    </row>
    <row r="16239" spans="7:7" ht="10.5" customHeight="1" x14ac:dyDescent="0.2">
      <c r="G16239" s="889"/>
    </row>
    <row r="16240" spans="7:7" ht="10.5" customHeight="1" x14ac:dyDescent="0.2">
      <c r="G16240" s="889"/>
    </row>
    <row r="16241" spans="7:7" ht="10.5" customHeight="1" x14ac:dyDescent="0.2">
      <c r="G16241" s="889"/>
    </row>
    <row r="16242" spans="7:7" ht="10.5" customHeight="1" x14ac:dyDescent="0.2">
      <c r="G16242" s="889"/>
    </row>
    <row r="16243" spans="7:7" ht="10.5" customHeight="1" x14ac:dyDescent="0.2">
      <c r="G16243" s="889"/>
    </row>
    <row r="16244" spans="7:7" ht="10.5" customHeight="1" x14ac:dyDescent="0.2">
      <c r="G16244" s="889"/>
    </row>
    <row r="16245" spans="7:7" ht="10.5" customHeight="1" x14ac:dyDescent="0.2">
      <c r="G16245" s="889"/>
    </row>
    <row r="16246" spans="7:7" ht="10.5" customHeight="1" x14ac:dyDescent="0.2">
      <c r="G16246" s="889"/>
    </row>
    <row r="16247" spans="7:7" ht="10.5" customHeight="1" x14ac:dyDescent="0.2">
      <c r="G16247" s="889"/>
    </row>
    <row r="16248" spans="7:7" ht="10.5" customHeight="1" x14ac:dyDescent="0.2">
      <c r="G16248" s="889"/>
    </row>
    <row r="16249" spans="7:7" ht="10.5" customHeight="1" x14ac:dyDescent="0.2">
      <c r="G16249" s="889"/>
    </row>
    <row r="16250" spans="7:7" ht="10.5" customHeight="1" x14ac:dyDescent="0.2">
      <c r="G16250" s="889"/>
    </row>
    <row r="16251" spans="7:7" ht="10.5" customHeight="1" x14ac:dyDescent="0.2">
      <c r="G16251" s="889"/>
    </row>
    <row r="16252" spans="7:7" ht="10.5" customHeight="1" x14ac:dyDescent="0.2">
      <c r="G16252" s="889"/>
    </row>
    <row r="16253" spans="7:7" ht="10.5" customHeight="1" x14ac:dyDescent="0.2">
      <c r="G16253" s="889"/>
    </row>
    <row r="16254" spans="7:7" ht="10.5" customHeight="1" x14ac:dyDescent="0.2">
      <c r="G16254" s="889"/>
    </row>
    <row r="16255" spans="7:7" ht="10.5" customHeight="1" x14ac:dyDescent="0.2">
      <c r="G16255" s="889"/>
    </row>
    <row r="16256" spans="7:7" ht="10.5" customHeight="1" x14ac:dyDescent="0.2">
      <c r="G16256" s="889"/>
    </row>
    <row r="16257" spans="7:7" ht="10.5" customHeight="1" x14ac:dyDescent="0.2">
      <c r="G16257" s="889"/>
    </row>
    <row r="16258" spans="7:7" ht="10.5" customHeight="1" x14ac:dyDescent="0.2">
      <c r="G16258" s="889"/>
    </row>
    <row r="16259" spans="7:7" ht="10.5" customHeight="1" x14ac:dyDescent="0.2">
      <c r="G16259" s="889"/>
    </row>
    <row r="16260" spans="7:7" ht="10.5" customHeight="1" x14ac:dyDescent="0.2">
      <c r="G16260" s="889"/>
    </row>
    <row r="16261" spans="7:7" ht="10.5" customHeight="1" x14ac:dyDescent="0.2">
      <c r="G16261" s="889"/>
    </row>
    <row r="16262" spans="7:7" ht="10.5" customHeight="1" x14ac:dyDescent="0.2">
      <c r="G16262" s="889"/>
    </row>
    <row r="16263" spans="7:7" ht="10.5" customHeight="1" x14ac:dyDescent="0.2">
      <c r="G16263" s="889"/>
    </row>
    <row r="16264" spans="7:7" ht="10.5" customHeight="1" x14ac:dyDescent="0.2">
      <c r="G16264" s="889"/>
    </row>
    <row r="16265" spans="7:7" ht="10.5" customHeight="1" x14ac:dyDescent="0.2">
      <c r="G16265" s="889"/>
    </row>
    <row r="16266" spans="7:7" ht="10.5" customHeight="1" x14ac:dyDescent="0.2">
      <c r="G16266" s="889"/>
    </row>
    <row r="16267" spans="7:7" ht="10.5" customHeight="1" x14ac:dyDescent="0.2">
      <c r="G16267" s="889"/>
    </row>
    <row r="16268" spans="7:7" ht="10.5" customHeight="1" x14ac:dyDescent="0.2">
      <c r="G16268" s="889"/>
    </row>
    <row r="16269" spans="7:7" ht="10.5" customHeight="1" x14ac:dyDescent="0.2">
      <c r="G16269" s="889"/>
    </row>
    <row r="16270" spans="7:7" ht="10.5" customHeight="1" x14ac:dyDescent="0.2">
      <c r="G16270" s="889"/>
    </row>
    <row r="16271" spans="7:7" ht="10.5" customHeight="1" x14ac:dyDescent="0.2">
      <c r="G16271" s="889"/>
    </row>
    <row r="16272" spans="7:7" ht="10.5" customHeight="1" x14ac:dyDescent="0.2">
      <c r="G16272" s="889"/>
    </row>
    <row r="16273" spans="7:7" ht="10.5" customHeight="1" x14ac:dyDescent="0.2">
      <c r="G16273" s="889"/>
    </row>
    <row r="16274" spans="7:7" ht="10.5" customHeight="1" x14ac:dyDescent="0.2">
      <c r="G16274" s="889"/>
    </row>
    <row r="16275" spans="7:7" ht="10.5" customHeight="1" x14ac:dyDescent="0.2">
      <c r="G16275" s="889"/>
    </row>
    <row r="16276" spans="7:7" ht="10.5" customHeight="1" x14ac:dyDescent="0.2">
      <c r="G16276" s="889"/>
    </row>
    <row r="16277" spans="7:7" ht="10.5" customHeight="1" x14ac:dyDescent="0.2">
      <c r="G16277" s="889"/>
    </row>
    <row r="16278" spans="7:7" ht="10.5" customHeight="1" x14ac:dyDescent="0.2">
      <c r="G16278" s="889"/>
    </row>
    <row r="16279" spans="7:7" ht="10.5" customHeight="1" x14ac:dyDescent="0.2">
      <c r="G16279" s="889"/>
    </row>
    <row r="16280" spans="7:7" ht="10.5" customHeight="1" x14ac:dyDescent="0.2">
      <c r="G16280" s="889"/>
    </row>
    <row r="16281" spans="7:7" ht="10.5" customHeight="1" x14ac:dyDescent="0.2">
      <c r="G16281" s="889"/>
    </row>
    <row r="16282" spans="7:7" ht="10.5" customHeight="1" x14ac:dyDescent="0.2">
      <c r="G16282" s="889"/>
    </row>
    <row r="16283" spans="7:7" ht="10.5" customHeight="1" x14ac:dyDescent="0.2">
      <c r="G16283" s="889"/>
    </row>
    <row r="16284" spans="7:7" ht="10.5" customHeight="1" x14ac:dyDescent="0.2">
      <c r="G16284" s="889"/>
    </row>
    <row r="16285" spans="7:7" ht="10.5" customHeight="1" x14ac:dyDescent="0.2">
      <c r="G16285" s="889"/>
    </row>
    <row r="16286" spans="7:7" ht="10.5" customHeight="1" x14ac:dyDescent="0.2">
      <c r="G16286" s="889"/>
    </row>
    <row r="16287" spans="7:7" ht="10.5" customHeight="1" x14ac:dyDescent="0.2">
      <c r="G16287" s="889"/>
    </row>
    <row r="16288" spans="7:7" ht="10.5" customHeight="1" x14ac:dyDescent="0.2">
      <c r="G16288" s="889"/>
    </row>
    <row r="16289" spans="7:7" ht="10.5" customHeight="1" x14ac:dyDescent="0.2">
      <c r="G16289" s="889"/>
    </row>
    <row r="16290" spans="7:7" ht="10.5" customHeight="1" x14ac:dyDescent="0.2">
      <c r="G16290" s="889"/>
    </row>
    <row r="16291" spans="7:7" ht="10.5" customHeight="1" x14ac:dyDescent="0.2">
      <c r="G16291" s="889"/>
    </row>
    <row r="16292" spans="7:7" ht="10.5" customHeight="1" x14ac:dyDescent="0.2">
      <c r="G16292" s="889"/>
    </row>
    <row r="16293" spans="7:7" ht="10.5" customHeight="1" x14ac:dyDescent="0.2">
      <c r="G16293" s="889"/>
    </row>
    <row r="16294" spans="7:7" ht="10.5" customHeight="1" x14ac:dyDescent="0.2">
      <c r="G16294" s="889"/>
    </row>
    <row r="16295" spans="7:7" ht="10.5" customHeight="1" x14ac:dyDescent="0.2">
      <c r="G16295" s="889"/>
    </row>
    <row r="16296" spans="7:7" ht="10.5" customHeight="1" x14ac:dyDescent="0.2">
      <c r="G16296" s="889"/>
    </row>
    <row r="16297" spans="7:7" ht="10.5" customHeight="1" x14ac:dyDescent="0.2">
      <c r="G16297" s="889"/>
    </row>
    <row r="16298" spans="7:7" ht="10.5" customHeight="1" x14ac:dyDescent="0.2">
      <c r="G16298" s="889"/>
    </row>
    <row r="16299" spans="7:7" ht="10.5" customHeight="1" x14ac:dyDescent="0.2">
      <c r="G16299" s="889"/>
    </row>
    <row r="16300" spans="7:7" ht="10.5" customHeight="1" x14ac:dyDescent="0.2">
      <c r="G16300" s="889"/>
    </row>
    <row r="16301" spans="7:7" ht="10.5" customHeight="1" x14ac:dyDescent="0.2">
      <c r="G16301" s="889"/>
    </row>
    <row r="16302" spans="7:7" ht="10.5" customHeight="1" x14ac:dyDescent="0.2">
      <c r="G16302" s="889"/>
    </row>
    <row r="16303" spans="7:7" ht="10.5" customHeight="1" x14ac:dyDescent="0.2">
      <c r="G16303" s="889"/>
    </row>
    <row r="16304" spans="7:7" ht="10.5" customHeight="1" x14ac:dyDescent="0.2">
      <c r="G16304" s="889"/>
    </row>
    <row r="16305" spans="7:7" ht="10.5" customHeight="1" x14ac:dyDescent="0.2">
      <c r="G16305" s="889"/>
    </row>
    <row r="16306" spans="7:7" ht="10.5" customHeight="1" x14ac:dyDescent="0.2">
      <c r="G16306" s="889"/>
    </row>
    <row r="16307" spans="7:7" ht="10.5" customHeight="1" x14ac:dyDescent="0.2">
      <c r="G16307" s="889"/>
    </row>
    <row r="16308" spans="7:7" ht="10.5" customHeight="1" x14ac:dyDescent="0.2">
      <c r="G16308" s="889"/>
    </row>
    <row r="16309" spans="7:7" ht="10.5" customHeight="1" x14ac:dyDescent="0.2">
      <c r="G16309" s="889"/>
    </row>
    <row r="16310" spans="7:7" ht="10.5" customHeight="1" x14ac:dyDescent="0.2">
      <c r="G16310" s="889"/>
    </row>
    <row r="16311" spans="7:7" ht="10.5" customHeight="1" x14ac:dyDescent="0.2">
      <c r="G16311" s="889"/>
    </row>
    <row r="16312" spans="7:7" ht="10.5" customHeight="1" x14ac:dyDescent="0.2">
      <c r="G16312" s="889"/>
    </row>
    <row r="16313" spans="7:7" ht="10.5" customHeight="1" x14ac:dyDescent="0.2">
      <c r="G16313" s="889"/>
    </row>
    <row r="16314" spans="7:7" ht="10.5" customHeight="1" x14ac:dyDescent="0.2">
      <c r="G16314" s="889"/>
    </row>
    <row r="16315" spans="7:7" ht="10.5" customHeight="1" x14ac:dyDescent="0.2">
      <c r="G16315" s="889"/>
    </row>
    <row r="16316" spans="7:7" ht="10.5" customHeight="1" x14ac:dyDescent="0.2">
      <c r="G16316" s="889"/>
    </row>
    <row r="16317" spans="7:7" ht="10.5" customHeight="1" x14ac:dyDescent="0.2">
      <c r="G16317" s="889"/>
    </row>
    <row r="16318" spans="7:7" ht="10.5" customHeight="1" x14ac:dyDescent="0.2">
      <c r="G16318" s="889"/>
    </row>
    <row r="16319" spans="7:7" ht="10.5" customHeight="1" x14ac:dyDescent="0.2">
      <c r="G16319" s="889"/>
    </row>
    <row r="16320" spans="7:7" ht="10.5" customHeight="1" x14ac:dyDescent="0.2">
      <c r="G16320" s="889"/>
    </row>
    <row r="16321" spans="7:7" ht="10.5" customHeight="1" x14ac:dyDescent="0.2">
      <c r="G16321" s="889"/>
    </row>
    <row r="16322" spans="7:7" ht="10.5" customHeight="1" x14ac:dyDescent="0.2">
      <c r="G16322" s="889"/>
    </row>
    <row r="16323" spans="7:7" ht="10.5" customHeight="1" x14ac:dyDescent="0.2">
      <c r="G16323" s="889"/>
    </row>
    <row r="16324" spans="7:7" ht="10.5" customHeight="1" x14ac:dyDescent="0.2">
      <c r="G16324" s="889"/>
    </row>
    <row r="16325" spans="7:7" ht="10.5" customHeight="1" x14ac:dyDescent="0.2">
      <c r="G16325" s="889"/>
    </row>
    <row r="16326" spans="7:7" ht="10.5" customHeight="1" x14ac:dyDescent="0.2">
      <c r="G16326" s="889"/>
    </row>
    <row r="16327" spans="7:7" ht="10.5" customHeight="1" x14ac:dyDescent="0.2">
      <c r="G16327" s="889"/>
    </row>
    <row r="16328" spans="7:7" ht="10.5" customHeight="1" x14ac:dyDescent="0.2">
      <c r="G16328" s="889"/>
    </row>
    <row r="16329" spans="7:7" ht="10.5" customHeight="1" x14ac:dyDescent="0.2">
      <c r="G16329" s="889"/>
    </row>
    <row r="16330" spans="7:7" ht="10.5" customHeight="1" x14ac:dyDescent="0.2">
      <c r="G16330" s="889"/>
    </row>
    <row r="16331" spans="7:7" ht="10.5" customHeight="1" x14ac:dyDescent="0.2">
      <c r="G16331" s="889"/>
    </row>
    <row r="16332" spans="7:7" ht="10.5" customHeight="1" x14ac:dyDescent="0.2">
      <c r="G16332" s="889"/>
    </row>
    <row r="16333" spans="7:7" ht="10.5" customHeight="1" x14ac:dyDescent="0.2">
      <c r="G16333" s="889"/>
    </row>
    <row r="16334" spans="7:7" ht="10.5" customHeight="1" x14ac:dyDescent="0.2">
      <c r="G16334" s="889"/>
    </row>
    <row r="16335" spans="7:7" ht="10.5" customHeight="1" x14ac:dyDescent="0.2">
      <c r="G16335" s="889"/>
    </row>
    <row r="16336" spans="7:7" ht="10.5" customHeight="1" x14ac:dyDescent="0.2">
      <c r="G16336" s="889"/>
    </row>
    <row r="16337" spans="7:7" ht="10.5" customHeight="1" x14ac:dyDescent="0.2">
      <c r="G16337" s="889"/>
    </row>
    <row r="16338" spans="7:7" ht="10.5" customHeight="1" x14ac:dyDescent="0.2">
      <c r="G16338" s="889"/>
    </row>
    <row r="16339" spans="7:7" ht="10.5" customHeight="1" x14ac:dyDescent="0.2">
      <c r="G16339" s="889"/>
    </row>
    <row r="16340" spans="7:7" ht="10.5" customHeight="1" x14ac:dyDescent="0.2">
      <c r="G16340" s="889"/>
    </row>
    <row r="16341" spans="7:7" ht="10.5" customHeight="1" x14ac:dyDescent="0.2">
      <c r="G16341" s="889"/>
    </row>
    <row r="16342" spans="7:7" ht="10.5" customHeight="1" x14ac:dyDescent="0.2">
      <c r="G16342" s="889"/>
    </row>
    <row r="16343" spans="7:7" ht="10.5" customHeight="1" x14ac:dyDescent="0.2">
      <c r="G16343" s="889"/>
    </row>
    <row r="16344" spans="7:7" ht="10.5" customHeight="1" x14ac:dyDescent="0.2">
      <c r="G16344" s="889"/>
    </row>
    <row r="16345" spans="7:7" ht="10.5" customHeight="1" x14ac:dyDescent="0.2">
      <c r="G16345" s="889"/>
    </row>
    <row r="16346" spans="7:7" ht="10.5" customHeight="1" x14ac:dyDescent="0.2">
      <c r="G16346" s="889"/>
    </row>
    <row r="16347" spans="7:7" ht="10.5" customHeight="1" x14ac:dyDescent="0.2">
      <c r="G16347" s="889"/>
    </row>
    <row r="16348" spans="7:7" ht="10.5" customHeight="1" x14ac:dyDescent="0.2">
      <c r="G16348" s="889"/>
    </row>
    <row r="16349" spans="7:7" ht="10.5" customHeight="1" x14ac:dyDescent="0.2">
      <c r="G16349" s="889"/>
    </row>
    <row r="16350" spans="7:7" ht="10.5" customHeight="1" x14ac:dyDescent="0.2">
      <c r="G16350" s="889"/>
    </row>
    <row r="16351" spans="7:7" ht="10.5" customHeight="1" x14ac:dyDescent="0.2">
      <c r="G16351" s="889"/>
    </row>
    <row r="16352" spans="7:7" ht="10.5" customHeight="1" x14ac:dyDescent="0.2">
      <c r="G16352" s="889"/>
    </row>
    <row r="16353" spans="7:7" ht="10.5" customHeight="1" x14ac:dyDescent="0.2">
      <c r="G16353" s="889"/>
    </row>
    <row r="16354" spans="7:7" ht="10.5" customHeight="1" x14ac:dyDescent="0.2">
      <c r="G16354" s="889"/>
    </row>
    <row r="16355" spans="7:7" ht="10.5" customHeight="1" x14ac:dyDescent="0.2">
      <c r="G16355" s="889"/>
    </row>
    <row r="16356" spans="7:7" ht="10.5" customHeight="1" x14ac:dyDescent="0.2">
      <c r="G16356" s="889"/>
    </row>
    <row r="16357" spans="7:7" ht="10.5" customHeight="1" x14ac:dyDescent="0.2">
      <c r="G16357" s="889"/>
    </row>
    <row r="16358" spans="7:7" ht="10.5" customHeight="1" x14ac:dyDescent="0.2">
      <c r="G16358" s="889"/>
    </row>
    <row r="16359" spans="7:7" ht="10.5" customHeight="1" x14ac:dyDescent="0.2">
      <c r="G16359" s="889"/>
    </row>
    <row r="16360" spans="7:7" ht="10.5" customHeight="1" x14ac:dyDescent="0.2">
      <c r="G16360" s="889"/>
    </row>
    <row r="16361" spans="7:7" ht="10.5" customHeight="1" x14ac:dyDescent="0.2">
      <c r="G16361" s="889"/>
    </row>
    <row r="16362" spans="7:7" ht="10.5" customHeight="1" x14ac:dyDescent="0.2">
      <c r="G16362" s="889"/>
    </row>
    <row r="16363" spans="7:7" ht="10.5" customHeight="1" x14ac:dyDescent="0.2">
      <c r="G16363" s="889"/>
    </row>
    <row r="16364" spans="7:7" ht="10.5" customHeight="1" x14ac:dyDescent="0.2">
      <c r="G16364" s="889"/>
    </row>
    <row r="16365" spans="7:7" ht="10.5" customHeight="1" x14ac:dyDescent="0.2">
      <c r="G16365" s="889"/>
    </row>
    <row r="16366" spans="7:7" ht="10.5" customHeight="1" x14ac:dyDescent="0.2">
      <c r="G16366" s="889"/>
    </row>
    <row r="16367" spans="7:7" ht="10.5" customHeight="1" x14ac:dyDescent="0.2">
      <c r="G16367" s="889"/>
    </row>
    <row r="16368" spans="7:7" ht="10.5" customHeight="1" x14ac:dyDescent="0.2">
      <c r="G16368" s="889"/>
    </row>
    <row r="16369" spans="7:7" ht="10.5" customHeight="1" x14ac:dyDescent="0.2">
      <c r="G16369" s="889"/>
    </row>
    <row r="16370" spans="7:7" ht="10.5" customHeight="1" x14ac:dyDescent="0.2">
      <c r="G16370" s="889"/>
    </row>
    <row r="16371" spans="7:7" ht="10.5" customHeight="1" x14ac:dyDescent="0.2">
      <c r="G16371" s="889"/>
    </row>
    <row r="16372" spans="7:7" ht="10.5" customHeight="1" x14ac:dyDescent="0.2">
      <c r="G16372" s="889"/>
    </row>
    <row r="16373" spans="7:7" ht="10.5" customHeight="1" x14ac:dyDescent="0.2">
      <c r="G16373" s="889"/>
    </row>
    <row r="16374" spans="7:7" ht="10.5" customHeight="1" x14ac:dyDescent="0.2">
      <c r="G16374" s="889"/>
    </row>
    <row r="16375" spans="7:7" ht="10.5" customHeight="1" x14ac:dyDescent="0.2">
      <c r="G16375" s="889"/>
    </row>
    <row r="16376" spans="7:7" ht="10.5" customHeight="1" x14ac:dyDescent="0.2">
      <c r="G16376" s="889"/>
    </row>
    <row r="16377" spans="7:7" ht="10.5" customHeight="1" x14ac:dyDescent="0.2">
      <c r="G16377" s="889"/>
    </row>
    <row r="16378" spans="7:7" ht="10.5" customHeight="1" x14ac:dyDescent="0.2">
      <c r="G16378" s="889"/>
    </row>
    <row r="16379" spans="7:7" ht="10.5" customHeight="1" x14ac:dyDescent="0.2">
      <c r="G16379" s="889"/>
    </row>
    <row r="16380" spans="7:7" ht="10.5" customHeight="1" x14ac:dyDescent="0.2">
      <c r="G16380" s="889"/>
    </row>
    <row r="16381" spans="7:7" ht="10.5" customHeight="1" x14ac:dyDescent="0.2">
      <c r="G16381" s="889"/>
    </row>
    <row r="16382" spans="7:7" ht="10.5" customHeight="1" x14ac:dyDescent="0.2">
      <c r="G16382" s="889"/>
    </row>
    <row r="16383" spans="7:7" ht="10.5" customHeight="1" x14ac:dyDescent="0.2">
      <c r="G16383" s="889"/>
    </row>
    <row r="16384" spans="7:7" ht="10.5" customHeight="1" x14ac:dyDescent="0.2">
      <c r="G16384" s="889"/>
    </row>
    <row r="16385" spans="7:7" ht="10.5" customHeight="1" x14ac:dyDescent="0.2">
      <c r="G16385" s="889"/>
    </row>
    <row r="16386" spans="7:7" ht="10.5" customHeight="1" x14ac:dyDescent="0.2">
      <c r="G16386" s="889"/>
    </row>
    <row r="16387" spans="7:7" ht="10.5" customHeight="1" x14ac:dyDescent="0.2">
      <c r="G16387" s="889"/>
    </row>
    <row r="16388" spans="7:7" ht="10.5" customHeight="1" x14ac:dyDescent="0.2">
      <c r="G16388" s="889"/>
    </row>
    <row r="16389" spans="7:7" ht="10.5" customHeight="1" x14ac:dyDescent="0.2">
      <c r="G16389" s="889"/>
    </row>
    <row r="16390" spans="7:7" ht="10.5" customHeight="1" x14ac:dyDescent="0.2">
      <c r="G16390" s="889"/>
    </row>
    <row r="16391" spans="7:7" ht="10.5" customHeight="1" x14ac:dyDescent="0.2">
      <c r="G16391" s="889"/>
    </row>
    <row r="16392" spans="7:7" ht="10.5" customHeight="1" x14ac:dyDescent="0.2">
      <c r="G16392" s="889"/>
    </row>
    <row r="16393" spans="7:7" ht="10.5" customHeight="1" x14ac:dyDescent="0.2">
      <c r="G16393" s="889"/>
    </row>
    <row r="16394" spans="7:7" ht="10.5" customHeight="1" x14ac:dyDescent="0.2">
      <c r="G16394" s="889"/>
    </row>
    <row r="16395" spans="7:7" ht="10.5" customHeight="1" x14ac:dyDescent="0.2">
      <c r="G16395" s="889"/>
    </row>
    <row r="16396" spans="7:7" ht="10.5" customHeight="1" x14ac:dyDescent="0.2">
      <c r="G16396" s="889"/>
    </row>
    <row r="16397" spans="7:7" ht="10.5" customHeight="1" x14ac:dyDescent="0.2">
      <c r="G16397" s="889"/>
    </row>
    <row r="16398" spans="7:7" ht="10.5" customHeight="1" x14ac:dyDescent="0.2">
      <c r="G16398" s="889"/>
    </row>
    <row r="16399" spans="7:7" ht="10.5" customHeight="1" x14ac:dyDescent="0.2">
      <c r="G16399" s="889"/>
    </row>
    <row r="16400" spans="7:7" ht="10.5" customHeight="1" x14ac:dyDescent="0.2">
      <c r="G16400" s="889"/>
    </row>
    <row r="16401" spans="7:7" ht="10.5" customHeight="1" x14ac:dyDescent="0.2">
      <c r="G16401" s="889"/>
    </row>
    <row r="16402" spans="7:7" ht="10.5" customHeight="1" x14ac:dyDescent="0.2">
      <c r="G16402" s="889"/>
    </row>
    <row r="16403" spans="7:7" ht="10.5" customHeight="1" x14ac:dyDescent="0.2">
      <c r="G16403" s="889"/>
    </row>
    <row r="16404" spans="7:7" ht="10.5" customHeight="1" x14ac:dyDescent="0.2">
      <c r="G16404" s="889"/>
    </row>
    <row r="16405" spans="7:7" ht="10.5" customHeight="1" x14ac:dyDescent="0.2">
      <c r="G16405" s="889"/>
    </row>
    <row r="16406" spans="7:7" ht="10.5" customHeight="1" x14ac:dyDescent="0.2">
      <c r="G16406" s="889"/>
    </row>
    <row r="16407" spans="7:7" ht="10.5" customHeight="1" x14ac:dyDescent="0.2">
      <c r="G16407" s="889"/>
    </row>
    <row r="16408" spans="7:7" ht="10.5" customHeight="1" x14ac:dyDescent="0.2">
      <c r="G16408" s="889"/>
    </row>
    <row r="16409" spans="7:7" ht="10.5" customHeight="1" x14ac:dyDescent="0.2">
      <c r="G16409" s="889"/>
    </row>
    <row r="16410" spans="7:7" ht="10.5" customHeight="1" x14ac:dyDescent="0.2">
      <c r="G16410" s="889"/>
    </row>
    <row r="16411" spans="7:7" ht="10.5" customHeight="1" x14ac:dyDescent="0.2">
      <c r="G16411" s="889"/>
    </row>
    <row r="16412" spans="7:7" ht="10.5" customHeight="1" x14ac:dyDescent="0.2">
      <c r="G16412" s="889"/>
    </row>
    <row r="16413" spans="7:7" ht="10.5" customHeight="1" x14ac:dyDescent="0.2">
      <c r="G16413" s="889"/>
    </row>
    <row r="16414" spans="7:7" ht="10.5" customHeight="1" x14ac:dyDescent="0.2">
      <c r="G16414" s="889"/>
    </row>
    <row r="16415" spans="7:7" ht="10.5" customHeight="1" x14ac:dyDescent="0.2">
      <c r="G16415" s="889"/>
    </row>
    <row r="16416" spans="7:7" ht="10.5" customHeight="1" x14ac:dyDescent="0.2">
      <c r="G16416" s="889"/>
    </row>
    <row r="16417" spans="7:7" ht="10.5" customHeight="1" x14ac:dyDescent="0.2">
      <c r="G16417" s="889"/>
    </row>
    <row r="16418" spans="7:7" ht="10.5" customHeight="1" x14ac:dyDescent="0.2">
      <c r="G16418" s="889"/>
    </row>
    <row r="16419" spans="7:7" ht="10.5" customHeight="1" x14ac:dyDescent="0.2">
      <c r="G16419" s="889"/>
    </row>
    <row r="16420" spans="7:7" ht="10.5" customHeight="1" x14ac:dyDescent="0.2">
      <c r="G16420" s="889"/>
    </row>
    <row r="16421" spans="7:7" ht="10.5" customHeight="1" x14ac:dyDescent="0.2">
      <c r="G16421" s="889"/>
    </row>
    <row r="16422" spans="7:7" ht="10.5" customHeight="1" x14ac:dyDescent="0.2">
      <c r="G16422" s="889"/>
    </row>
    <row r="16423" spans="7:7" ht="10.5" customHeight="1" x14ac:dyDescent="0.2">
      <c r="G16423" s="889"/>
    </row>
    <row r="16424" spans="7:7" ht="10.5" customHeight="1" x14ac:dyDescent="0.2">
      <c r="G16424" s="889"/>
    </row>
    <row r="16425" spans="7:7" ht="10.5" customHeight="1" x14ac:dyDescent="0.2">
      <c r="G16425" s="889"/>
    </row>
    <row r="16426" spans="7:7" ht="10.5" customHeight="1" x14ac:dyDescent="0.2">
      <c r="G16426" s="889"/>
    </row>
    <row r="16427" spans="7:7" ht="10.5" customHeight="1" x14ac:dyDescent="0.2">
      <c r="G16427" s="889"/>
    </row>
    <row r="16428" spans="7:7" ht="10.5" customHeight="1" x14ac:dyDescent="0.2">
      <c r="G16428" s="889"/>
    </row>
    <row r="16429" spans="7:7" ht="10.5" customHeight="1" x14ac:dyDescent="0.2">
      <c r="G16429" s="889"/>
    </row>
    <row r="16430" spans="7:7" ht="10.5" customHeight="1" x14ac:dyDescent="0.2">
      <c r="G16430" s="889"/>
    </row>
    <row r="16431" spans="7:7" ht="10.5" customHeight="1" x14ac:dyDescent="0.2">
      <c r="G16431" s="889"/>
    </row>
    <row r="16432" spans="7:7" ht="10.5" customHeight="1" x14ac:dyDescent="0.2">
      <c r="G16432" s="889"/>
    </row>
    <row r="16433" spans="7:7" ht="10.5" customHeight="1" x14ac:dyDescent="0.2">
      <c r="G16433" s="889"/>
    </row>
    <row r="16434" spans="7:7" ht="10.5" customHeight="1" x14ac:dyDescent="0.2">
      <c r="G16434" s="889"/>
    </row>
    <row r="16435" spans="7:7" ht="10.5" customHeight="1" x14ac:dyDescent="0.2">
      <c r="G16435" s="889"/>
    </row>
    <row r="16436" spans="7:7" ht="10.5" customHeight="1" x14ac:dyDescent="0.2">
      <c r="G16436" s="889"/>
    </row>
    <row r="16437" spans="7:7" ht="10.5" customHeight="1" x14ac:dyDescent="0.2">
      <c r="G16437" s="889"/>
    </row>
    <row r="16438" spans="7:7" ht="10.5" customHeight="1" x14ac:dyDescent="0.2">
      <c r="G16438" s="889"/>
    </row>
    <row r="16439" spans="7:7" ht="10.5" customHeight="1" x14ac:dyDescent="0.2">
      <c r="G16439" s="889"/>
    </row>
    <row r="16440" spans="7:7" ht="10.5" customHeight="1" x14ac:dyDescent="0.2">
      <c r="G16440" s="889"/>
    </row>
    <row r="16441" spans="7:7" ht="10.5" customHeight="1" x14ac:dyDescent="0.2">
      <c r="G16441" s="889"/>
    </row>
    <row r="16442" spans="7:7" ht="10.5" customHeight="1" x14ac:dyDescent="0.2">
      <c r="G16442" s="889"/>
    </row>
    <row r="16443" spans="7:7" ht="10.5" customHeight="1" x14ac:dyDescent="0.2">
      <c r="G16443" s="889"/>
    </row>
    <row r="16444" spans="7:7" ht="10.5" customHeight="1" x14ac:dyDescent="0.2">
      <c r="G16444" s="889"/>
    </row>
    <row r="16445" spans="7:7" ht="10.5" customHeight="1" x14ac:dyDescent="0.2">
      <c r="G16445" s="889"/>
    </row>
    <row r="16446" spans="7:7" ht="10.5" customHeight="1" x14ac:dyDescent="0.2">
      <c r="G16446" s="889"/>
    </row>
    <row r="16447" spans="7:7" ht="10.5" customHeight="1" x14ac:dyDescent="0.2">
      <c r="G16447" s="889"/>
    </row>
    <row r="16448" spans="7:7" ht="10.5" customHeight="1" x14ac:dyDescent="0.2">
      <c r="G16448" s="889"/>
    </row>
    <row r="16449" spans="7:7" ht="10.5" customHeight="1" x14ac:dyDescent="0.2">
      <c r="G16449" s="889"/>
    </row>
    <row r="16450" spans="7:7" ht="10.5" customHeight="1" x14ac:dyDescent="0.2">
      <c r="G16450" s="889"/>
    </row>
    <row r="16451" spans="7:7" ht="10.5" customHeight="1" x14ac:dyDescent="0.2">
      <c r="G16451" s="889"/>
    </row>
    <row r="16452" spans="7:7" ht="10.5" customHeight="1" x14ac:dyDescent="0.2">
      <c r="G16452" s="889"/>
    </row>
    <row r="16453" spans="7:7" ht="10.5" customHeight="1" x14ac:dyDescent="0.2">
      <c r="G16453" s="889"/>
    </row>
    <row r="16454" spans="7:7" ht="10.5" customHeight="1" x14ac:dyDescent="0.2">
      <c r="G16454" s="889"/>
    </row>
    <row r="16455" spans="7:7" ht="10.5" customHeight="1" x14ac:dyDescent="0.2">
      <c r="G16455" s="889"/>
    </row>
    <row r="16456" spans="7:7" ht="10.5" customHeight="1" x14ac:dyDescent="0.2">
      <c r="G16456" s="889"/>
    </row>
    <row r="16457" spans="7:7" ht="10.5" customHeight="1" x14ac:dyDescent="0.2">
      <c r="G16457" s="889"/>
    </row>
    <row r="16458" spans="7:7" ht="10.5" customHeight="1" x14ac:dyDescent="0.2">
      <c r="G16458" s="889"/>
    </row>
    <row r="16459" spans="7:7" ht="10.5" customHeight="1" x14ac:dyDescent="0.2">
      <c r="G16459" s="889"/>
    </row>
    <row r="16460" spans="7:7" ht="10.5" customHeight="1" x14ac:dyDescent="0.2">
      <c r="G16460" s="889"/>
    </row>
    <row r="16461" spans="7:7" ht="10.5" customHeight="1" x14ac:dyDescent="0.2">
      <c r="G16461" s="889"/>
    </row>
    <row r="16462" spans="7:7" ht="10.5" customHeight="1" x14ac:dyDescent="0.2">
      <c r="G16462" s="889"/>
    </row>
    <row r="16463" spans="7:7" ht="10.5" customHeight="1" x14ac:dyDescent="0.2">
      <c r="G16463" s="889"/>
    </row>
    <row r="16464" spans="7:7" ht="10.5" customHeight="1" x14ac:dyDescent="0.2">
      <c r="G16464" s="889"/>
    </row>
    <row r="16465" spans="7:7" ht="10.5" customHeight="1" x14ac:dyDescent="0.2">
      <c r="G16465" s="889"/>
    </row>
    <row r="16466" spans="7:7" ht="10.5" customHeight="1" x14ac:dyDescent="0.2">
      <c r="G16466" s="889"/>
    </row>
    <row r="16467" spans="7:7" ht="10.5" customHeight="1" x14ac:dyDescent="0.2">
      <c r="G16467" s="889"/>
    </row>
    <row r="16468" spans="7:7" ht="10.5" customHeight="1" x14ac:dyDescent="0.2">
      <c r="G16468" s="889"/>
    </row>
    <row r="16469" spans="7:7" ht="10.5" customHeight="1" x14ac:dyDescent="0.2">
      <c r="G16469" s="889"/>
    </row>
    <row r="16470" spans="7:7" ht="10.5" customHeight="1" x14ac:dyDescent="0.2">
      <c r="G16470" s="889"/>
    </row>
    <row r="16471" spans="7:7" ht="10.5" customHeight="1" x14ac:dyDescent="0.2">
      <c r="G16471" s="889"/>
    </row>
    <row r="16472" spans="7:7" ht="10.5" customHeight="1" x14ac:dyDescent="0.2">
      <c r="G16472" s="889"/>
    </row>
    <row r="16473" spans="7:7" ht="10.5" customHeight="1" x14ac:dyDescent="0.2">
      <c r="G16473" s="889"/>
    </row>
    <row r="16474" spans="7:7" ht="10.5" customHeight="1" x14ac:dyDescent="0.2">
      <c r="G16474" s="889"/>
    </row>
    <row r="16475" spans="7:7" ht="10.5" customHeight="1" x14ac:dyDescent="0.2">
      <c r="G16475" s="889"/>
    </row>
    <row r="16476" spans="7:7" ht="10.5" customHeight="1" x14ac:dyDescent="0.2">
      <c r="G16476" s="889"/>
    </row>
    <row r="16477" spans="7:7" ht="10.5" customHeight="1" x14ac:dyDescent="0.2">
      <c r="G16477" s="889"/>
    </row>
    <row r="16478" spans="7:7" ht="10.5" customHeight="1" x14ac:dyDescent="0.2">
      <c r="G16478" s="889"/>
    </row>
    <row r="16479" spans="7:7" ht="10.5" customHeight="1" x14ac:dyDescent="0.2">
      <c r="G16479" s="889"/>
    </row>
    <row r="16480" spans="7:7" ht="10.5" customHeight="1" x14ac:dyDescent="0.2">
      <c r="G16480" s="889"/>
    </row>
    <row r="16481" spans="7:7" ht="10.5" customHeight="1" x14ac:dyDescent="0.2">
      <c r="G16481" s="889"/>
    </row>
    <row r="16482" spans="7:7" ht="10.5" customHeight="1" x14ac:dyDescent="0.2">
      <c r="G16482" s="889"/>
    </row>
    <row r="16483" spans="7:7" ht="10.5" customHeight="1" x14ac:dyDescent="0.2">
      <c r="G16483" s="889"/>
    </row>
    <row r="16484" spans="7:7" ht="10.5" customHeight="1" x14ac:dyDescent="0.2">
      <c r="G16484" s="889"/>
    </row>
    <row r="16485" spans="7:7" ht="10.5" customHeight="1" x14ac:dyDescent="0.2">
      <c r="G16485" s="889"/>
    </row>
    <row r="16486" spans="7:7" ht="10.5" customHeight="1" x14ac:dyDescent="0.2">
      <c r="G16486" s="889"/>
    </row>
    <row r="16487" spans="7:7" ht="10.5" customHeight="1" x14ac:dyDescent="0.2">
      <c r="G16487" s="889"/>
    </row>
    <row r="16488" spans="7:7" ht="10.5" customHeight="1" x14ac:dyDescent="0.2">
      <c r="G16488" s="889"/>
    </row>
    <row r="16489" spans="7:7" ht="10.5" customHeight="1" x14ac:dyDescent="0.2">
      <c r="G16489" s="889"/>
    </row>
    <row r="16490" spans="7:7" ht="10.5" customHeight="1" x14ac:dyDescent="0.2">
      <c r="G16490" s="889"/>
    </row>
    <row r="16491" spans="7:7" ht="10.5" customHeight="1" x14ac:dyDescent="0.2">
      <c r="G16491" s="889"/>
    </row>
    <row r="16492" spans="7:7" ht="10.5" customHeight="1" x14ac:dyDescent="0.2">
      <c r="G16492" s="889"/>
    </row>
    <row r="16493" spans="7:7" ht="10.5" customHeight="1" x14ac:dyDescent="0.2">
      <c r="G16493" s="889"/>
    </row>
    <row r="16494" spans="7:7" ht="10.5" customHeight="1" x14ac:dyDescent="0.2">
      <c r="G16494" s="889"/>
    </row>
    <row r="16495" spans="7:7" ht="10.5" customHeight="1" x14ac:dyDescent="0.2">
      <c r="G16495" s="889"/>
    </row>
    <row r="16496" spans="7:7" ht="10.5" customHeight="1" x14ac:dyDescent="0.2">
      <c r="G16496" s="889"/>
    </row>
    <row r="16497" spans="7:7" ht="10.5" customHeight="1" x14ac:dyDescent="0.2">
      <c r="G16497" s="889"/>
    </row>
    <row r="16498" spans="7:7" ht="10.5" customHeight="1" x14ac:dyDescent="0.2">
      <c r="G16498" s="889"/>
    </row>
    <row r="16499" spans="7:7" ht="10.5" customHeight="1" x14ac:dyDescent="0.2">
      <c r="G16499" s="889"/>
    </row>
    <row r="16500" spans="7:7" ht="10.5" customHeight="1" x14ac:dyDescent="0.2">
      <c r="G16500" s="889"/>
    </row>
    <row r="16501" spans="7:7" ht="10.5" customHeight="1" x14ac:dyDescent="0.2">
      <c r="G16501" s="889"/>
    </row>
    <row r="16502" spans="7:7" ht="10.5" customHeight="1" x14ac:dyDescent="0.2">
      <c r="G16502" s="889"/>
    </row>
    <row r="16503" spans="7:7" ht="10.5" customHeight="1" x14ac:dyDescent="0.2">
      <c r="G16503" s="889"/>
    </row>
    <row r="16504" spans="7:7" ht="10.5" customHeight="1" x14ac:dyDescent="0.2">
      <c r="G16504" s="889"/>
    </row>
    <row r="16505" spans="7:7" ht="10.5" customHeight="1" x14ac:dyDescent="0.2">
      <c r="G16505" s="889"/>
    </row>
    <row r="16506" spans="7:7" ht="10.5" customHeight="1" x14ac:dyDescent="0.2">
      <c r="G16506" s="889"/>
    </row>
    <row r="16507" spans="7:7" ht="10.5" customHeight="1" x14ac:dyDescent="0.2">
      <c r="G16507" s="889"/>
    </row>
    <row r="16508" spans="7:7" ht="10.5" customHeight="1" x14ac:dyDescent="0.2">
      <c r="G16508" s="889"/>
    </row>
    <row r="16509" spans="7:7" ht="10.5" customHeight="1" x14ac:dyDescent="0.2">
      <c r="G16509" s="889"/>
    </row>
    <row r="16510" spans="7:7" ht="10.5" customHeight="1" x14ac:dyDescent="0.2">
      <c r="G16510" s="889"/>
    </row>
    <row r="16511" spans="7:7" ht="10.5" customHeight="1" x14ac:dyDescent="0.2">
      <c r="G16511" s="889"/>
    </row>
    <row r="16512" spans="7:7" ht="10.5" customHeight="1" x14ac:dyDescent="0.2">
      <c r="G16512" s="889"/>
    </row>
    <row r="16513" spans="7:7" ht="10.5" customHeight="1" x14ac:dyDescent="0.2">
      <c r="G16513" s="889"/>
    </row>
    <row r="16514" spans="7:7" ht="10.5" customHeight="1" x14ac:dyDescent="0.2">
      <c r="G16514" s="889"/>
    </row>
    <row r="16515" spans="7:7" ht="10.5" customHeight="1" x14ac:dyDescent="0.2">
      <c r="G16515" s="889"/>
    </row>
    <row r="16516" spans="7:7" ht="10.5" customHeight="1" x14ac:dyDescent="0.2">
      <c r="G16516" s="889"/>
    </row>
    <row r="16517" spans="7:7" ht="10.5" customHeight="1" x14ac:dyDescent="0.2">
      <c r="G16517" s="889"/>
    </row>
    <row r="16518" spans="7:7" ht="10.5" customHeight="1" x14ac:dyDescent="0.2">
      <c r="G16518" s="889"/>
    </row>
    <row r="16519" spans="7:7" ht="10.5" customHeight="1" x14ac:dyDescent="0.2">
      <c r="G16519" s="889"/>
    </row>
    <row r="16520" spans="7:7" ht="10.5" customHeight="1" x14ac:dyDescent="0.2">
      <c r="G16520" s="889"/>
    </row>
    <row r="16521" spans="7:7" ht="10.5" customHeight="1" x14ac:dyDescent="0.2">
      <c r="G16521" s="889"/>
    </row>
    <row r="16522" spans="7:7" ht="10.5" customHeight="1" x14ac:dyDescent="0.2">
      <c r="G16522" s="889"/>
    </row>
    <row r="16523" spans="7:7" ht="10.5" customHeight="1" x14ac:dyDescent="0.2">
      <c r="G16523" s="889"/>
    </row>
    <row r="16524" spans="7:7" ht="10.5" customHeight="1" x14ac:dyDescent="0.2">
      <c r="G16524" s="889"/>
    </row>
    <row r="16525" spans="7:7" ht="10.5" customHeight="1" x14ac:dyDescent="0.2">
      <c r="G16525" s="889"/>
    </row>
    <row r="16526" spans="7:7" ht="10.5" customHeight="1" x14ac:dyDescent="0.2">
      <c r="G16526" s="889"/>
    </row>
    <row r="16527" spans="7:7" ht="10.5" customHeight="1" x14ac:dyDescent="0.2">
      <c r="G16527" s="889"/>
    </row>
    <row r="16528" spans="7:7" ht="10.5" customHeight="1" x14ac:dyDescent="0.2">
      <c r="G16528" s="889"/>
    </row>
    <row r="16529" spans="7:7" ht="10.5" customHeight="1" x14ac:dyDescent="0.2">
      <c r="G16529" s="889"/>
    </row>
    <row r="16530" spans="7:7" ht="10.5" customHeight="1" x14ac:dyDescent="0.2">
      <c r="G16530" s="889"/>
    </row>
    <row r="16531" spans="7:7" ht="10.5" customHeight="1" x14ac:dyDescent="0.2">
      <c r="G16531" s="889"/>
    </row>
    <row r="16532" spans="7:7" ht="10.5" customHeight="1" x14ac:dyDescent="0.2">
      <c r="G16532" s="889"/>
    </row>
    <row r="16533" spans="7:7" ht="10.5" customHeight="1" x14ac:dyDescent="0.2">
      <c r="G16533" s="889"/>
    </row>
    <row r="16534" spans="7:7" ht="10.5" customHeight="1" x14ac:dyDescent="0.2">
      <c r="G16534" s="889"/>
    </row>
    <row r="16535" spans="7:7" ht="10.5" customHeight="1" x14ac:dyDescent="0.2">
      <c r="G16535" s="889"/>
    </row>
    <row r="16536" spans="7:7" ht="10.5" customHeight="1" x14ac:dyDescent="0.2">
      <c r="G16536" s="889"/>
    </row>
    <row r="16537" spans="7:7" ht="10.5" customHeight="1" x14ac:dyDescent="0.2">
      <c r="G16537" s="889"/>
    </row>
    <row r="16538" spans="7:7" ht="10.5" customHeight="1" x14ac:dyDescent="0.2">
      <c r="G16538" s="889"/>
    </row>
    <row r="16539" spans="7:7" ht="10.5" customHeight="1" x14ac:dyDescent="0.2">
      <c r="G16539" s="889"/>
    </row>
    <row r="16540" spans="7:7" ht="10.5" customHeight="1" x14ac:dyDescent="0.2">
      <c r="G16540" s="889"/>
    </row>
    <row r="16541" spans="7:7" ht="10.5" customHeight="1" x14ac:dyDescent="0.2">
      <c r="G16541" s="889"/>
    </row>
    <row r="16542" spans="7:7" ht="10.5" customHeight="1" x14ac:dyDescent="0.2">
      <c r="G16542" s="889"/>
    </row>
    <row r="16543" spans="7:7" ht="10.5" customHeight="1" x14ac:dyDescent="0.2">
      <c r="G16543" s="889"/>
    </row>
    <row r="16544" spans="7:7" ht="10.5" customHeight="1" x14ac:dyDescent="0.2">
      <c r="G16544" s="889"/>
    </row>
    <row r="16545" spans="7:7" ht="10.5" customHeight="1" x14ac:dyDescent="0.2">
      <c r="G16545" s="889"/>
    </row>
    <row r="16546" spans="7:7" ht="10.5" customHeight="1" x14ac:dyDescent="0.2">
      <c r="G16546" s="889"/>
    </row>
    <row r="16547" spans="7:7" ht="10.5" customHeight="1" x14ac:dyDescent="0.2">
      <c r="G16547" s="889"/>
    </row>
    <row r="16548" spans="7:7" ht="10.5" customHeight="1" x14ac:dyDescent="0.2">
      <c r="G16548" s="889"/>
    </row>
    <row r="16549" spans="7:7" ht="10.5" customHeight="1" x14ac:dyDescent="0.2">
      <c r="G16549" s="889"/>
    </row>
    <row r="16550" spans="7:7" ht="10.5" customHeight="1" x14ac:dyDescent="0.2">
      <c r="G16550" s="889"/>
    </row>
    <row r="16551" spans="7:7" ht="10.5" customHeight="1" x14ac:dyDescent="0.2">
      <c r="G16551" s="889"/>
    </row>
    <row r="16552" spans="7:7" ht="10.5" customHeight="1" x14ac:dyDescent="0.2">
      <c r="G16552" s="889"/>
    </row>
    <row r="16553" spans="7:7" ht="10.5" customHeight="1" x14ac:dyDescent="0.2">
      <c r="G16553" s="889"/>
    </row>
    <row r="16554" spans="7:7" ht="10.5" customHeight="1" x14ac:dyDescent="0.2">
      <c r="G16554" s="889"/>
    </row>
    <row r="16555" spans="7:7" ht="10.5" customHeight="1" x14ac:dyDescent="0.2">
      <c r="G16555" s="889"/>
    </row>
    <row r="16556" spans="7:7" ht="10.5" customHeight="1" x14ac:dyDescent="0.2">
      <c r="G16556" s="889"/>
    </row>
    <row r="16557" spans="7:7" ht="10.5" customHeight="1" x14ac:dyDescent="0.2">
      <c r="G16557" s="889"/>
    </row>
    <row r="16558" spans="7:7" ht="10.5" customHeight="1" x14ac:dyDescent="0.2">
      <c r="G16558" s="889"/>
    </row>
    <row r="16559" spans="7:7" ht="10.5" customHeight="1" x14ac:dyDescent="0.2">
      <c r="G16559" s="889"/>
    </row>
    <row r="16560" spans="7:7" ht="10.5" customHeight="1" x14ac:dyDescent="0.2">
      <c r="G16560" s="889"/>
    </row>
    <row r="16561" spans="7:7" ht="10.5" customHeight="1" x14ac:dyDescent="0.2">
      <c r="G16561" s="889"/>
    </row>
    <row r="16562" spans="7:7" ht="10.5" customHeight="1" x14ac:dyDescent="0.2">
      <c r="G16562" s="889"/>
    </row>
    <row r="16563" spans="7:7" ht="10.5" customHeight="1" x14ac:dyDescent="0.2">
      <c r="G16563" s="889"/>
    </row>
    <row r="16564" spans="7:7" ht="10.5" customHeight="1" x14ac:dyDescent="0.2">
      <c r="G16564" s="889"/>
    </row>
    <row r="16565" spans="7:7" ht="10.5" customHeight="1" x14ac:dyDescent="0.2">
      <c r="G16565" s="889"/>
    </row>
    <row r="16566" spans="7:7" ht="10.5" customHeight="1" x14ac:dyDescent="0.2">
      <c r="G16566" s="889"/>
    </row>
    <row r="16567" spans="7:7" ht="10.5" customHeight="1" x14ac:dyDescent="0.2">
      <c r="G16567" s="889"/>
    </row>
    <row r="16568" spans="7:7" ht="10.5" customHeight="1" x14ac:dyDescent="0.2">
      <c r="G16568" s="889"/>
    </row>
    <row r="16569" spans="7:7" ht="10.5" customHeight="1" x14ac:dyDescent="0.2">
      <c r="G16569" s="889"/>
    </row>
    <row r="16570" spans="7:7" ht="10.5" customHeight="1" x14ac:dyDescent="0.2">
      <c r="G16570" s="889"/>
    </row>
    <row r="16571" spans="7:7" ht="10.5" customHeight="1" x14ac:dyDescent="0.2">
      <c r="G16571" s="889"/>
    </row>
    <row r="16572" spans="7:7" ht="10.5" customHeight="1" x14ac:dyDescent="0.2">
      <c r="G16572" s="889"/>
    </row>
    <row r="16573" spans="7:7" ht="10.5" customHeight="1" x14ac:dyDescent="0.2">
      <c r="G16573" s="889"/>
    </row>
    <row r="16574" spans="7:7" ht="10.5" customHeight="1" x14ac:dyDescent="0.2">
      <c r="G16574" s="889"/>
    </row>
    <row r="16575" spans="7:7" ht="10.5" customHeight="1" x14ac:dyDescent="0.2">
      <c r="G16575" s="889"/>
    </row>
    <row r="16576" spans="7:7" ht="10.5" customHeight="1" x14ac:dyDescent="0.2">
      <c r="G16576" s="889"/>
    </row>
    <row r="16577" spans="7:7" ht="10.5" customHeight="1" x14ac:dyDescent="0.2">
      <c r="G16577" s="889"/>
    </row>
    <row r="16578" spans="7:7" ht="10.5" customHeight="1" x14ac:dyDescent="0.2">
      <c r="G16578" s="889"/>
    </row>
    <row r="16579" spans="7:7" ht="10.5" customHeight="1" x14ac:dyDescent="0.2">
      <c r="G16579" s="889"/>
    </row>
    <row r="16580" spans="7:7" ht="10.5" customHeight="1" x14ac:dyDescent="0.2">
      <c r="G16580" s="889"/>
    </row>
    <row r="16581" spans="7:7" ht="10.5" customHeight="1" x14ac:dyDescent="0.2">
      <c r="G16581" s="889"/>
    </row>
    <row r="16582" spans="7:7" ht="10.5" customHeight="1" x14ac:dyDescent="0.2">
      <c r="G16582" s="889"/>
    </row>
    <row r="16583" spans="7:7" ht="10.5" customHeight="1" x14ac:dyDescent="0.2">
      <c r="G16583" s="889"/>
    </row>
    <row r="16584" spans="7:7" ht="10.5" customHeight="1" x14ac:dyDescent="0.2">
      <c r="G16584" s="889"/>
    </row>
    <row r="16585" spans="7:7" ht="10.5" customHeight="1" x14ac:dyDescent="0.2">
      <c r="G16585" s="889"/>
    </row>
    <row r="16586" spans="7:7" ht="10.5" customHeight="1" x14ac:dyDescent="0.2">
      <c r="G16586" s="889"/>
    </row>
    <row r="16587" spans="7:7" ht="10.5" customHeight="1" x14ac:dyDescent="0.2">
      <c r="G16587" s="889"/>
    </row>
    <row r="16588" spans="7:7" ht="10.5" customHeight="1" x14ac:dyDescent="0.2">
      <c r="G16588" s="889"/>
    </row>
    <row r="16589" spans="7:7" ht="10.5" customHeight="1" x14ac:dyDescent="0.2">
      <c r="G16589" s="889"/>
    </row>
    <row r="16590" spans="7:7" ht="10.5" customHeight="1" x14ac:dyDescent="0.2">
      <c r="G16590" s="889"/>
    </row>
    <row r="16591" spans="7:7" ht="10.5" customHeight="1" x14ac:dyDescent="0.2">
      <c r="G16591" s="889"/>
    </row>
    <row r="16592" spans="7:7" ht="10.5" customHeight="1" x14ac:dyDescent="0.2">
      <c r="G16592" s="889"/>
    </row>
    <row r="16593" spans="7:7" ht="10.5" customHeight="1" x14ac:dyDescent="0.2">
      <c r="G16593" s="889"/>
    </row>
    <row r="16594" spans="7:7" ht="10.5" customHeight="1" x14ac:dyDescent="0.2">
      <c r="G16594" s="889"/>
    </row>
    <row r="16595" spans="7:7" ht="10.5" customHeight="1" x14ac:dyDescent="0.2">
      <c r="G16595" s="889"/>
    </row>
    <row r="16596" spans="7:7" ht="10.5" customHeight="1" x14ac:dyDescent="0.2">
      <c r="G16596" s="889"/>
    </row>
    <row r="16597" spans="7:7" ht="10.5" customHeight="1" x14ac:dyDescent="0.2">
      <c r="G16597" s="889"/>
    </row>
    <row r="16598" spans="7:7" ht="10.5" customHeight="1" x14ac:dyDescent="0.2">
      <c r="G16598" s="889"/>
    </row>
    <row r="16599" spans="7:7" ht="10.5" customHeight="1" x14ac:dyDescent="0.2">
      <c r="G16599" s="889"/>
    </row>
    <row r="16600" spans="7:7" ht="10.5" customHeight="1" x14ac:dyDescent="0.2">
      <c r="G16600" s="889"/>
    </row>
    <row r="16601" spans="7:7" ht="10.5" customHeight="1" x14ac:dyDescent="0.2">
      <c r="G16601" s="889"/>
    </row>
    <row r="16602" spans="7:7" ht="10.5" customHeight="1" x14ac:dyDescent="0.2">
      <c r="G16602" s="889"/>
    </row>
    <row r="16603" spans="7:7" ht="10.5" customHeight="1" x14ac:dyDescent="0.2">
      <c r="G16603" s="889"/>
    </row>
    <row r="16604" spans="7:7" ht="10.5" customHeight="1" x14ac:dyDescent="0.2">
      <c r="G16604" s="889"/>
    </row>
    <row r="16605" spans="7:7" ht="10.5" customHeight="1" x14ac:dyDescent="0.2">
      <c r="G16605" s="889"/>
    </row>
    <row r="16606" spans="7:7" ht="10.5" customHeight="1" x14ac:dyDescent="0.2">
      <c r="G16606" s="889"/>
    </row>
    <row r="16607" spans="7:7" ht="10.5" customHeight="1" x14ac:dyDescent="0.2">
      <c r="G16607" s="889"/>
    </row>
    <row r="16608" spans="7:7" ht="10.5" customHeight="1" x14ac:dyDescent="0.2">
      <c r="G16608" s="889"/>
    </row>
    <row r="16609" spans="7:7" ht="10.5" customHeight="1" x14ac:dyDescent="0.2">
      <c r="G16609" s="889"/>
    </row>
    <row r="16610" spans="7:7" ht="10.5" customHeight="1" x14ac:dyDescent="0.2">
      <c r="G16610" s="889"/>
    </row>
    <row r="16611" spans="7:7" ht="10.5" customHeight="1" x14ac:dyDescent="0.2">
      <c r="G16611" s="889"/>
    </row>
    <row r="16612" spans="7:7" ht="10.5" customHeight="1" x14ac:dyDescent="0.2">
      <c r="G16612" s="889"/>
    </row>
    <row r="16613" spans="7:7" ht="10.5" customHeight="1" x14ac:dyDescent="0.2">
      <c r="G16613" s="889"/>
    </row>
    <row r="16614" spans="7:7" ht="10.5" customHeight="1" x14ac:dyDescent="0.2">
      <c r="G16614" s="889"/>
    </row>
    <row r="16615" spans="7:7" ht="10.5" customHeight="1" x14ac:dyDescent="0.2">
      <c r="G16615" s="889"/>
    </row>
    <row r="16616" spans="7:7" ht="10.5" customHeight="1" x14ac:dyDescent="0.2">
      <c r="G16616" s="889"/>
    </row>
    <row r="16617" spans="7:7" ht="10.5" customHeight="1" x14ac:dyDescent="0.2">
      <c r="G16617" s="889"/>
    </row>
    <row r="16618" spans="7:7" ht="10.5" customHeight="1" x14ac:dyDescent="0.2">
      <c r="G16618" s="889"/>
    </row>
    <row r="16619" spans="7:7" ht="10.5" customHeight="1" x14ac:dyDescent="0.2">
      <c r="G16619" s="889"/>
    </row>
    <row r="16620" spans="7:7" ht="10.5" customHeight="1" x14ac:dyDescent="0.2">
      <c r="G16620" s="889"/>
    </row>
    <row r="16621" spans="7:7" ht="10.5" customHeight="1" x14ac:dyDescent="0.2">
      <c r="G16621" s="889"/>
    </row>
    <row r="16622" spans="7:7" ht="10.5" customHeight="1" x14ac:dyDescent="0.2">
      <c r="G16622" s="889"/>
    </row>
    <row r="16623" spans="7:7" ht="10.5" customHeight="1" x14ac:dyDescent="0.2">
      <c r="G16623" s="889"/>
    </row>
    <row r="16624" spans="7:7" ht="10.5" customHeight="1" x14ac:dyDescent="0.2">
      <c r="G16624" s="889"/>
    </row>
    <row r="16625" spans="7:7" ht="10.5" customHeight="1" x14ac:dyDescent="0.2">
      <c r="G16625" s="889"/>
    </row>
    <row r="16626" spans="7:7" ht="10.5" customHeight="1" x14ac:dyDescent="0.2">
      <c r="G16626" s="889"/>
    </row>
    <row r="16627" spans="7:7" ht="10.5" customHeight="1" x14ac:dyDescent="0.2">
      <c r="G16627" s="889"/>
    </row>
    <row r="16628" spans="7:7" ht="10.5" customHeight="1" x14ac:dyDescent="0.2">
      <c r="G16628" s="889"/>
    </row>
    <row r="16629" spans="7:7" ht="10.5" customHeight="1" x14ac:dyDescent="0.2">
      <c r="G16629" s="889"/>
    </row>
    <row r="16630" spans="7:7" ht="10.5" customHeight="1" x14ac:dyDescent="0.2">
      <c r="G16630" s="889"/>
    </row>
    <row r="16631" spans="7:7" ht="10.5" customHeight="1" x14ac:dyDescent="0.2">
      <c r="G16631" s="889"/>
    </row>
    <row r="16632" spans="7:7" ht="10.5" customHeight="1" x14ac:dyDescent="0.2">
      <c r="G16632" s="889"/>
    </row>
    <row r="16633" spans="7:7" ht="10.5" customHeight="1" x14ac:dyDescent="0.2">
      <c r="G16633" s="889"/>
    </row>
    <row r="16634" spans="7:7" ht="10.5" customHeight="1" x14ac:dyDescent="0.2">
      <c r="G16634" s="889"/>
    </row>
    <row r="16635" spans="7:7" ht="10.5" customHeight="1" x14ac:dyDescent="0.2">
      <c r="G16635" s="889"/>
    </row>
    <row r="16636" spans="7:7" ht="10.5" customHeight="1" x14ac:dyDescent="0.2">
      <c r="G16636" s="889"/>
    </row>
    <row r="16637" spans="7:7" ht="10.5" customHeight="1" x14ac:dyDescent="0.2">
      <c r="G16637" s="889"/>
    </row>
    <row r="16638" spans="7:7" ht="10.5" customHeight="1" x14ac:dyDescent="0.2">
      <c r="G16638" s="889"/>
    </row>
    <row r="16639" spans="7:7" ht="10.5" customHeight="1" x14ac:dyDescent="0.2">
      <c r="G16639" s="889"/>
    </row>
    <row r="16640" spans="7:7" ht="10.5" customHeight="1" x14ac:dyDescent="0.2">
      <c r="G16640" s="889"/>
    </row>
    <row r="16641" spans="7:7" ht="10.5" customHeight="1" x14ac:dyDescent="0.2">
      <c r="G16641" s="889"/>
    </row>
    <row r="16642" spans="7:7" ht="10.5" customHeight="1" x14ac:dyDescent="0.2">
      <c r="G16642" s="889"/>
    </row>
    <row r="16643" spans="7:7" ht="10.5" customHeight="1" x14ac:dyDescent="0.2">
      <c r="G16643" s="889"/>
    </row>
    <row r="16644" spans="7:7" ht="10.5" customHeight="1" x14ac:dyDescent="0.2">
      <c r="G16644" s="889"/>
    </row>
    <row r="16645" spans="7:7" ht="10.5" customHeight="1" x14ac:dyDescent="0.2">
      <c r="G16645" s="889"/>
    </row>
    <row r="16646" spans="7:7" ht="10.5" customHeight="1" x14ac:dyDescent="0.2">
      <c r="G16646" s="889"/>
    </row>
    <row r="16647" spans="7:7" ht="10.5" customHeight="1" x14ac:dyDescent="0.2">
      <c r="G16647" s="889"/>
    </row>
    <row r="16648" spans="7:7" ht="10.5" customHeight="1" x14ac:dyDescent="0.2">
      <c r="G16648" s="889"/>
    </row>
    <row r="16649" spans="7:7" ht="10.5" customHeight="1" x14ac:dyDescent="0.2">
      <c r="G16649" s="889"/>
    </row>
    <row r="16650" spans="7:7" ht="10.5" customHeight="1" x14ac:dyDescent="0.2">
      <c r="G16650" s="889"/>
    </row>
    <row r="16651" spans="7:7" ht="10.5" customHeight="1" x14ac:dyDescent="0.2">
      <c r="G16651" s="889"/>
    </row>
    <row r="16652" spans="7:7" ht="10.5" customHeight="1" x14ac:dyDescent="0.2">
      <c r="G16652" s="889"/>
    </row>
    <row r="16653" spans="7:7" ht="10.5" customHeight="1" x14ac:dyDescent="0.2">
      <c r="G16653" s="889"/>
    </row>
    <row r="16654" spans="7:7" ht="10.5" customHeight="1" x14ac:dyDescent="0.2">
      <c r="G16654" s="889"/>
    </row>
    <row r="16655" spans="7:7" ht="10.5" customHeight="1" x14ac:dyDescent="0.2">
      <c r="G16655" s="889"/>
    </row>
    <row r="16656" spans="7:7" ht="10.5" customHeight="1" x14ac:dyDescent="0.2">
      <c r="G16656" s="889"/>
    </row>
    <row r="16657" spans="7:7" ht="10.5" customHeight="1" x14ac:dyDescent="0.2">
      <c r="G16657" s="889"/>
    </row>
    <row r="16658" spans="7:7" ht="10.5" customHeight="1" x14ac:dyDescent="0.2">
      <c r="G16658" s="889"/>
    </row>
    <row r="16659" spans="7:7" ht="10.5" customHeight="1" x14ac:dyDescent="0.2">
      <c r="G16659" s="889"/>
    </row>
    <row r="16660" spans="7:7" ht="10.5" customHeight="1" x14ac:dyDescent="0.2">
      <c r="G16660" s="889"/>
    </row>
    <row r="16661" spans="7:7" ht="10.5" customHeight="1" x14ac:dyDescent="0.2">
      <c r="G16661" s="889"/>
    </row>
    <row r="16662" spans="7:7" ht="10.5" customHeight="1" x14ac:dyDescent="0.2">
      <c r="G16662" s="889"/>
    </row>
    <row r="16663" spans="7:7" ht="10.5" customHeight="1" x14ac:dyDescent="0.2">
      <c r="G16663" s="889"/>
    </row>
    <row r="16664" spans="7:7" ht="10.5" customHeight="1" x14ac:dyDescent="0.2">
      <c r="G16664" s="889"/>
    </row>
    <row r="16665" spans="7:7" ht="10.5" customHeight="1" x14ac:dyDescent="0.2">
      <c r="G16665" s="889"/>
    </row>
    <row r="16666" spans="7:7" ht="10.5" customHeight="1" x14ac:dyDescent="0.2">
      <c r="G16666" s="889"/>
    </row>
    <row r="16667" spans="7:7" ht="10.5" customHeight="1" x14ac:dyDescent="0.2">
      <c r="G16667" s="889"/>
    </row>
    <row r="16668" spans="7:7" ht="10.5" customHeight="1" x14ac:dyDescent="0.2">
      <c r="G16668" s="889"/>
    </row>
    <row r="16669" spans="7:7" ht="10.5" customHeight="1" x14ac:dyDescent="0.2">
      <c r="G16669" s="889"/>
    </row>
    <row r="16670" spans="7:7" ht="10.5" customHeight="1" x14ac:dyDescent="0.2">
      <c r="G16670" s="889"/>
    </row>
    <row r="16671" spans="7:7" ht="10.5" customHeight="1" x14ac:dyDescent="0.2">
      <c r="G16671" s="889"/>
    </row>
    <row r="16672" spans="7:7" ht="10.5" customHeight="1" x14ac:dyDescent="0.2">
      <c r="G16672" s="889"/>
    </row>
    <row r="16673" spans="7:7" ht="10.5" customHeight="1" x14ac:dyDescent="0.2">
      <c r="G16673" s="889"/>
    </row>
    <row r="16674" spans="7:7" ht="10.5" customHeight="1" x14ac:dyDescent="0.2">
      <c r="G16674" s="889"/>
    </row>
    <row r="16675" spans="7:7" ht="10.5" customHeight="1" x14ac:dyDescent="0.2">
      <c r="G16675" s="889"/>
    </row>
    <row r="16676" spans="7:7" ht="10.5" customHeight="1" x14ac:dyDescent="0.2">
      <c r="G16676" s="889"/>
    </row>
    <row r="16677" spans="7:7" ht="10.5" customHeight="1" x14ac:dyDescent="0.2">
      <c r="G16677" s="889"/>
    </row>
    <row r="16678" spans="7:7" ht="10.5" customHeight="1" x14ac:dyDescent="0.2">
      <c r="G16678" s="889"/>
    </row>
    <row r="16679" spans="7:7" ht="10.5" customHeight="1" x14ac:dyDescent="0.2">
      <c r="G16679" s="889"/>
    </row>
    <row r="16680" spans="7:7" ht="10.5" customHeight="1" x14ac:dyDescent="0.2">
      <c r="G16680" s="889"/>
    </row>
    <row r="16681" spans="7:7" ht="10.5" customHeight="1" x14ac:dyDescent="0.2">
      <c r="G16681" s="889"/>
    </row>
    <row r="16682" spans="7:7" ht="10.5" customHeight="1" x14ac:dyDescent="0.2">
      <c r="G16682" s="889"/>
    </row>
    <row r="16683" spans="7:7" ht="10.5" customHeight="1" x14ac:dyDescent="0.2">
      <c r="G16683" s="889"/>
    </row>
    <row r="16684" spans="7:7" ht="10.5" customHeight="1" x14ac:dyDescent="0.2">
      <c r="G16684" s="889"/>
    </row>
    <row r="16685" spans="7:7" ht="10.5" customHeight="1" x14ac:dyDescent="0.2">
      <c r="G16685" s="889"/>
    </row>
    <row r="16686" spans="7:7" ht="10.5" customHeight="1" x14ac:dyDescent="0.2">
      <c r="G16686" s="889"/>
    </row>
    <row r="16687" spans="7:7" ht="10.5" customHeight="1" x14ac:dyDescent="0.2">
      <c r="G16687" s="889"/>
    </row>
    <row r="16688" spans="7:7" ht="10.5" customHeight="1" x14ac:dyDescent="0.2">
      <c r="G16688" s="889"/>
    </row>
    <row r="16689" spans="7:7" ht="10.5" customHeight="1" x14ac:dyDescent="0.2">
      <c r="G16689" s="889"/>
    </row>
    <row r="16690" spans="7:7" ht="10.5" customHeight="1" x14ac:dyDescent="0.2">
      <c r="G16690" s="889"/>
    </row>
    <row r="16691" spans="7:7" ht="10.5" customHeight="1" x14ac:dyDescent="0.2">
      <c r="G16691" s="889"/>
    </row>
    <row r="16692" spans="7:7" ht="10.5" customHeight="1" x14ac:dyDescent="0.2">
      <c r="G16692" s="889"/>
    </row>
    <row r="16693" spans="7:7" ht="10.5" customHeight="1" x14ac:dyDescent="0.2">
      <c r="G16693" s="889"/>
    </row>
    <row r="16694" spans="7:7" ht="10.5" customHeight="1" x14ac:dyDescent="0.2">
      <c r="G16694" s="889"/>
    </row>
    <row r="16695" spans="7:7" ht="10.5" customHeight="1" x14ac:dyDescent="0.2">
      <c r="G16695" s="889"/>
    </row>
    <row r="16696" spans="7:7" ht="10.5" customHeight="1" x14ac:dyDescent="0.2">
      <c r="G16696" s="889"/>
    </row>
    <row r="16697" spans="7:7" ht="10.5" customHeight="1" x14ac:dyDescent="0.2">
      <c r="G16697" s="889"/>
    </row>
    <row r="16698" spans="7:7" ht="10.5" customHeight="1" x14ac:dyDescent="0.2">
      <c r="G16698" s="889"/>
    </row>
    <row r="16699" spans="7:7" ht="10.5" customHeight="1" x14ac:dyDescent="0.2">
      <c r="G16699" s="889"/>
    </row>
    <row r="16700" spans="7:7" ht="10.5" customHeight="1" x14ac:dyDescent="0.2">
      <c r="G16700" s="889"/>
    </row>
    <row r="16701" spans="7:7" ht="10.5" customHeight="1" x14ac:dyDescent="0.2">
      <c r="G16701" s="889"/>
    </row>
    <row r="16702" spans="7:7" ht="10.5" customHeight="1" x14ac:dyDescent="0.2">
      <c r="G16702" s="889"/>
    </row>
    <row r="16703" spans="7:7" ht="10.5" customHeight="1" x14ac:dyDescent="0.2">
      <c r="G16703" s="889"/>
    </row>
    <row r="16704" spans="7:7" ht="10.5" customHeight="1" x14ac:dyDescent="0.2">
      <c r="G16704" s="889"/>
    </row>
    <row r="16705" spans="7:7" ht="10.5" customHeight="1" x14ac:dyDescent="0.2">
      <c r="G16705" s="889"/>
    </row>
    <row r="16706" spans="7:7" ht="10.5" customHeight="1" x14ac:dyDescent="0.2">
      <c r="G16706" s="889"/>
    </row>
    <row r="16707" spans="7:7" ht="10.5" customHeight="1" x14ac:dyDescent="0.2">
      <c r="G16707" s="889"/>
    </row>
    <row r="16708" spans="7:7" ht="10.5" customHeight="1" x14ac:dyDescent="0.2">
      <c r="G16708" s="889"/>
    </row>
    <row r="16709" spans="7:7" ht="10.5" customHeight="1" x14ac:dyDescent="0.2">
      <c r="G16709" s="889"/>
    </row>
    <row r="16710" spans="7:7" ht="10.5" customHeight="1" x14ac:dyDescent="0.2">
      <c r="G16710" s="889"/>
    </row>
    <row r="16711" spans="7:7" ht="10.5" customHeight="1" x14ac:dyDescent="0.2">
      <c r="G16711" s="889"/>
    </row>
    <row r="16712" spans="7:7" ht="10.5" customHeight="1" x14ac:dyDescent="0.2">
      <c r="G16712" s="889"/>
    </row>
    <row r="16713" spans="7:7" ht="10.5" customHeight="1" x14ac:dyDescent="0.2">
      <c r="G16713" s="889"/>
    </row>
    <row r="16714" spans="7:7" ht="10.5" customHeight="1" x14ac:dyDescent="0.2">
      <c r="G16714" s="889"/>
    </row>
    <row r="16715" spans="7:7" ht="10.5" customHeight="1" x14ac:dyDescent="0.2">
      <c r="G16715" s="889"/>
    </row>
    <row r="16716" spans="7:7" ht="10.5" customHeight="1" x14ac:dyDescent="0.2">
      <c r="G16716" s="889"/>
    </row>
    <row r="16717" spans="7:7" ht="10.5" customHeight="1" x14ac:dyDescent="0.2">
      <c r="G16717" s="889"/>
    </row>
    <row r="16718" spans="7:7" ht="10.5" customHeight="1" x14ac:dyDescent="0.2">
      <c r="G16718" s="889"/>
    </row>
    <row r="16719" spans="7:7" ht="10.5" customHeight="1" x14ac:dyDescent="0.2">
      <c r="G16719" s="889"/>
    </row>
    <row r="16720" spans="7:7" ht="10.5" customHeight="1" x14ac:dyDescent="0.2">
      <c r="G16720" s="889"/>
    </row>
    <row r="16721" spans="7:7" ht="10.5" customHeight="1" x14ac:dyDescent="0.2">
      <c r="G16721" s="889"/>
    </row>
    <row r="16722" spans="7:7" ht="10.5" customHeight="1" x14ac:dyDescent="0.2">
      <c r="G16722" s="889"/>
    </row>
    <row r="16723" spans="7:7" ht="10.5" customHeight="1" x14ac:dyDescent="0.2">
      <c r="G16723" s="889"/>
    </row>
    <row r="16724" spans="7:7" ht="10.5" customHeight="1" x14ac:dyDescent="0.2">
      <c r="G16724" s="889"/>
    </row>
    <row r="16725" spans="7:7" ht="10.5" customHeight="1" x14ac:dyDescent="0.2">
      <c r="G16725" s="889"/>
    </row>
    <row r="16726" spans="7:7" ht="10.5" customHeight="1" x14ac:dyDescent="0.2">
      <c r="G16726" s="889"/>
    </row>
    <row r="16727" spans="7:7" ht="10.5" customHeight="1" x14ac:dyDescent="0.2">
      <c r="G16727" s="889"/>
    </row>
    <row r="16728" spans="7:7" ht="10.5" customHeight="1" x14ac:dyDescent="0.2">
      <c r="G16728" s="889"/>
    </row>
    <row r="16729" spans="7:7" ht="10.5" customHeight="1" x14ac:dyDescent="0.2">
      <c r="G16729" s="889"/>
    </row>
    <row r="16730" spans="7:7" ht="10.5" customHeight="1" x14ac:dyDescent="0.2">
      <c r="G16730" s="889"/>
    </row>
    <row r="16731" spans="7:7" ht="10.5" customHeight="1" x14ac:dyDescent="0.2">
      <c r="G16731" s="889"/>
    </row>
    <row r="16732" spans="7:7" ht="10.5" customHeight="1" x14ac:dyDescent="0.2">
      <c r="G16732" s="889"/>
    </row>
    <row r="16733" spans="7:7" ht="10.5" customHeight="1" x14ac:dyDescent="0.2">
      <c r="G16733" s="889"/>
    </row>
    <row r="16734" spans="7:7" ht="10.5" customHeight="1" x14ac:dyDescent="0.2">
      <c r="G16734" s="889"/>
    </row>
    <row r="16735" spans="7:7" ht="10.5" customHeight="1" x14ac:dyDescent="0.2">
      <c r="G16735" s="889"/>
    </row>
    <row r="16736" spans="7:7" ht="10.5" customHeight="1" x14ac:dyDescent="0.2">
      <c r="G16736" s="889"/>
    </row>
    <row r="16737" spans="7:7" ht="10.5" customHeight="1" x14ac:dyDescent="0.2">
      <c r="G16737" s="889"/>
    </row>
    <row r="16738" spans="7:7" ht="10.5" customHeight="1" x14ac:dyDescent="0.2">
      <c r="G16738" s="889"/>
    </row>
    <row r="16739" spans="7:7" ht="10.5" customHeight="1" x14ac:dyDescent="0.2">
      <c r="G16739" s="889"/>
    </row>
    <row r="16740" spans="7:7" ht="10.5" customHeight="1" x14ac:dyDescent="0.2">
      <c r="G16740" s="889"/>
    </row>
    <row r="16741" spans="7:7" ht="10.5" customHeight="1" x14ac:dyDescent="0.2">
      <c r="G16741" s="889"/>
    </row>
    <row r="16742" spans="7:7" ht="10.5" customHeight="1" x14ac:dyDescent="0.2">
      <c r="G16742" s="889"/>
    </row>
    <row r="16743" spans="7:7" ht="10.5" customHeight="1" x14ac:dyDescent="0.2">
      <c r="G16743" s="889"/>
    </row>
    <row r="16744" spans="7:7" ht="10.5" customHeight="1" x14ac:dyDescent="0.2">
      <c r="G16744" s="889"/>
    </row>
    <row r="16745" spans="7:7" ht="10.5" customHeight="1" x14ac:dyDescent="0.2">
      <c r="G16745" s="889"/>
    </row>
    <row r="16746" spans="7:7" ht="10.5" customHeight="1" x14ac:dyDescent="0.2">
      <c r="G16746" s="889"/>
    </row>
    <row r="16747" spans="7:7" ht="10.5" customHeight="1" x14ac:dyDescent="0.2">
      <c r="G16747" s="889"/>
    </row>
    <row r="16748" spans="7:7" ht="10.5" customHeight="1" x14ac:dyDescent="0.2">
      <c r="G16748" s="889"/>
    </row>
    <row r="16749" spans="7:7" ht="10.5" customHeight="1" x14ac:dyDescent="0.2">
      <c r="G16749" s="889"/>
    </row>
    <row r="16750" spans="7:7" ht="10.5" customHeight="1" x14ac:dyDescent="0.2">
      <c r="G16750" s="889"/>
    </row>
    <row r="16751" spans="7:7" ht="10.5" customHeight="1" x14ac:dyDescent="0.2">
      <c r="G16751" s="889"/>
    </row>
    <row r="16752" spans="7:7" ht="10.5" customHeight="1" x14ac:dyDescent="0.2">
      <c r="G16752" s="889"/>
    </row>
    <row r="16753" spans="7:7" ht="10.5" customHeight="1" x14ac:dyDescent="0.2">
      <c r="G16753" s="889"/>
    </row>
    <row r="16754" spans="7:7" ht="10.5" customHeight="1" x14ac:dyDescent="0.2">
      <c r="G16754" s="889"/>
    </row>
    <row r="16755" spans="7:7" ht="10.5" customHeight="1" x14ac:dyDescent="0.2">
      <c r="G16755" s="889"/>
    </row>
    <row r="16756" spans="7:7" ht="10.5" customHeight="1" x14ac:dyDescent="0.2">
      <c r="G16756" s="889"/>
    </row>
    <row r="16757" spans="7:7" ht="10.5" customHeight="1" x14ac:dyDescent="0.2">
      <c r="G16757" s="889"/>
    </row>
    <row r="16758" spans="7:7" ht="10.5" customHeight="1" x14ac:dyDescent="0.2">
      <c r="G16758" s="889"/>
    </row>
    <row r="16759" spans="7:7" ht="10.5" customHeight="1" x14ac:dyDescent="0.2">
      <c r="G16759" s="889"/>
    </row>
    <row r="16760" spans="7:7" ht="10.5" customHeight="1" x14ac:dyDescent="0.2">
      <c r="G16760" s="889"/>
    </row>
    <row r="16761" spans="7:7" ht="10.5" customHeight="1" x14ac:dyDescent="0.2">
      <c r="G16761" s="889"/>
    </row>
    <row r="16762" spans="7:7" ht="10.5" customHeight="1" x14ac:dyDescent="0.2">
      <c r="G16762" s="889"/>
    </row>
    <row r="16763" spans="7:7" ht="10.5" customHeight="1" x14ac:dyDescent="0.2">
      <c r="G16763" s="889"/>
    </row>
    <row r="16764" spans="7:7" ht="10.5" customHeight="1" x14ac:dyDescent="0.2">
      <c r="G16764" s="889"/>
    </row>
    <row r="16765" spans="7:7" ht="10.5" customHeight="1" x14ac:dyDescent="0.2">
      <c r="G16765" s="889"/>
    </row>
    <row r="16766" spans="7:7" ht="10.5" customHeight="1" x14ac:dyDescent="0.2">
      <c r="G16766" s="889"/>
    </row>
    <row r="16767" spans="7:7" ht="10.5" customHeight="1" x14ac:dyDescent="0.2">
      <c r="G16767" s="889"/>
    </row>
    <row r="16768" spans="7:7" ht="10.5" customHeight="1" x14ac:dyDescent="0.2">
      <c r="G16768" s="889"/>
    </row>
    <row r="16769" spans="7:7" ht="10.5" customHeight="1" x14ac:dyDescent="0.2">
      <c r="G16769" s="889"/>
    </row>
    <row r="16770" spans="7:7" ht="10.5" customHeight="1" x14ac:dyDescent="0.2">
      <c r="G16770" s="889"/>
    </row>
    <row r="16771" spans="7:7" ht="10.5" customHeight="1" x14ac:dyDescent="0.2">
      <c r="G16771" s="889"/>
    </row>
    <row r="16772" spans="7:7" ht="10.5" customHeight="1" x14ac:dyDescent="0.2">
      <c r="G16772" s="889"/>
    </row>
    <row r="16773" spans="7:7" ht="10.5" customHeight="1" x14ac:dyDescent="0.2">
      <c r="G16773" s="889"/>
    </row>
    <row r="16774" spans="7:7" ht="10.5" customHeight="1" x14ac:dyDescent="0.2">
      <c r="G16774" s="889"/>
    </row>
    <row r="16775" spans="7:7" ht="10.5" customHeight="1" x14ac:dyDescent="0.2">
      <c r="G16775" s="889"/>
    </row>
    <row r="16776" spans="7:7" ht="10.5" customHeight="1" x14ac:dyDescent="0.2">
      <c r="G16776" s="889"/>
    </row>
    <row r="16777" spans="7:7" ht="10.5" customHeight="1" x14ac:dyDescent="0.2">
      <c r="G16777" s="889"/>
    </row>
    <row r="16778" spans="7:7" ht="10.5" customHeight="1" x14ac:dyDescent="0.2">
      <c r="G16778" s="889"/>
    </row>
    <row r="16779" spans="7:7" ht="10.5" customHeight="1" x14ac:dyDescent="0.2">
      <c r="G16779" s="889"/>
    </row>
    <row r="16780" spans="7:7" ht="10.5" customHeight="1" x14ac:dyDescent="0.2">
      <c r="G16780" s="889"/>
    </row>
    <row r="16781" spans="7:7" ht="10.5" customHeight="1" x14ac:dyDescent="0.2">
      <c r="G16781" s="889"/>
    </row>
    <row r="16782" spans="7:7" ht="10.5" customHeight="1" x14ac:dyDescent="0.2">
      <c r="G16782" s="889"/>
    </row>
    <row r="16783" spans="7:7" ht="10.5" customHeight="1" x14ac:dyDescent="0.2">
      <c r="G16783" s="889"/>
    </row>
    <row r="16784" spans="7:7" ht="10.5" customHeight="1" x14ac:dyDescent="0.2">
      <c r="G16784" s="889"/>
    </row>
    <row r="16785" spans="7:7" ht="10.5" customHeight="1" x14ac:dyDescent="0.2">
      <c r="G16785" s="889"/>
    </row>
    <row r="16786" spans="7:7" ht="10.5" customHeight="1" x14ac:dyDescent="0.2">
      <c r="G16786" s="889"/>
    </row>
    <row r="16787" spans="7:7" ht="10.5" customHeight="1" x14ac:dyDescent="0.2">
      <c r="G16787" s="889"/>
    </row>
    <row r="16788" spans="7:7" ht="10.5" customHeight="1" x14ac:dyDescent="0.2">
      <c r="G16788" s="889"/>
    </row>
    <row r="16789" spans="7:7" ht="10.5" customHeight="1" x14ac:dyDescent="0.2">
      <c r="G16789" s="889"/>
    </row>
    <row r="16790" spans="7:7" ht="10.5" customHeight="1" x14ac:dyDescent="0.2">
      <c r="G16790" s="889"/>
    </row>
    <row r="16791" spans="7:7" ht="10.5" customHeight="1" x14ac:dyDescent="0.2">
      <c r="G16791" s="889"/>
    </row>
    <row r="16792" spans="7:7" ht="10.5" customHeight="1" x14ac:dyDescent="0.2">
      <c r="G16792" s="889"/>
    </row>
    <row r="16793" spans="7:7" ht="10.5" customHeight="1" x14ac:dyDescent="0.2">
      <c r="G16793" s="889"/>
    </row>
    <row r="16794" spans="7:7" ht="10.5" customHeight="1" x14ac:dyDescent="0.2">
      <c r="G16794" s="889"/>
    </row>
    <row r="16795" spans="7:7" ht="10.5" customHeight="1" x14ac:dyDescent="0.2">
      <c r="G16795" s="889"/>
    </row>
    <row r="16796" spans="7:7" ht="10.5" customHeight="1" x14ac:dyDescent="0.2">
      <c r="G16796" s="889"/>
    </row>
    <row r="16797" spans="7:7" ht="10.5" customHeight="1" x14ac:dyDescent="0.2">
      <c r="G16797" s="889"/>
    </row>
    <row r="16798" spans="7:7" ht="10.5" customHeight="1" x14ac:dyDescent="0.2">
      <c r="G16798" s="889"/>
    </row>
    <row r="16799" spans="7:7" ht="10.5" customHeight="1" x14ac:dyDescent="0.2">
      <c r="G16799" s="889"/>
    </row>
    <row r="16800" spans="7:7" ht="10.5" customHeight="1" x14ac:dyDescent="0.2">
      <c r="G16800" s="889"/>
    </row>
    <row r="16801" spans="7:7" ht="10.5" customHeight="1" x14ac:dyDescent="0.2">
      <c r="G16801" s="889"/>
    </row>
    <row r="16802" spans="7:7" ht="10.5" customHeight="1" x14ac:dyDescent="0.2">
      <c r="G16802" s="889"/>
    </row>
    <row r="16803" spans="7:7" ht="10.5" customHeight="1" x14ac:dyDescent="0.2">
      <c r="G16803" s="889"/>
    </row>
    <row r="16804" spans="7:7" ht="10.5" customHeight="1" x14ac:dyDescent="0.2">
      <c r="G16804" s="889"/>
    </row>
    <row r="16805" spans="7:7" ht="10.5" customHeight="1" x14ac:dyDescent="0.2">
      <c r="G16805" s="889"/>
    </row>
    <row r="16806" spans="7:7" ht="10.5" customHeight="1" x14ac:dyDescent="0.2">
      <c r="G16806" s="889"/>
    </row>
    <row r="16807" spans="7:7" ht="10.5" customHeight="1" x14ac:dyDescent="0.2">
      <c r="G16807" s="889"/>
    </row>
    <row r="16808" spans="7:7" ht="10.5" customHeight="1" x14ac:dyDescent="0.2">
      <c r="G16808" s="889"/>
    </row>
    <row r="16809" spans="7:7" ht="10.5" customHeight="1" x14ac:dyDescent="0.2">
      <c r="G16809" s="889"/>
    </row>
    <row r="16810" spans="7:7" ht="10.5" customHeight="1" x14ac:dyDescent="0.2">
      <c r="G16810" s="889"/>
    </row>
    <row r="16811" spans="7:7" ht="10.5" customHeight="1" x14ac:dyDescent="0.2">
      <c r="G16811" s="889"/>
    </row>
    <row r="16812" spans="7:7" ht="10.5" customHeight="1" x14ac:dyDescent="0.2">
      <c r="G16812" s="889"/>
    </row>
    <row r="16813" spans="7:7" ht="10.5" customHeight="1" x14ac:dyDescent="0.2">
      <c r="G16813" s="889"/>
    </row>
    <row r="16814" spans="7:7" ht="10.5" customHeight="1" x14ac:dyDescent="0.2">
      <c r="G16814" s="889"/>
    </row>
    <row r="16815" spans="7:7" ht="10.5" customHeight="1" x14ac:dyDescent="0.2">
      <c r="G16815" s="889"/>
    </row>
    <row r="16816" spans="7:7" ht="10.5" customHeight="1" x14ac:dyDescent="0.2">
      <c r="G16816" s="889"/>
    </row>
    <row r="16817" spans="7:7" ht="10.5" customHeight="1" x14ac:dyDescent="0.2">
      <c r="G16817" s="889"/>
    </row>
    <row r="16818" spans="7:7" ht="10.5" customHeight="1" x14ac:dyDescent="0.2">
      <c r="G16818" s="889"/>
    </row>
    <row r="16819" spans="7:7" ht="10.5" customHeight="1" x14ac:dyDescent="0.2">
      <c r="G16819" s="889"/>
    </row>
    <row r="16820" spans="7:7" ht="10.5" customHeight="1" x14ac:dyDescent="0.2">
      <c r="G16820" s="889"/>
    </row>
    <row r="16821" spans="7:7" ht="10.5" customHeight="1" x14ac:dyDescent="0.2">
      <c r="G16821" s="889"/>
    </row>
    <row r="16822" spans="7:7" ht="10.5" customHeight="1" x14ac:dyDescent="0.2">
      <c r="G16822" s="889"/>
    </row>
    <row r="16823" spans="7:7" ht="10.5" customHeight="1" x14ac:dyDescent="0.2">
      <c r="G16823" s="889"/>
    </row>
    <row r="16824" spans="7:7" ht="10.5" customHeight="1" x14ac:dyDescent="0.2">
      <c r="G16824" s="889"/>
    </row>
    <row r="16825" spans="7:7" ht="10.5" customHeight="1" x14ac:dyDescent="0.2">
      <c r="G16825" s="889"/>
    </row>
    <row r="16826" spans="7:7" ht="10.5" customHeight="1" x14ac:dyDescent="0.2">
      <c r="G16826" s="889"/>
    </row>
    <row r="16827" spans="7:7" ht="10.5" customHeight="1" x14ac:dyDescent="0.2">
      <c r="G16827" s="889"/>
    </row>
    <row r="16828" spans="7:7" ht="10.5" customHeight="1" x14ac:dyDescent="0.2">
      <c r="G16828" s="889"/>
    </row>
    <row r="16829" spans="7:7" ht="10.5" customHeight="1" x14ac:dyDescent="0.2">
      <c r="G16829" s="889"/>
    </row>
    <row r="16830" spans="7:7" ht="10.5" customHeight="1" x14ac:dyDescent="0.2">
      <c r="G16830" s="889"/>
    </row>
    <row r="16831" spans="7:7" ht="10.5" customHeight="1" x14ac:dyDescent="0.2">
      <c r="G16831" s="889"/>
    </row>
    <row r="16832" spans="7:7" ht="10.5" customHeight="1" x14ac:dyDescent="0.2">
      <c r="G16832" s="889"/>
    </row>
    <row r="16833" spans="7:7" ht="10.5" customHeight="1" x14ac:dyDescent="0.2">
      <c r="G16833" s="889"/>
    </row>
    <row r="16834" spans="7:7" ht="10.5" customHeight="1" x14ac:dyDescent="0.2">
      <c r="G16834" s="889"/>
    </row>
    <row r="16835" spans="7:7" ht="10.5" customHeight="1" x14ac:dyDescent="0.2">
      <c r="G16835" s="889"/>
    </row>
    <row r="16836" spans="7:7" ht="10.5" customHeight="1" x14ac:dyDescent="0.2">
      <c r="G16836" s="889"/>
    </row>
    <row r="16837" spans="7:7" ht="10.5" customHeight="1" x14ac:dyDescent="0.2">
      <c r="G16837" s="889"/>
    </row>
    <row r="16838" spans="7:7" ht="10.5" customHeight="1" x14ac:dyDescent="0.2">
      <c r="G16838" s="889"/>
    </row>
    <row r="16839" spans="7:7" ht="10.5" customHeight="1" x14ac:dyDescent="0.2">
      <c r="G16839" s="889"/>
    </row>
    <row r="16840" spans="7:7" ht="10.5" customHeight="1" x14ac:dyDescent="0.2">
      <c r="G16840" s="889"/>
    </row>
    <row r="16841" spans="7:7" ht="10.5" customHeight="1" x14ac:dyDescent="0.2">
      <c r="G16841" s="889"/>
    </row>
    <row r="16842" spans="7:7" ht="10.5" customHeight="1" x14ac:dyDescent="0.2">
      <c r="G16842" s="889"/>
    </row>
    <row r="16843" spans="7:7" ht="10.5" customHeight="1" x14ac:dyDescent="0.2">
      <c r="G16843" s="889"/>
    </row>
    <row r="16844" spans="7:7" ht="10.5" customHeight="1" x14ac:dyDescent="0.2">
      <c r="G16844" s="889"/>
    </row>
    <row r="16845" spans="7:7" ht="10.5" customHeight="1" x14ac:dyDescent="0.2">
      <c r="G16845" s="889"/>
    </row>
    <row r="16846" spans="7:7" ht="10.5" customHeight="1" x14ac:dyDescent="0.2">
      <c r="G16846" s="889"/>
    </row>
    <row r="16847" spans="7:7" ht="10.5" customHeight="1" x14ac:dyDescent="0.2">
      <c r="G16847" s="889"/>
    </row>
    <row r="16848" spans="7:7" ht="10.5" customHeight="1" x14ac:dyDescent="0.2">
      <c r="G16848" s="889"/>
    </row>
    <row r="16849" spans="7:7" ht="10.5" customHeight="1" x14ac:dyDescent="0.2">
      <c r="G16849" s="889"/>
    </row>
    <row r="16850" spans="7:7" ht="10.5" customHeight="1" x14ac:dyDescent="0.2">
      <c r="G16850" s="889"/>
    </row>
    <row r="16851" spans="7:7" ht="10.5" customHeight="1" x14ac:dyDescent="0.2">
      <c r="G16851" s="889"/>
    </row>
    <row r="16852" spans="7:7" ht="10.5" customHeight="1" x14ac:dyDescent="0.2">
      <c r="G16852" s="889"/>
    </row>
    <row r="16853" spans="7:7" ht="10.5" customHeight="1" x14ac:dyDescent="0.2">
      <c r="G16853" s="889"/>
    </row>
    <row r="16854" spans="7:7" ht="10.5" customHeight="1" x14ac:dyDescent="0.2">
      <c r="G16854" s="889"/>
    </row>
    <row r="16855" spans="7:7" ht="10.5" customHeight="1" x14ac:dyDescent="0.2">
      <c r="G16855" s="889"/>
    </row>
    <row r="16856" spans="7:7" ht="10.5" customHeight="1" x14ac:dyDescent="0.2">
      <c r="G16856" s="889"/>
    </row>
    <row r="16857" spans="7:7" ht="10.5" customHeight="1" x14ac:dyDescent="0.2">
      <c r="G16857" s="889"/>
    </row>
    <row r="16858" spans="7:7" ht="10.5" customHeight="1" x14ac:dyDescent="0.2">
      <c r="G16858" s="889"/>
    </row>
    <row r="16859" spans="7:7" ht="10.5" customHeight="1" x14ac:dyDescent="0.2">
      <c r="G16859" s="889"/>
    </row>
    <row r="16860" spans="7:7" ht="10.5" customHeight="1" x14ac:dyDescent="0.2">
      <c r="G16860" s="889"/>
    </row>
    <row r="16861" spans="7:7" ht="10.5" customHeight="1" x14ac:dyDescent="0.2">
      <c r="G16861" s="889"/>
    </row>
    <row r="16862" spans="7:7" ht="10.5" customHeight="1" x14ac:dyDescent="0.2">
      <c r="G16862" s="889"/>
    </row>
    <row r="16863" spans="7:7" ht="10.5" customHeight="1" x14ac:dyDescent="0.2">
      <c r="G16863" s="889"/>
    </row>
    <row r="16864" spans="7:7" ht="10.5" customHeight="1" x14ac:dyDescent="0.2">
      <c r="G16864" s="889"/>
    </row>
    <row r="16865" spans="7:7" ht="10.5" customHeight="1" x14ac:dyDescent="0.2">
      <c r="G16865" s="889"/>
    </row>
    <row r="16866" spans="7:7" ht="10.5" customHeight="1" x14ac:dyDescent="0.2">
      <c r="G16866" s="889"/>
    </row>
    <row r="16867" spans="7:7" ht="10.5" customHeight="1" x14ac:dyDescent="0.2">
      <c r="G16867" s="889"/>
    </row>
    <row r="16868" spans="7:7" ht="10.5" customHeight="1" x14ac:dyDescent="0.2">
      <c r="G16868" s="889"/>
    </row>
    <row r="16869" spans="7:7" ht="10.5" customHeight="1" x14ac:dyDescent="0.2">
      <c r="G16869" s="889"/>
    </row>
    <row r="16870" spans="7:7" ht="10.5" customHeight="1" x14ac:dyDescent="0.2">
      <c r="G16870" s="889"/>
    </row>
    <row r="16871" spans="7:7" ht="10.5" customHeight="1" x14ac:dyDescent="0.2">
      <c r="G16871" s="889"/>
    </row>
    <row r="16872" spans="7:7" ht="10.5" customHeight="1" x14ac:dyDescent="0.2">
      <c r="G16872" s="889"/>
    </row>
    <row r="16873" spans="7:7" ht="10.5" customHeight="1" x14ac:dyDescent="0.2">
      <c r="G16873" s="889"/>
    </row>
    <row r="16874" spans="7:7" ht="10.5" customHeight="1" x14ac:dyDescent="0.2">
      <c r="G16874" s="889"/>
    </row>
    <row r="16875" spans="7:7" ht="10.5" customHeight="1" x14ac:dyDescent="0.2">
      <c r="G16875" s="889"/>
    </row>
    <row r="16876" spans="7:7" ht="10.5" customHeight="1" x14ac:dyDescent="0.2">
      <c r="G16876" s="889"/>
    </row>
    <row r="16877" spans="7:7" ht="10.5" customHeight="1" x14ac:dyDescent="0.2">
      <c r="G16877" s="889"/>
    </row>
    <row r="16878" spans="7:7" ht="10.5" customHeight="1" x14ac:dyDescent="0.2">
      <c r="G16878" s="889"/>
    </row>
    <row r="16879" spans="7:7" ht="10.5" customHeight="1" x14ac:dyDescent="0.2">
      <c r="G16879" s="889"/>
    </row>
    <row r="16880" spans="7:7" ht="10.5" customHeight="1" x14ac:dyDescent="0.2">
      <c r="G16880" s="889"/>
    </row>
    <row r="16881" spans="7:7" ht="10.5" customHeight="1" x14ac:dyDescent="0.2">
      <c r="G16881" s="889"/>
    </row>
    <row r="16882" spans="7:7" ht="10.5" customHeight="1" x14ac:dyDescent="0.2">
      <c r="G16882" s="889"/>
    </row>
    <row r="16883" spans="7:7" ht="10.5" customHeight="1" x14ac:dyDescent="0.2">
      <c r="G16883" s="889"/>
    </row>
    <row r="16884" spans="7:7" ht="10.5" customHeight="1" x14ac:dyDescent="0.2">
      <c r="G16884" s="889"/>
    </row>
    <row r="16885" spans="7:7" ht="10.5" customHeight="1" x14ac:dyDescent="0.2">
      <c r="G16885" s="889"/>
    </row>
    <row r="16886" spans="7:7" ht="10.5" customHeight="1" x14ac:dyDescent="0.2">
      <c r="G16886" s="889"/>
    </row>
    <row r="16887" spans="7:7" ht="10.5" customHeight="1" x14ac:dyDescent="0.2">
      <c r="G16887" s="889"/>
    </row>
    <row r="16888" spans="7:7" ht="10.5" customHeight="1" x14ac:dyDescent="0.2">
      <c r="G16888" s="889"/>
    </row>
    <row r="16889" spans="7:7" ht="10.5" customHeight="1" x14ac:dyDescent="0.2">
      <c r="G16889" s="889"/>
    </row>
    <row r="16890" spans="7:7" ht="10.5" customHeight="1" x14ac:dyDescent="0.2">
      <c r="G16890" s="889"/>
    </row>
    <row r="16891" spans="7:7" ht="10.5" customHeight="1" x14ac:dyDescent="0.2">
      <c r="G16891" s="889"/>
    </row>
    <row r="16892" spans="7:7" ht="10.5" customHeight="1" x14ac:dyDescent="0.2">
      <c r="G16892" s="889"/>
    </row>
    <row r="16893" spans="7:7" ht="10.5" customHeight="1" x14ac:dyDescent="0.2">
      <c r="G16893" s="889"/>
    </row>
    <row r="16894" spans="7:7" ht="10.5" customHeight="1" x14ac:dyDescent="0.2">
      <c r="G16894" s="889"/>
    </row>
    <row r="16895" spans="7:7" ht="10.5" customHeight="1" x14ac:dyDescent="0.2">
      <c r="G16895" s="889"/>
    </row>
    <row r="16896" spans="7:7" ht="10.5" customHeight="1" x14ac:dyDescent="0.2">
      <c r="G16896" s="889"/>
    </row>
    <row r="16897" spans="7:7" ht="10.5" customHeight="1" x14ac:dyDescent="0.2">
      <c r="G16897" s="889"/>
    </row>
    <row r="16898" spans="7:7" ht="10.5" customHeight="1" x14ac:dyDescent="0.2">
      <c r="G16898" s="889"/>
    </row>
    <row r="16899" spans="7:7" ht="10.5" customHeight="1" x14ac:dyDescent="0.2">
      <c r="G16899" s="889"/>
    </row>
    <row r="16900" spans="7:7" ht="10.5" customHeight="1" x14ac:dyDescent="0.2">
      <c r="G16900" s="889"/>
    </row>
    <row r="16901" spans="7:7" ht="10.5" customHeight="1" x14ac:dyDescent="0.2">
      <c r="G16901" s="889"/>
    </row>
    <row r="16902" spans="7:7" ht="10.5" customHeight="1" x14ac:dyDescent="0.2">
      <c r="G16902" s="889"/>
    </row>
    <row r="16903" spans="7:7" ht="10.5" customHeight="1" x14ac:dyDescent="0.2">
      <c r="G16903" s="889"/>
    </row>
    <row r="16904" spans="7:7" ht="10.5" customHeight="1" x14ac:dyDescent="0.2">
      <c r="G16904" s="889"/>
    </row>
    <row r="16905" spans="7:7" ht="10.5" customHeight="1" x14ac:dyDescent="0.2">
      <c r="G16905" s="889"/>
    </row>
    <row r="16906" spans="7:7" ht="10.5" customHeight="1" x14ac:dyDescent="0.2">
      <c r="G16906" s="889"/>
    </row>
    <row r="16907" spans="7:7" ht="10.5" customHeight="1" x14ac:dyDescent="0.2">
      <c r="G16907" s="889"/>
    </row>
    <row r="16908" spans="7:7" ht="10.5" customHeight="1" x14ac:dyDescent="0.2">
      <c r="G16908" s="889"/>
    </row>
    <row r="16909" spans="7:7" ht="10.5" customHeight="1" x14ac:dyDescent="0.2">
      <c r="G16909" s="889"/>
    </row>
    <row r="16910" spans="7:7" ht="10.5" customHeight="1" x14ac:dyDescent="0.2">
      <c r="G16910" s="889"/>
    </row>
    <row r="16911" spans="7:7" ht="10.5" customHeight="1" x14ac:dyDescent="0.2">
      <c r="G16911" s="889"/>
    </row>
    <row r="16912" spans="7:7" ht="10.5" customHeight="1" x14ac:dyDescent="0.2">
      <c r="G16912" s="889"/>
    </row>
    <row r="16913" spans="7:7" ht="10.5" customHeight="1" x14ac:dyDescent="0.2">
      <c r="G16913" s="889"/>
    </row>
    <row r="16914" spans="7:7" ht="10.5" customHeight="1" x14ac:dyDescent="0.2">
      <c r="G16914" s="889"/>
    </row>
    <row r="16915" spans="7:7" ht="10.5" customHeight="1" x14ac:dyDescent="0.2">
      <c r="G16915" s="889"/>
    </row>
    <row r="16916" spans="7:7" ht="10.5" customHeight="1" x14ac:dyDescent="0.2">
      <c r="G16916" s="889"/>
    </row>
    <row r="16917" spans="7:7" ht="10.5" customHeight="1" x14ac:dyDescent="0.2">
      <c r="G16917" s="889"/>
    </row>
    <row r="16918" spans="7:7" ht="10.5" customHeight="1" x14ac:dyDescent="0.2">
      <c r="G16918" s="889"/>
    </row>
    <row r="16919" spans="7:7" ht="10.5" customHeight="1" x14ac:dyDescent="0.2">
      <c r="G16919" s="889"/>
    </row>
    <row r="16920" spans="7:7" ht="10.5" customHeight="1" x14ac:dyDescent="0.2">
      <c r="G16920" s="889"/>
    </row>
    <row r="16921" spans="7:7" ht="10.5" customHeight="1" x14ac:dyDescent="0.2">
      <c r="G16921" s="889"/>
    </row>
    <row r="16922" spans="7:7" ht="10.5" customHeight="1" x14ac:dyDescent="0.2">
      <c r="G16922" s="889"/>
    </row>
    <row r="16923" spans="7:7" ht="10.5" customHeight="1" x14ac:dyDescent="0.2">
      <c r="G16923" s="889"/>
    </row>
    <row r="16924" spans="7:7" ht="10.5" customHeight="1" x14ac:dyDescent="0.2">
      <c r="G16924" s="889"/>
    </row>
    <row r="16925" spans="7:7" ht="10.5" customHeight="1" x14ac:dyDescent="0.2">
      <c r="G16925" s="889"/>
    </row>
    <row r="16926" spans="7:7" ht="10.5" customHeight="1" x14ac:dyDescent="0.2">
      <c r="G16926" s="889"/>
    </row>
    <row r="16927" spans="7:7" ht="10.5" customHeight="1" x14ac:dyDescent="0.2">
      <c r="G16927" s="889"/>
    </row>
    <row r="16928" spans="7:7" ht="10.5" customHeight="1" x14ac:dyDescent="0.2">
      <c r="G16928" s="889"/>
    </row>
    <row r="16929" spans="7:7" ht="10.5" customHeight="1" x14ac:dyDescent="0.2">
      <c r="G16929" s="889"/>
    </row>
    <row r="16930" spans="7:7" ht="10.5" customHeight="1" x14ac:dyDescent="0.2">
      <c r="G16930" s="889"/>
    </row>
    <row r="16931" spans="7:7" ht="10.5" customHeight="1" x14ac:dyDescent="0.2">
      <c r="G16931" s="889"/>
    </row>
    <row r="16932" spans="7:7" ht="10.5" customHeight="1" x14ac:dyDescent="0.2">
      <c r="G16932" s="889"/>
    </row>
    <row r="16933" spans="7:7" ht="10.5" customHeight="1" x14ac:dyDescent="0.2">
      <c r="G16933" s="889"/>
    </row>
    <row r="16934" spans="7:7" ht="10.5" customHeight="1" x14ac:dyDescent="0.2">
      <c r="G16934" s="889"/>
    </row>
    <row r="16935" spans="7:7" ht="10.5" customHeight="1" x14ac:dyDescent="0.2">
      <c r="G16935" s="889"/>
    </row>
    <row r="16936" spans="7:7" ht="10.5" customHeight="1" x14ac:dyDescent="0.2">
      <c r="G16936" s="889"/>
    </row>
    <row r="16937" spans="7:7" ht="10.5" customHeight="1" x14ac:dyDescent="0.2">
      <c r="G16937" s="889"/>
    </row>
    <row r="16938" spans="7:7" ht="10.5" customHeight="1" x14ac:dyDescent="0.2">
      <c r="G16938" s="889"/>
    </row>
    <row r="16939" spans="7:7" ht="10.5" customHeight="1" x14ac:dyDescent="0.2">
      <c r="G16939" s="889"/>
    </row>
    <row r="16940" spans="7:7" ht="10.5" customHeight="1" x14ac:dyDescent="0.2">
      <c r="G16940" s="889"/>
    </row>
    <row r="16941" spans="7:7" ht="10.5" customHeight="1" x14ac:dyDescent="0.2">
      <c r="G16941" s="889"/>
    </row>
    <row r="16942" spans="7:7" ht="10.5" customHeight="1" x14ac:dyDescent="0.2">
      <c r="G16942" s="889"/>
    </row>
    <row r="16943" spans="7:7" ht="10.5" customHeight="1" x14ac:dyDescent="0.2">
      <c r="G16943" s="889"/>
    </row>
    <row r="16944" spans="7:7" ht="10.5" customHeight="1" x14ac:dyDescent="0.2">
      <c r="G16944" s="889"/>
    </row>
    <row r="16945" spans="7:7" ht="10.5" customHeight="1" x14ac:dyDescent="0.2">
      <c r="G16945" s="889"/>
    </row>
    <row r="16946" spans="7:7" ht="10.5" customHeight="1" x14ac:dyDescent="0.2">
      <c r="G16946" s="889"/>
    </row>
    <row r="16947" spans="7:7" ht="10.5" customHeight="1" x14ac:dyDescent="0.2">
      <c r="G16947" s="889"/>
    </row>
    <row r="16948" spans="7:7" ht="10.5" customHeight="1" x14ac:dyDescent="0.2">
      <c r="G16948" s="889"/>
    </row>
    <row r="16949" spans="7:7" ht="10.5" customHeight="1" x14ac:dyDescent="0.2">
      <c r="G16949" s="889"/>
    </row>
    <row r="16950" spans="7:7" ht="10.5" customHeight="1" x14ac:dyDescent="0.2">
      <c r="G16950" s="889"/>
    </row>
    <row r="16951" spans="7:7" ht="10.5" customHeight="1" x14ac:dyDescent="0.2">
      <c r="G16951" s="889"/>
    </row>
    <row r="16952" spans="7:7" ht="10.5" customHeight="1" x14ac:dyDescent="0.2">
      <c r="G16952" s="889"/>
    </row>
    <row r="16953" spans="7:7" ht="10.5" customHeight="1" x14ac:dyDescent="0.2">
      <c r="G16953" s="889"/>
    </row>
    <row r="16954" spans="7:7" ht="10.5" customHeight="1" x14ac:dyDescent="0.2">
      <c r="G16954" s="889"/>
    </row>
    <row r="16955" spans="7:7" ht="10.5" customHeight="1" x14ac:dyDescent="0.2">
      <c r="G16955" s="889"/>
    </row>
    <row r="16956" spans="7:7" ht="10.5" customHeight="1" x14ac:dyDescent="0.2">
      <c r="G16956" s="889"/>
    </row>
    <row r="16957" spans="7:7" ht="10.5" customHeight="1" x14ac:dyDescent="0.2">
      <c r="G16957" s="889"/>
    </row>
    <row r="16958" spans="7:7" ht="10.5" customHeight="1" x14ac:dyDescent="0.2">
      <c r="G16958" s="889"/>
    </row>
    <row r="16959" spans="7:7" ht="10.5" customHeight="1" x14ac:dyDescent="0.2">
      <c r="G16959" s="889"/>
    </row>
    <row r="16960" spans="7:7" ht="10.5" customHeight="1" x14ac:dyDescent="0.2">
      <c r="G16960" s="889"/>
    </row>
    <row r="16961" spans="7:7" ht="10.5" customHeight="1" x14ac:dyDescent="0.2">
      <c r="G16961" s="889"/>
    </row>
    <row r="16962" spans="7:7" ht="10.5" customHeight="1" x14ac:dyDescent="0.2">
      <c r="G16962" s="889"/>
    </row>
    <row r="16963" spans="7:7" ht="10.5" customHeight="1" x14ac:dyDescent="0.2">
      <c r="G16963" s="889"/>
    </row>
    <row r="16964" spans="7:7" ht="10.5" customHeight="1" x14ac:dyDescent="0.2">
      <c r="G16964" s="889"/>
    </row>
    <row r="16965" spans="7:7" ht="10.5" customHeight="1" x14ac:dyDescent="0.2">
      <c r="G16965" s="889"/>
    </row>
    <row r="16966" spans="7:7" ht="10.5" customHeight="1" x14ac:dyDescent="0.2">
      <c r="G16966" s="889"/>
    </row>
    <row r="16967" spans="7:7" ht="10.5" customHeight="1" x14ac:dyDescent="0.2">
      <c r="G16967" s="889"/>
    </row>
    <row r="16968" spans="7:7" ht="10.5" customHeight="1" x14ac:dyDescent="0.2">
      <c r="G16968" s="889"/>
    </row>
    <row r="16969" spans="7:7" ht="10.5" customHeight="1" x14ac:dyDescent="0.2">
      <c r="G16969" s="889"/>
    </row>
    <row r="16970" spans="7:7" ht="10.5" customHeight="1" x14ac:dyDescent="0.2">
      <c r="G16970" s="889"/>
    </row>
    <row r="16971" spans="7:7" ht="10.5" customHeight="1" x14ac:dyDescent="0.2">
      <c r="G16971" s="889"/>
    </row>
    <row r="16972" spans="7:7" ht="10.5" customHeight="1" x14ac:dyDescent="0.2">
      <c r="G16972" s="889"/>
    </row>
    <row r="16973" spans="7:7" ht="10.5" customHeight="1" x14ac:dyDescent="0.2">
      <c r="G16973" s="889"/>
    </row>
    <row r="16974" spans="7:7" ht="10.5" customHeight="1" x14ac:dyDescent="0.2">
      <c r="G16974" s="889"/>
    </row>
    <row r="16975" spans="7:7" ht="10.5" customHeight="1" x14ac:dyDescent="0.2">
      <c r="G16975" s="889"/>
    </row>
    <row r="16976" spans="7:7" ht="10.5" customHeight="1" x14ac:dyDescent="0.2">
      <c r="G16976" s="889"/>
    </row>
    <row r="16977" spans="7:7" ht="10.5" customHeight="1" x14ac:dyDescent="0.2">
      <c r="G16977" s="889"/>
    </row>
    <row r="16978" spans="7:7" ht="10.5" customHeight="1" x14ac:dyDescent="0.2">
      <c r="G16978" s="889"/>
    </row>
    <row r="16979" spans="7:7" ht="10.5" customHeight="1" x14ac:dyDescent="0.2">
      <c r="G16979" s="889"/>
    </row>
    <row r="16980" spans="7:7" ht="10.5" customHeight="1" x14ac:dyDescent="0.2">
      <c r="G16980" s="889"/>
    </row>
    <row r="16981" spans="7:7" ht="10.5" customHeight="1" x14ac:dyDescent="0.2">
      <c r="G16981" s="889"/>
    </row>
    <row r="16982" spans="7:7" ht="10.5" customHeight="1" x14ac:dyDescent="0.2">
      <c r="G16982" s="889"/>
    </row>
    <row r="16983" spans="7:7" ht="10.5" customHeight="1" x14ac:dyDescent="0.2">
      <c r="G16983" s="889"/>
    </row>
    <row r="16984" spans="7:7" ht="10.5" customHeight="1" x14ac:dyDescent="0.2">
      <c r="G16984" s="889"/>
    </row>
    <row r="16985" spans="7:7" ht="10.5" customHeight="1" x14ac:dyDescent="0.2">
      <c r="G16985" s="889"/>
    </row>
    <row r="16986" spans="7:7" ht="10.5" customHeight="1" x14ac:dyDescent="0.2">
      <c r="G16986" s="889"/>
    </row>
    <row r="16987" spans="7:7" ht="10.5" customHeight="1" x14ac:dyDescent="0.2">
      <c r="G16987" s="889"/>
    </row>
    <row r="16988" spans="7:7" ht="10.5" customHeight="1" x14ac:dyDescent="0.2">
      <c r="G16988" s="889"/>
    </row>
    <row r="16989" spans="7:7" ht="10.5" customHeight="1" x14ac:dyDescent="0.2">
      <c r="G16989" s="889"/>
    </row>
    <row r="16990" spans="7:7" ht="10.5" customHeight="1" x14ac:dyDescent="0.2">
      <c r="G16990" s="889"/>
    </row>
    <row r="16991" spans="7:7" ht="10.5" customHeight="1" x14ac:dyDescent="0.2">
      <c r="G16991" s="889"/>
    </row>
    <row r="16992" spans="7:7" ht="10.5" customHeight="1" x14ac:dyDescent="0.2">
      <c r="G16992" s="889"/>
    </row>
    <row r="16993" spans="7:7" ht="10.5" customHeight="1" x14ac:dyDescent="0.2">
      <c r="G16993" s="889"/>
    </row>
    <row r="16994" spans="7:7" ht="10.5" customHeight="1" x14ac:dyDescent="0.2">
      <c r="G16994" s="889"/>
    </row>
    <row r="16995" spans="7:7" ht="10.5" customHeight="1" x14ac:dyDescent="0.2">
      <c r="G16995" s="889"/>
    </row>
    <row r="16996" spans="7:7" ht="10.5" customHeight="1" x14ac:dyDescent="0.2">
      <c r="G16996" s="889"/>
    </row>
    <row r="16997" spans="7:7" ht="10.5" customHeight="1" x14ac:dyDescent="0.2">
      <c r="G16997" s="889"/>
    </row>
    <row r="16998" spans="7:7" ht="10.5" customHeight="1" x14ac:dyDescent="0.2">
      <c r="G16998" s="889"/>
    </row>
    <row r="16999" spans="7:7" ht="10.5" customHeight="1" x14ac:dyDescent="0.2">
      <c r="G16999" s="889"/>
    </row>
    <row r="17000" spans="7:7" ht="10.5" customHeight="1" x14ac:dyDescent="0.2">
      <c r="G17000" s="889"/>
    </row>
    <row r="17001" spans="7:7" ht="10.5" customHeight="1" x14ac:dyDescent="0.2">
      <c r="G17001" s="889"/>
    </row>
    <row r="17002" spans="7:7" ht="10.5" customHeight="1" x14ac:dyDescent="0.2">
      <c r="G17002" s="889"/>
    </row>
    <row r="17003" spans="7:7" ht="10.5" customHeight="1" x14ac:dyDescent="0.2">
      <c r="G17003" s="889"/>
    </row>
    <row r="17004" spans="7:7" ht="10.5" customHeight="1" x14ac:dyDescent="0.2">
      <c r="G17004" s="889"/>
    </row>
    <row r="17005" spans="7:7" ht="10.5" customHeight="1" x14ac:dyDescent="0.2">
      <c r="G17005" s="889"/>
    </row>
    <row r="17006" spans="7:7" ht="10.5" customHeight="1" x14ac:dyDescent="0.2">
      <c r="G17006" s="889"/>
    </row>
    <row r="17007" spans="7:7" ht="10.5" customHeight="1" x14ac:dyDescent="0.2">
      <c r="G17007" s="889"/>
    </row>
    <row r="17008" spans="7:7" ht="10.5" customHeight="1" x14ac:dyDescent="0.2">
      <c r="G17008" s="889"/>
    </row>
    <row r="17009" spans="7:7" ht="10.5" customHeight="1" x14ac:dyDescent="0.2">
      <c r="G17009" s="889"/>
    </row>
    <row r="17010" spans="7:7" ht="10.5" customHeight="1" x14ac:dyDescent="0.2">
      <c r="G17010" s="889"/>
    </row>
    <row r="17011" spans="7:7" ht="10.5" customHeight="1" x14ac:dyDescent="0.2">
      <c r="G17011" s="889"/>
    </row>
    <row r="17012" spans="7:7" ht="10.5" customHeight="1" x14ac:dyDescent="0.2">
      <c r="G17012" s="889"/>
    </row>
    <row r="17013" spans="7:7" ht="10.5" customHeight="1" x14ac:dyDescent="0.2">
      <c r="G17013" s="889"/>
    </row>
    <row r="17014" spans="7:7" ht="10.5" customHeight="1" x14ac:dyDescent="0.2">
      <c r="G17014" s="889"/>
    </row>
    <row r="17015" spans="7:7" ht="10.5" customHeight="1" x14ac:dyDescent="0.2">
      <c r="G17015" s="889"/>
    </row>
    <row r="17016" spans="7:7" ht="10.5" customHeight="1" x14ac:dyDescent="0.2">
      <c r="G17016" s="889"/>
    </row>
    <row r="17017" spans="7:7" ht="10.5" customHeight="1" x14ac:dyDescent="0.2">
      <c r="G17017" s="889"/>
    </row>
    <row r="17018" spans="7:7" ht="10.5" customHeight="1" x14ac:dyDescent="0.2">
      <c r="G17018" s="889"/>
    </row>
    <row r="17019" spans="7:7" ht="10.5" customHeight="1" x14ac:dyDescent="0.2">
      <c r="G17019" s="889"/>
    </row>
    <row r="17020" spans="7:7" ht="10.5" customHeight="1" x14ac:dyDescent="0.2">
      <c r="G17020" s="889"/>
    </row>
    <row r="17021" spans="7:7" ht="10.5" customHeight="1" x14ac:dyDescent="0.2">
      <c r="G17021" s="889"/>
    </row>
    <row r="17022" spans="7:7" ht="10.5" customHeight="1" x14ac:dyDescent="0.2">
      <c r="G17022" s="889"/>
    </row>
    <row r="17023" spans="7:7" ht="10.5" customHeight="1" x14ac:dyDescent="0.2">
      <c r="G17023" s="889"/>
    </row>
    <row r="17024" spans="7:7" ht="10.5" customHeight="1" x14ac:dyDescent="0.2">
      <c r="G17024" s="889"/>
    </row>
    <row r="17025" spans="7:7" ht="10.5" customHeight="1" x14ac:dyDescent="0.2">
      <c r="G17025" s="889"/>
    </row>
    <row r="17026" spans="7:7" ht="10.5" customHeight="1" x14ac:dyDescent="0.2">
      <c r="G17026" s="889"/>
    </row>
    <row r="17027" spans="7:7" ht="10.5" customHeight="1" x14ac:dyDescent="0.2">
      <c r="G17027" s="889"/>
    </row>
    <row r="17028" spans="7:7" ht="10.5" customHeight="1" x14ac:dyDescent="0.2">
      <c r="G17028" s="889"/>
    </row>
    <row r="17029" spans="7:7" ht="10.5" customHeight="1" x14ac:dyDescent="0.2">
      <c r="G17029" s="889"/>
    </row>
    <row r="17030" spans="7:7" ht="10.5" customHeight="1" x14ac:dyDescent="0.2">
      <c r="G17030" s="889"/>
    </row>
    <row r="17031" spans="7:7" ht="10.5" customHeight="1" x14ac:dyDescent="0.2">
      <c r="G17031" s="889"/>
    </row>
    <row r="17032" spans="7:7" ht="10.5" customHeight="1" x14ac:dyDescent="0.2">
      <c r="G17032" s="889"/>
    </row>
    <row r="17033" spans="7:7" ht="10.5" customHeight="1" x14ac:dyDescent="0.2">
      <c r="G17033" s="889"/>
    </row>
    <row r="17034" spans="7:7" ht="10.5" customHeight="1" x14ac:dyDescent="0.2">
      <c r="G17034" s="889"/>
    </row>
    <row r="17035" spans="7:7" ht="10.5" customHeight="1" x14ac:dyDescent="0.2">
      <c r="G17035" s="889"/>
    </row>
    <row r="17036" spans="7:7" ht="10.5" customHeight="1" x14ac:dyDescent="0.2">
      <c r="G17036" s="889"/>
    </row>
    <row r="17037" spans="7:7" ht="10.5" customHeight="1" x14ac:dyDescent="0.2">
      <c r="G17037" s="889"/>
    </row>
    <row r="17038" spans="7:7" ht="10.5" customHeight="1" x14ac:dyDescent="0.2">
      <c r="G17038" s="889"/>
    </row>
    <row r="17039" spans="7:7" ht="10.5" customHeight="1" x14ac:dyDescent="0.2">
      <c r="G17039" s="889"/>
    </row>
    <row r="17040" spans="7:7" ht="10.5" customHeight="1" x14ac:dyDescent="0.2">
      <c r="G17040" s="889"/>
    </row>
    <row r="17041" spans="7:7" ht="10.5" customHeight="1" x14ac:dyDescent="0.2">
      <c r="G17041" s="889"/>
    </row>
    <row r="17042" spans="7:7" ht="10.5" customHeight="1" x14ac:dyDescent="0.2">
      <c r="G17042" s="889"/>
    </row>
    <row r="17043" spans="7:7" ht="10.5" customHeight="1" x14ac:dyDescent="0.2">
      <c r="G17043" s="889"/>
    </row>
    <row r="17044" spans="7:7" ht="10.5" customHeight="1" x14ac:dyDescent="0.2">
      <c r="G17044" s="889"/>
    </row>
    <row r="17045" spans="7:7" ht="10.5" customHeight="1" x14ac:dyDescent="0.2">
      <c r="G17045" s="889"/>
    </row>
    <row r="17046" spans="7:7" ht="10.5" customHeight="1" x14ac:dyDescent="0.2">
      <c r="G17046" s="889"/>
    </row>
    <row r="17047" spans="7:7" ht="10.5" customHeight="1" x14ac:dyDescent="0.2">
      <c r="G17047" s="889"/>
    </row>
    <row r="17048" spans="7:7" ht="10.5" customHeight="1" x14ac:dyDescent="0.2">
      <c r="G17048" s="889"/>
    </row>
    <row r="17049" spans="7:7" ht="10.5" customHeight="1" x14ac:dyDescent="0.2">
      <c r="G17049" s="889"/>
    </row>
    <row r="17050" spans="7:7" ht="10.5" customHeight="1" x14ac:dyDescent="0.2">
      <c r="G17050" s="889"/>
    </row>
    <row r="17051" spans="7:7" ht="10.5" customHeight="1" x14ac:dyDescent="0.2">
      <c r="G17051" s="889"/>
    </row>
    <row r="17052" spans="7:7" ht="10.5" customHeight="1" x14ac:dyDescent="0.2">
      <c r="G17052" s="889"/>
    </row>
    <row r="17053" spans="7:7" ht="10.5" customHeight="1" x14ac:dyDescent="0.2">
      <c r="G17053" s="889"/>
    </row>
    <row r="17054" spans="7:7" ht="10.5" customHeight="1" x14ac:dyDescent="0.2">
      <c r="G17054" s="889"/>
    </row>
    <row r="17055" spans="7:7" ht="10.5" customHeight="1" x14ac:dyDescent="0.2">
      <c r="G17055" s="889"/>
    </row>
    <row r="17056" spans="7:7" ht="10.5" customHeight="1" x14ac:dyDescent="0.2">
      <c r="G17056" s="889"/>
    </row>
    <row r="17057" spans="7:7" ht="10.5" customHeight="1" x14ac:dyDescent="0.2">
      <c r="G17057" s="889"/>
    </row>
    <row r="17058" spans="7:7" ht="10.5" customHeight="1" x14ac:dyDescent="0.2">
      <c r="G17058" s="889"/>
    </row>
    <row r="17059" spans="7:7" ht="10.5" customHeight="1" x14ac:dyDescent="0.2">
      <c r="G17059" s="889"/>
    </row>
    <row r="17060" spans="7:7" ht="10.5" customHeight="1" x14ac:dyDescent="0.2">
      <c r="G17060" s="889"/>
    </row>
    <row r="17061" spans="7:7" ht="10.5" customHeight="1" x14ac:dyDescent="0.2">
      <c r="G17061" s="889"/>
    </row>
    <row r="17062" spans="7:7" ht="10.5" customHeight="1" x14ac:dyDescent="0.2">
      <c r="G17062" s="889"/>
    </row>
    <row r="17063" spans="7:7" ht="10.5" customHeight="1" x14ac:dyDescent="0.2">
      <c r="G17063" s="889"/>
    </row>
    <row r="17064" spans="7:7" ht="10.5" customHeight="1" x14ac:dyDescent="0.2">
      <c r="G17064" s="889"/>
    </row>
    <row r="17065" spans="7:7" ht="10.5" customHeight="1" x14ac:dyDescent="0.2">
      <c r="G17065" s="889"/>
    </row>
    <row r="17066" spans="7:7" ht="10.5" customHeight="1" x14ac:dyDescent="0.2">
      <c r="G17066" s="889"/>
    </row>
    <row r="17067" spans="7:7" ht="10.5" customHeight="1" x14ac:dyDescent="0.2">
      <c r="G17067" s="889"/>
    </row>
    <row r="17068" spans="7:7" ht="10.5" customHeight="1" x14ac:dyDescent="0.2">
      <c r="G17068" s="889"/>
    </row>
    <row r="17069" spans="7:7" ht="10.5" customHeight="1" x14ac:dyDescent="0.2">
      <c r="G17069" s="889"/>
    </row>
    <row r="17070" spans="7:7" ht="10.5" customHeight="1" x14ac:dyDescent="0.2">
      <c r="G17070" s="889"/>
    </row>
    <row r="17071" spans="7:7" ht="10.5" customHeight="1" x14ac:dyDescent="0.2">
      <c r="G17071" s="889"/>
    </row>
    <row r="17072" spans="7:7" ht="10.5" customHeight="1" x14ac:dyDescent="0.2">
      <c r="G17072" s="889"/>
    </row>
    <row r="17073" spans="7:7" ht="10.5" customHeight="1" x14ac:dyDescent="0.2">
      <c r="G17073" s="889"/>
    </row>
    <row r="17074" spans="7:7" ht="10.5" customHeight="1" x14ac:dyDescent="0.2">
      <c r="G17074" s="889"/>
    </row>
    <row r="17075" spans="7:7" ht="10.5" customHeight="1" x14ac:dyDescent="0.2">
      <c r="G17075" s="889"/>
    </row>
    <row r="17076" spans="7:7" ht="10.5" customHeight="1" x14ac:dyDescent="0.2">
      <c r="G17076" s="889"/>
    </row>
    <row r="17077" spans="7:7" ht="10.5" customHeight="1" x14ac:dyDescent="0.2">
      <c r="G17077" s="889"/>
    </row>
    <row r="17078" spans="7:7" ht="10.5" customHeight="1" x14ac:dyDescent="0.2">
      <c r="G17078" s="889"/>
    </row>
    <row r="17079" spans="7:7" ht="10.5" customHeight="1" x14ac:dyDescent="0.2">
      <c r="G17079" s="889"/>
    </row>
    <row r="17080" spans="7:7" ht="10.5" customHeight="1" x14ac:dyDescent="0.2">
      <c r="G17080" s="889"/>
    </row>
    <row r="17081" spans="7:7" ht="10.5" customHeight="1" x14ac:dyDescent="0.2">
      <c r="G17081" s="889"/>
    </row>
    <row r="17082" spans="7:7" ht="10.5" customHeight="1" x14ac:dyDescent="0.2">
      <c r="G17082" s="889"/>
    </row>
    <row r="17083" spans="7:7" ht="10.5" customHeight="1" x14ac:dyDescent="0.2">
      <c r="G17083" s="889"/>
    </row>
    <row r="17084" spans="7:7" ht="10.5" customHeight="1" x14ac:dyDescent="0.2">
      <c r="G17084" s="889"/>
    </row>
    <row r="17085" spans="7:7" ht="10.5" customHeight="1" x14ac:dyDescent="0.2">
      <c r="G17085" s="889"/>
    </row>
    <row r="17086" spans="7:7" ht="10.5" customHeight="1" x14ac:dyDescent="0.2">
      <c r="G17086" s="889"/>
    </row>
    <row r="17087" spans="7:7" ht="10.5" customHeight="1" x14ac:dyDescent="0.2">
      <c r="G17087" s="889"/>
    </row>
    <row r="17088" spans="7:7" ht="10.5" customHeight="1" x14ac:dyDescent="0.2">
      <c r="G17088" s="889"/>
    </row>
    <row r="17089" spans="7:7" ht="10.5" customHeight="1" x14ac:dyDescent="0.2">
      <c r="G17089" s="889"/>
    </row>
    <row r="17090" spans="7:7" ht="10.5" customHeight="1" x14ac:dyDescent="0.2">
      <c r="G17090" s="889"/>
    </row>
    <row r="17091" spans="7:7" ht="10.5" customHeight="1" x14ac:dyDescent="0.2">
      <c r="G17091" s="889"/>
    </row>
    <row r="17092" spans="7:7" ht="10.5" customHeight="1" x14ac:dyDescent="0.2">
      <c r="G17092" s="889"/>
    </row>
    <row r="17093" spans="7:7" ht="10.5" customHeight="1" x14ac:dyDescent="0.2">
      <c r="G17093" s="889"/>
    </row>
    <row r="17094" spans="7:7" ht="10.5" customHeight="1" x14ac:dyDescent="0.2">
      <c r="G17094" s="889"/>
    </row>
    <row r="17095" spans="7:7" ht="10.5" customHeight="1" x14ac:dyDescent="0.2">
      <c r="G17095" s="889"/>
    </row>
    <row r="17096" spans="7:7" ht="10.5" customHeight="1" x14ac:dyDescent="0.2">
      <c r="G17096" s="889"/>
    </row>
    <row r="17097" spans="7:7" ht="10.5" customHeight="1" x14ac:dyDescent="0.2">
      <c r="G17097" s="889"/>
    </row>
    <row r="17098" spans="7:7" ht="10.5" customHeight="1" x14ac:dyDescent="0.2">
      <c r="G17098" s="889"/>
    </row>
    <row r="17099" spans="7:7" ht="10.5" customHeight="1" x14ac:dyDescent="0.2">
      <c r="G17099" s="889"/>
    </row>
    <row r="17100" spans="7:7" ht="10.5" customHeight="1" x14ac:dyDescent="0.2">
      <c r="G17100" s="889"/>
    </row>
    <row r="17101" spans="7:7" ht="10.5" customHeight="1" x14ac:dyDescent="0.2">
      <c r="G17101" s="889"/>
    </row>
    <row r="17102" spans="7:7" ht="10.5" customHeight="1" x14ac:dyDescent="0.2">
      <c r="G17102" s="889"/>
    </row>
    <row r="17103" spans="7:7" ht="10.5" customHeight="1" x14ac:dyDescent="0.2">
      <c r="G17103" s="889"/>
    </row>
    <row r="17104" spans="7:7" ht="10.5" customHeight="1" x14ac:dyDescent="0.2">
      <c r="G17104" s="889"/>
    </row>
    <row r="17105" spans="7:7" ht="10.5" customHeight="1" x14ac:dyDescent="0.2">
      <c r="G17105" s="889"/>
    </row>
    <row r="17106" spans="7:7" ht="10.5" customHeight="1" x14ac:dyDescent="0.2">
      <c r="G17106" s="889"/>
    </row>
    <row r="17107" spans="7:7" ht="10.5" customHeight="1" x14ac:dyDescent="0.2">
      <c r="G17107" s="889"/>
    </row>
    <row r="17108" spans="7:7" ht="10.5" customHeight="1" x14ac:dyDescent="0.2">
      <c r="G17108" s="889"/>
    </row>
    <row r="17109" spans="7:7" ht="10.5" customHeight="1" x14ac:dyDescent="0.2">
      <c r="G17109" s="889"/>
    </row>
    <row r="17110" spans="7:7" ht="10.5" customHeight="1" x14ac:dyDescent="0.2">
      <c r="G17110" s="889"/>
    </row>
    <row r="17111" spans="7:7" ht="10.5" customHeight="1" x14ac:dyDescent="0.2">
      <c r="G17111" s="889"/>
    </row>
    <row r="17112" spans="7:7" ht="10.5" customHeight="1" x14ac:dyDescent="0.2">
      <c r="G17112" s="889"/>
    </row>
    <row r="17113" spans="7:7" ht="10.5" customHeight="1" x14ac:dyDescent="0.2">
      <c r="G17113" s="889"/>
    </row>
    <row r="17114" spans="7:7" ht="10.5" customHeight="1" x14ac:dyDescent="0.2">
      <c r="G17114" s="889"/>
    </row>
    <row r="17115" spans="7:7" ht="10.5" customHeight="1" x14ac:dyDescent="0.2">
      <c r="G17115" s="889"/>
    </row>
    <row r="17116" spans="7:7" ht="10.5" customHeight="1" x14ac:dyDescent="0.2">
      <c r="G17116" s="889"/>
    </row>
    <row r="17117" spans="7:7" ht="10.5" customHeight="1" x14ac:dyDescent="0.2">
      <c r="G17117" s="889"/>
    </row>
    <row r="17118" spans="7:7" ht="10.5" customHeight="1" x14ac:dyDescent="0.2">
      <c r="G17118" s="889"/>
    </row>
    <row r="17119" spans="7:7" ht="10.5" customHeight="1" x14ac:dyDescent="0.2">
      <c r="G17119" s="889"/>
    </row>
    <row r="17120" spans="7:7" ht="10.5" customHeight="1" x14ac:dyDescent="0.2">
      <c r="G17120" s="889"/>
    </row>
    <row r="17121" spans="7:7" ht="10.5" customHeight="1" x14ac:dyDescent="0.2">
      <c r="G17121" s="889"/>
    </row>
    <row r="17122" spans="7:7" ht="10.5" customHeight="1" x14ac:dyDescent="0.2">
      <c r="G17122" s="889"/>
    </row>
    <row r="17123" spans="7:7" ht="10.5" customHeight="1" x14ac:dyDescent="0.2">
      <c r="G17123" s="889"/>
    </row>
    <row r="17124" spans="7:7" ht="10.5" customHeight="1" x14ac:dyDescent="0.2">
      <c r="G17124" s="889"/>
    </row>
    <row r="17125" spans="7:7" ht="10.5" customHeight="1" x14ac:dyDescent="0.2">
      <c r="G17125" s="889"/>
    </row>
    <row r="17126" spans="7:7" ht="10.5" customHeight="1" x14ac:dyDescent="0.2">
      <c r="G17126" s="889"/>
    </row>
    <row r="17127" spans="7:7" ht="10.5" customHeight="1" x14ac:dyDescent="0.2">
      <c r="G17127" s="889"/>
    </row>
    <row r="17128" spans="7:7" ht="10.5" customHeight="1" x14ac:dyDescent="0.2">
      <c r="G17128" s="889"/>
    </row>
    <row r="17129" spans="7:7" ht="10.5" customHeight="1" x14ac:dyDescent="0.2">
      <c r="G17129" s="889"/>
    </row>
    <row r="17130" spans="7:7" ht="10.5" customHeight="1" x14ac:dyDescent="0.2">
      <c r="G17130" s="889"/>
    </row>
    <row r="17131" spans="7:7" ht="10.5" customHeight="1" x14ac:dyDescent="0.2">
      <c r="G17131" s="889"/>
    </row>
    <row r="17132" spans="7:7" ht="10.5" customHeight="1" x14ac:dyDescent="0.2">
      <c r="G17132" s="889"/>
    </row>
    <row r="17133" spans="7:7" ht="10.5" customHeight="1" x14ac:dyDescent="0.2">
      <c r="G17133" s="889"/>
    </row>
    <row r="17134" spans="7:7" ht="10.5" customHeight="1" x14ac:dyDescent="0.2">
      <c r="G17134" s="889"/>
    </row>
    <row r="17135" spans="7:7" ht="10.5" customHeight="1" x14ac:dyDescent="0.2">
      <c r="G17135" s="889"/>
    </row>
    <row r="17136" spans="7:7" ht="10.5" customHeight="1" x14ac:dyDescent="0.2">
      <c r="G17136" s="889"/>
    </row>
    <row r="17137" spans="7:7" ht="10.5" customHeight="1" x14ac:dyDescent="0.2">
      <c r="G17137" s="889"/>
    </row>
    <row r="17138" spans="7:7" ht="10.5" customHeight="1" x14ac:dyDescent="0.2">
      <c r="G17138" s="889"/>
    </row>
    <row r="17139" spans="7:7" ht="10.5" customHeight="1" x14ac:dyDescent="0.2">
      <c r="G17139" s="889"/>
    </row>
    <row r="17140" spans="7:7" ht="10.5" customHeight="1" x14ac:dyDescent="0.2">
      <c r="G17140" s="889"/>
    </row>
    <row r="17141" spans="7:7" ht="10.5" customHeight="1" x14ac:dyDescent="0.2">
      <c r="G17141" s="889"/>
    </row>
    <row r="17142" spans="7:7" ht="10.5" customHeight="1" x14ac:dyDescent="0.2">
      <c r="G17142" s="889"/>
    </row>
    <row r="17143" spans="7:7" ht="10.5" customHeight="1" x14ac:dyDescent="0.2">
      <c r="G17143" s="889"/>
    </row>
    <row r="17144" spans="7:7" ht="10.5" customHeight="1" x14ac:dyDescent="0.2">
      <c r="G17144" s="889"/>
    </row>
    <row r="17145" spans="7:7" ht="10.5" customHeight="1" x14ac:dyDescent="0.2">
      <c r="G17145" s="889"/>
    </row>
    <row r="17146" spans="7:7" ht="10.5" customHeight="1" x14ac:dyDescent="0.2">
      <c r="G17146" s="889"/>
    </row>
    <row r="17147" spans="7:7" ht="10.5" customHeight="1" x14ac:dyDescent="0.2">
      <c r="G17147" s="889"/>
    </row>
    <row r="17148" spans="7:7" ht="10.5" customHeight="1" x14ac:dyDescent="0.2">
      <c r="G17148" s="889"/>
    </row>
    <row r="17149" spans="7:7" ht="10.5" customHeight="1" x14ac:dyDescent="0.2">
      <c r="G17149" s="889"/>
    </row>
    <row r="17150" spans="7:7" ht="10.5" customHeight="1" x14ac:dyDescent="0.2">
      <c r="G17150" s="889"/>
    </row>
    <row r="17151" spans="7:7" ht="10.5" customHeight="1" x14ac:dyDescent="0.2">
      <c r="G17151" s="889"/>
    </row>
    <row r="17152" spans="7:7" ht="10.5" customHeight="1" x14ac:dyDescent="0.2">
      <c r="G17152" s="889"/>
    </row>
    <row r="17153" spans="7:7" ht="10.5" customHeight="1" x14ac:dyDescent="0.2">
      <c r="G17153" s="889"/>
    </row>
    <row r="17154" spans="7:7" ht="10.5" customHeight="1" x14ac:dyDescent="0.2">
      <c r="G17154" s="889"/>
    </row>
    <row r="17155" spans="7:7" ht="10.5" customHeight="1" x14ac:dyDescent="0.2">
      <c r="G17155" s="889"/>
    </row>
    <row r="17156" spans="7:7" ht="10.5" customHeight="1" x14ac:dyDescent="0.2">
      <c r="G17156" s="889"/>
    </row>
    <row r="17157" spans="7:7" ht="10.5" customHeight="1" x14ac:dyDescent="0.2">
      <c r="G17157" s="889"/>
    </row>
    <row r="17158" spans="7:7" ht="10.5" customHeight="1" x14ac:dyDescent="0.2">
      <c r="G17158" s="889"/>
    </row>
    <row r="17159" spans="7:7" ht="10.5" customHeight="1" x14ac:dyDescent="0.2">
      <c r="G17159" s="889"/>
    </row>
    <row r="17160" spans="7:7" ht="10.5" customHeight="1" x14ac:dyDescent="0.2">
      <c r="G17160" s="889"/>
    </row>
    <row r="17161" spans="7:7" ht="10.5" customHeight="1" x14ac:dyDescent="0.2">
      <c r="G17161" s="889"/>
    </row>
    <row r="17162" spans="7:7" ht="10.5" customHeight="1" x14ac:dyDescent="0.2">
      <c r="G17162" s="889"/>
    </row>
    <row r="17163" spans="7:7" ht="10.5" customHeight="1" x14ac:dyDescent="0.2">
      <c r="G17163" s="889"/>
    </row>
    <row r="17164" spans="7:7" ht="10.5" customHeight="1" x14ac:dyDescent="0.2">
      <c r="G17164" s="889"/>
    </row>
    <row r="17165" spans="7:7" ht="10.5" customHeight="1" x14ac:dyDescent="0.2">
      <c r="G17165" s="889"/>
    </row>
    <row r="17166" spans="7:7" ht="10.5" customHeight="1" x14ac:dyDescent="0.2">
      <c r="G17166" s="889"/>
    </row>
    <row r="17167" spans="7:7" ht="10.5" customHeight="1" x14ac:dyDescent="0.2">
      <c r="G17167" s="889"/>
    </row>
    <row r="17168" spans="7:7" ht="10.5" customHeight="1" x14ac:dyDescent="0.2">
      <c r="G17168" s="889"/>
    </row>
    <row r="17169" spans="7:7" ht="10.5" customHeight="1" x14ac:dyDescent="0.2">
      <c r="G17169" s="889"/>
    </row>
    <row r="17170" spans="7:7" ht="10.5" customHeight="1" x14ac:dyDescent="0.2">
      <c r="G17170" s="889"/>
    </row>
    <row r="17171" spans="7:7" ht="10.5" customHeight="1" x14ac:dyDescent="0.2">
      <c r="G17171" s="889"/>
    </row>
    <row r="17172" spans="7:7" ht="10.5" customHeight="1" x14ac:dyDescent="0.2">
      <c r="G17172" s="889"/>
    </row>
    <row r="17173" spans="7:7" ht="10.5" customHeight="1" x14ac:dyDescent="0.2">
      <c r="G17173" s="889"/>
    </row>
    <row r="17174" spans="7:7" ht="10.5" customHeight="1" x14ac:dyDescent="0.2">
      <c r="G17174" s="889"/>
    </row>
    <row r="17175" spans="7:7" ht="10.5" customHeight="1" x14ac:dyDescent="0.2">
      <c r="G17175" s="889"/>
    </row>
    <row r="17176" spans="7:7" ht="10.5" customHeight="1" x14ac:dyDescent="0.2">
      <c r="G17176" s="889"/>
    </row>
    <row r="17177" spans="7:7" ht="10.5" customHeight="1" x14ac:dyDescent="0.2">
      <c r="G17177" s="889"/>
    </row>
    <row r="17178" spans="7:7" ht="10.5" customHeight="1" x14ac:dyDescent="0.2">
      <c r="G17178" s="889"/>
    </row>
    <row r="17179" spans="7:7" ht="10.5" customHeight="1" x14ac:dyDescent="0.2">
      <c r="G17179" s="889"/>
    </row>
    <row r="17180" spans="7:7" ht="10.5" customHeight="1" x14ac:dyDescent="0.2">
      <c r="G17180" s="889"/>
    </row>
    <row r="17181" spans="7:7" ht="10.5" customHeight="1" x14ac:dyDescent="0.2">
      <c r="G17181" s="889"/>
    </row>
    <row r="17182" spans="7:7" ht="10.5" customHeight="1" x14ac:dyDescent="0.2">
      <c r="G17182" s="889"/>
    </row>
    <row r="17183" spans="7:7" ht="10.5" customHeight="1" x14ac:dyDescent="0.2">
      <c r="G17183" s="889"/>
    </row>
    <row r="17184" spans="7:7" ht="10.5" customHeight="1" x14ac:dyDescent="0.2">
      <c r="G17184" s="889"/>
    </row>
    <row r="17185" spans="7:7" ht="10.5" customHeight="1" x14ac:dyDescent="0.2">
      <c r="G17185" s="889"/>
    </row>
    <row r="17186" spans="7:7" ht="10.5" customHeight="1" x14ac:dyDescent="0.2">
      <c r="G17186" s="889"/>
    </row>
    <row r="17187" spans="7:7" ht="10.5" customHeight="1" x14ac:dyDescent="0.2">
      <c r="G17187" s="889"/>
    </row>
    <row r="17188" spans="7:7" ht="10.5" customHeight="1" x14ac:dyDescent="0.2">
      <c r="G17188" s="889"/>
    </row>
    <row r="17189" spans="7:7" ht="10.5" customHeight="1" x14ac:dyDescent="0.2">
      <c r="G17189" s="889"/>
    </row>
    <row r="17190" spans="7:7" ht="10.5" customHeight="1" x14ac:dyDescent="0.2">
      <c r="G17190" s="889"/>
    </row>
    <row r="17191" spans="7:7" ht="10.5" customHeight="1" x14ac:dyDescent="0.2">
      <c r="G17191" s="889"/>
    </row>
    <row r="17192" spans="7:7" ht="10.5" customHeight="1" x14ac:dyDescent="0.2">
      <c r="G17192" s="889"/>
    </row>
    <row r="17193" spans="7:7" ht="10.5" customHeight="1" x14ac:dyDescent="0.2">
      <c r="G17193" s="889"/>
    </row>
    <row r="17194" spans="7:7" ht="10.5" customHeight="1" x14ac:dyDescent="0.2">
      <c r="G17194" s="889"/>
    </row>
    <row r="17195" spans="7:7" ht="10.5" customHeight="1" x14ac:dyDescent="0.2">
      <c r="G17195" s="889"/>
    </row>
    <row r="17196" spans="7:7" ht="10.5" customHeight="1" x14ac:dyDescent="0.2">
      <c r="G17196" s="889"/>
    </row>
    <row r="17197" spans="7:7" ht="10.5" customHeight="1" x14ac:dyDescent="0.2">
      <c r="G17197" s="889"/>
    </row>
    <row r="17198" spans="7:7" ht="10.5" customHeight="1" x14ac:dyDescent="0.2">
      <c r="G17198" s="889"/>
    </row>
    <row r="17199" spans="7:7" ht="10.5" customHeight="1" x14ac:dyDescent="0.2">
      <c r="G17199" s="889"/>
    </row>
    <row r="17200" spans="7:7" ht="10.5" customHeight="1" x14ac:dyDescent="0.2">
      <c r="G17200" s="889"/>
    </row>
    <row r="17201" spans="7:7" ht="10.5" customHeight="1" x14ac:dyDescent="0.2">
      <c r="G17201" s="889"/>
    </row>
    <row r="17202" spans="7:7" ht="10.5" customHeight="1" x14ac:dyDescent="0.2">
      <c r="G17202" s="889"/>
    </row>
    <row r="17203" spans="7:7" ht="10.5" customHeight="1" x14ac:dyDescent="0.2">
      <c r="G17203" s="889"/>
    </row>
    <row r="17204" spans="7:7" ht="10.5" customHeight="1" x14ac:dyDescent="0.2">
      <c r="G17204" s="889"/>
    </row>
    <row r="17205" spans="7:7" ht="10.5" customHeight="1" x14ac:dyDescent="0.2">
      <c r="G17205" s="889"/>
    </row>
    <row r="17206" spans="7:7" ht="10.5" customHeight="1" x14ac:dyDescent="0.2">
      <c r="G17206" s="889"/>
    </row>
    <row r="17207" spans="7:7" ht="10.5" customHeight="1" x14ac:dyDescent="0.2">
      <c r="G17207" s="889"/>
    </row>
    <row r="17208" spans="7:7" ht="10.5" customHeight="1" x14ac:dyDescent="0.2">
      <c r="G17208" s="889"/>
    </row>
    <row r="17209" spans="7:7" ht="10.5" customHeight="1" x14ac:dyDescent="0.2">
      <c r="G17209" s="889"/>
    </row>
    <row r="17210" spans="7:7" ht="10.5" customHeight="1" x14ac:dyDescent="0.2">
      <c r="G17210" s="889"/>
    </row>
    <row r="17211" spans="7:7" ht="10.5" customHeight="1" x14ac:dyDescent="0.2">
      <c r="G17211" s="889"/>
    </row>
    <row r="17212" spans="7:7" ht="10.5" customHeight="1" x14ac:dyDescent="0.2">
      <c r="G17212" s="889"/>
    </row>
    <row r="17213" spans="7:7" ht="10.5" customHeight="1" x14ac:dyDescent="0.2">
      <c r="G17213" s="889"/>
    </row>
    <row r="17214" spans="7:7" ht="10.5" customHeight="1" x14ac:dyDescent="0.2">
      <c r="G17214" s="889"/>
    </row>
    <row r="17215" spans="7:7" ht="10.5" customHeight="1" x14ac:dyDescent="0.2">
      <c r="G17215" s="889"/>
    </row>
    <row r="17216" spans="7:7" ht="10.5" customHeight="1" x14ac:dyDescent="0.2">
      <c r="G17216" s="889"/>
    </row>
    <row r="17217" spans="7:7" ht="10.5" customHeight="1" x14ac:dyDescent="0.2">
      <c r="G17217" s="889"/>
    </row>
    <row r="17218" spans="7:7" ht="10.5" customHeight="1" x14ac:dyDescent="0.2">
      <c r="G17218" s="889"/>
    </row>
    <row r="17219" spans="7:7" ht="10.5" customHeight="1" x14ac:dyDescent="0.2">
      <c r="G17219" s="889"/>
    </row>
    <row r="17220" spans="7:7" ht="10.5" customHeight="1" x14ac:dyDescent="0.2">
      <c r="G17220" s="889"/>
    </row>
    <row r="17221" spans="7:7" ht="10.5" customHeight="1" x14ac:dyDescent="0.2">
      <c r="G17221" s="889"/>
    </row>
    <row r="17222" spans="7:7" ht="10.5" customHeight="1" x14ac:dyDescent="0.2">
      <c r="G17222" s="889"/>
    </row>
    <row r="17223" spans="7:7" ht="10.5" customHeight="1" x14ac:dyDescent="0.2">
      <c r="G17223" s="889"/>
    </row>
    <row r="17224" spans="7:7" ht="10.5" customHeight="1" x14ac:dyDescent="0.2">
      <c r="G17224" s="889"/>
    </row>
    <row r="17225" spans="7:7" ht="10.5" customHeight="1" x14ac:dyDescent="0.2">
      <c r="G17225" s="889"/>
    </row>
    <row r="17226" spans="7:7" ht="10.5" customHeight="1" x14ac:dyDescent="0.2">
      <c r="G17226" s="889"/>
    </row>
    <row r="17227" spans="7:7" ht="10.5" customHeight="1" x14ac:dyDescent="0.2">
      <c r="G17227" s="889"/>
    </row>
    <row r="17228" spans="7:7" ht="10.5" customHeight="1" x14ac:dyDescent="0.2">
      <c r="G17228" s="889"/>
    </row>
    <row r="17229" spans="7:7" ht="10.5" customHeight="1" x14ac:dyDescent="0.2">
      <c r="G17229" s="889"/>
    </row>
    <row r="17230" spans="7:7" ht="10.5" customHeight="1" x14ac:dyDescent="0.2">
      <c r="G17230" s="889"/>
    </row>
    <row r="17231" spans="7:7" ht="10.5" customHeight="1" x14ac:dyDescent="0.2">
      <c r="G17231" s="889"/>
    </row>
    <row r="17232" spans="7:7" ht="10.5" customHeight="1" x14ac:dyDescent="0.2">
      <c r="G17232" s="889"/>
    </row>
    <row r="17233" spans="7:7" ht="10.5" customHeight="1" x14ac:dyDescent="0.2">
      <c r="G17233" s="889"/>
    </row>
    <row r="17234" spans="7:7" ht="10.5" customHeight="1" x14ac:dyDescent="0.2">
      <c r="G17234" s="889"/>
    </row>
    <row r="17235" spans="7:7" ht="10.5" customHeight="1" x14ac:dyDescent="0.2">
      <c r="G17235" s="889"/>
    </row>
    <row r="17236" spans="7:7" ht="10.5" customHeight="1" x14ac:dyDescent="0.2">
      <c r="G17236" s="889"/>
    </row>
    <row r="17237" spans="7:7" ht="10.5" customHeight="1" x14ac:dyDescent="0.2">
      <c r="G17237" s="889"/>
    </row>
    <row r="17238" spans="7:7" ht="10.5" customHeight="1" x14ac:dyDescent="0.2">
      <c r="G17238" s="889"/>
    </row>
    <row r="17239" spans="7:7" ht="10.5" customHeight="1" x14ac:dyDescent="0.2">
      <c r="G17239" s="889"/>
    </row>
    <row r="17240" spans="7:7" ht="10.5" customHeight="1" x14ac:dyDescent="0.2">
      <c r="G17240" s="889"/>
    </row>
    <row r="17241" spans="7:7" ht="10.5" customHeight="1" x14ac:dyDescent="0.2">
      <c r="G17241" s="889"/>
    </row>
    <row r="17242" spans="7:7" ht="10.5" customHeight="1" x14ac:dyDescent="0.2">
      <c r="G17242" s="889"/>
    </row>
    <row r="17243" spans="7:7" ht="10.5" customHeight="1" x14ac:dyDescent="0.2">
      <c r="G17243" s="889"/>
    </row>
    <row r="17244" spans="7:7" ht="10.5" customHeight="1" x14ac:dyDescent="0.2">
      <c r="G17244" s="889"/>
    </row>
    <row r="17245" spans="7:7" ht="10.5" customHeight="1" x14ac:dyDescent="0.2">
      <c r="G17245" s="889"/>
    </row>
    <row r="17246" spans="7:7" ht="10.5" customHeight="1" x14ac:dyDescent="0.2">
      <c r="G17246" s="889"/>
    </row>
    <row r="17247" spans="7:7" ht="10.5" customHeight="1" x14ac:dyDescent="0.2">
      <c r="G17247" s="889"/>
    </row>
    <row r="17248" spans="7:7" ht="10.5" customHeight="1" x14ac:dyDescent="0.2">
      <c r="G17248" s="889"/>
    </row>
    <row r="17249" spans="7:7" ht="10.5" customHeight="1" x14ac:dyDescent="0.2">
      <c r="G17249" s="889"/>
    </row>
    <row r="17250" spans="7:7" ht="10.5" customHeight="1" x14ac:dyDescent="0.2">
      <c r="G17250" s="889"/>
    </row>
    <row r="17251" spans="7:7" ht="10.5" customHeight="1" x14ac:dyDescent="0.2">
      <c r="G17251" s="889"/>
    </row>
    <row r="17252" spans="7:7" ht="10.5" customHeight="1" x14ac:dyDescent="0.2">
      <c r="G17252" s="889"/>
    </row>
    <row r="17253" spans="7:7" ht="10.5" customHeight="1" x14ac:dyDescent="0.2">
      <c r="G17253" s="889"/>
    </row>
    <row r="17254" spans="7:7" ht="10.5" customHeight="1" x14ac:dyDescent="0.2">
      <c r="G17254" s="889"/>
    </row>
    <row r="17255" spans="7:7" ht="10.5" customHeight="1" x14ac:dyDescent="0.2">
      <c r="G17255" s="889"/>
    </row>
    <row r="17256" spans="7:7" ht="10.5" customHeight="1" x14ac:dyDescent="0.2">
      <c r="G17256" s="889"/>
    </row>
    <row r="17257" spans="7:7" ht="10.5" customHeight="1" x14ac:dyDescent="0.2">
      <c r="G17257" s="889"/>
    </row>
    <row r="17258" spans="7:7" ht="10.5" customHeight="1" x14ac:dyDescent="0.2">
      <c r="G17258" s="889"/>
    </row>
    <row r="17259" spans="7:7" ht="10.5" customHeight="1" x14ac:dyDescent="0.2">
      <c r="G17259" s="889"/>
    </row>
    <row r="17260" spans="7:7" ht="10.5" customHeight="1" x14ac:dyDescent="0.2">
      <c r="G17260" s="889"/>
    </row>
    <row r="17261" spans="7:7" ht="10.5" customHeight="1" x14ac:dyDescent="0.2">
      <c r="G17261" s="889"/>
    </row>
    <row r="17262" spans="7:7" ht="10.5" customHeight="1" x14ac:dyDescent="0.2">
      <c r="G17262" s="889"/>
    </row>
    <row r="17263" spans="7:7" ht="10.5" customHeight="1" x14ac:dyDescent="0.2">
      <c r="G17263" s="889"/>
    </row>
    <row r="17264" spans="7:7" ht="10.5" customHeight="1" x14ac:dyDescent="0.2">
      <c r="G17264" s="889"/>
    </row>
    <row r="17265" spans="7:7" ht="10.5" customHeight="1" x14ac:dyDescent="0.2">
      <c r="G17265" s="889"/>
    </row>
    <row r="17266" spans="7:7" ht="10.5" customHeight="1" x14ac:dyDescent="0.2">
      <c r="G17266" s="889"/>
    </row>
    <row r="17267" spans="7:7" ht="10.5" customHeight="1" x14ac:dyDescent="0.2">
      <c r="G17267" s="889"/>
    </row>
    <row r="17268" spans="7:7" ht="10.5" customHeight="1" x14ac:dyDescent="0.2">
      <c r="G17268" s="889"/>
    </row>
    <row r="17269" spans="7:7" ht="10.5" customHeight="1" x14ac:dyDescent="0.2">
      <c r="G17269" s="889"/>
    </row>
    <row r="17270" spans="7:7" ht="10.5" customHeight="1" x14ac:dyDescent="0.2">
      <c r="G17270" s="889"/>
    </row>
    <row r="17271" spans="7:7" ht="10.5" customHeight="1" x14ac:dyDescent="0.2">
      <c r="G17271" s="889"/>
    </row>
    <row r="17272" spans="7:7" ht="10.5" customHeight="1" x14ac:dyDescent="0.2">
      <c r="G17272" s="889"/>
    </row>
    <row r="17273" spans="7:7" ht="10.5" customHeight="1" x14ac:dyDescent="0.2">
      <c r="G17273" s="889"/>
    </row>
    <row r="17274" spans="7:7" ht="10.5" customHeight="1" x14ac:dyDescent="0.2">
      <c r="G17274" s="889"/>
    </row>
    <row r="17275" spans="7:7" ht="10.5" customHeight="1" x14ac:dyDescent="0.2">
      <c r="G17275" s="889"/>
    </row>
    <row r="17276" spans="7:7" ht="10.5" customHeight="1" x14ac:dyDescent="0.2">
      <c r="G17276" s="889"/>
    </row>
    <row r="17277" spans="7:7" ht="10.5" customHeight="1" x14ac:dyDescent="0.2">
      <c r="G17277" s="889"/>
    </row>
    <row r="17278" spans="7:7" ht="10.5" customHeight="1" x14ac:dyDescent="0.2">
      <c r="G17278" s="889"/>
    </row>
    <row r="17279" spans="7:7" ht="10.5" customHeight="1" x14ac:dyDescent="0.2">
      <c r="G17279" s="889"/>
    </row>
    <row r="17280" spans="7:7" ht="10.5" customHeight="1" x14ac:dyDescent="0.2">
      <c r="G17280" s="889"/>
    </row>
    <row r="17281" spans="7:7" ht="10.5" customHeight="1" x14ac:dyDescent="0.2">
      <c r="G17281" s="889"/>
    </row>
    <row r="17282" spans="7:7" ht="10.5" customHeight="1" x14ac:dyDescent="0.2">
      <c r="G17282" s="889"/>
    </row>
    <row r="17283" spans="7:7" ht="10.5" customHeight="1" x14ac:dyDescent="0.2">
      <c r="G17283" s="889"/>
    </row>
    <row r="17284" spans="7:7" ht="10.5" customHeight="1" x14ac:dyDescent="0.2">
      <c r="G17284" s="889"/>
    </row>
    <row r="17285" spans="7:7" ht="10.5" customHeight="1" x14ac:dyDescent="0.2">
      <c r="G17285" s="889"/>
    </row>
    <row r="17286" spans="7:7" ht="10.5" customHeight="1" x14ac:dyDescent="0.2">
      <c r="G17286" s="889"/>
    </row>
    <row r="17287" spans="7:7" ht="10.5" customHeight="1" x14ac:dyDescent="0.2">
      <c r="G17287" s="889"/>
    </row>
    <row r="17288" spans="7:7" ht="10.5" customHeight="1" x14ac:dyDescent="0.2">
      <c r="G17288" s="889"/>
    </row>
    <row r="17289" spans="7:7" ht="10.5" customHeight="1" x14ac:dyDescent="0.2">
      <c r="G17289" s="889"/>
    </row>
    <row r="17290" spans="7:7" ht="10.5" customHeight="1" x14ac:dyDescent="0.2">
      <c r="G17290" s="889"/>
    </row>
    <row r="17291" spans="7:7" ht="10.5" customHeight="1" x14ac:dyDescent="0.2">
      <c r="G17291" s="889"/>
    </row>
    <row r="17292" spans="7:7" ht="10.5" customHeight="1" x14ac:dyDescent="0.2">
      <c r="G17292" s="889"/>
    </row>
    <row r="17293" spans="7:7" ht="10.5" customHeight="1" x14ac:dyDescent="0.2">
      <c r="G17293" s="889"/>
    </row>
    <row r="17294" spans="7:7" ht="10.5" customHeight="1" x14ac:dyDescent="0.2">
      <c r="G17294" s="889"/>
    </row>
    <row r="17295" spans="7:7" ht="10.5" customHeight="1" x14ac:dyDescent="0.2">
      <c r="G17295" s="889"/>
    </row>
    <row r="17296" spans="7:7" ht="10.5" customHeight="1" x14ac:dyDescent="0.2">
      <c r="G17296" s="889"/>
    </row>
    <row r="17297" spans="7:7" ht="10.5" customHeight="1" x14ac:dyDescent="0.2">
      <c r="G17297" s="889"/>
    </row>
    <row r="17298" spans="7:7" ht="10.5" customHeight="1" x14ac:dyDescent="0.2">
      <c r="G17298" s="889"/>
    </row>
    <row r="17299" spans="7:7" ht="10.5" customHeight="1" x14ac:dyDescent="0.2">
      <c r="G17299" s="889"/>
    </row>
    <row r="17300" spans="7:7" ht="10.5" customHeight="1" x14ac:dyDescent="0.2">
      <c r="G17300" s="889"/>
    </row>
    <row r="17301" spans="7:7" ht="10.5" customHeight="1" x14ac:dyDescent="0.2">
      <c r="G17301" s="889"/>
    </row>
    <row r="17302" spans="7:7" ht="10.5" customHeight="1" x14ac:dyDescent="0.2">
      <c r="G17302" s="889"/>
    </row>
    <row r="17303" spans="7:7" ht="10.5" customHeight="1" x14ac:dyDescent="0.2">
      <c r="G17303" s="889"/>
    </row>
    <row r="17304" spans="7:7" ht="10.5" customHeight="1" x14ac:dyDescent="0.2">
      <c r="G17304" s="889"/>
    </row>
    <row r="17305" spans="7:7" ht="10.5" customHeight="1" x14ac:dyDescent="0.2">
      <c r="G17305" s="889"/>
    </row>
    <row r="17306" spans="7:7" ht="10.5" customHeight="1" x14ac:dyDescent="0.2">
      <c r="G17306" s="889"/>
    </row>
    <row r="17307" spans="7:7" ht="10.5" customHeight="1" x14ac:dyDescent="0.2">
      <c r="G17307" s="889"/>
    </row>
    <row r="17308" spans="7:7" ht="10.5" customHeight="1" x14ac:dyDescent="0.2">
      <c r="G17308" s="889"/>
    </row>
    <row r="17309" spans="7:7" ht="10.5" customHeight="1" x14ac:dyDescent="0.2">
      <c r="G17309" s="889"/>
    </row>
    <row r="17310" spans="7:7" ht="10.5" customHeight="1" x14ac:dyDescent="0.2">
      <c r="G17310" s="889"/>
    </row>
    <row r="17311" spans="7:7" ht="10.5" customHeight="1" x14ac:dyDescent="0.2">
      <c r="G17311" s="889"/>
    </row>
    <row r="17312" spans="7:7" ht="10.5" customHeight="1" x14ac:dyDescent="0.2">
      <c r="G17312" s="889"/>
    </row>
    <row r="17313" spans="7:7" ht="10.5" customHeight="1" x14ac:dyDescent="0.2">
      <c r="G17313" s="889"/>
    </row>
    <row r="17314" spans="7:7" ht="10.5" customHeight="1" x14ac:dyDescent="0.2">
      <c r="G17314" s="889"/>
    </row>
    <row r="17315" spans="7:7" ht="10.5" customHeight="1" x14ac:dyDescent="0.2">
      <c r="G17315" s="889"/>
    </row>
    <row r="17316" spans="7:7" ht="10.5" customHeight="1" x14ac:dyDescent="0.2">
      <c r="G17316" s="889"/>
    </row>
    <row r="17317" spans="7:7" ht="10.5" customHeight="1" x14ac:dyDescent="0.2">
      <c r="G17317" s="889"/>
    </row>
    <row r="17318" spans="7:7" ht="10.5" customHeight="1" x14ac:dyDescent="0.2">
      <c r="G17318" s="889"/>
    </row>
    <row r="17319" spans="7:7" ht="10.5" customHeight="1" x14ac:dyDescent="0.2">
      <c r="G17319" s="889"/>
    </row>
    <row r="17320" spans="7:7" ht="10.5" customHeight="1" x14ac:dyDescent="0.2">
      <c r="G17320" s="889"/>
    </row>
    <row r="17321" spans="7:7" ht="10.5" customHeight="1" x14ac:dyDescent="0.2">
      <c r="G17321" s="889"/>
    </row>
    <row r="17322" spans="7:7" ht="10.5" customHeight="1" x14ac:dyDescent="0.2">
      <c r="G17322" s="889"/>
    </row>
    <row r="17323" spans="7:7" ht="10.5" customHeight="1" x14ac:dyDescent="0.2">
      <c r="G17323" s="889"/>
    </row>
    <row r="17324" spans="7:7" ht="10.5" customHeight="1" x14ac:dyDescent="0.2">
      <c r="G17324" s="889"/>
    </row>
    <row r="17325" spans="7:7" ht="10.5" customHeight="1" x14ac:dyDescent="0.2">
      <c r="G17325" s="889"/>
    </row>
    <row r="17326" spans="7:7" ht="10.5" customHeight="1" x14ac:dyDescent="0.2">
      <c r="G17326" s="889"/>
    </row>
    <row r="17327" spans="7:7" ht="10.5" customHeight="1" x14ac:dyDescent="0.2">
      <c r="G17327" s="889"/>
    </row>
    <row r="17328" spans="7:7" ht="10.5" customHeight="1" x14ac:dyDescent="0.2">
      <c r="G17328" s="889"/>
    </row>
    <row r="17329" spans="7:7" ht="10.5" customHeight="1" x14ac:dyDescent="0.2">
      <c r="G17329" s="889"/>
    </row>
    <row r="17330" spans="7:7" ht="10.5" customHeight="1" x14ac:dyDescent="0.2">
      <c r="G17330" s="889"/>
    </row>
    <row r="17331" spans="7:7" ht="10.5" customHeight="1" x14ac:dyDescent="0.2">
      <c r="G17331" s="889"/>
    </row>
    <row r="17332" spans="7:7" ht="10.5" customHeight="1" x14ac:dyDescent="0.2">
      <c r="G17332" s="889"/>
    </row>
    <row r="17333" spans="7:7" ht="10.5" customHeight="1" x14ac:dyDescent="0.2">
      <c r="G17333" s="889"/>
    </row>
    <row r="17334" spans="7:7" ht="10.5" customHeight="1" x14ac:dyDescent="0.2">
      <c r="G17334" s="889"/>
    </row>
    <row r="17335" spans="7:7" ht="10.5" customHeight="1" x14ac:dyDescent="0.2">
      <c r="G17335" s="889"/>
    </row>
    <row r="17336" spans="7:7" ht="10.5" customHeight="1" x14ac:dyDescent="0.2">
      <c r="G17336" s="889"/>
    </row>
    <row r="17337" spans="7:7" ht="10.5" customHeight="1" x14ac:dyDescent="0.2">
      <c r="G17337" s="889"/>
    </row>
    <row r="17338" spans="7:7" ht="10.5" customHeight="1" x14ac:dyDescent="0.2">
      <c r="G17338" s="889"/>
    </row>
    <row r="17339" spans="7:7" ht="10.5" customHeight="1" x14ac:dyDescent="0.2">
      <c r="G17339" s="889"/>
    </row>
    <row r="17340" spans="7:7" ht="10.5" customHeight="1" x14ac:dyDescent="0.2">
      <c r="G17340" s="889"/>
    </row>
    <row r="17341" spans="7:7" ht="10.5" customHeight="1" x14ac:dyDescent="0.2">
      <c r="G17341" s="889"/>
    </row>
    <row r="17342" spans="7:7" ht="10.5" customHeight="1" x14ac:dyDescent="0.2">
      <c r="G17342" s="889"/>
    </row>
    <row r="17343" spans="7:7" ht="10.5" customHeight="1" x14ac:dyDescent="0.2">
      <c r="G17343" s="889"/>
    </row>
    <row r="17344" spans="7:7" ht="10.5" customHeight="1" x14ac:dyDescent="0.2">
      <c r="G17344" s="889"/>
    </row>
    <row r="17345" spans="7:7" ht="10.5" customHeight="1" x14ac:dyDescent="0.2">
      <c r="G17345" s="889"/>
    </row>
    <row r="17346" spans="7:7" ht="10.5" customHeight="1" x14ac:dyDescent="0.2">
      <c r="G17346" s="889"/>
    </row>
    <row r="17347" spans="7:7" ht="10.5" customHeight="1" x14ac:dyDescent="0.2">
      <c r="G17347" s="889"/>
    </row>
    <row r="17348" spans="7:7" ht="10.5" customHeight="1" x14ac:dyDescent="0.2">
      <c r="G17348" s="889"/>
    </row>
    <row r="17349" spans="7:7" ht="10.5" customHeight="1" x14ac:dyDescent="0.2">
      <c r="G17349" s="889"/>
    </row>
    <row r="17350" spans="7:7" ht="10.5" customHeight="1" x14ac:dyDescent="0.2">
      <c r="G17350" s="889"/>
    </row>
    <row r="17351" spans="7:7" ht="10.5" customHeight="1" x14ac:dyDescent="0.2">
      <c r="G17351" s="889"/>
    </row>
    <row r="17352" spans="7:7" ht="10.5" customHeight="1" x14ac:dyDescent="0.2">
      <c r="G17352" s="889"/>
    </row>
    <row r="17353" spans="7:7" ht="10.5" customHeight="1" x14ac:dyDescent="0.2">
      <c r="G17353" s="889"/>
    </row>
    <row r="17354" spans="7:7" ht="10.5" customHeight="1" x14ac:dyDescent="0.2">
      <c r="G17354" s="889"/>
    </row>
    <row r="17355" spans="7:7" ht="10.5" customHeight="1" x14ac:dyDescent="0.2">
      <c r="G17355" s="889"/>
    </row>
    <row r="17356" spans="7:7" ht="10.5" customHeight="1" x14ac:dyDescent="0.2">
      <c r="G17356" s="889"/>
    </row>
    <row r="17357" spans="7:7" ht="10.5" customHeight="1" x14ac:dyDescent="0.2">
      <c r="G17357" s="889"/>
    </row>
    <row r="17358" spans="7:7" ht="10.5" customHeight="1" x14ac:dyDescent="0.2">
      <c r="G17358" s="889"/>
    </row>
    <row r="17359" spans="7:7" ht="10.5" customHeight="1" x14ac:dyDescent="0.2">
      <c r="G17359" s="889"/>
    </row>
    <row r="17360" spans="7:7" ht="10.5" customHeight="1" x14ac:dyDescent="0.2">
      <c r="G17360" s="889"/>
    </row>
    <row r="17361" spans="7:7" ht="10.5" customHeight="1" x14ac:dyDescent="0.2">
      <c r="G17361" s="889"/>
    </row>
    <row r="17362" spans="7:7" ht="10.5" customHeight="1" x14ac:dyDescent="0.2">
      <c r="G17362" s="889"/>
    </row>
    <row r="17363" spans="7:7" ht="10.5" customHeight="1" x14ac:dyDescent="0.2">
      <c r="G17363" s="889"/>
    </row>
    <row r="17364" spans="7:7" ht="10.5" customHeight="1" x14ac:dyDescent="0.2">
      <c r="G17364" s="889"/>
    </row>
    <row r="17365" spans="7:7" ht="10.5" customHeight="1" x14ac:dyDescent="0.2">
      <c r="G17365" s="889"/>
    </row>
    <row r="17366" spans="7:7" ht="10.5" customHeight="1" x14ac:dyDescent="0.2">
      <c r="G17366" s="889"/>
    </row>
    <row r="17367" spans="7:7" ht="10.5" customHeight="1" x14ac:dyDescent="0.2">
      <c r="G17367" s="889"/>
    </row>
    <row r="17368" spans="7:7" ht="10.5" customHeight="1" x14ac:dyDescent="0.2">
      <c r="G17368" s="889"/>
    </row>
    <row r="17369" spans="7:7" ht="10.5" customHeight="1" x14ac:dyDescent="0.2">
      <c r="G17369" s="889"/>
    </row>
    <row r="17370" spans="7:7" ht="10.5" customHeight="1" x14ac:dyDescent="0.2">
      <c r="G17370" s="889"/>
    </row>
    <row r="17371" spans="7:7" ht="10.5" customHeight="1" x14ac:dyDescent="0.2">
      <c r="G17371" s="889"/>
    </row>
    <row r="17372" spans="7:7" ht="10.5" customHeight="1" x14ac:dyDescent="0.2">
      <c r="G17372" s="889"/>
    </row>
    <row r="17373" spans="7:7" ht="10.5" customHeight="1" x14ac:dyDescent="0.2">
      <c r="G17373" s="889"/>
    </row>
    <row r="17374" spans="7:7" ht="10.5" customHeight="1" x14ac:dyDescent="0.2">
      <c r="G17374" s="889"/>
    </row>
    <row r="17375" spans="7:7" ht="10.5" customHeight="1" x14ac:dyDescent="0.2">
      <c r="G17375" s="889"/>
    </row>
    <row r="17376" spans="7:7" ht="10.5" customHeight="1" x14ac:dyDescent="0.2">
      <c r="G17376" s="889"/>
    </row>
    <row r="17377" spans="7:7" ht="10.5" customHeight="1" x14ac:dyDescent="0.2">
      <c r="G17377" s="889"/>
    </row>
    <row r="17378" spans="7:7" ht="10.5" customHeight="1" x14ac:dyDescent="0.2">
      <c r="G17378" s="889"/>
    </row>
    <row r="17379" spans="7:7" ht="10.5" customHeight="1" x14ac:dyDescent="0.2">
      <c r="G17379" s="889"/>
    </row>
    <row r="17380" spans="7:7" ht="10.5" customHeight="1" x14ac:dyDescent="0.2">
      <c r="G17380" s="889"/>
    </row>
    <row r="17381" spans="7:7" ht="10.5" customHeight="1" x14ac:dyDescent="0.2">
      <c r="G17381" s="889"/>
    </row>
    <row r="17382" spans="7:7" ht="10.5" customHeight="1" x14ac:dyDescent="0.2">
      <c r="G17382" s="889"/>
    </row>
    <row r="17383" spans="7:7" ht="10.5" customHeight="1" x14ac:dyDescent="0.2">
      <c r="G17383" s="889"/>
    </row>
    <row r="17384" spans="7:7" ht="10.5" customHeight="1" x14ac:dyDescent="0.2">
      <c r="G17384" s="889"/>
    </row>
    <row r="17385" spans="7:7" ht="10.5" customHeight="1" x14ac:dyDescent="0.2">
      <c r="G17385" s="889"/>
    </row>
    <row r="17386" spans="7:7" ht="10.5" customHeight="1" x14ac:dyDescent="0.2">
      <c r="G17386" s="889"/>
    </row>
    <row r="17387" spans="7:7" ht="10.5" customHeight="1" x14ac:dyDescent="0.2">
      <c r="G17387" s="889"/>
    </row>
    <row r="17388" spans="7:7" ht="10.5" customHeight="1" x14ac:dyDescent="0.2">
      <c r="G17388" s="889"/>
    </row>
    <row r="17389" spans="7:7" ht="10.5" customHeight="1" x14ac:dyDescent="0.2">
      <c r="G17389" s="889"/>
    </row>
    <row r="17390" spans="7:7" ht="10.5" customHeight="1" x14ac:dyDescent="0.2">
      <c r="G17390" s="889"/>
    </row>
    <row r="17391" spans="7:7" ht="10.5" customHeight="1" x14ac:dyDescent="0.2">
      <c r="G17391" s="889"/>
    </row>
    <row r="17392" spans="7:7" ht="10.5" customHeight="1" x14ac:dyDescent="0.2">
      <c r="G17392" s="889"/>
    </row>
    <row r="17393" spans="7:7" ht="10.5" customHeight="1" x14ac:dyDescent="0.2">
      <c r="G17393" s="889"/>
    </row>
    <row r="17394" spans="7:7" ht="10.5" customHeight="1" x14ac:dyDescent="0.2">
      <c r="G17394" s="889"/>
    </row>
    <row r="17395" spans="7:7" ht="10.5" customHeight="1" x14ac:dyDescent="0.2">
      <c r="G17395" s="889"/>
    </row>
    <row r="17396" spans="7:7" ht="10.5" customHeight="1" x14ac:dyDescent="0.2">
      <c r="G17396" s="889"/>
    </row>
    <row r="17397" spans="7:7" ht="10.5" customHeight="1" x14ac:dyDescent="0.2">
      <c r="G17397" s="889"/>
    </row>
    <row r="17398" spans="7:7" ht="10.5" customHeight="1" x14ac:dyDescent="0.2">
      <c r="G17398" s="889"/>
    </row>
    <row r="17399" spans="7:7" ht="10.5" customHeight="1" x14ac:dyDescent="0.2">
      <c r="G17399" s="889"/>
    </row>
    <row r="17400" spans="7:7" ht="10.5" customHeight="1" x14ac:dyDescent="0.2">
      <c r="G17400" s="889"/>
    </row>
    <row r="17401" spans="7:7" ht="10.5" customHeight="1" x14ac:dyDescent="0.2">
      <c r="G17401" s="889"/>
    </row>
    <row r="17402" spans="7:7" ht="10.5" customHeight="1" x14ac:dyDescent="0.2">
      <c r="G17402" s="889"/>
    </row>
    <row r="17403" spans="7:7" ht="10.5" customHeight="1" x14ac:dyDescent="0.2">
      <c r="G17403" s="889"/>
    </row>
    <row r="17404" spans="7:7" ht="10.5" customHeight="1" x14ac:dyDescent="0.2">
      <c r="G17404" s="889"/>
    </row>
    <row r="17405" spans="7:7" ht="10.5" customHeight="1" x14ac:dyDescent="0.2">
      <c r="G17405" s="889"/>
    </row>
    <row r="17406" spans="7:7" ht="10.5" customHeight="1" x14ac:dyDescent="0.2">
      <c r="G17406" s="889"/>
    </row>
    <row r="17407" spans="7:7" ht="10.5" customHeight="1" x14ac:dyDescent="0.2">
      <c r="G17407" s="889"/>
    </row>
    <row r="17408" spans="7:7" ht="10.5" customHeight="1" x14ac:dyDescent="0.2">
      <c r="G17408" s="889"/>
    </row>
    <row r="17409" spans="7:7" ht="10.5" customHeight="1" x14ac:dyDescent="0.2">
      <c r="G17409" s="889"/>
    </row>
    <row r="17410" spans="7:7" ht="10.5" customHeight="1" x14ac:dyDescent="0.2">
      <c r="G17410" s="889"/>
    </row>
    <row r="17411" spans="7:7" ht="10.5" customHeight="1" x14ac:dyDescent="0.2">
      <c r="G17411" s="889"/>
    </row>
    <row r="17412" spans="7:7" ht="10.5" customHeight="1" x14ac:dyDescent="0.2">
      <c r="G17412" s="889"/>
    </row>
    <row r="17413" spans="7:7" ht="10.5" customHeight="1" x14ac:dyDescent="0.2">
      <c r="G17413" s="889"/>
    </row>
    <row r="17414" spans="7:7" ht="10.5" customHeight="1" x14ac:dyDescent="0.2">
      <c r="G17414" s="889"/>
    </row>
    <row r="17415" spans="7:7" ht="10.5" customHeight="1" x14ac:dyDescent="0.2">
      <c r="G17415" s="889"/>
    </row>
    <row r="17416" spans="7:7" ht="10.5" customHeight="1" x14ac:dyDescent="0.2">
      <c r="G17416" s="889"/>
    </row>
    <row r="17417" spans="7:7" ht="10.5" customHeight="1" x14ac:dyDescent="0.2">
      <c r="G17417" s="889"/>
    </row>
    <row r="17418" spans="7:7" ht="10.5" customHeight="1" x14ac:dyDescent="0.2">
      <c r="G17418" s="889"/>
    </row>
    <row r="17419" spans="7:7" ht="10.5" customHeight="1" x14ac:dyDescent="0.2">
      <c r="G17419" s="889"/>
    </row>
    <row r="17420" spans="7:7" ht="10.5" customHeight="1" x14ac:dyDescent="0.2">
      <c r="G17420" s="889"/>
    </row>
    <row r="17421" spans="7:7" ht="10.5" customHeight="1" x14ac:dyDescent="0.2">
      <c r="G17421" s="889"/>
    </row>
    <row r="17422" spans="7:7" ht="10.5" customHeight="1" x14ac:dyDescent="0.2">
      <c r="G17422" s="889"/>
    </row>
    <row r="17423" spans="7:7" ht="10.5" customHeight="1" x14ac:dyDescent="0.2">
      <c r="G17423" s="889"/>
    </row>
    <row r="17424" spans="7:7" ht="10.5" customHeight="1" x14ac:dyDescent="0.2">
      <c r="G17424" s="889"/>
    </row>
    <row r="17425" spans="7:7" ht="10.5" customHeight="1" x14ac:dyDescent="0.2">
      <c r="G17425" s="889"/>
    </row>
    <row r="17426" spans="7:7" ht="10.5" customHeight="1" x14ac:dyDescent="0.2">
      <c r="G17426" s="889"/>
    </row>
    <row r="17427" spans="7:7" ht="10.5" customHeight="1" x14ac:dyDescent="0.2">
      <c r="G17427" s="889"/>
    </row>
    <row r="17428" spans="7:7" ht="10.5" customHeight="1" x14ac:dyDescent="0.2">
      <c r="G17428" s="889"/>
    </row>
    <row r="17429" spans="7:7" ht="10.5" customHeight="1" x14ac:dyDescent="0.2">
      <c r="G17429" s="889"/>
    </row>
    <row r="17430" spans="7:7" ht="10.5" customHeight="1" x14ac:dyDescent="0.2">
      <c r="G17430" s="889"/>
    </row>
    <row r="17431" spans="7:7" ht="10.5" customHeight="1" x14ac:dyDescent="0.2">
      <c r="G17431" s="889"/>
    </row>
    <row r="17432" spans="7:7" ht="10.5" customHeight="1" x14ac:dyDescent="0.2">
      <c r="G17432" s="889"/>
    </row>
    <row r="17433" spans="7:7" ht="10.5" customHeight="1" x14ac:dyDescent="0.2">
      <c r="G17433" s="889"/>
    </row>
    <row r="17434" spans="7:7" ht="10.5" customHeight="1" x14ac:dyDescent="0.2">
      <c r="G17434" s="889"/>
    </row>
    <row r="17435" spans="7:7" ht="10.5" customHeight="1" x14ac:dyDescent="0.2">
      <c r="G17435" s="889"/>
    </row>
    <row r="17436" spans="7:7" ht="10.5" customHeight="1" x14ac:dyDescent="0.2">
      <c r="G17436" s="889"/>
    </row>
    <row r="17437" spans="7:7" ht="10.5" customHeight="1" x14ac:dyDescent="0.2">
      <c r="G17437" s="889"/>
    </row>
    <row r="17438" spans="7:7" ht="10.5" customHeight="1" x14ac:dyDescent="0.2">
      <c r="G17438" s="889"/>
    </row>
    <row r="17439" spans="7:7" ht="10.5" customHeight="1" x14ac:dyDescent="0.2">
      <c r="G17439" s="889"/>
    </row>
    <row r="17440" spans="7:7" ht="10.5" customHeight="1" x14ac:dyDescent="0.2">
      <c r="G17440" s="889"/>
    </row>
    <row r="17441" spans="7:7" ht="10.5" customHeight="1" x14ac:dyDescent="0.2">
      <c r="G17441" s="889"/>
    </row>
    <row r="17442" spans="7:7" ht="10.5" customHeight="1" x14ac:dyDescent="0.2">
      <c r="G17442" s="889"/>
    </row>
    <row r="17443" spans="7:7" ht="10.5" customHeight="1" x14ac:dyDescent="0.2">
      <c r="G17443" s="889"/>
    </row>
    <row r="17444" spans="7:7" ht="10.5" customHeight="1" x14ac:dyDescent="0.2">
      <c r="G17444" s="889"/>
    </row>
    <row r="17445" spans="7:7" ht="10.5" customHeight="1" x14ac:dyDescent="0.2">
      <c r="G17445" s="889"/>
    </row>
    <row r="17446" spans="7:7" ht="10.5" customHeight="1" x14ac:dyDescent="0.2">
      <c r="G17446" s="889"/>
    </row>
    <row r="17447" spans="7:7" ht="10.5" customHeight="1" x14ac:dyDescent="0.2">
      <c r="G17447" s="889"/>
    </row>
    <row r="17448" spans="7:7" ht="10.5" customHeight="1" x14ac:dyDescent="0.2">
      <c r="G17448" s="889"/>
    </row>
    <row r="17449" spans="7:7" ht="10.5" customHeight="1" x14ac:dyDescent="0.2">
      <c r="G17449" s="889"/>
    </row>
    <row r="17450" spans="7:7" ht="10.5" customHeight="1" x14ac:dyDescent="0.2">
      <c r="G17450" s="889"/>
    </row>
    <row r="17451" spans="7:7" ht="10.5" customHeight="1" x14ac:dyDescent="0.2">
      <c r="G17451" s="889"/>
    </row>
    <row r="17452" spans="7:7" ht="10.5" customHeight="1" x14ac:dyDescent="0.2">
      <c r="G17452" s="889"/>
    </row>
    <row r="17453" spans="7:7" ht="10.5" customHeight="1" x14ac:dyDescent="0.2">
      <c r="G17453" s="889"/>
    </row>
    <row r="17454" spans="7:7" ht="10.5" customHeight="1" x14ac:dyDescent="0.2">
      <c r="G17454" s="889"/>
    </row>
    <row r="17455" spans="7:7" ht="10.5" customHeight="1" x14ac:dyDescent="0.2">
      <c r="G17455" s="889"/>
    </row>
    <row r="17456" spans="7:7" ht="10.5" customHeight="1" x14ac:dyDescent="0.2">
      <c r="G17456" s="889"/>
    </row>
    <row r="17457" spans="7:7" ht="10.5" customHeight="1" x14ac:dyDescent="0.2">
      <c r="G17457" s="889"/>
    </row>
    <row r="17458" spans="7:7" ht="10.5" customHeight="1" x14ac:dyDescent="0.2">
      <c r="G17458" s="889"/>
    </row>
    <row r="17459" spans="7:7" ht="10.5" customHeight="1" x14ac:dyDescent="0.2">
      <c r="G17459" s="889"/>
    </row>
    <row r="17460" spans="7:7" ht="10.5" customHeight="1" x14ac:dyDescent="0.2">
      <c r="G17460" s="889"/>
    </row>
    <row r="17461" spans="7:7" ht="10.5" customHeight="1" x14ac:dyDescent="0.2">
      <c r="G17461" s="889"/>
    </row>
    <row r="17462" spans="7:7" ht="10.5" customHeight="1" x14ac:dyDescent="0.2">
      <c r="G17462" s="889"/>
    </row>
    <row r="17463" spans="7:7" ht="10.5" customHeight="1" x14ac:dyDescent="0.2">
      <c r="G17463" s="889"/>
    </row>
    <row r="17464" spans="7:7" ht="10.5" customHeight="1" x14ac:dyDescent="0.2">
      <c r="G17464" s="889"/>
    </row>
    <row r="17465" spans="7:7" ht="10.5" customHeight="1" x14ac:dyDescent="0.2">
      <c r="G17465" s="889"/>
    </row>
    <row r="17466" spans="7:7" ht="10.5" customHeight="1" x14ac:dyDescent="0.2">
      <c r="G17466" s="889"/>
    </row>
    <row r="17467" spans="7:7" ht="10.5" customHeight="1" x14ac:dyDescent="0.2">
      <c r="G17467" s="889"/>
    </row>
    <row r="17468" spans="7:7" ht="10.5" customHeight="1" x14ac:dyDescent="0.2">
      <c r="G17468" s="889"/>
    </row>
    <row r="17469" spans="7:7" ht="10.5" customHeight="1" x14ac:dyDescent="0.2">
      <c r="G17469" s="889"/>
    </row>
    <row r="17470" spans="7:7" ht="10.5" customHeight="1" x14ac:dyDescent="0.2">
      <c r="G17470" s="889"/>
    </row>
    <row r="17471" spans="7:7" ht="10.5" customHeight="1" x14ac:dyDescent="0.2">
      <c r="G17471" s="889"/>
    </row>
    <row r="17472" spans="7:7" ht="10.5" customHeight="1" x14ac:dyDescent="0.2">
      <c r="G17472" s="889"/>
    </row>
    <row r="17473" spans="7:7" ht="10.5" customHeight="1" x14ac:dyDescent="0.2">
      <c r="G17473" s="889"/>
    </row>
    <row r="17474" spans="7:7" ht="10.5" customHeight="1" x14ac:dyDescent="0.2">
      <c r="G17474" s="889"/>
    </row>
    <row r="17475" spans="7:7" ht="10.5" customHeight="1" x14ac:dyDescent="0.2">
      <c r="G17475" s="889"/>
    </row>
    <row r="17476" spans="7:7" ht="10.5" customHeight="1" x14ac:dyDescent="0.2">
      <c r="G17476" s="889"/>
    </row>
    <row r="17477" spans="7:7" ht="10.5" customHeight="1" x14ac:dyDescent="0.2">
      <c r="G17477" s="889"/>
    </row>
    <row r="17478" spans="7:7" ht="10.5" customHeight="1" x14ac:dyDescent="0.2">
      <c r="G17478" s="889"/>
    </row>
    <row r="17479" spans="7:7" ht="10.5" customHeight="1" x14ac:dyDescent="0.2">
      <c r="G17479" s="889"/>
    </row>
    <row r="17480" spans="7:7" ht="10.5" customHeight="1" x14ac:dyDescent="0.2">
      <c r="G17480" s="889"/>
    </row>
    <row r="17481" spans="7:7" ht="10.5" customHeight="1" x14ac:dyDescent="0.2">
      <c r="G17481" s="889"/>
    </row>
    <row r="17482" spans="7:7" ht="10.5" customHeight="1" x14ac:dyDescent="0.2">
      <c r="G17482" s="889"/>
    </row>
    <row r="17483" spans="7:7" ht="10.5" customHeight="1" x14ac:dyDescent="0.2">
      <c r="G17483" s="889"/>
    </row>
    <row r="17484" spans="7:7" ht="10.5" customHeight="1" x14ac:dyDescent="0.2">
      <c r="G17484" s="889"/>
    </row>
    <row r="17485" spans="7:7" ht="10.5" customHeight="1" x14ac:dyDescent="0.2">
      <c r="G17485" s="889"/>
    </row>
    <row r="17486" spans="7:7" ht="10.5" customHeight="1" x14ac:dyDescent="0.2">
      <c r="G17486" s="889"/>
    </row>
    <row r="17487" spans="7:7" ht="10.5" customHeight="1" x14ac:dyDescent="0.2">
      <c r="G17487" s="889"/>
    </row>
    <row r="17488" spans="7:7" ht="10.5" customHeight="1" x14ac:dyDescent="0.2">
      <c r="G17488" s="889"/>
    </row>
    <row r="17489" spans="7:7" ht="10.5" customHeight="1" x14ac:dyDescent="0.2">
      <c r="G17489" s="889"/>
    </row>
    <row r="17490" spans="7:7" ht="10.5" customHeight="1" x14ac:dyDescent="0.2">
      <c r="G17490" s="889"/>
    </row>
    <row r="17491" spans="7:7" ht="10.5" customHeight="1" x14ac:dyDescent="0.2">
      <c r="G17491" s="889"/>
    </row>
    <row r="17492" spans="7:7" ht="10.5" customHeight="1" x14ac:dyDescent="0.2">
      <c r="G17492" s="889"/>
    </row>
    <row r="17493" spans="7:7" ht="10.5" customHeight="1" x14ac:dyDescent="0.2">
      <c r="G17493" s="889"/>
    </row>
    <row r="17494" spans="7:7" ht="10.5" customHeight="1" x14ac:dyDescent="0.2">
      <c r="G17494" s="889"/>
    </row>
    <row r="17495" spans="7:7" ht="10.5" customHeight="1" x14ac:dyDescent="0.2">
      <c r="G17495" s="889"/>
    </row>
    <row r="17496" spans="7:7" ht="10.5" customHeight="1" x14ac:dyDescent="0.2">
      <c r="G17496" s="889"/>
    </row>
    <row r="17497" spans="7:7" ht="10.5" customHeight="1" x14ac:dyDescent="0.2">
      <c r="G17497" s="889"/>
    </row>
    <row r="17498" spans="7:7" ht="10.5" customHeight="1" x14ac:dyDescent="0.2">
      <c r="G17498" s="889"/>
    </row>
    <row r="17499" spans="7:7" ht="10.5" customHeight="1" x14ac:dyDescent="0.2">
      <c r="G17499" s="889"/>
    </row>
    <row r="17500" spans="7:7" ht="10.5" customHeight="1" x14ac:dyDescent="0.2">
      <c r="G17500" s="889"/>
    </row>
    <row r="17501" spans="7:7" ht="10.5" customHeight="1" x14ac:dyDescent="0.2">
      <c r="G17501" s="889"/>
    </row>
    <row r="17502" spans="7:7" ht="10.5" customHeight="1" x14ac:dyDescent="0.2">
      <c r="G17502" s="889"/>
    </row>
    <row r="17503" spans="7:7" ht="10.5" customHeight="1" x14ac:dyDescent="0.2">
      <c r="G17503" s="889"/>
    </row>
    <row r="17504" spans="7:7" ht="10.5" customHeight="1" x14ac:dyDescent="0.2">
      <c r="G17504" s="889"/>
    </row>
    <row r="17505" spans="7:7" ht="10.5" customHeight="1" x14ac:dyDescent="0.2">
      <c r="G17505" s="889"/>
    </row>
    <row r="17506" spans="7:7" ht="10.5" customHeight="1" x14ac:dyDescent="0.2">
      <c r="G17506" s="889"/>
    </row>
    <row r="17507" spans="7:7" ht="10.5" customHeight="1" x14ac:dyDescent="0.2">
      <c r="G17507" s="889"/>
    </row>
    <row r="17508" spans="7:7" ht="10.5" customHeight="1" x14ac:dyDescent="0.2">
      <c r="G17508" s="889"/>
    </row>
    <row r="17509" spans="7:7" ht="10.5" customHeight="1" x14ac:dyDescent="0.2">
      <c r="G17509" s="889"/>
    </row>
    <row r="17510" spans="7:7" ht="10.5" customHeight="1" x14ac:dyDescent="0.2">
      <c r="G17510" s="889"/>
    </row>
    <row r="17511" spans="7:7" ht="10.5" customHeight="1" x14ac:dyDescent="0.2">
      <c r="G17511" s="889"/>
    </row>
    <row r="17512" spans="7:7" ht="10.5" customHeight="1" x14ac:dyDescent="0.2">
      <c r="G17512" s="889"/>
    </row>
    <row r="17513" spans="7:7" ht="10.5" customHeight="1" x14ac:dyDescent="0.2">
      <c r="G17513" s="889"/>
    </row>
    <row r="17514" spans="7:7" ht="10.5" customHeight="1" x14ac:dyDescent="0.2">
      <c r="G17514" s="889"/>
    </row>
    <row r="17515" spans="7:7" ht="10.5" customHeight="1" x14ac:dyDescent="0.2">
      <c r="G17515" s="889"/>
    </row>
    <row r="17516" spans="7:7" ht="10.5" customHeight="1" x14ac:dyDescent="0.2">
      <c r="G17516" s="889"/>
    </row>
    <row r="17517" spans="7:7" ht="10.5" customHeight="1" x14ac:dyDescent="0.2">
      <c r="G17517" s="889"/>
    </row>
    <row r="17518" spans="7:7" ht="10.5" customHeight="1" x14ac:dyDescent="0.2">
      <c r="G17518" s="889"/>
    </row>
    <row r="17519" spans="7:7" ht="10.5" customHeight="1" x14ac:dyDescent="0.2">
      <c r="G17519" s="889"/>
    </row>
    <row r="17520" spans="7:7" ht="10.5" customHeight="1" x14ac:dyDescent="0.2">
      <c r="G17520" s="889"/>
    </row>
    <row r="17521" spans="7:7" ht="10.5" customHeight="1" x14ac:dyDescent="0.2">
      <c r="G17521" s="889"/>
    </row>
    <row r="17522" spans="7:7" ht="10.5" customHeight="1" x14ac:dyDescent="0.2">
      <c r="G17522" s="889"/>
    </row>
    <row r="17523" spans="7:7" ht="10.5" customHeight="1" x14ac:dyDescent="0.2">
      <c r="G17523" s="889"/>
    </row>
    <row r="17524" spans="7:7" ht="10.5" customHeight="1" x14ac:dyDescent="0.2">
      <c r="G17524" s="889"/>
    </row>
    <row r="17525" spans="7:7" ht="10.5" customHeight="1" x14ac:dyDescent="0.2">
      <c r="G17525" s="889"/>
    </row>
    <row r="17526" spans="7:7" ht="10.5" customHeight="1" x14ac:dyDescent="0.2">
      <c r="G17526" s="889"/>
    </row>
    <row r="17527" spans="7:7" ht="10.5" customHeight="1" x14ac:dyDescent="0.2">
      <c r="G17527" s="889"/>
    </row>
    <row r="17528" spans="7:7" ht="10.5" customHeight="1" x14ac:dyDescent="0.2">
      <c r="G17528" s="889"/>
    </row>
    <row r="17529" spans="7:7" ht="10.5" customHeight="1" x14ac:dyDescent="0.2">
      <c r="G17529" s="889"/>
    </row>
    <row r="17530" spans="7:7" ht="10.5" customHeight="1" x14ac:dyDescent="0.2">
      <c r="G17530" s="889"/>
    </row>
    <row r="17531" spans="7:7" ht="10.5" customHeight="1" x14ac:dyDescent="0.2">
      <c r="G17531" s="889"/>
    </row>
    <row r="17532" spans="7:7" ht="10.5" customHeight="1" x14ac:dyDescent="0.2">
      <c r="G17532" s="889"/>
    </row>
    <row r="17533" spans="7:7" ht="10.5" customHeight="1" x14ac:dyDescent="0.2">
      <c r="G17533" s="889"/>
    </row>
    <row r="17534" spans="7:7" ht="10.5" customHeight="1" x14ac:dyDescent="0.2">
      <c r="G17534" s="889"/>
    </row>
    <row r="17535" spans="7:7" ht="10.5" customHeight="1" x14ac:dyDescent="0.2">
      <c r="G17535" s="889"/>
    </row>
    <row r="17536" spans="7:7" ht="10.5" customHeight="1" x14ac:dyDescent="0.2">
      <c r="G17536" s="889"/>
    </row>
    <row r="17537" spans="7:7" ht="10.5" customHeight="1" x14ac:dyDescent="0.2">
      <c r="G17537" s="889"/>
    </row>
    <row r="17538" spans="7:7" ht="10.5" customHeight="1" x14ac:dyDescent="0.2">
      <c r="G17538" s="889"/>
    </row>
    <row r="17539" spans="7:7" ht="10.5" customHeight="1" x14ac:dyDescent="0.2">
      <c r="G17539" s="889"/>
    </row>
    <row r="17540" spans="7:7" ht="10.5" customHeight="1" x14ac:dyDescent="0.2">
      <c r="G17540" s="889"/>
    </row>
    <row r="17541" spans="7:7" ht="10.5" customHeight="1" x14ac:dyDescent="0.2">
      <c r="G17541" s="889"/>
    </row>
    <row r="17542" spans="7:7" ht="10.5" customHeight="1" x14ac:dyDescent="0.2">
      <c r="G17542" s="889"/>
    </row>
    <row r="17543" spans="7:7" ht="10.5" customHeight="1" x14ac:dyDescent="0.2">
      <c r="G17543" s="889"/>
    </row>
    <row r="17544" spans="7:7" ht="10.5" customHeight="1" x14ac:dyDescent="0.2">
      <c r="G17544" s="889"/>
    </row>
    <row r="17545" spans="7:7" ht="10.5" customHeight="1" x14ac:dyDescent="0.2">
      <c r="G17545" s="889"/>
    </row>
    <row r="17546" spans="7:7" ht="10.5" customHeight="1" x14ac:dyDescent="0.2">
      <c r="G17546" s="889"/>
    </row>
    <row r="17547" spans="7:7" ht="10.5" customHeight="1" x14ac:dyDescent="0.2">
      <c r="G17547" s="889"/>
    </row>
    <row r="17548" spans="7:7" ht="10.5" customHeight="1" x14ac:dyDescent="0.2">
      <c r="G17548" s="889"/>
    </row>
    <row r="17549" spans="7:7" ht="10.5" customHeight="1" x14ac:dyDescent="0.2">
      <c r="G17549" s="889"/>
    </row>
    <row r="17550" spans="7:7" ht="10.5" customHeight="1" x14ac:dyDescent="0.2">
      <c r="G17550" s="889"/>
    </row>
    <row r="17551" spans="7:7" ht="10.5" customHeight="1" x14ac:dyDescent="0.2">
      <c r="G17551" s="889"/>
    </row>
    <row r="17552" spans="7:7" ht="10.5" customHeight="1" x14ac:dyDescent="0.2">
      <c r="G17552" s="889"/>
    </row>
    <row r="17553" spans="7:7" ht="10.5" customHeight="1" x14ac:dyDescent="0.2">
      <c r="G17553" s="889"/>
    </row>
    <row r="17554" spans="7:7" ht="10.5" customHeight="1" x14ac:dyDescent="0.2">
      <c r="G17554" s="889"/>
    </row>
    <row r="17555" spans="7:7" ht="10.5" customHeight="1" x14ac:dyDescent="0.2">
      <c r="G17555" s="889"/>
    </row>
    <row r="17556" spans="7:7" ht="10.5" customHeight="1" x14ac:dyDescent="0.2">
      <c r="G17556" s="889"/>
    </row>
    <row r="17557" spans="7:7" ht="10.5" customHeight="1" x14ac:dyDescent="0.2">
      <c r="G17557" s="889"/>
    </row>
    <row r="17558" spans="7:7" ht="10.5" customHeight="1" x14ac:dyDescent="0.2">
      <c r="G17558" s="889"/>
    </row>
    <row r="17559" spans="7:7" ht="10.5" customHeight="1" x14ac:dyDescent="0.2">
      <c r="G17559" s="889"/>
    </row>
    <row r="17560" spans="7:7" ht="10.5" customHeight="1" x14ac:dyDescent="0.2">
      <c r="G17560" s="889"/>
    </row>
    <row r="17561" spans="7:7" ht="10.5" customHeight="1" x14ac:dyDescent="0.2">
      <c r="G17561" s="889"/>
    </row>
    <row r="17562" spans="7:7" ht="10.5" customHeight="1" x14ac:dyDescent="0.2">
      <c r="G17562" s="889"/>
    </row>
    <row r="17563" spans="7:7" ht="10.5" customHeight="1" x14ac:dyDescent="0.2">
      <c r="G17563" s="889"/>
    </row>
    <row r="17564" spans="7:7" ht="10.5" customHeight="1" x14ac:dyDescent="0.2">
      <c r="G17564" s="889"/>
    </row>
    <row r="17565" spans="7:7" ht="10.5" customHeight="1" x14ac:dyDescent="0.2">
      <c r="G17565" s="889"/>
    </row>
    <row r="17566" spans="7:7" ht="10.5" customHeight="1" x14ac:dyDescent="0.2">
      <c r="G17566" s="889"/>
    </row>
    <row r="17567" spans="7:7" ht="10.5" customHeight="1" x14ac:dyDescent="0.2">
      <c r="G17567" s="889"/>
    </row>
    <row r="17568" spans="7:7" ht="10.5" customHeight="1" x14ac:dyDescent="0.2">
      <c r="G17568" s="889"/>
    </row>
    <row r="17569" spans="7:7" ht="10.5" customHeight="1" x14ac:dyDescent="0.2">
      <c r="G17569" s="889"/>
    </row>
    <row r="17570" spans="7:7" ht="10.5" customHeight="1" x14ac:dyDescent="0.2">
      <c r="G17570" s="889"/>
    </row>
    <row r="17571" spans="7:7" ht="10.5" customHeight="1" x14ac:dyDescent="0.2">
      <c r="G17571" s="889"/>
    </row>
    <row r="17572" spans="7:7" ht="10.5" customHeight="1" x14ac:dyDescent="0.2">
      <c r="G17572" s="889"/>
    </row>
    <row r="17573" spans="7:7" ht="10.5" customHeight="1" x14ac:dyDescent="0.2">
      <c r="G17573" s="889"/>
    </row>
    <row r="17574" spans="7:7" ht="10.5" customHeight="1" x14ac:dyDescent="0.2">
      <c r="G17574" s="889"/>
    </row>
    <row r="17575" spans="7:7" ht="10.5" customHeight="1" x14ac:dyDescent="0.2">
      <c r="G17575" s="889"/>
    </row>
    <row r="17576" spans="7:7" ht="10.5" customHeight="1" x14ac:dyDescent="0.2">
      <c r="G17576" s="889"/>
    </row>
    <row r="17577" spans="7:7" ht="10.5" customHeight="1" x14ac:dyDescent="0.2">
      <c r="G17577" s="889"/>
    </row>
    <row r="17578" spans="7:7" ht="10.5" customHeight="1" x14ac:dyDescent="0.2">
      <c r="G17578" s="889"/>
    </row>
    <row r="17579" spans="7:7" ht="10.5" customHeight="1" x14ac:dyDescent="0.2">
      <c r="G17579" s="889"/>
    </row>
    <row r="17580" spans="7:7" ht="10.5" customHeight="1" x14ac:dyDescent="0.2">
      <c r="G17580" s="889"/>
    </row>
    <row r="17581" spans="7:7" ht="10.5" customHeight="1" x14ac:dyDescent="0.2">
      <c r="G17581" s="889"/>
    </row>
    <row r="17582" spans="7:7" ht="10.5" customHeight="1" x14ac:dyDescent="0.2">
      <c r="G17582" s="889"/>
    </row>
    <row r="17583" spans="7:7" ht="10.5" customHeight="1" x14ac:dyDescent="0.2">
      <c r="G17583" s="889"/>
    </row>
    <row r="17584" spans="7:7" ht="10.5" customHeight="1" x14ac:dyDescent="0.2">
      <c r="G17584" s="889"/>
    </row>
    <row r="17585" spans="7:7" ht="10.5" customHeight="1" x14ac:dyDescent="0.2">
      <c r="G17585" s="889"/>
    </row>
    <row r="17586" spans="7:7" ht="10.5" customHeight="1" x14ac:dyDescent="0.2">
      <c r="G17586" s="889"/>
    </row>
    <row r="17587" spans="7:7" ht="10.5" customHeight="1" x14ac:dyDescent="0.2">
      <c r="G17587" s="889"/>
    </row>
    <row r="17588" spans="7:7" ht="10.5" customHeight="1" x14ac:dyDescent="0.2">
      <c r="G17588" s="889"/>
    </row>
    <row r="17589" spans="7:7" ht="10.5" customHeight="1" x14ac:dyDescent="0.2">
      <c r="G17589" s="889"/>
    </row>
    <row r="17590" spans="7:7" ht="10.5" customHeight="1" x14ac:dyDescent="0.2">
      <c r="G17590" s="889"/>
    </row>
    <row r="17591" spans="7:7" ht="10.5" customHeight="1" x14ac:dyDescent="0.2">
      <c r="G17591" s="889"/>
    </row>
    <row r="17592" spans="7:7" ht="10.5" customHeight="1" x14ac:dyDescent="0.2">
      <c r="G17592" s="889"/>
    </row>
    <row r="17593" spans="7:7" ht="10.5" customHeight="1" x14ac:dyDescent="0.2">
      <c r="G17593" s="889"/>
    </row>
    <row r="17594" spans="7:7" ht="10.5" customHeight="1" x14ac:dyDescent="0.2">
      <c r="G17594" s="889"/>
    </row>
    <row r="17595" spans="7:7" ht="10.5" customHeight="1" x14ac:dyDescent="0.2">
      <c r="G17595" s="889"/>
    </row>
    <row r="17596" spans="7:7" ht="10.5" customHeight="1" x14ac:dyDescent="0.2">
      <c r="G17596" s="889"/>
    </row>
    <row r="17597" spans="7:7" ht="10.5" customHeight="1" x14ac:dyDescent="0.2">
      <c r="G17597" s="889"/>
    </row>
    <row r="17598" spans="7:7" ht="10.5" customHeight="1" x14ac:dyDescent="0.2">
      <c r="G17598" s="889"/>
    </row>
    <row r="17599" spans="7:7" ht="10.5" customHeight="1" x14ac:dyDescent="0.2">
      <c r="G17599" s="889"/>
    </row>
    <row r="17600" spans="7:7" ht="10.5" customHeight="1" x14ac:dyDescent="0.2">
      <c r="G17600" s="889"/>
    </row>
    <row r="17601" spans="7:7" ht="10.5" customHeight="1" x14ac:dyDescent="0.2">
      <c r="G17601" s="889"/>
    </row>
    <row r="17602" spans="7:7" ht="10.5" customHeight="1" x14ac:dyDescent="0.2">
      <c r="G17602" s="889"/>
    </row>
    <row r="17603" spans="7:7" ht="10.5" customHeight="1" x14ac:dyDescent="0.2">
      <c r="G17603" s="889"/>
    </row>
    <row r="17604" spans="7:7" ht="10.5" customHeight="1" x14ac:dyDescent="0.2">
      <c r="G17604" s="889"/>
    </row>
    <row r="17605" spans="7:7" ht="10.5" customHeight="1" x14ac:dyDescent="0.2">
      <c r="G17605" s="889"/>
    </row>
    <row r="17606" spans="7:7" ht="10.5" customHeight="1" x14ac:dyDescent="0.2">
      <c r="G17606" s="889"/>
    </row>
    <row r="17607" spans="7:7" ht="10.5" customHeight="1" x14ac:dyDescent="0.2">
      <c r="G17607" s="889"/>
    </row>
    <row r="17608" spans="7:7" ht="10.5" customHeight="1" x14ac:dyDescent="0.2">
      <c r="G17608" s="889"/>
    </row>
    <row r="17609" spans="7:7" ht="10.5" customHeight="1" x14ac:dyDescent="0.2">
      <c r="G17609" s="889"/>
    </row>
    <row r="17610" spans="7:7" ht="10.5" customHeight="1" x14ac:dyDescent="0.2">
      <c r="G17610" s="889"/>
    </row>
    <row r="17611" spans="7:7" ht="10.5" customHeight="1" x14ac:dyDescent="0.2">
      <c r="G17611" s="889"/>
    </row>
    <row r="17612" spans="7:7" ht="10.5" customHeight="1" x14ac:dyDescent="0.2">
      <c r="G17612" s="889"/>
    </row>
    <row r="17613" spans="7:7" ht="10.5" customHeight="1" x14ac:dyDescent="0.2">
      <c r="G17613" s="889"/>
    </row>
    <row r="17614" spans="7:7" ht="10.5" customHeight="1" x14ac:dyDescent="0.2">
      <c r="G17614" s="889"/>
    </row>
    <row r="17615" spans="7:7" ht="10.5" customHeight="1" x14ac:dyDescent="0.2">
      <c r="G17615" s="889"/>
    </row>
    <row r="17616" spans="7:7" ht="10.5" customHeight="1" x14ac:dyDescent="0.2">
      <c r="G17616" s="889"/>
    </row>
    <row r="17617" spans="7:7" ht="10.5" customHeight="1" x14ac:dyDescent="0.2">
      <c r="G17617" s="889"/>
    </row>
    <row r="17618" spans="7:7" ht="10.5" customHeight="1" x14ac:dyDescent="0.2">
      <c r="G17618" s="889"/>
    </row>
    <row r="17619" spans="7:7" ht="10.5" customHeight="1" x14ac:dyDescent="0.2">
      <c r="G17619" s="889"/>
    </row>
    <row r="17620" spans="7:7" ht="10.5" customHeight="1" x14ac:dyDescent="0.2">
      <c r="G17620" s="889"/>
    </row>
    <row r="17621" spans="7:7" ht="10.5" customHeight="1" x14ac:dyDescent="0.2">
      <c r="G17621" s="889"/>
    </row>
    <row r="17622" spans="7:7" ht="10.5" customHeight="1" x14ac:dyDescent="0.2">
      <c r="G17622" s="889"/>
    </row>
    <row r="17623" spans="7:7" ht="10.5" customHeight="1" x14ac:dyDescent="0.2">
      <c r="G17623" s="889"/>
    </row>
    <row r="17624" spans="7:7" ht="10.5" customHeight="1" x14ac:dyDescent="0.2">
      <c r="G17624" s="889"/>
    </row>
    <row r="17625" spans="7:7" ht="10.5" customHeight="1" x14ac:dyDescent="0.2">
      <c r="G17625" s="889"/>
    </row>
    <row r="17626" spans="7:7" ht="10.5" customHeight="1" x14ac:dyDescent="0.2">
      <c r="G17626" s="889"/>
    </row>
    <row r="17627" spans="7:7" ht="10.5" customHeight="1" x14ac:dyDescent="0.2">
      <c r="G17627" s="889"/>
    </row>
    <row r="17628" spans="7:7" ht="10.5" customHeight="1" x14ac:dyDescent="0.2">
      <c r="G17628" s="889"/>
    </row>
    <row r="17629" spans="7:7" ht="10.5" customHeight="1" x14ac:dyDescent="0.2">
      <c r="G17629" s="889"/>
    </row>
    <row r="17630" spans="7:7" ht="10.5" customHeight="1" x14ac:dyDescent="0.2">
      <c r="G17630" s="889"/>
    </row>
    <row r="17631" spans="7:7" ht="10.5" customHeight="1" x14ac:dyDescent="0.2">
      <c r="G17631" s="889"/>
    </row>
    <row r="17632" spans="7:7" ht="10.5" customHeight="1" x14ac:dyDescent="0.2">
      <c r="G17632" s="889"/>
    </row>
    <row r="17633" spans="7:7" ht="10.5" customHeight="1" x14ac:dyDescent="0.2">
      <c r="G17633" s="889"/>
    </row>
    <row r="17634" spans="7:7" ht="10.5" customHeight="1" x14ac:dyDescent="0.2">
      <c r="G17634" s="889"/>
    </row>
    <row r="17635" spans="7:7" ht="10.5" customHeight="1" x14ac:dyDescent="0.2">
      <c r="G17635" s="889"/>
    </row>
    <row r="17636" spans="7:7" ht="10.5" customHeight="1" x14ac:dyDescent="0.2">
      <c r="G17636" s="889"/>
    </row>
    <row r="17637" spans="7:7" ht="10.5" customHeight="1" x14ac:dyDescent="0.2">
      <c r="G17637" s="889"/>
    </row>
    <row r="17638" spans="7:7" ht="10.5" customHeight="1" x14ac:dyDescent="0.2">
      <c r="G17638" s="889"/>
    </row>
    <row r="17639" spans="7:7" ht="10.5" customHeight="1" x14ac:dyDescent="0.2">
      <c r="G17639" s="889"/>
    </row>
    <row r="17640" spans="7:7" ht="10.5" customHeight="1" x14ac:dyDescent="0.2">
      <c r="G17640" s="889"/>
    </row>
    <row r="17641" spans="7:7" ht="10.5" customHeight="1" x14ac:dyDescent="0.2">
      <c r="G17641" s="889"/>
    </row>
    <row r="17642" spans="7:7" ht="10.5" customHeight="1" x14ac:dyDescent="0.2">
      <c r="G17642" s="889"/>
    </row>
    <row r="17643" spans="7:7" ht="10.5" customHeight="1" x14ac:dyDescent="0.2">
      <c r="G17643" s="889"/>
    </row>
    <row r="17644" spans="7:7" ht="10.5" customHeight="1" x14ac:dyDescent="0.2">
      <c r="G17644" s="889"/>
    </row>
    <row r="17645" spans="7:7" ht="10.5" customHeight="1" x14ac:dyDescent="0.2">
      <c r="G17645" s="889"/>
    </row>
    <row r="17646" spans="7:7" ht="10.5" customHeight="1" x14ac:dyDescent="0.2">
      <c r="G17646" s="889"/>
    </row>
    <row r="17647" spans="7:7" ht="10.5" customHeight="1" x14ac:dyDescent="0.2">
      <c r="G17647" s="889"/>
    </row>
    <row r="17648" spans="7:7" ht="10.5" customHeight="1" x14ac:dyDescent="0.2">
      <c r="G17648" s="889"/>
    </row>
    <row r="17649" spans="7:7" ht="10.5" customHeight="1" x14ac:dyDescent="0.2">
      <c r="G17649" s="889"/>
    </row>
    <row r="17650" spans="7:7" ht="10.5" customHeight="1" x14ac:dyDescent="0.2">
      <c r="G17650" s="889"/>
    </row>
    <row r="17651" spans="7:7" ht="10.5" customHeight="1" x14ac:dyDescent="0.2">
      <c r="G17651" s="889"/>
    </row>
    <row r="17652" spans="7:7" ht="10.5" customHeight="1" x14ac:dyDescent="0.2">
      <c r="G17652" s="889"/>
    </row>
    <row r="17653" spans="7:7" ht="10.5" customHeight="1" x14ac:dyDescent="0.2">
      <c r="G17653" s="889"/>
    </row>
    <row r="17654" spans="7:7" ht="10.5" customHeight="1" x14ac:dyDescent="0.2">
      <c r="G17654" s="889"/>
    </row>
    <row r="17655" spans="7:7" ht="10.5" customHeight="1" x14ac:dyDescent="0.2">
      <c r="G17655" s="889"/>
    </row>
    <row r="17656" spans="7:7" ht="10.5" customHeight="1" x14ac:dyDescent="0.2">
      <c r="G17656" s="889"/>
    </row>
    <row r="17657" spans="7:7" ht="10.5" customHeight="1" x14ac:dyDescent="0.2">
      <c r="G17657" s="889"/>
    </row>
    <row r="17658" spans="7:7" ht="10.5" customHeight="1" x14ac:dyDescent="0.2">
      <c r="G17658" s="889"/>
    </row>
    <row r="17659" spans="7:7" ht="10.5" customHeight="1" x14ac:dyDescent="0.2">
      <c r="G17659" s="889"/>
    </row>
    <row r="17660" spans="7:7" ht="10.5" customHeight="1" x14ac:dyDescent="0.2">
      <c r="G17660" s="889"/>
    </row>
    <row r="17661" spans="7:7" ht="10.5" customHeight="1" x14ac:dyDescent="0.2">
      <c r="G17661" s="889"/>
    </row>
    <row r="17662" spans="7:7" ht="10.5" customHeight="1" x14ac:dyDescent="0.2">
      <c r="G17662" s="889"/>
    </row>
    <row r="17663" spans="7:7" ht="10.5" customHeight="1" x14ac:dyDescent="0.2">
      <c r="G17663" s="889"/>
    </row>
    <row r="17664" spans="7:7" ht="10.5" customHeight="1" x14ac:dyDescent="0.2">
      <c r="G17664" s="889"/>
    </row>
    <row r="17665" spans="7:7" ht="10.5" customHeight="1" x14ac:dyDescent="0.2">
      <c r="G17665" s="889"/>
    </row>
    <row r="17666" spans="7:7" ht="10.5" customHeight="1" x14ac:dyDescent="0.2">
      <c r="G17666" s="889"/>
    </row>
    <row r="17667" spans="7:7" ht="10.5" customHeight="1" x14ac:dyDescent="0.2">
      <c r="G17667" s="889"/>
    </row>
    <row r="17668" spans="7:7" ht="10.5" customHeight="1" x14ac:dyDescent="0.2">
      <c r="G17668" s="889"/>
    </row>
    <row r="17669" spans="7:7" ht="10.5" customHeight="1" x14ac:dyDescent="0.2">
      <c r="G17669" s="889"/>
    </row>
    <row r="17670" spans="7:7" ht="10.5" customHeight="1" x14ac:dyDescent="0.2">
      <c r="G17670" s="889"/>
    </row>
    <row r="17671" spans="7:7" ht="10.5" customHeight="1" x14ac:dyDescent="0.2">
      <c r="G17671" s="889"/>
    </row>
    <row r="17672" spans="7:7" ht="10.5" customHeight="1" x14ac:dyDescent="0.2">
      <c r="G17672" s="889"/>
    </row>
    <row r="17673" spans="7:7" ht="10.5" customHeight="1" x14ac:dyDescent="0.2">
      <c r="G17673" s="889"/>
    </row>
    <row r="17674" spans="7:7" ht="10.5" customHeight="1" x14ac:dyDescent="0.2">
      <c r="G17674" s="889"/>
    </row>
    <row r="17675" spans="7:7" ht="10.5" customHeight="1" x14ac:dyDescent="0.2">
      <c r="G17675" s="889"/>
    </row>
    <row r="17676" spans="7:7" ht="10.5" customHeight="1" x14ac:dyDescent="0.2">
      <c r="G17676" s="889"/>
    </row>
    <row r="17677" spans="7:7" ht="10.5" customHeight="1" x14ac:dyDescent="0.2">
      <c r="G17677" s="889"/>
    </row>
    <row r="17678" spans="7:7" ht="10.5" customHeight="1" x14ac:dyDescent="0.2">
      <c r="G17678" s="889"/>
    </row>
    <row r="17679" spans="7:7" ht="10.5" customHeight="1" x14ac:dyDescent="0.2">
      <c r="G17679" s="889"/>
    </row>
    <row r="17680" spans="7:7" ht="10.5" customHeight="1" x14ac:dyDescent="0.2">
      <c r="G17680" s="889"/>
    </row>
    <row r="17681" spans="7:7" ht="10.5" customHeight="1" x14ac:dyDescent="0.2">
      <c r="G17681" s="889"/>
    </row>
    <row r="17682" spans="7:7" ht="10.5" customHeight="1" x14ac:dyDescent="0.2">
      <c r="G17682" s="889"/>
    </row>
    <row r="17683" spans="7:7" ht="10.5" customHeight="1" x14ac:dyDescent="0.2">
      <c r="G17683" s="889"/>
    </row>
    <row r="17684" spans="7:7" ht="10.5" customHeight="1" x14ac:dyDescent="0.2">
      <c r="G17684" s="889"/>
    </row>
    <row r="17685" spans="7:7" ht="10.5" customHeight="1" x14ac:dyDescent="0.2">
      <c r="G17685" s="889"/>
    </row>
    <row r="17686" spans="7:7" ht="10.5" customHeight="1" x14ac:dyDescent="0.2">
      <c r="G17686" s="889"/>
    </row>
    <row r="17687" spans="7:7" ht="10.5" customHeight="1" x14ac:dyDescent="0.2">
      <c r="G17687" s="889"/>
    </row>
    <row r="17688" spans="7:7" ht="10.5" customHeight="1" x14ac:dyDescent="0.2">
      <c r="G17688" s="889"/>
    </row>
    <row r="17689" spans="7:7" ht="10.5" customHeight="1" x14ac:dyDescent="0.2">
      <c r="G17689" s="889"/>
    </row>
    <row r="17690" spans="7:7" ht="10.5" customHeight="1" x14ac:dyDescent="0.2">
      <c r="G17690" s="889"/>
    </row>
    <row r="17691" spans="7:7" ht="10.5" customHeight="1" x14ac:dyDescent="0.2">
      <c r="G17691" s="889"/>
    </row>
    <row r="17692" spans="7:7" ht="10.5" customHeight="1" x14ac:dyDescent="0.2">
      <c r="G17692" s="889"/>
    </row>
    <row r="17693" spans="7:7" ht="10.5" customHeight="1" x14ac:dyDescent="0.2">
      <c r="G17693" s="889"/>
    </row>
    <row r="17694" spans="7:7" ht="10.5" customHeight="1" x14ac:dyDescent="0.2">
      <c r="G17694" s="889"/>
    </row>
    <row r="17695" spans="7:7" ht="10.5" customHeight="1" x14ac:dyDescent="0.2">
      <c r="G17695" s="889"/>
    </row>
    <row r="17696" spans="7:7" ht="10.5" customHeight="1" x14ac:dyDescent="0.2">
      <c r="G17696" s="889"/>
    </row>
    <row r="17697" spans="7:7" ht="10.5" customHeight="1" x14ac:dyDescent="0.2">
      <c r="G17697" s="889"/>
    </row>
    <row r="17698" spans="7:7" ht="10.5" customHeight="1" x14ac:dyDescent="0.2">
      <c r="G17698" s="889"/>
    </row>
    <row r="17699" spans="7:7" ht="10.5" customHeight="1" x14ac:dyDescent="0.2">
      <c r="G17699" s="889"/>
    </row>
    <row r="17700" spans="7:7" ht="10.5" customHeight="1" x14ac:dyDescent="0.2">
      <c r="G17700" s="889"/>
    </row>
    <row r="17701" spans="7:7" ht="10.5" customHeight="1" x14ac:dyDescent="0.2">
      <c r="G17701" s="889"/>
    </row>
    <row r="17702" spans="7:7" ht="10.5" customHeight="1" x14ac:dyDescent="0.2">
      <c r="G17702" s="889"/>
    </row>
    <row r="17703" spans="7:7" ht="10.5" customHeight="1" x14ac:dyDescent="0.2">
      <c r="G17703" s="889"/>
    </row>
    <row r="17704" spans="7:7" ht="10.5" customHeight="1" x14ac:dyDescent="0.2">
      <c r="G17704" s="889"/>
    </row>
    <row r="17705" spans="7:7" ht="10.5" customHeight="1" x14ac:dyDescent="0.2">
      <c r="G17705" s="889"/>
    </row>
    <row r="17706" spans="7:7" ht="10.5" customHeight="1" x14ac:dyDescent="0.2">
      <c r="G17706" s="889"/>
    </row>
    <row r="17707" spans="7:7" ht="10.5" customHeight="1" x14ac:dyDescent="0.2">
      <c r="G17707" s="889"/>
    </row>
    <row r="17708" spans="7:7" ht="10.5" customHeight="1" x14ac:dyDescent="0.2">
      <c r="G17708" s="889"/>
    </row>
    <row r="17709" spans="7:7" ht="10.5" customHeight="1" x14ac:dyDescent="0.2">
      <c r="G17709" s="889"/>
    </row>
    <row r="17710" spans="7:7" ht="10.5" customHeight="1" x14ac:dyDescent="0.2">
      <c r="G17710" s="889"/>
    </row>
    <row r="17711" spans="7:7" ht="10.5" customHeight="1" x14ac:dyDescent="0.2">
      <c r="G17711" s="889"/>
    </row>
    <row r="17712" spans="7:7" ht="10.5" customHeight="1" x14ac:dyDescent="0.2">
      <c r="G17712" s="889"/>
    </row>
    <row r="17713" spans="7:7" ht="10.5" customHeight="1" x14ac:dyDescent="0.2">
      <c r="G17713" s="889"/>
    </row>
    <row r="17714" spans="7:7" ht="10.5" customHeight="1" x14ac:dyDescent="0.2">
      <c r="G17714" s="889"/>
    </row>
    <row r="17715" spans="7:7" ht="10.5" customHeight="1" x14ac:dyDescent="0.2">
      <c r="G17715" s="889"/>
    </row>
    <row r="17716" spans="7:7" ht="10.5" customHeight="1" x14ac:dyDescent="0.2">
      <c r="G17716" s="889"/>
    </row>
    <row r="17717" spans="7:7" ht="10.5" customHeight="1" x14ac:dyDescent="0.2">
      <c r="G17717" s="889"/>
    </row>
    <row r="17718" spans="7:7" ht="10.5" customHeight="1" x14ac:dyDescent="0.2">
      <c r="G17718" s="889"/>
    </row>
    <row r="17719" spans="7:7" ht="10.5" customHeight="1" x14ac:dyDescent="0.2">
      <c r="G17719" s="889"/>
    </row>
    <row r="17720" spans="7:7" ht="10.5" customHeight="1" x14ac:dyDescent="0.2">
      <c r="G17720" s="889"/>
    </row>
    <row r="17721" spans="7:7" ht="10.5" customHeight="1" x14ac:dyDescent="0.2">
      <c r="G17721" s="889"/>
    </row>
    <row r="17722" spans="7:7" ht="10.5" customHeight="1" x14ac:dyDescent="0.2">
      <c r="G17722" s="889"/>
    </row>
    <row r="17723" spans="7:7" ht="10.5" customHeight="1" x14ac:dyDescent="0.2">
      <c r="G17723" s="889"/>
    </row>
    <row r="17724" spans="7:7" ht="10.5" customHeight="1" x14ac:dyDescent="0.2">
      <c r="G17724" s="889"/>
    </row>
    <row r="17725" spans="7:7" ht="10.5" customHeight="1" x14ac:dyDescent="0.2">
      <c r="G17725" s="889"/>
    </row>
    <row r="17726" spans="7:7" ht="10.5" customHeight="1" x14ac:dyDescent="0.2">
      <c r="G17726" s="889"/>
    </row>
    <row r="17727" spans="7:7" ht="10.5" customHeight="1" x14ac:dyDescent="0.2">
      <c r="G17727" s="889"/>
    </row>
    <row r="17728" spans="7:7" ht="10.5" customHeight="1" x14ac:dyDescent="0.2">
      <c r="G17728" s="889"/>
    </row>
    <row r="17729" spans="7:7" ht="10.5" customHeight="1" x14ac:dyDescent="0.2">
      <c r="G17729" s="889"/>
    </row>
    <row r="17730" spans="7:7" ht="10.5" customHeight="1" x14ac:dyDescent="0.2">
      <c r="G17730" s="889"/>
    </row>
    <row r="17731" spans="7:7" ht="10.5" customHeight="1" x14ac:dyDescent="0.2">
      <c r="G17731" s="889"/>
    </row>
    <row r="17732" spans="7:7" ht="10.5" customHeight="1" x14ac:dyDescent="0.2">
      <c r="G17732" s="889"/>
    </row>
    <row r="17733" spans="7:7" ht="10.5" customHeight="1" x14ac:dyDescent="0.2">
      <c r="G17733" s="889"/>
    </row>
    <row r="17734" spans="7:7" ht="10.5" customHeight="1" x14ac:dyDescent="0.2">
      <c r="G17734" s="889"/>
    </row>
    <row r="17735" spans="7:7" ht="10.5" customHeight="1" x14ac:dyDescent="0.2">
      <c r="G17735" s="889"/>
    </row>
    <row r="17736" spans="7:7" ht="10.5" customHeight="1" x14ac:dyDescent="0.2">
      <c r="G17736" s="889"/>
    </row>
    <row r="17737" spans="7:7" ht="10.5" customHeight="1" x14ac:dyDescent="0.2">
      <c r="G17737" s="889"/>
    </row>
    <row r="17738" spans="7:7" ht="10.5" customHeight="1" x14ac:dyDescent="0.2">
      <c r="G17738" s="889"/>
    </row>
    <row r="17739" spans="7:7" ht="10.5" customHeight="1" x14ac:dyDescent="0.2">
      <c r="G17739" s="889"/>
    </row>
    <row r="17740" spans="7:7" ht="10.5" customHeight="1" x14ac:dyDescent="0.2">
      <c r="G17740" s="889"/>
    </row>
    <row r="17741" spans="7:7" ht="10.5" customHeight="1" x14ac:dyDescent="0.2">
      <c r="G17741" s="889"/>
    </row>
    <row r="17742" spans="7:7" ht="10.5" customHeight="1" x14ac:dyDescent="0.2">
      <c r="G17742" s="889"/>
    </row>
    <row r="17743" spans="7:7" ht="10.5" customHeight="1" x14ac:dyDescent="0.2">
      <c r="G17743" s="889"/>
    </row>
    <row r="17744" spans="7:7" ht="10.5" customHeight="1" x14ac:dyDescent="0.2">
      <c r="G17744" s="889"/>
    </row>
    <row r="17745" spans="7:7" ht="10.5" customHeight="1" x14ac:dyDescent="0.2">
      <c r="G17745" s="889"/>
    </row>
    <row r="17746" spans="7:7" ht="10.5" customHeight="1" x14ac:dyDescent="0.2">
      <c r="G17746" s="889"/>
    </row>
    <row r="17747" spans="7:7" ht="10.5" customHeight="1" x14ac:dyDescent="0.2">
      <c r="G17747" s="889"/>
    </row>
    <row r="17748" spans="7:7" ht="10.5" customHeight="1" x14ac:dyDescent="0.2">
      <c r="G17748" s="889"/>
    </row>
    <row r="17749" spans="7:7" ht="10.5" customHeight="1" x14ac:dyDescent="0.2">
      <c r="G17749" s="889"/>
    </row>
    <row r="17750" spans="7:7" ht="10.5" customHeight="1" x14ac:dyDescent="0.2">
      <c r="G17750" s="889"/>
    </row>
    <row r="17751" spans="7:7" ht="10.5" customHeight="1" x14ac:dyDescent="0.2">
      <c r="G17751" s="889"/>
    </row>
    <row r="17752" spans="7:7" ht="10.5" customHeight="1" x14ac:dyDescent="0.2">
      <c r="G17752" s="889"/>
    </row>
    <row r="17753" spans="7:7" ht="10.5" customHeight="1" x14ac:dyDescent="0.2">
      <c r="G17753" s="889"/>
    </row>
    <row r="17754" spans="7:7" ht="10.5" customHeight="1" x14ac:dyDescent="0.2">
      <c r="G17754" s="889"/>
    </row>
    <row r="17755" spans="7:7" ht="10.5" customHeight="1" x14ac:dyDescent="0.2">
      <c r="G17755" s="889"/>
    </row>
    <row r="17756" spans="7:7" ht="10.5" customHeight="1" x14ac:dyDescent="0.2">
      <c r="G17756" s="889"/>
    </row>
    <row r="17757" spans="7:7" ht="10.5" customHeight="1" x14ac:dyDescent="0.2">
      <c r="G17757" s="889"/>
    </row>
    <row r="17758" spans="7:7" ht="10.5" customHeight="1" x14ac:dyDescent="0.2">
      <c r="G17758" s="889"/>
    </row>
    <row r="17759" spans="7:7" ht="10.5" customHeight="1" x14ac:dyDescent="0.2">
      <c r="G17759" s="889"/>
    </row>
    <row r="17760" spans="7:7" ht="10.5" customHeight="1" x14ac:dyDescent="0.2">
      <c r="G17760" s="889"/>
    </row>
    <row r="17761" spans="7:7" ht="10.5" customHeight="1" x14ac:dyDescent="0.2">
      <c r="G17761" s="889"/>
    </row>
    <row r="17762" spans="7:7" ht="10.5" customHeight="1" x14ac:dyDescent="0.2">
      <c r="G17762" s="889"/>
    </row>
    <row r="17763" spans="7:7" ht="10.5" customHeight="1" x14ac:dyDescent="0.2">
      <c r="G17763" s="889"/>
    </row>
    <row r="17764" spans="7:7" ht="10.5" customHeight="1" x14ac:dyDescent="0.2">
      <c r="G17764" s="889"/>
    </row>
    <row r="17765" spans="7:7" ht="10.5" customHeight="1" x14ac:dyDescent="0.2">
      <c r="G17765" s="889"/>
    </row>
    <row r="17766" spans="7:7" ht="10.5" customHeight="1" x14ac:dyDescent="0.2">
      <c r="G17766" s="889"/>
    </row>
    <row r="17767" spans="7:7" ht="10.5" customHeight="1" x14ac:dyDescent="0.2">
      <c r="G17767" s="889"/>
    </row>
    <row r="17768" spans="7:7" ht="10.5" customHeight="1" x14ac:dyDescent="0.2">
      <c r="G17768" s="889"/>
    </row>
    <row r="17769" spans="7:7" ht="10.5" customHeight="1" x14ac:dyDescent="0.2">
      <c r="G17769" s="889"/>
    </row>
    <row r="17770" spans="7:7" ht="10.5" customHeight="1" x14ac:dyDescent="0.2">
      <c r="G17770" s="889"/>
    </row>
    <row r="17771" spans="7:7" ht="10.5" customHeight="1" x14ac:dyDescent="0.2">
      <c r="G17771" s="889"/>
    </row>
    <row r="17772" spans="7:7" ht="10.5" customHeight="1" x14ac:dyDescent="0.2">
      <c r="G17772" s="889"/>
    </row>
    <row r="17773" spans="7:7" ht="10.5" customHeight="1" x14ac:dyDescent="0.2">
      <c r="G17773" s="889"/>
    </row>
    <row r="17774" spans="7:7" ht="10.5" customHeight="1" x14ac:dyDescent="0.2">
      <c r="G17774" s="889"/>
    </row>
    <row r="17775" spans="7:7" ht="10.5" customHeight="1" x14ac:dyDescent="0.2">
      <c r="G17775" s="889"/>
    </row>
    <row r="17776" spans="7:7" ht="10.5" customHeight="1" x14ac:dyDescent="0.2">
      <c r="G17776" s="889"/>
    </row>
    <row r="17777" spans="7:7" ht="10.5" customHeight="1" x14ac:dyDescent="0.2">
      <c r="G17777" s="889"/>
    </row>
    <row r="17778" spans="7:7" ht="10.5" customHeight="1" x14ac:dyDescent="0.2">
      <c r="G17778" s="889"/>
    </row>
    <row r="17779" spans="7:7" ht="10.5" customHeight="1" x14ac:dyDescent="0.2">
      <c r="G17779" s="889"/>
    </row>
    <row r="17780" spans="7:7" ht="10.5" customHeight="1" x14ac:dyDescent="0.2">
      <c r="G17780" s="889"/>
    </row>
    <row r="17781" spans="7:7" ht="10.5" customHeight="1" x14ac:dyDescent="0.2">
      <c r="G17781" s="889"/>
    </row>
    <row r="17782" spans="7:7" ht="10.5" customHeight="1" x14ac:dyDescent="0.2">
      <c r="G17782" s="889"/>
    </row>
    <row r="17783" spans="7:7" ht="10.5" customHeight="1" x14ac:dyDescent="0.2">
      <c r="G17783" s="889"/>
    </row>
    <row r="17784" spans="7:7" ht="10.5" customHeight="1" x14ac:dyDescent="0.2">
      <c r="G17784" s="889"/>
    </row>
    <row r="17785" spans="7:7" ht="10.5" customHeight="1" x14ac:dyDescent="0.2">
      <c r="G17785" s="889"/>
    </row>
    <row r="17786" spans="7:7" ht="10.5" customHeight="1" x14ac:dyDescent="0.2">
      <c r="G17786" s="889"/>
    </row>
    <row r="17787" spans="7:7" ht="10.5" customHeight="1" x14ac:dyDescent="0.2">
      <c r="G17787" s="889"/>
    </row>
    <row r="17788" spans="7:7" ht="10.5" customHeight="1" x14ac:dyDescent="0.2">
      <c r="G17788" s="889"/>
    </row>
    <row r="17789" spans="7:7" ht="10.5" customHeight="1" x14ac:dyDescent="0.2">
      <c r="G17789" s="889"/>
    </row>
    <row r="17790" spans="7:7" ht="10.5" customHeight="1" x14ac:dyDescent="0.2">
      <c r="G17790" s="889"/>
    </row>
    <row r="17791" spans="7:7" ht="10.5" customHeight="1" x14ac:dyDescent="0.2">
      <c r="G17791" s="889"/>
    </row>
    <row r="17792" spans="7:7" ht="10.5" customHeight="1" x14ac:dyDescent="0.2">
      <c r="G17792" s="889"/>
    </row>
    <row r="17793" spans="7:7" ht="10.5" customHeight="1" x14ac:dyDescent="0.2">
      <c r="G17793" s="889"/>
    </row>
    <row r="17794" spans="7:7" ht="10.5" customHeight="1" x14ac:dyDescent="0.2">
      <c r="G17794" s="889"/>
    </row>
    <row r="17795" spans="7:7" ht="10.5" customHeight="1" x14ac:dyDescent="0.2">
      <c r="G17795" s="889"/>
    </row>
    <row r="17796" spans="7:7" ht="10.5" customHeight="1" x14ac:dyDescent="0.2">
      <c r="G17796" s="889"/>
    </row>
    <row r="17797" spans="7:7" ht="10.5" customHeight="1" x14ac:dyDescent="0.2">
      <c r="G17797" s="889"/>
    </row>
    <row r="17798" spans="7:7" ht="10.5" customHeight="1" x14ac:dyDescent="0.2">
      <c r="G17798" s="889"/>
    </row>
    <row r="17799" spans="7:7" ht="10.5" customHeight="1" x14ac:dyDescent="0.2">
      <c r="G17799" s="889"/>
    </row>
    <row r="17800" spans="7:7" ht="10.5" customHeight="1" x14ac:dyDescent="0.2">
      <c r="G17800" s="889"/>
    </row>
    <row r="17801" spans="7:7" ht="10.5" customHeight="1" x14ac:dyDescent="0.2">
      <c r="G17801" s="889"/>
    </row>
    <row r="17802" spans="7:7" ht="10.5" customHeight="1" x14ac:dyDescent="0.2">
      <c r="G17802" s="889"/>
    </row>
    <row r="17803" spans="7:7" ht="10.5" customHeight="1" x14ac:dyDescent="0.2">
      <c r="G17803" s="889"/>
    </row>
    <row r="17804" spans="7:7" ht="10.5" customHeight="1" x14ac:dyDescent="0.2">
      <c r="G17804" s="889"/>
    </row>
    <row r="17805" spans="7:7" ht="10.5" customHeight="1" x14ac:dyDescent="0.2">
      <c r="G17805" s="889"/>
    </row>
    <row r="17806" spans="7:7" ht="10.5" customHeight="1" x14ac:dyDescent="0.2">
      <c r="G17806" s="889"/>
    </row>
    <row r="17807" spans="7:7" ht="10.5" customHeight="1" x14ac:dyDescent="0.2">
      <c r="G17807" s="889"/>
    </row>
    <row r="17808" spans="7:7" ht="10.5" customHeight="1" x14ac:dyDescent="0.2">
      <c r="G17808" s="889"/>
    </row>
    <row r="17809" spans="7:7" ht="10.5" customHeight="1" x14ac:dyDescent="0.2">
      <c r="G17809" s="889"/>
    </row>
    <row r="17810" spans="7:7" ht="10.5" customHeight="1" x14ac:dyDescent="0.2">
      <c r="G17810" s="889"/>
    </row>
    <row r="17811" spans="7:7" ht="10.5" customHeight="1" x14ac:dyDescent="0.2">
      <c r="G17811" s="889"/>
    </row>
    <row r="17812" spans="7:7" ht="10.5" customHeight="1" x14ac:dyDescent="0.2">
      <c r="G17812" s="889"/>
    </row>
    <row r="17813" spans="7:7" ht="10.5" customHeight="1" x14ac:dyDescent="0.2">
      <c r="G17813" s="889"/>
    </row>
    <row r="17814" spans="7:7" ht="10.5" customHeight="1" x14ac:dyDescent="0.2">
      <c r="G17814" s="889"/>
    </row>
    <row r="17815" spans="7:7" ht="10.5" customHeight="1" x14ac:dyDescent="0.2">
      <c r="G17815" s="889"/>
    </row>
    <row r="17816" spans="7:7" ht="10.5" customHeight="1" x14ac:dyDescent="0.2">
      <c r="G17816" s="889"/>
    </row>
    <row r="17817" spans="7:7" ht="10.5" customHeight="1" x14ac:dyDescent="0.2">
      <c r="G17817" s="889"/>
    </row>
    <row r="17818" spans="7:7" ht="10.5" customHeight="1" x14ac:dyDescent="0.2">
      <c r="G17818" s="889"/>
    </row>
    <row r="17819" spans="7:7" ht="10.5" customHeight="1" x14ac:dyDescent="0.2">
      <c r="G17819" s="889"/>
    </row>
    <row r="17820" spans="7:7" ht="10.5" customHeight="1" x14ac:dyDescent="0.2">
      <c r="G17820" s="889"/>
    </row>
    <row r="17821" spans="7:7" ht="10.5" customHeight="1" x14ac:dyDescent="0.2">
      <c r="G17821" s="889"/>
    </row>
    <row r="17822" spans="7:7" ht="10.5" customHeight="1" x14ac:dyDescent="0.2">
      <c r="G17822" s="889"/>
    </row>
    <row r="17823" spans="7:7" ht="10.5" customHeight="1" x14ac:dyDescent="0.2">
      <c r="G17823" s="889"/>
    </row>
    <row r="17824" spans="7:7" ht="10.5" customHeight="1" x14ac:dyDescent="0.2">
      <c r="G17824" s="889"/>
    </row>
    <row r="17825" spans="7:7" ht="10.5" customHeight="1" x14ac:dyDescent="0.2">
      <c r="G17825" s="889"/>
    </row>
    <row r="17826" spans="7:7" ht="10.5" customHeight="1" x14ac:dyDescent="0.2">
      <c r="G17826" s="889"/>
    </row>
    <row r="17827" spans="7:7" ht="10.5" customHeight="1" x14ac:dyDescent="0.2">
      <c r="G17827" s="889"/>
    </row>
    <row r="17828" spans="7:7" ht="10.5" customHeight="1" x14ac:dyDescent="0.2">
      <c r="G17828" s="889"/>
    </row>
    <row r="17829" spans="7:7" ht="10.5" customHeight="1" x14ac:dyDescent="0.2">
      <c r="G17829" s="889"/>
    </row>
    <row r="17830" spans="7:7" ht="10.5" customHeight="1" x14ac:dyDescent="0.2">
      <c r="G17830" s="889"/>
    </row>
    <row r="17831" spans="7:7" ht="10.5" customHeight="1" x14ac:dyDescent="0.2">
      <c r="G17831" s="889"/>
    </row>
    <row r="17832" spans="7:7" ht="10.5" customHeight="1" x14ac:dyDescent="0.2">
      <c r="G17832" s="889"/>
    </row>
    <row r="17833" spans="7:7" ht="10.5" customHeight="1" x14ac:dyDescent="0.2">
      <c r="G17833" s="889"/>
    </row>
    <row r="17834" spans="7:7" ht="10.5" customHeight="1" x14ac:dyDescent="0.2">
      <c r="G17834" s="889"/>
    </row>
    <row r="17835" spans="7:7" ht="10.5" customHeight="1" x14ac:dyDescent="0.2">
      <c r="G17835" s="889"/>
    </row>
    <row r="17836" spans="7:7" ht="10.5" customHeight="1" x14ac:dyDescent="0.2">
      <c r="G17836" s="889"/>
    </row>
    <row r="17837" spans="7:7" ht="10.5" customHeight="1" x14ac:dyDescent="0.2">
      <c r="G17837" s="889"/>
    </row>
    <row r="17838" spans="7:7" ht="10.5" customHeight="1" x14ac:dyDescent="0.2">
      <c r="G17838" s="889"/>
    </row>
    <row r="17839" spans="7:7" ht="10.5" customHeight="1" x14ac:dyDescent="0.2">
      <c r="G17839" s="889"/>
    </row>
    <row r="17840" spans="7:7" ht="10.5" customHeight="1" x14ac:dyDescent="0.2">
      <c r="G17840" s="889"/>
    </row>
    <row r="17841" spans="7:7" ht="10.5" customHeight="1" x14ac:dyDescent="0.2">
      <c r="G17841" s="889"/>
    </row>
    <row r="17842" spans="7:7" ht="10.5" customHeight="1" x14ac:dyDescent="0.2">
      <c r="G17842" s="889"/>
    </row>
    <row r="17843" spans="7:7" ht="10.5" customHeight="1" x14ac:dyDescent="0.2">
      <c r="G17843" s="889"/>
    </row>
    <row r="17844" spans="7:7" ht="10.5" customHeight="1" x14ac:dyDescent="0.2">
      <c r="G17844" s="889"/>
    </row>
    <row r="17845" spans="7:7" ht="10.5" customHeight="1" x14ac:dyDescent="0.2">
      <c r="G17845" s="889"/>
    </row>
    <row r="17846" spans="7:7" ht="10.5" customHeight="1" x14ac:dyDescent="0.2">
      <c r="G17846" s="889"/>
    </row>
    <row r="17847" spans="7:7" ht="10.5" customHeight="1" x14ac:dyDescent="0.2">
      <c r="G17847" s="889"/>
    </row>
    <row r="17848" spans="7:7" ht="10.5" customHeight="1" x14ac:dyDescent="0.2">
      <c r="G17848" s="889"/>
    </row>
    <row r="17849" spans="7:7" ht="10.5" customHeight="1" x14ac:dyDescent="0.2">
      <c r="G17849" s="889"/>
    </row>
    <row r="17850" spans="7:7" ht="10.5" customHeight="1" x14ac:dyDescent="0.2">
      <c r="G17850" s="889"/>
    </row>
    <row r="17851" spans="7:7" ht="10.5" customHeight="1" x14ac:dyDescent="0.2">
      <c r="G17851" s="889"/>
    </row>
    <row r="17852" spans="7:7" ht="10.5" customHeight="1" x14ac:dyDescent="0.2">
      <c r="G17852" s="889"/>
    </row>
    <row r="17853" spans="7:7" ht="10.5" customHeight="1" x14ac:dyDescent="0.2">
      <c r="G17853" s="889"/>
    </row>
    <row r="17854" spans="7:7" ht="10.5" customHeight="1" x14ac:dyDescent="0.2">
      <c r="G17854" s="889"/>
    </row>
    <row r="17855" spans="7:7" ht="10.5" customHeight="1" x14ac:dyDescent="0.2">
      <c r="G17855" s="889"/>
    </row>
    <row r="17856" spans="7:7" ht="10.5" customHeight="1" x14ac:dyDescent="0.2">
      <c r="G17856" s="889"/>
    </row>
    <row r="17857" spans="7:7" ht="10.5" customHeight="1" x14ac:dyDescent="0.2">
      <c r="G17857" s="889"/>
    </row>
    <row r="17858" spans="7:7" ht="10.5" customHeight="1" x14ac:dyDescent="0.2">
      <c r="G17858" s="889"/>
    </row>
    <row r="17859" spans="7:7" ht="10.5" customHeight="1" x14ac:dyDescent="0.2">
      <c r="G17859" s="889"/>
    </row>
    <row r="17860" spans="7:7" ht="10.5" customHeight="1" x14ac:dyDescent="0.2">
      <c r="G17860" s="889"/>
    </row>
    <row r="17861" spans="7:7" ht="10.5" customHeight="1" x14ac:dyDescent="0.2">
      <c r="G17861" s="889"/>
    </row>
    <row r="17862" spans="7:7" ht="10.5" customHeight="1" x14ac:dyDescent="0.2">
      <c r="G17862" s="889"/>
    </row>
    <row r="17863" spans="7:7" ht="10.5" customHeight="1" x14ac:dyDescent="0.2">
      <c r="G17863" s="889"/>
    </row>
    <row r="17864" spans="7:7" ht="10.5" customHeight="1" x14ac:dyDescent="0.2">
      <c r="G17864" s="889"/>
    </row>
    <row r="17865" spans="7:7" ht="10.5" customHeight="1" x14ac:dyDescent="0.2">
      <c r="G17865" s="889"/>
    </row>
    <row r="17866" spans="7:7" ht="10.5" customHeight="1" x14ac:dyDescent="0.2">
      <c r="G17866" s="889"/>
    </row>
    <row r="17867" spans="7:7" ht="10.5" customHeight="1" x14ac:dyDescent="0.2">
      <c r="G17867" s="889"/>
    </row>
    <row r="17868" spans="7:7" ht="10.5" customHeight="1" x14ac:dyDescent="0.2">
      <c r="G17868" s="889"/>
    </row>
    <row r="17869" spans="7:7" ht="10.5" customHeight="1" x14ac:dyDescent="0.2">
      <c r="G17869" s="889"/>
    </row>
    <row r="17870" spans="7:7" ht="10.5" customHeight="1" x14ac:dyDescent="0.2">
      <c r="G17870" s="889"/>
    </row>
    <row r="17871" spans="7:7" ht="10.5" customHeight="1" x14ac:dyDescent="0.2">
      <c r="G17871" s="889"/>
    </row>
    <row r="17872" spans="7:7" ht="10.5" customHeight="1" x14ac:dyDescent="0.2">
      <c r="G17872" s="889"/>
    </row>
    <row r="17873" spans="7:7" ht="10.5" customHeight="1" x14ac:dyDescent="0.2">
      <c r="G17873" s="889"/>
    </row>
    <row r="17874" spans="7:7" ht="10.5" customHeight="1" x14ac:dyDescent="0.2">
      <c r="G17874" s="889"/>
    </row>
    <row r="17875" spans="7:7" ht="10.5" customHeight="1" x14ac:dyDescent="0.2">
      <c r="G17875" s="889"/>
    </row>
    <row r="17876" spans="7:7" ht="10.5" customHeight="1" x14ac:dyDescent="0.2">
      <c r="G17876" s="889"/>
    </row>
    <row r="17877" spans="7:7" ht="10.5" customHeight="1" x14ac:dyDescent="0.2">
      <c r="G17877" s="889"/>
    </row>
    <row r="17878" spans="7:7" ht="10.5" customHeight="1" x14ac:dyDescent="0.2">
      <c r="G17878" s="889"/>
    </row>
    <row r="17879" spans="7:7" ht="10.5" customHeight="1" x14ac:dyDescent="0.2">
      <c r="G17879" s="889"/>
    </row>
    <row r="17880" spans="7:7" ht="10.5" customHeight="1" x14ac:dyDescent="0.2">
      <c r="G17880" s="889"/>
    </row>
    <row r="17881" spans="7:7" ht="10.5" customHeight="1" x14ac:dyDescent="0.2">
      <c r="G17881" s="889"/>
    </row>
    <row r="17882" spans="7:7" ht="10.5" customHeight="1" x14ac:dyDescent="0.2">
      <c r="G17882" s="889"/>
    </row>
    <row r="17883" spans="7:7" ht="10.5" customHeight="1" x14ac:dyDescent="0.2">
      <c r="G17883" s="889"/>
    </row>
    <row r="17884" spans="7:7" ht="10.5" customHeight="1" x14ac:dyDescent="0.2">
      <c r="G17884" s="889"/>
    </row>
    <row r="17885" spans="7:7" ht="10.5" customHeight="1" x14ac:dyDescent="0.2">
      <c r="G17885" s="889"/>
    </row>
    <row r="17886" spans="7:7" ht="10.5" customHeight="1" x14ac:dyDescent="0.2">
      <c r="G17886" s="889"/>
    </row>
    <row r="17887" spans="7:7" ht="10.5" customHeight="1" x14ac:dyDescent="0.2">
      <c r="G17887" s="889"/>
    </row>
    <row r="17888" spans="7:7" ht="10.5" customHeight="1" x14ac:dyDescent="0.2">
      <c r="G17888" s="889"/>
    </row>
    <row r="17889" spans="7:7" ht="10.5" customHeight="1" x14ac:dyDescent="0.2">
      <c r="G17889" s="889"/>
    </row>
    <row r="17890" spans="7:7" ht="10.5" customHeight="1" x14ac:dyDescent="0.2">
      <c r="G17890" s="889"/>
    </row>
    <row r="17891" spans="7:7" ht="10.5" customHeight="1" x14ac:dyDescent="0.2">
      <c r="G17891" s="889"/>
    </row>
    <row r="17892" spans="7:7" ht="10.5" customHeight="1" x14ac:dyDescent="0.2">
      <c r="G17892" s="889"/>
    </row>
    <row r="17893" spans="7:7" ht="10.5" customHeight="1" x14ac:dyDescent="0.2">
      <c r="G17893" s="889"/>
    </row>
    <row r="17894" spans="7:7" ht="10.5" customHeight="1" x14ac:dyDescent="0.2">
      <c r="G17894" s="889"/>
    </row>
    <row r="17895" spans="7:7" ht="10.5" customHeight="1" x14ac:dyDescent="0.2">
      <c r="G17895" s="889"/>
    </row>
    <row r="17896" spans="7:7" ht="10.5" customHeight="1" x14ac:dyDescent="0.2">
      <c r="G17896" s="889"/>
    </row>
    <row r="17897" spans="7:7" ht="10.5" customHeight="1" x14ac:dyDescent="0.2">
      <c r="G17897" s="889"/>
    </row>
    <row r="17898" spans="7:7" ht="10.5" customHeight="1" x14ac:dyDescent="0.2">
      <c r="G17898" s="889"/>
    </row>
    <row r="17899" spans="7:7" ht="10.5" customHeight="1" x14ac:dyDescent="0.2">
      <c r="G17899" s="889"/>
    </row>
    <row r="17900" spans="7:7" ht="10.5" customHeight="1" x14ac:dyDescent="0.2">
      <c r="G17900" s="889"/>
    </row>
    <row r="17901" spans="7:7" ht="10.5" customHeight="1" x14ac:dyDescent="0.2">
      <c r="G17901" s="889"/>
    </row>
    <row r="17902" spans="7:7" ht="10.5" customHeight="1" x14ac:dyDescent="0.2">
      <c r="G17902" s="889"/>
    </row>
    <row r="17903" spans="7:7" ht="10.5" customHeight="1" x14ac:dyDescent="0.2">
      <c r="G17903" s="889"/>
    </row>
    <row r="17904" spans="7:7" ht="10.5" customHeight="1" x14ac:dyDescent="0.2">
      <c r="G17904" s="889"/>
    </row>
    <row r="17905" spans="7:7" ht="10.5" customHeight="1" x14ac:dyDescent="0.2">
      <c r="G17905" s="889"/>
    </row>
    <row r="17906" spans="7:7" ht="10.5" customHeight="1" x14ac:dyDescent="0.2">
      <c r="G17906" s="889"/>
    </row>
    <row r="17907" spans="7:7" ht="10.5" customHeight="1" x14ac:dyDescent="0.2">
      <c r="G17907" s="889"/>
    </row>
    <row r="17908" spans="7:7" ht="10.5" customHeight="1" x14ac:dyDescent="0.2">
      <c r="G17908" s="889"/>
    </row>
    <row r="17909" spans="7:7" ht="10.5" customHeight="1" x14ac:dyDescent="0.2">
      <c r="G17909" s="889"/>
    </row>
    <row r="17910" spans="7:7" ht="10.5" customHeight="1" x14ac:dyDescent="0.2">
      <c r="G17910" s="889"/>
    </row>
    <row r="17911" spans="7:7" ht="10.5" customHeight="1" x14ac:dyDescent="0.2">
      <c r="G17911" s="889"/>
    </row>
    <row r="17912" spans="7:7" ht="10.5" customHeight="1" x14ac:dyDescent="0.2">
      <c r="G17912" s="889"/>
    </row>
    <row r="17913" spans="7:7" ht="10.5" customHeight="1" x14ac:dyDescent="0.2">
      <c r="G17913" s="889"/>
    </row>
    <row r="17914" spans="7:7" ht="10.5" customHeight="1" x14ac:dyDescent="0.2">
      <c r="G17914" s="889"/>
    </row>
    <row r="17915" spans="7:7" ht="10.5" customHeight="1" x14ac:dyDescent="0.2">
      <c r="G17915" s="889"/>
    </row>
    <row r="17916" spans="7:7" ht="10.5" customHeight="1" x14ac:dyDescent="0.2">
      <c r="G17916" s="889"/>
    </row>
    <row r="17917" spans="7:7" ht="10.5" customHeight="1" x14ac:dyDescent="0.2">
      <c r="G17917" s="889"/>
    </row>
    <row r="17918" spans="7:7" ht="10.5" customHeight="1" x14ac:dyDescent="0.2">
      <c r="G17918" s="889"/>
    </row>
    <row r="17919" spans="7:7" ht="10.5" customHeight="1" x14ac:dyDescent="0.2">
      <c r="G17919" s="889"/>
    </row>
    <row r="17920" spans="7:7" ht="10.5" customHeight="1" x14ac:dyDescent="0.2">
      <c r="G17920" s="889"/>
    </row>
    <row r="17921" spans="7:7" ht="10.5" customHeight="1" x14ac:dyDescent="0.2">
      <c r="G17921" s="889"/>
    </row>
    <row r="17922" spans="7:7" ht="10.5" customHeight="1" x14ac:dyDescent="0.2">
      <c r="G17922" s="889"/>
    </row>
    <row r="17923" spans="7:7" ht="10.5" customHeight="1" x14ac:dyDescent="0.2">
      <c r="G17923" s="889"/>
    </row>
    <row r="17924" spans="7:7" ht="10.5" customHeight="1" x14ac:dyDescent="0.2">
      <c r="G17924" s="889"/>
    </row>
    <row r="17925" spans="7:7" ht="10.5" customHeight="1" x14ac:dyDescent="0.2">
      <c r="G17925" s="889"/>
    </row>
    <row r="17926" spans="7:7" ht="10.5" customHeight="1" x14ac:dyDescent="0.2">
      <c r="G17926" s="889"/>
    </row>
    <row r="17927" spans="7:7" ht="10.5" customHeight="1" x14ac:dyDescent="0.2">
      <c r="G17927" s="889"/>
    </row>
    <row r="17928" spans="7:7" ht="10.5" customHeight="1" x14ac:dyDescent="0.2">
      <c r="G17928" s="889"/>
    </row>
    <row r="17929" spans="7:7" ht="10.5" customHeight="1" x14ac:dyDescent="0.2">
      <c r="G17929" s="889"/>
    </row>
    <row r="17930" spans="7:7" ht="10.5" customHeight="1" x14ac:dyDescent="0.2">
      <c r="G17930" s="889"/>
    </row>
    <row r="17931" spans="7:7" ht="10.5" customHeight="1" x14ac:dyDescent="0.2">
      <c r="G17931" s="889"/>
    </row>
    <row r="17932" spans="7:7" ht="10.5" customHeight="1" x14ac:dyDescent="0.2">
      <c r="G17932" s="889"/>
    </row>
    <row r="17933" spans="7:7" ht="10.5" customHeight="1" x14ac:dyDescent="0.2">
      <c r="G17933" s="889"/>
    </row>
    <row r="17934" spans="7:7" ht="10.5" customHeight="1" x14ac:dyDescent="0.2">
      <c r="G17934" s="889"/>
    </row>
    <row r="17935" spans="7:7" ht="10.5" customHeight="1" x14ac:dyDescent="0.2">
      <c r="G17935" s="889"/>
    </row>
    <row r="17936" spans="7:7" ht="10.5" customHeight="1" x14ac:dyDescent="0.2">
      <c r="G17936" s="889"/>
    </row>
    <row r="17937" spans="7:7" ht="10.5" customHeight="1" x14ac:dyDescent="0.2">
      <c r="G17937" s="889"/>
    </row>
    <row r="17938" spans="7:7" ht="10.5" customHeight="1" x14ac:dyDescent="0.2">
      <c r="G17938" s="889"/>
    </row>
    <row r="17939" spans="7:7" ht="10.5" customHeight="1" x14ac:dyDescent="0.2">
      <c r="G17939" s="889"/>
    </row>
    <row r="17940" spans="7:7" ht="10.5" customHeight="1" x14ac:dyDescent="0.2">
      <c r="G17940" s="889"/>
    </row>
    <row r="17941" spans="7:7" ht="10.5" customHeight="1" x14ac:dyDescent="0.2">
      <c r="G17941" s="889"/>
    </row>
    <row r="17942" spans="7:7" ht="10.5" customHeight="1" x14ac:dyDescent="0.2">
      <c r="G17942" s="889"/>
    </row>
    <row r="17943" spans="7:7" ht="10.5" customHeight="1" x14ac:dyDescent="0.2">
      <c r="G17943" s="889"/>
    </row>
    <row r="17944" spans="7:7" ht="10.5" customHeight="1" x14ac:dyDescent="0.2">
      <c r="G17944" s="889"/>
    </row>
    <row r="17945" spans="7:7" ht="10.5" customHeight="1" x14ac:dyDescent="0.2">
      <c r="G17945" s="889"/>
    </row>
    <row r="17946" spans="7:7" ht="10.5" customHeight="1" x14ac:dyDescent="0.2">
      <c r="G17946" s="889"/>
    </row>
    <row r="17947" spans="7:7" ht="10.5" customHeight="1" x14ac:dyDescent="0.2">
      <c r="G17947" s="889"/>
    </row>
    <row r="17948" spans="7:7" ht="10.5" customHeight="1" x14ac:dyDescent="0.2">
      <c r="G17948" s="889"/>
    </row>
    <row r="17949" spans="7:7" ht="10.5" customHeight="1" x14ac:dyDescent="0.2">
      <c r="G17949" s="889"/>
    </row>
    <row r="17950" spans="7:7" ht="10.5" customHeight="1" x14ac:dyDescent="0.2">
      <c r="G17950" s="889"/>
    </row>
    <row r="17951" spans="7:7" ht="10.5" customHeight="1" x14ac:dyDescent="0.2">
      <c r="G17951" s="889"/>
    </row>
    <row r="17952" spans="7:7" ht="10.5" customHeight="1" x14ac:dyDescent="0.2">
      <c r="G17952" s="889"/>
    </row>
    <row r="17953" spans="7:7" ht="10.5" customHeight="1" x14ac:dyDescent="0.2">
      <c r="G17953" s="889"/>
    </row>
    <row r="17954" spans="7:7" ht="10.5" customHeight="1" x14ac:dyDescent="0.2">
      <c r="G17954" s="889"/>
    </row>
    <row r="17955" spans="7:7" ht="10.5" customHeight="1" x14ac:dyDescent="0.2">
      <c r="G17955" s="889"/>
    </row>
    <row r="17956" spans="7:7" ht="10.5" customHeight="1" x14ac:dyDescent="0.2">
      <c r="G17956" s="889"/>
    </row>
    <row r="17957" spans="7:7" ht="10.5" customHeight="1" x14ac:dyDescent="0.2">
      <c r="G17957" s="889"/>
    </row>
    <row r="17958" spans="7:7" ht="10.5" customHeight="1" x14ac:dyDescent="0.2">
      <c r="G17958" s="889"/>
    </row>
    <row r="17959" spans="7:7" ht="10.5" customHeight="1" x14ac:dyDescent="0.2">
      <c r="G17959" s="889"/>
    </row>
    <row r="17960" spans="7:7" ht="10.5" customHeight="1" x14ac:dyDescent="0.2">
      <c r="G17960" s="889"/>
    </row>
    <row r="17961" spans="7:7" ht="10.5" customHeight="1" x14ac:dyDescent="0.2">
      <c r="G17961" s="889"/>
    </row>
    <row r="17962" spans="7:7" ht="10.5" customHeight="1" x14ac:dyDescent="0.2">
      <c r="G17962" s="889"/>
    </row>
    <row r="17963" spans="7:7" ht="10.5" customHeight="1" x14ac:dyDescent="0.2">
      <c r="G17963" s="889"/>
    </row>
    <row r="17964" spans="7:7" ht="10.5" customHeight="1" x14ac:dyDescent="0.2">
      <c r="G17964" s="889"/>
    </row>
    <row r="17965" spans="7:7" ht="10.5" customHeight="1" x14ac:dyDescent="0.2">
      <c r="G17965" s="889"/>
    </row>
    <row r="17966" spans="7:7" ht="10.5" customHeight="1" x14ac:dyDescent="0.2">
      <c r="G17966" s="889"/>
    </row>
    <row r="17967" spans="7:7" ht="10.5" customHeight="1" x14ac:dyDescent="0.2">
      <c r="G17967" s="889"/>
    </row>
    <row r="17968" spans="7:7" ht="10.5" customHeight="1" x14ac:dyDescent="0.2">
      <c r="G17968" s="889"/>
    </row>
    <row r="17969" spans="7:7" ht="10.5" customHeight="1" x14ac:dyDescent="0.2">
      <c r="G17969" s="889"/>
    </row>
    <row r="17970" spans="7:7" ht="10.5" customHeight="1" x14ac:dyDescent="0.2">
      <c r="G17970" s="889"/>
    </row>
    <row r="17971" spans="7:7" ht="10.5" customHeight="1" x14ac:dyDescent="0.2">
      <c r="G17971" s="889"/>
    </row>
    <row r="17972" spans="7:7" ht="10.5" customHeight="1" x14ac:dyDescent="0.2">
      <c r="G17972" s="889"/>
    </row>
    <row r="17973" spans="7:7" ht="10.5" customHeight="1" x14ac:dyDescent="0.2">
      <c r="G17973" s="889"/>
    </row>
    <row r="17974" spans="7:7" ht="10.5" customHeight="1" x14ac:dyDescent="0.2">
      <c r="G17974" s="889"/>
    </row>
    <row r="17975" spans="7:7" ht="10.5" customHeight="1" x14ac:dyDescent="0.2">
      <c r="G17975" s="889"/>
    </row>
    <row r="17976" spans="7:7" ht="10.5" customHeight="1" x14ac:dyDescent="0.2">
      <c r="G17976" s="889"/>
    </row>
    <row r="17977" spans="7:7" ht="10.5" customHeight="1" x14ac:dyDescent="0.2">
      <c r="G17977" s="889"/>
    </row>
    <row r="17978" spans="7:7" ht="10.5" customHeight="1" x14ac:dyDescent="0.2">
      <c r="G17978" s="889"/>
    </row>
    <row r="17979" spans="7:7" ht="10.5" customHeight="1" x14ac:dyDescent="0.2">
      <c r="G17979" s="889"/>
    </row>
    <row r="17980" spans="7:7" ht="10.5" customHeight="1" x14ac:dyDescent="0.2">
      <c r="G17980" s="889"/>
    </row>
    <row r="17981" spans="7:7" ht="10.5" customHeight="1" x14ac:dyDescent="0.2">
      <c r="G17981" s="889"/>
    </row>
    <row r="17982" spans="7:7" ht="10.5" customHeight="1" x14ac:dyDescent="0.2">
      <c r="G17982" s="889"/>
    </row>
    <row r="17983" spans="7:7" ht="10.5" customHeight="1" x14ac:dyDescent="0.2">
      <c r="G17983" s="889"/>
    </row>
    <row r="17984" spans="7:7" ht="10.5" customHeight="1" x14ac:dyDescent="0.2">
      <c r="G17984" s="889"/>
    </row>
    <row r="17985" spans="7:7" ht="10.5" customHeight="1" x14ac:dyDescent="0.2">
      <c r="G17985" s="889"/>
    </row>
    <row r="17986" spans="7:7" ht="10.5" customHeight="1" x14ac:dyDescent="0.2">
      <c r="G17986" s="889"/>
    </row>
    <row r="17987" spans="7:7" ht="10.5" customHeight="1" x14ac:dyDescent="0.2">
      <c r="G17987" s="889"/>
    </row>
    <row r="17988" spans="7:7" ht="10.5" customHeight="1" x14ac:dyDescent="0.2">
      <c r="G17988" s="889"/>
    </row>
    <row r="17989" spans="7:7" ht="10.5" customHeight="1" x14ac:dyDescent="0.2">
      <c r="G17989" s="889"/>
    </row>
    <row r="17990" spans="7:7" ht="10.5" customHeight="1" x14ac:dyDescent="0.2">
      <c r="G17990" s="889"/>
    </row>
    <row r="17991" spans="7:7" ht="10.5" customHeight="1" x14ac:dyDescent="0.2">
      <c r="G17991" s="889"/>
    </row>
    <row r="17992" spans="7:7" ht="10.5" customHeight="1" x14ac:dyDescent="0.2">
      <c r="G17992" s="889"/>
    </row>
    <row r="17993" spans="7:7" ht="10.5" customHeight="1" x14ac:dyDescent="0.2">
      <c r="G17993" s="889"/>
    </row>
    <row r="17994" spans="7:7" ht="10.5" customHeight="1" x14ac:dyDescent="0.2">
      <c r="G17994" s="889"/>
    </row>
    <row r="17995" spans="7:7" ht="10.5" customHeight="1" x14ac:dyDescent="0.2">
      <c r="G17995" s="889"/>
    </row>
    <row r="17996" spans="7:7" ht="10.5" customHeight="1" x14ac:dyDescent="0.2">
      <c r="G17996" s="889"/>
    </row>
    <row r="17997" spans="7:7" ht="10.5" customHeight="1" x14ac:dyDescent="0.2">
      <c r="G17997" s="889"/>
    </row>
    <row r="17998" spans="7:7" ht="10.5" customHeight="1" x14ac:dyDescent="0.2">
      <c r="G17998" s="889"/>
    </row>
    <row r="17999" spans="7:7" ht="10.5" customHeight="1" x14ac:dyDescent="0.2">
      <c r="G17999" s="889"/>
    </row>
    <row r="18000" spans="7:7" ht="10.5" customHeight="1" x14ac:dyDescent="0.2">
      <c r="G18000" s="889"/>
    </row>
    <row r="18001" spans="7:7" ht="10.5" customHeight="1" x14ac:dyDescent="0.2">
      <c r="G18001" s="889"/>
    </row>
    <row r="18002" spans="7:7" ht="10.5" customHeight="1" x14ac:dyDescent="0.2">
      <c r="G18002" s="889"/>
    </row>
    <row r="18003" spans="7:7" ht="10.5" customHeight="1" x14ac:dyDescent="0.2">
      <c r="G18003" s="889"/>
    </row>
    <row r="18004" spans="7:7" ht="10.5" customHeight="1" x14ac:dyDescent="0.2">
      <c r="G18004" s="889"/>
    </row>
    <row r="18005" spans="7:7" ht="10.5" customHeight="1" x14ac:dyDescent="0.2">
      <c r="G18005" s="889"/>
    </row>
    <row r="18006" spans="7:7" ht="10.5" customHeight="1" x14ac:dyDescent="0.2">
      <c r="G18006" s="889"/>
    </row>
    <row r="18007" spans="7:7" ht="10.5" customHeight="1" x14ac:dyDescent="0.2">
      <c r="G18007" s="889"/>
    </row>
    <row r="18008" spans="7:7" ht="10.5" customHeight="1" x14ac:dyDescent="0.2">
      <c r="G18008" s="889"/>
    </row>
    <row r="18009" spans="7:7" ht="10.5" customHeight="1" x14ac:dyDescent="0.2">
      <c r="G18009" s="889"/>
    </row>
    <row r="18010" spans="7:7" ht="10.5" customHeight="1" x14ac:dyDescent="0.2">
      <c r="G18010" s="889"/>
    </row>
    <row r="18011" spans="7:7" ht="10.5" customHeight="1" x14ac:dyDescent="0.2">
      <c r="G18011" s="889"/>
    </row>
    <row r="18012" spans="7:7" ht="10.5" customHeight="1" x14ac:dyDescent="0.2">
      <c r="G18012" s="889"/>
    </row>
    <row r="18013" spans="7:7" ht="10.5" customHeight="1" x14ac:dyDescent="0.2">
      <c r="G18013" s="889"/>
    </row>
    <row r="18014" spans="7:7" ht="10.5" customHeight="1" x14ac:dyDescent="0.2">
      <c r="G18014" s="889"/>
    </row>
    <row r="18015" spans="7:7" ht="10.5" customHeight="1" x14ac:dyDescent="0.2">
      <c r="G18015" s="889"/>
    </row>
    <row r="18016" spans="7:7" ht="10.5" customHeight="1" x14ac:dyDescent="0.2">
      <c r="G18016" s="889"/>
    </row>
    <row r="18017" spans="7:7" ht="10.5" customHeight="1" x14ac:dyDescent="0.2">
      <c r="G18017" s="889"/>
    </row>
    <row r="18018" spans="7:7" ht="10.5" customHeight="1" x14ac:dyDescent="0.2">
      <c r="G18018" s="889"/>
    </row>
    <row r="18019" spans="7:7" ht="10.5" customHeight="1" x14ac:dyDescent="0.2">
      <c r="G18019" s="889"/>
    </row>
    <row r="18020" spans="7:7" ht="10.5" customHeight="1" x14ac:dyDescent="0.2">
      <c r="G18020" s="889"/>
    </row>
    <row r="18021" spans="7:7" ht="10.5" customHeight="1" x14ac:dyDescent="0.2">
      <c r="G18021" s="889"/>
    </row>
    <row r="18022" spans="7:7" ht="10.5" customHeight="1" x14ac:dyDescent="0.2">
      <c r="G18022" s="889"/>
    </row>
    <row r="18023" spans="7:7" ht="10.5" customHeight="1" x14ac:dyDescent="0.2">
      <c r="G18023" s="889"/>
    </row>
    <row r="18024" spans="7:7" ht="10.5" customHeight="1" x14ac:dyDescent="0.2">
      <c r="G18024" s="889"/>
    </row>
    <row r="18025" spans="7:7" ht="10.5" customHeight="1" x14ac:dyDescent="0.2">
      <c r="G18025" s="889"/>
    </row>
    <row r="18026" spans="7:7" ht="10.5" customHeight="1" x14ac:dyDescent="0.2">
      <c r="G18026" s="889"/>
    </row>
    <row r="18027" spans="7:7" ht="10.5" customHeight="1" x14ac:dyDescent="0.2">
      <c r="G18027" s="889"/>
    </row>
    <row r="18028" spans="7:7" ht="10.5" customHeight="1" x14ac:dyDescent="0.2">
      <c r="G18028" s="889"/>
    </row>
    <row r="18029" spans="7:7" ht="10.5" customHeight="1" x14ac:dyDescent="0.2">
      <c r="G18029" s="889"/>
    </row>
    <row r="18030" spans="7:7" ht="10.5" customHeight="1" x14ac:dyDescent="0.2">
      <c r="G18030" s="889"/>
    </row>
    <row r="18031" spans="7:7" ht="10.5" customHeight="1" x14ac:dyDescent="0.2">
      <c r="G18031" s="889"/>
    </row>
    <row r="18032" spans="7:7" ht="10.5" customHeight="1" x14ac:dyDescent="0.2">
      <c r="G18032" s="889"/>
    </row>
    <row r="18033" spans="7:7" ht="10.5" customHeight="1" x14ac:dyDescent="0.2">
      <c r="G18033" s="889"/>
    </row>
    <row r="18034" spans="7:7" ht="10.5" customHeight="1" x14ac:dyDescent="0.2">
      <c r="G18034" s="889"/>
    </row>
    <row r="18035" spans="7:7" ht="10.5" customHeight="1" x14ac:dyDescent="0.2">
      <c r="G18035" s="889"/>
    </row>
    <row r="18036" spans="7:7" ht="10.5" customHeight="1" x14ac:dyDescent="0.2">
      <c r="G18036" s="889"/>
    </row>
    <row r="18037" spans="7:7" ht="10.5" customHeight="1" x14ac:dyDescent="0.2">
      <c r="G18037" s="889"/>
    </row>
    <row r="18038" spans="7:7" ht="10.5" customHeight="1" x14ac:dyDescent="0.2">
      <c r="G18038" s="889"/>
    </row>
    <row r="18039" spans="7:7" ht="10.5" customHeight="1" x14ac:dyDescent="0.2">
      <c r="G18039" s="889"/>
    </row>
    <row r="18040" spans="7:7" ht="10.5" customHeight="1" x14ac:dyDescent="0.2">
      <c r="G18040" s="889"/>
    </row>
    <row r="18041" spans="7:7" ht="10.5" customHeight="1" x14ac:dyDescent="0.2">
      <c r="G18041" s="889"/>
    </row>
    <row r="18042" spans="7:7" ht="10.5" customHeight="1" x14ac:dyDescent="0.2">
      <c r="G18042" s="889"/>
    </row>
    <row r="18043" spans="7:7" ht="10.5" customHeight="1" x14ac:dyDescent="0.2">
      <c r="G18043" s="889"/>
    </row>
    <row r="18044" spans="7:7" ht="10.5" customHeight="1" x14ac:dyDescent="0.2">
      <c r="G18044" s="889"/>
    </row>
    <row r="18045" spans="7:7" ht="10.5" customHeight="1" x14ac:dyDescent="0.2">
      <c r="G18045" s="889"/>
    </row>
    <row r="18046" spans="7:7" ht="10.5" customHeight="1" x14ac:dyDescent="0.2">
      <c r="G18046" s="889"/>
    </row>
    <row r="18047" spans="7:7" ht="10.5" customHeight="1" x14ac:dyDescent="0.2">
      <c r="G18047" s="889"/>
    </row>
    <row r="18048" spans="7:7" ht="10.5" customHeight="1" x14ac:dyDescent="0.2">
      <c r="G18048" s="889"/>
    </row>
    <row r="18049" spans="7:7" ht="10.5" customHeight="1" x14ac:dyDescent="0.2">
      <c r="G18049" s="889"/>
    </row>
    <row r="18050" spans="7:7" ht="10.5" customHeight="1" x14ac:dyDescent="0.2">
      <c r="G18050" s="889"/>
    </row>
    <row r="18051" spans="7:7" ht="10.5" customHeight="1" x14ac:dyDescent="0.2">
      <c r="G18051" s="889"/>
    </row>
    <row r="18052" spans="7:7" ht="10.5" customHeight="1" x14ac:dyDescent="0.2">
      <c r="G18052" s="889"/>
    </row>
    <row r="18053" spans="7:7" ht="10.5" customHeight="1" x14ac:dyDescent="0.2">
      <c r="G18053" s="889"/>
    </row>
    <row r="18054" spans="7:7" ht="10.5" customHeight="1" x14ac:dyDescent="0.2">
      <c r="G18054" s="889"/>
    </row>
    <row r="18055" spans="7:7" ht="10.5" customHeight="1" x14ac:dyDescent="0.2">
      <c r="G18055" s="889"/>
    </row>
    <row r="18056" spans="7:7" ht="10.5" customHeight="1" x14ac:dyDescent="0.2">
      <c r="G18056" s="889"/>
    </row>
    <row r="18057" spans="7:7" ht="10.5" customHeight="1" x14ac:dyDescent="0.2">
      <c r="G18057" s="889"/>
    </row>
    <row r="18058" spans="7:7" ht="10.5" customHeight="1" x14ac:dyDescent="0.2">
      <c r="G18058" s="889"/>
    </row>
    <row r="18059" spans="7:7" ht="10.5" customHeight="1" x14ac:dyDescent="0.2">
      <c r="G18059" s="889"/>
    </row>
    <row r="18060" spans="7:7" ht="10.5" customHeight="1" x14ac:dyDescent="0.2">
      <c r="G18060" s="889"/>
    </row>
    <row r="18061" spans="7:7" ht="10.5" customHeight="1" x14ac:dyDescent="0.2">
      <c r="G18061" s="889"/>
    </row>
    <row r="18062" spans="7:7" ht="10.5" customHeight="1" x14ac:dyDescent="0.2">
      <c r="G18062" s="889"/>
    </row>
    <row r="18063" spans="7:7" ht="10.5" customHeight="1" x14ac:dyDescent="0.2">
      <c r="G18063" s="889"/>
    </row>
    <row r="18064" spans="7:7" ht="10.5" customHeight="1" x14ac:dyDescent="0.2">
      <c r="G18064" s="889"/>
    </row>
    <row r="18065" spans="7:7" ht="10.5" customHeight="1" x14ac:dyDescent="0.2">
      <c r="G18065" s="889"/>
    </row>
    <row r="18066" spans="7:7" ht="10.5" customHeight="1" x14ac:dyDescent="0.2">
      <c r="G18066" s="889"/>
    </row>
    <row r="18067" spans="7:7" ht="10.5" customHeight="1" x14ac:dyDescent="0.2">
      <c r="G18067" s="889"/>
    </row>
    <row r="18068" spans="7:7" ht="10.5" customHeight="1" x14ac:dyDescent="0.2">
      <c r="G18068" s="889"/>
    </row>
    <row r="18069" spans="7:7" ht="10.5" customHeight="1" x14ac:dyDescent="0.2">
      <c r="G18069" s="889"/>
    </row>
    <row r="18070" spans="7:7" ht="10.5" customHeight="1" x14ac:dyDescent="0.2">
      <c r="G18070" s="889"/>
    </row>
    <row r="18071" spans="7:7" ht="10.5" customHeight="1" x14ac:dyDescent="0.2">
      <c r="G18071" s="889"/>
    </row>
    <row r="18072" spans="7:7" ht="10.5" customHeight="1" x14ac:dyDescent="0.2">
      <c r="G18072" s="889"/>
    </row>
    <row r="18073" spans="7:7" ht="10.5" customHeight="1" x14ac:dyDescent="0.2">
      <c r="G18073" s="889"/>
    </row>
    <row r="18074" spans="7:7" ht="10.5" customHeight="1" x14ac:dyDescent="0.2">
      <c r="G18074" s="889"/>
    </row>
    <row r="18075" spans="7:7" ht="10.5" customHeight="1" x14ac:dyDescent="0.2">
      <c r="G18075" s="889"/>
    </row>
    <row r="18076" spans="7:7" ht="10.5" customHeight="1" x14ac:dyDescent="0.2">
      <c r="G18076" s="889"/>
    </row>
    <row r="18077" spans="7:7" ht="10.5" customHeight="1" x14ac:dyDescent="0.2">
      <c r="G18077" s="889"/>
    </row>
    <row r="18078" spans="7:7" ht="10.5" customHeight="1" x14ac:dyDescent="0.2">
      <c r="G18078" s="889"/>
    </row>
    <row r="18079" spans="7:7" ht="10.5" customHeight="1" x14ac:dyDescent="0.2">
      <c r="G18079" s="889"/>
    </row>
    <row r="18080" spans="7:7" ht="10.5" customHeight="1" x14ac:dyDescent="0.2">
      <c r="G18080" s="889"/>
    </row>
    <row r="18081" spans="7:7" ht="10.5" customHeight="1" x14ac:dyDescent="0.2">
      <c r="G18081" s="889"/>
    </row>
    <row r="18082" spans="7:7" ht="10.5" customHeight="1" x14ac:dyDescent="0.2">
      <c r="G18082" s="889"/>
    </row>
    <row r="18083" spans="7:7" ht="10.5" customHeight="1" x14ac:dyDescent="0.2">
      <c r="G18083" s="889"/>
    </row>
    <row r="18084" spans="7:7" ht="10.5" customHeight="1" x14ac:dyDescent="0.2">
      <c r="G18084" s="889"/>
    </row>
    <row r="18085" spans="7:7" ht="10.5" customHeight="1" x14ac:dyDescent="0.2">
      <c r="G18085" s="889"/>
    </row>
    <row r="18086" spans="7:7" ht="10.5" customHeight="1" x14ac:dyDescent="0.2">
      <c r="G18086" s="889"/>
    </row>
    <row r="18087" spans="7:7" ht="10.5" customHeight="1" x14ac:dyDescent="0.2">
      <c r="G18087" s="889"/>
    </row>
    <row r="18088" spans="7:7" ht="10.5" customHeight="1" x14ac:dyDescent="0.2">
      <c r="G18088" s="889"/>
    </row>
    <row r="18089" spans="7:7" ht="10.5" customHeight="1" x14ac:dyDescent="0.2">
      <c r="G18089" s="889"/>
    </row>
    <row r="18090" spans="7:7" ht="10.5" customHeight="1" x14ac:dyDescent="0.2">
      <c r="G18090" s="889"/>
    </row>
    <row r="18091" spans="7:7" ht="10.5" customHeight="1" x14ac:dyDescent="0.2">
      <c r="G18091" s="889"/>
    </row>
    <row r="18092" spans="7:7" ht="10.5" customHeight="1" x14ac:dyDescent="0.2">
      <c r="G18092" s="889"/>
    </row>
    <row r="18093" spans="7:7" ht="10.5" customHeight="1" x14ac:dyDescent="0.2">
      <c r="G18093" s="889"/>
    </row>
    <row r="18094" spans="7:7" ht="10.5" customHeight="1" x14ac:dyDescent="0.2">
      <c r="G18094" s="889"/>
    </row>
    <row r="18095" spans="7:7" ht="10.5" customHeight="1" x14ac:dyDescent="0.2">
      <c r="G18095" s="889"/>
    </row>
    <row r="18096" spans="7:7" ht="10.5" customHeight="1" x14ac:dyDescent="0.2">
      <c r="G18096" s="889"/>
    </row>
    <row r="18097" spans="7:7" ht="10.5" customHeight="1" x14ac:dyDescent="0.2">
      <c r="G18097" s="889"/>
    </row>
    <row r="18098" spans="7:7" ht="10.5" customHeight="1" x14ac:dyDescent="0.2">
      <c r="G18098" s="889"/>
    </row>
    <row r="18099" spans="7:7" ht="10.5" customHeight="1" x14ac:dyDescent="0.2">
      <c r="G18099" s="889"/>
    </row>
    <row r="18100" spans="7:7" ht="10.5" customHeight="1" x14ac:dyDescent="0.2">
      <c r="G18100" s="889"/>
    </row>
    <row r="18101" spans="7:7" ht="10.5" customHeight="1" x14ac:dyDescent="0.2">
      <c r="G18101" s="889"/>
    </row>
    <row r="18102" spans="7:7" ht="10.5" customHeight="1" x14ac:dyDescent="0.2">
      <c r="G18102" s="889"/>
    </row>
    <row r="18103" spans="7:7" ht="10.5" customHeight="1" x14ac:dyDescent="0.2">
      <c r="G18103" s="889"/>
    </row>
    <row r="18104" spans="7:7" ht="10.5" customHeight="1" x14ac:dyDescent="0.2">
      <c r="G18104" s="889"/>
    </row>
    <row r="18105" spans="7:7" ht="10.5" customHeight="1" x14ac:dyDescent="0.2">
      <c r="G18105" s="889"/>
    </row>
    <row r="18106" spans="7:7" ht="10.5" customHeight="1" x14ac:dyDescent="0.2">
      <c r="G18106" s="889"/>
    </row>
    <row r="18107" spans="7:7" ht="10.5" customHeight="1" x14ac:dyDescent="0.2">
      <c r="G18107" s="889"/>
    </row>
    <row r="18108" spans="7:7" ht="10.5" customHeight="1" x14ac:dyDescent="0.2">
      <c r="G18108" s="889"/>
    </row>
    <row r="18109" spans="7:7" ht="10.5" customHeight="1" x14ac:dyDescent="0.2">
      <c r="G18109" s="889"/>
    </row>
    <row r="18110" spans="7:7" ht="10.5" customHeight="1" x14ac:dyDescent="0.2">
      <c r="G18110" s="889"/>
    </row>
    <row r="18111" spans="7:7" ht="10.5" customHeight="1" x14ac:dyDescent="0.2">
      <c r="G18111" s="889"/>
    </row>
    <row r="18112" spans="7:7" ht="10.5" customHeight="1" x14ac:dyDescent="0.2">
      <c r="G18112" s="889"/>
    </row>
    <row r="18113" spans="7:7" ht="10.5" customHeight="1" x14ac:dyDescent="0.2">
      <c r="G18113" s="889"/>
    </row>
    <row r="18114" spans="7:7" ht="10.5" customHeight="1" x14ac:dyDescent="0.2">
      <c r="G18114" s="889"/>
    </row>
    <row r="18115" spans="7:7" ht="10.5" customHeight="1" x14ac:dyDescent="0.2">
      <c r="G18115" s="889"/>
    </row>
    <row r="18116" spans="7:7" ht="10.5" customHeight="1" x14ac:dyDescent="0.2">
      <c r="G18116" s="889"/>
    </row>
    <row r="18117" spans="7:7" ht="10.5" customHeight="1" x14ac:dyDescent="0.2">
      <c r="G18117" s="889"/>
    </row>
    <row r="18118" spans="7:7" ht="10.5" customHeight="1" x14ac:dyDescent="0.2">
      <c r="G18118" s="889"/>
    </row>
    <row r="18119" spans="7:7" ht="10.5" customHeight="1" x14ac:dyDescent="0.2">
      <c r="G18119" s="889"/>
    </row>
    <row r="18120" spans="7:7" ht="10.5" customHeight="1" x14ac:dyDescent="0.2">
      <c r="G18120" s="889"/>
    </row>
    <row r="18121" spans="7:7" ht="10.5" customHeight="1" x14ac:dyDescent="0.2">
      <c r="G18121" s="889"/>
    </row>
    <row r="18122" spans="7:7" ht="10.5" customHeight="1" x14ac:dyDescent="0.2">
      <c r="G18122" s="889"/>
    </row>
    <row r="18123" spans="7:7" ht="10.5" customHeight="1" x14ac:dyDescent="0.2">
      <c r="G18123" s="889"/>
    </row>
    <row r="18124" spans="7:7" ht="10.5" customHeight="1" x14ac:dyDescent="0.2">
      <c r="G18124" s="889"/>
    </row>
    <row r="18125" spans="7:7" ht="10.5" customHeight="1" x14ac:dyDescent="0.2">
      <c r="G18125" s="889"/>
    </row>
    <row r="18126" spans="7:7" ht="10.5" customHeight="1" x14ac:dyDescent="0.2">
      <c r="G18126" s="889"/>
    </row>
    <row r="18127" spans="7:7" ht="10.5" customHeight="1" x14ac:dyDescent="0.2">
      <c r="G18127" s="889"/>
    </row>
    <row r="18128" spans="7:7" ht="10.5" customHeight="1" x14ac:dyDescent="0.2">
      <c r="G18128" s="889"/>
    </row>
    <row r="18129" spans="7:7" ht="10.5" customHeight="1" x14ac:dyDescent="0.2">
      <c r="G18129" s="889"/>
    </row>
    <row r="18130" spans="7:7" ht="10.5" customHeight="1" x14ac:dyDescent="0.2">
      <c r="G18130" s="889"/>
    </row>
    <row r="18131" spans="7:7" ht="10.5" customHeight="1" x14ac:dyDescent="0.2">
      <c r="G18131" s="889"/>
    </row>
    <row r="18132" spans="7:7" ht="10.5" customHeight="1" x14ac:dyDescent="0.2">
      <c r="G18132" s="889"/>
    </row>
    <row r="18133" spans="7:7" ht="10.5" customHeight="1" x14ac:dyDescent="0.2">
      <c r="G18133" s="889"/>
    </row>
    <row r="18134" spans="7:7" ht="10.5" customHeight="1" x14ac:dyDescent="0.2">
      <c r="G18134" s="889"/>
    </row>
    <row r="18135" spans="7:7" ht="10.5" customHeight="1" x14ac:dyDescent="0.2">
      <c r="G18135" s="889"/>
    </row>
    <row r="18136" spans="7:7" ht="10.5" customHeight="1" x14ac:dyDescent="0.2">
      <c r="G18136" s="889"/>
    </row>
    <row r="18137" spans="7:7" ht="10.5" customHeight="1" x14ac:dyDescent="0.2">
      <c r="G18137" s="889"/>
    </row>
    <row r="18138" spans="7:7" ht="10.5" customHeight="1" x14ac:dyDescent="0.2">
      <c r="G18138" s="889"/>
    </row>
    <row r="18139" spans="7:7" ht="10.5" customHeight="1" x14ac:dyDescent="0.2">
      <c r="G18139" s="889"/>
    </row>
    <row r="18140" spans="7:7" ht="10.5" customHeight="1" x14ac:dyDescent="0.2">
      <c r="G18140" s="889"/>
    </row>
    <row r="18141" spans="7:7" ht="10.5" customHeight="1" x14ac:dyDescent="0.2">
      <c r="G18141" s="889"/>
    </row>
    <row r="18142" spans="7:7" ht="10.5" customHeight="1" x14ac:dyDescent="0.2">
      <c r="G18142" s="889"/>
    </row>
    <row r="18143" spans="7:7" ht="10.5" customHeight="1" x14ac:dyDescent="0.2">
      <c r="G18143" s="889"/>
    </row>
    <row r="18144" spans="7:7" ht="10.5" customHeight="1" x14ac:dyDescent="0.2">
      <c r="G18144" s="889"/>
    </row>
    <row r="18145" spans="7:7" ht="10.5" customHeight="1" x14ac:dyDescent="0.2">
      <c r="G18145" s="889"/>
    </row>
    <row r="18146" spans="7:7" ht="10.5" customHeight="1" x14ac:dyDescent="0.2">
      <c r="G18146" s="889"/>
    </row>
    <row r="18147" spans="7:7" ht="10.5" customHeight="1" x14ac:dyDescent="0.2">
      <c r="G18147" s="889"/>
    </row>
    <row r="18148" spans="7:7" ht="10.5" customHeight="1" x14ac:dyDescent="0.2">
      <c r="G18148" s="889"/>
    </row>
    <row r="18149" spans="7:7" ht="10.5" customHeight="1" x14ac:dyDescent="0.2">
      <c r="G18149" s="889"/>
    </row>
    <row r="18150" spans="7:7" ht="10.5" customHeight="1" x14ac:dyDescent="0.2">
      <c r="G18150" s="889"/>
    </row>
    <row r="18151" spans="7:7" ht="10.5" customHeight="1" x14ac:dyDescent="0.2">
      <c r="G18151" s="889"/>
    </row>
    <row r="18152" spans="7:7" ht="10.5" customHeight="1" x14ac:dyDescent="0.2">
      <c r="G18152" s="889"/>
    </row>
    <row r="18153" spans="7:7" ht="10.5" customHeight="1" x14ac:dyDescent="0.2">
      <c r="G18153" s="889"/>
    </row>
    <row r="18154" spans="7:7" ht="10.5" customHeight="1" x14ac:dyDescent="0.2">
      <c r="G18154" s="889"/>
    </row>
    <row r="18155" spans="7:7" ht="10.5" customHeight="1" x14ac:dyDescent="0.2">
      <c r="G18155" s="889"/>
    </row>
    <row r="18156" spans="7:7" ht="10.5" customHeight="1" x14ac:dyDescent="0.2">
      <c r="G18156" s="889"/>
    </row>
    <row r="18157" spans="7:7" ht="10.5" customHeight="1" x14ac:dyDescent="0.2">
      <c r="G18157" s="889"/>
    </row>
    <row r="18158" spans="7:7" ht="10.5" customHeight="1" x14ac:dyDescent="0.2">
      <c r="G18158" s="889"/>
    </row>
    <row r="18159" spans="7:7" ht="10.5" customHeight="1" x14ac:dyDescent="0.2">
      <c r="G18159" s="889"/>
    </row>
    <row r="18160" spans="7:7" ht="10.5" customHeight="1" x14ac:dyDescent="0.2">
      <c r="G18160" s="889"/>
    </row>
    <row r="18161" spans="7:7" ht="10.5" customHeight="1" x14ac:dyDescent="0.2">
      <c r="G18161" s="889"/>
    </row>
    <row r="18162" spans="7:7" ht="10.5" customHeight="1" x14ac:dyDescent="0.2">
      <c r="G18162" s="889"/>
    </row>
    <row r="18163" spans="7:7" ht="10.5" customHeight="1" x14ac:dyDescent="0.2">
      <c r="G18163" s="889"/>
    </row>
    <row r="18164" spans="7:7" ht="10.5" customHeight="1" x14ac:dyDescent="0.2">
      <c r="G18164" s="889"/>
    </row>
    <row r="18165" spans="7:7" ht="10.5" customHeight="1" x14ac:dyDescent="0.2">
      <c r="G18165" s="889"/>
    </row>
    <row r="18166" spans="7:7" ht="10.5" customHeight="1" x14ac:dyDescent="0.2">
      <c r="G18166" s="889"/>
    </row>
    <row r="18167" spans="7:7" ht="10.5" customHeight="1" x14ac:dyDescent="0.2">
      <c r="G18167" s="889"/>
    </row>
    <row r="18168" spans="7:7" ht="10.5" customHeight="1" x14ac:dyDescent="0.2">
      <c r="G18168" s="889"/>
    </row>
    <row r="18169" spans="7:7" ht="10.5" customHeight="1" x14ac:dyDescent="0.2">
      <c r="G18169" s="889"/>
    </row>
    <row r="18170" spans="7:7" ht="10.5" customHeight="1" x14ac:dyDescent="0.2">
      <c r="G18170" s="889"/>
    </row>
    <row r="18171" spans="7:7" ht="10.5" customHeight="1" x14ac:dyDescent="0.2">
      <c r="G18171" s="889"/>
    </row>
    <row r="18172" spans="7:7" ht="10.5" customHeight="1" x14ac:dyDescent="0.2">
      <c r="G18172" s="889"/>
    </row>
    <row r="18173" spans="7:7" ht="10.5" customHeight="1" x14ac:dyDescent="0.2">
      <c r="G18173" s="889"/>
    </row>
    <row r="18174" spans="7:7" ht="10.5" customHeight="1" x14ac:dyDescent="0.2">
      <c r="G18174" s="889"/>
    </row>
    <row r="18175" spans="7:7" ht="10.5" customHeight="1" x14ac:dyDescent="0.2">
      <c r="G18175" s="889"/>
    </row>
    <row r="18176" spans="7:7" ht="10.5" customHeight="1" x14ac:dyDescent="0.2">
      <c r="G18176" s="889"/>
    </row>
    <row r="18177" spans="7:7" ht="10.5" customHeight="1" x14ac:dyDescent="0.2">
      <c r="G18177" s="889"/>
    </row>
    <row r="18178" spans="7:7" ht="10.5" customHeight="1" x14ac:dyDescent="0.2">
      <c r="G18178" s="889"/>
    </row>
    <row r="18179" spans="7:7" ht="10.5" customHeight="1" x14ac:dyDescent="0.2">
      <c r="G18179" s="889"/>
    </row>
    <row r="18180" spans="7:7" ht="10.5" customHeight="1" x14ac:dyDescent="0.2">
      <c r="G18180" s="889"/>
    </row>
    <row r="18181" spans="7:7" ht="10.5" customHeight="1" x14ac:dyDescent="0.2">
      <c r="G18181" s="889"/>
    </row>
    <row r="18182" spans="7:7" ht="10.5" customHeight="1" x14ac:dyDescent="0.2">
      <c r="G18182" s="889"/>
    </row>
    <row r="18183" spans="7:7" ht="10.5" customHeight="1" x14ac:dyDescent="0.2">
      <c r="G18183" s="889"/>
    </row>
    <row r="18184" spans="7:7" ht="10.5" customHeight="1" x14ac:dyDescent="0.2">
      <c r="G18184" s="889"/>
    </row>
    <row r="18185" spans="7:7" ht="10.5" customHeight="1" x14ac:dyDescent="0.2">
      <c r="G18185" s="889"/>
    </row>
    <row r="18186" spans="7:7" ht="10.5" customHeight="1" x14ac:dyDescent="0.2">
      <c r="G18186" s="889"/>
    </row>
    <row r="18187" spans="7:7" ht="10.5" customHeight="1" x14ac:dyDescent="0.2">
      <c r="G18187" s="889"/>
    </row>
    <row r="18188" spans="7:7" ht="10.5" customHeight="1" x14ac:dyDescent="0.2">
      <c r="G18188" s="889"/>
    </row>
    <row r="18189" spans="7:7" ht="10.5" customHeight="1" x14ac:dyDescent="0.2">
      <c r="G18189" s="889"/>
    </row>
    <row r="18190" spans="7:7" ht="10.5" customHeight="1" x14ac:dyDescent="0.2">
      <c r="G18190" s="889"/>
    </row>
    <row r="18191" spans="7:7" ht="10.5" customHeight="1" x14ac:dyDescent="0.2">
      <c r="G18191" s="889"/>
    </row>
    <row r="18192" spans="7:7" ht="10.5" customHeight="1" x14ac:dyDescent="0.2">
      <c r="G18192" s="889"/>
    </row>
    <row r="18193" spans="7:7" ht="10.5" customHeight="1" x14ac:dyDescent="0.2">
      <c r="G18193" s="889"/>
    </row>
    <row r="18194" spans="7:7" ht="10.5" customHeight="1" x14ac:dyDescent="0.2">
      <c r="G18194" s="889"/>
    </row>
    <row r="18195" spans="7:7" ht="10.5" customHeight="1" x14ac:dyDescent="0.2">
      <c r="G18195" s="889"/>
    </row>
    <row r="18196" spans="7:7" ht="10.5" customHeight="1" x14ac:dyDescent="0.2">
      <c r="G18196" s="889"/>
    </row>
    <row r="18197" spans="7:7" ht="10.5" customHeight="1" x14ac:dyDescent="0.2">
      <c r="G18197" s="889"/>
    </row>
    <row r="18198" spans="7:7" ht="10.5" customHeight="1" x14ac:dyDescent="0.2">
      <c r="G18198" s="889"/>
    </row>
    <row r="18199" spans="7:7" ht="10.5" customHeight="1" x14ac:dyDescent="0.2">
      <c r="G18199" s="889"/>
    </row>
    <row r="18200" spans="7:7" ht="10.5" customHeight="1" x14ac:dyDescent="0.2">
      <c r="G18200" s="889"/>
    </row>
    <row r="18201" spans="7:7" ht="10.5" customHeight="1" x14ac:dyDescent="0.2">
      <c r="G18201" s="889"/>
    </row>
    <row r="18202" spans="7:7" ht="10.5" customHeight="1" x14ac:dyDescent="0.2">
      <c r="G18202" s="889"/>
    </row>
    <row r="18203" spans="7:7" ht="10.5" customHeight="1" x14ac:dyDescent="0.2">
      <c r="G18203" s="889"/>
    </row>
    <row r="18204" spans="7:7" ht="10.5" customHeight="1" x14ac:dyDescent="0.2">
      <c r="G18204" s="889"/>
    </row>
    <row r="18205" spans="7:7" ht="10.5" customHeight="1" x14ac:dyDescent="0.2">
      <c r="G18205" s="889"/>
    </row>
    <row r="18206" spans="7:7" ht="10.5" customHeight="1" x14ac:dyDescent="0.2">
      <c r="G18206" s="889"/>
    </row>
    <row r="18207" spans="7:7" ht="10.5" customHeight="1" x14ac:dyDescent="0.2">
      <c r="G18207" s="889"/>
    </row>
    <row r="18208" spans="7:7" ht="10.5" customHeight="1" x14ac:dyDescent="0.2">
      <c r="G18208" s="889"/>
    </row>
    <row r="18209" spans="7:7" ht="10.5" customHeight="1" x14ac:dyDescent="0.2">
      <c r="G18209" s="889"/>
    </row>
    <row r="18210" spans="7:7" ht="10.5" customHeight="1" x14ac:dyDescent="0.2">
      <c r="G18210" s="889"/>
    </row>
    <row r="18211" spans="7:7" ht="10.5" customHeight="1" x14ac:dyDescent="0.2">
      <c r="G18211" s="889"/>
    </row>
    <row r="18212" spans="7:7" ht="10.5" customHeight="1" x14ac:dyDescent="0.2">
      <c r="G18212" s="889"/>
    </row>
    <row r="18213" spans="7:7" ht="10.5" customHeight="1" x14ac:dyDescent="0.2">
      <c r="G18213" s="889"/>
    </row>
    <row r="18214" spans="7:7" ht="10.5" customHeight="1" x14ac:dyDescent="0.2">
      <c r="G18214" s="889"/>
    </row>
    <row r="18215" spans="7:7" ht="10.5" customHeight="1" x14ac:dyDescent="0.2">
      <c r="G18215" s="889"/>
    </row>
    <row r="18216" spans="7:7" ht="10.5" customHeight="1" x14ac:dyDescent="0.2">
      <c r="G18216" s="889"/>
    </row>
    <row r="18217" spans="7:7" ht="10.5" customHeight="1" x14ac:dyDescent="0.2">
      <c r="G18217" s="889"/>
    </row>
    <row r="18218" spans="7:7" ht="10.5" customHeight="1" x14ac:dyDescent="0.2">
      <c r="G18218" s="889"/>
    </row>
    <row r="18219" spans="7:7" ht="10.5" customHeight="1" x14ac:dyDescent="0.2">
      <c r="G18219" s="889"/>
    </row>
    <row r="18220" spans="7:7" ht="10.5" customHeight="1" x14ac:dyDescent="0.2">
      <c r="G18220" s="889"/>
    </row>
    <row r="18221" spans="7:7" ht="10.5" customHeight="1" x14ac:dyDescent="0.2">
      <c r="G18221" s="889"/>
    </row>
    <row r="18222" spans="7:7" ht="10.5" customHeight="1" x14ac:dyDescent="0.2">
      <c r="G18222" s="889"/>
    </row>
    <row r="18223" spans="7:7" ht="10.5" customHeight="1" x14ac:dyDescent="0.2">
      <c r="G18223" s="889"/>
    </row>
    <row r="18224" spans="7:7" ht="10.5" customHeight="1" x14ac:dyDescent="0.2">
      <c r="G18224" s="889"/>
    </row>
    <row r="18225" spans="7:7" ht="10.5" customHeight="1" x14ac:dyDescent="0.2">
      <c r="G18225" s="889"/>
    </row>
    <row r="18226" spans="7:7" ht="10.5" customHeight="1" x14ac:dyDescent="0.2">
      <c r="G18226" s="889"/>
    </row>
    <row r="18227" spans="7:7" ht="10.5" customHeight="1" x14ac:dyDescent="0.2">
      <c r="G18227" s="889"/>
    </row>
    <row r="18228" spans="7:7" ht="10.5" customHeight="1" x14ac:dyDescent="0.2">
      <c r="G18228" s="889"/>
    </row>
    <row r="18229" spans="7:7" ht="10.5" customHeight="1" x14ac:dyDescent="0.2">
      <c r="G18229" s="889"/>
    </row>
    <row r="18230" spans="7:7" ht="10.5" customHeight="1" x14ac:dyDescent="0.2">
      <c r="G18230" s="889"/>
    </row>
    <row r="18231" spans="7:7" ht="10.5" customHeight="1" x14ac:dyDescent="0.2">
      <c r="G18231" s="889"/>
    </row>
    <row r="18232" spans="7:7" ht="10.5" customHeight="1" x14ac:dyDescent="0.2">
      <c r="G18232" s="889"/>
    </row>
    <row r="18233" spans="7:7" ht="10.5" customHeight="1" x14ac:dyDescent="0.2">
      <c r="G18233" s="889"/>
    </row>
    <row r="18234" spans="7:7" ht="10.5" customHeight="1" x14ac:dyDescent="0.2">
      <c r="G18234" s="889"/>
    </row>
    <row r="18235" spans="7:7" ht="10.5" customHeight="1" x14ac:dyDescent="0.2">
      <c r="G18235" s="889"/>
    </row>
    <row r="18236" spans="7:7" ht="10.5" customHeight="1" x14ac:dyDescent="0.2">
      <c r="G18236" s="889"/>
    </row>
    <row r="18237" spans="7:7" ht="10.5" customHeight="1" x14ac:dyDescent="0.2">
      <c r="G18237" s="889"/>
    </row>
    <row r="18238" spans="7:7" ht="10.5" customHeight="1" x14ac:dyDescent="0.2">
      <c r="G18238" s="889"/>
    </row>
    <row r="18239" spans="7:7" ht="10.5" customHeight="1" x14ac:dyDescent="0.2">
      <c r="G18239" s="889"/>
    </row>
    <row r="18240" spans="7:7" ht="10.5" customHeight="1" x14ac:dyDescent="0.2">
      <c r="G18240" s="889"/>
    </row>
    <row r="18241" spans="7:7" ht="10.5" customHeight="1" x14ac:dyDescent="0.2">
      <c r="G18241" s="889"/>
    </row>
    <row r="18242" spans="7:7" ht="10.5" customHeight="1" x14ac:dyDescent="0.2">
      <c r="G18242" s="889"/>
    </row>
    <row r="18243" spans="7:7" ht="10.5" customHeight="1" x14ac:dyDescent="0.2">
      <c r="G18243" s="889"/>
    </row>
    <row r="18244" spans="7:7" ht="10.5" customHeight="1" x14ac:dyDescent="0.2">
      <c r="G18244" s="889"/>
    </row>
    <row r="18245" spans="7:7" ht="10.5" customHeight="1" x14ac:dyDescent="0.2">
      <c r="G18245" s="889"/>
    </row>
    <row r="18246" spans="7:7" ht="10.5" customHeight="1" x14ac:dyDescent="0.2">
      <c r="G18246" s="889"/>
    </row>
    <row r="18247" spans="7:7" ht="10.5" customHeight="1" x14ac:dyDescent="0.2">
      <c r="G18247" s="889"/>
    </row>
    <row r="18248" spans="7:7" ht="10.5" customHeight="1" x14ac:dyDescent="0.2">
      <c r="G18248" s="889"/>
    </row>
    <row r="18249" spans="7:7" ht="10.5" customHeight="1" x14ac:dyDescent="0.2">
      <c r="G18249" s="889"/>
    </row>
    <row r="18250" spans="7:7" ht="10.5" customHeight="1" x14ac:dyDescent="0.2">
      <c r="G18250" s="889"/>
    </row>
    <row r="18251" spans="7:7" ht="10.5" customHeight="1" x14ac:dyDescent="0.2">
      <c r="G18251" s="889"/>
    </row>
    <row r="18252" spans="7:7" ht="10.5" customHeight="1" x14ac:dyDescent="0.2">
      <c r="G18252" s="889"/>
    </row>
    <row r="18253" spans="7:7" ht="10.5" customHeight="1" x14ac:dyDescent="0.2">
      <c r="G18253" s="889"/>
    </row>
    <row r="18254" spans="7:7" ht="10.5" customHeight="1" x14ac:dyDescent="0.2">
      <c r="G18254" s="889"/>
    </row>
    <row r="18255" spans="7:7" ht="10.5" customHeight="1" x14ac:dyDescent="0.2">
      <c r="G18255" s="889"/>
    </row>
    <row r="18256" spans="7:7" ht="10.5" customHeight="1" x14ac:dyDescent="0.2">
      <c r="G18256" s="889"/>
    </row>
    <row r="18257" spans="7:7" ht="10.5" customHeight="1" x14ac:dyDescent="0.2">
      <c r="G18257" s="889"/>
    </row>
    <row r="18258" spans="7:7" ht="10.5" customHeight="1" x14ac:dyDescent="0.2">
      <c r="G18258" s="889"/>
    </row>
    <row r="18259" spans="7:7" ht="10.5" customHeight="1" x14ac:dyDescent="0.2">
      <c r="G18259" s="889"/>
    </row>
    <row r="18260" spans="7:7" ht="10.5" customHeight="1" x14ac:dyDescent="0.2">
      <c r="G18260" s="889"/>
    </row>
    <row r="18261" spans="7:7" ht="10.5" customHeight="1" x14ac:dyDescent="0.2">
      <c r="G18261" s="889"/>
    </row>
    <row r="18262" spans="7:7" ht="10.5" customHeight="1" x14ac:dyDescent="0.2">
      <c r="G18262" s="889"/>
    </row>
    <row r="18263" spans="7:7" ht="10.5" customHeight="1" x14ac:dyDescent="0.2">
      <c r="G18263" s="889"/>
    </row>
    <row r="18264" spans="7:7" ht="10.5" customHeight="1" x14ac:dyDescent="0.2">
      <c r="G18264" s="889"/>
    </row>
    <row r="18265" spans="7:7" ht="10.5" customHeight="1" x14ac:dyDescent="0.2">
      <c r="G18265" s="889"/>
    </row>
    <row r="18266" spans="7:7" ht="10.5" customHeight="1" x14ac:dyDescent="0.2">
      <c r="G18266" s="889"/>
    </row>
    <row r="18267" spans="7:7" ht="10.5" customHeight="1" x14ac:dyDescent="0.2">
      <c r="G18267" s="889"/>
    </row>
    <row r="18268" spans="7:7" ht="10.5" customHeight="1" x14ac:dyDescent="0.2">
      <c r="G18268" s="889"/>
    </row>
    <row r="18269" spans="7:7" ht="10.5" customHeight="1" x14ac:dyDescent="0.2">
      <c r="G18269" s="889"/>
    </row>
    <row r="18270" spans="7:7" ht="10.5" customHeight="1" x14ac:dyDescent="0.2">
      <c r="G18270" s="889"/>
    </row>
    <row r="18271" spans="7:7" ht="10.5" customHeight="1" x14ac:dyDescent="0.2">
      <c r="G18271" s="889"/>
    </row>
    <row r="18272" spans="7:7" ht="10.5" customHeight="1" x14ac:dyDescent="0.2">
      <c r="G18272" s="889"/>
    </row>
    <row r="18273" spans="7:7" ht="10.5" customHeight="1" x14ac:dyDescent="0.2">
      <c r="G18273" s="889"/>
    </row>
    <row r="18274" spans="7:7" ht="10.5" customHeight="1" x14ac:dyDescent="0.2">
      <c r="G18274" s="889"/>
    </row>
    <row r="18275" spans="7:7" ht="10.5" customHeight="1" x14ac:dyDescent="0.2">
      <c r="G18275" s="889"/>
    </row>
    <row r="18276" spans="7:7" ht="10.5" customHeight="1" x14ac:dyDescent="0.2">
      <c r="G18276" s="889"/>
    </row>
    <row r="18277" spans="7:7" ht="10.5" customHeight="1" x14ac:dyDescent="0.2">
      <c r="G18277" s="889"/>
    </row>
    <row r="18278" spans="7:7" ht="10.5" customHeight="1" x14ac:dyDescent="0.2">
      <c r="G18278" s="889"/>
    </row>
    <row r="18279" spans="7:7" ht="10.5" customHeight="1" x14ac:dyDescent="0.2">
      <c r="G18279" s="889"/>
    </row>
    <row r="18280" spans="7:7" ht="10.5" customHeight="1" x14ac:dyDescent="0.2">
      <c r="G18280" s="889"/>
    </row>
    <row r="18281" spans="7:7" ht="10.5" customHeight="1" x14ac:dyDescent="0.2">
      <c r="G18281" s="889"/>
    </row>
    <row r="18282" spans="7:7" ht="10.5" customHeight="1" x14ac:dyDescent="0.2">
      <c r="G18282" s="889"/>
    </row>
    <row r="18283" spans="7:7" ht="10.5" customHeight="1" x14ac:dyDescent="0.2">
      <c r="G18283" s="889"/>
    </row>
    <row r="18284" spans="7:7" ht="10.5" customHeight="1" x14ac:dyDescent="0.2">
      <c r="G18284" s="889"/>
    </row>
    <row r="18285" spans="7:7" ht="10.5" customHeight="1" x14ac:dyDescent="0.2">
      <c r="G18285" s="889"/>
    </row>
    <row r="18286" spans="7:7" ht="10.5" customHeight="1" x14ac:dyDescent="0.2">
      <c r="G18286" s="889"/>
    </row>
    <row r="18287" spans="7:7" ht="10.5" customHeight="1" x14ac:dyDescent="0.2">
      <c r="G18287" s="889"/>
    </row>
    <row r="18288" spans="7:7" ht="10.5" customHeight="1" x14ac:dyDescent="0.2">
      <c r="G18288" s="889"/>
    </row>
    <row r="18289" spans="7:7" ht="10.5" customHeight="1" x14ac:dyDescent="0.2">
      <c r="G18289" s="889"/>
    </row>
    <row r="18290" spans="7:7" ht="10.5" customHeight="1" x14ac:dyDescent="0.2">
      <c r="G18290" s="889"/>
    </row>
    <row r="18291" spans="7:7" ht="10.5" customHeight="1" x14ac:dyDescent="0.2">
      <c r="G18291" s="889"/>
    </row>
    <row r="18292" spans="7:7" ht="10.5" customHeight="1" x14ac:dyDescent="0.2">
      <c r="G18292" s="889"/>
    </row>
    <row r="18293" spans="7:7" ht="10.5" customHeight="1" x14ac:dyDescent="0.2">
      <c r="G18293" s="889"/>
    </row>
    <row r="18294" spans="7:7" ht="10.5" customHeight="1" x14ac:dyDescent="0.2">
      <c r="G18294" s="889"/>
    </row>
    <row r="18295" spans="7:7" ht="10.5" customHeight="1" x14ac:dyDescent="0.2">
      <c r="G18295" s="889"/>
    </row>
    <row r="18296" spans="7:7" ht="10.5" customHeight="1" x14ac:dyDescent="0.2">
      <c r="G18296" s="889"/>
    </row>
    <row r="18297" spans="7:7" ht="10.5" customHeight="1" x14ac:dyDescent="0.2">
      <c r="G18297" s="889"/>
    </row>
    <row r="18298" spans="7:7" ht="10.5" customHeight="1" x14ac:dyDescent="0.2">
      <c r="G18298" s="889"/>
    </row>
    <row r="18299" spans="7:7" ht="10.5" customHeight="1" x14ac:dyDescent="0.2">
      <c r="G18299" s="889"/>
    </row>
    <row r="18300" spans="7:7" ht="10.5" customHeight="1" x14ac:dyDescent="0.2">
      <c r="G18300" s="889"/>
    </row>
    <row r="18301" spans="7:7" ht="10.5" customHeight="1" x14ac:dyDescent="0.2">
      <c r="G18301" s="889"/>
    </row>
    <row r="18302" spans="7:7" ht="10.5" customHeight="1" x14ac:dyDescent="0.2">
      <c r="G18302" s="889"/>
    </row>
    <row r="18303" spans="7:7" ht="10.5" customHeight="1" x14ac:dyDescent="0.2">
      <c r="G18303" s="889"/>
    </row>
    <row r="18304" spans="7:7" ht="10.5" customHeight="1" x14ac:dyDescent="0.2">
      <c r="G18304" s="889"/>
    </row>
    <row r="18305" spans="7:7" ht="10.5" customHeight="1" x14ac:dyDescent="0.2">
      <c r="G18305" s="889"/>
    </row>
    <row r="18306" spans="7:7" ht="10.5" customHeight="1" x14ac:dyDescent="0.2">
      <c r="G18306" s="889"/>
    </row>
    <row r="18307" spans="7:7" ht="10.5" customHeight="1" x14ac:dyDescent="0.2">
      <c r="G18307" s="889"/>
    </row>
    <row r="18308" spans="7:7" ht="10.5" customHeight="1" x14ac:dyDescent="0.2">
      <c r="G18308" s="889"/>
    </row>
    <row r="18309" spans="7:7" ht="10.5" customHeight="1" x14ac:dyDescent="0.2">
      <c r="G18309" s="889"/>
    </row>
    <row r="18310" spans="7:7" ht="10.5" customHeight="1" x14ac:dyDescent="0.2">
      <c r="G18310" s="889"/>
    </row>
    <row r="18311" spans="7:7" ht="10.5" customHeight="1" x14ac:dyDescent="0.2">
      <c r="G18311" s="889"/>
    </row>
    <row r="18312" spans="7:7" ht="10.5" customHeight="1" x14ac:dyDescent="0.2">
      <c r="G18312" s="889"/>
    </row>
    <row r="18313" spans="7:7" ht="10.5" customHeight="1" x14ac:dyDescent="0.2">
      <c r="G18313" s="889"/>
    </row>
    <row r="18314" spans="7:7" ht="10.5" customHeight="1" x14ac:dyDescent="0.2">
      <c r="G18314" s="889"/>
    </row>
    <row r="18315" spans="7:7" ht="10.5" customHeight="1" x14ac:dyDescent="0.2">
      <c r="G18315" s="889"/>
    </row>
    <row r="18316" spans="7:7" ht="10.5" customHeight="1" x14ac:dyDescent="0.2">
      <c r="G18316" s="889"/>
    </row>
    <row r="18317" spans="7:7" ht="10.5" customHeight="1" x14ac:dyDescent="0.2">
      <c r="G18317" s="889"/>
    </row>
    <row r="18318" spans="7:7" ht="10.5" customHeight="1" x14ac:dyDescent="0.2">
      <c r="G18318" s="889"/>
    </row>
    <row r="18319" spans="7:7" ht="10.5" customHeight="1" x14ac:dyDescent="0.2">
      <c r="G18319" s="889"/>
    </row>
    <row r="18320" spans="7:7" ht="10.5" customHeight="1" x14ac:dyDescent="0.2">
      <c r="G18320" s="889"/>
    </row>
    <row r="18321" spans="7:7" ht="10.5" customHeight="1" x14ac:dyDescent="0.2">
      <c r="G18321" s="889"/>
    </row>
    <row r="18322" spans="7:7" ht="10.5" customHeight="1" x14ac:dyDescent="0.2">
      <c r="G18322" s="889"/>
    </row>
    <row r="18323" spans="7:7" ht="10.5" customHeight="1" x14ac:dyDescent="0.2">
      <c r="G18323" s="889"/>
    </row>
    <row r="18324" spans="7:7" ht="10.5" customHeight="1" x14ac:dyDescent="0.2">
      <c r="G18324" s="889"/>
    </row>
    <row r="18325" spans="7:7" ht="10.5" customHeight="1" x14ac:dyDescent="0.2">
      <c r="G18325" s="889"/>
    </row>
    <row r="18326" spans="7:7" ht="10.5" customHeight="1" x14ac:dyDescent="0.2">
      <c r="G18326" s="889"/>
    </row>
    <row r="18327" spans="7:7" ht="10.5" customHeight="1" x14ac:dyDescent="0.2">
      <c r="G18327" s="889"/>
    </row>
    <row r="18328" spans="7:7" ht="10.5" customHeight="1" x14ac:dyDescent="0.2">
      <c r="G18328" s="889"/>
    </row>
    <row r="18329" spans="7:7" ht="10.5" customHeight="1" x14ac:dyDescent="0.2">
      <c r="G18329" s="889"/>
    </row>
    <row r="18330" spans="7:7" ht="10.5" customHeight="1" x14ac:dyDescent="0.2">
      <c r="G18330" s="889"/>
    </row>
    <row r="18331" spans="7:7" ht="10.5" customHeight="1" x14ac:dyDescent="0.2">
      <c r="G18331" s="889"/>
    </row>
    <row r="18332" spans="7:7" ht="10.5" customHeight="1" x14ac:dyDescent="0.2">
      <c r="G18332" s="889"/>
    </row>
    <row r="18333" spans="7:7" ht="10.5" customHeight="1" x14ac:dyDescent="0.2">
      <c r="G18333" s="889"/>
    </row>
    <row r="18334" spans="7:7" ht="10.5" customHeight="1" x14ac:dyDescent="0.2">
      <c r="G18334" s="889"/>
    </row>
    <row r="18335" spans="7:7" ht="10.5" customHeight="1" x14ac:dyDescent="0.2">
      <c r="G18335" s="889"/>
    </row>
    <row r="18336" spans="7:7" ht="10.5" customHeight="1" x14ac:dyDescent="0.2">
      <c r="G18336" s="889"/>
    </row>
    <row r="18337" spans="7:7" ht="10.5" customHeight="1" x14ac:dyDescent="0.2">
      <c r="G18337" s="889"/>
    </row>
    <row r="18338" spans="7:7" ht="10.5" customHeight="1" x14ac:dyDescent="0.2">
      <c r="G18338" s="889"/>
    </row>
    <row r="18339" spans="7:7" ht="10.5" customHeight="1" x14ac:dyDescent="0.2">
      <c r="G18339" s="889"/>
    </row>
    <row r="18340" spans="7:7" ht="10.5" customHeight="1" x14ac:dyDescent="0.2">
      <c r="G18340" s="889"/>
    </row>
    <row r="18341" spans="7:7" ht="10.5" customHeight="1" x14ac:dyDescent="0.2">
      <c r="G18341" s="889"/>
    </row>
    <row r="18342" spans="7:7" ht="10.5" customHeight="1" x14ac:dyDescent="0.2">
      <c r="G18342" s="889"/>
    </row>
    <row r="18343" spans="7:7" ht="10.5" customHeight="1" x14ac:dyDescent="0.2">
      <c r="G18343" s="889"/>
    </row>
    <row r="18344" spans="7:7" ht="10.5" customHeight="1" x14ac:dyDescent="0.2">
      <c r="G18344" s="889"/>
    </row>
    <row r="18345" spans="7:7" ht="10.5" customHeight="1" x14ac:dyDescent="0.2">
      <c r="G18345" s="889"/>
    </row>
    <row r="18346" spans="7:7" ht="10.5" customHeight="1" x14ac:dyDescent="0.2">
      <c r="G18346" s="889"/>
    </row>
    <row r="18347" spans="7:7" ht="10.5" customHeight="1" x14ac:dyDescent="0.2">
      <c r="G18347" s="889"/>
    </row>
    <row r="18348" spans="7:7" ht="10.5" customHeight="1" x14ac:dyDescent="0.2">
      <c r="G18348" s="889"/>
    </row>
    <row r="18349" spans="7:7" ht="10.5" customHeight="1" x14ac:dyDescent="0.2">
      <c r="G18349" s="889"/>
    </row>
    <row r="18350" spans="7:7" ht="10.5" customHeight="1" x14ac:dyDescent="0.2">
      <c r="G18350" s="889"/>
    </row>
    <row r="18351" spans="7:7" ht="10.5" customHeight="1" x14ac:dyDescent="0.2">
      <c r="G18351" s="889"/>
    </row>
    <row r="18352" spans="7:7" ht="10.5" customHeight="1" x14ac:dyDescent="0.2">
      <c r="G18352" s="889"/>
    </row>
    <row r="18353" spans="7:7" ht="10.5" customHeight="1" x14ac:dyDescent="0.2">
      <c r="G18353" s="889"/>
    </row>
    <row r="18354" spans="7:7" ht="10.5" customHeight="1" x14ac:dyDescent="0.2">
      <c r="G18354" s="889"/>
    </row>
    <row r="18355" spans="7:7" ht="10.5" customHeight="1" x14ac:dyDescent="0.2">
      <c r="G18355" s="889"/>
    </row>
    <row r="18356" spans="7:7" ht="10.5" customHeight="1" x14ac:dyDescent="0.2">
      <c r="G18356" s="889"/>
    </row>
    <row r="18357" spans="7:7" ht="10.5" customHeight="1" x14ac:dyDescent="0.2">
      <c r="G18357" s="889"/>
    </row>
    <row r="18358" spans="7:7" ht="10.5" customHeight="1" x14ac:dyDescent="0.2">
      <c r="G18358" s="889"/>
    </row>
    <row r="18359" spans="7:7" ht="10.5" customHeight="1" x14ac:dyDescent="0.2">
      <c r="G18359" s="889"/>
    </row>
    <row r="18360" spans="7:7" ht="10.5" customHeight="1" x14ac:dyDescent="0.2">
      <c r="G18360" s="889"/>
    </row>
    <row r="18361" spans="7:7" ht="10.5" customHeight="1" x14ac:dyDescent="0.2">
      <c r="G18361" s="889"/>
    </row>
    <row r="18362" spans="7:7" ht="10.5" customHeight="1" x14ac:dyDescent="0.2">
      <c r="G18362" s="889"/>
    </row>
    <row r="18363" spans="7:7" ht="10.5" customHeight="1" x14ac:dyDescent="0.2">
      <c r="G18363" s="889"/>
    </row>
    <row r="18364" spans="7:7" ht="10.5" customHeight="1" x14ac:dyDescent="0.2">
      <c r="G18364" s="889"/>
    </row>
    <row r="18365" spans="7:7" ht="10.5" customHeight="1" x14ac:dyDescent="0.2">
      <c r="G18365" s="889"/>
    </row>
    <row r="18366" spans="7:7" ht="10.5" customHeight="1" x14ac:dyDescent="0.2">
      <c r="G18366" s="889"/>
    </row>
    <row r="18367" spans="7:7" ht="10.5" customHeight="1" x14ac:dyDescent="0.2">
      <c r="G18367" s="889"/>
    </row>
    <row r="18368" spans="7:7" ht="10.5" customHeight="1" x14ac:dyDescent="0.2">
      <c r="G18368" s="889"/>
    </row>
    <row r="18369" spans="7:7" ht="10.5" customHeight="1" x14ac:dyDescent="0.2">
      <c r="G18369" s="889"/>
    </row>
    <row r="18370" spans="7:7" ht="10.5" customHeight="1" x14ac:dyDescent="0.2">
      <c r="G18370" s="889"/>
    </row>
    <row r="18371" spans="7:7" ht="10.5" customHeight="1" x14ac:dyDescent="0.2">
      <c r="G18371" s="889"/>
    </row>
    <row r="18372" spans="7:7" ht="10.5" customHeight="1" x14ac:dyDescent="0.2">
      <c r="G18372" s="889"/>
    </row>
    <row r="18373" spans="7:7" ht="10.5" customHeight="1" x14ac:dyDescent="0.2">
      <c r="G18373" s="889"/>
    </row>
    <row r="18374" spans="7:7" ht="10.5" customHeight="1" x14ac:dyDescent="0.2">
      <c r="G18374" s="889"/>
    </row>
    <row r="18375" spans="7:7" ht="10.5" customHeight="1" x14ac:dyDescent="0.2">
      <c r="G18375" s="889"/>
    </row>
    <row r="18376" spans="7:7" ht="10.5" customHeight="1" x14ac:dyDescent="0.2">
      <c r="G18376" s="889"/>
    </row>
    <row r="18377" spans="7:7" ht="10.5" customHeight="1" x14ac:dyDescent="0.2">
      <c r="G18377" s="889"/>
    </row>
    <row r="18378" spans="7:7" ht="10.5" customHeight="1" x14ac:dyDescent="0.2">
      <c r="G18378" s="889"/>
    </row>
    <row r="18379" spans="7:7" ht="10.5" customHeight="1" x14ac:dyDescent="0.2">
      <c r="G18379" s="889"/>
    </row>
    <row r="18380" spans="7:7" ht="10.5" customHeight="1" x14ac:dyDescent="0.2">
      <c r="G18380" s="889"/>
    </row>
    <row r="18381" spans="7:7" ht="10.5" customHeight="1" x14ac:dyDescent="0.2">
      <c r="G18381" s="889"/>
    </row>
    <row r="18382" spans="7:7" ht="10.5" customHeight="1" x14ac:dyDescent="0.2">
      <c r="G18382" s="889"/>
    </row>
    <row r="18383" spans="7:7" ht="10.5" customHeight="1" x14ac:dyDescent="0.2">
      <c r="G18383" s="889"/>
    </row>
    <row r="18384" spans="7:7" ht="10.5" customHeight="1" x14ac:dyDescent="0.2">
      <c r="G18384" s="889"/>
    </row>
    <row r="18385" spans="7:7" ht="10.5" customHeight="1" x14ac:dyDescent="0.2">
      <c r="G18385" s="889"/>
    </row>
    <row r="18386" spans="7:7" ht="10.5" customHeight="1" x14ac:dyDescent="0.2">
      <c r="G18386" s="889"/>
    </row>
    <row r="18387" spans="7:7" ht="10.5" customHeight="1" x14ac:dyDescent="0.2">
      <c r="G18387" s="889"/>
    </row>
    <row r="18388" spans="7:7" ht="10.5" customHeight="1" x14ac:dyDescent="0.2">
      <c r="G18388" s="889"/>
    </row>
    <row r="18389" spans="7:7" ht="10.5" customHeight="1" x14ac:dyDescent="0.2">
      <c r="G18389" s="889"/>
    </row>
    <row r="18390" spans="7:7" ht="10.5" customHeight="1" x14ac:dyDescent="0.2">
      <c r="G18390" s="889"/>
    </row>
    <row r="18391" spans="7:7" ht="10.5" customHeight="1" x14ac:dyDescent="0.2">
      <c r="G18391" s="889"/>
    </row>
    <row r="18392" spans="7:7" ht="10.5" customHeight="1" x14ac:dyDescent="0.2">
      <c r="G18392" s="889"/>
    </row>
    <row r="18393" spans="7:7" ht="10.5" customHeight="1" x14ac:dyDescent="0.2">
      <c r="G18393" s="889"/>
    </row>
    <row r="18394" spans="7:7" ht="10.5" customHeight="1" x14ac:dyDescent="0.2">
      <c r="G18394" s="889"/>
    </row>
    <row r="18395" spans="7:7" ht="10.5" customHeight="1" x14ac:dyDescent="0.2">
      <c r="G18395" s="889"/>
    </row>
    <row r="18396" spans="7:7" ht="10.5" customHeight="1" x14ac:dyDescent="0.2">
      <c r="G18396" s="889"/>
    </row>
    <row r="18397" spans="7:7" ht="10.5" customHeight="1" x14ac:dyDescent="0.2">
      <c r="G18397" s="889"/>
    </row>
    <row r="18398" spans="7:7" ht="10.5" customHeight="1" x14ac:dyDescent="0.2">
      <c r="G18398" s="889"/>
    </row>
    <row r="18399" spans="7:7" ht="10.5" customHeight="1" x14ac:dyDescent="0.2">
      <c r="G18399" s="889"/>
    </row>
    <row r="18400" spans="7:7" ht="10.5" customHeight="1" x14ac:dyDescent="0.2">
      <c r="G18400" s="889"/>
    </row>
    <row r="18401" spans="7:7" ht="10.5" customHeight="1" x14ac:dyDescent="0.2">
      <c r="G18401" s="889"/>
    </row>
    <row r="18402" spans="7:7" ht="10.5" customHeight="1" x14ac:dyDescent="0.2">
      <c r="G18402" s="889"/>
    </row>
    <row r="18403" spans="7:7" ht="10.5" customHeight="1" x14ac:dyDescent="0.2">
      <c r="G18403" s="889"/>
    </row>
    <row r="18404" spans="7:7" ht="10.5" customHeight="1" x14ac:dyDescent="0.2">
      <c r="G18404" s="889"/>
    </row>
    <row r="18405" spans="7:7" ht="10.5" customHeight="1" x14ac:dyDescent="0.2">
      <c r="G18405" s="889"/>
    </row>
    <row r="18406" spans="7:7" ht="10.5" customHeight="1" x14ac:dyDescent="0.2">
      <c r="G18406" s="889"/>
    </row>
    <row r="18407" spans="7:7" ht="10.5" customHeight="1" x14ac:dyDescent="0.2">
      <c r="G18407" s="889"/>
    </row>
    <row r="18408" spans="7:7" ht="10.5" customHeight="1" x14ac:dyDescent="0.2">
      <c r="G18408" s="889"/>
    </row>
    <row r="18409" spans="7:7" ht="10.5" customHeight="1" x14ac:dyDescent="0.2">
      <c r="G18409" s="889"/>
    </row>
    <row r="18410" spans="7:7" ht="10.5" customHeight="1" x14ac:dyDescent="0.2">
      <c r="G18410" s="889"/>
    </row>
    <row r="18411" spans="7:7" ht="10.5" customHeight="1" x14ac:dyDescent="0.2">
      <c r="G18411" s="889"/>
    </row>
    <row r="18412" spans="7:7" ht="10.5" customHeight="1" x14ac:dyDescent="0.2">
      <c r="G18412" s="889"/>
    </row>
    <row r="18413" spans="7:7" ht="10.5" customHeight="1" x14ac:dyDescent="0.2">
      <c r="G18413" s="889"/>
    </row>
    <row r="18414" spans="7:7" ht="10.5" customHeight="1" x14ac:dyDescent="0.2">
      <c r="G18414" s="889"/>
    </row>
    <row r="18415" spans="7:7" ht="10.5" customHeight="1" x14ac:dyDescent="0.2">
      <c r="G18415" s="889"/>
    </row>
    <row r="18416" spans="7:7" ht="10.5" customHeight="1" x14ac:dyDescent="0.2">
      <c r="G18416" s="889"/>
    </row>
    <row r="18417" spans="7:7" ht="10.5" customHeight="1" x14ac:dyDescent="0.2">
      <c r="G18417" s="889"/>
    </row>
    <row r="18418" spans="7:7" ht="10.5" customHeight="1" x14ac:dyDescent="0.2">
      <c r="G18418" s="889"/>
    </row>
    <row r="18419" spans="7:7" ht="10.5" customHeight="1" x14ac:dyDescent="0.2">
      <c r="G18419" s="889"/>
    </row>
    <row r="18420" spans="7:7" ht="10.5" customHeight="1" x14ac:dyDescent="0.2">
      <c r="G18420" s="889"/>
    </row>
    <row r="18421" spans="7:7" ht="10.5" customHeight="1" x14ac:dyDescent="0.2">
      <c r="G18421" s="889"/>
    </row>
    <row r="18422" spans="7:7" ht="10.5" customHeight="1" x14ac:dyDescent="0.2">
      <c r="G18422" s="889"/>
    </row>
    <row r="18423" spans="7:7" ht="10.5" customHeight="1" x14ac:dyDescent="0.2">
      <c r="G18423" s="889"/>
    </row>
    <row r="18424" spans="7:7" ht="10.5" customHeight="1" x14ac:dyDescent="0.2">
      <c r="G18424" s="889"/>
    </row>
    <row r="18425" spans="7:7" ht="10.5" customHeight="1" x14ac:dyDescent="0.2">
      <c r="G18425" s="889"/>
    </row>
    <row r="18426" spans="7:7" ht="10.5" customHeight="1" x14ac:dyDescent="0.2">
      <c r="G18426" s="889"/>
    </row>
    <row r="18427" spans="7:7" ht="10.5" customHeight="1" x14ac:dyDescent="0.2">
      <c r="G18427" s="889"/>
    </row>
    <row r="18428" spans="7:7" ht="10.5" customHeight="1" x14ac:dyDescent="0.2">
      <c r="G18428" s="889"/>
    </row>
    <row r="18429" spans="7:7" ht="10.5" customHeight="1" x14ac:dyDescent="0.2">
      <c r="G18429" s="889"/>
    </row>
    <row r="18430" spans="7:7" ht="10.5" customHeight="1" x14ac:dyDescent="0.2">
      <c r="G18430" s="889"/>
    </row>
    <row r="18431" spans="7:7" ht="10.5" customHeight="1" x14ac:dyDescent="0.2">
      <c r="G18431" s="889"/>
    </row>
    <row r="18432" spans="7:7" ht="10.5" customHeight="1" x14ac:dyDescent="0.2">
      <c r="G18432" s="889"/>
    </row>
    <row r="18433" spans="7:7" ht="10.5" customHeight="1" x14ac:dyDescent="0.2">
      <c r="G18433" s="889"/>
    </row>
    <row r="18434" spans="7:7" ht="10.5" customHeight="1" x14ac:dyDescent="0.2">
      <c r="G18434" s="889"/>
    </row>
    <row r="18435" spans="7:7" ht="10.5" customHeight="1" x14ac:dyDescent="0.2">
      <c r="G18435" s="889"/>
    </row>
    <row r="18436" spans="7:7" ht="10.5" customHeight="1" x14ac:dyDescent="0.2">
      <c r="G18436" s="889"/>
    </row>
    <row r="18437" spans="7:7" ht="10.5" customHeight="1" x14ac:dyDescent="0.2">
      <c r="G18437" s="889"/>
    </row>
    <row r="18438" spans="7:7" ht="10.5" customHeight="1" x14ac:dyDescent="0.2">
      <c r="G18438" s="889"/>
    </row>
    <row r="18439" spans="7:7" ht="10.5" customHeight="1" x14ac:dyDescent="0.2">
      <c r="G18439" s="889"/>
    </row>
    <row r="18440" spans="7:7" ht="10.5" customHeight="1" x14ac:dyDescent="0.2">
      <c r="G18440" s="889"/>
    </row>
    <row r="18441" spans="7:7" ht="10.5" customHeight="1" x14ac:dyDescent="0.2">
      <c r="G18441" s="889"/>
    </row>
    <row r="18442" spans="7:7" ht="10.5" customHeight="1" x14ac:dyDescent="0.2">
      <c r="G18442" s="889"/>
    </row>
    <row r="18443" spans="7:7" ht="10.5" customHeight="1" x14ac:dyDescent="0.2">
      <c r="G18443" s="889"/>
    </row>
    <row r="18444" spans="7:7" ht="10.5" customHeight="1" x14ac:dyDescent="0.2">
      <c r="G18444" s="889"/>
    </row>
    <row r="18445" spans="7:7" ht="10.5" customHeight="1" x14ac:dyDescent="0.2">
      <c r="G18445" s="889"/>
    </row>
    <row r="18446" spans="7:7" ht="10.5" customHeight="1" x14ac:dyDescent="0.2">
      <c r="G18446" s="889"/>
    </row>
    <row r="18447" spans="7:7" ht="10.5" customHeight="1" x14ac:dyDescent="0.2">
      <c r="G18447" s="889"/>
    </row>
    <row r="18448" spans="7:7" ht="10.5" customHeight="1" x14ac:dyDescent="0.2">
      <c r="G18448" s="889"/>
    </row>
    <row r="18449" spans="7:7" ht="10.5" customHeight="1" x14ac:dyDescent="0.2">
      <c r="G18449" s="889"/>
    </row>
    <row r="18450" spans="7:7" ht="10.5" customHeight="1" x14ac:dyDescent="0.2">
      <c r="G18450" s="889"/>
    </row>
    <row r="18451" spans="7:7" ht="10.5" customHeight="1" x14ac:dyDescent="0.2">
      <c r="G18451" s="889"/>
    </row>
    <row r="18452" spans="7:7" ht="10.5" customHeight="1" x14ac:dyDescent="0.2">
      <c r="G18452" s="889"/>
    </row>
    <row r="18453" spans="7:7" ht="10.5" customHeight="1" x14ac:dyDescent="0.2">
      <c r="G18453" s="889"/>
    </row>
    <row r="18454" spans="7:7" ht="10.5" customHeight="1" x14ac:dyDescent="0.2">
      <c r="G18454" s="889"/>
    </row>
    <row r="18455" spans="7:7" ht="10.5" customHeight="1" x14ac:dyDescent="0.2">
      <c r="G18455" s="889"/>
    </row>
    <row r="18456" spans="7:7" ht="10.5" customHeight="1" x14ac:dyDescent="0.2">
      <c r="G18456" s="889"/>
    </row>
    <row r="18457" spans="7:7" ht="10.5" customHeight="1" x14ac:dyDescent="0.2">
      <c r="G18457" s="889"/>
    </row>
    <row r="18458" spans="7:7" ht="10.5" customHeight="1" x14ac:dyDescent="0.2">
      <c r="G18458" s="889"/>
    </row>
    <row r="18459" spans="7:7" ht="10.5" customHeight="1" x14ac:dyDescent="0.2">
      <c r="G18459" s="889"/>
    </row>
    <row r="18460" spans="7:7" ht="10.5" customHeight="1" x14ac:dyDescent="0.2">
      <c r="G18460" s="889"/>
    </row>
    <row r="18461" spans="7:7" ht="10.5" customHeight="1" x14ac:dyDescent="0.2">
      <c r="G18461" s="889"/>
    </row>
    <row r="18462" spans="7:7" ht="10.5" customHeight="1" x14ac:dyDescent="0.2">
      <c r="G18462" s="889"/>
    </row>
    <row r="18463" spans="7:7" ht="10.5" customHeight="1" x14ac:dyDescent="0.2">
      <c r="G18463" s="889"/>
    </row>
    <row r="18464" spans="7:7" ht="10.5" customHeight="1" x14ac:dyDescent="0.2">
      <c r="G18464" s="889"/>
    </row>
    <row r="18465" spans="7:7" ht="10.5" customHeight="1" x14ac:dyDescent="0.2">
      <c r="G18465" s="889"/>
    </row>
    <row r="18466" spans="7:7" ht="10.5" customHeight="1" x14ac:dyDescent="0.2">
      <c r="G18466" s="889"/>
    </row>
    <row r="18467" spans="7:7" ht="10.5" customHeight="1" x14ac:dyDescent="0.2">
      <c r="G18467" s="889"/>
    </row>
    <row r="18468" spans="7:7" ht="10.5" customHeight="1" x14ac:dyDescent="0.2">
      <c r="G18468" s="889"/>
    </row>
    <row r="18469" spans="7:7" ht="10.5" customHeight="1" x14ac:dyDescent="0.2">
      <c r="G18469" s="889"/>
    </row>
    <row r="18470" spans="7:7" ht="10.5" customHeight="1" x14ac:dyDescent="0.2">
      <c r="G18470" s="889"/>
    </row>
    <row r="18471" spans="7:7" ht="10.5" customHeight="1" x14ac:dyDescent="0.2">
      <c r="G18471" s="889"/>
    </row>
    <row r="18472" spans="7:7" ht="10.5" customHeight="1" x14ac:dyDescent="0.2">
      <c r="G18472" s="889"/>
    </row>
    <row r="18473" spans="7:7" ht="10.5" customHeight="1" x14ac:dyDescent="0.2">
      <c r="G18473" s="889"/>
    </row>
    <row r="18474" spans="7:7" ht="10.5" customHeight="1" x14ac:dyDescent="0.2">
      <c r="G18474" s="889"/>
    </row>
    <row r="18475" spans="7:7" ht="10.5" customHeight="1" x14ac:dyDescent="0.2">
      <c r="G18475" s="889"/>
    </row>
    <row r="18476" spans="7:7" ht="10.5" customHeight="1" x14ac:dyDescent="0.2">
      <c r="G18476" s="889"/>
    </row>
    <row r="18477" spans="7:7" ht="10.5" customHeight="1" x14ac:dyDescent="0.2">
      <c r="G18477" s="889"/>
    </row>
    <row r="18478" spans="7:7" ht="10.5" customHeight="1" x14ac:dyDescent="0.2">
      <c r="G18478" s="889"/>
    </row>
    <row r="18479" spans="7:7" ht="10.5" customHeight="1" x14ac:dyDescent="0.2">
      <c r="G18479" s="889"/>
    </row>
    <row r="18480" spans="7:7" ht="10.5" customHeight="1" x14ac:dyDescent="0.2">
      <c r="G18480" s="889"/>
    </row>
    <row r="18481" spans="7:7" ht="10.5" customHeight="1" x14ac:dyDescent="0.2">
      <c r="G18481" s="889"/>
    </row>
    <row r="18482" spans="7:7" ht="10.5" customHeight="1" x14ac:dyDescent="0.2">
      <c r="G18482" s="889"/>
    </row>
    <row r="18483" spans="7:7" ht="10.5" customHeight="1" x14ac:dyDescent="0.2">
      <c r="G18483" s="889"/>
    </row>
    <row r="18484" spans="7:7" ht="10.5" customHeight="1" x14ac:dyDescent="0.2">
      <c r="G18484" s="889"/>
    </row>
    <row r="18485" spans="7:7" ht="10.5" customHeight="1" x14ac:dyDescent="0.2">
      <c r="G18485" s="889"/>
    </row>
    <row r="18486" spans="7:7" ht="10.5" customHeight="1" x14ac:dyDescent="0.2">
      <c r="G18486" s="889"/>
    </row>
    <row r="18487" spans="7:7" ht="10.5" customHeight="1" x14ac:dyDescent="0.2">
      <c r="G18487" s="889"/>
    </row>
    <row r="18488" spans="7:7" ht="10.5" customHeight="1" x14ac:dyDescent="0.2">
      <c r="G18488" s="889"/>
    </row>
    <row r="18489" spans="7:7" ht="10.5" customHeight="1" x14ac:dyDescent="0.2">
      <c r="G18489" s="889"/>
    </row>
    <row r="18490" spans="7:7" ht="10.5" customHeight="1" x14ac:dyDescent="0.2">
      <c r="G18490" s="889"/>
    </row>
    <row r="18491" spans="7:7" ht="10.5" customHeight="1" x14ac:dyDescent="0.2">
      <c r="G18491" s="889"/>
    </row>
    <row r="18492" spans="7:7" ht="10.5" customHeight="1" x14ac:dyDescent="0.2">
      <c r="G18492" s="889"/>
    </row>
    <row r="18493" spans="7:7" ht="10.5" customHeight="1" x14ac:dyDescent="0.2">
      <c r="G18493" s="889"/>
    </row>
    <row r="18494" spans="7:7" ht="10.5" customHeight="1" x14ac:dyDescent="0.2">
      <c r="G18494" s="889"/>
    </row>
    <row r="18495" spans="7:7" ht="10.5" customHeight="1" x14ac:dyDescent="0.2">
      <c r="G18495" s="889"/>
    </row>
    <row r="18496" spans="7:7" ht="10.5" customHeight="1" x14ac:dyDescent="0.2">
      <c r="G18496" s="889"/>
    </row>
    <row r="18497" spans="7:7" ht="10.5" customHeight="1" x14ac:dyDescent="0.2">
      <c r="G18497" s="889"/>
    </row>
    <row r="18498" spans="7:7" ht="10.5" customHeight="1" x14ac:dyDescent="0.2">
      <c r="G18498" s="889"/>
    </row>
    <row r="18499" spans="7:7" ht="10.5" customHeight="1" x14ac:dyDescent="0.2">
      <c r="G18499" s="889"/>
    </row>
    <row r="18500" spans="7:7" ht="10.5" customHeight="1" x14ac:dyDescent="0.2">
      <c r="G18500" s="889"/>
    </row>
    <row r="18501" spans="7:7" ht="10.5" customHeight="1" x14ac:dyDescent="0.2">
      <c r="G18501" s="889"/>
    </row>
    <row r="18502" spans="7:7" ht="10.5" customHeight="1" x14ac:dyDescent="0.2">
      <c r="G18502" s="889"/>
    </row>
    <row r="18503" spans="7:7" ht="10.5" customHeight="1" x14ac:dyDescent="0.2">
      <c r="G18503" s="889"/>
    </row>
    <row r="18504" spans="7:7" ht="10.5" customHeight="1" x14ac:dyDescent="0.2">
      <c r="G18504" s="889"/>
    </row>
    <row r="18505" spans="7:7" ht="10.5" customHeight="1" x14ac:dyDescent="0.2">
      <c r="G18505" s="889"/>
    </row>
    <row r="18506" spans="7:7" ht="10.5" customHeight="1" x14ac:dyDescent="0.2">
      <c r="G18506" s="889"/>
    </row>
    <row r="18507" spans="7:7" ht="10.5" customHeight="1" x14ac:dyDescent="0.2">
      <c r="G18507" s="889"/>
    </row>
    <row r="18508" spans="7:7" ht="10.5" customHeight="1" x14ac:dyDescent="0.2">
      <c r="G18508" s="889"/>
    </row>
    <row r="18509" spans="7:7" ht="10.5" customHeight="1" x14ac:dyDescent="0.2">
      <c r="G18509" s="889"/>
    </row>
    <row r="18510" spans="7:7" ht="10.5" customHeight="1" x14ac:dyDescent="0.2">
      <c r="G18510" s="889"/>
    </row>
    <row r="18511" spans="7:7" ht="10.5" customHeight="1" x14ac:dyDescent="0.2">
      <c r="G18511" s="889"/>
    </row>
    <row r="18512" spans="7:7" ht="10.5" customHeight="1" x14ac:dyDescent="0.2">
      <c r="G18512" s="889"/>
    </row>
    <row r="18513" spans="7:7" ht="10.5" customHeight="1" x14ac:dyDescent="0.2">
      <c r="G18513" s="889"/>
    </row>
    <row r="18514" spans="7:7" ht="10.5" customHeight="1" x14ac:dyDescent="0.2">
      <c r="G18514" s="889"/>
    </row>
    <row r="18515" spans="7:7" ht="10.5" customHeight="1" x14ac:dyDescent="0.2">
      <c r="G18515" s="889"/>
    </row>
    <row r="18516" spans="7:7" ht="10.5" customHeight="1" x14ac:dyDescent="0.2">
      <c r="G18516" s="889"/>
    </row>
    <row r="18517" spans="7:7" ht="10.5" customHeight="1" x14ac:dyDescent="0.2">
      <c r="G18517" s="889"/>
    </row>
    <row r="18518" spans="7:7" ht="10.5" customHeight="1" x14ac:dyDescent="0.2">
      <c r="G18518" s="889"/>
    </row>
    <row r="18519" spans="7:7" ht="10.5" customHeight="1" x14ac:dyDescent="0.2">
      <c r="G18519" s="889"/>
    </row>
    <row r="18520" spans="7:7" ht="10.5" customHeight="1" x14ac:dyDescent="0.2">
      <c r="G18520" s="889"/>
    </row>
    <row r="18521" spans="7:7" ht="10.5" customHeight="1" x14ac:dyDescent="0.2">
      <c r="G18521" s="889"/>
    </row>
    <row r="18522" spans="7:7" ht="10.5" customHeight="1" x14ac:dyDescent="0.2">
      <c r="G18522" s="889"/>
    </row>
    <row r="18523" spans="7:7" ht="10.5" customHeight="1" x14ac:dyDescent="0.2">
      <c r="G18523" s="889"/>
    </row>
    <row r="18524" spans="7:7" ht="10.5" customHeight="1" x14ac:dyDescent="0.2">
      <c r="G18524" s="889"/>
    </row>
    <row r="18525" spans="7:7" ht="10.5" customHeight="1" x14ac:dyDescent="0.2">
      <c r="G18525" s="889"/>
    </row>
    <row r="18526" spans="7:7" ht="10.5" customHeight="1" x14ac:dyDescent="0.2">
      <c r="G18526" s="889"/>
    </row>
    <row r="18527" spans="7:7" ht="10.5" customHeight="1" x14ac:dyDescent="0.2">
      <c r="G18527" s="889"/>
    </row>
    <row r="18528" spans="7:7" ht="10.5" customHeight="1" x14ac:dyDescent="0.2">
      <c r="G18528" s="889"/>
    </row>
    <row r="18529" spans="7:7" ht="10.5" customHeight="1" x14ac:dyDescent="0.2">
      <c r="G18529" s="889"/>
    </row>
    <row r="18530" spans="7:7" ht="10.5" customHeight="1" x14ac:dyDescent="0.2">
      <c r="G18530" s="889"/>
    </row>
    <row r="18531" spans="7:7" ht="10.5" customHeight="1" x14ac:dyDescent="0.2">
      <c r="G18531" s="889"/>
    </row>
    <row r="18532" spans="7:7" ht="10.5" customHeight="1" x14ac:dyDescent="0.2">
      <c r="G18532" s="889"/>
    </row>
    <row r="18533" spans="7:7" ht="10.5" customHeight="1" x14ac:dyDescent="0.2">
      <c r="G18533" s="889"/>
    </row>
    <row r="18534" spans="7:7" ht="10.5" customHeight="1" x14ac:dyDescent="0.2">
      <c r="G18534" s="889"/>
    </row>
    <row r="18535" spans="7:7" ht="10.5" customHeight="1" x14ac:dyDescent="0.2">
      <c r="G18535" s="889"/>
    </row>
    <row r="18536" spans="7:7" ht="10.5" customHeight="1" x14ac:dyDescent="0.2">
      <c r="G18536" s="889"/>
    </row>
    <row r="18537" spans="7:7" ht="10.5" customHeight="1" x14ac:dyDescent="0.2">
      <c r="G18537" s="889"/>
    </row>
    <row r="18538" spans="7:7" ht="10.5" customHeight="1" x14ac:dyDescent="0.2">
      <c r="G18538" s="889"/>
    </row>
    <row r="18539" spans="7:7" ht="10.5" customHeight="1" x14ac:dyDescent="0.2">
      <c r="G18539" s="889"/>
    </row>
    <row r="18540" spans="7:7" ht="10.5" customHeight="1" x14ac:dyDescent="0.2">
      <c r="G18540" s="889"/>
    </row>
    <row r="18541" spans="7:7" ht="10.5" customHeight="1" x14ac:dyDescent="0.2">
      <c r="G18541" s="889"/>
    </row>
    <row r="18542" spans="7:7" ht="10.5" customHeight="1" x14ac:dyDescent="0.2">
      <c r="G18542" s="889"/>
    </row>
    <row r="18543" spans="7:7" ht="10.5" customHeight="1" x14ac:dyDescent="0.2">
      <c r="G18543" s="889"/>
    </row>
    <row r="18544" spans="7:7" ht="10.5" customHeight="1" x14ac:dyDescent="0.2">
      <c r="G18544" s="889"/>
    </row>
    <row r="18545" spans="7:7" ht="10.5" customHeight="1" x14ac:dyDescent="0.2">
      <c r="G18545" s="889"/>
    </row>
    <row r="18546" spans="7:7" ht="10.5" customHeight="1" x14ac:dyDescent="0.2">
      <c r="G18546" s="889"/>
    </row>
    <row r="18547" spans="7:7" ht="10.5" customHeight="1" x14ac:dyDescent="0.2">
      <c r="G18547" s="889"/>
    </row>
    <row r="18548" spans="7:7" ht="10.5" customHeight="1" x14ac:dyDescent="0.2">
      <c r="G18548" s="889"/>
    </row>
    <row r="18549" spans="7:7" ht="10.5" customHeight="1" x14ac:dyDescent="0.2">
      <c r="G18549" s="889"/>
    </row>
    <row r="18550" spans="7:7" ht="10.5" customHeight="1" x14ac:dyDescent="0.2">
      <c r="G18550" s="889"/>
    </row>
    <row r="18551" spans="7:7" ht="10.5" customHeight="1" x14ac:dyDescent="0.2">
      <c r="G18551" s="889"/>
    </row>
    <row r="18552" spans="7:7" ht="10.5" customHeight="1" x14ac:dyDescent="0.2">
      <c r="G18552" s="889"/>
    </row>
    <row r="18553" spans="7:7" ht="10.5" customHeight="1" x14ac:dyDescent="0.2">
      <c r="G18553" s="889"/>
    </row>
    <row r="18554" spans="7:7" ht="10.5" customHeight="1" x14ac:dyDescent="0.2">
      <c r="G18554" s="889"/>
    </row>
    <row r="18555" spans="7:7" ht="10.5" customHeight="1" x14ac:dyDescent="0.2">
      <c r="G18555" s="889"/>
    </row>
    <row r="18556" spans="7:7" ht="10.5" customHeight="1" x14ac:dyDescent="0.2">
      <c r="G18556" s="889"/>
    </row>
    <row r="18557" spans="7:7" ht="10.5" customHeight="1" x14ac:dyDescent="0.2">
      <c r="G18557" s="889"/>
    </row>
    <row r="18558" spans="7:7" ht="10.5" customHeight="1" x14ac:dyDescent="0.2">
      <c r="G18558" s="889"/>
    </row>
    <row r="18559" spans="7:7" ht="10.5" customHeight="1" x14ac:dyDescent="0.2">
      <c r="G18559" s="889"/>
    </row>
    <row r="18560" spans="7:7" ht="10.5" customHeight="1" x14ac:dyDescent="0.2">
      <c r="G18560" s="889"/>
    </row>
    <row r="18561" spans="7:7" ht="10.5" customHeight="1" x14ac:dyDescent="0.2">
      <c r="G18561" s="889"/>
    </row>
    <row r="18562" spans="7:7" ht="10.5" customHeight="1" x14ac:dyDescent="0.2">
      <c r="G18562" s="889"/>
    </row>
    <row r="18563" spans="7:7" ht="10.5" customHeight="1" x14ac:dyDescent="0.2">
      <c r="G18563" s="889"/>
    </row>
    <row r="18564" spans="7:7" ht="10.5" customHeight="1" x14ac:dyDescent="0.2">
      <c r="G18564" s="889"/>
    </row>
    <row r="18565" spans="7:7" ht="10.5" customHeight="1" x14ac:dyDescent="0.2">
      <c r="G18565" s="889"/>
    </row>
    <row r="18566" spans="7:7" ht="10.5" customHeight="1" x14ac:dyDescent="0.2">
      <c r="G18566" s="889"/>
    </row>
    <row r="18567" spans="7:7" ht="10.5" customHeight="1" x14ac:dyDescent="0.2">
      <c r="G18567" s="889"/>
    </row>
    <row r="18568" spans="7:7" ht="10.5" customHeight="1" x14ac:dyDescent="0.2">
      <c r="G18568" s="889"/>
    </row>
    <row r="18569" spans="7:7" ht="10.5" customHeight="1" x14ac:dyDescent="0.2">
      <c r="G18569" s="889"/>
    </row>
    <row r="18570" spans="7:7" ht="10.5" customHeight="1" x14ac:dyDescent="0.2">
      <c r="G18570" s="889"/>
    </row>
    <row r="18571" spans="7:7" ht="10.5" customHeight="1" x14ac:dyDescent="0.2">
      <c r="G18571" s="889"/>
    </row>
    <row r="18572" spans="7:7" ht="10.5" customHeight="1" x14ac:dyDescent="0.2">
      <c r="G18572" s="889"/>
    </row>
    <row r="18573" spans="7:7" ht="10.5" customHeight="1" x14ac:dyDescent="0.2">
      <c r="G18573" s="889"/>
    </row>
    <row r="18574" spans="7:7" ht="10.5" customHeight="1" x14ac:dyDescent="0.2">
      <c r="G18574" s="889"/>
    </row>
    <row r="18575" spans="7:7" ht="10.5" customHeight="1" x14ac:dyDescent="0.2">
      <c r="G18575" s="889"/>
    </row>
    <row r="18576" spans="7:7" ht="10.5" customHeight="1" x14ac:dyDescent="0.2">
      <c r="G18576" s="889"/>
    </row>
    <row r="18577" spans="7:7" ht="10.5" customHeight="1" x14ac:dyDescent="0.2">
      <c r="G18577" s="889"/>
    </row>
    <row r="18578" spans="7:7" ht="10.5" customHeight="1" x14ac:dyDescent="0.2">
      <c r="G18578" s="889"/>
    </row>
    <row r="18579" spans="7:7" ht="10.5" customHeight="1" x14ac:dyDescent="0.2">
      <c r="G18579" s="889"/>
    </row>
    <row r="18580" spans="7:7" ht="10.5" customHeight="1" x14ac:dyDescent="0.2">
      <c r="G18580" s="889"/>
    </row>
    <row r="18581" spans="7:7" ht="10.5" customHeight="1" x14ac:dyDescent="0.2">
      <c r="G18581" s="889"/>
    </row>
    <row r="18582" spans="7:7" ht="10.5" customHeight="1" x14ac:dyDescent="0.2">
      <c r="G18582" s="889"/>
    </row>
    <row r="18583" spans="7:7" ht="10.5" customHeight="1" x14ac:dyDescent="0.2">
      <c r="G18583" s="889"/>
    </row>
    <row r="18584" spans="7:7" ht="10.5" customHeight="1" x14ac:dyDescent="0.2">
      <c r="G18584" s="889"/>
    </row>
    <row r="18585" spans="7:7" ht="10.5" customHeight="1" x14ac:dyDescent="0.2">
      <c r="G18585" s="889"/>
    </row>
    <row r="18586" spans="7:7" ht="10.5" customHeight="1" x14ac:dyDescent="0.2">
      <c r="G18586" s="889"/>
    </row>
    <row r="18587" spans="7:7" ht="10.5" customHeight="1" x14ac:dyDescent="0.2">
      <c r="G18587" s="889"/>
    </row>
    <row r="18588" spans="7:7" ht="10.5" customHeight="1" x14ac:dyDescent="0.2">
      <c r="G18588" s="889"/>
    </row>
    <row r="18589" spans="7:7" ht="10.5" customHeight="1" x14ac:dyDescent="0.2">
      <c r="G18589" s="889"/>
    </row>
    <row r="18590" spans="7:7" ht="10.5" customHeight="1" x14ac:dyDescent="0.2">
      <c r="G18590" s="889"/>
    </row>
    <row r="18591" spans="7:7" ht="10.5" customHeight="1" x14ac:dyDescent="0.2">
      <c r="G18591" s="889"/>
    </row>
    <row r="18592" spans="7:7" ht="10.5" customHeight="1" x14ac:dyDescent="0.2">
      <c r="G18592" s="889"/>
    </row>
    <row r="18593" spans="7:7" ht="10.5" customHeight="1" x14ac:dyDescent="0.2">
      <c r="G18593" s="889"/>
    </row>
    <row r="18594" spans="7:7" ht="10.5" customHeight="1" x14ac:dyDescent="0.2">
      <c r="G18594" s="889"/>
    </row>
    <row r="18595" spans="7:7" ht="10.5" customHeight="1" x14ac:dyDescent="0.2">
      <c r="G18595" s="889"/>
    </row>
    <row r="18596" spans="7:7" ht="10.5" customHeight="1" x14ac:dyDescent="0.2">
      <c r="G18596" s="889"/>
    </row>
    <row r="18597" spans="7:7" ht="10.5" customHeight="1" x14ac:dyDescent="0.2">
      <c r="G18597" s="889"/>
    </row>
    <row r="18598" spans="7:7" ht="10.5" customHeight="1" x14ac:dyDescent="0.2">
      <c r="G18598" s="889"/>
    </row>
    <row r="18599" spans="7:7" ht="10.5" customHeight="1" x14ac:dyDescent="0.2">
      <c r="G18599" s="889"/>
    </row>
    <row r="18600" spans="7:7" ht="10.5" customHeight="1" x14ac:dyDescent="0.2">
      <c r="G18600" s="889"/>
    </row>
    <row r="18601" spans="7:7" ht="10.5" customHeight="1" x14ac:dyDescent="0.2">
      <c r="G18601" s="889"/>
    </row>
    <row r="18602" spans="7:7" ht="10.5" customHeight="1" x14ac:dyDescent="0.2">
      <c r="G18602" s="889"/>
    </row>
    <row r="18603" spans="7:7" ht="10.5" customHeight="1" x14ac:dyDescent="0.2">
      <c r="G18603" s="889"/>
    </row>
    <row r="18604" spans="7:7" ht="10.5" customHeight="1" x14ac:dyDescent="0.2">
      <c r="G18604" s="889"/>
    </row>
    <row r="18605" spans="7:7" ht="10.5" customHeight="1" x14ac:dyDescent="0.2">
      <c r="G18605" s="889"/>
    </row>
    <row r="18606" spans="7:7" ht="10.5" customHeight="1" x14ac:dyDescent="0.2">
      <c r="G18606" s="889"/>
    </row>
    <row r="18607" spans="7:7" ht="10.5" customHeight="1" x14ac:dyDescent="0.2">
      <c r="G18607" s="889"/>
    </row>
    <row r="18608" spans="7:7" ht="10.5" customHeight="1" x14ac:dyDescent="0.2">
      <c r="G18608" s="889"/>
    </row>
    <row r="18609" spans="7:7" ht="10.5" customHeight="1" x14ac:dyDescent="0.2">
      <c r="G18609" s="889"/>
    </row>
    <row r="18610" spans="7:7" ht="10.5" customHeight="1" x14ac:dyDescent="0.2">
      <c r="G18610" s="889"/>
    </row>
    <row r="18611" spans="7:7" ht="10.5" customHeight="1" x14ac:dyDescent="0.2">
      <c r="G18611" s="889"/>
    </row>
    <row r="18612" spans="7:7" ht="10.5" customHeight="1" x14ac:dyDescent="0.2">
      <c r="G18612" s="889"/>
    </row>
    <row r="18613" spans="7:7" ht="10.5" customHeight="1" x14ac:dyDescent="0.2">
      <c r="G18613" s="889"/>
    </row>
    <row r="18614" spans="7:7" ht="10.5" customHeight="1" x14ac:dyDescent="0.2">
      <c r="G18614" s="889"/>
    </row>
    <row r="18615" spans="7:7" ht="10.5" customHeight="1" x14ac:dyDescent="0.2">
      <c r="G18615" s="889"/>
    </row>
    <row r="18616" spans="7:7" ht="10.5" customHeight="1" x14ac:dyDescent="0.2">
      <c r="G18616" s="889"/>
    </row>
    <row r="18617" spans="7:7" ht="10.5" customHeight="1" x14ac:dyDescent="0.2">
      <c r="G18617" s="889"/>
    </row>
    <row r="18618" spans="7:7" ht="10.5" customHeight="1" x14ac:dyDescent="0.2">
      <c r="G18618" s="889"/>
    </row>
    <row r="18619" spans="7:7" ht="10.5" customHeight="1" x14ac:dyDescent="0.2">
      <c r="G18619" s="889"/>
    </row>
    <row r="18620" spans="7:7" ht="10.5" customHeight="1" x14ac:dyDescent="0.2">
      <c r="G18620" s="889"/>
    </row>
    <row r="18621" spans="7:7" ht="10.5" customHeight="1" x14ac:dyDescent="0.2">
      <c r="G18621" s="889"/>
    </row>
    <row r="18622" spans="7:7" ht="10.5" customHeight="1" x14ac:dyDescent="0.2">
      <c r="G18622" s="889"/>
    </row>
    <row r="18623" spans="7:7" ht="10.5" customHeight="1" x14ac:dyDescent="0.2">
      <c r="G18623" s="889"/>
    </row>
    <row r="18624" spans="7:7" ht="10.5" customHeight="1" x14ac:dyDescent="0.2">
      <c r="G18624" s="889"/>
    </row>
    <row r="18625" spans="7:7" ht="10.5" customHeight="1" x14ac:dyDescent="0.2">
      <c r="G18625" s="889"/>
    </row>
    <row r="18626" spans="7:7" ht="10.5" customHeight="1" x14ac:dyDescent="0.2">
      <c r="G18626" s="889"/>
    </row>
    <row r="18627" spans="7:7" ht="10.5" customHeight="1" x14ac:dyDescent="0.2">
      <c r="G18627" s="889"/>
    </row>
    <row r="18628" spans="7:7" ht="10.5" customHeight="1" x14ac:dyDescent="0.2">
      <c r="G18628" s="889"/>
    </row>
    <row r="18629" spans="7:7" ht="10.5" customHeight="1" x14ac:dyDescent="0.2">
      <c r="G18629" s="889"/>
    </row>
    <row r="18630" spans="7:7" ht="10.5" customHeight="1" x14ac:dyDescent="0.2">
      <c r="G18630" s="889"/>
    </row>
    <row r="18631" spans="7:7" ht="10.5" customHeight="1" x14ac:dyDescent="0.2">
      <c r="G18631" s="889"/>
    </row>
    <row r="18632" spans="7:7" ht="10.5" customHeight="1" x14ac:dyDescent="0.2">
      <c r="G18632" s="889"/>
    </row>
    <row r="18633" spans="7:7" ht="10.5" customHeight="1" x14ac:dyDescent="0.2">
      <c r="G18633" s="889"/>
    </row>
    <row r="18634" spans="7:7" ht="10.5" customHeight="1" x14ac:dyDescent="0.2">
      <c r="G18634" s="889"/>
    </row>
    <row r="18635" spans="7:7" ht="10.5" customHeight="1" x14ac:dyDescent="0.2">
      <c r="G18635" s="889"/>
    </row>
    <row r="18636" spans="7:7" ht="10.5" customHeight="1" x14ac:dyDescent="0.2">
      <c r="G18636" s="889"/>
    </row>
    <row r="18637" spans="7:7" ht="10.5" customHeight="1" x14ac:dyDescent="0.2">
      <c r="G18637" s="889"/>
    </row>
    <row r="18638" spans="7:7" ht="10.5" customHeight="1" x14ac:dyDescent="0.2">
      <c r="G18638" s="889"/>
    </row>
    <row r="18639" spans="7:7" ht="10.5" customHeight="1" x14ac:dyDescent="0.2">
      <c r="G18639" s="889"/>
    </row>
    <row r="18640" spans="7:7" ht="10.5" customHeight="1" x14ac:dyDescent="0.2">
      <c r="G18640" s="889"/>
    </row>
    <row r="18641" spans="7:7" ht="10.5" customHeight="1" x14ac:dyDescent="0.2">
      <c r="G18641" s="889"/>
    </row>
    <row r="18642" spans="7:7" ht="10.5" customHeight="1" x14ac:dyDescent="0.2">
      <c r="G18642" s="889"/>
    </row>
    <row r="18643" spans="7:7" ht="10.5" customHeight="1" x14ac:dyDescent="0.2">
      <c r="G18643" s="889"/>
    </row>
    <row r="18644" spans="7:7" ht="10.5" customHeight="1" x14ac:dyDescent="0.2">
      <c r="G18644" s="889"/>
    </row>
    <row r="18645" spans="7:7" ht="10.5" customHeight="1" x14ac:dyDescent="0.2">
      <c r="G18645" s="889"/>
    </row>
    <row r="18646" spans="7:7" ht="10.5" customHeight="1" x14ac:dyDescent="0.2">
      <c r="G18646" s="889"/>
    </row>
    <row r="18647" spans="7:7" ht="10.5" customHeight="1" x14ac:dyDescent="0.2">
      <c r="G18647" s="889"/>
    </row>
    <row r="18648" spans="7:7" ht="10.5" customHeight="1" x14ac:dyDescent="0.2">
      <c r="G18648" s="889"/>
    </row>
    <row r="18649" spans="7:7" ht="10.5" customHeight="1" x14ac:dyDescent="0.2">
      <c r="G18649" s="889"/>
    </row>
    <row r="18650" spans="7:7" ht="10.5" customHeight="1" x14ac:dyDescent="0.2">
      <c r="G18650" s="889"/>
    </row>
    <row r="18651" spans="7:7" ht="10.5" customHeight="1" x14ac:dyDescent="0.2">
      <c r="G18651" s="889"/>
    </row>
    <row r="18652" spans="7:7" ht="10.5" customHeight="1" x14ac:dyDescent="0.2">
      <c r="G18652" s="889"/>
    </row>
    <row r="18653" spans="7:7" ht="10.5" customHeight="1" x14ac:dyDescent="0.2">
      <c r="G18653" s="889"/>
    </row>
    <row r="18654" spans="7:7" ht="10.5" customHeight="1" x14ac:dyDescent="0.2">
      <c r="G18654" s="889"/>
    </row>
    <row r="18655" spans="7:7" ht="10.5" customHeight="1" x14ac:dyDescent="0.2">
      <c r="G18655" s="889"/>
    </row>
    <row r="18656" spans="7:7" ht="10.5" customHeight="1" x14ac:dyDescent="0.2">
      <c r="G18656" s="889"/>
    </row>
    <row r="18657" spans="7:7" ht="10.5" customHeight="1" x14ac:dyDescent="0.2">
      <c r="G18657" s="889"/>
    </row>
    <row r="18658" spans="7:7" ht="10.5" customHeight="1" x14ac:dyDescent="0.2">
      <c r="G18658" s="889"/>
    </row>
    <row r="18659" spans="7:7" ht="10.5" customHeight="1" x14ac:dyDescent="0.2">
      <c r="G18659" s="889"/>
    </row>
    <row r="18660" spans="7:7" ht="10.5" customHeight="1" x14ac:dyDescent="0.2">
      <c r="G18660" s="889"/>
    </row>
    <row r="18661" spans="7:7" ht="10.5" customHeight="1" x14ac:dyDescent="0.2">
      <c r="G18661" s="889"/>
    </row>
    <row r="18662" spans="7:7" ht="10.5" customHeight="1" x14ac:dyDescent="0.2">
      <c r="G18662" s="889"/>
    </row>
    <row r="18663" spans="7:7" ht="10.5" customHeight="1" x14ac:dyDescent="0.2">
      <c r="G18663" s="889"/>
    </row>
    <row r="18664" spans="7:7" ht="10.5" customHeight="1" x14ac:dyDescent="0.2">
      <c r="G18664" s="889"/>
    </row>
    <row r="18665" spans="7:7" ht="10.5" customHeight="1" x14ac:dyDescent="0.2">
      <c r="G18665" s="889"/>
    </row>
    <row r="18666" spans="7:7" ht="10.5" customHeight="1" x14ac:dyDescent="0.2">
      <c r="G18666" s="889"/>
    </row>
    <row r="18667" spans="7:7" ht="10.5" customHeight="1" x14ac:dyDescent="0.2">
      <c r="G18667" s="889"/>
    </row>
    <row r="18668" spans="7:7" ht="10.5" customHeight="1" x14ac:dyDescent="0.2">
      <c r="G18668" s="889"/>
    </row>
    <row r="18669" spans="7:7" ht="10.5" customHeight="1" x14ac:dyDescent="0.2">
      <c r="G18669" s="889"/>
    </row>
    <row r="18670" spans="7:7" ht="10.5" customHeight="1" x14ac:dyDescent="0.2">
      <c r="G18670" s="889"/>
    </row>
    <row r="18671" spans="7:7" ht="10.5" customHeight="1" x14ac:dyDescent="0.2">
      <c r="G18671" s="889"/>
    </row>
    <row r="18672" spans="7:7" ht="10.5" customHeight="1" x14ac:dyDescent="0.2">
      <c r="G18672" s="889"/>
    </row>
    <row r="18673" spans="7:7" ht="10.5" customHeight="1" x14ac:dyDescent="0.2">
      <c r="G18673" s="889"/>
    </row>
    <row r="18674" spans="7:7" ht="10.5" customHeight="1" x14ac:dyDescent="0.2">
      <c r="G18674" s="889"/>
    </row>
    <row r="18675" spans="7:7" ht="10.5" customHeight="1" x14ac:dyDescent="0.2">
      <c r="G18675" s="889"/>
    </row>
    <row r="18676" spans="7:7" ht="10.5" customHeight="1" x14ac:dyDescent="0.2">
      <c r="G18676" s="889"/>
    </row>
    <row r="18677" spans="7:7" ht="10.5" customHeight="1" x14ac:dyDescent="0.2">
      <c r="G18677" s="889"/>
    </row>
    <row r="18678" spans="7:7" ht="10.5" customHeight="1" x14ac:dyDescent="0.2">
      <c r="G18678" s="889"/>
    </row>
    <row r="18679" spans="7:7" ht="10.5" customHeight="1" x14ac:dyDescent="0.2">
      <c r="G18679" s="889"/>
    </row>
    <row r="18680" spans="7:7" ht="10.5" customHeight="1" x14ac:dyDescent="0.2">
      <c r="G18680" s="889"/>
    </row>
    <row r="18681" spans="7:7" ht="10.5" customHeight="1" x14ac:dyDescent="0.2">
      <c r="G18681" s="889"/>
    </row>
    <row r="18682" spans="7:7" ht="10.5" customHeight="1" x14ac:dyDescent="0.2">
      <c r="G18682" s="889"/>
    </row>
    <row r="18683" spans="7:7" ht="10.5" customHeight="1" x14ac:dyDescent="0.2">
      <c r="G18683" s="889"/>
    </row>
    <row r="18684" spans="7:7" ht="10.5" customHeight="1" x14ac:dyDescent="0.2">
      <c r="G18684" s="889"/>
    </row>
    <row r="18685" spans="7:7" ht="10.5" customHeight="1" x14ac:dyDescent="0.2">
      <c r="G18685" s="889"/>
    </row>
    <row r="18686" spans="7:7" ht="10.5" customHeight="1" x14ac:dyDescent="0.2">
      <c r="G18686" s="889"/>
    </row>
    <row r="18687" spans="7:7" ht="10.5" customHeight="1" x14ac:dyDescent="0.2">
      <c r="G18687" s="889"/>
    </row>
    <row r="18688" spans="7:7" ht="10.5" customHeight="1" x14ac:dyDescent="0.2">
      <c r="G18688" s="889"/>
    </row>
    <row r="18689" spans="7:7" ht="10.5" customHeight="1" x14ac:dyDescent="0.2">
      <c r="G18689" s="889"/>
    </row>
    <row r="18690" spans="7:7" ht="10.5" customHeight="1" x14ac:dyDescent="0.2">
      <c r="G18690" s="889"/>
    </row>
    <row r="18691" spans="7:7" ht="10.5" customHeight="1" x14ac:dyDescent="0.2">
      <c r="G18691" s="889"/>
    </row>
    <row r="18692" spans="7:7" ht="10.5" customHeight="1" x14ac:dyDescent="0.2">
      <c r="G18692" s="889"/>
    </row>
    <row r="18693" spans="7:7" ht="10.5" customHeight="1" x14ac:dyDescent="0.2">
      <c r="G18693" s="889"/>
    </row>
    <row r="18694" spans="7:7" ht="10.5" customHeight="1" x14ac:dyDescent="0.2">
      <c r="G18694" s="889"/>
    </row>
    <row r="18695" spans="7:7" ht="10.5" customHeight="1" x14ac:dyDescent="0.2">
      <c r="G18695" s="889"/>
    </row>
    <row r="18696" spans="7:7" ht="10.5" customHeight="1" x14ac:dyDescent="0.2">
      <c r="G18696" s="889"/>
    </row>
    <row r="18697" spans="7:7" ht="10.5" customHeight="1" x14ac:dyDescent="0.2">
      <c r="G18697" s="889"/>
    </row>
    <row r="18698" spans="7:7" ht="10.5" customHeight="1" x14ac:dyDescent="0.2">
      <c r="G18698" s="889"/>
    </row>
    <row r="18699" spans="7:7" ht="10.5" customHeight="1" x14ac:dyDescent="0.2">
      <c r="G18699" s="889"/>
    </row>
    <row r="18700" spans="7:7" ht="10.5" customHeight="1" x14ac:dyDescent="0.2">
      <c r="G18700" s="889"/>
    </row>
    <row r="18701" spans="7:7" ht="10.5" customHeight="1" x14ac:dyDescent="0.2">
      <c r="G18701" s="889"/>
    </row>
    <row r="18702" spans="7:7" ht="10.5" customHeight="1" x14ac:dyDescent="0.2">
      <c r="G18702" s="889"/>
    </row>
    <row r="18703" spans="7:7" ht="10.5" customHeight="1" x14ac:dyDescent="0.2">
      <c r="G18703" s="889"/>
    </row>
    <row r="18704" spans="7:7" ht="10.5" customHeight="1" x14ac:dyDescent="0.2">
      <c r="G18704" s="889"/>
    </row>
    <row r="18705" spans="7:7" ht="10.5" customHeight="1" x14ac:dyDescent="0.2">
      <c r="G18705" s="889"/>
    </row>
    <row r="18706" spans="7:7" ht="10.5" customHeight="1" x14ac:dyDescent="0.2">
      <c r="G18706" s="889"/>
    </row>
    <row r="18707" spans="7:7" ht="10.5" customHeight="1" x14ac:dyDescent="0.2">
      <c r="G18707" s="889"/>
    </row>
    <row r="18708" spans="7:7" ht="10.5" customHeight="1" x14ac:dyDescent="0.2">
      <c r="G18708" s="889"/>
    </row>
    <row r="18709" spans="7:7" ht="10.5" customHeight="1" x14ac:dyDescent="0.2">
      <c r="G18709" s="889"/>
    </row>
    <row r="18710" spans="7:7" ht="10.5" customHeight="1" x14ac:dyDescent="0.2">
      <c r="G18710" s="889"/>
    </row>
    <row r="18711" spans="7:7" ht="10.5" customHeight="1" x14ac:dyDescent="0.2">
      <c r="G18711" s="889"/>
    </row>
    <row r="18712" spans="7:7" ht="10.5" customHeight="1" x14ac:dyDescent="0.2">
      <c r="G18712" s="889"/>
    </row>
    <row r="18713" spans="7:7" ht="10.5" customHeight="1" x14ac:dyDescent="0.2">
      <c r="G18713" s="889"/>
    </row>
    <row r="18714" spans="7:7" ht="10.5" customHeight="1" x14ac:dyDescent="0.2">
      <c r="G18714" s="889"/>
    </row>
    <row r="18715" spans="7:7" ht="10.5" customHeight="1" x14ac:dyDescent="0.2">
      <c r="G18715" s="889"/>
    </row>
    <row r="18716" spans="7:7" ht="10.5" customHeight="1" x14ac:dyDescent="0.2">
      <c r="G18716" s="889"/>
    </row>
    <row r="18717" spans="7:7" ht="10.5" customHeight="1" x14ac:dyDescent="0.2">
      <c r="G18717" s="889"/>
    </row>
    <row r="18718" spans="7:7" ht="10.5" customHeight="1" x14ac:dyDescent="0.2">
      <c r="G18718" s="889"/>
    </row>
    <row r="18719" spans="7:7" ht="10.5" customHeight="1" x14ac:dyDescent="0.2">
      <c r="G18719" s="889"/>
    </row>
    <row r="18720" spans="7:7" ht="10.5" customHeight="1" x14ac:dyDescent="0.2">
      <c r="G18720" s="889"/>
    </row>
    <row r="18721" spans="7:7" ht="10.5" customHeight="1" x14ac:dyDescent="0.2">
      <c r="G18721" s="889"/>
    </row>
    <row r="18722" spans="7:7" ht="10.5" customHeight="1" x14ac:dyDescent="0.2">
      <c r="G18722" s="889"/>
    </row>
    <row r="18723" spans="7:7" ht="10.5" customHeight="1" x14ac:dyDescent="0.2">
      <c r="G18723" s="889"/>
    </row>
    <row r="18724" spans="7:7" ht="10.5" customHeight="1" x14ac:dyDescent="0.2">
      <c r="G18724" s="889"/>
    </row>
    <row r="18725" spans="7:7" ht="10.5" customHeight="1" x14ac:dyDescent="0.2">
      <c r="G18725" s="889"/>
    </row>
    <row r="18726" spans="7:7" ht="10.5" customHeight="1" x14ac:dyDescent="0.2">
      <c r="G18726" s="889"/>
    </row>
    <row r="18727" spans="7:7" ht="10.5" customHeight="1" x14ac:dyDescent="0.2">
      <c r="G18727" s="889"/>
    </row>
    <row r="18728" spans="7:7" ht="10.5" customHeight="1" x14ac:dyDescent="0.2">
      <c r="G18728" s="889"/>
    </row>
    <row r="18729" spans="7:7" ht="10.5" customHeight="1" x14ac:dyDescent="0.2">
      <c r="G18729" s="889"/>
    </row>
    <row r="18730" spans="7:7" ht="10.5" customHeight="1" x14ac:dyDescent="0.2">
      <c r="G18730" s="889"/>
    </row>
    <row r="18731" spans="7:7" ht="10.5" customHeight="1" x14ac:dyDescent="0.2">
      <c r="G18731" s="889"/>
    </row>
    <row r="18732" spans="7:7" ht="10.5" customHeight="1" x14ac:dyDescent="0.2">
      <c r="G18732" s="889"/>
    </row>
    <row r="18733" spans="7:7" ht="10.5" customHeight="1" x14ac:dyDescent="0.2">
      <c r="G18733" s="889"/>
    </row>
    <row r="18734" spans="7:7" ht="10.5" customHeight="1" x14ac:dyDescent="0.2">
      <c r="G18734" s="889"/>
    </row>
    <row r="18735" spans="7:7" ht="10.5" customHeight="1" x14ac:dyDescent="0.2">
      <c r="G18735" s="889"/>
    </row>
    <row r="18736" spans="7:7" ht="10.5" customHeight="1" x14ac:dyDescent="0.2">
      <c r="G18736" s="889"/>
    </row>
    <row r="18737" spans="7:7" ht="10.5" customHeight="1" x14ac:dyDescent="0.2">
      <c r="G18737" s="889"/>
    </row>
    <row r="18738" spans="7:7" ht="10.5" customHeight="1" x14ac:dyDescent="0.2">
      <c r="G18738" s="889"/>
    </row>
    <row r="18739" spans="7:7" ht="10.5" customHeight="1" x14ac:dyDescent="0.2">
      <c r="G18739" s="889"/>
    </row>
    <row r="18740" spans="7:7" ht="10.5" customHeight="1" x14ac:dyDescent="0.2">
      <c r="G18740" s="889"/>
    </row>
    <row r="18741" spans="7:7" ht="10.5" customHeight="1" x14ac:dyDescent="0.2">
      <c r="G18741" s="889"/>
    </row>
    <row r="18742" spans="7:7" ht="10.5" customHeight="1" x14ac:dyDescent="0.2">
      <c r="G18742" s="889"/>
    </row>
    <row r="18743" spans="7:7" ht="10.5" customHeight="1" x14ac:dyDescent="0.2">
      <c r="G18743" s="889"/>
    </row>
    <row r="18744" spans="7:7" ht="10.5" customHeight="1" x14ac:dyDescent="0.2">
      <c r="G18744" s="889"/>
    </row>
    <row r="18745" spans="7:7" ht="10.5" customHeight="1" x14ac:dyDescent="0.2">
      <c r="G18745" s="889"/>
    </row>
    <row r="18746" spans="7:7" ht="10.5" customHeight="1" x14ac:dyDescent="0.2">
      <c r="G18746" s="889"/>
    </row>
    <row r="18747" spans="7:7" ht="10.5" customHeight="1" x14ac:dyDescent="0.2">
      <c r="G18747" s="889"/>
    </row>
    <row r="18748" spans="7:7" ht="10.5" customHeight="1" x14ac:dyDescent="0.2">
      <c r="G18748" s="889"/>
    </row>
    <row r="18749" spans="7:7" ht="10.5" customHeight="1" x14ac:dyDescent="0.2">
      <c r="G18749" s="889"/>
    </row>
    <row r="18750" spans="7:7" ht="10.5" customHeight="1" x14ac:dyDescent="0.2">
      <c r="G18750" s="889"/>
    </row>
    <row r="18751" spans="7:7" ht="10.5" customHeight="1" x14ac:dyDescent="0.2">
      <c r="G18751" s="889"/>
    </row>
    <row r="18752" spans="7:7" ht="10.5" customHeight="1" x14ac:dyDescent="0.2">
      <c r="G18752" s="889"/>
    </row>
    <row r="18753" spans="7:7" ht="10.5" customHeight="1" x14ac:dyDescent="0.2">
      <c r="G18753" s="889"/>
    </row>
    <row r="18754" spans="7:7" ht="10.5" customHeight="1" x14ac:dyDescent="0.2">
      <c r="G18754" s="889"/>
    </row>
    <row r="18755" spans="7:7" ht="10.5" customHeight="1" x14ac:dyDescent="0.2">
      <c r="G18755" s="889"/>
    </row>
    <row r="18756" spans="7:7" ht="10.5" customHeight="1" x14ac:dyDescent="0.2">
      <c r="G18756" s="889"/>
    </row>
    <row r="18757" spans="7:7" ht="10.5" customHeight="1" x14ac:dyDescent="0.2">
      <c r="G18757" s="889"/>
    </row>
    <row r="18758" spans="7:7" ht="10.5" customHeight="1" x14ac:dyDescent="0.2">
      <c r="G18758" s="889"/>
    </row>
    <row r="18759" spans="7:7" ht="10.5" customHeight="1" x14ac:dyDescent="0.2">
      <c r="G18759" s="889"/>
    </row>
    <row r="18760" spans="7:7" ht="10.5" customHeight="1" x14ac:dyDescent="0.2">
      <c r="G18760" s="889"/>
    </row>
    <row r="18761" spans="7:7" ht="10.5" customHeight="1" x14ac:dyDescent="0.2">
      <c r="G18761" s="889"/>
    </row>
    <row r="18762" spans="7:7" ht="10.5" customHeight="1" x14ac:dyDescent="0.2">
      <c r="G18762" s="889"/>
    </row>
    <row r="18763" spans="7:7" ht="10.5" customHeight="1" x14ac:dyDescent="0.2">
      <c r="G18763" s="889"/>
    </row>
    <row r="18764" spans="7:7" ht="10.5" customHeight="1" x14ac:dyDescent="0.2">
      <c r="G18764" s="889"/>
    </row>
    <row r="18765" spans="7:7" ht="10.5" customHeight="1" x14ac:dyDescent="0.2">
      <c r="G18765" s="889"/>
    </row>
    <row r="18766" spans="7:7" ht="10.5" customHeight="1" x14ac:dyDescent="0.2">
      <c r="G18766" s="889"/>
    </row>
    <row r="18767" spans="7:7" ht="10.5" customHeight="1" x14ac:dyDescent="0.2">
      <c r="G18767" s="889"/>
    </row>
    <row r="18768" spans="7:7" ht="10.5" customHeight="1" x14ac:dyDescent="0.2">
      <c r="G18768" s="889"/>
    </row>
    <row r="18769" spans="7:7" ht="10.5" customHeight="1" x14ac:dyDescent="0.2">
      <c r="G18769" s="889"/>
    </row>
    <row r="18770" spans="7:7" ht="10.5" customHeight="1" x14ac:dyDescent="0.2">
      <c r="G18770" s="889"/>
    </row>
    <row r="18771" spans="7:7" ht="10.5" customHeight="1" x14ac:dyDescent="0.2">
      <c r="G18771" s="889"/>
    </row>
    <row r="18772" spans="7:7" ht="10.5" customHeight="1" x14ac:dyDescent="0.2">
      <c r="G18772" s="889"/>
    </row>
    <row r="18773" spans="7:7" ht="10.5" customHeight="1" x14ac:dyDescent="0.2">
      <c r="G18773" s="889"/>
    </row>
    <row r="18774" spans="7:7" ht="10.5" customHeight="1" x14ac:dyDescent="0.2">
      <c r="G18774" s="889"/>
    </row>
    <row r="18775" spans="7:7" ht="10.5" customHeight="1" x14ac:dyDescent="0.2">
      <c r="G18775" s="889"/>
    </row>
    <row r="18776" spans="7:7" ht="10.5" customHeight="1" x14ac:dyDescent="0.2">
      <c r="G18776" s="889"/>
    </row>
    <row r="18777" spans="7:7" ht="10.5" customHeight="1" x14ac:dyDescent="0.2">
      <c r="G18777" s="889"/>
    </row>
    <row r="18778" spans="7:7" ht="10.5" customHeight="1" x14ac:dyDescent="0.2">
      <c r="G18778" s="889"/>
    </row>
    <row r="18779" spans="7:7" ht="10.5" customHeight="1" x14ac:dyDescent="0.2">
      <c r="G18779" s="889"/>
    </row>
    <row r="18780" spans="7:7" ht="10.5" customHeight="1" x14ac:dyDescent="0.2">
      <c r="G18780" s="889"/>
    </row>
    <row r="18781" spans="7:7" ht="10.5" customHeight="1" x14ac:dyDescent="0.2">
      <c r="G18781" s="889"/>
    </row>
    <row r="18782" spans="7:7" ht="10.5" customHeight="1" x14ac:dyDescent="0.2">
      <c r="G18782" s="889"/>
    </row>
    <row r="18783" spans="7:7" ht="10.5" customHeight="1" x14ac:dyDescent="0.2">
      <c r="G18783" s="889"/>
    </row>
    <row r="18784" spans="7:7" ht="10.5" customHeight="1" x14ac:dyDescent="0.2">
      <c r="G18784" s="889"/>
    </row>
    <row r="18785" spans="7:7" ht="10.5" customHeight="1" x14ac:dyDescent="0.2">
      <c r="G18785" s="889"/>
    </row>
    <row r="18786" spans="7:7" ht="10.5" customHeight="1" x14ac:dyDescent="0.2">
      <c r="G18786" s="889"/>
    </row>
    <row r="18787" spans="7:7" ht="10.5" customHeight="1" x14ac:dyDescent="0.2">
      <c r="G18787" s="889"/>
    </row>
    <row r="18788" spans="7:7" ht="10.5" customHeight="1" x14ac:dyDescent="0.2">
      <c r="G18788" s="889"/>
    </row>
    <row r="18789" spans="7:7" ht="10.5" customHeight="1" x14ac:dyDescent="0.2">
      <c r="G18789" s="889"/>
    </row>
    <row r="18790" spans="7:7" ht="10.5" customHeight="1" x14ac:dyDescent="0.2">
      <c r="G18790" s="889"/>
    </row>
    <row r="18791" spans="7:7" ht="10.5" customHeight="1" x14ac:dyDescent="0.2">
      <c r="G18791" s="889"/>
    </row>
    <row r="18792" spans="7:7" ht="10.5" customHeight="1" x14ac:dyDescent="0.2">
      <c r="G18792" s="889"/>
    </row>
    <row r="18793" spans="7:7" ht="10.5" customHeight="1" x14ac:dyDescent="0.2">
      <c r="G18793" s="889"/>
    </row>
    <row r="18794" spans="7:7" ht="10.5" customHeight="1" x14ac:dyDescent="0.2">
      <c r="G18794" s="889"/>
    </row>
    <row r="18795" spans="7:7" ht="10.5" customHeight="1" x14ac:dyDescent="0.2">
      <c r="G18795" s="889"/>
    </row>
    <row r="18796" spans="7:7" ht="10.5" customHeight="1" x14ac:dyDescent="0.2">
      <c r="G18796" s="889"/>
    </row>
    <row r="18797" spans="7:7" ht="10.5" customHeight="1" x14ac:dyDescent="0.2">
      <c r="G18797" s="889"/>
    </row>
    <row r="18798" spans="7:7" ht="10.5" customHeight="1" x14ac:dyDescent="0.2">
      <c r="G18798" s="889"/>
    </row>
    <row r="18799" spans="7:7" ht="10.5" customHeight="1" x14ac:dyDescent="0.2">
      <c r="G18799" s="889"/>
    </row>
    <row r="18800" spans="7:7" ht="10.5" customHeight="1" x14ac:dyDescent="0.2">
      <c r="G18800" s="889"/>
    </row>
    <row r="18801" spans="7:7" ht="10.5" customHeight="1" x14ac:dyDescent="0.2">
      <c r="G18801" s="889"/>
    </row>
    <row r="18802" spans="7:7" ht="10.5" customHeight="1" x14ac:dyDescent="0.2">
      <c r="G18802" s="889"/>
    </row>
    <row r="18803" spans="7:7" ht="10.5" customHeight="1" x14ac:dyDescent="0.2">
      <c r="G18803" s="889"/>
    </row>
    <row r="18804" spans="7:7" ht="10.5" customHeight="1" x14ac:dyDescent="0.2">
      <c r="G18804" s="889"/>
    </row>
    <row r="18805" spans="7:7" ht="10.5" customHeight="1" x14ac:dyDescent="0.2">
      <c r="G18805" s="889"/>
    </row>
    <row r="18806" spans="7:7" ht="10.5" customHeight="1" x14ac:dyDescent="0.2">
      <c r="G18806" s="889"/>
    </row>
    <row r="18807" spans="7:7" ht="10.5" customHeight="1" x14ac:dyDescent="0.2">
      <c r="G18807" s="889"/>
    </row>
    <row r="18808" spans="7:7" ht="10.5" customHeight="1" x14ac:dyDescent="0.2">
      <c r="G18808" s="889"/>
    </row>
    <row r="18809" spans="7:7" ht="10.5" customHeight="1" x14ac:dyDescent="0.2">
      <c r="G18809" s="889"/>
    </row>
    <row r="18810" spans="7:7" ht="10.5" customHeight="1" x14ac:dyDescent="0.2">
      <c r="G18810" s="889"/>
    </row>
    <row r="18811" spans="7:7" ht="10.5" customHeight="1" x14ac:dyDescent="0.2">
      <c r="G18811" s="889"/>
    </row>
    <row r="18812" spans="7:7" ht="10.5" customHeight="1" x14ac:dyDescent="0.2">
      <c r="G18812" s="889"/>
    </row>
    <row r="18813" spans="7:7" ht="10.5" customHeight="1" x14ac:dyDescent="0.2">
      <c r="G18813" s="889"/>
    </row>
    <row r="18814" spans="7:7" ht="10.5" customHeight="1" x14ac:dyDescent="0.2">
      <c r="G18814" s="889"/>
    </row>
    <row r="18815" spans="7:7" ht="10.5" customHeight="1" x14ac:dyDescent="0.2">
      <c r="G18815" s="889"/>
    </row>
    <row r="18816" spans="7:7" ht="10.5" customHeight="1" x14ac:dyDescent="0.2">
      <c r="G18816" s="889"/>
    </row>
    <row r="18817" spans="7:7" ht="10.5" customHeight="1" x14ac:dyDescent="0.2">
      <c r="G18817" s="889"/>
    </row>
    <row r="18818" spans="7:7" ht="10.5" customHeight="1" x14ac:dyDescent="0.2">
      <c r="G18818" s="889"/>
    </row>
    <row r="18819" spans="7:7" ht="10.5" customHeight="1" x14ac:dyDescent="0.2">
      <c r="G18819" s="889"/>
    </row>
    <row r="18820" spans="7:7" ht="10.5" customHeight="1" x14ac:dyDescent="0.2">
      <c r="G18820" s="889"/>
    </row>
    <row r="18821" spans="7:7" ht="10.5" customHeight="1" x14ac:dyDescent="0.2">
      <c r="G18821" s="889"/>
    </row>
    <row r="18822" spans="7:7" ht="10.5" customHeight="1" x14ac:dyDescent="0.2">
      <c r="G18822" s="889"/>
    </row>
    <row r="18823" spans="7:7" ht="10.5" customHeight="1" x14ac:dyDescent="0.2">
      <c r="G18823" s="889"/>
    </row>
    <row r="18824" spans="7:7" ht="10.5" customHeight="1" x14ac:dyDescent="0.2">
      <c r="G18824" s="889"/>
    </row>
    <row r="18825" spans="7:7" ht="10.5" customHeight="1" x14ac:dyDescent="0.2">
      <c r="G18825" s="889"/>
    </row>
    <row r="18826" spans="7:7" ht="10.5" customHeight="1" x14ac:dyDescent="0.2">
      <c r="G18826" s="889"/>
    </row>
    <row r="18827" spans="7:7" ht="10.5" customHeight="1" x14ac:dyDescent="0.2">
      <c r="G18827" s="889"/>
    </row>
    <row r="18828" spans="7:7" ht="10.5" customHeight="1" x14ac:dyDescent="0.2">
      <c r="G18828" s="889"/>
    </row>
    <row r="18829" spans="7:7" ht="10.5" customHeight="1" x14ac:dyDescent="0.2">
      <c r="G18829" s="889"/>
    </row>
    <row r="18830" spans="7:7" ht="10.5" customHeight="1" x14ac:dyDescent="0.2">
      <c r="G18830" s="889"/>
    </row>
    <row r="18831" spans="7:7" ht="10.5" customHeight="1" x14ac:dyDescent="0.2">
      <c r="G18831" s="889"/>
    </row>
    <row r="18832" spans="7:7" ht="10.5" customHeight="1" x14ac:dyDescent="0.2">
      <c r="G18832" s="889"/>
    </row>
    <row r="18833" spans="7:7" ht="10.5" customHeight="1" x14ac:dyDescent="0.2">
      <c r="G18833" s="889"/>
    </row>
    <row r="18834" spans="7:7" ht="10.5" customHeight="1" x14ac:dyDescent="0.2">
      <c r="G18834" s="889"/>
    </row>
    <row r="18835" spans="7:7" ht="10.5" customHeight="1" x14ac:dyDescent="0.2">
      <c r="G18835" s="889"/>
    </row>
    <row r="18836" spans="7:7" ht="10.5" customHeight="1" x14ac:dyDescent="0.2">
      <c r="G18836" s="889"/>
    </row>
    <row r="18837" spans="7:7" ht="10.5" customHeight="1" x14ac:dyDescent="0.2">
      <c r="G18837" s="889"/>
    </row>
    <row r="18838" spans="7:7" ht="10.5" customHeight="1" x14ac:dyDescent="0.2">
      <c r="G18838" s="889"/>
    </row>
    <row r="18839" spans="7:7" ht="10.5" customHeight="1" x14ac:dyDescent="0.2">
      <c r="G18839" s="889"/>
    </row>
    <row r="18840" spans="7:7" ht="10.5" customHeight="1" x14ac:dyDescent="0.2">
      <c r="G18840" s="889"/>
    </row>
    <row r="18841" spans="7:7" ht="10.5" customHeight="1" x14ac:dyDescent="0.2">
      <c r="G18841" s="889"/>
    </row>
    <row r="18842" spans="7:7" ht="10.5" customHeight="1" x14ac:dyDescent="0.2">
      <c r="G18842" s="889"/>
    </row>
    <row r="18843" spans="7:7" ht="10.5" customHeight="1" x14ac:dyDescent="0.2">
      <c r="G18843" s="889"/>
    </row>
    <row r="18844" spans="7:7" ht="10.5" customHeight="1" x14ac:dyDescent="0.2">
      <c r="G18844" s="889"/>
    </row>
    <row r="18845" spans="7:7" ht="10.5" customHeight="1" x14ac:dyDescent="0.2">
      <c r="G18845" s="889"/>
    </row>
    <row r="18846" spans="7:7" ht="10.5" customHeight="1" x14ac:dyDescent="0.2">
      <c r="G18846" s="889"/>
    </row>
    <row r="18847" spans="7:7" ht="10.5" customHeight="1" x14ac:dyDescent="0.2">
      <c r="G18847" s="889"/>
    </row>
    <row r="18848" spans="7:7" ht="10.5" customHeight="1" x14ac:dyDescent="0.2">
      <c r="G18848" s="889"/>
    </row>
    <row r="18849" spans="7:7" ht="10.5" customHeight="1" x14ac:dyDescent="0.2">
      <c r="G18849" s="889"/>
    </row>
    <row r="18850" spans="7:7" ht="10.5" customHeight="1" x14ac:dyDescent="0.2">
      <c r="G18850" s="889"/>
    </row>
    <row r="18851" spans="7:7" ht="10.5" customHeight="1" x14ac:dyDescent="0.2">
      <c r="G18851" s="889"/>
    </row>
    <row r="18852" spans="7:7" ht="10.5" customHeight="1" x14ac:dyDescent="0.2">
      <c r="G18852" s="889"/>
    </row>
    <row r="18853" spans="7:7" ht="10.5" customHeight="1" x14ac:dyDescent="0.2">
      <c r="G18853" s="889"/>
    </row>
    <row r="18854" spans="7:7" ht="10.5" customHeight="1" x14ac:dyDescent="0.2">
      <c r="G18854" s="889"/>
    </row>
    <row r="18855" spans="7:7" ht="10.5" customHeight="1" x14ac:dyDescent="0.2">
      <c r="G18855" s="889"/>
    </row>
    <row r="18856" spans="7:7" ht="10.5" customHeight="1" x14ac:dyDescent="0.2">
      <c r="G18856" s="889"/>
    </row>
    <row r="18857" spans="7:7" ht="10.5" customHeight="1" x14ac:dyDescent="0.2">
      <c r="G18857" s="889"/>
    </row>
    <row r="18858" spans="7:7" ht="10.5" customHeight="1" x14ac:dyDescent="0.2">
      <c r="G18858" s="889"/>
    </row>
    <row r="18859" spans="7:7" ht="10.5" customHeight="1" x14ac:dyDescent="0.2">
      <c r="G18859" s="889"/>
    </row>
    <row r="18860" spans="7:7" ht="10.5" customHeight="1" x14ac:dyDescent="0.2">
      <c r="G18860" s="889"/>
    </row>
    <row r="18861" spans="7:7" ht="10.5" customHeight="1" x14ac:dyDescent="0.2">
      <c r="G18861" s="889"/>
    </row>
    <row r="18862" spans="7:7" ht="10.5" customHeight="1" x14ac:dyDescent="0.2">
      <c r="G18862" s="889"/>
    </row>
    <row r="18863" spans="7:7" ht="10.5" customHeight="1" x14ac:dyDescent="0.2">
      <c r="G18863" s="889"/>
    </row>
    <row r="18864" spans="7:7" ht="10.5" customHeight="1" x14ac:dyDescent="0.2">
      <c r="G18864" s="889"/>
    </row>
    <row r="18865" spans="7:7" ht="10.5" customHeight="1" x14ac:dyDescent="0.2">
      <c r="G18865" s="889"/>
    </row>
    <row r="18866" spans="7:7" ht="10.5" customHeight="1" x14ac:dyDescent="0.2">
      <c r="G18866" s="889"/>
    </row>
    <row r="18867" spans="7:7" ht="10.5" customHeight="1" x14ac:dyDescent="0.2">
      <c r="G18867" s="889"/>
    </row>
    <row r="18868" spans="7:7" ht="10.5" customHeight="1" x14ac:dyDescent="0.2">
      <c r="G18868" s="889"/>
    </row>
    <row r="18869" spans="7:7" ht="10.5" customHeight="1" x14ac:dyDescent="0.2">
      <c r="G18869" s="889"/>
    </row>
    <row r="18870" spans="7:7" ht="10.5" customHeight="1" x14ac:dyDescent="0.2">
      <c r="G18870" s="889"/>
    </row>
    <row r="18871" spans="7:7" ht="10.5" customHeight="1" x14ac:dyDescent="0.2">
      <c r="G18871" s="889"/>
    </row>
    <row r="18872" spans="7:7" ht="10.5" customHeight="1" x14ac:dyDescent="0.2">
      <c r="G18872" s="889"/>
    </row>
    <row r="18873" spans="7:7" ht="10.5" customHeight="1" x14ac:dyDescent="0.2">
      <c r="G18873" s="889"/>
    </row>
    <row r="18874" spans="7:7" ht="10.5" customHeight="1" x14ac:dyDescent="0.2">
      <c r="G18874" s="889"/>
    </row>
    <row r="18875" spans="7:7" ht="10.5" customHeight="1" x14ac:dyDescent="0.2">
      <c r="G18875" s="889"/>
    </row>
    <row r="18876" spans="7:7" ht="10.5" customHeight="1" x14ac:dyDescent="0.2">
      <c r="G18876" s="889"/>
    </row>
    <row r="18877" spans="7:7" ht="10.5" customHeight="1" x14ac:dyDescent="0.2">
      <c r="G18877" s="889"/>
    </row>
    <row r="18878" spans="7:7" ht="10.5" customHeight="1" x14ac:dyDescent="0.2">
      <c r="G18878" s="889"/>
    </row>
    <row r="18879" spans="7:7" ht="10.5" customHeight="1" x14ac:dyDescent="0.2">
      <c r="G18879" s="889"/>
    </row>
    <row r="18880" spans="7:7" ht="10.5" customHeight="1" x14ac:dyDescent="0.2">
      <c r="G18880" s="889"/>
    </row>
    <row r="18881" spans="7:7" ht="10.5" customHeight="1" x14ac:dyDescent="0.2">
      <c r="G18881" s="889"/>
    </row>
    <row r="18882" spans="7:7" ht="10.5" customHeight="1" x14ac:dyDescent="0.2">
      <c r="G18882" s="889"/>
    </row>
    <row r="18883" spans="7:7" ht="10.5" customHeight="1" x14ac:dyDescent="0.2">
      <c r="G18883" s="889"/>
    </row>
    <row r="18884" spans="7:7" ht="10.5" customHeight="1" x14ac:dyDescent="0.2">
      <c r="G18884" s="889"/>
    </row>
    <row r="18885" spans="7:7" ht="10.5" customHeight="1" x14ac:dyDescent="0.2">
      <c r="G18885" s="889"/>
    </row>
    <row r="18886" spans="7:7" ht="10.5" customHeight="1" x14ac:dyDescent="0.2">
      <c r="G18886" s="889"/>
    </row>
    <row r="18887" spans="7:7" ht="10.5" customHeight="1" x14ac:dyDescent="0.2">
      <c r="G18887" s="889"/>
    </row>
    <row r="18888" spans="7:7" ht="10.5" customHeight="1" x14ac:dyDescent="0.2">
      <c r="G18888" s="889"/>
    </row>
    <row r="18889" spans="7:7" ht="10.5" customHeight="1" x14ac:dyDescent="0.2">
      <c r="G18889" s="889"/>
    </row>
    <row r="18890" spans="7:7" ht="10.5" customHeight="1" x14ac:dyDescent="0.2">
      <c r="G18890" s="889"/>
    </row>
    <row r="18891" spans="7:7" ht="10.5" customHeight="1" x14ac:dyDescent="0.2">
      <c r="G18891" s="889"/>
    </row>
    <row r="18892" spans="7:7" ht="10.5" customHeight="1" x14ac:dyDescent="0.2">
      <c r="G18892" s="889"/>
    </row>
    <row r="18893" spans="7:7" ht="10.5" customHeight="1" x14ac:dyDescent="0.2">
      <c r="G18893" s="889"/>
    </row>
    <row r="18894" spans="7:7" ht="10.5" customHeight="1" x14ac:dyDescent="0.2">
      <c r="G18894" s="889"/>
    </row>
    <row r="18895" spans="7:7" ht="10.5" customHeight="1" x14ac:dyDescent="0.2">
      <c r="G18895" s="889"/>
    </row>
    <row r="18896" spans="7:7" ht="10.5" customHeight="1" x14ac:dyDescent="0.2">
      <c r="G18896" s="889"/>
    </row>
    <row r="18897" spans="7:7" ht="10.5" customHeight="1" x14ac:dyDescent="0.2">
      <c r="G18897" s="889"/>
    </row>
    <row r="18898" spans="7:7" ht="10.5" customHeight="1" x14ac:dyDescent="0.2">
      <c r="G18898" s="889"/>
    </row>
    <row r="18899" spans="7:7" ht="10.5" customHeight="1" x14ac:dyDescent="0.2">
      <c r="G18899" s="889"/>
    </row>
    <row r="18900" spans="7:7" ht="10.5" customHeight="1" x14ac:dyDescent="0.2">
      <c r="G18900" s="889"/>
    </row>
    <row r="18901" spans="7:7" ht="10.5" customHeight="1" x14ac:dyDescent="0.2">
      <c r="G18901" s="889"/>
    </row>
    <row r="18902" spans="7:7" ht="10.5" customHeight="1" x14ac:dyDescent="0.2">
      <c r="G18902" s="889"/>
    </row>
    <row r="18903" spans="7:7" ht="10.5" customHeight="1" x14ac:dyDescent="0.2">
      <c r="G18903" s="889"/>
    </row>
    <row r="18904" spans="7:7" ht="10.5" customHeight="1" x14ac:dyDescent="0.2">
      <c r="G18904" s="889"/>
    </row>
    <row r="18905" spans="7:7" ht="10.5" customHeight="1" x14ac:dyDescent="0.2">
      <c r="G18905" s="889"/>
    </row>
    <row r="18906" spans="7:7" ht="10.5" customHeight="1" x14ac:dyDescent="0.2">
      <c r="G18906" s="889"/>
    </row>
    <row r="18907" spans="7:7" ht="10.5" customHeight="1" x14ac:dyDescent="0.2">
      <c r="G18907" s="889"/>
    </row>
    <row r="18908" spans="7:7" ht="10.5" customHeight="1" x14ac:dyDescent="0.2">
      <c r="G18908" s="889"/>
    </row>
    <row r="18909" spans="7:7" ht="10.5" customHeight="1" x14ac:dyDescent="0.2">
      <c r="G18909" s="889"/>
    </row>
    <row r="18910" spans="7:7" ht="10.5" customHeight="1" x14ac:dyDescent="0.2">
      <c r="G18910" s="889"/>
    </row>
    <row r="18911" spans="7:7" ht="10.5" customHeight="1" x14ac:dyDescent="0.2">
      <c r="G18911" s="889"/>
    </row>
    <row r="18912" spans="7:7" ht="10.5" customHeight="1" x14ac:dyDescent="0.2">
      <c r="G18912" s="889"/>
    </row>
    <row r="18913" spans="7:7" ht="10.5" customHeight="1" x14ac:dyDescent="0.2">
      <c r="G18913" s="889"/>
    </row>
    <row r="18914" spans="7:7" ht="10.5" customHeight="1" x14ac:dyDescent="0.2">
      <c r="G18914" s="889"/>
    </row>
    <row r="18915" spans="7:7" ht="10.5" customHeight="1" x14ac:dyDescent="0.2">
      <c r="G18915" s="889"/>
    </row>
    <row r="18916" spans="7:7" ht="10.5" customHeight="1" x14ac:dyDescent="0.2">
      <c r="G18916" s="889"/>
    </row>
    <row r="18917" spans="7:7" ht="10.5" customHeight="1" x14ac:dyDescent="0.2">
      <c r="G18917" s="889"/>
    </row>
    <row r="18918" spans="7:7" ht="10.5" customHeight="1" x14ac:dyDescent="0.2">
      <c r="G18918" s="889"/>
    </row>
    <row r="18919" spans="7:7" ht="10.5" customHeight="1" x14ac:dyDescent="0.2">
      <c r="G18919" s="889"/>
    </row>
    <row r="18920" spans="7:7" ht="10.5" customHeight="1" x14ac:dyDescent="0.2">
      <c r="G18920" s="889"/>
    </row>
    <row r="18921" spans="7:7" ht="10.5" customHeight="1" x14ac:dyDescent="0.2">
      <c r="G18921" s="889"/>
    </row>
    <row r="18922" spans="7:7" ht="10.5" customHeight="1" x14ac:dyDescent="0.2">
      <c r="G18922" s="889"/>
    </row>
    <row r="18923" spans="7:7" ht="10.5" customHeight="1" x14ac:dyDescent="0.2">
      <c r="G18923" s="889"/>
    </row>
    <row r="18924" spans="7:7" ht="10.5" customHeight="1" x14ac:dyDescent="0.2">
      <c r="G18924" s="889"/>
    </row>
    <row r="18925" spans="7:7" ht="10.5" customHeight="1" x14ac:dyDescent="0.2">
      <c r="G18925" s="889"/>
    </row>
    <row r="18926" spans="7:7" ht="10.5" customHeight="1" x14ac:dyDescent="0.2">
      <c r="G18926" s="889"/>
    </row>
    <row r="18927" spans="7:7" ht="10.5" customHeight="1" x14ac:dyDescent="0.2">
      <c r="G18927" s="889"/>
    </row>
    <row r="18928" spans="7:7" ht="10.5" customHeight="1" x14ac:dyDescent="0.2">
      <c r="G18928" s="889"/>
    </row>
    <row r="18929" spans="7:7" ht="10.5" customHeight="1" x14ac:dyDescent="0.2">
      <c r="G18929" s="889"/>
    </row>
    <row r="18930" spans="7:7" ht="10.5" customHeight="1" x14ac:dyDescent="0.2">
      <c r="G18930" s="889"/>
    </row>
    <row r="18931" spans="7:7" ht="10.5" customHeight="1" x14ac:dyDescent="0.2">
      <c r="G18931" s="889"/>
    </row>
    <row r="18932" spans="7:7" ht="10.5" customHeight="1" x14ac:dyDescent="0.2">
      <c r="G18932" s="889"/>
    </row>
    <row r="18933" spans="7:7" ht="10.5" customHeight="1" x14ac:dyDescent="0.2">
      <c r="G18933" s="889"/>
    </row>
    <row r="18934" spans="7:7" ht="10.5" customHeight="1" x14ac:dyDescent="0.2">
      <c r="G18934" s="889"/>
    </row>
    <row r="18935" spans="7:7" ht="10.5" customHeight="1" x14ac:dyDescent="0.2">
      <c r="G18935" s="889"/>
    </row>
    <row r="18936" spans="7:7" ht="10.5" customHeight="1" x14ac:dyDescent="0.2">
      <c r="G18936" s="889"/>
    </row>
    <row r="18937" spans="7:7" ht="10.5" customHeight="1" x14ac:dyDescent="0.2">
      <c r="G18937" s="889"/>
    </row>
    <row r="18938" spans="7:7" ht="10.5" customHeight="1" x14ac:dyDescent="0.2">
      <c r="G18938" s="889"/>
    </row>
    <row r="18939" spans="7:7" ht="10.5" customHeight="1" x14ac:dyDescent="0.2">
      <c r="G18939" s="889"/>
    </row>
    <row r="18940" spans="7:7" ht="10.5" customHeight="1" x14ac:dyDescent="0.2">
      <c r="G18940" s="889"/>
    </row>
    <row r="18941" spans="7:7" ht="10.5" customHeight="1" x14ac:dyDescent="0.2">
      <c r="G18941" s="889"/>
    </row>
    <row r="18942" spans="7:7" ht="10.5" customHeight="1" x14ac:dyDescent="0.2">
      <c r="G18942" s="889"/>
    </row>
    <row r="18943" spans="7:7" ht="10.5" customHeight="1" x14ac:dyDescent="0.2">
      <c r="G18943" s="889"/>
    </row>
    <row r="18944" spans="7:7" ht="10.5" customHeight="1" x14ac:dyDescent="0.2">
      <c r="G18944" s="889"/>
    </row>
    <row r="18945" spans="7:7" ht="10.5" customHeight="1" x14ac:dyDescent="0.2">
      <c r="G18945" s="889"/>
    </row>
    <row r="18946" spans="7:7" ht="10.5" customHeight="1" x14ac:dyDescent="0.2">
      <c r="G18946" s="889"/>
    </row>
    <row r="18947" spans="7:7" ht="10.5" customHeight="1" x14ac:dyDescent="0.2">
      <c r="G18947" s="889"/>
    </row>
    <row r="18948" spans="7:7" ht="10.5" customHeight="1" x14ac:dyDescent="0.2">
      <c r="G18948" s="889"/>
    </row>
    <row r="18949" spans="7:7" ht="10.5" customHeight="1" x14ac:dyDescent="0.2">
      <c r="G18949" s="889"/>
    </row>
    <row r="18950" spans="7:7" ht="10.5" customHeight="1" x14ac:dyDescent="0.2">
      <c r="G18950" s="889"/>
    </row>
    <row r="18951" spans="7:7" ht="10.5" customHeight="1" x14ac:dyDescent="0.2">
      <c r="G18951" s="889"/>
    </row>
    <row r="18952" spans="7:7" ht="10.5" customHeight="1" x14ac:dyDescent="0.2">
      <c r="G18952" s="889"/>
    </row>
    <row r="18953" spans="7:7" ht="10.5" customHeight="1" x14ac:dyDescent="0.2">
      <c r="G18953" s="889"/>
    </row>
    <row r="18954" spans="7:7" ht="10.5" customHeight="1" x14ac:dyDescent="0.2">
      <c r="G18954" s="889"/>
    </row>
    <row r="18955" spans="7:7" ht="10.5" customHeight="1" x14ac:dyDescent="0.2">
      <c r="G18955" s="889"/>
    </row>
    <row r="18956" spans="7:7" ht="10.5" customHeight="1" x14ac:dyDescent="0.2">
      <c r="G18956" s="889"/>
    </row>
    <row r="18957" spans="7:7" ht="10.5" customHeight="1" x14ac:dyDescent="0.2">
      <c r="G18957" s="889"/>
    </row>
    <row r="18958" spans="7:7" ht="10.5" customHeight="1" x14ac:dyDescent="0.2">
      <c r="G18958" s="889"/>
    </row>
    <row r="18959" spans="7:7" ht="10.5" customHeight="1" x14ac:dyDescent="0.2">
      <c r="G18959" s="889"/>
    </row>
    <row r="18960" spans="7:7" ht="10.5" customHeight="1" x14ac:dyDescent="0.2">
      <c r="G18960" s="889"/>
    </row>
    <row r="18961" spans="7:7" ht="10.5" customHeight="1" x14ac:dyDescent="0.2">
      <c r="G18961" s="889"/>
    </row>
    <row r="18962" spans="7:7" ht="10.5" customHeight="1" x14ac:dyDescent="0.2">
      <c r="G18962" s="889"/>
    </row>
    <row r="18963" spans="7:7" ht="10.5" customHeight="1" x14ac:dyDescent="0.2">
      <c r="G18963" s="889"/>
    </row>
    <row r="18964" spans="7:7" ht="10.5" customHeight="1" x14ac:dyDescent="0.2">
      <c r="G18964" s="889"/>
    </row>
    <row r="18965" spans="7:7" ht="10.5" customHeight="1" x14ac:dyDescent="0.2">
      <c r="G18965" s="889"/>
    </row>
    <row r="18966" spans="7:7" ht="10.5" customHeight="1" x14ac:dyDescent="0.2">
      <c r="G18966" s="889"/>
    </row>
    <row r="18967" spans="7:7" ht="10.5" customHeight="1" x14ac:dyDescent="0.2">
      <c r="G18967" s="889"/>
    </row>
    <row r="18968" spans="7:7" ht="10.5" customHeight="1" x14ac:dyDescent="0.2">
      <c r="G18968" s="889"/>
    </row>
    <row r="18969" spans="7:7" ht="10.5" customHeight="1" x14ac:dyDescent="0.2">
      <c r="G18969" s="889"/>
    </row>
    <row r="18970" spans="7:7" ht="10.5" customHeight="1" x14ac:dyDescent="0.2">
      <c r="G18970" s="889"/>
    </row>
    <row r="18971" spans="7:7" ht="10.5" customHeight="1" x14ac:dyDescent="0.2">
      <c r="G18971" s="889"/>
    </row>
    <row r="18972" spans="7:7" ht="10.5" customHeight="1" x14ac:dyDescent="0.2">
      <c r="G18972" s="889"/>
    </row>
    <row r="18973" spans="7:7" ht="10.5" customHeight="1" x14ac:dyDescent="0.2">
      <c r="G18973" s="889"/>
    </row>
    <row r="18974" spans="7:7" ht="10.5" customHeight="1" x14ac:dyDescent="0.2">
      <c r="G18974" s="889"/>
    </row>
    <row r="18975" spans="7:7" ht="10.5" customHeight="1" x14ac:dyDescent="0.2">
      <c r="G18975" s="889"/>
    </row>
    <row r="18976" spans="7:7" ht="10.5" customHeight="1" x14ac:dyDescent="0.2">
      <c r="G18976" s="889"/>
    </row>
    <row r="18977" spans="7:7" ht="10.5" customHeight="1" x14ac:dyDescent="0.2">
      <c r="G18977" s="889"/>
    </row>
    <row r="18978" spans="7:7" ht="10.5" customHeight="1" x14ac:dyDescent="0.2">
      <c r="G18978" s="889"/>
    </row>
    <row r="18979" spans="7:7" ht="10.5" customHeight="1" x14ac:dyDescent="0.2">
      <c r="G18979" s="889"/>
    </row>
    <row r="18980" spans="7:7" ht="10.5" customHeight="1" x14ac:dyDescent="0.2">
      <c r="G18980" s="889"/>
    </row>
    <row r="18981" spans="7:7" ht="10.5" customHeight="1" x14ac:dyDescent="0.2">
      <c r="G18981" s="889"/>
    </row>
    <row r="18982" spans="7:7" ht="10.5" customHeight="1" x14ac:dyDescent="0.2">
      <c r="G18982" s="889"/>
    </row>
    <row r="18983" spans="7:7" ht="10.5" customHeight="1" x14ac:dyDescent="0.2">
      <c r="G18983" s="889"/>
    </row>
    <row r="18984" spans="7:7" ht="10.5" customHeight="1" x14ac:dyDescent="0.2">
      <c r="G18984" s="889"/>
    </row>
    <row r="18985" spans="7:7" ht="10.5" customHeight="1" x14ac:dyDescent="0.2">
      <c r="G18985" s="889"/>
    </row>
    <row r="18986" spans="7:7" ht="10.5" customHeight="1" x14ac:dyDescent="0.2">
      <c r="G18986" s="889"/>
    </row>
    <row r="18987" spans="7:7" ht="10.5" customHeight="1" x14ac:dyDescent="0.2">
      <c r="G18987" s="889"/>
    </row>
    <row r="18988" spans="7:7" ht="10.5" customHeight="1" x14ac:dyDescent="0.2">
      <c r="G18988" s="889"/>
    </row>
    <row r="18989" spans="7:7" ht="10.5" customHeight="1" x14ac:dyDescent="0.2">
      <c r="G18989" s="889"/>
    </row>
    <row r="18990" spans="7:7" ht="10.5" customHeight="1" x14ac:dyDescent="0.2">
      <c r="G18990" s="889"/>
    </row>
    <row r="18991" spans="7:7" ht="10.5" customHeight="1" x14ac:dyDescent="0.2">
      <c r="G18991" s="889"/>
    </row>
    <row r="18992" spans="7:7" ht="10.5" customHeight="1" x14ac:dyDescent="0.2">
      <c r="G18992" s="889"/>
    </row>
    <row r="18993" spans="7:7" ht="10.5" customHeight="1" x14ac:dyDescent="0.2">
      <c r="G18993" s="889"/>
    </row>
    <row r="18994" spans="7:7" ht="10.5" customHeight="1" x14ac:dyDescent="0.2">
      <c r="G18994" s="889"/>
    </row>
    <row r="18995" spans="7:7" ht="10.5" customHeight="1" x14ac:dyDescent="0.2">
      <c r="G18995" s="889"/>
    </row>
    <row r="18996" spans="7:7" ht="10.5" customHeight="1" x14ac:dyDescent="0.2">
      <c r="G18996" s="889"/>
    </row>
    <row r="18997" spans="7:7" ht="10.5" customHeight="1" x14ac:dyDescent="0.2">
      <c r="G18997" s="889"/>
    </row>
    <row r="18998" spans="7:7" ht="10.5" customHeight="1" x14ac:dyDescent="0.2">
      <c r="G18998" s="889"/>
    </row>
    <row r="18999" spans="7:7" ht="10.5" customHeight="1" x14ac:dyDescent="0.2">
      <c r="G18999" s="889"/>
    </row>
    <row r="19000" spans="7:7" ht="10.5" customHeight="1" x14ac:dyDescent="0.2">
      <c r="G19000" s="889"/>
    </row>
    <row r="19001" spans="7:7" ht="10.5" customHeight="1" x14ac:dyDescent="0.2">
      <c r="G19001" s="889"/>
    </row>
    <row r="19002" spans="7:7" ht="10.5" customHeight="1" x14ac:dyDescent="0.2">
      <c r="G19002" s="889"/>
    </row>
    <row r="19003" spans="7:7" ht="10.5" customHeight="1" x14ac:dyDescent="0.2">
      <c r="G19003" s="889"/>
    </row>
    <row r="19004" spans="7:7" ht="10.5" customHeight="1" x14ac:dyDescent="0.2">
      <c r="G19004" s="889"/>
    </row>
    <row r="19005" spans="7:7" ht="10.5" customHeight="1" x14ac:dyDescent="0.2">
      <c r="G19005" s="889"/>
    </row>
    <row r="19006" spans="7:7" ht="10.5" customHeight="1" x14ac:dyDescent="0.2">
      <c r="G19006" s="889"/>
    </row>
    <row r="19007" spans="7:7" ht="10.5" customHeight="1" x14ac:dyDescent="0.2">
      <c r="G19007" s="889"/>
    </row>
    <row r="19008" spans="7:7" ht="10.5" customHeight="1" x14ac:dyDescent="0.2">
      <c r="G19008" s="889"/>
    </row>
    <row r="19009" spans="7:7" ht="10.5" customHeight="1" x14ac:dyDescent="0.2">
      <c r="G19009" s="889"/>
    </row>
    <row r="19010" spans="7:7" ht="10.5" customHeight="1" x14ac:dyDescent="0.2">
      <c r="G19010" s="889"/>
    </row>
    <row r="19011" spans="7:7" ht="10.5" customHeight="1" x14ac:dyDescent="0.2">
      <c r="G19011" s="889"/>
    </row>
    <row r="19012" spans="7:7" ht="10.5" customHeight="1" x14ac:dyDescent="0.2">
      <c r="G19012" s="889"/>
    </row>
    <row r="19013" spans="7:7" ht="10.5" customHeight="1" x14ac:dyDescent="0.2">
      <c r="G19013" s="889"/>
    </row>
    <row r="19014" spans="7:7" ht="10.5" customHeight="1" x14ac:dyDescent="0.2">
      <c r="G19014" s="889"/>
    </row>
    <row r="19015" spans="7:7" ht="10.5" customHeight="1" x14ac:dyDescent="0.2">
      <c r="G19015" s="889"/>
    </row>
    <row r="19016" spans="7:7" ht="10.5" customHeight="1" x14ac:dyDescent="0.2">
      <c r="G19016" s="889"/>
    </row>
    <row r="19017" spans="7:7" ht="10.5" customHeight="1" x14ac:dyDescent="0.2">
      <c r="G19017" s="889"/>
    </row>
    <row r="19018" spans="7:7" ht="10.5" customHeight="1" x14ac:dyDescent="0.2">
      <c r="G19018" s="889"/>
    </row>
    <row r="19019" spans="7:7" ht="10.5" customHeight="1" x14ac:dyDescent="0.2">
      <c r="G19019" s="889"/>
    </row>
    <row r="19020" spans="7:7" ht="10.5" customHeight="1" x14ac:dyDescent="0.2">
      <c r="G19020" s="889"/>
    </row>
    <row r="19021" spans="7:7" ht="10.5" customHeight="1" x14ac:dyDescent="0.2">
      <c r="G19021" s="889"/>
    </row>
    <row r="19022" spans="7:7" ht="10.5" customHeight="1" x14ac:dyDescent="0.2">
      <c r="G19022" s="889"/>
    </row>
    <row r="19023" spans="7:7" ht="10.5" customHeight="1" x14ac:dyDescent="0.2">
      <c r="G19023" s="889"/>
    </row>
    <row r="19024" spans="7:7" ht="10.5" customHeight="1" x14ac:dyDescent="0.2">
      <c r="G19024" s="889"/>
    </row>
    <row r="19025" spans="7:7" ht="10.5" customHeight="1" x14ac:dyDescent="0.2">
      <c r="G19025" s="889"/>
    </row>
    <row r="19026" spans="7:7" ht="10.5" customHeight="1" x14ac:dyDescent="0.2">
      <c r="G19026" s="889"/>
    </row>
    <row r="19027" spans="7:7" ht="10.5" customHeight="1" x14ac:dyDescent="0.2">
      <c r="G19027" s="889"/>
    </row>
    <row r="19028" spans="7:7" ht="10.5" customHeight="1" x14ac:dyDescent="0.2">
      <c r="G19028" s="889"/>
    </row>
    <row r="19029" spans="7:7" ht="10.5" customHeight="1" x14ac:dyDescent="0.2">
      <c r="G19029" s="889"/>
    </row>
    <row r="19030" spans="7:7" ht="10.5" customHeight="1" x14ac:dyDescent="0.2">
      <c r="G19030" s="889"/>
    </row>
    <row r="19031" spans="7:7" ht="10.5" customHeight="1" x14ac:dyDescent="0.2">
      <c r="G19031" s="889"/>
    </row>
    <row r="19032" spans="7:7" ht="10.5" customHeight="1" x14ac:dyDescent="0.2">
      <c r="G19032" s="889"/>
    </row>
    <row r="19033" spans="7:7" ht="10.5" customHeight="1" x14ac:dyDescent="0.2">
      <c r="G19033" s="889"/>
    </row>
    <row r="19034" spans="7:7" ht="10.5" customHeight="1" x14ac:dyDescent="0.2">
      <c r="G19034" s="889"/>
    </row>
    <row r="19035" spans="7:7" ht="10.5" customHeight="1" x14ac:dyDescent="0.2">
      <c r="G19035" s="889"/>
    </row>
    <row r="19036" spans="7:7" ht="10.5" customHeight="1" x14ac:dyDescent="0.2">
      <c r="G19036" s="889"/>
    </row>
    <row r="19037" spans="7:7" ht="10.5" customHeight="1" x14ac:dyDescent="0.2">
      <c r="G19037" s="889"/>
    </row>
    <row r="19038" spans="7:7" ht="10.5" customHeight="1" x14ac:dyDescent="0.2">
      <c r="G19038" s="889"/>
    </row>
    <row r="19039" spans="7:7" ht="10.5" customHeight="1" x14ac:dyDescent="0.2">
      <c r="G19039" s="889"/>
    </row>
    <row r="19040" spans="7:7" ht="10.5" customHeight="1" x14ac:dyDescent="0.2">
      <c r="G19040" s="889"/>
    </row>
    <row r="19041" spans="7:7" ht="10.5" customHeight="1" x14ac:dyDescent="0.2">
      <c r="G19041" s="889"/>
    </row>
    <row r="19042" spans="7:7" ht="10.5" customHeight="1" x14ac:dyDescent="0.2">
      <c r="G19042" s="889"/>
    </row>
    <row r="19043" spans="7:7" ht="10.5" customHeight="1" x14ac:dyDescent="0.2">
      <c r="G19043" s="889"/>
    </row>
    <row r="19044" spans="7:7" ht="10.5" customHeight="1" x14ac:dyDescent="0.2">
      <c r="G19044" s="889"/>
    </row>
    <row r="19045" spans="7:7" ht="10.5" customHeight="1" x14ac:dyDescent="0.2">
      <c r="G19045" s="889"/>
    </row>
    <row r="19046" spans="7:7" ht="10.5" customHeight="1" x14ac:dyDescent="0.2">
      <c r="G19046" s="889"/>
    </row>
    <row r="19047" spans="7:7" ht="10.5" customHeight="1" x14ac:dyDescent="0.2">
      <c r="G19047" s="889"/>
    </row>
    <row r="19048" spans="7:7" ht="10.5" customHeight="1" x14ac:dyDescent="0.2">
      <c r="G19048" s="889"/>
    </row>
    <row r="19049" spans="7:7" ht="10.5" customHeight="1" x14ac:dyDescent="0.2">
      <c r="G19049" s="889"/>
    </row>
    <row r="19050" spans="7:7" ht="10.5" customHeight="1" x14ac:dyDescent="0.2">
      <c r="G19050" s="889"/>
    </row>
    <row r="19051" spans="7:7" ht="10.5" customHeight="1" x14ac:dyDescent="0.2">
      <c r="G19051" s="889"/>
    </row>
    <row r="19052" spans="7:7" ht="10.5" customHeight="1" x14ac:dyDescent="0.2">
      <c r="G19052" s="889"/>
    </row>
    <row r="19053" spans="7:7" ht="10.5" customHeight="1" x14ac:dyDescent="0.2">
      <c r="G19053" s="889"/>
    </row>
    <row r="19054" spans="7:7" ht="10.5" customHeight="1" x14ac:dyDescent="0.2">
      <c r="G19054" s="889"/>
    </row>
    <row r="19055" spans="7:7" ht="10.5" customHeight="1" x14ac:dyDescent="0.2">
      <c r="G19055" s="889"/>
    </row>
    <row r="19056" spans="7:7" ht="10.5" customHeight="1" x14ac:dyDescent="0.2">
      <c r="G19056" s="889"/>
    </row>
    <row r="19057" spans="7:7" ht="10.5" customHeight="1" x14ac:dyDescent="0.2">
      <c r="G19057" s="889"/>
    </row>
    <row r="19058" spans="7:7" ht="10.5" customHeight="1" x14ac:dyDescent="0.2">
      <c r="G19058" s="889"/>
    </row>
    <row r="19059" spans="7:7" ht="10.5" customHeight="1" x14ac:dyDescent="0.2">
      <c r="G19059" s="889"/>
    </row>
    <row r="19060" spans="7:7" ht="10.5" customHeight="1" x14ac:dyDescent="0.2">
      <c r="G19060" s="889"/>
    </row>
    <row r="19061" spans="7:7" ht="10.5" customHeight="1" x14ac:dyDescent="0.2">
      <c r="G19061" s="889"/>
    </row>
    <row r="19062" spans="7:7" ht="10.5" customHeight="1" x14ac:dyDescent="0.2">
      <c r="G19062" s="889"/>
    </row>
    <row r="19063" spans="7:7" ht="10.5" customHeight="1" x14ac:dyDescent="0.2">
      <c r="G19063" s="889"/>
    </row>
    <row r="19064" spans="7:7" ht="10.5" customHeight="1" x14ac:dyDescent="0.2">
      <c r="G19064" s="889"/>
    </row>
    <row r="19065" spans="7:7" ht="10.5" customHeight="1" x14ac:dyDescent="0.2">
      <c r="G19065" s="889"/>
    </row>
    <row r="19066" spans="7:7" ht="10.5" customHeight="1" x14ac:dyDescent="0.2">
      <c r="G19066" s="889"/>
    </row>
    <row r="19067" spans="7:7" ht="10.5" customHeight="1" x14ac:dyDescent="0.2">
      <c r="G19067" s="889"/>
    </row>
    <row r="19068" spans="7:7" ht="10.5" customHeight="1" x14ac:dyDescent="0.2">
      <c r="G19068" s="889"/>
    </row>
    <row r="19069" spans="7:7" ht="10.5" customHeight="1" x14ac:dyDescent="0.2">
      <c r="G19069" s="889"/>
    </row>
    <row r="19070" spans="7:7" ht="10.5" customHeight="1" x14ac:dyDescent="0.2">
      <c r="G19070" s="889"/>
    </row>
    <row r="19071" spans="7:7" ht="10.5" customHeight="1" x14ac:dyDescent="0.2">
      <c r="G19071" s="889"/>
    </row>
    <row r="19072" spans="7:7" ht="10.5" customHeight="1" x14ac:dyDescent="0.2">
      <c r="G19072" s="889"/>
    </row>
    <row r="19073" spans="7:7" ht="10.5" customHeight="1" x14ac:dyDescent="0.2">
      <c r="G19073" s="889"/>
    </row>
    <row r="19074" spans="7:7" ht="10.5" customHeight="1" x14ac:dyDescent="0.2">
      <c r="G19074" s="889"/>
    </row>
    <row r="19075" spans="7:7" ht="10.5" customHeight="1" x14ac:dyDescent="0.2">
      <c r="G19075" s="889"/>
    </row>
    <row r="19076" spans="7:7" ht="10.5" customHeight="1" x14ac:dyDescent="0.2">
      <c r="G19076" s="889"/>
    </row>
    <row r="19077" spans="7:7" ht="10.5" customHeight="1" x14ac:dyDescent="0.2">
      <c r="G19077" s="889"/>
    </row>
    <row r="19078" spans="7:7" ht="10.5" customHeight="1" x14ac:dyDescent="0.2">
      <c r="G19078" s="889"/>
    </row>
    <row r="19079" spans="7:7" ht="10.5" customHeight="1" x14ac:dyDescent="0.2">
      <c r="G19079" s="889"/>
    </row>
    <row r="19080" spans="7:7" ht="10.5" customHeight="1" x14ac:dyDescent="0.2">
      <c r="G19080" s="889"/>
    </row>
    <row r="19081" spans="7:7" ht="10.5" customHeight="1" x14ac:dyDescent="0.2">
      <c r="G19081" s="889"/>
    </row>
    <row r="19082" spans="7:7" ht="10.5" customHeight="1" x14ac:dyDescent="0.2">
      <c r="G19082" s="889"/>
    </row>
    <row r="19083" spans="7:7" ht="10.5" customHeight="1" x14ac:dyDescent="0.2">
      <c r="G19083" s="889"/>
    </row>
    <row r="19084" spans="7:7" ht="10.5" customHeight="1" x14ac:dyDescent="0.2">
      <c r="G19084" s="889"/>
    </row>
    <row r="19085" spans="7:7" ht="10.5" customHeight="1" x14ac:dyDescent="0.2">
      <c r="G19085" s="889"/>
    </row>
    <row r="19086" spans="7:7" ht="10.5" customHeight="1" x14ac:dyDescent="0.2">
      <c r="G19086" s="889"/>
    </row>
    <row r="19087" spans="7:7" ht="10.5" customHeight="1" x14ac:dyDescent="0.2">
      <c r="G19087" s="889"/>
    </row>
    <row r="19088" spans="7:7" ht="10.5" customHeight="1" x14ac:dyDescent="0.2">
      <c r="G19088" s="889"/>
    </row>
    <row r="19089" spans="7:7" ht="10.5" customHeight="1" x14ac:dyDescent="0.2">
      <c r="G19089" s="889"/>
    </row>
    <row r="19090" spans="7:7" ht="10.5" customHeight="1" x14ac:dyDescent="0.2">
      <c r="G19090" s="889"/>
    </row>
    <row r="19091" spans="7:7" ht="10.5" customHeight="1" x14ac:dyDescent="0.2">
      <c r="G19091" s="889"/>
    </row>
    <row r="19092" spans="7:7" ht="10.5" customHeight="1" x14ac:dyDescent="0.2">
      <c r="G19092" s="889"/>
    </row>
    <row r="19093" spans="7:7" ht="10.5" customHeight="1" x14ac:dyDescent="0.2">
      <c r="G19093" s="889"/>
    </row>
    <row r="19094" spans="7:7" ht="10.5" customHeight="1" x14ac:dyDescent="0.2">
      <c r="G19094" s="889"/>
    </row>
    <row r="19095" spans="7:7" ht="10.5" customHeight="1" x14ac:dyDescent="0.2">
      <c r="G19095" s="889"/>
    </row>
    <row r="19096" spans="7:7" ht="10.5" customHeight="1" x14ac:dyDescent="0.2">
      <c r="G19096" s="889"/>
    </row>
    <row r="19097" spans="7:7" ht="10.5" customHeight="1" x14ac:dyDescent="0.2">
      <c r="G19097" s="889"/>
    </row>
    <row r="19098" spans="7:7" ht="10.5" customHeight="1" x14ac:dyDescent="0.2">
      <c r="G19098" s="889"/>
    </row>
    <row r="19099" spans="7:7" ht="10.5" customHeight="1" x14ac:dyDescent="0.2">
      <c r="G19099" s="889"/>
    </row>
    <row r="19100" spans="7:7" ht="10.5" customHeight="1" x14ac:dyDescent="0.2">
      <c r="G19100" s="889"/>
    </row>
    <row r="19101" spans="7:7" ht="10.5" customHeight="1" x14ac:dyDescent="0.2">
      <c r="G19101" s="889"/>
    </row>
    <row r="19102" spans="7:7" ht="10.5" customHeight="1" x14ac:dyDescent="0.2">
      <c r="G19102" s="889"/>
    </row>
    <row r="19103" spans="7:7" ht="10.5" customHeight="1" x14ac:dyDescent="0.2">
      <c r="G19103" s="889"/>
    </row>
    <row r="19104" spans="7:7" ht="10.5" customHeight="1" x14ac:dyDescent="0.2">
      <c r="G19104" s="889"/>
    </row>
    <row r="19105" spans="7:7" ht="10.5" customHeight="1" x14ac:dyDescent="0.2">
      <c r="G19105" s="889"/>
    </row>
    <row r="19106" spans="7:7" ht="10.5" customHeight="1" x14ac:dyDescent="0.2">
      <c r="G19106" s="889"/>
    </row>
    <row r="19107" spans="7:7" ht="10.5" customHeight="1" x14ac:dyDescent="0.2">
      <c r="G19107" s="889"/>
    </row>
    <row r="19108" spans="7:7" ht="10.5" customHeight="1" x14ac:dyDescent="0.2">
      <c r="G19108" s="889"/>
    </row>
    <row r="19109" spans="7:7" ht="10.5" customHeight="1" x14ac:dyDescent="0.2">
      <c r="G19109" s="889"/>
    </row>
    <row r="19110" spans="7:7" ht="10.5" customHeight="1" x14ac:dyDescent="0.2">
      <c r="G19110" s="889"/>
    </row>
    <row r="19111" spans="7:7" ht="10.5" customHeight="1" x14ac:dyDescent="0.2">
      <c r="G19111" s="889"/>
    </row>
    <row r="19112" spans="7:7" ht="10.5" customHeight="1" x14ac:dyDescent="0.2">
      <c r="G19112" s="889"/>
    </row>
    <row r="19113" spans="7:7" ht="10.5" customHeight="1" x14ac:dyDescent="0.2">
      <c r="G19113" s="889"/>
    </row>
    <row r="19114" spans="7:7" ht="10.5" customHeight="1" x14ac:dyDescent="0.2">
      <c r="G19114" s="889"/>
    </row>
    <row r="19115" spans="7:7" ht="10.5" customHeight="1" x14ac:dyDescent="0.2">
      <c r="G19115" s="889"/>
    </row>
    <row r="19116" spans="7:7" ht="10.5" customHeight="1" x14ac:dyDescent="0.2">
      <c r="G19116" s="889"/>
    </row>
    <row r="19117" spans="7:7" ht="10.5" customHeight="1" x14ac:dyDescent="0.2">
      <c r="G19117" s="889"/>
    </row>
    <row r="19118" spans="7:7" ht="10.5" customHeight="1" x14ac:dyDescent="0.2">
      <c r="G19118" s="889"/>
    </row>
    <row r="19119" spans="7:7" ht="10.5" customHeight="1" x14ac:dyDescent="0.2">
      <c r="G19119" s="889"/>
    </row>
    <row r="19120" spans="7:7" ht="10.5" customHeight="1" x14ac:dyDescent="0.2">
      <c r="G19120" s="889"/>
    </row>
    <row r="19121" spans="7:7" ht="10.5" customHeight="1" x14ac:dyDescent="0.2">
      <c r="G19121" s="889"/>
    </row>
    <row r="19122" spans="7:7" ht="10.5" customHeight="1" x14ac:dyDescent="0.2">
      <c r="G19122" s="889"/>
    </row>
    <row r="19123" spans="7:7" ht="10.5" customHeight="1" x14ac:dyDescent="0.2">
      <c r="G19123" s="889"/>
    </row>
    <row r="19124" spans="7:7" ht="10.5" customHeight="1" x14ac:dyDescent="0.2">
      <c r="G19124" s="889"/>
    </row>
    <row r="19125" spans="7:7" ht="10.5" customHeight="1" x14ac:dyDescent="0.2">
      <c r="G19125" s="889"/>
    </row>
    <row r="19126" spans="7:7" ht="10.5" customHeight="1" x14ac:dyDescent="0.2">
      <c r="G19126" s="889"/>
    </row>
    <row r="19127" spans="7:7" ht="10.5" customHeight="1" x14ac:dyDescent="0.2">
      <c r="G19127" s="889"/>
    </row>
    <row r="19128" spans="7:7" ht="10.5" customHeight="1" x14ac:dyDescent="0.2">
      <c r="G19128" s="889"/>
    </row>
    <row r="19129" spans="7:7" ht="10.5" customHeight="1" x14ac:dyDescent="0.2">
      <c r="G19129" s="889"/>
    </row>
    <row r="19130" spans="7:7" ht="10.5" customHeight="1" x14ac:dyDescent="0.2">
      <c r="G19130" s="889"/>
    </row>
    <row r="19131" spans="7:7" ht="10.5" customHeight="1" x14ac:dyDescent="0.2">
      <c r="G19131" s="889"/>
    </row>
    <row r="19132" spans="7:7" ht="10.5" customHeight="1" x14ac:dyDescent="0.2">
      <c r="G19132" s="889"/>
    </row>
    <row r="19133" spans="7:7" ht="10.5" customHeight="1" x14ac:dyDescent="0.2">
      <c r="G19133" s="889"/>
    </row>
    <row r="19134" spans="7:7" ht="10.5" customHeight="1" x14ac:dyDescent="0.2">
      <c r="G19134" s="889"/>
    </row>
    <row r="19135" spans="7:7" ht="10.5" customHeight="1" x14ac:dyDescent="0.2">
      <c r="G19135" s="889"/>
    </row>
    <row r="19136" spans="7:7" ht="10.5" customHeight="1" x14ac:dyDescent="0.2">
      <c r="G19136" s="889"/>
    </row>
    <row r="19137" spans="7:7" ht="10.5" customHeight="1" x14ac:dyDescent="0.2">
      <c r="G19137" s="889"/>
    </row>
    <row r="19138" spans="7:7" ht="10.5" customHeight="1" x14ac:dyDescent="0.2">
      <c r="G19138" s="889"/>
    </row>
    <row r="19139" spans="7:7" ht="10.5" customHeight="1" x14ac:dyDescent="0.2">
      <c r="G19139" s="889"/>
    </row>
    <row r="19140" spans="7:7" ht="10.5" customHeight="1" x14ac:dyDescent="0.2">
      <c r="G19140" s="889"/>
    </row>
    <row r="19141" spans="7:7" ht="10.5" customHeight="1" x14ac:dyDescent="0.2">
      <c r="G19141" s="889"/>
    </row>
    <row r="19142" spans="7:7" ht="10.5" customHeight="1" x14ac:dyDescent="0.2">
      <c r="G19142" s="889"/>
    </row>
    <row r="19143" spans="7:7" ht="10.5" customHeight="1" x14ac:dyDescent="0.2">
      <c r="G19143" s="889"/>
    </row>
    <row r="19144" spans="7:7" ht="10.5" customHeight="1" x14ac:dyDescent="0.2">
      <c r="G19144" s="889"/>
    </row>
    <row r="19145" spans="7:7" ht="10.5" customHeight="1" x14ac:dyDescent="0.2">
      <c r="G19145" s="889"/>
    </row>
    <row r="19146" spans="7:7" ht="10.5" customHeight="1" x14ac:dyDescent="0.2">
      <c r="G19146" s="889"/>
    </row>
    <row r="19147" spans="7:7" ht="10.5" customHeight="1" x14ac:dyDescent="0.2">
      <c r="G19147" s="889"/>
    </row>
    <row r="19148" spans="7:7" ht="10.5" customHeight="1" x14ac:dyDescent="0.2">
      <c r="G19148" s="889"/>
    </row>
    <row r="19149" spans="7:7" ht="10.5" customHeight="1" x14ac:dyDescent="0.2">
      <c r="G19149" s="889"/>
    </row>
    <row r="19150" spans="7:7" ht="10.5" customHeight="1" x14ac:dyDescent="0.2">
      <c r="G19150" s="889"/>
    </row>
    <row r="19151" spans="7:7" ht="10.5" customHeight="1" x14ac:dyDescent="0.2">
      <c r="G19151" s="889"/>
    </row>
    <row r="19152" spans="7:7" ht="10.5" customHeight="1" x14ac:dyDescent="0.2">
      <c r="G19152" s="889"/>
    </row>
    <row r="19153" spans="7:7" ht="10.5" customHeight="1" x14ac:dyDescent="0.2">
      <c r="G19153" s="889"/>
    </row>
    <row r="19154" spans="7:7" ht="10.5" customHeight="1" x14ac:dyDescent="0.2">
      <c r="G19154" s="889"/>
    </row>
    <row r="19155" spans="7:7" ht="10.5" customHeight="1" x14ac:dyDescent="0.2">
      <c r="G19155" s="889"/>
    </row>
    <row r="19156" spans="7:7" ht="10.5" customHeight="1" x14ac:dyDescent="0.2">
      <c r="G19156" s="889"/>
    </row>
    <row r="19157" spans="7:7" ht="10.5" customHeight="1" x14ac:dyDescent="0.2">
      <c r="G19157" s="889"/>
    </row>
    <row r="19158" spans="7:7" ht="10.5" customHeight="1" x14ac:dyDescent="0.2">
      <c r="G19158" s="889"/>
    </row>
    <row r="19159" spans="7:7" ht="10.5" customHeight="1" x14ac:dyDescent="0.2">
      <c r="G19159" s="889"/>
    </row>
    <row r="19160" spans="7:7" ht="10.5" customHeight="1" x14ac:dyDescent="0.2">
      <c r="G19160" s="889"/>
    </row>
    <row r="19161" spans="7:7" ht="10.5" customHeight="1" x14ac:dyDescent="0.2">
      <c r="G19161" s="889"/>
    </row>
    <row r="19162" spans="7:7" ht="10.5" customHeight="1" x14ac:dyDescent="0.2">
      <c r="G19162" s="889"/>
    </row>
    <row r="19163" spans="7:7" ht="10.5" customHeight="1" x14ac:dyDescent="0.2">
      <c r="G19163" s="889"/>
    </row>
    <row r="19164" spans="7:7" ht="10.5" customHeight="1" x14ac:dyDescent="0.2">
      <c r="G19164" s="889"/>
    </row>
    <row r="19165" spans="7:7" ht="10.5" customHeight="1" x14ac:dyDescent="0.2">
      <c r="G19165" s="889"/>
    </row>
    <row r="19166" spans="7:7" ht="10.5" customHeight="1" x14ac:dyDescent="0.2">
      <c r="G19166" s="889"/>
    </row>
    <row r="19167" spans="7:7" ht="10.5" customHeight="1" x14ac:dyDescent="0.2">
      <c r="G19167" s="889"/>
    </row>
    <row r="19168" spans="7:7" ht="10.5" customHeight="1" x14ac:dyDescent="0.2">
      <c r="G19168" s="889"/>
    </row>
    <row r="19169" spans="7:7" ht="10.5" customHeight="1" x14ac:dyDescent="0.2">
      <c r="G19169" s="889"/>
    </row>
    <row r="19170" spans="7:7" ht="10.5" customHeight="1" x14ac:dyDescent="0.2">
      <c r="G19170" s="889"/>
    </row>
    <row r="19171" spans="7:7" ht="10.5" customHeight="1" x14ac:dyDescent="0.2">
      <c r="G19171" s="889"/>
    </row>
    <row r="19172" spans="7:7" ht="10.5" customHeight="1" x14ac:dyDescent="0.2">
      <c r="G19172" s="889"/>
    </row>
    <row r="19173" spans="7:7" ht="10.5" customHeight="1" x14ac:dyDescent="0.2">
      <c r="G19173" s="889"/>
    </row>
    <row r="19174" spans="7:7" ht="10.5" customHeight="1" x14ac:dyDescent="0.2">
      <c r="G19174" s="889"/>
    </row>
    <row r="19175" spans="7:7" ht="10.5" customHeight="1" x14ac:dyDescent="0.2">
      <c r="G19175" s="889"/>
    </row>
    <row r="19176" spans="7:7" ht="10.5" customHeight="1" x14ac:dyDescent="0.2">
      <c r="G19176" s="889"/>
    </row>
    <row r="19177" spans="7:7" ht="10.5" customHeight="1" x14ac:dyDescent="0.2">
      <c r="G19177" s="889"/>
    </row>
    <row r="19178" spans="7:7" ht="10.5" customHeight="1" x14ac:dyDescent="0.2">
      <c r="G19178" s="889"/>
    </row>
    <row r="19179" spans="7:7" ht="10.5" customHeight="1" x14ac:dyDescent="0.2">
      <c r="G19179" s="889"/>
    </row>
    <row r="19180" spans="7:7" ht="10.5" customHeight="1" x14ac:dyDescent="0.2">
      <c r="G19180" s="889"/>
    </row>
    <row r="19181" spans="7:7" ht="10.5" customHeight="1" x14ac:dyDescent="0.2">
      <c r="G19181" s="889"/>
    </row>
    <row r="19182" spans="7:7" ht="10.5" customHeight="1" x14ac:dyDescent="0.2">
      <c r="G19182" s="889"/>
    </row>
    <row r="19183" spans="7:7" ht="10.5" customHeight="1" x14ac:dyDescent="0.2">
      <c r="G19183" s="889"/>
    </row>
    <row r="19184" spans="7:7" ht="10.5" customHeight="1" x14ac:dyDescent="0.2">
      <c r="G19184" s="889"/>
    </row>
    <row r="19185" spans="7:7" ht="10.5" customHeight="1" x14ac:dyDescent="0.2">
      <c r="G19185" s="889"/>
    </row>
    <row r="19186" spans="7:7" ht="10.5" customHeight="1" x14ac:dyDescent="0.2">
      <c r="G19186" s="889"/>
    </row>
    <row r="19187" spans="7:7" ht="10.5" customHeight="1" x14ac:dyDescent="0.2">
      <c r="G19187" s="889"/>
    </row>
    <row r="19188" spans="7:7" ht="10.5" customHeight="1" x14ac:dyDescent="0.2">
      <c r="G19188" s="889"/>
    </row>
    <row r="19189" spans="7:7" ht="10.5" customHeight="1" x14ac:dyDescent="0.2">
      <c r="G19189" s="889"/>
    </row>
    <row r="19190" spans="7:7" ht="10.5" customHeight="1" x14ac:dyDescent="0.2">
      <c r="G19190" s="889"/>
    </row>
    <row r="19191" spans="7:7" ht="10.5" customHeight="1" x14ac:dyDescent="0.2">
      <c r="G19191" s="889"/>
    </row>
    <row r="19192" spans="7:7" ht="10.5" customHeight="1" x14ac:dyDescent="0.2">
      <c r="G19192" s="889"/>
    </row>
    <row r="19193" spans="7:7" ht="10.5" customHeight="1" x14ac:dyDescent="0.2">
      <c r="G19193" s="889"/>
    </row>
    <row r="19194" spans="7:7" ht="10.5" customHeight="1" x14ac:dyDescent="0.2">
      <c r="G19194" s="889"/>
    </row>
    <row r="19195" spans="7:7" ht="10.5" customHeight="1" x14ac:dyDescent="0.2">
      <c r="G19195" s="889"/>
    </row>
    <row r="19196" spans="7:7" ht="10.5" customHeight="1" x14ac:dyDescent="0.2">
      <c r="G19196" s="889"/>
    </row>
    <row r="19197" spans="7:7" ht="10.5" customHeight="1" x14ac:dyDescent="0.2">
      <c r="G19197" s="889"/>
    </row>
    <row r="19198" spans="7:7" ht="10.5" customHeight="1" x14ac:dyDescent="0.2">
      <c r="G19198" s="889"/>
    </row>
    <row r="19199" spans="7:7" ht="10.5" customHeight="1" x14ac:dyDescent="0.2">
      <c r="G19199" s="889"/>
    </row>
    <row r="19200" spans="7:7" ht="10.5" customHeight="1" x14ac:dyDescent="0.2">
      <c r="G19200" s="889"/>
    </row>
    <row r="19201" spans="7:7" ht="10.5" customHeight="1" x14ac:dyDescent="0.2">
      <c r="G19201" s="889"/>
    </row>
    <row r="19202" spans="7:7" ht="10.5" customHeight="1" x14ac:dyDescent="0.2">
      <c r="G19202" s="889"/>
    </row>
    <row r="19203" spans="7:7" ht="10.5" customHeight="1" x14ac:dyDescent="0.2">
      <c r="G19203" s="889"/>
    </row>
    <row r="19204" spans="7:7" ht="10.5" customHeight="1" x14ac:dyDescent="0.2">
      <c r="G19204" s="889"/>
    </row>
    <row r="19205" spans="7:7" ht="10.5" customHeight="1" x14ac:dyDescent="0.2">
      <c r="G19205" s="889"/>
    </row>
    <row r="19206" spans="7:7" ht="10.5" customHeight="1" x14ac:dyDescent="0.2">
      <c r="G19206" s="889"/>
    </row>
    <row r="19207" spans="7:7" ht="10.5" customHeight="1" x14ac:dyDescent="0.2">
      <c r="G19207" s="889"/>
    </row>
    <row r="19208" spans="7:7" ht="10.5" customHeight="1" x14ac:dyDescent="0.2">
      <c r="G19208" s="889"/>
    </row>
    <row r="19209" spans="7:7" ht="10.5" customHeight="1" x14ac:dyDescent="0.2">
      <c r="G19209" s="889"/>
    </row>
    <row r="19210" spans="7:7" ht="10.5" customHeight="1" x14ac:dyDescent="0.2">
      <c r="G19210" s="889"/>
    </row>
    <row r="19211" spans="7:7" ht="10.5" customHeight="1" x14ac:dyDescent="0.2">
      <c r="G19211" s="889"/>
    </row>
    <row r="19212" spans="7:7" ht="10.5" customHeight="1" x14ac:dyDescent="0.2">
      <c r="G19212" s="889"/>
    </row>
    <row r="19213" spans="7:7" ht="10.5" customHeight="1" x14ac:dyDescent="0.2">
      <c r="G19213" s="889"/>
    </row>
    <row r="19214" spans="7:7" ht="10.5" customHeight="1" x14ac:dyDescent="0.2">
      <c r="G19214" s="889"/>
    </row>
    <row r="19215" spans="7:7" ht="10.5" customHeight="1" x14ac:dyDescent="0.2">
      <c r="G19215" s="889"/>
    </row>
    <row r="19216" spans="7:7" ht="10.5" customHeight="1" x14ac:dyDescent="0.2">
      <c r="G19216" s="889"/>
    </row>
    <row r="19217" spans="7:7" ht="10.5" customHeight="1" x14ac:dyDescent="0.2">
      <c r="G19217" s="889"/>
    </row>
    <row r="19218" spans="7:7" ht="10.5" customHeight="1" x14ac:dyDescent="0.2">
      <c r="G19218" s="889"/>
    </row>
    <row r="19219" spans="7:7" ht="10.5" customHeight="1" x14ac:dyDescent="0.2">
      <c r="G19219" s="889"/>
    </row>
    <row r="19220" spans="7:7" ht="10.5" customHeight="1" x14ac:dyDescent="0.2">
      <c r="G19220" s="889"/>
    </row>
    <row r="19221" spans="7:7" ht="10.5" customHeight="1" x14ac:dyDescent="0.2">
      <c r="G19221" s="889"/>
    </row>
    <row r="19222" spans="7:7" ht="10.5" customHeight="1" x14ac:dyDescent="0.2">
      <c r="G19222" s="889"/>
    </row>
    <row r="19223" spans="7:7" ht="10.5" customHeight="1" x14ac:dyDescent="0.2">
      <c r="G19223" s="889"/>
    </row>
    <row r="19224" spans="7:7" ht="10.5" customHeight="1" x14ac:dyDescent="0.2">
      <c r="G19224" s="889"/>
    </row>
    <row r="19225" spans="7:7" ht="10.5" customHeight="1" x14ac:dyDescent="0.2">
      <c r="G19225" s="889"/>
    </row>
    <row r="19226" spans="7:7" ht="10.5" customHeight="1" x14ac:dyDescent="0.2">
      <c r="G19226" s="889"/>
    </row>
    <row r="19227" spans="7:7" ht="10.5" customHeight="1" x14ac:dyDescent="0.2">
      <c r="G19227" s="889"/>
    </row>
    <row r="19228" spans="7:7" ht="10.5" customHeight="1" x14ac:dyDescent="0.2">
      <c r="G19228" s="889"/>
    </row>
    <row r="19229" spans="7:7" ht="10.5" customHeight="1" x14ac:dyDescent="0.2">
      <c r="G19229" s="889"/>
    </row>
    <row r="19230" spans="7:7" ht="10.5" customHeight="1" x14ac:dyDescent="0.2">
      <c r="G19230" s="889"/>
    </row>
    <row r="19231" spans="7:7" ht="10.5" customHeight="1" x14ac:dyDescent="0.2">
      <c r="G19231" s="889"/>
    </row>
    <row r="19232" spans="7:7" ht="10.5" customHeight="1" x14ac:dyDescent="0.2">
      <c r="G19232" s="889"/>
    </row>
    <row r="19233" spans="7:7" ht="10.5" customHeight="1" x14ac:dyDescent="0.2">
      <c r="G19233" s="889"/>
    </row>
    <row r="19234" spans="7:7" ht="10.5" customHeight="1" x14ac:dyDescent="0.2">
      <c r="G19234" s="889"/>
    </row>
    <row r="19235" spans="7:7" ht="10.5" customHeight="1" x14ac:dyDescent="0.2">
      <c r="G19235" s="889"/>
    </row>
    <row r="19236" spans="7:7" ht="10.5" customHeight="1" x14ac:dyDescent="0.2">
      <c r="G19236" s="889"/>
    </row>
    <row r="19237" spans="7:7" ht="10.5" customHeight="1" x14ac:dyDescent="0.2">
      <c r="G19237" s="889"/>
    </row>
    <row r="19238" spans="7:7" ht="10.5" customHeight="1" x14ac:dyDescent="0.2">
      <c r="G19238" s="889"/>
    </row>
    <row r="19239" spans="7:7" ht="10.5" customHeight="1" x14ac:dyDescent="0.2">
      <c r="G19239" s="889"/>
    </row>
    <row r="19240" spans="7:7" ht="10.5" customHeight="1" x14ac:dyDescent="0.2">
      <c r="G19240" s="889"/>
    </row>
    <row r="19241" spans="7:7" ht="10.5" customHeight="1" x14ac:dyDescent="0.2">
      <c r="G19241" s="889"/>
    </row>
    <row r="19242" spans="7:7" ht="10.5" customHeight="1" x14ac:dyDescent="0.2">
      <c r="G19242" s="889"/>
    </row>
    <row r="19243" spans="7:7" ht="10.5" customHeight="1" x14ac:dyDescent="0.2">
      <c r="G19243" s="889"/>
    </row>
    <row r="19244" spans="7:7" ht="10.5" customHeight="1" x14ac:dyDescent="0.2">
      <c r="G19244" s="889"/>
    </row>
    <row r="19245" spans="7:7" ht="10.5" customHeight="1" x14ac:dyDescent="0.2">
      <c r="G19245" s="889"/>
    </row>
    <row r="19246" spans="7:7" ht="10.5" customHeight="1" x14ac:dyDescent="0.2">
      <c r="G19246" s="889"/>
    </row>
    <row r="19247" spans="7:7" ht="10.5" customHeight="1" x14ac:dyDescent="0.2">
      <c r="G19247" s="889"/>
    </row>
    <row r="19248" spans="7:7" ht="10.5" customHeight="1" x14ac:dyDescent="0.2">
      <c r="G19248" s="889"/>
    </row>
    <row r="19249" spans="7:7" ht="10.5" customHeight="1" x14ac:dyDescent="0.2">
      <c r="G19249" s="889"/>
    </row>
    <row r="19250" spans="7:7" ht="10.5" customHeight="1" x14ac:dyDescent="0.2">
      <c r="G19250" s="889"/>
    </row>
    <row r="19251" spans="7:7" ht="10.5" customHeight="1" x14ac:dyDescent="0.2">
      <c r="G19251" s="889"/>
    </row>
    <row r="19252" spans="7:7" ht="10.5" customHeight="1" x14ac:dyDescent="0.2">
      <c r="G19252" s="889"/>
    </row>
    <row r="19253" spans="7:7" ht="10.5" customHeight="1" x14ac:dyDescent="0.2">
      <c r="G19253" s="889"/>
    </row>
    <row r="19254" spans="7:7" ht="10.5" customHeight="1" x14ac:dyDescent="0.2">
      <c r="G19254" s="889"/>
    </row>
    <row r="19255" spans="7:7" ht="10.5" customHeight="1" x14ac:dyDescent="0.2">
      <c r="G19255" s="889"/>
    </row>
    <row r="19256" spans="7:7" ht="10.5" customHeight="1" x14ac:dyDescent="0.2">
      <c r="G19256" s="889"/>
    </row>
    <row r="19257" spans="7:7" ht="10.5" customHeight="1" x14ac:dyDescent="0.2">
      <c r="G19257" s="889"/>
    </row>
    <row r="19258" spans="7:7" ht="10.5" customHeight="1" x14ac:dyDescent="0.2">
      <c r="G19258" s="889"/>
    </row>
    <row r="19259" spans="7:7" ht="10.5" customHeight="1" x14ac:dyDescent="0.2">
      <c r="G19259" s="889"/>
    </row>
    <row r="19260" spans="7:7" ht="10.5" customHeight="1" x14ac:dyDescent="0.2">
      <c r="G19260" s="889"/>
    </row>
    <row r="19261" spans="7:7" ht="10.5" customHeight="1" x14ac:dyDescent="0.2">
      <c r="G19261" s="889"/>
    </row>
    <row r="19262" spans="7:7" ht="10.5" customHeight="1" x14ac:dyDescent="0.2">
      <c r="G19262" s="889"/>
    </row>
    <row r="19263" spans="7:7" ht="10.5" customHeight="1" x14ac:dyDescent="0.2">
      <c r="G19263" s="889"/>
    </row>
    <row r="19264" spans="7:7" ht="10.5" customHeight="1" x14ac:dyDescent="0.2">
      <c r="G19264" s="889"/>
    </row>
    <row r="19265" spans="7:7" ht="10.5" customHeight="1" x14ac:dyDescent="0.2">
      <c r="G19265" s="889"/>
    </row>
    <row r="19266" spans="7:7" ht="10.5" customHeight="1" x14ac:dyDescent="0.2">
      <c r="G19266" s="889"/>
    </row>
    <row r="19267" spans="7:7" ht="10.5" customHeight="1" x14ac:dyDescent="0.2">
      <c r="G19267" s="889"/>
    </row>
    <row r="19268" spans="7:7" ht="10.5" customHeight="1" x14ac:dyDescent="0.2">
      <c r="G19268" s="889"/>
    </row>
    <row r="19269" spans="7:7" ht="10.5" customHeight="1" x14ac:dyDescent="0.2">
      <c r="G19269" s="889"/>
    </row>
    <row r="19270" spans="7:7" ht="10.5" customHeight="1" x14ac:dyDescent="0.2">
      <c r="G19270" s="889"/>
    </row>
    <row r="19271" spans="7:7" ht="10.5" customHeight="1" x14ac:dyDescent="0.2">
      <c r="G19271" s="889"/>
    </row>
    <row r="19272" spans="7:7" ht="10.5" customHeight="1" x14ac:dyDescent="0.2">
      <c r="G19272" s="889"/>
    </row>
    <row r="19273" spans="7:7" ht="10.5" customHeight="1" x14ac:dyDescent="0.2">
      <c r="G19273" s="889"/>
    </row>
    <row r="19274" spans="7:7" ht="10.5" customHeight="1" x14ac:dyDescent="0.2">
      <c r="G19274" s="889"/>
    </row>
    <row r="19275" spans="7:7" ht="10.5" customHeight="1" x14ac:dyDescent="0.2">
      <c r="G19275" s="889"/>
    </row>
    <row r="19276" spans="7:7" ht="10.5" customHeight="1" x14ac:dyDescent="0.2">
      <c r="G19276" s="889"/>
    </row>
    <row r="19277" spans="7:7" ht="10.5" customHeight="1" x14ac:dyDescent="0.2">
      <c r="G19277" s="889"/>
    </row>
    <row r="19278" spans="7:7" ht="10.5" customHeight="1" x14ac:dyDescent="0.2">
      <c r="G19278" s="889"/>
    </row>
    <row r="19279" spans="7:7" ht="10.5" customHeight="1" x14ac:dyDescent="0.2">
      <c r="G19279" s="889"/>
    </row>
    <row r="19280" spans="7:7" ht="10.5" customHeight="1" x14ac:dyDescent="0.2">
      <c r="G19280" s="889"/>
    </row>
    <row r="19281" spans="7:7" ht="10.5" customHeight="1" x14ac:dyDescent="0.2">
      <c r="G19281" s="889"/>
    </row>
    <row r="19282" spans="7:7" ht="10.5" customHeight="1" x14ac:dyDescent="0.2">
      <c r="G19282" s="889"/>
    </row>
    <row r="19283" spans="7:7" ht="10.5" customHeight="1" x14ac:dyDescent="0.2">
      <c r="G19283" s="889"/>
    </row>
    <row r="19284" spans="7:7" ht="10.5" customHeight="1" x14ac:dyDescent="0.2">
      <c r="G19284" s="889"/>
    </row>
    <row r="19285" spans="7:7" ht="10.5" customHeight="1" x14ac:dyDescent="0.2">
      <c r="G19285" s="889"/>
    </row>
    <row r="19286" spans="7:7" ht="10.5" customHeight="1" x14ac:dyDescent="0.2">
      <c r="G19286" s="889"/>
    </row>
    <row r="19287" spans="7:7" ht="10.5" customHeight="1" x14ac:dyDescent="0.2">
      <c r="G19287" s="889"/>
    </row>
    <row r="19288" spans="7:7" ht="10.5" customHeight="1" x14ac:dyDescent="0.2">
      <c r="G19288" s="889"/>
    </row>
    <row r="19289" spans="7:7" ht="10.5" customHeight="1" x14ac:dyDescent="0.2">
      <c r="G19289" s="889"/>
    </row>
    <row r="19290" spans="7:7" ht="10.5" customHeight="1" x14ac:dyDescent="0.2">
      <c r="G19290" s="889"/>
    </row>
    <row r="19291" spans="7:7" ht="10.5" customHeight="1" x14ac:dyDescent="0.2">
      <c r="G19291" s="889"/>
    </row>
    <row r="19292" spans="7:7" ht="10.5" customHeight="1" x14ac:dyDescent="0.2">
      <c r="G19292" s="889"/>
    </row>
    <row r="19293" spans="7:7" ht="10.5" customHeight="1" x14ac:dyDescent="0.2">
      <c r="G19293" s="889"/>
    </row>
    <row r="19294" spans="7:7" ht="10.5" customHeight="1" x14ac:dyDescent="0.2">
      <c r="G19294" s="889"/>
    </row>
    <row r="19295" spans="7:7" ht="10.5" customHeight="1" x14ac:dyDescent="0.2">
      <c r="G19295" s="889"/>
    </row>
    <row r="19296" spans="7:7" ht="10.5" customHeight="1" x14ac:dyDescent="0.2">
      <c r="G19296" s="889"/>
    </row>
    <row r="19297" spans="7:7" ht="10.5" customHeight="1" x14ac:dyDescent="0.2">
      <c r="G19297" s="889"/>
    </row>
    <row r="19298" spans="7:7" ht="10.5" customHeight="1" x14ac:dyDescent="0.2">
      <c r="G19298" s="889"/>
    </row>
    <row r="19299" spans="7:7" ht="10.5" customHeight="1" x14ac:dyDescent="0.2">
      <c r="G19299" s="889"/>
    </row>
    <row r="19300" spans="7:7" ht="10.5" customHeight="1" x14ac:dyDescent="0.2">
      <c r="G19300" s="889"/>
    </row>
    <row r="19301" spans="7:7" ht="10.5" customHeight="1" x14ac:dyDescent="0.2">
      <c r="G19301" s="889"/>
    </row>
    <row r="19302" spans="7:7" ht="10.5" customHeight="1" x14ac:dyDescent="0.2">
      <c r="G19302" s="889"/>
    </row>
    <row r="19303" spans="7:7" ht="10.5" customHeight="1" x14ac:dyDescent="0.2">
      <c r="G19303" s="889"/>
    </row>
    <row r="19304" spans="7:7" ht="10.5" customHeight="1" x14ac:dyDescent="0.2">
      <c r="G19304" s="889"/>
    </row>
    <row r="19305" spans="7:7" ht="10.5" customHeight="1" x14ac:dyDescent="0.2">
      <c r="G19305" s="889"/>
    </row>
    <row r="19306" spans="7:7" ht="10.5" customHeight="1" x14ac:dyDescent="0.2">
      <c r="G19306" s="889"/>
    </row>
    <row r="19307" spans="7:7" ht="10.5" customHeight="1" x14ac:dyDescent="0.2">
      <c r="G19307" s="889"/>
    </row>
    <row r="19308" spans="7:7" ht="10.5" customHeight="1" x14ac:dyDescent="0.2">
      <c r="G19308" s="889"/>
    </row>
    <row r="19309" spans="7:7" ht="10.5" customHeight="1" x14ac:dyDescent="0.2">
      <c r="G19309" s="889"/>
    </row>
    <row r="19310" spans="7:7" ht="10.5" customHeight="1" x14ac:dyDescent="0.2">
      <c r="G19310" s="889"/>
    </row>
    <row r="19311" spans="7:7" ht="10.5" customHeight="1" x14ac:dyDescent="0.2">
      <c r="G19311" s="889"/>
    </row>
    <row r="19312" spans="7:7" ht="10.5" customHeight="1" x14ac:dyDescent="0.2">
      <c r="G19312" s="889"/>
    </row>
    <row r="19313" spans="7:7" ht="10.5" customHeight="1" x14ac:dyDescent="0.2">
      <c r="G19313" s="889"/>
    </row>
    <row r="19314" spans="7:7" ht="10.5" customHeight="1" x14ac:dyDescent="0.2">
      <c r="G19314" s="889"/>
    </row>
    <row r="19315" spans="7:7" ht="10.5" customHeight="1" x14ac:dyDescent="0.2">
      <c r="G19315" s="889"/>
    </row>
    <row r="19316" spans="7:7" ht="10.5" customHeight="1" x14ac:dyDescent="0.2">
      <c r="G19316" s="889"/>
    </row>
    <row r="19317" spans="7:7" ht="10.5" customHeight="1" x14ac:dyDescent="0.2">
      <c r="G19317" s="889"/>
    </row>
    <row r="19318" spans="7:7" ht="10.5" customHeight="1" x14ac:dyDescent="0.2">
      <c r="G19318" s="889"/>
    </row>
    <row r="19319" spans="7:7" ht="10.5" customHeight="1" x14ac:dyDescent="0.2">
      <c r="G19319" s="889"/>
    </row>
    <row r="19320" spans="7:7" ht="10.5" customHeight="1" x14ac:dyDescent="0.2">
      <c r="G19320" s="889"/>
    </row>
    <row r="19321" spans="7:7" ht="10.5" customHeight="1" x14ac:dyDescent="0.2">
      <c r="G19321" s="889"/>
    </row>
    <row r="19322" spans="7:7" ht="10.5" customHeight="1" x14ac:dyDescent="0.2">
      <c r="G19322" s="889"/>
    </row>
    <row r="19323" spans="7:7" ht="10.5" customHeight="1" x14ac:dyDescent="0.2">
      <c r="G19323" s="889"/>
    </row>
    <row r="19324" spans="7:7" ht="10.5" customHeight="1" x14ac:dyDescent="0.2">
      <c r="G19324" s="889"/>
    </row>
    <row r="19325" spans="7:7" ht="10.5" customHeight="1" x14ac:dyDescent="0.2">
      <c r="G19325" s="889"/>
    </row>
    <row r="19326" spans="7:7" ht="10.5" customHeight="1" x14ac:dyDescent="0.2">
      <c r="G19326" s="889"/>
    </row>
    <row r="19327" spans="7:7" ht="10.5" customHeight="1" x14ac:dyDescent="0.2">
      <c r="G19327" s="889"/>
    </row>
    <row r="19328" spans="7:7" ht="10.5" customHeight="1" x14ac:dyDescent="0.2">
      <c r="G19328" s="889"/>
    </row>
    <row r="19329" spans="7:7" ht="10.5" customHeight="1" x14ac:dyDescent="0.2">
      <c r="G19329" s="889"/>
    </row>
    <row r="19330" spans="7:7" ht="10.5" customHeight="1" x14ac:dyDescent="0.2">
      <c r="G19330" s="889"/>
    </row>
    <row r="19331" spans="7:7" ht="10.5" customHeight="1" x14ac:dyDescent="0.2">
      <c r="G19331" s="889"/>
    </row>
    <row r="19332" spans="7:7" ht="10.5" customHeight="1" x14ac:dyDescent="0.2">
      <c r="G19332" s="889"/>
    </row>
    <row r="19333" spans="7:7" ht="10.5" customHeight="1" x14ac:dyDescent="0.2">
      <c r="G19333" s="889"/>
    </row>
    <row r="19334" spans="7:7" ht="10.5" customHeight="1" x14ac:dyDescent="0.2">
      <c r="G19334" s="889"/>
    </row>
    <row r="19335" spans="7:7" ht="10.5" customHeight="1" x14ac:dyDescent="0.2">
      <c r="G19335" s="889"/>
    </row>
    <row r="19336" spans="7:7" ht="10.5" customHeight="1" x14ac:dyDescent="0.2">
      <c r="G19336" s="889"/>
    </row>
    <row r="19337" spans="7:7" ht="10.5" customHeight="1" x14ac:dyDescent="0.2">
      <c r="G19337" s="889"/>
    </row>
    <row r="19338" spans="7:7" ht="10.5" customHeight="1" x14ac:dyDescent="0.2">
      <c r="G19338" s="889"/>
    </row>
    <row r="19339" spans="7:7" ht="10.5" customHeight="1" x14ac:dyDescent="0.2">
      <c r="G19339" s="889"/>
    </row>
    <row r="19340" spans="7:7" ht="10.5" customHeight="1" x14ac:dyDescent="0.2">
      <c r="G19340" s="889"/>
    </row>
    <row r="19341" spans="7:7" ht="10.5" customHeight="1" x14ac:dyDescent="0.2">
      <c r="G19341" s="889"/>
    </row>
    <row r="19342" spans="7:7" ht="10.5" customHeight="1" x14ac:dyDescent="0.2">
      <c r="G19342" s="889"/>
    </row>
    <row r="19343" spans="7:7" ht="10.5" customHeight="1" x14ac:dyDescent="0.2">
      <c r="G19343" s="889"/>
    </row>
    <row r="19344" spans="7:7" ht="10.5" customHeight="1" x14ac:dyDescent="0.2">
      <c r="G19344" s="889"/>
    </row>
    <row r="19345" spans="7:7" ht="10.5" customHeight="1" x14ac:dyDescent="0.2">
      <c r="G19345" s="889"/>
    </row>
    <row r="19346" spans="7:7" ht="10.5" customHeight="1" x14ac:dyDescent="0.2">
      <c r="G19346" s="889"/>
    </row>
    <row r="19347" spans="7:7" ht="10.5" customHeight="1" x14ac:dyDescent="0.2">
      <c r="G19347" s="889"/>
    </row>
    <row r="19348" spans="7:7" ht="10.5" customHeight="1" x14ac:dyDescent="0.2">
      <c r="G19348" s="889"/>
    </row>
    <row r="19349" spans="7:7" ht="10.5" customHeight="1" x14ac:dyDescent="0.2">
      <c r="G19349" s="889"/>
    </row>
    <row r="19350" spans="7:7" ht="10.5" customHeight="1" x14ac:dyDescent="0.2">
      <c r="G19350" s="889"/>
    </row>
    <row r="19351" spans="7:7" ht="10.5" customHeight="1" x14ac:dyDescent="0.2">
      <c r="G19351" s="889"/>
    </row>
    <row r="19352" spans="7:7" ht="10.5" customHeight="1" x14ac:dyDescent="0.2">
      <c r="G19352" s="889"/>
    </row>
    <row r="19353" spans="7:7" ht="10.5" customHeight="1" x14ac:dyDescent="0.2">
      <c r="G19353" s="889"/>
    </row>
    <row r="19354" spans="7:7" ht="10.5" customHeight="1" x14ac:dyDescent="0.2">
      <c r="G19354" s="889"/>
    </row>
    <row r="19355" spans="7:7" ht="10.5" customHeight="1" x14ac:dyDescent="0.2">
      <c r="G19355" s="889"/>
    </row>
    <row r="19356" spans="7:7" ht="10.5" customHeight="1" x14ac:dyDescent="0.2">
      <c r="G19356" s="889"/>
    </row>
    <row r="19357" spans="7:7" ht="10.5" customHeight="1" x14ac:dyDescent="0.2">
      <c r="G19357" s="889"/>
    </row>
    <row r="19358" spans="7:7" ht="10.5" customHeight="1" x14ac:dyDescent="0.2">
      <c r="G19358" s="889"/>
    </row>
    <row r="19359" spans="7:7" ht="10.5" customHeight="1" x14ac:dyDescent="0.2">
      <c r="G19359" s="889"/>
    </row>
    <row r="19360" spans="7:7" ht="10.5" customHeight="1" x14ac:dyDescent="0.2">
      <c r="G19360" s="889"/>
    </row>
    <row r="19361" spans="7:7" ht="10.5" customHeight="1" x14ac:dyDescent="0.2">
      <c r="G19361" s="889"/>
    </row>
    <row r="19362" spans="7:7" ht="10.5" customHeight="1" x14ac:dyDescent="0.2">
      <c r="G19362" s="889"/>
    </row>
    <row r="19363" spans="7:7" ht="10.5" customHeight="1" x14ac:dyDescent="0.2">
      <c r="G19363" s="889"/>
    </row>
    <row r="19364" spans="7:7" ht="10.5" customHeight="1" x14ac:dyDescent="0.2">
      <c r="G19364" s="889"/>
    </row>
    <row r="19365" spans="7:7" ht="10.5" customHeight="1" x14ac:dyDescent="0.2">
      <c r="G19365" s="889"/>
    </row>
    <row r="19366" spans="7:7" ht="10.5" customHeight="1" x14ac:dyDescent="0.2">
      <c r="G19366" s="889"/>
    </row>
    <row r="19367" spans="7:7" ht="10.5" customHeight="1" x14ac:dyDescent="0.2">
      <c r="G19367" s="889"/>
    </row>
    <row r="19368" spans="7:7" ht="10.5" customHeight="1" x14ac:dyDescent="0.2">
      <c r="G19368" s="889"/>
    </row>
    <row r="19369" spans="7:7" ht="10.5" customHeight="1" x14ac:dyDescent="0.2">
      <c r="G19369" s="889"/>
    </row>
    <row r="19370" spans="7:7" ht="10.5" customHeight="1" x14ac:dyDescent="0.2">
      <c r="G19370" s="889"/>
    </row>
    <row r="19371" spans="7:7" ht="10.5" customHeight="1" x14ac:dyDescent="0.2">
      <c r="G19371" s="889"/>
    </row>
    <row r="19372" spans="7:7" ht="10.5" customHeight="1" x14ac:dyDescent="0.2">
      <c r="G19372" s="889"/>
    </row>
    <row r="19373" spans="7:7" ht="10.5" customHeight="1" x14ac:dyDescent="0.2">
      <c r="G19373" s="889"/>
    </row>
    <row r="19374" spans="7:7" ht="10.5" customHeight="1" x14ac:dyDescent="0.2">
      <c r="G19374" s="889"/>
    </row>
    <row r="19375" spans="7:7" ht="10.5" customHeight="1" x14ac:dyDescent="0.2">
      <c r="G19375" s="889"/>
    </row>
    <row r="19376" spans="7:7" ht="10.5" customHeight="1" x14ac:dyDescent="0.2">
      <c r="G19376" s="889"/>
    </row>
    <row r="19377" spans="7:7" ht="10.5" customHeight="1" x14ac:dyDescent="0.2">
      <c r="G19377" s="889"/>
    </row>
    <row r="19378" spans="7:7" ht="10.5" customHeight="1" x14ac:dyDescent="0.2">
      <c r="G19378" s="889"/>
    </row>
    <row r="19379" spans="7:7" ht="10.5" customHeight="1" x14ac:dyDescent="0.2">
      <c r="G19379" s="889"/>
    </row>
    <row r="19380" spans="7:7" ht="10.5" customHeight="1" x14ac:dyDescent="0.2">
      <c r="G19380" s="889"/>
    </row>
    <row r="19381" spans="7:7" ht="10.5" customHeight="1" x14ac:dyDescent="0.2">
      <c r="G19381" s="889"/>
    </row>
    <row r="19382" spans="7:7" ht="10.5" customHeight="1" x14ac:dyDescent="0.2">
      <c r="G19382" s="889"/>
    </row>
    <row r="19383" spans="7:7" ht="10.5" customHeight="1" x14ac:dyDescent="0.2">
      <c r="G19383" s="889"/>
    </row>
    <row r="19384" spans="7:7" ht="10.5" customHeight="1" x14ac:dyDescent="0.2">
      <c r="G19384" s="889"/>
    </row>
    <row r="19385" spans="7:7" ht="10.5" customHeight="1" x14ac:dyDescent="0.2">
      <c r="G19385" s="889"/>
    </row>
    <row r="19386" spans="7:7" ht="10.5" customHeight="1" x14ac:dyDescent="0.2">
      <c r="G19386" s="889"/>
    </row>
    <row r="19387" spans="7:7" ht="10.5" customHeight="1" x14ac:dyDescent="0.2">
      <c r="G19387" s="889"/>
    </row>
    <row r="19388" spans="7:7" ht="10.5" customHeight="1" x14ac:dyDescent="0.2">
      <c r="G19388" s="889"/>
    </row>
    <row r="19389" spans="7:7" ht="10.5" customHeight="1" x14ac:dyDescent="0.2">
      <c r="G19389" s="889"/>
    </row>
    <row r="19390" spans="7:7" ht="10.5" customHeight="1" x14ac:dyDescent="0.2">
      <c r="G19390" s="889"/>
    </row>
    <row r="19391" spans="7:7" ht="10.5" customHeight="1" x14ac:dyDescent="0.2">
      <c r="G19391" s="889"/>
    </row>
    <row r="19392" spans="7:7" ht="10.5" customHeight="1" x14ac:dyDescent="0.2">
      <c r="G19392" s="889"/>
    </row>
    <row r="19393" spans="7:7" ht="10.5" customHeight="1" x14ac:dyDescent="0.2">
      <c r="G19393" s="889"/>
    </row>
    <row r="19394" spans="7:7" ht="10.5" customHeight="1" x14ac:dyDescent="0.2">
      <c r="G19394" s="889"/>
    </row>
    <row r="19395" spans="7:7" ht="10.5" customHeight="1" x14ac:dyDescent="0.2">
      <c r="G19395" s="889"/>
    </row>
    <row r="19396" spans="7:7" ht="10.5" customHeight="1" x14ac:dyDescent="0.2">
      <c r="G19396" s="889"/>
    </row>
    <row r="19397" spans="7:7" ht="10.5" customHeight="1" x14ac:dyDescent="0.2">
      <c r="G19397" s="889"/>
    </row>
    <row r="19398" spans="7:7" ht="10.5" customHeight="1" x14ac:dyDescent="0.2">
      <c r="G19398" s="889"/>
    </row>
    <row r="19399" spans="7:7" ht="10.5" customHeight="1" x14ac:dyDescent="0.2">
      <c r="G19399" s="889"/>
    </row>
    <row r="19400" spans="7:7" ht="10.5" customHeight="1" x14ac:dyDescent="0.2">
      <c r="G19400" s="889"/>
    </row>
    <row r="19401" spans="7:7" ht="10.5" customHeight="1" x14ac:dyDescent="0.2">
      <c r="G19401" s="889"/>
    </row>
    <row r="19402" spans="7:7" ht="10.5" customHeight="1" x14ac:dyDescent="0.2">
      <c r="G19402" s="889"/>
    </row>
    <row r="19403" spans="7:7" ht="10.5" customHeight="1" x14ac:dyDescent="0.2">
      <c r="G19403" s="889"/>
    </row>
    <row r="19404" spans="7:7" ht="10.5" customHeight="1" x14ac:dyDescent="0.2">
      <c r="G19404" s="889"/>
    </row>
    <row r="19405" spans="7:7" ht="10.5" customHeight="1" x14ac:dyDescent="0.2">
      <c r="G19405" s="889"/>
    </row>
    <row r="19406" spans="7:7" ht="10.5" customHeight="1" x14ac:dyDescent="0.2">
      <c r="G19406" s="889"/>
    </row>
    <row r="19407" spans="7:7" ht="10.5" customHeight="1" x14ac:dyDescent="0.2">
      <c r="G19407" s="889"/>
    </row>
    <row r="19408" spans="7:7" ht="10.5" customHeight="1" x14ac:dyDescent="0.2">
      <c r="G19408" s="889"/>
    </row>
    <row r="19409" spans="7:7" ht="10.5" customHeight="1" x14ac:dyDescent="0.2">
      <c r="G19409" s="889"/>
    </row>
    <row r="19410" spans="7:7" ht="10.5" customHeight="1" x14ac:dyDescent="0.2">
      <c r="G19410" s="889"/>
    </row>
    <row r="19411" spans="7:7" ht="10.5" customHeight="1" x14ac:dyDescent="0.2">
      <c r="G19411" s="889"/>
    </row>
    <row r="19412" spans="7:7" ht="10.5" customHeight="1" x14ac:dyDescent="0.2">
      <c r="G19412" s="889"/>
    </row>
    <row r="19413" spans="7:7" ht="10.5" customHeight="1" x14ac:dyDescent="0.2">
      <c r="G19413" s="889"/>
    </row>
    <row r="19414" spans="7:7" ht="10.5" customHeight="1" x14ac:dyDescent="0.2">
      <c r="G19414" s="889"/>
    </row>
    <row r="19415" spans="7:7" ht="10.5" customHeight="1" x14ac:dyDescent="0.2">
      <c r="G19415" s="889"/>
    </row>
    <row r="19416" spans="7:7" ht="10.5" customHeight="1" x14ac:dyDescent="0.2">
      <c r="G19416" s="889"/>
    </row>
    <row r="19417" spans="7:7" ht="10.5" customHeight="1" x14ac:dyDescent="0.2">
      <c r="G19417" s="889"/>
    </row>
    <row r="19418" spans="7:7" ht="10.5" customHeight="1" x14ac:dyDescent="0.2">
      <c r="G19418" s="889"/>
    </row>
    <row r="19419" spans="7:7" ht="10.5" customHeight="1" x14ac:dyDescent="0.2">
      <c r="G19419" s="889"/>
    </row>
    <row r="19420" spans="7:7" ht="10.5" customHeight="1" x14ac:dyDescent="0.2">
      <c r="G19420" s="889"/>
    </row>
    <row r="19421" spans="7:7" ht="10.5" customHeight="1" x14ac:dyDescent="0.2">
      <c r="G19421" s="889"/>
    </row>
    <row r="19422" spans="7:7" ht="10.5" customHeight="1" x14ac:dyDescent="0.2">
      <c r="G19422" s="889"/>
    </row>
    <row r="19423" spans="7:7" ht="10.5" customHeight="1" x14ac:dyDescent="0.2">
      <c r="G19423" s="889"/>
    </row>
    <row r="19424" spans="7:7" ht="10.5" customHeight="1" x14ac:dyDescent="0.2">
      <c r="G19424" s="889"/>
    </row>
    <row r="19425" spans="7:7" ht="10.5" customHeight="1" x14ac:dyDescent="0.2">
      <c r="G19425" s="889"/>
    </row>
    <row r="19426" spans="7:7" ht="10.5" customHeight="1" x14ac:dyDescent="0.2">
      <c r="G19426" s="889"/>
    </row>
    <row r="19427" spans="7:7" ht="10.5" customHeight="1" x14ac:dyDescent="0.2">
      <c r="G19427" s="889"/>
    </row>
    <row r="19428" spans="7:7" ht="10.5" customHeight="1" x14ac:dyDescent="0.2">
      <c r="G19428" s="889"/>
    </row>
    <row r="19429" spans="7:7" ht="10.5" customHeight="1" x14ac:dyDescent="0.2">
      <c r="G19429" s="889"/>
    </row>
    <row r="19430" spans="7:7" ht="10.5" customHeight="1" x14ac:dyDescent="0.2">
      <c r="G19430" s="889"/>
    </row>
    <row r="19431" spans="7:7" ht="10.5" customHeight="1" x14ac:dyDescent="0.2">
      <c r="G19431" s="889"/>
    </row>
    <row r="19432" spans="7:7" ht="10.5" customHeight="1" x14ac:dyDescent="0.2">
      <c r="G19432" s="889"/>
    </row>
    <row r="19433" spans="7:7" ht="10.5" customHeight="1" x14ac:dyDescent="0.2">
      <c r="G19433" s="889"/>
    </row>
    <row r="19434" spans="7:7" ht="10.5" customHeight="1" x14ac:dyDescent="0.2">
      <c r="G19434" s="889"/>
    </row>
    <row r="19435" spans="7:7" ht="10.5" customHeight="1" x14ac:dyDescent="0.2">
      <c r="G19435" s="889"/>
    </row>
    <row r="19436" spans="7:7" ht="10.5" customHeight="1" x14ac:dyDescent="0.2">
      <c r="G19436" s="889"/>
    </row>
    <row r="19437" spans="7:7" ht="10.5" customHeight="1" x14ac:dyDescent="0.2">
      <c r="G19437" s="889"/>
    </row>
    <row r="19438" spans="7:7" ht="10.5" customHeight="1" x14ac:dyDescent="0.2">
      <c r="G19438" s="889"/>
    </row>
    <row r="19439" spans="7:7" ht="10.5" customHeight="1" x14ac:dyDescent="0.2">
      <c r="G19439" s="889"/>
    </row>
    <row r="19440" spans="7:7" ht="10.5" customHeight="1" x14ac:dyDescent="0.2">
      <c r="G19440" s="889"/>
    </row>
    <row r="19441" spans="7:7" ht="10.5" customHeight="1" x14ac:dyDescent="0.2">
      <c r="G19441" s="889"/>
    </row>
    <row r="19442" spans="7:7" ht="10.5" customHeight="1" x14ac:dyDescent="0.2">
      <c r="G19442" s="889"/>
    </row>
    <row r="19443" spans="7:7" ht="10.5" customHeight="1" x14ac:dyDescent="0.2">
      <c r="G19443" s="889"/>
    </row>
    <row r="19444" spans="7:7" ht="10.5" customHeight="1" x14ac:dyDescent="0.2">
      <c r="G19444" s="889"/>
    </row>
    <row r="19445" spans="7:7" ht="10.5" customHeight="1" x14ac:dyDescent="0.2">
      <c r="G19445" s="889"/>
    </row>
    <row r="19446" spans="7:7" ht="10.5" customHeight="1" x14ac:dyDescent="0.2">
      <c r="G19446" s="889"/>
    </row>
    <row r="19447" spans="7:7" ht="10.5" customHeight="1" x14ac:dyDescent="0.2">
      <c r="G19447" s="889"/>
    </row>
    <row r="19448" spans="7:7" ht="10.5" customHeight="1" x14ac:dyDescent="0.2">
      <c r="G19448" s="889"/>
    </row>
    <row r="19449" spans="7:7" ht="10.5" customHeight="1" x14ac:dyDescent="0.2">
      <c r="G19449" s="889"/>
    </row>
    <row r="19450" spans="7:7" ht="10.5" customHeight="1" x14ac:dyDescent="0.2">
      <c r="G19450" s="889"/>
    </row>
    <row r="19451" spans="7:7" ht="10.5" customHeight="1" x14ac:dyDescent="0.2">
      <c r="G19451" s="889"/>
    </row>
    <row r="19452" spans="7:7" ht="10.5" customHeight="1" x14ac:dyDescent="0.2">
      <c r="G19452" s="889"/>
    </row>
    <row r="19453" spans="7:7" ht="10.5" customHeight="1" x14ac:dyDescent="0.2">
      <c r="G19453" s="889"/>
    </row>
    <row r="19454" spans="7:7" ht="10.5" customHeight="1" x14ac:dyDescent="0.2">
      <c r="G19454" s="889"/>
    </row>
    <row r="19455" spans="7:7" ht="10.5" customHeight="1" x14ac:dyDescent="0.2">
      <c r="G19455" s="889"/>
    </row>
    <row r="19456" spans="7:7" ht="10.5" customHeight="1" x14ac:dyDescent="0.2">
      <c r="G19456" s="889"/>
    </row>
    <row r="19457" spans="7:7" ht="10.5" customHeight="1" x14ac:dyDescent="0.2">
      <c r="G19457" s="889"/>
    </row>
    <row r="19458" spans="7:7" ht="10.5" customHeight="1" x14ac:dyDescent="0.2">
      <c r="G19458" s="889"/>
    </row>
    <row r="19459" spans="7:7" ht="10.5" customHeight="1" x14ac:dyDescent="0.2">
      <c r="G19459" s="889"/>
    </row>
    <row r="19460" spans="7:7" ht="10.5" customHeight="1" x14ac:dyDescent="0.2">
      <c r="G19460" s="889"/>
    </row>
    <row r="19461" spans="7:7" ht="10.5" customHeight="1" x14ac:dyDescent="0.2">
      <c r="G19461" s="889"/>
    </row>
    <row r="19462" spans="7:7" ht="10.5" customHeight="1" x14ac:dyDescent="0.2">
      <c r="G19462" s="889"/>
    </row>
    <row r="19463" spans="7:7" ht="10.5" customHeight="1" x14ac:dyDescent="0.2">
      <c r="G19463" s="889"/>
    </row>
    <row r="19464" spans="7:7" ht="10.5" customHeight="1" x14ac:dyDescent="0.2">
      <c r="G19464" s="889"/>
    </row>
    <row r="19465" spans="7:7" ht="10.5" customHeight="1" x14ac:dyDescent="0.2">
      <c r="G19465" s="889"/>
    </row>
    <row r="19466" spans="7:7" ht="10.5" customHeight="1" x14ac:dyDescent="0.2">
      <c r="G19466" s="889"/>
    </row>
    <row r="19467" spans="7:7" ht="10.5" customHeight="1" x14ac:dyDescent="0.2">
      <c r="G19467" s="889"/>
    </row>
    <row r="19468" spans="7:7" ht="10.5" customHeight="1" x14ac:dyDescent="0.2">
      <c r="G19468" s="889"/>
    </row>
    <row r="19469" spans="7:7" ht="10.5" customHeight="1" x14ac:dyDescent="0.2">
      <c r="G19469" s="889"/>
    </row>
    <row r="19470" spans="7:7" ht="10.5" customHeight="1" x14ac:dyDescent="0.2">
      <c r="G19470" s="889"/>
    </row>
    <row r="19471" spans="7:7" ht="10.5" customHeight="1" x14ac:dyDescent="0.2">
      <c r="G19471" s="889"/>
    </row>
    <row r="19472" spans="7:7" ht="10.5" customHeight="1" x14ac:dyDescent="0.2">
      <c r="G19472" s="889"/>
    </row>
    <row r="19473" spans="7:7" ht="10.5" customHeight="1" x14ac:dyDescent="0.2">
      <c r="G19473" s="889"/>
    </row>
    <row r="19474" spans="7:7" ht="10.5" customHeight="1" x14ac:dyDescent="0.2">
      <c r="G19474" s="889"/>
    </row>
    <row r="19475" spans="7:7" ht="10.5" customHeight="1" x14ac:dyDescent="0.2">
      <c r="G19475" s="889"/>
    </row>
    <row r="19476" spans="7:7" ht="10.5" customHeight="1" x14ac:dyDescent="0.2">
      <c r="G19476" s="889"/>
    </row>
    <row r="19477" spans="7:7" ht="10.5" customHeight="1" x14ac:dyDescent="0.2">
      <c r="G19477" s="889"/>
    </row>
    <row r="19478" spans="7:7" ht="10.5" customHeight="1" x14ac:dyDescent="0.2">
      <c r="G19478" s="889"/>
    </row>
    <row r="19479" spans="7:7" ht="10.5" customHeight="1" x14ac:dyDescent="0.2">
      <c r="G19479" s="889"/>
    </row>
    <row r="19480" spans="7:7" ht="10.5" customHeight="1" x14ac:dyDescent="0.2">
      <c r="G19480" s="889"/>
    </row>
    <row r="19481" spans="7:7" ht="10.5" customHeight="1" x14ac:dyDescent="0.2">
      <c r="G19481" s="889"/>
    </row>
    <row r="19482" spans="7:7" ht="10.5" customHeight="1" x14ac:dyDescent="0.2">
      <c r="G19482" s="889"/>
    </row>
    <row r="19483" spans="7:7" ht="10.5" customHeight="1" x14ac:dyDescent="0.2">
      <c r="G19483" s="889"/>
    </row>
    <row r="19484" spans="7:7" ht="10.5" customHeight="1" x14ac:dyDescent="0.2">
      <c r="G19484" s="889"/>
    </row>
    <row r="19485" spans="7:7" ht="10.5" customHeight="1" x14ac:dyDescent="0.2">
      <c r="G19485" s="889"/>
    </row>
    <row r="19486" spans="7:7" ht="10.5" customHeight="1" x14ac:dyDescent="0.2">
      <c r="G19486" s="889"/>
    </row>
    <row r="19487" spans="7:7" ht="10.5" customHeight="1" x14ac:dyDescent="0.2">
      <c r="G19487" s="889"/>
    </row>
    <row r="19488" spans="7:7" ht="10.5" customHeight="1" x14ac:dyDescent="0.2">
      <c r="G19488" s="889"/>
    </row>
    <row r="19489" spans="7:7" ht="10.5" customHeight="1" x14ac:dyDescent="0.2">
      <c r="G19489" s="889"/>
    </row>
    <row r="19490" spans="7:7" ht="10.5" customHeight="1" x14ac:dyDescent="0.2">
      <c r="G19490" s="889"/>
    </row>
    <row r="19491" spans="7:7" ht="10.5" customHeight="1" x14ac:dyDescent="0.2">
      <c r="G19491" s="889"/>
    </row>
    <row r="19492" spans="7:7" ht="10.5" customHeight="1" x14ac:dyDescent="0.2">
      <c r="G19492" s="889"/>
    </row>
    <row r="19493" spans="7:7" ht="10.5" customHeight="1" x14ac:dyDescent="0.2">
      <c r="G19493" s="889"/>
    </row>
    <row r="19494" spans="7:7" ht="10.5" customHeight="1" x14ac:dyDescent="0.2">
      <c r="G19494" s="889"/>
    </row>
    <row r="19495" spans="7:7" ht="10.5" customHeight="1" x14ac:dyDescent="0.2">
      <c r="G19495" s="889"/>
    </row>
    <row r="19496" spans="7:7" ht="10.5" customHeight="1" x14ac:dyDescent="0.2">
      <c r="G19496" s="889"/>
    </row>
    <row r="19497" spans="7:7" ht="10.5" customHeight="1" x14ac:dyDescent="0.2">
      <c r="G19497" s="889"/>
    </row>
    <row r="19498" spans="7:7" ht="10.5" customHeight="1" x14ac:dyDescent="0.2">
      <c r="G19498" s="889"/>
    </row>
    <row r="19499" spans="7:7" ht="10.5" customHeight="1" x14ac:dyDescent="0.2">
      <c r="G19499" s="889"/>
    </row>
    <row r="19500" spans="7:7" ht="10.5" customHeight="1" x14ac:dyDescent="0.2">
      <c r="G19500" s="889"/>
    </row>
    <row r="19501" spans="7:7" ht="10.5" customHeight="1" x14ac:dyDescent="0.2">
      <c r="G19501" s="889"/>
    </row>
    <row r="19502" spans="7:7" ht="10.5" customHeight="1" x14ac:dyDescent="0.2">
      <c r="G19502" s="889"/>
    </row>
    <row r="19503" spans="7:7" ht="10.5" customHeight="1" x14ac:dyDescent="0.2">
      <c r="G19503" s="889"/>
    </row>
    <row r="19504" spans="7:7" ht="10.5" customHeight="1" x14ac:dyDescent="0.2">
      <c r="G19504" s="889"/>
    </row>
    <row r="19505" spans="7:7" ht="10.5" customHeight="1" x14ac:dyDescent="0.2">
      <c r="G19505" s="889"/>
    </row>
    <row r="19506" spans="7:7" ht="10.5" customHeight="1" x14ac:dyDescent="0.2">
      <c r="G19506" s="889"/>
    </row>
    <row r="19507" spans="7:7" ht="10.5" customHeight="1" x14ac:dyDescent="0.2">
      <c r="G19507" s="889"/>
    </row>
    <row r="19508" spans="7:7" ht="10.5" customHeight="1" x14ac:dyDescent="0.2">
      <c r="G19508" s="889"/>
    </row>
    <row r="19509" spans="7:7" ht="10.5" customHeight="1" x14ac:dyDescent="0.2">
      <c r="G19509" s="889"/>
    </row>
    <row r="19510" spans="7:7" ht="10.5" customHeight="1" x14ac:dyDescent="0.2">
      <c r="G19510" s="889"/>
    </row>
    <row r="19511" spans="7:7" ht="10.5" customHeight="1" x14ac:dyDescent="0.2">
      <c r="G19511" s="889"/>
    </row>
    <row r="19512" spans="7:7" ht="10.5" customHeight="1" x14ac:dyDescent="0.2">
      <c r="G19512" s="889"/>
    </row>
    <row r="19513" spans="7:7" ht="10.5" customHeight="1" x14ac:dyDescent="0.2">
      <c r="G19513" s="889"/>
    </row>
    <row r="19514" spans="7:7" ht="10.5" customHeight="1" x14ac:dyDescent="0.2">
      <c r="G19514" s="889"/>
    </row>
    <row r="19515" spans="7:7" ht="10.5" customHeight="1" x14ac:dyDescent="0.2">
      <c r="G19515" s="889"/>
    </row>
    <row r="19516" spans="7:7" ht="10.5" customHeight="1" x14ac:dyDescent="0.2">
      <c r="G19516" s="889"/>
    </row>
    <row r="19517" spans="7:7" ht="10.5" customHeight="1" x14ac:dyDescent="0.2">
      <c r="G19517" s="889"/>
    </row>
    <row r="19518" spans="7:7" ht="10.5" customHeight="1" x14ac:dyDescent="0.2">
      <c r="G19518" s="889"/>
    </row>
    <row r="19519" spans="7:7" ht="10.5" customHeight="1" x14ac:dyDescent="0.2">
      <c r="G19519" s="889"/>
    </row>
    <row r="19520" spans="7:7" ht="10.5" customHeight="1" x14ac:dyDescent="0.2">
      <c r="G19520" s="889"/>
    </row>
    <row r="19521" spans="7:7" ht="10.5" customHeight="1" x14ac:dyDescent="0.2">
      <c r="G19521" s="889"/>
    </row>
    <row r="19522" spans="7:7" ht="10.5" customHeight="1" x14ac:dyDescent="0.2">
      <c r="G19522" s="889"/>
    </row>
    <row r="19523" spans="7:7" ht="10.5" customHeight="1" x14ac:dyDescent="0.2">
      <c r="G19523" s="889"/>
    </row>
    <row r="19524" spans="7:7" ht="10.5" customHeight="1" x14ac:dyDescent="0.2">
      <c r="G19524" s="889"/>
    </row>
    <row r="19525" spans="7:7" ht="10.5" customHeight="1" x14ac:dyDescent="0.2">
      <c r="G19525" s="889"/>
    </row>
    <row r="19526" spans="7:7" ht="10.5" customHeight="1" x14ac:dyDescent="0.2">
      <c r="G19526" s="889"/>
    </row>
    <row r="19527" spans="7:7" ht="10.5" customHeight="1" x14ac:dyDescent="0.2">
      <c r="G19527" s="889"/>
    </row>
    <row r="19528" spans="7:7" ht="10.5" customHeight="1" x14ac:dyDescent="0.2">
      <c r="G19528" s="889"/>
    </row>
    <row r="19529" spans="7:7" ht="10.5" customHeight="1" x14ac:dyDescent="0.2">
      <c r="G19529" s="889"/>
    </row>
    <row r="19530" spans="7:7" ht="10.5" customHeight="1" x14ac:dyDescent="0.2">
      <c r="G19530" s="889"/>
    </row>
    <row r="19531" spans="7:7" ht="10.5" customHeight="1" x14ac:dyDescent="0.2">
      <c r="G19531" s="889"/>
    </row>
    <row r="19532" spans="7:7" ht="10.5" customHeight="1" x14ac:dyDescent="0.2">
      <c r="G19532" s="889"/>
    </row>
    <row r="19533" spans="7:7" ht="10.5" customHeight="1" x14ac:dyDescent="0.2">
      <c r="G19533" s="889"/>
    </row>
    <row r="19534" spans="7:7" ht="10.5" customHeight="1" x14ac:dyDescent="0.2">
      <c r="G19534" s="889"/>
    </row>
    <row r="19535" spans="7:7" ht="10.5" customHeight="1" x14ac:dyDescent="0.2">
      <c r="G19535" s="889"/>
    </row>
    <row r="19536" spans="7:7" ht="10.5" customHeight="1" x14ac:dyDescent="0.2">
      <c r="G19536" s="889"/>
    </row>
    <row r="19537" spans="7:7" ht="10.5" customHeight="1" x14ac:dyDescent="0.2">
      <c r="G19537" s="889"/>
    </row>
    <row r="19538" spans="7:7" ht="10.5" customHeight="1" x14ac:dyDescent="0.2">
      <c r="G19538" s="889"/>
    </row>
    <row r="19539" spans="7:7" ht="10.5" customHeight="1" x14ac:dyDescent="0.2">
      <c r="G19539" s="889"/>
    </row>
    <row r="19540" spans="7:7" ht="10.5" customHeight="1" x14ac:dyDescent="0.2">
      <c r="G19540" s="889"/>
    </row>
    <row r="19541" spans="7:7" ht="10.5" customHeight="1" x14ac:dyDescent="0.2">
      <c r="G19541" s="889"/>
    </row>
    <row r="19542" spans="7:7" ht="10.5" customHeight="1" x14ac:dyDescent="0.2">
      <c r="G19542" s="889"/>
    </row>
    <row r="19543" spans="7:7" ht="10.5" customHeight="1" x14ac:dyDescent="0.2">
      <c r="G19543" s="889"/>
    </row>
    <row r="19544" spans="7:7" ht="10.5" customHeight="1" x14ac:dyDescent="0.2">
      <c r="G19544" s="889"/>
    </row>
    <row r="19545" spans="7:7" ht="10.5" customHeight="1" x14ac:dyDescent="0.2">
      <c r="G19545" s="889"/>
    </row>
    <row r="19546" spans="7:7" ht="10.5" customHeight="1" x14ac:dyDescent="0.2">
      <c r="G19546" s="889"/>
    </row>
    <row r="19547" spans="7:7" ht="10.5" customHeight="1" x14ac:dyDescent="0.2">
      <c r="G19547" s="889"/>
    </row>
    <row r="19548" spans="7:7" ht="10.5" customHeight="1" x14ac:dyDescent="0.2">
      <c r="G19548" s="889"/>
    </row>
    <row r="19549" spans="7:7" ht="10.5" customHeight="1" x14ac:dyDescent="0.2">
      <c r="G19549" s="889"/>
    </row>
    <row r="19550" spans="7:7" ht="10.5" customHeight="1" x14ac:dyDescent="0.2">
      <c r="G19550" s="889"/>
    </row>
    <row r="19551" spans="7:7" ht="10.5" customHeight="1" x14ac:dyDescent="0.2">
      <c r="G19551" s="889"/>
    </row>
    <row r="19552" spans="7:7" ht="10.5" customHeight="1" x14ac:dyDescent="0.2">
      <c r="G19552" s="889"/>
    </row>
    <row r="19553" spans="7:7" ht="10.5" customHeight="1" x14ac:dyDescent="0.2">
      <c r="G19553" s="889"/>
    </row>
    <row r="19554" spans="7:7" ht="10.5" customHeight="1" x14ac:dyDescent="0.2">
      <c r="G19554" s="889"/>
    </row>
    <row r="19555" spans="7:7" ht="10.5" customHeight="1" x14ac:dyDescent="0.2">
      <c r="G19555" s="889"/>
    </row>
    <row r="19556" spans="7:7" ht="10.5" customHeight="1" x14ac:dyDescent="0.2">
      <c r="G19556" s="889"/>
    </row>
    <row r="19557" spans="7:7" ht="10.5" customHeight="1" x14ac:dyDescent="0.2">
      <c r="G19557" s="889"/>
    </row>
    <row r="19558" spans="7:7" ht="10.5" customHeight="1" x14ac:dyDescent="0.2">
      <c r="G19558" s="889"/>
    </row>
    <row r="19559" spans="7:7" ht="10.5" customHeight="1" x14ac:dyDescent="0.2">
      <c r="G19559" s="889"/>
    </row>
    <row r="19560" spans="7:7" ht="10.5" customHeight="1" x14ac:dyDescent="0.2">
      <c r="G19560" s="889"/>
    </row>
    <row r="19561" spans="7:7" ht="10.5" customHeight="1" x14ac:dyDescent="0.2">
      <c r="G19561" s="889"/>
    </row>
    <row r="19562" spans="7:7" ht="10.5" customHeight="1" x14ac:dyDescent="0.2">
      <c r="G19562" s="889"/>
    </row>
    <row r="19563" spans="7:7" ht="10.5" customHeight="1" x14ac:dyDescent="0.2">
      <c r="G19563" s="889"/>
    </row>
    <row r="19564" spans="7:7" ht="10.5" customHeight="1" x14ac:dyDescent="0.2">
      <c r="G19564" s="889"/>
    </row>
    <row r="19565" spans="7:7" ht="10.5" customHeight="1" x14ac:dyDescent="0.2">
      <c r="G19565" s="889"/>
    </row>
    <row r="19566" spans="7:7" ht="10.5" customHeight="1" x14ac:dyDescent="0.2">
      <c r="G19566" s="889"/>
    </row>
    <row r="19567" spans="7:7" ht="10.5" customHeight="1" x14ac:dyDescent="0.2">
      <c r="G19567" s="889"/>
    </row>
    <row r="19568" spans="7:7" ht="10.5" customHeight="1" x14ac:dyDescent="0.2">
      <c r="G19568" s="889"/>
    </row>
    <row r="19569" spans="7:7" ht="10.5" customHeight="1" x14ac:dyDescent="0.2">
      <c r="G19569" s="889"/>
    </row>
    <row r="19570" spans="7:7" ht="10.5" customHeight="1" x14ac:dyDescent="0.2">
      <c r="G19570" s="889"/>
    </row>
    <row r="19571" spans="7:7" ht="10.5" customHeight="1" x14ac:dyDescent="0.2">
      <c r="G19571" s="889"/>
    </row>
    <row r="19572" spans="7:7" ht="10.5" customHeight="1" x14ac:dyDescent="0.2">
      <c r="G19572" s="889"/>
    </row>
    <row r="19573" spans="7:7" ht="10.5" customHeight="1" x14ac:dyDescent="0.2">
      <c r="G19573" s="889"/>
    </row>
    <row r="19574" spans="7:7" ht="10.5" customHeight="1" x14ac:dyDescent="0.2">
      <c r="G19574" s="889"/>
    </row>
    <row r="19575" spans="7:7" ht="10.5" customHeight="1" x14ac:dyDescent="0.2">
      <c r="G19575" s="889"/>
    </row>
    <row r="19576" spans="7:7" ht="10.5" customHeight="1" x14ac:dyDescent="0.2">
      <c r="G19576" s="889"/>
    </row>
    <row r="19577" spans="7:7" ht="10.5" customHeight="1" x14ac:dyDescent="0.2">
      <c r="G19577" s="889"/>
    </row>
    <row r="19578" spans="7:7" ht="10.5" customHeight="1" x14ac:dyDescent="0.2">
      <c r="G19578" s="889"/>
    </row>
    <row r="19579" spans="7:7" ht="10.5" customHeight="1" x14ac:dyDescent="0.2">
      <c r="G19579" s="889"/>
    </row>
    <row r="19580" spans="7:7" ht="10.5" customHeight="1" x14ac:dyDescent="0.2">
      <c r="G19580" s="889"/>
    </row>
    <row r="19581" spans="7:7" ht="10.5" customHeight="1" x14ac:dyDescent="0.2">
      <c r="G19581" s="889"/>
    </row>
    <row r="19582" spans="7:7" ht="10.5" customHeight="1" x14ac:dyDescent="0.2">
      <c r="G19582" s="889"/>
    </row>
    <row r="19583" spans="7:7" ht="10.5" customHeight="1" x14ac:dyDescent="0.2">
      <c r="G19583" s="889"/>
    </row>
    <row r="19584" spans="7:7" ht="10.5" customHeight="1" x14ac:dyDescent="0.2">
      <c r="G19584" s="889"/>
    </row>
    <row r="19585" spans="7:7" ht="10.5" customHeight="1" x14ac:dyDescent="0.2">
      <c r="G19585" s="889"/>
    </row>
    <row r="19586" spans="7:7" ht="10.5" customHeight="1" x14ac:dyDescent="0.2">
      <c r="G19586" s="889"/>
    </row>
    <row r="19587" spans="7:7" ht="10.5" customHeight="1" x14ac:dyDescent="0.2">
      <c r="G19587" s="889"/>
    </row>
    <row r="19588" spans="7:7" ht="10.5" customHeight="1" x14ac:dyDescent="0.2">
      <c r="G19588" s="889"/>
    </row>
    <row r="19589" spans="7:7" ht="10.5" customHeight="1" x14ac:dyDescent="0.2">
      <c r="G19589" s="889"/>
    </row>
    <row r="19590" spans="7:7" ht="10.5" customHeight="1" x14ac:dyDescent="0.2">
      <c r="G19590" s="889"/>
    </row>
    <row r="19591" spans="7:7" ht="10.5" customHeight="1" x14ac:dyDescent="0.2">
      <c r="G19591" s="889"/>
    </row>
    <row r="19592" spans="7:7" ht="10.5" customHeight="1" x14ac:dyDescent="0.2">
      <c r="G19592" s="889"/>
    </row>
    <row r="19593" spans="7:7" ht="10.5" customHeight="1" x14ac:dyDescent="0.2">
      <c r="G19593" s="889"/>
    </row>
    <row r="19594" spans="7:7" ht="10.5" customHeight="1" x14ac:dyDescent="0.2">
      <c r="G19594" s="889"/>
    </row>
    <row r="19595" spans="7:7" ht="10.5" customHeight="1" x14ac:dyDescent="0.2">
      <c r="G19595" s="889"/>
    </row>
    <row r="19596" spans="7:7" ht="10.5" customHeight="1" x14ac:dyDescent="0.2">
      <c r="G19596" s="889"/>
    </row>
    <row r="19597" spans="7:7" ht="10.5" customHeight="1" x14ac:dyDescent="0.2">
      <c r="G19597" s="889"/>
    </row>
    <row r="19598" spans="7:7" ht="10.5" customHeight="1" x14ac:dyDescent="0.2">
      <c r="G19598" s="889"/>
    </row>
    <row r="19599" spans="7:7" ht="10.5" customHeight="1" x14ac:dyDescent="0.2">
      <c r="G19599" s="889"/>
    </row>
    <row r="19600" spans="7:7" ht="10.5" customHeight="1" x14ac:dyDescent="0.2">
      <c r="G19600" s="889"/>
    </row>
    <row r="19601" spans="7:7" ht="10.5" customHeight="1" x14ac:dyDescent="0.2">
      <c r="G19601" s="889"/>
    </row>
    <row r="19602" spans="7:7" ht="10.5" customHeight="1" x14ac:dyDescent="0.2">
      <c r="G19602" s="889"/>
    </row>
    <row r="19603" spans="7:7" ht="10.5" customHeight="1" x14ac:dyDescent="0.2">
      <c r="G19603" s="889"/>
    </row>
    <row r="19604" spans="7:7" ht="10.5" customHeight="1" x14ac:dyDescent="0.2">
      <c r="G19604" s="889"/>
    </row>
    <row r="19605" spans="7:7" ht="10.5" customHeight="1" x14ac:dyDescent="0.2">
      <c r="G19605" s="889"/>
    </row>
    <row r="19606" spans="7:7" ht="10.5" customHeight="1" x14ac:dyDescent="0.2">
      <c r="G19606" s="889"/>
    </row>
    <row r="19607" spans="7:7" ht="10.5" customHeight="1" x14ac:dyDescent="0.2">
      <c r="G19607" s="889"/>
    </row>
    <row r="19608" spans="7:7" ht="10.5" customHeight="1" x14ac:dyDescent="0.2">
      <c r="G19608" s="889"/>
    </row>
    <row r="19609" spans="7:7" ht="10.5" customHeight="1" x14ac:dyDescent="0.2">
      <c r="G19609" s="889"/>
    </row>
    <row r="19610" spans="7:7" ht="10.5" customHeight="1" x14ac:dyDescent="0.2">
      <c r="G19610" s="889"/>
    </row>
    <row r="19611" spans="7:7" ht="10.5" customHeight="1" x14ac:dyDescent="0.2">
      <c r="G19611" s="889"/>
    </row>
    <row r="19612" spans="7:7" ht="10.5" customHeight="1" x14ac:dyDescent="0.2">
      <c r="G19612" s="889"/>
    </row>
    <row r="19613" spans="7:7" ht="10.5" customHeight="1" x14ac:dyDescent="0.2">
      <c r="G19613" s="889"/>
    </row>
    <row r="19614" spans="7:7" ht="10.5" customHeight="1" x14ac:dyDescent="0.2">
      <c r="G19614" s="889"/>
    </row>
    <row r="19615" spans="7:7" ht="10.5" customHeight="1" x14ac:dyDescent="0.2">
      <c r="G19615" s="889"/>
    </row>
    <row r="19616" spans="7:7" ht="10.5" customHeight="1" x14ac:dyDescent="0.2">
      <c r="G19616" s="889"/>
    </row>
    <row r="19617" spans="7:7" ht="10.5" customHeight="1" x14ac:dyDescent="0.2">
      <c r="G19617" s="889"/>
    </row>
    <row r="19618" spans="7:7" ht="10.5" customHeight="1" x14ac:dyDescent="0.2">
      <c r="G19618" s="889"/>
    </row>
    <row r="19619" spans="7:7" ht="10.5" customHeight="1" x14ac:dyDescent="0.2">
      <c r="G19619" s="889"/>
    </row>
    <row r="19620" spans="7:7" ht="10.5" customHeight="1" x14ac:dyDescent="0.2">
      <c r="G19620" s="889"/>
    </row>
    <row r="19621" spans="7:7" ht="10.5" customHeight="1" x14ac:dyDescent="0.2">
      <c r="G19621" s="889"/>
    </row>
    <row r="19622" spans="7:7" ht="10.5" customHeight="1" x14ac:dyDescent="0.2">
      <c r="G19622" s="889"/>
    </row>
    <row r="19623" spans="7:7" ht="10.5" customHeight="1" x14ac:dyDescent="0.2">
      <c r="G19623" s="889"/>
    </row>
    <row r="19624" spans="7:7" ht="10.5" customHeight="1" x14ac:dyDescent="0.2">
      <c r="G19624" s="889"/>
    </row>
    <row r="19625" spans="7:7" ht="10.5" customHeight="1" x14ac:dyDescent="0.2">
      <c r="G19625" s="889"/>
    </row>
    <row r="19626" spans="7:7" ht="10.5" customHeight="1" x14ac:dyDescent="0.2">
      <c r="G19626" s="889"/>
    </row>
    <row r="19627" spans="7:7" ht="10.5" customHeight="1" x14ac:dyDescent="0.2">
      <c r="G19627" s="889"/>
    </row>
    <row r="19628" spans="7:7" ht="10.5" customHeight="1" x14ac:dyDescent="0.2">
      <c r="G19628" s="889"/>
    </row>
    <row r="19629" spans="7:7" ht="10.5" customHeight="1" x14ac:dyDescent="0.2">
      <c r="G19629" s="889"/>
    </row>
    <row r="19630" spans="7:7" ht="10.5" customHeight="1" x14ac:dyDescent="0.2">
      <c r="G19630" s="889"/>
    </row>
    <row r="19631" spans="7:7" ht="10.5" customHeight="1" x14ac:dyDescent="0.2">
      <c r="G19631" s="889"/>
    </row>
    <row r="19632" spans="7:7" ht="10.5" customHeight="1" x14ac:dyDescent="0.2">
      <c r="G19632" s="889"/>
    </row>
    <row r="19633" spans="7:7" ht="10.5" customHeight="1" x14ac:dyDescent="0.2">
      <c r="G19633" s="889"/>
    </row>
    <row r="19634" spans="7:7" ht="10.5" customHeight="1" x14ac:dyDescent="0.2">
      <c r="G19634" s="889"/>
    </row>
    <row r="19635" spans="7:7" ht="10.5" customHeight="1" x14ac:dyDescent="0.2">
      <c r="G19635" s="889"/>
    </row>
    <row r="19636" spans="7:7" ht="10.5" customHeight="1" x14ac:dyDescent="0.2">
      <c r="G19636" s="889"/>
    </row>
    <row r="19637" spans="7:7" ht="10.5" customHeight="1" x14ac:dyDescent="0.2">
      <c r="G19637" s="889"/>
    </row>
    <row r="19638" spans="7:7" ht="10.5" customHeight="1" x14ac:dyDescent="0.2">
      <c r="G19638" s="889"/>
    </row>
    <row r="19639" spans="7:7" ht="10.5" customHeight="1" x14ac:dyDescent="0.2">
      <c r="G19639" s="889"/>
    </row>
    <row r="19640" spans="7:7" ht="10.5" customHeight="1" x14ac:dyDescent="0.2">
      <c r="G19640" s="889"/>
    </row>
    <row r="19641" spans="7:7" ht="10.5" customHeight="1" x14ac:dyDescent="0.2">
      <c r="G19641" s="889"/>
    </row>
    <row r="19642" spans="7:7" ht="10.5" customHeight="1" x14ac:dyDescent="0.2">
      <c r="G19642" s="889"/>
    </row>
    <row r="19643" spans="7:7" ht="10.5" customHeight="1" x14ac:dyDescent="0.2">
      <c r="G19643" s="889"/>
    </row>
    <row r="19644" spans="7:7" ht="10.5" customHeight="1" x14ac:dyDescent="0.2">
      <c r="G19644" s="889"/>
    </row>
    <row r="19645" spans="7:7" ht="10.5" customHeight="1" x14ac:dyDescent="0.2">
      <c r="G19645" s="889"/>
    </row>
    <row r="19646" spans="7:7" ht="10.5" customHeight="1" x14ac:dyDescent="0.2">
      <c r="G19646" s="889"/>
    </row>
    <row r="19647" spans="7:7" ht="10.5" customHeight="1" x14ac:dyDescent="0.2">
      <c r="G19647" s="889"/>
    </row>
    <row r="19648" spans="7:7" ht="10.5" customHeight="1" x14ac:dyDescent="0.2">
      <c r="G19648" s="889"/>
    </row>
    <row r="19649" spans="7:7" ht="10.5" customHeight="1" x14ac:dyDescent="0.2">
      <c r="G19649" s="889"/>
    </row>
    <row r="19650" spans="7:7" ht="10.5" customHeight="1" x14ac:dyDescent="0.2">
      <c r="G19650" s="889"/>
    </row>
    <row r="19651" spans="7:7" ht="10.5" customHeight="1" x14ac:dyDescent="0.2">
      <c r="G19651" s="889"/>
    </row>
    <row r="19652" spans="7:7" ht="10.5" customHeight="1" x14ac:dyDescent="0.2">
      <c r="G19652" s="889"/>
    </row>
    <row r="19653" spans="7:7" ht="10.5" customHeight="1" x14ac:dyDescent="0.2">
      <c r="G19653" s="889"/>
    </row>
    <row r="19654" spans="7:7" ht="10.5" customHeight="1" x14ac:dyDescent="0.2">
      <c r="G19654" s="889"/>
    </row>
    <row r="19655" spans="7:7" ht="10.5" customHeight="1" x14ac:dyDescent="0.2">
      <c r="G19655" s="889"/>
    </row>
    <row r="19656" spans="7:7" ht="10.5" customHeight="1" x14ac:dyDescent="0.2">
      <c r="G19656" s="889"/>
    </row>
    <row r="19657" spans="7:7" ht="10.5" customHeight="1" x14ac:dyDescent="0.2">
      <c r="G19657" s="889"/>
    </row>
    <row r="19658" spans="7:7" ht="10.5" customHeight="1" x14ac:dyDescent="0.2">
      <c r="G19658" s="889"/>
    </row>
    <row r="19659" spans="7:7" ht="10.5" customHeight="1" x14ac:dyDescent="0.2">
      <c r="G19659" s="889"/>
    </row>
    <row r="19660" spans="7:7" ht="10.5" customHeight="1" x14ac:dyDescent="0.2">
      <c r="G19660" s="889"/>
    </row>
    <row r="19661" spans="7:7" ht="10.5" customHeight="1" x14ac:dyDescent="0.2">
      <c r="G19661" s="889"/>
    </row>
    <row r="19662" spans="7:7" ht="10.5" customHeight="1" x14ac:dyDescent="0.2">
      <c r="G19662" s="889"/>
    </row>
    <row r="19663" spans="7:7" ht="10.5" customHeight="1" x14ac:dyDescent="0.2">
      <c r="G19663" s="889"/>
    </row>
    <row r="19664" spans="7:7" ht="10.5" customHeight="1" x14ac:dyDescent="0.2">
      <c r="G19664" s="889"/>
    </row>
    <row r="19665" spans="7:7" ht="10.5" customHeight="1" x14ac:dyDescent="0.2">
      <c r="G19665" s="889"/>
    </row>
    <row r="19666" spans="7:7" ht="10.5" customHeight="1" x14ac:dyDescent="0.2">
      <c r="G19666" s="889"/>
    </row>
    <row r="19667" spans="7:7" ht="10.5" customHeight="1" x14ac:dyDescent="0.2">
      <c r="G19667" s="889"/>
    </row>
    <row r="19668" spans="7:7" ht="10.5" customHeight="1" x14ac:dyDescent="0.2">
      <c r="G19668" s="889"/>
    </row>
    <row r="19669" spans="7:7" ht="10.5" customHeight="1" x14ac:dyDescent="0.2">
      <c r="G19669" s="889"/>
    </row>
    <row r="19670" spans="7:7" ht="10.5" customHeight="1" x14ac:dyDescent="0.2">
      <c r="G19670" s="889"/>
    </row>
    <row r="19671" spans="7:7" ht="10.5" customHeight="1" x14ac:dyDescent="0.2">
      <c r="G19671" s="889"/>
    </row>
    <row r="19672" spans="7:7" ht="10.5" customHeight="1" x14ac:dyDescent="0.2">
      <c r="G19672" s="889"/>
    </row>
    <row r="19673" spans="7:7" ht="10.5" customHeight="1" x14ac:dyDescent="0.2">
      <c r="G19673" s="889"/>
    </row>
    <row r="19674" spans="7:7" ht="10.5" customHeight="1" x14ac:dyDescent="0.2">
      <c r="G19674" s="889"/>
    </row>
    <row r="19675" spans="7:7" ht="10.5" customHeight="1" x14ac:dyDescent="0.2">
      <c r="G19675" s="889"/>
    </row>
    <row r="19676" spans="7:7" ht="10.5" customHeight="1" x14ac:dyDescent="0.2">
      <c r="G19676" s="889"/>
    </row>
    <row r="19677" spans="7:7" ht="10.5" customHeight="1" x14ac:dyDescent="0.2">
      <c r="G19677" s="889"/>
    </row>
    <row r="19678" spans="7:7" ht="10.5" customHeight="1" x14ac:dyDescent="0.2">
      <c r="G19678" s="889"/>
    </row>
    <row r="19679" spans="7:7" ht="10.5" customHeight="1" x14ac:dyDescent="0.2">
      <c r="G19679" s="889"/>
    </row>
    <row r="19680" spans="7:7" ht="10.5" customHeight="1" x14ac:dyDescent="0.2">
      <c r="G19680" s="889"/>
    </row>
    <row r="19681" spans="7:7" ht="10.5" customHeight="1" x14ac:dyDescent="0.2">
      <c r="G19681" s="889"/>
    </row>
    <row r="19682" spans="7:7" ht="10.5" customHeight="1" x14ac:dyDescent="0.2">
      <c r="G19682" s="889"/>
    </row>
    <row r="19683" spans="7:7" ht="10.5" customHeight="1" x14ac:dyDescent="0.2">
      <c r="G19683" s="889"/>
    </row>
    <row r="19684" spans="7:7" ht="10.5" customHeight="1" x14ac:dyDescent="0.2">
      <c r="G19684" s="889"/>
    </row>
    <row r="19685" spans="7:7" ht="10.5" customHeight="1" x14ac:dyDescent="0.2">
      <c r="G19685" s="889"/>
    </row>
    <row r="19686" spans="7:7" ht="10.5" customHeight="1" x14ac:dyDescent="0.2">
      <c r="G19686" s="889"/>
    </row>
    <row r="19687" spans="7:7" ht="10.5" customHeight="1" x14ac:dyDescent="0.2">
      <c r="G19687" s="889"/>
    </row>
    <row r="19688" spans="7:7" ht="10.5" customHeight="1" x14ac:dyDescent="0.2">
      <c r="G19688" s="889"/>
    </row>
    <row r="19689" spans="7:7" ht="10.5" customHeight="1" x14ac:dyDescent="0.2">
      <c r="G19689" s="889"/>
    </row>
    <row r="19690" spans="7:7" ht="10.5" customHeight="1" x14ac:dyDescent="0.2">
      <c r="G19690" s="889"/>
    </row>
    <row r="19691" spans="7:7" ht="10.5" customHeight="1" x14ac:dyDescent="0.2">
      <c r="G19691" s="889"/>
    </row>
    <row r="19692" spans="7:7" ht="10.5" customHeight="1" x14ac:dyDescent="0.2">
      <c r="G19692" s="889"/>
    </row>
    <row r="19693" spans="7:7" ht="10.5" customHeight="1" x14ac:dyDescent="0.2">
      <c r="G19693" s="889"/>
    </row>
    <row r="19694" spans="7:7" ht="10.5" customHeight="1" x14ac:dyDescent="0.2">
      <c r="G19694" s="889"/>
    </row>
    <row r="19695" spans="7:7" ht="10.5" customHeight="1" x14ac:dyDescent="0.2">
      <c r="G19695" s="889"/>
    </row>
    <row r="19696" spans="7:7" ht="10.5" customHeight="1" x14ac:dyDescent="0.2">
      <c r="G19696" s="889"/>
    </row>
    <row r="19697" spans="7:7" ht="10.5" customHeight="1" x14ac:dyDescent="0.2">
      <c r="G19697" s="889"/>
    </row>
    <row r="19698" spans="7:7" ht="10.5" customHeight="1" x14ac:dyDescent="0.2">
      <c r="G19698" s="889"/>
    </row>
    <row r="19699" spans="7:7" ht="10.5" customHeight="1" x14ac:dyDescent="0.2">
      <c r="G19699" s="889"/>
    </row>
    <row r="19700" spans="7:7" ht="10.5" customHeight="1" x14ac:dyDescent="0.2">
      <c r="G19700" s="889"/>
    </row>
    <row r="19701" spans="7:7" ht="10.5" customHeight="1" x14ac:dyDescent="0.2">
      <c r="G19701" s="889"/>
    </row>
    <row r="19702" spans="7:7" ht="10.5" customHeight="1" x14ac:dyDescent="0.2">
      <c r="G19702" s="889"/>
    </row>
    <row r="19703" spans="7:7" ht="10.5" customHeight="1" x14ac:dyDescent="0.2">
      <c r="G19703" s="889"/>
    </row>
    <row r="19704" spans="7:7" ht="10.5" customHeight="1" x14ac:dyDescent="0.2">
      <c r="G19704" s="889"/>
    </row>
    <row r="19705" spans="7:7" ht="10.5" customHeight="1" x14ac:dyDescent="0.2">
      <c r="G19705" s="889"/>
    </row>
    <row r="19706" spans="7:7" ht="10.5" customHeight="1" x14ac:dyDescent="0.2">
      <c r="G19706" s="889"/>
    </row>
    <row r="19707" spans="7:7" ht="10.5" customHeight="1" x14ac:dyDescent="0.2">
      <c r="G19707" s="889"/>
    </row>
    <row r="19708" spans="7:7" ht="10.5" customHeight="1" x14ac:dyDescent="0.2">
      <c r="G19708" s="889"/>
    </row>
    <row r="19709" spans="7:7" ht="10.5" customHeight="1" x14ac:dyDescent="0.2">
      <c r="G19709" s="889"/>
    </row>
    <row r="19710" spans="7:7" ht="10.5" customHeight="1" x14ac:dyDescent="0.2">
      <c r="G19710" s="889"/>
    </row>
    <row r="19711" spans="7:7" ht="10.5" customHeight="1" x14ac:dyDescent="0.2">
      <c r="G19711" s="889"/>
    </row>
    <row r="19712" spans="7:7" ht="10.5" customHeight="1" x14ac:dyDescent="0.2">
      <c r="G19712" s="889"/>
    </row>
    <row r="19713" spans="7:7" ht="10.5" customHeight="1" x14ac:dyDescent="0.2">
      <c r="G19713" s="889"/>
    </row>
    <row r="19714" spans="7:7" ht="10.5" customHeight="1" x14ac:dyDescent="0.2">
      <c r="G19714" s="889"/>
    </row>
    <row r="19715" spans="7:7" ht="10.5" customHeight="1" x14ac:dyDescent="0.2">
      <c r="G19715" s="889"/>
    </row>
    <row r="19716" spans="7:7" ht="10.5" customHeight="1" x14ac:dyDescent="0.2">
      <c r="G19716" s="889"/>
    </row>
    <row r="19717" spans="7:7" ht="10.5" customHeight="1" x14ac:dyDescent="0.2">
      <c r="G19717" s="889"/>
    </row>
    <row r="19718" spans="7:7" ht="10.5" customHeight="1" x14ac:dyDescent="0.2">
      <c r="G19718" s="889"/>
    </row>
    <row r="19719" spans="7:7" ht="10.5" customHeight="1" x14ac:dyDescent="0.2">
      <c r="G19719" s="889"/>
    </row>
    <row r="19720" spans="7:7" ht="10.5" customHeight="1" x14ac:dyDescent="0.2">
      <c r="G19720" s="889"/>
    </row>
    <row r="19721" spans="7:7" ht="10.5" customHeight="1" x14ac:dyDescent="0.2">
      <c r="G19721" s="889"/>
    </row>
    <row r="19722" spans="7:7" ht="10.5" customHeight="1" x14ac:dyDescent="0.2">
      <c r="G19722" s="889"/>
    </row>
    <row r="19723" spans="7:7" ht="10.5" customHeight="1" x14ac:dyDescent="0.2">
      <c r="G19723" s="889"/>
    </row>
    <row r="19724" spans="7:7" ht="10.5" customHeight="1" x14ac:dyDescent="0.2">
      <c r="G19724" s="889"/>
    </row>
    <row r="19725" spans="7:7" ht="10.5" customHeight="1" x14ac:dyDescent="0.2">
      <c r="G19725" s="889"/>
    </row>
    <row r="19726" spans="7:7" ht="10.5" customHeight="1" x14ac:dyDescent="0.2">
      <c r="G19726" s="889"/>
    </row>
    <row r="19727" spans="7:7" ht="10.5" customHeight="1" x14ac:dyDescent="0.2">
      <c r="G19727" s="889"/>
    </row>
    <row r="19728" spans="7:7" ht="10.5" customHeight="1" x14ac:dyDescent="0.2">
      <c r="G19728" s="889"/>
    </row>
    <row r="19729" spans="7:7" ht="10.5" customHeight="1" x14ac:dyDescent="0.2">
      <c r="G19729" s="889"/>
    </row>
    <row r="19730" spans="7:7" ht="10.5" customHeight="1" x14ac:dyDescent="0.2">
      <c r="G19730" s="889"/>
    </row>
    <row r="19731" spans="7:7" ht="10.5" customHeight="1" x14ac:dyDescent="0.2">
      <c r="G19731" s="889"/>
    </row>
    <row r="19732" spans="7:7" ht="10.5" customHeight="1" x14ac:dyDescent="0.2">
      <c r="G19732" s="889"/>
    </row>
    <row r="19733" spans="7:7" ht="10.5" customHeight="1" x14ac:dyDescent="0.2">
      <c r="G19733" s="889"/>
    </row>
    <row r="19734" spans="7:7" ht="10.5" customHeight="1" x14ac:dyDescent="0.2">
      <c r="G19734" s="889"/>
    </row>
    <row r="19735" spans="7:7" ht="10.5" customHeight="1" x14ac:dyDescent="0.2">
      <c r="G19735" s="889"/>
    </row>
    <row r="19736" spans="7:7" ht="10.5" customHeight="1" x14ac:dyDescent="0.2">
      <c r="G19736" s="889"/>
    </row>
    <row r="19737" spans="7:7" ht="10.5" customHeight="1" x14ac:dyDescent="0.2">
      <c r="G19737" s="889"/>
    </row>
    <row r="19738" spans="7:7" ht="10.5" customHeight="1" x14ac:dyDescent="0.2">
      <c r="G19738" s="889"/>
    </row>
    <row r="19739" spans="7:7" ht="10.5" customHeight="1" x14ac:dyDescent="0.2">
      <c r="G19739" s="889"/>
    </row>
    <row r="19740" spans="7:7" ht="10.5" customHeight="1" x14ac:dyDescent="0.2">
      <c r="G19740" s="889"/>
    </row>
    <row r="19741" spans="7:7" ht="10.5" customHeight="1" x14ac:dyDescent="0.2">
      <c r="G19741" s="889"/>
    </row>
    <row r="19742" spans="7:7" ht="10.5" customHeight="1" x14ac:dyDescent="0.2">
      <c r="G19742" s="889"/>
    </row>
    <row r="19743" spans="7:7" ht="10.5" customHeight="1" x14ac:dyDescent="0.2">
      <c r="G19743" s="889"/>
    </row>
    <row r="19744" spans="7:7" ht="10.5" customHeight="1" x14ac:dyDescent="0.2">
      <c r="G19744" s="889"/>
    </row>
    <row r="19745" spans="7:7" ht="10.5" customHeight="1" x14ac:dyDescent="0.2">
      <c r="G19745" s="889"/>
    </row>
    <row r="19746" spans="7:7" ht="10.5" customHeight="1" x14ac:dyDescent="0.2">
      <c r="G19746" s="889"/>
    </row>
    <row r="19747" spans="7:7" ht="10.5" customHeight="1" x14ac:dyDescent="0.2">
      <c r="G19747" s="889"/>
    </row>
    <row r="19748" spans="7:7" ht="10.5" customHeight="1" x14ac:dyDescent="0.2">
      <c r="G19748" s="889"/>
    </row>
    <row r="19749" spans="7:7" ht="10.5" customHeight="1" x14ac:dyDescent="0.2">
      <c r="G19749" s="889"/>
    </row>
    <row r="19750" spans="7:7" ht="10.5" customHeight="1" x14ac:dyDescent="0.2">
      <c r="G19750" s="889"/>
    </row>
    <row r="19751" spans="7:7" ht="10.5" customHeight="1" x14ac:dyDescent="0.2">
      <c r="G19751" s="889"/>
    </row>
    <row r="19752" spans="7:7" ht="10.5" customHeight="1" x14ac:dyDescent="0.2">
      <c r="G19752" s="889"/>
    </row>
    <row r="19753" spans="7:7" ht="10.5" customHeight="1" x14ac:dyDescent="0.2">
      <c r="G19753" s="889"/>
    </row>
    <row r="19754" spans="7:7" ht="10.5" customHeight="1" x14ac:dyDescent="0.2">
      <c r="G19754" s="889"/>
    </row>
    <row r="19755" spans="7:7" ht="10.5" customHeight="1" x14ac:dyDescent="0.2">
      <c r="G19755" s="889"/>
    </row>
    <row r="19756" spans="7:7" ht="10.5" customHeight="1" x14ac:dyDescent="0.2">
      <c r="G19756" s="889"/>
    </row>
    <row r="19757" spans="7:7" ht="10.5" customHeight="1" x14ac:dyDescent="0.2">
      <c r="G19757" s="889"/>
    </row>
    <row r="19758" spans="7:7" ht="10.5" customHeight="1" x14ac:dyDescent="0.2">
      <c r="G19758" s="889"/>
    </row>
    <row r="19759" spans="7:7" ht="10.5" customHeight="1" x14ac:dyDescent="0.2">
      <c r="G19759" s="889"/>
    </row>
    <row r="19760" spans="7:7" ht="10.5" customHeight="1" x14ac:dyDescent="0.2">
      <c r="G19760" s="889"/>
    </row>
    <row r="19761" spans="7:7" ht="10.5" customHeight="1" x14ac:dyDescent="0.2">
      <c r="G19761" s="889"/>
    </row>
    <row r="19762" spans="7:7" ht="10.5" customHeight="1" x14ac:dyDescent="0.2">
      <c r="G19762" s="889"/>
    </row>
    <row r="19763" spans="7:7" ht="10.5" customHeight="1" x14ac:dyDescent="0.2">
      <c r="G19763" s="889"/>
    </row>
    <row r="19764" spans="7:7" ht="10.5" customHeight="1" x14ac:dyDescent="0.2">
      <c r="G19764" s="889"/>
    </row>
    <row r="19765" spans="7:7" ht="10.5" customHeight="1" x14ac:dyDescent="0.2">
      <c r="G19765" s="889"/>
    </row>
    <row r="19766" spans="7:7" ht="10.5" customHeight="1" x14ac:dyDescent="0.2">
      <c r="G19766" s="889"/>
    </row>
    <row r="19767" spans="7:7" ht="10.5" customHeight="1" x14ac:dyDescent="0.2">
      <c r="G19767" s="889"/>
    </row>
    <row r="19768" spans="7:7" ht="10.5" customHeight="1" x14ac:dyDescent="0.2">
      <c r="G19768" s="889"/>
    </row>
    <row r="19769" spans="7:7" ht="10.5" customHeight="1" x14ac:dyDescent="0.2">
      <c r="G19769" s="889"/>
    </row>
    <row r="19770" spans="7:7" ht="10.5" customHeight="1" x14ac:dyDescent="0.2">
      <c r="G19770" s="889"/>
    </row>
    <row r="19771" spans="7:7" ht="10.5" customHeight="1" x14ac:dyDescent="0.2">
      <c r="G19771" s="889"/>
    </row>
    <row r="19772" spans="7:7" ht="10.5" customHeight="1" x14ac:dyDescent="0.2">
      <c r="G19772" s="889"/>
    </row>
    <row r="19773" spans="7:7" ht="10.5" customHeight="1" x14ac:dyDescent="0.2">
      <c r="G19773" s="889"/>
    </row>
    <row r="19774" spans="7:7" ht="10.5" customHeight="1" x14ac:dyDescent="0.2">
      <c r="G19774" s="889"/>
    </row>
    <row r="19775" spans="7:7" ht="10.5" customHeight="1" x14ac:dyDescent="0.2">
      <c r="G19775" s="889"/>
    </row>
    <row r="19776" spans="7:7" ht="10.5" customHeight="1" x14ac:dyDescent="0.2">
      <c r="G19776" s="889"/>
    </row>
    <row r="19777" spans="7:7" ht="10.5" customHeight="1" x14ac:dyDescent="0.2">
      <c r="G19777" s="889"/>
    </row>
    <row r="19778" spans="7:7" ht="10.5" customHeight="1" x14ac:dyDescent="0.2">
      <c r="G19778" s="889"/>
    </row>
    <row r="19779" spans="7:7" ht="10.5" customHeight="1" x14ac:dyDescent="0.2">
      <c r="G19779" s="889"/>
    </row>
    <row r="19780" spans="7:7" ht="10.5" customHeight="1" x14ac:dyDescent="0.2">
      <c r="G19780" s="889"/>
    </row>
    <row r="19781" spans="7:7" ht="10.5" customHeight="1" x14ac:dyDescent="0.2">
      <c r="G19781" s="889"/>
    </row>
    <row r="19782" spans="7:7" ht="10.5" customHeight="1" x14ac:dyDescent="0.2">
      <c r="G19782" s="889"/>
    </row>
    <row r="19783" spans="7:7" ht="10.5" customHeight="1" x14ac:dyDescent="0.2">
      <c r="G19783" s="889"/>
    </row>
    <row r="19784" spans="7:7" ht="10.5" customHeight="1" x14ac:dyDescent="0.2">
      <c r="G19784" s="889"/>
    </row>
    <row r="19785" spans="7:7" ht="10.5" customHeight="1" x14ac:dyDescent="0.2">
      <c r="G19785" s="889"/>
    </row>
    <row r="19786" spans="7:7" ht="10.5" customHeight="1" x14ac:dyDescent="0.2">
      <c r="G19786" s="889"/>
    </row>
    <row r="19787" spans="7:7" ht="10.5" customHeight="1" x14ac:dyDescent="0.2">
      <c r="G19787" s="889"/>
    </row>
    <row r="19788" spans="7:7" ht="10.5" customHeight="1" x14ac:dyDescent="0.2">
      <c r="G19788" s="889"/>
    </row>
    <row r="19789" spans="7:7" ht="10.5" customHeight="1" x14ac:dyDescent="0.2">
      <c r="G19789" s="889"/>
    </row>
    <row r="19790" spans="7:7" ht="10.5" customHeight="1" x14ac:dyDescent="0.2">
      <c r="G19790" s="889"/>
    </row>
    <row r="19791" spans="7:7" ht="10.5" customHeight="1" x14ac:dyDescent="0.2">
      <c r="G19791" s="889"/>
    </row>
    <row r="19792" spans="7:7" ht="10.5" customHeight="1" x14ac:dyDescent="0.2">
      <c r="G19792" s="889"/>
    </row>
    <row r="19793" spans="7:7" ht="10.5" customHeight="1" x14ac:dyDescent="0.2">
      <c r="G19793" s="889"/>
    </row>
    <row r="19794" spans="7:7" ht="10.5" customHeight="1" x14ac:dyDescent="0.2">
      <c r="G19794" s="889"/>
    </row>
    <row r="19795" spans="7:7" ht="10.5" customHeight="1" x14ac:dyDescent="0.2">
      <c r="G19795" s="889"/>
    </row>
    <row r="19796" spans="7:7" ht="10.5" customHeight="1" x14ac:dyDescent="0.2">
      <c r="G19796" s="889"/>
    </row>
    <row r="19797" spans="7:7" ht="10.5" customHeight="1" x14ac:dyDescent="0.2">
      <c r="G19797" s="889"/>
    </row>
    <row r="19798" spans="7:7" ht="10.5" customHeight="1" x14ac:dyDescent="0.2">
      <c r="G19798" s="889"/>
    </row>
    <row r="19799" spans="7:7" ht="10.5" customHeight="1" x14ac:dyDescent="0.2">
      <c r="G19799" s="889"/>
    </row>
    <row r="19800" spans="7:7" ht="10.5" customHeight="1" x14ac:dyDescent="0.2">
      <c r="G19800" s="889"/>
    </row>
    <row r="19801" spans="7:7" ht="10.5" customHeight="1" x14ac:dyDescent="0.2">
      <c r="G19801" s="889"/>
    </row>
    <row r="19802" spans="7:7" ht="10.5" customHeight="1" x14ac:dyDescent="0.2">
      <c r="G19802" s="889"/>
    </row>
    <row r="19803" spans="7:7" ht="10.5" customHeight="1" x14ac:dyDescent="0.2">
      <c r="G19803" s="889"/>
    </row>
    <row r="19804" spans="7:7" ht="10.5" customHeight="1" x14ac:dyDescent="0.2">
      <c r="G19804" s="889"/>
    </row>
    <row r="19805" spans="7:7" ht="10.5" customHeight="1" x14ac:dyDescent="0.2">
      <c r="G19805" s="889"/>
    </row>
    <row r="19806" spans="7:7" ht="10.5" customHeight="1" x14ac:dyDescent="0.2">
      <c r="G19806" s="889"/>
    </row>
    <row r="19807" spans="7:7" ht="10.5" customHeight="1" x14ac:dyDescent="0.2">
      <c r="G19807" s="889"/>
    </row>
    <row r="19808" spans="7:7" ht="10.5" customHeight="1" x14ac:dyDescent="0.2">
      <c r="G19808" s="889"/>
    </row>
    <row r="19809" spans="7:7" ht="10.5" customHeight="1" x14ac:dyDescent="0.2">
      <c r="G19809" s="889"/>
    </row>
    <row r="19810" spans="7:7" ht="10.5" customHeight="1" x14ac:dyDescent="0.2">
      <c r="G19810" s="889"/>
    </row>
    <row r="19811" spans="7:7" ht="10.5" customHeight="1" x14ac:dyDescent="0.2">
      <c r="G19811" s="889"/>
    </row>
    <row r="19812" spans="7:7" ht="10.5" customHeight="1" x14ac:dyDescent="0.2">
      <c r="G19812" s="889"/>
    </row>
    <row r="19813" spans="7:7" ht="10.5" customHeight="1" x14ac:dyDescent="0.2">
      <c r="G19813" s="889"/>
    </row>
    <row r="19814" spans="7:7" ht="10.5" customHeight="1" x14ac:dyDescent="0.2">
      <c r="G19814" s="889"/>
    </row>
    <row r="19815" spans="7:7" ht="10.5" customHeight="1" x14ac:dyDescent="0.2">
      <c r="G19815" s="889"/>
    </row>
    <row r="19816" spans="7:7" ht="10.5" customHeight="1" x14ac:dyDescent="0.2">
      <c r="G19816" s="889"/>
    </row>
    <row r="19817" spans="7:7" ht="10.5" customHeight="1" x14ac:dyDescent="0.2">
      <c r="G19817" s="889"/>
    </row>
    <row r="19818" spans="7:7" ht="10.5" customHeight="1" x14ac:dyDescent="0.2">
      <c r="G19818" s="889"/>
    </row>
    <row r="19819" spans="7:7" ht="10.5" customHeight="1" x14ac:dyDescent="0.2">
      <c r="G19819" s="889"/>
    </row>
    <row r="19820" spans="7:7" ht="10.5" customHeight="1" x14ac:dyDescent="0.2">
      <c r="G19820" s="889"/>
    </row>
    <row r="19821" spans="7:7" ht="10.5" customHeight="1" x14ac:dyDescent="0.2">
      <c r="G19821" s="889"/>
    </row>
    <row r="19822" spans="7:7" ht="10.5" customHeight="1" x14ac:dyDescent="0.2">
      <c r="G19822" s="889"/>
    </row>
    <row r="19823" spans="7:7" ht="10.5" customHeight="1" x14ac:dyDescent="0.2">
      <c r="G19823" s="889"/>
    </row>
    <row r="19824" spans="7:7" ht="10.5" customHeight="1" x14ac:dyDescent="0.2">
      <c r="G19824" s="889"/>
    </row>
    <row r="19825" spans="7:7" ht="10.5" customHeight="1" x14ac:dyDescent="0.2">
      <c r="G19825" s="889"/>
    </row>
    <row r="19826" spans="7:7" ht="10.5" customHeight="1" x14ac:dyDescent="0.2">
      <c r="G19826" s="889"/>
    </row>
    <row r="19827" spans="7:7" ht="10.5" customHeight="1" x14ac:dyDescent="0.2">
      <c r="G19827" s="889"/>
    </row>
    <row r="19828" spans="7:7" ht="10.5" customHeight="1" x14ac:dyDescent="0.2">
      <c r="G19828" s="889"/>
    </row>
    <row r="19829" spans="7:7" ht="10.5" customHeight="1" x14ac:dyDescent="0.2">
      <c r="G19829" s="889"/>
    </row>
    <row r="19830" spans="7:7" ht="10.5" customHeight="1" x14ac:dyDescent="0.2">
      <c r="G19830" s="889"/>
    </row>
    <row r="19831" spans="7:7" ht="10.5" customHeight="1" x14ac:dyDescent="0.2">
      <c r="G19831" s="889"/>
    </row>
    <row r="19832" spans="7:7" ht="10.5" customHeight="1" x14ac:dyDescent="0.2">
      <c r="G19832" s="889"/>
    </row>
    <row r="19833" spans="7:7" ht="10.5" customHeight="1" x14ac:dyDescent="0.2">
      <c r="G19833" s="889"/>
    </row>
    <row r="19834" spans="7:7" ht="10.5" customHeight="1" x14ac:dyDescent="0.2">
      <c r="G19834" s="889"/>
    </row>
    <row r="19835" spans="7:7" ht="10.5" customHeight="1" x14ac:dyDescent="0.2">
      <c r="G19835" s="889"/>
    </row>
    <row r="19836" spans="7:7" ht="10.5" customHeight="1" x14ac:dyDescent="0.2">
      <c r="G19836" s="889"/>
    </row>
    <row r="19837" spans="7:7" ht="10.5" customHeight="1" x14ac:dyDescent="0.2">
      <c r="G19837" s="889"/>
    </row>
    <row r="19838" spans="7:7" ht="10.5" customHeight="1" x14ac:dyDescent="0.2">
      <c r="G19838" s="889"/>
    </row>
    <row r="19839" spans="7:7" ht="10.5" customHeight="1" x14ac:dyDescent="0.2">
      <c r="G19839" s="889"/>
    </row>
    <row r="19840" spans="7:7" ht="10.5" customHeight="1" x14ac:dyDescent="0.2">
      <c r="G19840" s="889"/>
    </row>
    <row r="19841" spans="7:7" ht="10.5" customHeight="1" x14ac:dyDescent="0.2">
      <c r="G19841" s="889"/>
    </row>
    <row r="19842" spans="7:7" ht="10.5" customHeight="1" x14ac:dyDescent="0.2">
      <c r="G19842" s="889"/>
    </row>
    <row r="19843" spans="7:7" ht="10.5" customHeight="1" x14ac:dyDescent="0.2">
      <c r="G19843" s="889"/>
    </row>
    <row r="19844" spans="7:7" ht="10.5" customHeight="1" x14ac:dyDescent="0.2">
      <c r="G19844" s="889"/>
    </row>
    <row r="19845" spans="7:7" ht="10.5" customHeight="1" x14ac:dyDescent="0.2">
      <c r="G19845" s="889"/>
    </row>
    <row r="19846" spans="7:7" ht="10.5" customHeight="1" x14ac:dyDescent="0.2">
      <c r="G19846" s="889"/>
    </row>
    <row r="19847" spans="7:7" ht="10.5" customHeight="1" x14ac:dyDescent="0.2">
      <c r="G19847" s="889"/>
    </row>
    <row r="19848" spans="7:7" ht="10.5" customHeight="1" x14ac:dyDescent="0.2">
      <c r="G19848" s="889"/>
    </row>
    <row r="19849" spans="7:7" ht="10.5" customHeight="1" x14ac:dyDescent="0.2">
      <c r="G19849" s="889"/>
    </row>
    <row r="19850" spans="7:7" ht="10.5" customHeight="1" x14ac:dyDescent="0.2">
      <c r="G19850" s="889"/>
    </row>
    <row r="19851" spans="7:7" ht="10.5" customHeight="1" x14ac:dyDescent="0.2">
      <c r="G19851" s="889"/>
    </row>
    <row r="19852" spans="7:7" ht="10.5" customHeight="1" x14ac:dyDescent="0.2">
      <c r="G19852" s="889"/>
    </row>
    <row r="19853" spans="7:7" ht="10.5" customHeight="1" x14ac:dyDescent="0.2">
      <c r="G19853" s="889"/>
    </row>
    <row r="19854" spans="7:7" ht="10.5" customHeight="1" x14ac:dyDescent="0.2">
      <c r="G19854" s="889"/>
    </row>
    <row r="19855" spans="7:7" ht="10.5" customHeight="1" x14ac:dyDescent="0.2">
      <c r="G19855" s="889"/>
    </row>
    <row r="19856" spans="7:7" ht="10.5" customHeight="1" x14ac:dyDescent="0.2">
      <c r="G19856" s="889"/>
    </row>
    <row r="19857" spans="7:7" ht="10.5" customHeight="1" x14ac:dyDescent="0.2">
      <c r="G19857" s="889"/>
    </row>
    <row r="19858" spans="7:7" ht="10.5" customHeight="1" x14ac:dyDescent="0.2">
      <c r="G19858" s="889"/>
    </row>
    <row r="19859" spans="7:7" ht="10.5" customHeight="1" x14ac:dyDescent="0.2">
      <c r="G19859" s="889"/>
    </row>
    <row r="19860" spans="7:7" ht="10.5" customHeight="1" x14ac:dyDescent="0.2">
      <c r="G19860" s="889"/>
    </row>
    <row r="19861" spans="7:7" ht="10.5" customHeight="1" x14ac:dyDescent="0.2">
      <c r="G19861" s="889"/>
    </row>
    <row r="19862" spans="7:7" ht="10.5" customHeight="1" x14ac:dyDescent="0.2">
      <c r="G19862" s="889"/>
    </row>
    <row r="19863" spans="7:7" ht="10.5" customHeight="1" x14ac:dyDescent="0.2">
      <c r="G19863" s="889"/>
    </row>
    <row r="19864" spans="7:7" ht="10.5" customHeight="1" x14ac:dyDescent="0.2">
      <c r="G19864" s="889"/>
    </row>
    <row r="19865" spans="7:7" ht="10.5" customHeight="1" x14ac:dyDescent="0.2">
      <c r="G19865" s="889"/>
    </row>
    <row r="19866" spans="7:7" ht="10.5" customHeight="1" x14ac:dyDescent="0.2">
      <c r="G19866" s="889"/>
    </row>
    <row r="19867" spans="7:7" ht="10.5" customHeight="1" x14ac:dyDescent="0.2">
      <c r="G19867" s="889"/>
    </row>
    <row r="19868" spans="7:7" ht="10.5" customHeight="1" x14ac:dyDescent="0.2">
      <c r="G19868" s="889"/>
    </row>
    <row r="19869" spans="7:7" ht="10.5" customHeight="1" x14ac:dyDescent="0.2">
      <c r="G19869" s="889"/>
    </row>
    <row r="19870" spans="7:7" ht="10.5" customHeight="1" x14ac:dyDescent="0.2">
      <c r="G19870" s="889"/>
    </row>
    <row r="19871" spans="7:7" ht="10.5" customHeight="1" x14ac:dyDescent="0.2">
      <c r="G19871" s="889"/>
    </row>
    <row r="19872" spans="7:7" ht="10.5" customHeight="1" x14ac:dyDescent="0.2">
      <c r="G19872" s="889"/>
    </row>
    <row r="19873" spans="7:7" ht="10.5" customHeight="1" x14ac:dyDescent="0.2">
      <c r="G19873" s="889"/>
    </row>
    <row r="19874" spans="7:7" ht="10.5" customHeight="1" x14ac:dyDescent="0.2">
      <c r="G19874" s="889"/>
    </row>
    <row r="19875" spans="7:7" ht="10.5" customHeight="1" x14ac:dyDescent="0.2">
      <c r="G19875" s="889"/>
    </row>
    <row r="19876" spans="7:7" ht="10.5" customHeight="1" x14ac:dyDescent="0.2">
      <c r="G19876" s="889"/>
    </row>
    <row r="19877" spans="7:7" ht="10.5" customHeight="1" x14ac:dyDescent="0.2">
      <c r="G19877" s="889"/>
    </row>
    <row r="19878" spans="7:7" ht="10.5" customHeight="1" x14ac:dyDescent="0.2">
      <c r="G19878" s="889"/>
    </row>
    <row r="19879" spans="7:7" ht="10.5" customHeight="1" x14ac:dyDescent="0.2">
      <c r="G19879" s="889"/>
    </row>
    <row r="19880" spans="7:7" ht="10.5" customHeight="1" x14ac:dyDescent="0.2">
      <c r="G19880" s="889"/>
    </row>
    <row r="19881" spans="7:7" ht="10.5" customHeight="1" x14ac:dyDescent="0.2">
      <c r="G19881" s="889"/>
    </row>
    <row r="19882" spans="7:7" ht="10.5" customHeight="1" x14ac:dyDescent="0.2">
      <c r="G19882" s="889"/>
    </row>
    <row r="19883" spans="7:7" ht="10.5" customHeight="1" x14ac:dyDescent="0.2">
      <c r="G19883" s="889"/>
    </row>
    <row r="19884" spans="7:7" ht="10.5" customHeight="1" x14ac:dyDescent="0.2">
      <c r="G19884" s="889"/>
    </row>
    <row r="19885" spans="7:7" ht="10.5" customHeight="1" x14ac:dyDescent="0.2">
      <c r="G19885" s="889"/>
    </row>
    <row r="19886" spans="7:7" ht="10.5" customHeight="1" x14ac:dyDescent="0.2">
      <c r="G19886" s="889"/>
    </row>
    <row r="19887" spans="7:7" ht="10.5" customHeight="1" x14ac:dyDescent="0.2">
      <c r="G19887" s="889"/>
    </row>
    <row r="19888" spans="7:7" ht="10.5" customHeight="1" x14ac:dyDescent="0.2">
      <c r="G19888" s="889"/>
    </row>
    <row r="19889" spans="7:7" ht="10.5" customHeight="1" x14ac:dyDescent="0.2">
      <c r="G19889" s="889"/>
    </row>
    <row r="19890" spans="7:7" ht="10.5" customHeight="1" x14ac:dyDescent="0.2">
      <c r="G19890" s="889"/>
    </row>
    <row r="19891" spans="7:7" ht="10.5" customHeight="1" x14ac:dyDescent="0.2">
      <c r="G19891" s="889"/>
    </row>
    <row r="19892" spans="7:7" ht="10.5" customHeight="1" x14ac:dyDescent="0.2">
      <c r="G19892" s="889"/>
    </row>
    <row r="19893" spans="7:7" ht="10.5" customHeight="1" x14ac:dyDescent="0.2">
      <c r="G19893" s="889"/>
    </row>
    <row r="19894" spans="7:7" ht="10.5" customHeight="1" x14ac:dyDescent="0.2">
      <c r="G19894" s="889"/>
    </row>
    <row r="19895" spans="7:7" ht="10.5" customHeight="1" x14ac:dyDescent="0.2">
      <c r="G19895" s="889"/>
    </row>
    <row r="19896" spans="7:7" ht="10.5" customHeight="1" x14ac:dyDescent="0.2">
      <c r="G19896" s="889"/>
    </row>
    <row r="19897" spans="7:7" ht="10.5" customHeight="1" x14ac:dyDescent="0.2">
      <c r="G19897" s="889"/>
    </row>
    <row r="19898" spans="7:7" ht="10.5" customHeight="1" x14ac:dyDescent="0.2">
      <c r="G19898" s="889"/>
    </row>
    <row r="19899" spans="7:7" ht="10.5" customHeight="1" x14ac:dyDescent="0.2">
      <c r="G19899" s="889"/>
    </row>
    <row r="19900" spans="7:7" ht="10.5" customHeight="1" x14ac:dyDescent="0.2">
      <c r="G19900" s="889"/>
    </row>
    <row r="19901" spans="7:7" ht="10.5" customHeight="1" x14ac:dyDescent="0.2">
      <c r="G19901" s="889"/>
    </row>
    <row r="19902" spans="7:7" ht="10.5" customHeight="1" x14ac:dyDescent="0.2">
      <c r="G19902" s="889"/>
    </row>
    <row r="19903" spans="7:7" ht="10.5" customHeight="1" x14ac:dyDescent="0.2">
      <c r="G19903" s="889"/>
    </row>
    <row r="19904" spans="7:7" ht="10.5" customHeight="1" x14ac:dyDescent="0.2">
      <c r="G19904" s="889"/>
    </row>
    <row r="19905" spans="7:7" ht="10.5" customHeight="1" x14ac:dyDescent="0.2">
      <c r="G19905" s="889"/>
    </row>
    <row r="19906" spans="7:7" ht="10.5" customHeight="1" x14ac:dyDescent="0.2">
      <c r="G19906" s="889"/>
    </row>
    <row r="19907" spans="7:7" ht="10.5" customHeight="1" x14ac:dyDescent="0.2">
      <c r="G19907" s="889"/>
    </row>
    <row r="19908" spans="7:7" ht="10.5" customHeight="1" x14ac:dyDescent="0.2">
      <c r="G19908" s="889"/>
    </row>
    <row r="19909" spans="7:7" ht="10.5" customHeight="1" x14ac:dyDescent="0.2">
      <c r="G19909" s="889"/>
    </row>
    <row r="19910" spans="7:7" ht="10.5" customHeight="1" x14ac:dyDescent="0.2">
      <c r="G19910" s="889"/>
    </row>
    <row r="19911" spans="7:7" ht="10.5" customHeight="1" x14ac:dyDescent="0.2">
      <c r="G19911" s="889"/>
    </row>
    <row r="19912" spans="7:7" ht="10.5" customHeight="1" x14ac:dyDescent="0.2">
      <c r="G19912" s="889"/>
    </row>
    <row r="19913" spans="7:7" ht="10.5" customHeight="1" x14ac:dyDescent="0.2">
      <c r="G19913" s="889"/>
    </row>
    <row r="19914" spans="7:7" ht="10.5" customHeight="1" x14ac:dyDescent="0.2">
      <c r="G19914" s="889"/>
    </row>
    <row r="19915" spans="7:7" ht="10.5" customHeight="1" x14ac:dyDescent="0.2">
      <c r="G19915" s="889"/>
    </row>
    <row r="19916" spans="7:7" ht="10.5" customHeight="1" x14ac:dyDescent="0.2">
      <c r="G19916" s="889"/>
    </row>
    <row r="19917" spans="7:7" ht="10.5" customHeight="1" x14ac:dyDescent="0.2">
      <c r="G19917" s="889"/>
    </row>
    <row r="19918" spans="7:7" ht="10.5" customHeight="1" x14ac:dyDescent="0.2">
      <c r="G19918" s="889"/>
    </row>
    <row r="19919" spans="7:7" ht="10.5" customHeight="1" x14ac:dyDescent="0.2">
      <c r="G19919" s="889"/>
    </row>
    <row r="19920" spans="7:7" ht="10.5" customHeight="1" x14ac:dyDescent="0.2">
      <c r="G19920" s="889"/>
    </row>
    <row r="19921" spans="7:7" ht="10.5" customHeight="1" x14ac:dyDescent="0.2">
      <c r="G19921" s="889"/>
    </row>
    <row r="19922" spans="7:7" ht="10.5" customHeight="1" x14ac:dyDescent="0.2">
      <c r="G19922" s="889"/>
    </row>
    <row r="19923" spans="7:7" ht="10.5" customHeight="1" x14ac:dyDescent="0.2">
      <c r="G19923" s="889"/>
    </row>
    <row r="19924" spans="7:7" ht="10.5" customHeight="1" x14ac:dyDescent="0.2">
      <c r="G19924" s="889"/>
    </row>
    <row r="19925" spans="7:7" ht="10.5" customHeight="1" x14ac:dyDescent="0.2">
      <c r="G19925" s="889"/>
    </row>
    <row r="19926" spans="7:7" ht="10.5" customHeight="1" x14ac:dyDescent="0.2">
      <c r="G19926" s="889"/>
    </row>
    <row r="19927" spans="7:7" ht="10.5" customHeight="1" x14ac:dyDescent="0.2">
      <c r="G19927" s="889"/>
    </row>
    <row r="19928" spans="7:7" ht="10.5" customHeight="1" x14ac:dyDescent="0.2">
      <c r="G19928" s="889"/>
    </row>
    <row r="19929" spans="7:7" ht="10.5" customHeight="1" x14ac:dyDescent="0.2">
      <c r="G19929" s="889"/>
    </row>
    <row r="19930" spans="7:7" ht="10.5" customHeight="1" x14ac:dyDescent="0.2">
      <c r="G19930" s="889"/>
    </row>
    <row r="19931" spans="7:7" ht="10.5" customHeight="1" x14ac:dyDescent="0.2">
      <c r="G19931" s="889"/>
    </row>
    <row r="19932" spans="7:7" ht="10.5" customHeight="1" x14ac:dyDescent="0.2">
      <c r="G19932" s="889"/>
    </row>
    <row r="19933" spans="7:7" ht="10.5" customHeight="1" x14ac:dyDescent="0.2">
      <c r="G19933" s="889"/>
    </row>
    <row r="19934" spans="7:7" ht="10.5" customHeight="1" x14ac:dyDescent="0.2">
      <c r="G19934" s="889"/>
    </row>
    <row r="19935" spans="7:7" ht="10.5" customHeight="1" x14ac:dyDescent="0.2">
      <c r="G19935" s="889"/>
    </row>
    <row r="19936" spans="7:7" ht="10.5" customHeight="1" x14ac:dyDescent="0.2">
      <c r="G19936" s="889"/>
    </row>
    <row r="19937" spans="7:7" ht="10.5" customHeight="1" x14ac:dyDescent="0.2">
      <c r="G19937" s="889"/>
    </row>
    <row r="19938" spans="7:7" ht="10.5" customHeight="1" x14ac:dyDescent="0.2">
      <c r="G19938" s="889"/>
    </row>
    <row r="19939" spans="7:7" ht="10.5" customHeight="1" x14ac:dyDescent="0.2">
      <c r="G19939" s="889"/>
    </row>
    <row r="19940" spans="7:7" ht="10.5" customHeight="1" x14ac:dyDescent="0.2">
      <c r="G19940" s="889"/>
    </row>
    <row r="19941" spans="7:7" ht="10.5" customHeight="1" x14ac:dyDescent="0.2">
      <c r="G19941" s="889"/>
    </row>
    <row r="19942" spans="7:7" ht="10.5" customHeight="1" x14ac:dyDescent="0.2">
      <c r="G19942" s="889"/>
    </row>
    <row r="19943" spans="7:7" ht="10.5" customHeight="1" x14ac:dyDescent="0.2">
      <c r="G19943" s="889"/>
    </row>
    <row r="19944" spans="7:7" ht="10.5" customHeight="1" x14ac:dyDescent="0.2">
      <c r="G19944" s="889"/>
    </row>
    <row r="19945" spans="7:7" ht="10.5" customHeight="1" x14ac:dyDescent="0.2">
      <c r="G19945" s="889"/>
    </row>
    <row r="19946" spans="7:7" ht="10.5" customHeight="1" x14ac:dyDescent="0.2">
      <c r="G19946" s="889"/>
    </row>
    <row r="19947" spans="7:7" ht="10.5" customHeight="1" x14ac:dyDescent="0.2">
      <c r="G19947" s="889"/>
    </row>
    <row r="19948" spans="7:7" ht="10.5" customHeight="1" x14ac:dyDescent="0.2">
      <c r="G19948" s="889"/>
    </row>
    <row r="19949" spans="7:7" ht="10.5" customHeight="1" x14ac:dyDescent="0.2">
      <c r="G19949" s="889"/>
    </row>
    <row r="19950" spans="7:7" ht="10.5" customHeight="1" x14ac:dyDescent="0.2">
      <c r="G19950" s="889"/>
    </row>
    <row r="19951" spans="7:7" ht="10.5" customHeight="1" x14ac:dyDescent="0.2">
      <c r="G19951" s="889"/>
    </row>
    <row r="19952" spans="7:7" ht="10.5" customHeight="1" x14ac:dyDescent="0.2">
      <c r="G19952" s="889"/>
    </row>
    <row r="19953" spans="7:7" ht="10.5" customHeight="1" x14ac:dyDescent="0.2">
      <c r="G19953" s="889"/>
    </row>
    <row r="19954" spans="7:7" ht="10.5" customHeight="1" x14ac:dyDescent="0.2">
      <c r="G19954" s="889"/>
    </row>
    <row r="19955" spans="7:7" ht="10.5" customHeight="1" x14ac:dyDescent="0.2">
      <c r="G19955" s="889"/>
    </row>
    <row r="19956" spans="7:7" ht="10.5" customHeight="1" x14ac:dyDescent="0.2">
      <c r="G19956" s="889"/>
    </row>
    <row r="19957" spans="7:7" ht="10.5" customHeight="1" x14ac:dyDescent="0.2">
      <c r="G19957" s="889"/>
    </row>
    <row r="19958" spans="7:7" ht="10.5" customHeight="1" x14ac:dyDescent="0.2">
      <c r="G19958" s="889"/>
    </row>
    <row r="19959" spans="7:7" ht="10.5" customHeight="1" x14ac:dyDescent="0.2">
      <c r="G19959" s="889"/>
    </row>
    <row r="19960" spans="7:7" ht="10.5" customHeight="1" x14ac:dyDescent="0.2">
      <c r="G19960" s="889"/>
    </row>
    <row r="19961" spans="7:7" ht="10.5" customHeight="1" x14ac:dyDescent="0.2">
      <c r="G19961" s="889"/>
    </row>
    <row r="19962" spans="7:7" ht="10.5" customHeight="1" x14ac:dyDescent="0.2">
      <c r="G19962" s="889"/>
    </row>
    <row r="19963" spans="7:7" ht="10.5" customHeight="1" x14ac:dyDescent="0.2">
      <c r="G19963" s="889"/>
    </row>
    <row r="19964" spans="7:7" ht="10.5" customHeight="1" x14ac:dyDescent="0.2">
      <c r="G19964" s="889"/>
    </row>
    <row r="19965" spans="7:7" ht="10.5" customHeight="1" x14ac:dyDescent="0.2">
      <c r="G19965" s="889"/>
    </row>
    <row r="19966" spans="7:7" ht="10.5" customHeight="1" x14ac:dyDescent="0.2">
      <c r="G19966" s="889"/>
    </row>
    <row r="19967" spans="7:7" ht="10.5" customHeight="1" x14ac:dyDescent="0.2">
      <c r="G19967" s="889"/>
    </row>
    <row r="19968" spans="7:7" ht="10.5" customHeight="1" x14ac:dyDescent="0.2">
      <c r="G19968" s="889"/>
    </row>
    <row r="19969" spans="7:7" ht="10.5" customHeight="1" x14ac:dyDescent="0.2">
      <c r="G19969" s="889"/>
    </row>
    <row r="19970" spans="7:7" ht="10.5" customHeight="1" x14ac:dyDescent="0.2">
      <c r="G19970" s="889"/>
    </row>
    <row r="19971" spans="7:7" ht="10.5" customHeight="1" x14ac:dyDescent="0.2">
      <c r="G19971" s="889"/>
    </row>
    <row r="19972" spans="7:7" ht="10.5" customHeight="1" x14ac:dyDescent="0.2">
      <c r="G19972" s="889"/>
    </row>
    <row r="19973" spans="7:7" ht="10.5" customHeight="1" x14ac:dyDescent="0.2">
      <c r="G19973" s="889"/>
    </row>
    <row r="19974" spans="7:7" ht="10.5" customHeight="1" x14ac:dyDescent="0.2">
      <c r="G19974" s="889"/>
    </row>
    <row r="19975" spans="7:7" ht="10.5" customHeight="1" x14ac:dyDescent="0.2">
      <c r="G19975" s="889"/>
    </row>
    <row r="19976" spans="7:7" ht="10.5" customHeight="1" x14ac:dyDescent="0.2">
      <c r="G19976" s="889"/>
    </row>
    <row r="19977" spans="7:7" ht="10.5" customHeight="1" x14ac:dyDescent="0.2">
      <c r="G19977" s="889"/>
    </row>
    <row r="19978" spans="7:7" ht="10.5" customHeight="1" x14ac:dyDescent="0.2">
      <c r="G19978" s="889"/>
    </row>
    <row r="19979" spans="7:7" ht="10.5" customHeight="1" x14ac:dyDescent="0.2">
      <c r="G19979" s="889"/>
    </row>
    <row r="19980" spans="7:7" ht="10.5" customHeight="1" x14ac:dyDescent="0.2">
      <c r="G19980" s="889"/>
    </row>
    <row r="19981" spans="7:7" ht="10.5" customHeight="1" x14ac:dyDescent="0.2">
      <c r="G19981" s="889"/>
    </row>
    <row r="19982" spans="7:7" ht="10.5" customHeight="1" x14ac:dyDescent="0.2">
      <c r="G19982" s="889"/>
    </row>
    <row r="19983" spans="7:7" ht="10.5" customHeight="1" x14ac:dyDescent="0.2">
      <c r="G19983" s="889"/>
    </row>
    <row r="19984" spans="7:7" ht="10.5" customHeight="1" x14ac:dyDescent="0.2">
      <c r="G19984" s="889"/>
    </row>
    <row r="19985" spans="7:7" ht="10.5" customHeight="1" x14ac:dyDescent="0.2">
      <c r="G19985" s="889"/>
    </row>
    <row r="19986" spans="7:7" ht="10.5" customHeight="1" x14ac:dyDescent="0.2">
      <c r="G19986" s="889"/>
    </row>
    <row r="19987" spans="7:7" ht="10.5" customHeight="1" x14ac:dyDescent="0.2">
      <c r="G19987" s="889"/>
    </row>
    <row r="19988" spans="7:7" ht="10.5" customHeight="1" x14ac:dyDescent="0.2">
      <c r="G19988" s="889"/>
    </row>
    <row r="19989" spans="7:7" ht="10.5" customHeight="1" x14ac:dyDescent="0.2">
      <c r="G19989" s="889"/>
    </row>
    <row r="19990" spans="7:7" ht="10.5" customHeight="1" x14ac:dyDescent="0.2">
      <c r="G19990" s="889"/>
    </row>
    <row r="19991" spans="7:7" ht="10.5" customHeight="1" x14ac:dyDescent="0.2">
      <c r="G19991" s="889"/>
    </row>
    <row r="19992" spans="7:7" ht="10.5" customHeight="1" x14ac:dyDescent="0.2">
      <c r="G19992" s="889"/>
    </row>
    <row r="19993" spans="7:7" ht="10.5" customHeight="1" x14ac:dyDescent="0.2">
      <c r="G19993" s="889"/>
    </row>
    <row r="19994" spans="7:7" ht="10.5" customHeight="1" x14ac:dyDescent="0.2">
      <c r="G19994" s="889"/>
    </row>
    <row r="19995" spans="7:7" ht="10.5" customHeight="1" x14ac:dyDescent="0.2">
      <c r="G19995" s="889"/>
    </row>
    <row r="19996" spans="7:7" ht="10.5" customHeight="1" x14ac:dyDescent="0.2">
      <c r="G19996" s="889"/>
    </row>
    <row r="19997" spans="7:7" ht="10.5" customHeight="1" x14ac:dyDescent="0.2">
      <c r="G19997" s="889"/>
    </row>
    <row r="19998" spans="7:7" ht="10.5" customHeight="1" x14ac:dyDescent="0.2">
      <c r="G19998" s="889"/>
    </row>
    <row r="19999" spans="7:7" ht="10.5" customHeight="1" x14ac:dyDescent="0.2">
      <c r="G19999" s="889"/>
    </row>
    <row r="20000" spans="7:7" ht="10.5" customHeight="1" x14ac:dyDescent="0.2">
      <c r="G20000" s="889"/>
    </row>
    <row r="20001" spans="7:7" ht="10.5" customHeight="1" x14ac:dyDescent="0.2">
      <c r="G20001" s="889"/>
    </row>
    <row r="20002" spans="7:7" ht="10.5" customHeight="1" x14ac:dyDescent="0.2">
      <c r="G20002" s="889"/>
    </row>
    <row r="20003" spans="7:7" ht="10.5" customHeight="1" x14ac:dyDescent="0.2">
      <c r="G20003" s="889"/>
    </row>
    <row r="20004" spans="7:7" ht="10.5" customHeight="1" x14ac:dyDescent="0.2">
      <c r="G20004" s="889"/>
    </row>
    <row r="20005" spans="7:7" ht="10.5" customHeight="1" x14ac:dyDescent="0.2">
      <c r="G20005" s="889"/>
    </row>
    <row r="20006" spans="7:7" ht="10.5" customHeight="1" x14ac:dyDescent="0.2">
      <c r="G20006" s="889"/>
    </row>
    <row r="20007" spans="7:7" ht="10.5" customHeight="1" x14ac:dyDescent="0.2">
      <c r="G20007" s="889"/>
    </row>
    <row r="20008" spans="7:7" ht="10.5" customHeight="1" x14ac:dyDescent="0.2">
      <c r="G20008" s="889"/>
    </row>
    <row r="20009" spans="7:7" ht="10.5" customHeight="1" x14ac:dyDescent="0.2">
      <c r="G20009" s="889"/>
    </row>
    <row r="20010" spans="7:7" ht="10.5" customHeight="1" x14ac:dyDescent="0.2">
      <c r="G20010" s="889"/>
    </row>
    <row r="20011" spans="7:7" ht="10.5" customHeight="1" x14ac:dyDescent="0.2">
      <c r="G20011" s="889"/>
    </row>
    <row r="20012" spans="7:7" ht="10.5" customHeight="1" x14ac:dyDescent="0.2">
      <c r="G20012" s="889"/>
    </row>
    <row r="20013" spans="7:7" ht="10.5" customHeight="1" x14ac:dyDescent="0.2">
      <c r="G20013" s="889"/>
    </row>
    <row r="20014" spans="7:7" ht="10.5" customHeight="1" x14ac:dyDescent="0.2">
      <c r="G20014" s="889"/>
    </row>
    <row r="20015" spans="7:7" ht="10.5" customHeight="1" x14ac:dyDescent="0.2">
      <c r="G20015" s="889"/>
    </row>
    <row r="20016" spans="7:7" ht="10.5" customHeight="1" x14ac:dyDescent="0.2">
      <c r="G20016" s="889"/>
    </row>
    <row r="20017" spans="7:7" ht="10.5" customHeight="1" x14ac:dyDescent="0.2">
      <c r="G20017" s="889"/>
    </row>
    <row r="20018" spans="7:7" ht="10.5" customHeight="1" x14ac:dyDescent="0.2">
      <c r="G20018" s="889"/>
    </row>
    <row r="20019" spans="7:7" ht="10.5" customHeight="1" x14ac:dyDescent="0.2">
      <c r="G20019" s="889"/>
    </row>
    <row r="20020" spans="7:7" ht="10.5" customHeight="1" x14ac:dyDescent="0.2">
      <c r="G20020" s="889"/>
    </row>
    <row r="20021" spans="7:7" ht="10.5" customHeight="1" x14ac:dyDescent="0.2">
      <c r="G20021" s="889"/>
    </row>
    <row r="20022" spans="7:7" ht="10.5" customHeight="1" x14ac:dyDescent="0.2">
      <c r="G20022" s="889"/>
    </row>
    <row r="20023" spans="7:7" ht="10.5" customHeight="1" x14ac:dyDescent="0.2">
      <c r="G20023" s="889"/>
    </row>
    <row r="20024" spans="7:7" ht="10.5" customHeight="1" x14ac:dyDescent="0.2">
      <c r="G20024" s="889"/>
    </row>
    <row r="20025" spans="7:7" ht="10.5" customHeight="1" x14ac:dyDescent="0.2">
      <c r="G20025" s="889"/>
    </row>
    <row r="20026" spans="7:7" ht="10.5" customHeight="1" x14ac:dyDescent="0.2">
      <c r="G20026" s="889"/>
    </row>
    <row r="20027" spans="7:7" ht="10.5" customHeight="1" x14ac:dyDescent="0.2">
      <c r="G20027" s="889"/>
    </row>
    <row r="20028" spans="7:7" ht="10.5" customHeight="1" x14ac:dyDescent="0.2">
      <c r="G20028" s="889"/>
    </row>
    <row r="20029" spans="7:7" ht="10.5" customHeight="1" x14ac:dyDescent="0.2">
      <c r="G20029" s="889"/>
    </row>
    <row r="20030" spans="7:7" ht="10.5" customHeight="1" x14ac:dyDescent="0.2">
      <c r="G20030" s="889"/>
    </row>
    <row r="20031" spans="7:7" ht="10.5" customHeight="1" x14ac:dyDescent="0.2">
      <c r="G20031" s="889"/>
    </row>
    <row r="20032" spans="7:7" ht="10.5" customHeight="1" x14ac:dyDescent="0.2">
      <c r="G20032" s="889"/>
    </row>
    <row r="20033" spans="7:7" ht="10.5" customHeight="1" x14ac:dyDescent="0.2">
      <c r="G20033" s="889"/>
    </row>
    <row r="20034" spans="7:7" ht="10.5" customHeight="1" x14ac:dyDescent="0.2">
      <c r="G20034" s="889"/>
    </row>
    <row r="20035" spans="7:7" ht="10.5" customHeight="1" x14ac:dyDescent="0.2">
      <c r="G20035" s="889"/>
    </row>
    <row r="20036" spans="7:7" ht="10.5" customHeight="1" x14ac:dyDescent="0.2">
      <c r="G20036" s="889"/>
    </row>
    <row r="20037" spans="7:7" ht="10.5" customHeight="1" x14ac:dyDescent="0.2">
      <c r="G20037" s="889"/>
    </row>
    <row r="20038" spans="7:7" ht="10.5" customHeight="1" x14ac:dyDescent="0.2">
      <c r="G20038" s="889"/>
    </row>
    <row r="20039" spans="7:7" ht="10.5" customHeight="1" x14ac:dyDescent="0.2">
      <c r="G20039" s="889"/>
    </row>
    <row r="20040" spans="7:7" ht="10.5" customHeight="1" x14ac:dyDescent="0.2">
      <c r="G20040" s="889"/>
    </row>
    <row r="20041" spans="7:7" ht="10.5" customHeight="1" x14ac:dyDescent="0.2">
      <c r="G20041" s="889"/>
    </row>
    <row r="20042" spans="7:7" ht="10.5" customHeight="1" x14ac:dyDescent="0.2">
      <c r="G20042" s="889"/>
    </row>
    <row r="20043" spans="7:7" ht="10.5" customHeight="1" x14ac:dyDescent="0.2">
      <c r="G20043" s="889"/>
    </row>
    <row r="20044" spans="7:7" ht="10.5" customHeight="1" x14ac:dyDescent="0.2">
      <c r="G20044" s="889"/>
    </row>
    <row r="20045" spans="7:7" ht="10.5" customHeight="1" x14ac:dyDescent="0.2">
      <c r="G20045" s="889"/>
    </row>
    <row r="20046" spans="7:7" ht="10.5" customHeight="1" x14ac:dyDescent="0.2">
      <c r="G20046" s="889"/>
    </row>
    <row r="20047" spans="7:7" ht="10.5" customHeight="1" x14ac:dyDescent="0.2">
      <c r="G20047" s="889"/>
    </row>
    <row r="20048" spans="7:7" ht="10.5" customHeight="1" x14ac:dyDescent="0.2">
      <c r="G20048" s="889"/>
    </row>
    <row r="20049" spans="7:7" ht="10.5" customHeight="1" x14ac:dyDescent="0.2">
      <c r="G20049" s="889"/>
    </row>
    <row r="20050" spans="7:7" ht="10.5" customHeight="1" x14ac:dyDescent="0.2">
      <c r="G20050" s="889"/>
    </row>
    <row r="20051" spans="7:7" ht="10.5" customHeight="1" x14ac:dyDescent="0.2">
      <c r="G20051" s="889"/>
    </row>
    <row r="20052" spans="7:7" ht="10.5" customHeight="1" x14ac:dyDescent="0.2">
      <c r="G20052" s="889"/>
    </row>
    <row r="20053" spans="7:7" ht="10.5" customHeight="1" x14ac:dyDescent="0.2">
      <c r="G20053" s="889"/>
    </row>
    <row r="20054" spans="7:7" ht="10.5" customHeight="1" x14ac:dyDescent="0.2">
      <c r="G20054" s="889"/>
    </row>
    <row r="20055" spans="7:7" ht="10.5" customHeight="1" x14ac:dyDescent="0.2">
      <c r="G20055" s="889"/>
    </row>
    <row r="20056" spans="7:7" ht="10.5" customHeight="1" x14ac:dyDescent="0.2">
      <c r="G20056" s="889"/>
    </row>
    <row r="20057" spans="7:7" ht="10.5" customHeight="1" x14ac:dyDescent="0.2">
      <c r="G20057" s="889"/>
    </row>
    <row r="20058" spans="7:7" ht="10.5" customHeight="1" x14ac:dyDescent="0.2">
      <c r="G20058" s="889"/>
    </row>
    <row r="20059" spans="7:7" ht="10.5" customHeight="1" x14ac:dyDescent="0.2">
      <c r="G20059" s="889"/>
    </row>
    <row r="20060" spans="7:7" ht="10.5" customHeight="1" x14ac:dyDescent="0.2">
      <c r="G20060" s="889"/>
    </row>
    <row r="20061" spans="7:7" ht="10.5" customHeight="1" x14ac:dyDescent="0.2">
      <c r="G20061" s="889"/>
    </row>
    <row r="20062" spans="7:7" ht="10.5" customHeight="1" x14ac:dyDescent="0.2">
      <c r="G20062" s="889"/>
    </row>
    <row r="20063" spans="7:7" ht="10.5" customHeight="1" x14ac:dyDescent="0.2">
      <c r="G20063" s="889"/>
    </row>
    <row r="20064" spans="7:7" ht="10.5" customHeight="1" x14ac:dyDescent="0.2">
      <c r="G20064" s="889"/>
    </row>
    <row r="20065" spans="7:7" ht="10.5" customHeight="1" x14ac:dyDescent="0.2">
      <c r="G20065" s="889"/>
    </row>
    <row r="20066" spans="7:7" ht="10.5" customHeight="1" x14ac:dyDescent="0.2">
      <c r="G20066" s="889"/>
    </row>
    <row r="20067" spans="7:7" ht="10.5" customHeight="1" x14ac:dyDescent="0.2">
      <c r="G20067" s="889"/>
    </row>
    <row r="20068" spans="7:7" ht="10.5" customHeight="1" x14ac:dyDescent="0.2">
      <c r="G20068" s="889"/>
    </row>
    <row r="20069" spans="7:7" ht="10.5" customHeight="1" x14ac:dyDescent="0.2">
      <c r="G20069" s="889"/>
    </row>
    <row r="20070" spans="7:7" ht="10.5" customHeight="1" x14ac:dyDescent="0.2">
      <c r="G20070" s="889"/>
    </row>
    <row r="20071" spans="7:7" ht="10.5" customHeight="1" x14ac:dyDescent="0.2">
      <c r="G20071" s="889"/>
    </row>
    <row r="20072" spans="7:7" ht="10.5" customHeight="1" x14ac:dyDescent="0.2">
      <c r="G20072" s="889"/>
    </row>
    <row r="20073" spans="7:7" ht="10.5" customHeight="1" x14ac:dyDescent="0.2">
      <c r="G20073" s="889"/>
    </row>
    <row r="20074" spans="7:7" ht="10.5" customHeight="1" x14ac:dyDescent="0.2">
      <c r="G20074" s="889"/>
    </row>
    <row r="20075" spans="7:7" ht="10.5" customHeight="1" x14ac:dyDescent="0.2">
      <c r="G20075" s="889"/>
    </row>
    <row r="20076" spans="7:7" ht="10.5" customHeight="1" x14ac:dyDescent="0.2">
      <c r="G20076" s="889"/>
    </row>
    <row r="20077" spans="7:7" ht="10.5" customHeight="1" x14ac:dyDescent="0.2">
      <c r="G20077" s="889"/>
    </row>
    <row r="20078" spans="7:7" ht="10.5" customHeight="1" x14ac:dyDescent="0.2">
      <c r="G20078" s="889"/>
    </row>
    <row r="20079" spans="7:7" ht="10.5" customHeight="1" x14ac:dyDescent="0.2">
      <c r="G20079" s="889"/>
    </row>
    <row r="20080" spans="7:7" ht="10.5" customHeight="1" x14ac:dyDescent="0.2">
      <c r="G20080" s="889"/>
    </row>
    <row r="20081" spans="7:7" ht="10.5" customHeight="1" x14ac:dyDescent="0.2">
      <c r="G20081" s="889"/>
    </row>
    <row r="20082" spans="7:7" ht="10.5" customHeight="1" x14ac:dyDescent="0.2">
      <c r="G20082" s="889"/>
    </row>
    <row r="20083" spans="7:7" ht="10.5" customHeight="1" x14ac:dyDescent="0.2">
      <c r="G20083" s="889"/>
    </row>
    <row r="20084" spans="7:7" ht="10.5" customHeight="1" x14ac:dyDescent="0.2">
      <c r="G20084" s="889"/>
    </row>
    <row r="20085" spans="7:7" ht="10.5" customHeight="1" x14ac:dyDescent="0.2">
      <c r="G20085" s="889"/>
    </row>
    <row r="20086" spans="7:7" ht="10.5" customHeight="1" x14ac:dyDescent="0.2">
      <c r="G20086" s="889"/>
    </row>
    <row r="20087" spans="7:7" ht="10.5" customHeight="1" x14ac:dyDescent="0.2">
      <c r="G20087" s="889"/>
    </row>
    <row r="20088" spans="7:7" ht="10.5" customHeight="1" x14ac:dyDescent="0.2">
      <c r="G20088" s="889"/>
    </row>
    <row r="20089" spans="7:7" ht="10.5" customHeight="1" x14ac:dyDescent="0.2">
      <c r="G20089" s="889"/>
    </row>
    <row r="20090" spans="7:7" ht="10.5" customHeight="1" x14ac:dyDescent="0.2">
      <c r="G20090" s="889"/>
    </row>
    <row r="20091" spans="7:7" ht="10.5" customHeight="1" x14ac:dyDescent="0.2">
      <c r="G20091" s="889"/>
    </row>
    <row r="20092" spans="7:7" ht="10.5" customHeight="1" x14ac:dyDescent="0.2">
      <c r="G20092" s="889"/>
    </row>
    <row r="20093" spans="7:7" ht="10.5" customHeight="1" x14ac:dyDescent="0.2">
      <c r="G20093" s="889"/>
    </row>
    <row r="20094" spans="7:7" ht="10.5" customHeight="1" x14ac:dyDescent="0.2">
      <c r="G20094" s="889"/>
    </row>
    <row r="20095" spans="7:7" ht="10.5" customHeight="1" x14ac:dyDescent="0.2">
      <c r="G20095" s="889"/>
    </row>
    <row r="20096" spans="7:7" ht="10.5" customHeight="1" x14ac:dyDescent="0.2">
      <c r="G20096" s="889"/>
    </row>
    <row r="20097" spans="7:7" ht="10.5" customHeight="1" x14ac:dyDescent="0.2">
      <c r="G20097" s="889"/>
    </row>
    <row r="20098" spans="7:7" ht="10.5" customHeight="1" x14ac:dyDescent="0.2">
      <c r="G20098" s="889"/>
    </row>
    <row r="20099" spans="7:7" ht="10.5" customHeight="1" x14ac:dyDescent="0.2">
      <c r="G20099" s="889"/>
    </row>
    <row r="20100" spans="7:7" ht="10.5" customHeight="1" x14ac:dyDescent="0.2">
      <c r="G20100" s="889"/>
    </row>
    <row r="20101" spans="7:7" ht="10.5" customHeight="1" x14ac:dyDescent="0.2">
      <c r="G20101" s="889"/>
    </row>
    <row r="20102" spans="7:7" ht="10.5" customHeight="1" x14ac:dyDescent="0.2">
      <c r="G20102" s="889"/>
    </row>
    <row r="20103" spans="7:7" ht="10.5" customHeight="1" x14ac:dyDescent="0.2">
      <c r="G20103" s="889"/>
    </row>
    <row r="20104" spans="7:7" ht="10.5" customHeight="1" x14ac:dyDescent="0.2">
      <c r="G20104" s="889"/>
    </row>
    <row r="20105" spans="7:7" ht="10.5" customHeight="1" x14ac:dyDescent="0.2">
      <c r="G20105" s="889"/>
    </row>
    <row r="20106" spans="7:7" ht="10.5" customHeight="1" x14ac:dyDescent="0.2">
      <c r="G20106" s="889"/>
    </row>
    <row r="20107" spans="7:7" ht="10.5" customHeight="1" x14ac:dyDescent="0.2">
      <c r="G20107" s="889"/>
    </row>
    <row r="20108" spans="7:7" ht="10.5" customHeight="1" x14ac:dyDescent="0.2">
      <c r="G20108" s="889"/>
    </row>
    <row r="20109" spans="7:7" ht="10.5" customHeight="1" x14ac:dyDescent="0.2">
      <c r="G20109" s="889"/>
    </row>
    <row r="20110" spans="7:7" ht="10.5" customHeight="1" x14ac:dyDescent="0.2">
      <c r="G20110" s="889"/>
    </row>
    <row r="20111" spans="7:7" ht="10.5" customHeight="1" x14ac:dyDescent="0.2">
      <c r="G20111" s="889"/>
    </row>
    <row r="20112" spans="7:7" ht="10.5" customHeight="1" x14ac:dyDescent="0.2">
      <c r="G20112" s="889"/>
    </row>
    <row r="20113" spans="7:7" ht="10.5" customHeight="1" x14ac:dyDescent="0.2">
      <c r="G20113" s="889"/>
    </row>
    <row r="20114" spans="7:7" ht="10.5" customHeight="1" x14ac:dyDescent="0.2">
      <c r="G20114" s="889"/>
    </row>
    <row r="20115" spans="7:7" ht="10.5" customHeight="1" x14ac:dyDescent="0.2">
      <c r="G20115" s="889"/>
    </row>
    <row r="20116" spans="7:7" ht="10.5" customHeight="1" x14ac:dyDescent="0.2">
      <c r="G20116" s="889"/>
    </row>
    <row r="20117" spans="7:7" ht="10.5" customHeight="1" x14ac:dyDescent="0.2">
      <c r="G20117" s="889"/>
    </row>
    <row r="20118" spans="7:7" ht="10.5" customHeight="1" x14ac:dyDescent="0.2">
      <c r="G20118" s="889"/>
    </row>
    <row r="20119" spans="7:7" ht="10.5" customHeight="1" x14ac:dyDescent="0.2">
      <c r="G20119" s="889"/>
    </row>
    <row r="20120" spans="7:7" ht="10.5" customHeight="1" x14ac:dyDescent="0.2">
      <c r="G20120" s="889"/>
    </row>
    <row r="20121" spans="7:7" ht="10.5" customHeight="1" x14ac:dyDescent="0.2">
      <c r="G20121" s="889"/>
    </row>
    <row r="20122" spans="7:7" ht="10.5" customHeight="1" x14ac:dyDescent="0.2">
      <c r="G20122" s="889"/>
    </row>
    <row r="20123" spans="7:7" ht="10.5" customHeight="1" x14ac:dyDescent="0.2">
      <c r="G20123" s="889"/>
    </row>
    <row r="20124" spans="7:7" ht="10.5" customHeight="1" x14ac:dyDescent="0.2">
      <c r="G20124" s="889"/>
    </row>
    <row r="20125" spans="7:7" ht="10.5" customHeight="1" x14ac:dyDescent="0.2">
      <c r="G20125" s="889"/>
    </row>
    <row r="20126" spans="7:7" ht="10.5" customHeight="1" x14ac:dyDescent="0.2">
      <c r="G20126" s="889"/>
    </row>
    <row r="20127" spans="7:7" ht="10.5" customHeight="1" x14ac:dyDescent="0.2">
      <c r="G20127" s="889"/>
    </row>
    <row r="20128" spans="7:7" ht="10.5" customHeight="1" x14ac:dyDescent="0.2">
      <c r="G20128" s="889"/>
    </row>
    <row r="20129" spans="7:7" ht="10.5" customHeight="1" x14ac:dyDescent="0.2">
      <c r="G20129" s="889"/>
    </row>
    <row r="20130" spans="7:7" ht="10.5" customHeight="1" x14ac:dyDescent="0.2">
      <c r="G20130" s="889"/>
    </row>
    <row r="20131" spans="7:7" ht="10.5" customHeight="1" x14ac:dyDescent="0.2">
      <c r="G20131" s="889"/>
    </row>
    <row r="20132" spans="7:7" ht="10.5" customHeight="1" x14ac:dyDescent="0.2">
      <c r="G20132" s="889"/>
    </row>
    <row r="20133" spans="7:7" ht="10.5" customHeight="1" x14ac:dyDescent="0.2">
      <c r="G20133" s="889"/>
    </row>
    <row r="20134" spans="7:7" ht="10.5" customHeight="1" x14ac:dyDescent="0.2">
      <c r="G20134" s="889"/>
    </row>
    <row r="20135" spans="7:7" ht="10.5" customHeight="1" x14ac:dyDescent="0.2">
      <c r="G20135" s="889"/>
    </row>
    <row r="20136" spans="7:7" ht="10.5" customHeight="1" x14ac:dyDescent="0.2">
      <c r="G20136" s="889"/>
    </row>
    <row r="20137" spans="7:7" ht="10.5" customHeight="1" x14ac:dyDescent="0.2">
      <c r="G20137" s="889"/>
    </row>
    <row r="20138" spans="7:7" ht="10.5" customHeight="1" x14ac:dyDescent="0.2">
      <c r="G20138" s="889"/>
    </row>
    <row r="20139" spans="7:7" ht="10.5" customHeight="1" x14ac:dyDescent="0.2">
      <c r="G20139" s="889"/>
    </row>
    <row r="20140" spans="7:7" ht="10.5" customHeight="1" x14ac:dyDescent="0.2">
      <c r="G20140" s="889"/>
    </row>
    <row r="20141" spans="7:7" ht="10.5" customHeight="1" x14ac:dyDescent="0.2">
      <c r="G20141" s="889"/>
    </row>
    <row r="20142" spans="7:7" ht="10.5" customHeight="1" x14ac:dyDescent="0.2">
      <c r="G20142" s="889"/>
    </row>
    <row r="20143" spans="7:7" ht="10.5" customHeight="1" x14ac:dyDescent="0.2">
      <c r="G20143" s="889"/>
    </row>
    <row r="20144" spans="7:7" ht="10.5" customHeight="1" x14ac:dyDescent="0.2">
      <c r="G20144" s="889"/>
    </row>
    <row r="20145" spans="7:7" ht="10.5" customHeight="1" x14ac:dyDescent="0.2">
      <c r="G20145" s="889"/>
    </row>
    <row r="20146" spans="7:7" ht="10.5" customHeight="1" x14ac:dyDescent="0.2">
      <c r="G20146" s="889"/>
    </row>
    <row r="20147" spans="7:7" ht="10.5" customHeight="1" x14ac:dyDescent="0.2">
      <c r="G20147" s="889"/>
    </row>
    <row r="20148" spans="7:7" ht="10.5" customHeight="1" x14ac:dyDescent="0.2">
      <c r="G20148" s="889"/>
    </row>
    <row r="20149" spans="7:7" ht="10.5" customHeight="1" x14ac:dyDescent="0.2">
      <c r="G20149" s="889"/>
    </row>
    <row r="20150" spans="7:7" ht="10.5" customHeight="1" x14ac:dyDescent="0.2">
      <c r="G20150" s="889"/>
    </row>
    <row r="20151" spans="7:7" ht="10.5" customHeight="1" x14ac:dyDescent="0.2">
      <c r="G20151" s="889"/>
    </row>
    <row r="20152" spans="7:7" ht="10.5" customHeight="1" x14ac:dyDescent="0.2">
      <c r="G20152" s="889"/>
    </row>
    <row r="20153" spans="7:7" ht="10.5" customHeight="1" x14ac:dyDescent="0.2">
      <c r="G20153" s="889"/>
    </row>
    <row r="20154" spans="7:7" ht="10.5" customHeight="1" x14ac:dyDescent="0.2">
      <c r="G20154" s="889"/>
    </row>
    <row r="20155" spans="7:7" ht="10.5" customHeight="1" x14ac:dyDescent="0.2">
      <c r="G20155" s="889"/>
    </row>
    <row r="20156" spans="7:7" ht="10.5" customHeight="1" x14ac:dyDescent="0.2">
      <c r="G20156" s="889"/>
    </row>
    <row r="20157" spans="7:7" ht="10.5" customHeight="1" x14ac:dyDescent="0.2">
      <c r="G20157" s="889"/>
    </row>
    <row r="20158" spans="7:7" ht="10.5" customHeight="1" x14ac:dyDescent="0.2">
      <c r="G20158" s="889"/>
    </row>
    <row r="20159" spans="7:7" ht="10.5" customHeight="1" x14ac:dyDescent="0.2">
      <c r="G20159" s="889"/>
    </row>
    <row r="20160" spans="7:7" ht="10.5" customHeight="1" x14ac:dyDescent="0.2">
      <c r="G20160" s="889"/>
    </row>
    <row r="20161" spans="7:7" ht="10.5" customHeight="1" x14ac:dyDescent="0.2">
      <c r="G20161" s="889"/>
    </row>
    <row r="20162" spans="7:7" ht="10.5" customHeight="1" x14ac:dyDescent="0.2">
      <c r="G20162" s="889"/>
    </row>
    <row r="20163" spans="7:7" ht="10.5" customHeight="1" x14ac:dyDescent="0.2">
      <c r="G20163" s="889"/>
    </row>
    <row r="20164" spans="7:7" ht="10.5" customHeight="1" x14ac:dyDescent="0.2">
      <c r="G20164" s="889"/>
    </row>
    <row r="20165" spans="7:7" ht="10.5" customHeight="1" x14ac:dyDescent="0.2">
      <c r="G20165" s="889"/>
    </row>
    <row r="20166" spans="7:7" ht="10.5" customHeight="1" x14ac:dyDescent="0.2">
      <c r="G20166" s="889"/>
    </row>
    <row r="20167" spans="7:7" ht="10.5" customHeight="1" x14ac:dyDescent="0.2">
      <c r="G20167" s="889"/>
    </row>
    <row r="20168" spans="7:7" ht="10.5" customHeight="1" x14ac:dyDescent="0.2">
      <c r="G20168" s="889"/>
    </row>
    <row r="20169" spans="7:7" ht="10.5" customHeight="1" x14ac:dyDescent="0.2">
      <c r="G20169" s="889"/>
    </row>
    <row r="20170" spans="7:7" ht="10.5" customHeight="1" x14ac:dyDescent="0.2">
      <c r="G20170" s="889"/>
    </row>
    <row r="20171" spans="7:7" ht="10.5" customHeight="1" x14ac:dyDescent="0.2">
      <c r="G20171" s="889"/>
    </row>
    <row r="20172" spans="7:7" ht="10.5" customHeight="1" x14ac:dyDescent="0.2">
      <c r="G20172" s="889"/>
    </row>
    <row r="20173" spans="7:7" ht="10.5" customHeight="1" x14ac:dyDescent="0.2">
      <c r="G20173" s="889"/>
    </row>
    <row r="20174" spans="7:7" ht="10.5" customHeight="1" x14ac:dyDescent="0.2">
      <c r="G20174" s="889"/>
    </row>
    <row r="20175" spans="7:7" ht="10.5" customHeight="1" x14ac:dyDescent="0.2">
      <c r="G20175" s="889"/>
    </row>
    <row r="20176" spans="7:7" ht="10.5" customHeight="1" x14ac:dyDescent="0.2">
      <c r="G20176" s="889"/>
    </row>
    <row r="20177" spans="7:7" ht="10.5" customHeight="1" x14ac:dyDescent="0.2">
      <c r="G20177" s="889"/>
    </row>
    <row r="20178" spans="7:7" ht="10.5" customHeight="1" x14ac:dyDescent="0.2">
      <c r="G20178" s="889"/>
    </row>
    <row r="20179" spans="7:7" ht="10.5" customHeight="1" x14ac:dyDescent="0.2">
      <c r="G20179" s="889"/>
    </row>
    <row r="20180" spans="7:7" ht="10.5" customHeight="1" x14ac:dyDescent="0.2">
      <c r="G20180" s="889"/>
    </row>
    <row r="20181" spans="7:7" ht="10.5" customHeight="1" x14ac:dyDescent="0.2">
      <c r="G20181" s="889"/>
    </row>
    <row r="20182" spans="7:7" ht="10.5" customHeight="1" x14ac:dyDescent="0.2">
      <c r="G20182" s="889"/>
    </row>
    <row r="20183" spans="7:7" ht="10.5" customHeight="1" x14ac:dyDescent="0.2">
      <c r="G20183" s="889"/>
    </row>
    <row r="20184" spans="7:7" ht="10.5" customHeight="1" x14ac:dyDescent="0.2">
      <c r="G20184" s="889"/>
    </row>
    <row r="20185" spans="7:7" ht="10.5" customHeight="1" x14ac:dyDescent="0.2">
      <c r="G20185" s="889"/>
    </row>
    <row r="20186" spans="7:7" ht="10.5" customHeight="1" x14ac:dyDescent="0.2">
      <c r="G20186" s="889"/>
    </row>
    <row r="20187" spans="7:7" ht="10.5" customHeight="1" x14ac:dyDescent="0.2">
      <c r="G20187" s="889"/>
    </row>
    <row r="20188" spans="7:7" ht="10.5" customHeight="1" x14ac:dyDescent="0.2">
      <c r="G20188" s="889"/>
    </row>
    <row r="20189" spans="7:7" ht="10.5" customHeight="1" x14ac:dyDescent="0.2">
      <c r="G20189" s="889"/>
    </row>
    <row r="20190" spans="7:7" ht="10.5" customHeight="1" x14ac:dyDescent="0.2">
      <c r="G20190" s="889"/>
    </row>
    <row r="20191" spans="7:7" ht="10.5" customHeight="1" x14ac:dyDescent="0.2">
      <c r="G20191" s="889"/>
    </row>
    <row r="20192" spans="7:7" ht="10.5" customHeight="1" x14ac:dyDescent="0.2">
      <c r="G20192" s="889"/>
    </row>
    <row r="20193" spans="7:7" ht="10.5" customHeight="1" x14ac:dyDescent="0.2">
      <c r="G20193" s="889"/>
    </row>
    <row r="20194" spans="7:7" ht="10.5" customHeight="1" x14ac:dyDescent="0.2">
      <c r="G20194" s="889"/>
    </row>
    <row r="20195" spans="7:7" ht="10.5" customHeight="1" x14ac:dyDescent="0.2">
      <c r="G20195" s="889"/>
    </row>
    <row r="20196" spans="7:7" ht="10.5" customHeight="1" x14ac:dyDescent="0.2">
      <c r="G20196" s="889"/>
    </row>
    <row r="20197" spans="7:7" ht="10.5" customHeight="1" x14ac:dyDescent="0.2">
      <c r="G20197" s="889"/>
    </row>
    <row r="20198" spans="7:7" ht="10.5" customHeight="1" x14ac:dyDescent="0.2">
      <c r="G20198" s="889"/>
    </row>
    <row r="20199" spans="7:7" ht="10.5" customHeight="1" x14ac:dyDescent="0.2">
      <c r="G20199" s="889"/>
    </row>
    <row r="20200" spans="7:7" ht="10.5" customHeight="1" x14ac:dyDescent="0.2">
      <c r="G20200" s="889"/>
    </row>
    <row r="20201" spans="7:7" ht="10.5" customHeight="1" x14ac:dyDescent="0.2">
      <c r="G20201" s="889"/>
    </row>
    <row r="20202" spans="7:7" ht="10.5" customHeight="1" x14ac:dyDescent="0.2">
      <c r="G20202" s="889"/>
    </row>
    <row r="20203" spans="7:7" ht="10.5" customHeight="1" x14ac:dyDescent="0.2">
      <c r="G20203" s="889"/>
    </row>
    <row r="20204" spans="7:7" ht="10.5" customHeight="1" x14ac:dyDescent="0.2">
      <c r="G20204" s="889"/>
    </row>
    <row r="20205" spans="7:7" ht="10.5" customHeight="1" x14ac:dyDescent="0.2">
      <c r="G20205" s="889"/>
    </row>
    <row r="20206" spans="7:7" ht="10.5" customHeight="1" x14ac:dyDescent="0.2">
      <c r="G20206" s="889"/>
    </row>
    <row r="20207" spans="7:7" ht="10.5" customHeight="1" x14ac:dyDescent="0.2">
      <c r="G20207" s="889"/>
    </row>
    <row r="20208" spans="7:7" ht="10.5" customHeight="1" x14ac:dyDescent="0.2">
      <c r="G20208" s="889"/>
    </row>
    <row r="20209" spans="7:7" ht="10.5" customHeight="1" x14ac:dyDescent="0.2">
      <c r="G20209" s="889"/>
    </row>
    <row r="20210" spans="7:7" ht="10.5" customHeight="1" x14ac:dyDescent="0.2">
      <c r="G20210" s="889"/>
    </row>
    <row r="20211" spans="7:7" ht="10.5" customHeight="1" x14ac:dyDescent="0.2">
      <c r="G20211" s="889"/>
    </row>
    <row r="20212" spans="7:7" ht="10.5" customHeight="1" x14ac:dyDescent="0.2">
      <c r="G20212" s="889"/>
    </row>
    <row r="20213" spans="7:7" ht="10.5" customHeight="1" x14ac:dyDescent="0.2">
      <c r="G20213" s="889"/>
    </row>
    <row r="20214" spans="7:7" ht="10.5" customHeight="1" x14ac:dyDescent="0.2">
      <c r="G20214" s="889"/>
    </row>
    <row r="20215" spans="7:7" ht="10.5" customHeight="1" x14ac:dyDescent="0.2">
      <c r="G20215" s="889"/>
    </row>
    <row r="20216" spans="7:7" ht="10.5" customHeight="1" x14ac:dyDescent="0.2">
      <c r="G20216" s="889"/>
    </row>
    <row r="20217" spans="7:7" ht="10.5" customHeight="1" x14ac:dyDescent="0.2">
      <c r="G20217" s="889"/>
    </row>
    <row r="20218" spans="7:7" ht="10.5" customHeight="1" x14ac:dyDescent="0.2">
      <c r="G20218" s="889"/>
    </row>
    <row r="20219" spans="7:7" ht="10.5" customHeight="1" x14ac:dyDescent="0.2">
      <c r="G20219" s="889"/>
    </row>
    <row r="20220" spans="7:7" ht="10.5" customHeight="1" x14ac:dyDescent="0.2">
      <c r="G20220" s="889"/>
    </row>
    <row r="20221" spans="7:7" ht="10.5" customHeight="1" x14ac:dyDescent="0.2">
      <c r="G20221" s="889"/>
    </row>
    <row r="20222" spans="7:7" ht="10.5" customHeight="1" x14ac:dyDescent="0.2">
      <c r="G20222" s="889"/>
    </row>
    <row r="20223" spans="7:7" ht="10.5" customHeight="1" x14ac:dyDescent="0.2">
      <c r="G20223" s="889"/>
    </row>
    <row r="20224" spans="7:7" ht="10.5" customHeight="1" x14ac:dyDescent="0.2">
      <c r="G20224" s="889"/>
    </row>
    <row r="20225" spans="7:7" ht="10.5" customHeight="1" x14ac:dyDescent="0.2">
      <c r="G20225" s="889"/>
    </row>
    <row r="20226" spans="7:7" ht="10.5" customHeight="1" x14ac:dyDescent="0.2">
      <c r="G20226" s="889"/>
    </row>
    <row r="20227" spans="7:7" ht="10.5" customHeight="1" x14ac:dyDescent="0.2">
      <c r="G20227" s="889"/>
    </row>
    <row r="20228" spans="7:7" ht="10.5" customHeight="1" x14ac:dyDescent="0.2">
      <c r="G20228" s="889"/>
    </row>
    <row r="20229" spans="7:7" ht="10.5" customHeight="1" x14ac:dyDescent="0.2">
      <c r="G20229" s="889"/>
    </row>
    <row r="20230" spans="7:7" ht="10.5" customHeight="1" x14ac:dyDescent="0.2">
      <c r="G20230" s="889"/>
    </row>
    <row r="20231" spans="7:7" ht="10.5" customHeight="1" x14ac:dyDescent="0.2">
      <c r="G20231" s="889"/>
    </row>
    <row r="20232" spans="7:7" ht="10.5" customHeight="1" x14ac:dyDescent="0.2">
      <c r="G20232" s="889"/>
    </row>
    <row r="20233" spans="7:7" ht="10.5" customHeight="1" x14ac:dyDescent="0.2">
      <c r="G20233" s="889"/>
    </row>
    <row r="20234" spans="7:7" ht="10.5" customHeight="1" x14ac:dyDescent="0.2">
      <c r="G20234" s="889"/>
    </row>
    <row r="20235" spans="7:7" ht="10.5" customHeight="1" x14ac:dyDescent="0.2">
      <c r="G20235" s="889"/>
    </row>
    <row r="20236" spans="7:7" ht="10.5" customHeight="1" x14ac:dyDescent="0.2">
      <c r="G20236" s="889"/>
    </row>
    <row r="20237" spans="7:7" ht="10.5" customHeight="1" x14ac:dyDescent="0.2">
      <c r="G20237" s="889"/>
    </row>
    <row r="20238" spans="7:7" ht="10.5" customHeight="1" x14ac:dyDescent="0.2">
      <c r="G20238" s="889"/>
    </row>
    <row r="20239" spans="7:7" ht="10.5" customHeight="1" x14ac:dyDescent="0.2">
      <c r="G20239" s="889"/>
    </row>
    <row r="20240" spans="7:7" ht="10.5" customHeight="1" x14ac:dyDescent="0.2">
      <c r="G20240" s="889"/>
    </row>
    <row r="20241" spans="7:7" ht="10.5" customHeight="1" x14ac:dyDescent="0.2">
      <c r="G20241" s="889"/>
    </row>
    <row r="20242" spans="7:7" ht="10.5" customHeight="1" x14ac:dyDescent="0.2">
      <c r="G20242" s="889"/>
    </row>
    <row r="20243" spans="7:7" ht="10.5" customHeight="1" x14ac:dyDescent="0.2">
      <c r="G20243" s="889"/>
    </row>
    <row r="20244" spans="7:7" ht="10.5" customHeight="1" x14ac:dyDescent="0.2">
      <c r="G20244" s="889"/>
    </row>
    <row r="20245" spans="7:7" ht="10.5" customHeight="1" x14ac:dyDescent="0.2">
      <c r="G20245" s="889"/>
    </row>
    <row r="20246" spans="7:7" ht="10.5" customHeight="1" x14ac:dyDescent="0.2">
      <c r="G20246" s="889"/>
    </row>
    <row r="20247" spans="7:7" ht="10.5" customHeight="1" x14ac:dyDescent="0.2">
      <c r="G20247" s="889"/>
    </row>
    <row r="20248" spans="7:7" ht="10.5" customHeight="1" x14ac:dyDescent="0.2">
      <c r="G20248" s="889"/>
    </row>
    <row r="20249" spans="7:7" ht="10.5" customHeight="1" x14ac:dyDescent="0.2">
      <c r="G20249" s="889"/>
    </row>
    <row r="20250" spans="7:7" ht="10.5" customHeight="1" x14ac:dyDescent="0.2">
      <c r="G20250" s="889"/>
    </row>
    <row r="20251" spans="7:7" ht="10.5" customHeight="1" x14ac:dyDescent="0.2">
      <c r="G20251" s="889"/>
    </row>
    <row r="20252" spans="7:7" ht="10.5" customHeight="1" x14ac:dyDescent="0.2">
      <c r="G20252" s="889"/>
    </row>
    <row r="20253" spans="7:7" ht="10.5" customHeight="1" x14ac:dyDescent="0.2">
      <c r="G20253" s="889"/>
    </row>
    <row r="20254" spans="7:7" ht="10.5" customHeight="1" x14ac:dyDescent="0.2">
      <c r="G20254" s="889"/>
    </row>
    <row r="20255" spans="7:7" ht="10.5" customHeight="1" x14ac:dyDescent="0.2">
      <c r="G20255" s="889"/>
    </row>
    <row r="20256" spans="7:7" ht="10.5" customHeight="1" x14ac:dyDescent="0.2">
      <c r="G20256" s="889"/>
    </row>
    <row r="20257" spans="7:7" ht="10.5" customHeight="1" x14ac:dyDescent="0.2">
      <c r="G20257" s="889"/>
    </row>
    <row r="20258" spans="7:7" ht="10.5" customHeight="1" x14ac:dyDescent="0.2">
      <c r="G20258" s="889"/>
    </row>
    <row r="20259" spans="7:7" ht="10.5" customHeight="1" x14ac:dyDescent="0.2">
      <c r="G20259" s="889"/>
    </row>
    <row r="20260" spans="7:7" ht="10.5" customHeight="1" x14ac:dyDescent="0.2">
      <c r="G20260" s="889"/>
    </row>
    <row r="20261" spans="7:7" ht="10.5" customHeight="1" x14ac:dyDescent="0.2">
      <c r="G20261" s="889"/>
    </row>
    <row r="20262" spans="7:7" ht="10.5" customHeight="1" x14ac:dyDescent="0.2">
      <c r="G20262" s="889"/>
    </row>
    <row r="20263" spans="7:7" ht="10.5" customHeight="1" x14ac:dyDescent="0.2">
      <c r="G20263" s="889"/>
    </row>
    <row r="20264" spans="7:7" ht="10.5" customHeight="1" x14ac:dyDescent="0.2">
      <c r="G20264" s="889"/>
    </row>
    <row r="20265" spans="7:7" ht="10.5" customHeight="1" x14ac:dyDescent="0.2">
      <c r="G20265" s="889"/>
    </row>
    <row r="20266" spans="7:7" ht="10.5" customHeight="1" x14ac:dyDescent="0.2">
      <c r="G20266" s="889"/>
    </row>
    <row r="20267" spans="7:7" ht="10.5" customHeight="1" x14ac:dyDescent="0.2">
      <c r="G20267" s="889"/>
    </row>
    <row r="20268" spans="7:7" ht="10.5" customHeight="1" x14ac:dyDescent="0.2">
      <c r="G20268" s="889"/>
    </row>
    <row r="20269" spans="7:7" ht="10.5" customHeight="1" x14ac:dyDescent="0.2">
      <c r="G20269" s="889"/>
    </row>
    <row r="20270" spans="7:7" ht="10.5" customHeight="1" x14ac:dyDescent="0.2">
      <c r="G20270" s="889"/>
    </row>
    <row r="20271" spans="7:7" ht="10.5" customHeight="1" x14ac:dyDescent="0.2">
      <c r="G20271" s="889"/>
    </row>
    <row r="20272" spans="7:7" ht="10.5" customHeight="1" x14ac:dyDescent="0.2">
      <c r="G20272" s="889"/>
    </row>
    <row r="20273" spans="7:7" ht="10.5" customHeight="1" x14ac:dyDescent="0.2">
      <c r="G20273" s="889"/>
    </row>
    <row r="20274" spans="7:7" ht="10.5" customHeight="1" x14ac:dyDescent="0.2">
      <c r="G20274" s="889"/>
    </row>
    <row r="20275" spans="7:7" ht="10.5" customHeight="1" x14ac:dyDescent="0.2">
      <c r="G20275" s="889"/>
    </row>
    <row r="20276" spans="7:7" ht="10.5" customHeight="1" x14ac:dyDescent="0.2">
      <c r="G20276" s="889"/>
    </row>
    <row r="20277" spans="7:7" ht="10.5" customHeight="1" x14ac:dyDescent="0.2">
      <c r="G20277" s="889"/>
    </row>
    <row r="20278" spans="7:7" ht="10.5" customHeight="1" x14ac:dyDescent="0.2">
      <c r="G20278" s="889"/>
    </row>
    <row r="20279" spans="7:7" ht="10.5" customHeight="1" x14ac:dyDescent="0.2">
      <c r="G20279" s="889"/>
    </row>
    <row r="20280" spans="7:7" ht="10.5" customHeight="1" x14ac:dyDescent="0.2">
      <c r="G20280" s="889"/>
    </row>
    <row r="20281" spans="7:7" ht="10.5" customHeight="1" x14ac:dyDescent="0.2">
      <c r="G20281" s="889"/>
    </row>
    <row r="20282" spans="7:7" ht="10.5" customHeight="1" x14ac:dyDescent="0.2">
      <c r="G20282" s="889"/>
    </row>
    <row r="20283" spans="7:7" ht="10.5" customHeight="1" x14ac:dyDescent="0.2">
      <c r="G20283" s="889"/>
    </row>
    <row r="20284" spans="7:7" ht="10.5" customHeight="1" x14ac:dyDescent="0.2">
      <c r="G20284" s="889"/>
    </row>
    <row r="20285" spans="7:7" ht="10.5" customHeight="1" x14ac:dyDescent="0.2">
      <c r="G20285" s="889"/>
    </row>
    <row r="20286" spans="7:7" ht="10.5" customHeight="1" x14ac:dyDescent="0.2">
      <c r="G20286" s="889"/>
    </row>
    <row r="20287" spans="7:7" ht="10.5" customHeight="1" x14ac:dyDescent="0.2">
      <c r="G20287" s="889"/>
    </row>
    <row r="20288" spans="7:7" ht="10.5" customHeight="1" x14ac:dyDescent="0.2">
      <c r="G20288" s="889"/>
    </row>
    <row r="20289" spans="7:7" ht="10.5" customHeight="1" x14ac:dyDescent="0.2">
      <c r="G20289" s="889"/>
    </row>
    <row r="20290" spans="7:7" ht="10.5" customHeight="1" x14ac:dyDescent="0.2">
      <c r="G20290" s="889"/>
    </row>
    <row r="20291" spans="7:7" ht="10.5" customHeight="1" x14ac:dyDescent="0.2">
      <c r="G20291" s="889"/>
    </row>
    <row r="20292" spans="7:7" ht="10.5" customHeight="1" x14ac:dyDescent="0.2">
      <c r="G20292" s="889"/>
    </row>
    <row r="20293" spans="7:7" ht="10.5" customHeight="1" x14ac:dyDescent="0.2">
      <c r="G20293" s="889"/>
    </row>
    <row r="20294" spans="7:7" ht="10.5" customHeight="1" x14ac:dyDescent="0.2">
      <c r="G20294" s="889"/>
    </row>
    <row r="20295" spans="7:7" ht="10.5" customHeight="1" x14ac:dyDescent="0.2">
      <c r="G20295" s="889"/>
    </row>
    <row r="20296" spans="7:7" ht="10.5" customHeight="1" x14ac:dyDescent="0.2">
      <c r="G20296" s="889"/>
    </row>
    <row r="20297" spans="7:7" ht="10.5" customHeight="1" x14ac:dyDescent="0.2">
      <c r="G20297" s="889"/>
    </row>
    <row r="20298" spans="7:7" ht="10.5" customHeight="1" x14ac:dyDescent="0.2">
      <c r="G20298" s="889"/>
    </row>
    <row r="20299" spans="7:7" ht="10.5" customHeight="1" x14ac:dyDescent="0.2">
      <c r="G20299" s="889"/>
    </row>
    <row r="20300" spans="7:7" ht="10.5" customHeight="1" x14ac:dyDescent="0.2">
      <c r="G20300" s="889"/>
    </row>
    <row r="20301" spans="7:7" ht="10.5" customHeight="1" x14ac:dyDescent="0.2">
      <c r="G20301" s="889"/>
    </row>
    <row r="20302" spans="7:7" ht="10.5" customHeight="1" x14ac:dyDescent="0.2">
      <c r="G20302" s="889"/>
    </row>
    <row r="20303" spans="7:7" ht="10.5" customHeight="1" x14ac:dyDescent="0.2">
      <c r="G20303" s="889"/>
    </row>
    <row r="20304" spans="7:7" ht="10.5" customHeight="1" x14ac:dyDescent="0.2">
      <c r="G20304" s="889"/>
    </row>
    <row r="20305" spans="7:7" ht="10.5" customHeight="1" x14ac:dyDescent="0.2">
      <c r="G20305" s="889"/>
    </row>
    <row r="20306" spans="7:7" ht="10.5" customHeight="1" x14ac:dyDescent="0.2">
      <c r="G20306" s="889"/>
    </row>
    <row r="20307" spans="7:7" ht="10.5" customHeight="1" x14ac:dyDescent="0.2">
      <c r="G20307" s="889"/>
    </row>
    <row r="20308" spans="7:7" ht="10.5" customHeight="1" x14ac:dyDescent="0.2">
      <c r="G20308" s="889"/>
    </row>
    <row r="20309" spans="7:7" ht="10.5" customHeight="1" x14ac:dyDescent="0.2">
      <c r="G20309" s="889"/>
    </row>
    <row r="20310" spans="7:7" ht="10.5" customHeight="1" x14ac:dyDescent="0.2">
      <c r="G20310" s="889"/>
    </row>
    <row r="20311" spans="7:7" ht="10.5" customHeight="1" x14ac:dyDescent="0.2">
      <c r="G20311" s="889"/>
    </row>
    <row r="20312" spans="7:7" ht="10.5" customHeight="1" x14ac:dyDescent="0.2">
      <c r="G20312" s="889"/>
    </row>
    <row r="20313" spans="7:7" ht="10.5" customHeight="1" x14ac:dyDescent="0.2">
      <c r="G20313" s="889"/>
    </row>
    <row r="20314" spans="7:7" ht="10.5" customHeight="1" x14ac:dyDescent="0.2">
      <c r="G20314" s="889"/>
    </row>
    <row r="20315" spans="7:7" ht="10.5" customHeight="1" x14ac:dyDescent="0.2">
      <c r="G20315" s="889"/>
    </row>
    <row r="20316" spans="7:7" ht="10.5" customHeight="1" x14ac:dyDescent="0.2">
      <c r="G20316" s="889"/>
    </row>
    <row r="20317" spans="7:7" ht="10.5" customHeight="1" x14ac:dyDescent="0.2">
      <c r="G20317" s="889"/>
    </row>
    <row r="20318" spans="7:7" ht="10.5" customHeight="1" x14ac:dyDescent="0.2">
      <c r="G20318" s="889"/>
    </row>
    <row r="20319" spans="7:7" ht="10.5" customHeight="1" x14ac:dyDescent="0.2">
      <c r="G20319" s="889"/>
    </row>
    <row r="20320" spans="7:7" ht="10.5" customHeight="1" x14ac:dyDescent="0.2">
      <c r="G20320" s="889"/>
    </row>
    <row r="20321" spans="7:7" ht="10.5" customHeight="1" x14ac:dyDescent="0.2">
      <c r="G20321" s="889"/>
    </row>
    <row r="20322" spans="7:7" ht="10.5" customHeight="1" x14ac:dyDescent="0.2">
      <c r="G20322" s="889"/>
    </row>
    <row r="20323" spans="7:7" ht="10.5" customHeight="1" x14ac:dyDescent="0.2">
      <c r="G20323" s="889"/>
    </row>
    <row r="20324" spans="7:7" ht="10.5" customHeight="1" x14ac:dyDescent="0.2">
      <c r="G20324" s="889"/>
    </row>
    <row r="20325" spans="7:7" ht="10.5" customHeight="1" x14ac:dyDescent="0.2">
      <c r="G20325" s="889"/>
    </row>
    <row r="20326" spans="7:7" ht="10.5" customHeight="1" x14ac:dyDescent="0.2">
      <c r="G20326" s="889"/>
    </row>
    <row r="20327" spans="7:7" ht="10.5" customHeight="1" x14ac:dyDescent="0.2">
      <c r="G20327" s="889"/>
    </row>
    <row r="20328" spans="7:7" ht="10.5" customHeight="1" x14ac:dyDescent="0.2">
      <c r="G20328" s="889"/>
    </row>
    <row r="20329" spans="7:7" ht="10.5" customHeight="1" x14ac:dyDescent="0.2">
      <c r="G20329" s="889"/>
    </row>
    <row r="20330" spans="7:7" ht="10.5" customHeight="1" x14ac:dyDescent="0.2">
      <c r="G20330" s="889"/>
    </row>
    <row r="20331" spans="7:7" ht="10.5" customHeight="1" x14ac:dyDescent="0.2">
      <c r="G20331" s="889"/>
    </row>
    <row r="20332" spans="7:7" ht="10.5" customHeight="1" x14ac:dyDescent="0.2">
      <c r="G20332" s="889"/>
    </row>
    <row r="20333" spans="7:7" ht="10.5" customHeight="1" x14ac:dyDescent="0.2">
      <c r="G20333" s="889"/>
    </row>
    <row r="20334" spans="7:7" ht="10.5" customHeight="1" x14ac:dyDescent="0.2">
      <c r="G20334" s="889"/>
    </row>
    <row r="20335" spans="7:7" ht="10.5" customHeight="1" x14ac:dyDescent="0.2">
      <c r="G20335" s="889"/>
    </row>
    <row r="20336" spans="7:7" ht="10.5" customHeight="1" x14ac:dyDescent="0.2">
      <c r="G20336" s="889"/>
    </row>
    <row r="20337" spans="7:7" ht="10.5" customHeight="1" x14ac:dyDescent="0.2">
      <c r="G20337" s="889"/>
    </row>
    <row r="20338" spans="7:7" ht="10.5" customHeight="1" x14ac:dyDescent="0.2">
      <c r="G20338" s="889"/>
    </row>
    <row r="20339" spans="7:7" ht="10.5" customHeight="1" x14ac:dyDescent="0.2">
      <c r="G20339" s="889"/>
    </row>
    <row r="20340" spans="7:7" ht="10.5" customHeight="1" x14ac:dyDescent="0.2">
      <c r="G20340" s="889"/>
    </row>
    <row r="20341" spans="7:7" ht="10.5" customHeight="1" x14ac:dyDescent="0.2">
      <c r="G20341" s="889"/>
    </row>
    <row r="20342" spans="7:7" ht="10.5" customHeight="1" x14ac:dyDescent="0.2">
      <c r="G20342" s="889"/>
    </row>
    <row r="20343" spans="7:7" ht="10.5" customHeight="1" x14ac:dyDescent="0.2">
      <c r="G20343" s="889"/>
    </row>
    <row r="20344" spans="7:7" ht="10.5" customHeight="1" x14ac:dyDescent="0.2">
      <c r="G20344" s="889"/>
    </row>
    <row r="20345" spans="7:7" ht="10.5" customHeight="1" x14ac:dyDescent="0.2">
      <c r="G20345" s="889"/>
    </row>
    <row r="20346" spans="7:7" ht="10.5" customHeight="1" x14ac:dyDescent="0.2">
      <c r="G20346" s="889"/>
    </row>
    <row r="20347" spans="7:7" ht="10.5" customHeight="1" x14ac:dyDescent="0.2">
      <c r="G20347" s="889"/>
    </row>
    <row r="20348" spans="7:7" ht="10.5" customHeight="1" x14ac:dyDescent="0.2">
      <c r="G20348" s="889"/>
    </row>
    <row r="20349" spans="7:7" ht="10.5" customHeight="1" x14ac:dyDescent="0.2">
      <c r="G20349" s="889"/>
    </row>
    <row r="20350" spans="7:7" ht="10.5" customHeight="1" x14ac:dyDescent="0.2">
      <c r="G20350" s="889"/>
    </row>
    <row r="20351" spans="7:7" ht="10.5" customHeight="1" x14ac:dyDescent="0.2">
      <c r="G20351" s="889"/>
    </row>
    <row r="20352" spans="7:7" ht="10.5" customHeight="1" x14ac:dyDescent="0.2">
      <c r="G20352" s="889"/>
    </row>
    <row r="20353" spans="7:7" ht="10.5" customHeight="1" x14ac:dyDescent="0.2">
      <c r="G20353" s="889"/>
    </row>
    <row r="20354" spans="7:7" ht="10.5" customHeight="1" x14ac:dyDescent="0.2">
      <c r="G20354" s="889"/>
    </row>
    <row r="20355" spans="7:7" ht="10.5" customHeight="1" x14ac:dyDescent="0.2">
      <c r="G20355" s="889"/>
    </row>
    <row r="20356" spans="7:7" ht="10.5" customHeight="1" x14ac:dyDescent="0.2">
      <c r="G20356" s="889"/>
    </row>
    <row r="20357" spans="7:7" ht="10.5" customHeight="1" x14ac:dyDescent="0.2">
      <c r="G20357" s="889"/>
    </row>
    <row r="20358" spans="7:7" ht="10.5" customHeight="1" x14ac:dyDescent="0.2">
      <c r="G20358" s="889"/>
    </row>
    <row r="20359" spans="7:7" ht="10.5" customHeight="1" x14ac:dyDescent="0.2">
      <c r="G20359" s="889"/>
    </row>
    <row r="20360" spans="7:7" ht="10.5" customHeight="1" x14ac:dyDescent="0.2">
      <c r="G20360" s="889"/>
    </row>
    <row r="20361" spans="7:7" ht="10.5" customHeight="1" x14ac:dyDescent="0.2">
      <c r="G20361" s="889"/>
    </row>
    <row r="20362" spans="7:7" ht="10.5" customHeight="1" x14ac:dyDescent="0.2">
      <c r="G20362" s="889"/>
    </row>
    <row r="20363" spans="7:7" ht="10.5" customHeight="1" x14ac:dyDescent="0.2">
      <c r="G20363" s="889"/>
    </row>
    <row r="20364" spans="7:7" ht="10.5" customHeight="1" x14ac:dyDescent="0.2">
      <c r="G20364" s="889"/>
    </row>
    <row r="20365" spans="7:7" ht="10.5" customHeight="1" x14ac:dyDescent="0.2">
      <c r="G20365" s="889"/>
    </row>
    <row r="20366" spans="7:7" ht="10.5" customHeight="1" x14ac:dyDescent="0.2">
      <c r="G20366" s="889"/>
    </row>
    <row r="20367" spans="7:7" ht="10.5" customHeight="1" x14ac:dyDescent="0.2">
      <c r="G20367" s="889"/>
    </row>
    <row r="20368" spans="7:7" ht="10.5" customHeight="1" x14ac:dyDescent="0.2">
      <c r="G20368" s="889"/>
    </row>
    <row r="20369" spans="7:7" ht="10.5" customHeight="1" x14ac:dyDescent="0.2">
      <c r="G20369" s="889"/>
    </row>
    <row r="20370" spans="7:7" ht="10.5" customHeight="1" x14ac:dyDescent="0.2">
      <c r="G20370" s="889"/>
    </row>
    <row r="20371" spans="7:7" ht="10.5" customHeight="1" x14ac:dyDescent="0.2">
      <c r="G20371" s="889"/>
    </row>
    <row r="20372" spans="7:7" ht="10.5" customHeight="1" x14ac:dyDescent="0.2">
      <c r="G20372" s="889"/>
    </row>
    <row r="20373" spans="7:7" ht="10.5" customHeight="1" x14ac:dyDescent="0.2">
      <c r="G20373" s="889"/>
    </row>
    <row r="20374" spans="7:7" ht="10.5" customHeight="1" x14ac:dyDescent="0.2">
      <c r="G20374" s="889"/>
    </row>
    <row r="20375" spans="7:7" ht="10.5" customHeight="1" x14ac:dyDescent="0.2">
      <c r="G20375" s="889"/>
    </row>
    <row r="20376" spans="7:7" ht="10.5" customHeight="1" x14ac:dyDescent="0.2">
      <c r="G20376" s="889"/>
    </row>
    <row r="20377" spans="7:7" ht="10.5" customHeight="1" x14ac:dyDescent="0.2">
      <c r="G20377" s="889"/>
    </row>
    <row r="20378" spans="7:7" ht="10.5" customHeight="1" x14ac:dyDescent="0.2">
      <c r="G20378" s="889"/>
    </row>
    <row r="20379" spans="7:7" ht="10.5" customHeight="1" x14ac:dyDescent="0.2">
      <c r="G20379" s="889"/>
    </row>
    <row r="20380" spans="7:7" ht="10.5" customHeight="1" x14ac:dyDescent="0.2">
      <c r="G20380" s="889"/>
    </row>
    <row r="20381" spans="7:7" ht="10.5" customHeight="1" x14ac:dyDescent="0.2">
      <c r="G20381" s="889"/>
    </row>
    <row r="20382" spans="7:7" ht="10.5" customHeight="1" x14ac:dyDescent="0.2">
      <c r="G20382" s="889"/>
    </row>
    <row r="20383" spans="7:7" ht="10.5" customHeight="1" x14ac:dyDescent="0.2">
      <c r="G20383" s="889"/>
    </row>
    <row r="20384" spans="7:7" ht="10.5" customHeight="1" x14ac:dyDescent="0.2">
      <c r="G20384" s="889"/>
    </row>
    <row r="20385" spans="7:7" ht="10.5" customHeight="1" x14ac:dyDescent="0.2">
      <c r="G20385" s="889"/>
    </row>
    <row r="20386" spans="7:7" ht="10.5" customHeight="1" x14ac:dyDescent="0.2">
      <c r="G20386" s="889"/>
    </row>
    <row r="20387" spans="7:7" ht="10.5" customHeight="1" x14ac:dyDescent="0.2">
      <c r="G20387" s="889"/>
    </row>
    <row r="20388" spans="7:7" ht="10.5" customHeight="1" x14ac:dyDescent="0.2">
      <c r="G20388" s="889"/>
    </row>
    <row r="20389" spans="7:7" ht="10.5" customHeight="1" x14ac:dyDescent="0.2">
      <c r="G20389" s="889"/>
    </row>
    <row r="20390" spans="7:7" ht="10.5" customHeight="1" x14ac:dyDescent="0.2">
      <c r="G20390" s="889"/>
    </row>
    <row r="20391" spans="7:7" ht="10.5" customHeight="1" x14ac:dyDescent="0.2">
      <c r="G20391" s="889"/>
    </row>
    <row r="20392" spans="7:7" ht="10.5" customHeight="1" x14ac:dyDescent="0.2">
      <c r="G20392" s="889"/>
    </row>
    <row r="20393" spans="7:7" ht="10.5" customHeight="1" x14ac:dyDescent="0.2">
      <c r="G20393" s="889"/>
    </row>
    <row r="20394" spans="7:7" ht="10.5" customHeight="1" x14ac:dyDescent="0.2">
      <c r="G20394" s="889"/>
    </row>
    <row r="20395" spans="7:7" ht="10.5" customHeight="1" x14ac:dyDescent="0.2">
      <c r="G20395" s="889"/>
    </row>
    <row r="20396" spans="7:7" ht="10.5" customHeight="1" x14ac:dyDescent="0.2">
      <c r="G20396" s="889"/>
    </row>
    <row r="20397" spans="7:7" ht="10.5" customHeight="1" x14ac:dyDescent="0.2">
      <c r="G20397" s="889"/>
    </row>
    <row r="20398" spans="7:7" ht="10.5" customHeight="1" x14ac:dyDescent="0.2">
      <c r="G20398" s="889"/>
    </row>
    <row r="20399" spans="7:7" ht="10.5" customHeight="1" x14ac:dyDescent="0.2">
      <c r="G20399" s="889"/>
    </row>
    <row r="20400" spans="7:7" ht="10.5" customHeight="1" x14ac:dyDescent="0.2">
      <c r="G20400" s="889"/>
    </row>
    <row r="20401" spans="7:7" ht="10.5" customHeight="1" x14ac:dyDescent="0.2">
      <c r="G20401" s="889"/>
    </row>
    <row r="20402" spans="7:7" ht="10.5" customHeight="1" x14ac:dyDescent="0.2">
      <c r="G20402" s="889"/>
    </row>
    <row r="20403" spans="7:7" ht="10.5" customHeight="1" x14ac:dyDescent="0.2">
      <c r="G20403" s="889"/>
    </row>
    <row r="20404" spans="7:7" ht="10.5" customHeight="1" x14ac:dyDescent="0.2">
      <c r="G20404" s="889"/>
    </row>
    <row r="20405" spans="7:7" ht="10.5" customHeight="1" x14ac:dyDescent="0.2">
      <c r="G20405" s="889"/>
    </row>
    <row r="20406" spans="7:7" ht="10.5" customHeight="1" x14ac:dyDescent="0.2">
      <c r="G20406" s="889"/>
    </row>
    <row r="20407" spans="7:7" ht="10.5" customHeight="1" x14ac:dyDescent="0.2">
      <c r="G20407" s="889"/>
    </row>
    <row r="20408" spans="7:7" ht="10.5" customHeight="1" x14ac:dyDescent="0.2">
      <c r="G20408" s="889"/>
    </row>
    <row r="20409" spans="7:7" ht="10.5" customHeight="1" x14ac:dyDescent="0.2">
      <c r="G20409" s="889"/>
    </row>
    <row r="20410" spans="7:7" ht="10.5" customHeight="1" x14ac:dyDescent="0.2">
      <c r="G20410" s="889"/>
    </row>
    <row r="20411" spans="7:7" ht="10.5" customHeight="1" x14ac:dyDescent="0.2">
      <c r="G20411" s="889"/>
    </row>
    <row r="20412" spans="7:7" ht="10.5" customHeight="1" x14ac:dyDescent="0.2">
      <c r="G20412" s="889"/>
    </row>
    <row r="20413" spans="7:7" ht="10.5" customHeight="1" x14ac:dyDescent="0.2">
      <c r="G20413" s="889"/>
    </row>
    <row r="20414" spans="7:7" ht="10.5" customHeight="1" x14ac:dyDescent="0.2">
      <c r="G20414" s="889"/>
    </row>
    <row r="20415" spans="7:7" ht="10.5" customHeight="1" x14ac:dyDescent="0.2">
      <c r="G20415" s="889"/>
    </row>
    <row r="20416" spans="7:7" ht="10.5" customHeight="1" x14ac:dyDescent="0.2">
      <c r="G20416" s="889"/>
    </row>
    <row r="20417" spans="7:7" ht="10.5" customHeight="1" x14ac:dyDescent="0.2">
      <c r="G20417" s="889"/>
    </row>
    <row r="20418" spans="7:7" ht="10.5" customHeight="1" x14ac:dyDescent="0.2">
      <c r="G20418" s="889"/>
    </row>
    <row r="20419" spans="7:7" ht="10.5" customHeight="1" x14ac:dyDescent="0.2">
      <c r="G20419" s="889"/>
    </row>
    <row r="20420" spans="7:7" ht="10.5" customHeight="1" x14ac:dyDescent="0.2">
      <c r="G20420" s="889"/>
    </row>
    <row r="20421" spans="7:7" ht="10.5" customHeight="1" x14ac:dyDescent="0.2">
      <c r="G20421" s="889"/>
    </row>
    <row r="20422" spans="7:7" ht="10.5" customHeight="1" x14ac:dyDescent="0.2">
      <c r="G20422" s="889"/>
    </row>
    <row r="20423" spans="7:7" ht="10.5" customHeight="1" x14ac:dyDescent="0.2">
      <c r="G20423" s="889"/>
    </row>
    <row r="20424" spans="7:7" ht="10.5" customHeight="1" x14ac:dyDescent="0.2">
      <c r="G20424" s="889"/>
    </row>
    <row r="20425" spans="7:7" ht="10.5" customHeight="1" x14ac:dyDescent="0.2">
      <c r="G20425" s="889"/>
    </row>
    <row r="20426" spans="7:7" ht="10.5" customHeight="1" x14ac:dyDescent="0.2">
      <c r="G20426" s="889"/>
    </row>
    <row r="20427" spans="7:7" ht="10.5" customHeight="1" x14ac:dyDescent="0.2">
      <c r="G20427" s="889"/>
    </row>
    <row r="20428" spans="7:7" ht="10.5" customHeight="1" x14ac:dyDescent="0.2">
      <c r="G20428" s="889"/>
    </row>
    <row r="20429" spans="7:7" ht="10.5" customHeight="1" x14ac:dyDescent="0.2">
      <c r="G20429" s="889"/>
    </row>
    <row r="20430" spans="7:7" ht="10.5" customHeight="1" x14ac:dyDescent="0.2">
      <c r="G20430" s="889"/>
    </row>
    <row r="20431" spans="7:7" ht="10.5" customHeight="1" x14ac:dyDescent="0.2">
      <c r="G20431" s="889"/>
    </row>
    <row r="20432" spans="7:7" ht="10.5" customHeight="1" x14ac:dyDescent="0.2">
      <c r="G20432" s="889"/>
    </row>
    <row r="20433" spans="7:7" ht="10.5" customHeight="1" x14ac:dyDescent="0.2">
      <c r="G20433" s="889"/>
    </row>
    <row r="20434" spans="7:7" ht="10.5" customHeight="1" x14ac:dyDescent="0.2">
      <c r="G20434" s="889"/>
    </row>
    <row r="20435" spans="7:7" ht="10.5" customHeight="1" x14ac:dyDescent="0.2">
      <c r="G20435" s="889"/>
    </row>
    <row r="20436" spans="7:7" ht="10.5" customHeight="1" x14ac:dyDescent="0.2">
      <c r="G20436" s="889"/>
    </row>
    <row r="20437" spans="7:7" ht="10.5" customHeight="1" x14ac:dyDescent="0.2">
      <c r="G20437" s="889"/>
    </row>
    <row r="20438" spans="7:7" ht="10.5" customHeight="1" x14ac:dyDescent="0.2">
      <c r="G20438" s="889"/>
    </row>
    <row r="20439" spans="7:7" ht="10.5" customHeight="1" x14ac:dyDescent="0.2">
      <c r="G20439" s="889"/>
    </row>
    <row r="20440" spans="7:7" ht="10.5" customHeight="1" x14ac:dyDescent="0.2">
      <c r="G20440" s="889"/>
    </row>
    <row r="20441" spans="7:7" ht="10.5" customHeight="1" x14ac:dyDescent="0.2">
      <c r="G20441" s="889"/>
    </row>
    <row r="20442" spans="7:7" ht="10.5" customHeight="1" x14ac:dyDescent="0.2">
      <c r="G20442" s="889"/>
    </row>
    <row r="20443" spans="7:7" ht="10.5" customHeight="1" x14ac:dyDescent="0.2">
      <c r="G20443" s="889"/>
    </row>
    <row r="20444" spans="7:7" ht="10.5" customHeight="1" x14ac:dyDescent="0.2">
      <c r="G20444" s="889"/>
    </row>
    <row r="20445" spans="7:7" ht="10.5" customHeight="1" x14ac:dyDescent="0.2">
      <c r="G20445" s="889"/>
    </row>
    <row r="20446" spans="7:7" ht="10.5" customHeight="1" x14ac:dyDescent="0.2">
      <c r="G20446" s="889"/>
    </row>
    <row r="20447" spans="7:7" ht="10.5" customHeight="1" x14ac:dyDescent="0.2">
      <c r="G20447" s="889"/>
    </row>
    <row r="20448" spans="7:7" ht="10.5" customHeight="1" x14ac:dyDescent="0.2">
      <c r="G20448" s="889"/>
    </row>
    <row r="20449" spans="7:7" ht="10.5" customHeight="1" x14ac:dyDescent="0.2">
      <c r="G20449" s="889"/>
    </row>
    <row r="20450" spans="7:7" ht="10.5" customHeight="1" x14ac:dyDescent="0.2">
      <c r="G20450" s="889"/>
    </row>
    <row r="20451" spans="7:7" ht="10.5" customHeight="1" x14ac:dyDescent="0.2">
      <c r="G20451" s="889"/>
    </row>
    <row r="20452" spans="7:7" ht="10.5" customHeight="1" x14ac:dyDescent="0.2">
      <c r="G20452" s="889"/>
    </row>
    <row r="20453" spans="7:7" ht="10.5" customHeight="1" x14ac:dyDescent="0.2">
      <c r="G20453" s="889"/>
    </row>
    <row r="20454" spans="7:7" ht="10.5" customHeight="1" x14ac:dyDescent="0.2">
      <c r="G20454" s="889"/>
    </row>
    <row r="20455" spans="7:7" ht="10.5" customHeight="1" x14ac:dyDescent="0.2">
      <c r="G20455" s="889"/>
    </row>
    <row r="20456" spans="7:7" ht="10.5" customHeight="1" x14ac:dyDescent="0.2">
      <c r="G20456" s="889"/>
    </row>
    <row r="20457" spans="7:7" ht="10.5" customHeight="1" x14ac:dyDescent="0.2">
      <c r="G20457" s="889"/>
    </row>
    <row r="20458" spans="7:7" ht="10.5" customHeight="1" x14ac:dyDescent="0.2">
      <c r="G20458" s="889"/>
    </row>
    <row r="20459" spans="7:7" ht="10.5" customHeight="1" x14ac:dyDescent="0.2">
      <c r="G20459" s="889"/>
    </row>
    <row r="20460" spans="7:7" ht="10.5" customHeight="1" x14ac:dyDescent="0.2">
      <c r="G20460" s="889"/>
    </row>
    <row r="20461" spans="7:7" ht="10.5" customHeight="1" x14ac:dyDescent="0.2">
      <c r="G20461" s="889"/>
    </row>
    <row r="20462" spans="7:7" ht="10.5" customHeight="1" x14ac:dyDescent="0.2">
      <c r="G20462" s="889"/>
    </row>
    <row r="20463" spans="7:7" ht="10.5" customHeight="1" x14ac:dyDescent="0.2">
      <c r="G20463" s="889"/>
    </row>
    <row r="20464" spans="7:7" ht="10.5" customHeight="1" x14ac:dyDescent="0.2">
      <c r="G20464" s="889"/>
    </row>
    <row r="20465" spans="7:7" ht="10.5" customHeight="1" x14ac:dyDescent="0.2">
      <c r="G20465" s="889"/>
    </row>
    <row r="20466" spans="7:7" ht="10.5" customHeight="1" x14ac:dyDescent="0.2">
      <c r="G20466" s="889"/>
    </row>
    <row r="20467" spans="7:7" ht="10.5" customHeight="1" x14ac:dyDescent="0.2">
      <c r="G20467" s="889"/>
    </row>
    <row r="20468" spans="7:7" ht="10.5" customHeight="1" x14ac:dyDescent="0.2">
      <c r="G20468" s="889"/>
    </row>
    <row r="20469" spans="7:7" ht="10.5" customHeight="1" x14ac:dyDescent="0.2">
      <c r="G20469" s="889"/>
    </row>
    <row r="20470" spans="7:7" ht="10.5" customHeight="1" x14ac:dyDescent="0.2">
      <c r="G20470" s="889"/>
    </row>
    <row r="20471" spans="7:7" ht="10.5" customHeight="1" x14ac:dyDescent="0.2">
      <c r="G20471" s="889"/>
    </row>
    <row r="20472" spans="7:7" ht="10.5" customHeight="1" x14ac:dyDescent="0.2">
      <c r="G20472" s="889"/>
    </row>
    <row r="20473" spans="7:7" ht="10.5" customHeight="1" x14ac:dyDescent="0.2">
      <c r="G20473" s="889"/>
    </row>
    <row r="20474" spans="7:7" ht="10.5" customHeight="1" x14ac:dyDescent="0.2">
      <c r="G20474" s="889"/>
    </row>
    <row r="20475" spans="7:7" ht="10.5" customHeight="1" x14ac:dyDescent="0.2">
      <c r="G20475" s="889"/>
    </row>
    <row r="20476" spans="7:7" ht="10.5" customHeight="1" x14ac:dyDescent="0.2">
      <c r="G20476" s="889"/>
    </row>
    <row r="20477" spans="7:7" ht="10.5" customHeight="1" x14ac:dyDescent="0.2">
      <c r="G20477" s="889"/>
    </row>
    <row r="20478" spans="7:7" ht="10.5" customHeight="1" x14ac:dyDescent="0.2">
      <c r="G20478" s="889"/>
    </row>
    <row r="20479" spans="7:7" ht="10.5" customHeight="1" x14ac:dyDescent="0.2">
      <c r="G20479" s="889"/>
    </row>
    <row r="20480" spans="7:7" ht="10.5" customHeight="1" x14ac:dyDescent="0.2">
      <c r="G20480" s="889"/>
    </row>
    <row r="20481" spans="7:7" ht="10.5" customHeight="1" x14ac:dyDescent="0.2">
      <c r="G20481" s="889"/>
    </row>
    <row r="20482" spans="7:7" ht="10.5" customHeight="1" x14ac:dyDescent="0.2">
      <c r="G20482" s="889"/>
    </row>
    <row r="20483" spans="7:7" ht="10.5" customHeight="1" x14ac:dyDescent="0.2">
      <c r="G20483" s="889"/>
    </row>
    <row r="20484" spans="7:7" ht="10.5" customHeight="1" x14ac:dyDescent="0.2">
      <c r="G20484" s="889"/>
    </row>
    <row r="20485" spans="7:7" ht="10.5" customHeight="1" x14ac:dyDescent="0.2">
      <c r="G20485" s="889"/>
    </row>
    <row r="20486" spans="7:7" ht="10.5" customHeight="1" x14ac:dyDescent="0.2">
      <c r="G20486" s="889"/>
    </row>
    <row r="20487" spans="7:7" ht="10.5" customHeight="1" x14ac:dyDescent="0.2">
      <c r="G20487" s="889"/>
    </row>
    <row r="20488" spans="7:7" ht="10.5" customHeight="1" x14ac:dyDescent="0.2">
      <c r="G20488" s="889"/>
    </row>
    <row r="20489" spans="7:7" ht="10.5" customHeight="1" x14ac:dyDescent="0.2">
      <c r="G20489" s="889"/>
    </row>
    <row r="20490" spans="7:7" ht="10.5" customHeight="1" x14ac:dyDescent="0.2">
      <c r="G20490" s="889"/>
    </row>
    <row r="20491" spans="7:7" ht="10.5" customHeight="1" x14ac:dyDescent="0.2">
      <c r="G20491" s="889"/>
    </row>
    <row r="20492" spans="7:7" ht="10.5" customHeight="1" x14ac:dyDescent="0.2">
      <c r="G20492" s="889"/>
    </row>
    <row r="20493" spans="7:7" ht="10.5" customHeight="1" x14ac:dyDescent="0.2">
      <c r="G20493" s="889"/>
    </row>
    <row r="20494" spans="7:7" ht="10.5" customHeight="1" x14ac:dyDescent="0.2">
      <c r="G20494" s="889"/>
    </row>
    <row r="20495" spans="7:7" ht="10.5" customHeight="1" x14ac:dyDescent="0.2">
      <c r="G20495" s="889"/>
    </row>
    <row r="20496" spans="7:7" ht="10.5" customHeight="1" x14ac:dyDescent="0.2">
      <c r="G20496" s="889"/>
    </row>
    <row r="20497" spans="7:7" ht="10.5" customHeight="1" x14ac:dyDescent="0.2">
      <c r="G20497" s="889"/>
    </row>
    <row r="20498" spans="7:7" ht="10.5" customHeight="1" x14ac:dyDescent="0.2">
      <c r="G20498" s="889"/>
    </row>
    <row r="20499" spans="7:7" ht="10.5" customHeight="1" x14ac:dyDescent="0.2">
      <c r="G20499" s="889"/>
    </row>
    <row r="20500" spans="7:7" ht="10.5" customHeight="1" x14ac:dyDescent="0.2">
      <c r="G20500" s="889"/>
    </row>
    <row r="20501" spans="7:7" ht="10.5" customHeight="1" x14ac:dyDescent="0.2">
      <c r="G20501" s="889"/>
    </row>
    <row r="20502" spans="7:7" ht="10.5" customHeight="1" x14ac:dyDescent="0.2">
      <c r="G20502" s="889"/>
    </row>
    <row r="20503" spans="7:7" ht="10.5" customHeight="1" x14ac:dyDescent="0.2">
      <c r="G20503" s="889"/>
    </row>
    <row r="20504" spans="7:7" ht="10.5" customHeight="1" x14ac:dyDescent="0.2">
      <c r="G20504" s="889"/>
    </row>
    <row r="20505" spans="7:7" ht="10.5" customHeight="1" x14ac:dyDescent="0.2">
      <c r="G20505" s="889"/>
    </row>
    <row r="20506" spans="7:7" ht="10.5" customHeight="1" x14ac:dyDescent="0.2">
      <c r="G20506" s="889"/>
    </row>
    <row r="20507" spans="7:7" ht="10.5" customHeight="1" x14ac:dyDescent="0.2">
      <c r="G20507" s="889"/>
    </row>
    <row r="20508" spans="7:7" ht="10.5" customHeight="1" x14ac:dyDescent="0.2">
      <c r="G20508" s="889"/>
    </row>
    <row r="20509" spans="7:7" ht="10.5" customHeight="1" x14ac:dyDescent="0.2">
      <c r="G20509" s="889"/>
    </row>
    <row r="20510" spans="7:7" ht="10.5" customHeight="1" x14ac:dyDescent="0.2">
      <c r="G20510" s="889"/>
    </row>
    <row r="20511" spans="7:7" ht="10.5" customHeight="1" x14ac:dyDescent="0.2">
      <c r="G20511" s="889"/>
    </row>
    <row r="20512" spans="7:7" ht="10.5" customHeight="1" x14ac:dyDescent="0.2">
      <c r="G20512" s="889"/>
    </row>
    <row r="20513" spans="7:7" ht="10.5" customHeight="1" x14ac:dyDescent="0.2">
      <c r="G20513" s="889"/>
    </row>
    <row r="20514" spans="7:7" ht="10.5" customHeight="1" x14ac:dyDescent="0.2">
      <c r="G20514" s="889"/>
    </row>
    <row r="20515" spans="7:7" ht="10.5" customHeight="1" x14ac:dyDescent="0.2">
      <c r="G20515" s="889"/>
    </row>
    <row r="20516" spans="7:7" ht="10.5" customHeight="1" x14ac:dyDescent="0.2">
      <c r="G20516" s="889"/>
    </row>
    <row r="20517" spans="7:7" ht="10.5" customHeight="1" x14ac:dyDescent="0.2">
      <c r="G20517" s="889"/>
    </row>
    <row r="20518" spans="7:7" ht="10.5" customHeight="1" x14ac:dyDescent="0.2">
      <c r="G20518" s="889"/>
    </row>
    <row r="20519" spans="7:7" ht="10.5" customHeight="1" x14ac:dyDescent="0.2">
      <c r="G20519" s="889"/>
    </row>
    <row r="20520" spans="7:7" ht="10.5" customHeight="1" x14ac:dyDescent="0.2">
      <c r="G20520" s="889"/>
    </row>
    <row r="20521" spans="7:7" ht="10.5" customHeight="1" x14ac:dyDescent="0.2">
      <c r="G20521" s="889"/>
    </row>
    <row r="20522" spans="7:7" ht="10.5" customHeight="1" x14ac:dyDescent="0.2">
      <c r="G20522" s="889"/>
    </row>
    <row r="20523" spans="7:7" ht="10.5" customHeight="1" x14ac:dyDescent="0.2">
      <c r="G20523" s="889"/>
    </row>
    <row r="20524" spans="7:7" ht="10.5" customHeight="1" x14ac:dyDescent="0.2">
      <c r="G20524" s="889"/>
    </row>
    <row r="20525" spans="7:7" ht="10.5" customHeight="1" x14ac:dyDescent="0.2">
      <c r="G20525" s="889"/>
    </row>
    <row r="20526" spans="7:7" ht="10.5" customHeight="1" x14ac:dyDescent="0.2">
      <c r="G20526" s="889"/>
    </row>
    <row r="20527" spans="7:7" ht="10.5" customHeight="1" x14ac:dyDescent="0.2">
      <c r="G20527" s="889"/>
    </row>
    <row r="20528" spans="7:7" ht="10.5" customHeight="1" x14ac:dyDescent="0.2">
      <c r="G20528" s="889"/>
    </row>
    <row r="20529" spans="7:7" ht="10.5" customHeight="1" x14ac:dyDescent="0.2">
      <c r="G20529" s="889"/>
    </row>
    <row r="20530" spans="7:7" ht="10.5" customHeight="1" x14ac:dyDescent="0.2">
      <c r="G20530" s="889"/>
    </row>
    <row r="20531" spans="7:7" ht="10.5" customHeight="1" x14ac:dyDescent="0.2">
      <c r="G20531" s="889"/>
    </row>
    <row r="20532" spans="7:7" ht="10.5" customHeight="1" x14ac:dyDescent="0.2">
      <c r="G20532" s="889"/>
    </row>
    <row r="20533" spans="7:7" ht="10.5" customHeight="1" x14ac:dyDescent="0.2">
      <c r="G20533" s="889"/>
    </row>
    <row r="20534" spans="7:7" ht="10.5" customHeight="1" x14ac:dyDescent="0.2">
      <c r="G20534" s="889"/>
    </row>
    <row r="20535" spans="7:7" ht="10.5" customHeight="1" x14ac:dyDescent="0.2">
      <c r="G20535" s="889"/>
    </row>
    <row r="20536" spans="7:7" ht="10.5" customHeight="1" x14ac:dyDescent="0.2">
      <c r="G20536" s="889"/>
    </row>
    <row r="20537" spans="7:7" ht="10.5" customHeight="1" x14ac:dyDescent="0.2">
      <c r="G20537" s="889"/>
    </row>
    <row r="20538" spans="7:7" ht="10.5" customHeight="1" x14ac:dyDescent="0.2">
      <c r="G20538" s="889"/>
    </row>
    <row r="20539" spans="7:7" ht="10.5" customHeight="1" x14ac:dyDescent="0.2">
      <c r="G20539" s="889"/>
    </row>
    <row r="20540" spans="7:7" ht="10.5" customHeight="1" x14ac:dyDescent="0.2">
      <c r="G20540" s="889"/>
    </row>
    <row r="20541" spans="7:7" ht="10.5" customHeight="1" x14ac:dyDescent="0.2">
      <c r="G20541" s="889"/>
    </row>
    <row r="20542" spans="7:7" ht="10.5" customHeight="1" x14ac:dyDescent="0.2">
      <c r="G20542" s="889"/>
    </row>
    <row r="20543" spans="7:7" ht="10.5" customHeight="1" x14ac:dyDescent="0.2">
      <c r="G20543" s="889"/>
    </row>
    <row r="20544" spans="7:7" ht="10.5" customHeight="1" x14ac:dyDescent="0.2">
      <c r="G20544" s="889"/>
    </row>
    <row r="20545" spans="7:7" ht="10.5" customHeight="1" x14ac:dyDescent="0.2">
      <c r="G20545" s="889"/>
    </row>
    <row r="20546" spans="7:7" ht="10.5" customHeight="1" x14ac:dyDescent="0.2">
      <c r="G20546" s="889"/>
    </row>
    <row r="20547" spans="7:7" ht="10.5" customHeight="1" x14ac:dyDescent="0.2">
      <c r="G20547" s="889"/>
    </row>
    <row r="20548" spans="7:7" ht="10.5" customHeight="1" x14ac:dyDescent="0.2">
      <c r="G20548" s="889"/>
    </row>
    <row r="20549" spans="7:7" ht="10.5" customHeight="1" x14ac:dyDescent="0.2">
      <c r="G20549" s="889"/>
    </row>
    <row r="20550" spans="7:7" ht="10.5" customHeight="1" x14ac:dyDescent="0.2">
      <c r="G20550" s="889"/>
    </row>
    <row r="20551" spans="7:7" ht="10.5" customHeight="1" x14ac:dyDescent="0.2">
      <c r="G20551" s="889"/>
    </row>
    <row r="20552" spans="7:7" ht="10.5" customHeight="1" x14ac:dyDescent="0.2">
      <c r="G20552" s="889"/>
    </row>
    <row r="20553" spans="7:7" ht="10.5" customHeight="1" x14ac:dyDescent="0.2">
      <c r="G20553" s="889"/>
    </row>
    <row r="20554" spans="7:7" ht="10.5" customHeight="1" x14ac:dyDescent="0.2">
      <c r="G20554" s="889"/>
    </row>
    <row r="20555" spans="7:7" ht="10.5" customHeight="1" x14ac:dyDescent="0.2">
      <c r="G20555" s="889"/>
    </row>
    <row r="20556" spans="7:7" ht="10.5" customHeight="1" x14ac:dyDescent="0.2">
      <c r="G20556" s="889"/>
    </row>
    <row r="20557" spans="7:7" ht="10.5" customHeight="1" x14ac:dyDescent="0.2">
      <c r="G20557" s="889"/>
    </row>
    <row r="20558" spans="7:7" ht="10.5" customHeight="1" x14ac:dyDescent="0.2">
      <c r="G20558" s="889"/>
    </row>
    <row r="20559" spans="7:7" ht="10.5" customHeight="1" x14ac:dyDescent="0.2">
      <c r="G20559" s="889"/>
    </row>
    <row r="20560" spans="7:7" ht="10.5" customHeight="1" x14ac:dyDescent="0.2">
      <c r="G20560" s="889"/>
    </row>
    <row r="20561" spans="7:7" ht="10.5" customHeight="1" x14ac:dyDescent="0.2">
      <c r="G20561" s="889"/>
    </row>
    <row r="20562" spans="7:7" ht="10.5" customHeight="1" x14ac:dyDescent="0.2">
      <c r="G20562" s="889"/>
    </row>
    <row r="20563" spans="7:7" ht="10.5" customHeight="1" x14ac:dyDescent="0.2">
      <c r="G20563" s="889"/>
    </row>
    <row r="20564" spans="7:7" ht="10.5" customHeight="1" x14ac:dyDescent="0.2">
      <c r="G20564" s="889"/>
    </row>
    <row r="20565" spans="7:7" ht="10.5" customHeight="1" x14ac:dyDescent="0.2">
      <c r="G20565" s="889"/>
    </row>
    <row r="20566" spans="7:7" ht="10.5" customHeight="1" x14ac:dyDescent="0.2">
      <c r="G20566" s="889"/>
    </row>
    <row r="20567" spans="7:7" ht="10.5" customHeight="1" x14ac:dyDescent="0.2">
      <c r="G20567" s="889"/>
    </row>
    <row r="20568" spans="7:7" ht="10.5" customHeight="1" x14ac:dyDescent="0.2">
      <c r="G20568" s="889"/>
    </row>
    <row r="20569" spans="7:7" ht="10.5" customHeight="1" x14ac:dyDescent="0.2">
      <c r="G20569" s="889"/>
    </row>
    <row r="20570" spans="7:7" ht="10.5" customHeight="1" x14ac:dyDescent="0.2">
      <c r="G20570" s="889"/>
    </row>
    <row r="20571" spans="7:7" ht="10.5" customHeight="1" x14ac:dyDescent="0.2">
      <c r="G20571" s="889"/>
    </row>
    <row r="20572" spans="7:7" ht="10.5" customHeight="1" x14ac:dyDescent="0.2">
      <c r="G20572" s="889"/>
    </row>
    <row r="20573" spans="7:7" ht="10.5" customHeight="1" x14ac:dyDescent="0.2">
      <c r="G20573" s="889"/>
    </row>
    <row r="20574" spans="7:7" ht="10.5" customHeight="1" x14ac:dyDescent="0.2">
      <c r="G20574" s="889"/>
    </row>
    <row r="20575" spans="7:7" ht="10.5" customHeight="1" x14ac:dyDescent="0.2">
      <c r="G20575" s="889"/>
    </row>
    <row r="20576" spans="7:7" ht="10.5" customHeight="1" x14ac:dyDescent="0.2">
      <c r="G20576" s="889"/>
    </row>
    <row r="20577" spans="7:7" ht="10.5" customHeight="1" x14ac:dyDescent="0.2">
      <c r="G20577" s="889"/>
    </row>
    <row r="20578" spans="7:7" ht="10.5" customHeight="1" x14ac:dyDescent="0.2">
      <c r="G20578" s="889"/>
    </row>
    <row r="20579" spans="7:7" ht="10.5" customHeight="1" x14ac:dyDescent="0.2">
      <c r="G20579" s="889"/>
    </row>
    <row r="20580" spans="7:7" ht="10.5" customHeight="1" x14ac:dyDescent="0.2">
      <c r="G20580" s="889"/>
    </row>
    <row r="20581" spans="7:7" ht="10.5" customHeight="1" x14ac:dyDescent="0.2">
      <c r="G20581" s="889"/>
    </row>
    <row r="20582" spans="7:7" ht="10.5" customHeight="1" x14ac:dyDescent="0.2">
      <c r="G20582" s="889"/>
    </row>
    <row r="20583" spans="7:7" ht="10.5" customHeight="1" x14ac:dyDescent="0.2">
      <c r="G20583" s="889"/>
    </row>
    <row r="20584" spans="7:7" ht="10.5" customHeight="1" x14ac:dyDescent="0.2">
      <c r="G20584" s="889"/>
    </row>
    <row r="20585" spans="7:7" ht="10.5" customHeight="1" x14ac:dyDescent="0.2">
      <c r="G20585" s="889"/>
    </row>
    <row r="20586" spans="7:7" ht="10.5" customHeight="1" x14ac:dyDescent="0.2">
      <c r="G20586" s="889"/>
    </row>
    <row r="20587" spans="7:7" ht="10.5" customHeight="1" x14ac:dyDescent="0.2">
      <c r="G20587" s="889"/>
    </row>
    <row r="20588" spans="7:7" ht="10.5" customHeight="1" x14ac:dyDescent="0.2">
      <c r="G20588" s="889"/>
    </row>
    <row r="20589" spans="7:7" ht="10.5" customHeight="1" x14ac:dyDescent="0.2">
      <c r="G20589" s="889"/>
    </row>
    <row r="20590" spans="7:7" ht="10.5" customHeight="1" x14ac:dyDescent="0.2">
      <c r="G20590" s="889"/>
    </row>
    <row r="20591" spans="7:7" ht="10.5" customHeight="1" x14ac:dyDescent="0.2">
      <c r="G20591" s="889"/>
    </row>
    <row r="20592" spans="7:7" ht="10.5" customHeight="1" x14ac:dyDescent="0.2">
      <c r="G20592" s="889"/>
    </row>
    <row r="20593" spans="7:7" ht="10.5" customHeight="1" x14ac:dyDescent="0.2">
      <c r="G20593" s="889"/>
    </row>
    <row r="20594" spans="7:7" ht="10.5" customHeight="1" x14ac:dyDescent="0.2">
      <c r="G20594" s="889"/>
    </row>
    <row r="20595" spans="7:7" ht="10.5" customHeight="1" x14ac:dyDescent="0.2">
      <c r="G20595" s="889"/>
    </row>
    <row r="20596" spans="7:7" ht="10.5" customHeight="1" x14ac:dyDescent="0.2">
      <c r="G20596" s="889"/>
    </row>
    <row r="20597" spans="7:7" ht="10.5" customHeight="1" x14ac:dyDescent="0.2">
      <c r="G20597" s="889"/>
    </row>
    <row r="20598" spans="7:7" ht="10.5" customHeight="1" x14ac:dyDescent="0.2">
      <c r="G20598" s="889"/>
    </row>
    <row r="20599" spans="7:7" ht="10.5" customHeight="1" x14ac:dyDescent="0.2">
      <c r="G20599" s="889"/>
    </row>
    <row r="20600" spans="7:7" ht="10.5" customHeight="1" x14ac:dyDescent="0.2">
      <c r="G20600" s="889"/>
    </row>
    <row r="20601" spans="7:7" ht="10.5" customHeight="1" x14ac:dyDescent="0.2">
      <c r="G20601" s="889"/>
    </row>
    <row r="20602" spans="7:7" ht="10.5" customHeight="1" x14ac:dyDescent="0.2">
      <c r="G20602" s="889"/>
    </row>
    <row r="20603" spans="7:7" ht="10.5" customHeight="1" x14ac:dyDescent="0.2">
      <c r="G20603" s="889"/>
    </row>
    <row r="20604" spans="7:7" ht="10.5" customHeight="1" x14ac:dyDescent="0.2">
      <c r="G20604" s="889"/>
    </row>
    <row r="20605" spans="7:7" ht="10.5" customHeight="1" x14ac:dyDescent="0.2">
      <c r="G20605" s="889"/>
    </row>
    <row r="20606" spans="7:7" ht="10.5" customHeight="1" x14ac:dyDescent="0.2">
      <c r="G20606" s="889"/>
    </row>
    <row r="20607" spans="7:7" ht="10.5" customHeight="1" x14ac:dyDescent="0.2">
      <c r="G20607" s="889"/>
    </row>
    <row r="20608" spans="7:7" ht="10.5" customHeight="1" x14ac:dyDescent="0.2">
      <c r="G20608" s="889"/>
    </row>
    <row r="20609" spans="7:7" ht="10.5" customHeight="1" x14ac:dyDescent="0.2">
      <c r="G20609" s="889"/>
    </row>
    <row r="20610" spans="7:7" ht="10.5" customHeight="1" x14ac:dyDescent="0.2">
      <c r="G20610" s="889"/>
    </row>
    <row r="20611" spans="7:7" ht="10.5" customHeight="1" x14ac:dyDescent="0.2">
      <c r="G20611" s="889"/>
    </row>
    <row r="20612" spans="7:7" ht="10.5" customHeight="1" x14ac:dyDescent="0.2">
      <c r="G20612" s="889"/>
    </row>
    <row r="20613" spans="7:7" ht="10.5" customHeight="1" x14ac:dyDescent="0.2">
      <c r="G20613" s="889"/>
    </row>
    <row r="20614" spans="7:7" ht="10.5" customHeight="1" x14ac:dyDescent="0.2">
      <c r="G20614" s="889"/>
    </row>
    <row r="20615" spans="7:7" ht="10.5" customHeight="1" x14ac:dyDescent="0.2">
      <c r="G20615" s="889"/>
    </row>
    <row r="20616" spans="7:7" ht="10.5" customHeight="1" x14ac:dyDescent="0.2">
      <c r="G20616" s="889"/>
    </row>
    <row r="20617" spans="7:7" ht="10.5" customHeight="1" x14ac:dyDescent="0.2">
      <c r="G20617" s="889"/>
    </row>
    <row r="20618" spans="7:7" ht="10.5" customHeight="1" x14ac:dyDescent="0.2">
      <c r="G20618" s="889"/>
    </row>
    <row r="20619" spans="7:7" ht="10.5" customHeight="1" x14ac:dyDescent="0.2">
      <c r="G20619" s="889"/>
    </row>
    <row r="20620" spans="7:7" ht="10.5" customHeight="1" x14ac:dyDescent="0.2">
      <c r="G20620" s="889"/>
    </row>
    <row r="20621" spans="7:7" ht="10.5" customHeight="1" x14ac:dyDescent="0.2">
      <c r="G20621" s="889"/>
    </row>
    <row r="20622" spans="7:7" ht="10.5" customHeight="1" x14ac:dyDescent="0.2">
      <c r="G20622" s="889"/>
    </row>
    <row r="20623" spans="7:7" ht="10.5" customHeight="1" x14ac:dyDescent="0.2">
      <c r="G20623" s="889"/>
    </row>
    <row r="20624" spans="7:7" ht="10.5" customHeight="1" x14ac:dyDescent="0.2">
      <c r="G20624" s="889"/>
    </row>
    <row r="20625" spans="7:7" ht="10.5" customHeight="1" x14ac:dyDescent="0.2">
      <c r="G20625" s="889"/>
    </row>
    <row r="20626" spans="7:7" ht="10.5" customHeight="1" x14ac:dyDescent="0.2">
      <c r="G20626" s="889"/>
    </row>
    <row r="20627" spans="7:7" ht="10.5" customHeight="1" x14ac:dyDescent="0.2">
      <c r="G20627" s="889"/>
    </row>
    <row r="20628" spans="7:7" ht="10.5" customHeight="1" x14ac:dyDescent="0.2">
      <c r="G20628" s="889"/>
    </row>
    <row r="20629" spans="7:7" ht="10.5" customHeight="1" x14ac:dyDescent="0.2">
      <c r="G20629" s="889"/>
    </row>
    <row r="20630" spans="7:7" ht="10.5" customHeight="1" x14ac:dyDescent="0.2">
      <c r="G20630" s="889"/>
    </row>
    <row r="20631" spans="7:7" ht="10.5" customHeight="1" x14ac:dyDescent="0.2">
      <c r="G20631" s="889"/>
    </row>
    <row r="20632" spans="7:7" ht="10.5" customHeight="1" x14ac:dyDescent="0.2">
      <c r="G20632" s="889"/>
    </row>
    <row r="20633" spans="7:7" ht="10.5" customHeight="1" x14ac:dyDescent="0.2">
      <c r="G20633" s="889"/>
    </row>
    <row r="20634" spans="7:7" ht="10.5" customHeight="1" x14ac:dyDescent="0.2">
      <c r="G20634" s="889"/>
    </row>
    <row r="20635" spans="7:7" ht="10.5" customHeight="1" x14ac:dyDescent="0.2">
      <c r="G20635" s="889"/>
    </row>
    <row r="20636" spans="7:7" ht="10.5" customHeight="1" x14ac:dyDescent="0.2">
      <c r="G20636" s="889"/>
    </row>
    <row r="20637" spans="7:7" ht="10.5" customHeight="1" x14ac:dyDescent="0.2">
      <c r="G20637" s="889"/>
    </row>
    <row r="20638" spans="7:7" ht="10.5" customHeight="1" x14ac:dyDescent="0.2">
      <c r="G20638" s="889"/>
    </row>
    <row r="20639" spans="7:7" ht="10.5" customHeight="1" x14ac:dyDescent="0.2">
      <c r="G20639" s="889"/>
    </row>
    <row r="20640" spans="7:7" ht="10.5" customHeight="1" x14ac:dyDescent="0.2">
      <c r="G20640" s="889"/>
    </row>
    <row r="20641" spans="7:7" ht="10.5" customHeight="1" x14ac:dyDescent="0.2">
      <c r="G20641" s="889"/>
    </row>
    <row r="20642" spans="7:7" ht="10.5" customHeight="1" x14ac:dyDescent="0.2">
      <c r="G20642" s="889"/>
    </row>
    <row r="20643" spans="7:7" ht="10.5" customHeight="1" x14ac:dyDescent="0.2">
      <c r="G20643" s="889"/>
    </row>
    <row r="20644" spans="7:7" ht="10.5" customHeight="1" x14ac:dyDescent="0.2">
      <c r="G20644" s="889"/>
    </row>
    <row r="20645" spans="7:7" ht="10.5" customHeight="1" x14ac:dyDescent="0.2">
      <c r="G20645" s="889"/>
    </row>
    <row r="20646" spans="7:7" ht="10.5" customHeight="1" x14ac:dyDescent="0.2">
      <c r="G20646" s="889"/>
    </row>
    <row r="20647" spans="7:7" ht="10.5" customHeight="1" x14ac:dyDescent="0.2">
      <c r="G20647" s="889"/>
    </row>
    <row r="20648" spans="7:7" ht="10.5" customHeight="1" x14ac:dyDescent="0.2">
      <c r="G20648" s="889"/>
    </row>
    <row r="20649" spans="7:7" ht="10.5" customHeight="1" x14ac:dyDescent="0.2">
      <c r="G20649" s="889"/>
    </row>
    <row r="20650" spans="7:7" ht="10.5" customHeight="1" x14ac:dyDescent="0.2">
      <c r="G20650" s="889"/>
    </row>
    <row r="20651" spans="7:7" ht="10.5" customHeight="1" x14ac:dyDescent="0.2">
      <c r="G20651" s="889"/>
    </row>
    <row r="20652" spans="7:7" ht="10.5" customHeight="1" x14ac:dyDescent="0.2">
      <c r="G20652" s="889"/>
    </row>
    <row r="20653" spans="7:7" ht="10.5" customHeight="1" x14ac:dyDescent="0.2">
      <c r="G20653" s="889"/>
    </row>
    <row r="20654" spans="7:7" ht="10.5" customHeight="1" x14ac:dyDescent="0.2">
      <c r="G20654" s="889"/>
    </row>
    <row r="20655" spans="7:7" ht="10.5" customHeight="1" x14ac:dyDescent="0.2">
      <c r="G20655" s="889"/>
    </row>
    <row r="20656" spans="7:7" ht="10.5" customHeight="1" x14ac:dyDescent="0.2">
      <c r="G20656" s="889"/>
    </row>
    <row r="20657" spans="7:7" ht="10.5" customHeight="1" x14ac:dyDescent="0.2">
      <c r="G20657" s="889"/>
    </row>
    <row r="20658" spans="7:7" ht="10.5" customHeight="1" x14ac:dyDescent="0.2">
      <c r="G20658" s="889"/>
    </row>
    <row r="20659" spans="7:7" ht="10.5" customHeight="1" x14ac:dyDescent="0.2">
      <c r="G20659" s="889"/>
    </row>
    <row r="20660" spans="7:7" ht="10.5" customHeight="1" x14ac:dyDescent="0.2">
      <c r="G20660" s="889"/>
    </row>
    <row r="20661" spans="7:7" ht="10.5" customHeight="1" x14ac:dyDescent="0.2">
      <c r="G20661" s="889"/>
    </row>
    <row r="20662" spans="7:7" ht="10.5" customHeight="1" x14ac:dyDescent="0.2">
      <c r="G20662" s="889"/>
    </row>
    <row r="20663" spans="7:7" ht="10.5" customHeight="1" x14ac:dyDescent="0.2">
      <c r="G20663" s="889"/>
    </row>
    <row r="20664" spans="7:7" ht="10.5" customHeight="1" x14ac:dyDescent="0.2">
      <c r="G20664" s="889"/>
    </row>
    <row r="20665" spans="7:7" ht="10.5" customHeight="1" x14ac:dyDescent="0.2">
      <c r="G20665" s="889"/>
    </row>
    <row r="20666" spans="7:7" ht="10.5" customHeight="1" x14ac:dyDescent="0.2">
      <c r="G20666" s="889"/>
    </row>
    <row r="20667" spans="7:7" ht="10.5" customHeight="1" x14ac:dyDescent="0.2">
      <c r="G20667" s="889"/>
    </row>
    <row r="20668" spans="7:7" ht="10.5" customHeight="1" x14ac:dyDescent="0.2">
      <c r="G20668" s="889"/>
    </row>
    <row r="20669" spans="7:7" ht="10.5" customHeight="1" x14ac:dyDescent="0.2">
      <c r="G20669" s="889"/>
    </row>
    <row r="20670" spans="7:7" ht="10.5" customHeight="1" x14ac:dyDescent="0.2">
      <c r="G20670" s="889"/>
    </row>
    <row r="20671" spans="7:7" ht="10.5" customHeight="1" x14ac:dyDescent="0.2">
      <c r="G20671" s="889"/>
    </row>
    <row r="20672" spans="7:7" ht="10.5" customHeight="1" x14ac:dyDescent="0.2">
      <c r="G20672" s="889"/>
    </row>
    <row r="20673" spans="7:7" ht="10.5" customHeight="1" x14ac:dyDescent="0.2">
      <c r="G20673" s="889"/>
    </row>
    <row r="20674" spans="7:7" ht="10.5" customHeight="1" x14ac:dyDescent="0.2">
      <c r="G20674" s="889"/>
    </row>
    <row r="20675" spans="7:7" ht="10.5" customHeight="1" x14ac:dyDescent="0.2">
      <c r="G20675" s="889"/>
    </row>
    <row r="20676" spans="7:7" ht="10.5" customHeight="1" x14ac:dyDescent="0.2">
      <c r="G20676" s="889"/>
    </row>
    <row r="20677" spans="7:7" ht="10.5" customHeight="1" x14ac:dyDescent="0.2">
      <c r="G20677" s="889"/>
    </row>
    <row r="20678" spans="7:7" ht="10.5" customHeight="1" x14ac:dyDescent="0.2">
      <c r="G20678" s="889"/>
    </row>
    <row r="20679" spans="7:7" ht="10.5" customHeight="1" x14ac:dyDescent="0.2">
      <c r="G20679" s="889"/>
    </row>
    <row r="20680" spans="7:7" ht="10.5" customHeight="1" x14ac:dyDescent="0.2">
      <c r="G20680" s="889"/>
    </row>
    <row r="20681" spans="7:7" ht="10.5" customHeight="1" x14ac:dyDescent="0.2">
      <c r="G20681" s="889"/>
    </row>
    <row r="20682" spans="7:7" ht="10.5" customHeight="1" x14ac:dyDescent="0.2">
      <c r="G20682" s="889"/>
    </row>
    <row r="20683" spans="7:7" ht="10.5" customHeight="1" x14ac:dyDescent="0.2">
      <c r="G20683" s="889"/>
    </row>
    <row r="20684" spans="7:7" ht="10.5" customHeight="1" x14ac:dyDescent="0.2">
      <c r="G20684" s="889"/>
    </row>
    <row r="20685" spans="7:7" ht="10.5" customHeight="1" x14ac:dyDescent="0.2">
      <c r="G20685" s="889"/>
    </row>
    <row r="20686" spans="7:7" ht="10.5" customHeight="1" x14ac:dyDescent="0.2">
      <c r="G20686" s="889"/>
    </row>
    <row r="20687" spans="7:7" ht="10.5" customHeight="1" x14ac:dyDescent="0.2">
      <c r="G20687" s="889"/>
    </row>
    <row r="20688" spans="7:7" ht="10.5" customHeight="1" x14ac:dyDescent="0.2">
      <c r="G20688" s="889"/>
    </row>
    <row r="20689" spans="7:7" ht="10.5" customHeight="1" x14ac:dyDescent="0.2">
      <c r="G20689" s="889"/>
    </row>
    <row r="20690" spans="7:7" ht="10.5" customHeight="1" x14ac:dyDescent="0.2">
      <c r="G20690" s="889"/>
    </row>
    <row r="20691" spans="7:7" ht="10.5" customHeight="1" x14ac:dyDescent="0.2">
      <c r="G20691" s="889"/>
    </row>
    <row r="20692" spans="7:7" ht="10.5" customHeight="1" x14ac:dyDescent="0.2">
      <c r="G20692" s="889"/>
    </row>
    <row r="20693" spans="7:7" ht="10.5" customHeight="1" x14ac:dyDescent="0.2">
      <c r="G20693" s="889"/>
    </row>
    <row r="20694" spans="7:7" ht="10.5" customHeight="1" x14ac:dyDescent="0.2">
      <c r="G20694" s="889"/>
    </row>
    <row r="20695" spans="7:7" ht="10.5" customHeight="1" x14ac:dyDescent="0.2">
      <c r="G20695" s="889"/>
    </row>
    <row r="20696" spans="7:7" ht="10.5" customHeight="1" x14ac:dyDescent="0.2">
      <c r="G20696" s="889"/>
    </row>
    <row r="20697" spans="7:7" ht="10.5" customHeight="1" x14ac:dyDescent="0.2">
      <c r="G20697" s="889"/>
    </row>
    <row r="20698" spans="7:7" ht="10.5" customHeight="1" x14ac:dyDescent="0.2">
      <c r="G20698" s="889"/>
    </row>
    <row r="20699" spans="7:7" ht="10.5" customHeight="1" x14ac:dyDescent="0.2">
      <c r="G20699" s="889"/>
    </row>
    <row r="20700" spans="7:7" ht="10.5" customHeight="1" x14ac:dyDescent="0.2">
      <c r="G20700" s="889"/>
    </row>
    <row r="20701" spans="7:7" ht="10.5" customHeight="1" x14ac:dyDescent="0.2">
      <c r="G20701" s="889"/>
    </row>
    <row r="20702" spans="7:7" ht="10.5" customHeight="1" x14ac:dyDescent="0.2">
      <c r="G20702" s="889"/>
    </row>
    <row r="20703" spans="7:7" ht="10.5" customHeight="1" x14ac:dyDescent="0.2">
      <c r="G20703" s="889"/>
    </row>
    <row r="20704" spans="7:7" ht="10.5" customHeight="1" x14ac:dyDescent="0.2">
      <c r="G20704" s="889"/>
    </row>
    <row r="20705" spans="7:7" ht="10.5" customHeight="1" x14ac:dyDescent="0.2">
      <c r="G20705" s="889"/>
    </row>
    <row r="20706" spans="7:7" ht="10.5" customHeight="1" x14ac:dyDescent="0.2">
      <c r="G20706" s="889"/>
    </row>
    <row r="20707" spans="7:7" ht="10.5" customHeight="1" x14ac:dyDescent="0.2">
      <c r="G20707" s="889"/>
    </row>
    <row r="20708" spans="7:7" ht="10.5" customHeight="1" x14ac:dyDescent="0.2">
      <c r="G20708" s="889"/>
    </row>
    <row r="20709" spans="7:7" ht="10.5" customHeight="1" x14ac:dyDescent="0.2">
      <c r="G20709" s="889"/>
    </row>
    <row r="20710" spans="7:7" ht="10.5" customHeight="1" x14ac:dyDescent="0.2">
      <c r="G20710" s="889"/>
    </row>
    <row r="20711" spans="7:7" ht="10.5" customHeight="1" x14ac:dyDescent="0.2">
      <c r="G20711" s="889"/>
    </row>
    <row r="20712" spans="7:7" ht="10.5" customHeight="1" x14ac:dyDescent="0.2">
      <c r="G20712" s="889"/>
    </row>
    <row r="20713" spans="7:7" ht="10.5" customHeight="1" x14ac:dyDescent="0.2">
      <c r="G20713" s="889"/>
    </row>
    <row r="20714" spans="7:7" ht="10.5" customHeight="1" x14ac:dyDescent="0.2">
      <c r="G20714" s="889"/>
    </row>
    <row r="20715" spans="7:7" ht="10.5" customHeight="1" x14ac:dyDescent="0.2">
      <c r="G20715" s="889"/>
    </row>
    <row r="20716" spans="7:7" ht="10.5" customHeight="1" x14ac:dyDescent="0.2">
      <c r="G20716" s="889"/>
    </row>
    <row r="20717" spans="7:7" ht="10.5" customHeight="1" x14ac:dyDescent="0.2">
      <c r="G20717" s="889"/>
    </row>
    <row r="20718" spans="7:7" ht="10.5" customHeight="1" x14ac:dyDescent="0.2">
      <c r="G20718" s="889"/>
    </row>
    <row r="20719" spans="7:7" ht="10.5" customHeight="1" x14ac:dyDescent="0.2">
      <c r="G20719" s="889"/>
    </row>
    <row r="20720" spans="7:7" ht="10.5" customHeight="1" x14ac:dyDescent="0.2">
      <c r="G20720" s="889"/>
    </row>
    <row r="20721" spans="7:7" ht="10.5" customHeight="1" x14ac:dyDescent="0.2">
      <c r="G20721" s="889"/>
    </row>
    <row r="20722" spans="7:7" ht="10.5" customHeight="1" x14ac:dyDescent="0.2">
      <c r="G20722" s="889"/>
    </row>
    <row r="20723" spans="7:7" ht="10.5" customHeight="1" x14ac:dyDescent="0.2">
      <c r="G20723" s="889"/>
    </row>
    <row r="20724" spans="7:7" ht="10.5" customHeight="1" x14ac:dyDescent="0.2">
      <c r="G20724" s="889"/>
    </row>
    <row r="20725" spans="7:7" ht="10.5" customHeight="1" x14ac:dyDescent="0.2">
      <c r="G20725" s="889"/>
    </row>
    <row r="20726" spans="7:7" ht="10.5" customHeight="1" x14ac:dyDescent="0.2">
      <c r="G20726" s="889"/>
    </row>
    <row r="20727" spans="7:7" ht="10.5" customHeight="1" x14ac:dyDescent="0.2">
      <c r="G20727" s="889"/>
    </row>
    <row r="20728" spans="7:7" ht="10.5" customHeight="1" x14ac:dyDescent="0.2">
      <c r="G20728" s="889"/>
    </row>
    <row r="20729" spans="7:7" ht="10.5" customHeight="1" x14ac:dyDescent="0.2">
      <c r="G20729" s="889"/>
    </row>
    <row r="20730" spans="7:7" ht="10.5" customHeight="1" x14ac:dyDescent="0.2">
      <c r="G20730" s="889"/>
    </row>
    <row r="20731" spans="7:7" ht="10.5" customHeight="1" x14ac:dyDescent="0.2">
      <c r="G20731" s="889"/>
    </row>
    <row r="20732" spans="7:7" ht="10.5" customHeight="1" x14ac:dyDescent="0.2">
      <c r="G20732" s="889"/>
    </row>
    <row r="20733" spans="7:7" ht="10.5" customHeight="1" x14ac:dyDescent="0.2">
      <c r="G20733" s="889"/>
    </row>
    <row r="20734" spans="7:7" ht="10.5" customHeight="1" x14ac:dyDescent="0.2">
      <c r="G20734" s="889"/>
    </row>
    <row r="20735" spans="7:7" ht="10.5" customHeight="1" x14ac:dyDescent="0.2">
      <c r="G20735" s="889"/>
    </row>
    <row r="20736" spans="7:7" ht="10.5" customHeight="1" x14ac:dyDescent="0.2">
      <c r="G20736" s="889"/>
    </row>
    <row r="20737" spans="7:7" ht="10.5" customHeight="1" x14ac:dyDescent="0.2">
      <c r="G20737" s="889"/>
    </row>
    <row r="20738" spans="7:7" ht="10.5" customHeight="1" x14ac:dyDescent="0.2">
      <c r="G20738" s="889"/>
    </row>
    <row r="20739" spans="7:7" ht="10.5" customHeight="1" x14ac:dyDescent="0.2">
      <c r="G20739" s="889"/>
    </row>
    <row r="20740" spans="7:7" ht="10.5" customHeight="1" x14ac:dyDescent="0.2">
      <c r="G20740" s="889"/>
    </row>
    <row r="20741" spans="7:7" ht="10.5" customHeight="1" x14ac:dyDescent="0.2">
      <c r="G20741" s="889"/>
    </row>
    <row r="20742" spans="7:7" ht="10.5" customHeight="1" x14ac:dyDescent="0.2">
      <c r="G20742" s="889"/>
    </row>
    <row r="20743" spans="7:7" ht="10.5" customHeight="1" x14ac:dyDescent="0.2">
      <c r="G20743" s="889"/>
    </row>
    <row r="20744" spans="7:7" ht="10.5" customHeight="1" x14ac:dyDescent="0.2">
      <c r="G20744" s="889"/>
    </row>
    <row r="20745" spans="7:7" ht="10.5" customHeight="1" x14ac:dyDescent="0.2">
      <c r="G20745" s="889"/>
    </row>
    <row r="20746" spans="7:7" ht="10.5" customHeight="1" x14ac:dyDescent="0.2">
      <c r="G20746" s="889"/>
    </row>
    <row r="20747" spans="7:7" ht="10.5" customHeight="1" x14ac:dyDescent="0.2">
      <c r="G20747" s="889"/>
    </row>
    <row r="20748" spans="7:7" ht="10.5" customHeight="1" x14ac:dyDescent="0.2">
      <c r="G20748" s="889"/>
    </row>
    <row r="20749" spans="7:7" ht="10.5" customHeight="1" x14ac:dyDescent="0.2">
      <c r="G20749" s="889"/>
    </row>
    <row r="20750" spans="7:7" ht="10.5" customHeight="1" x14ac:dyDescent="0.2">
      <c r="G20750" s="889"/>
    </row>
    <row r="20751" spans="7:7" ht="10.5" customHeight="1" x14ac:dyDescent="0.2">
      <c r="G20751" s="889"/>
    </row>
    <row r="20752" spans="7:7" ht="10.5" customHeight="1" x14ac:dyDescent="0.2">
      <c r="G20752" s="889"/>
    </row>
    <row r="20753" spans="7:7" ht="10.5" customHeight="1" x14ac:dyDescent="0.2">
      <c r="G20753" s="889"/>
    </row>
    <row r="20754" spans="7:7" ht="10.5" customHeight="1" x14ac:dyDescent="0.2">
      <c r="G20754" s="889"/>
    </row>
    <row r="20755" spans="7:7" ht="10.5" customHeight="1" x14ac:dyDescent="0.2">
      <c r="G20755" s="889"/>
    </row>
    <row r="20756" spans="7:7" ht="10.5" customHeight="1" x14ac:dyDescent="0.2">
      <c r="G20756" s="889"/>
    </row>
    <row r="20757" spans="7:7" ht="10.5" customHeight="1" x14ac:dyDescent="0.2">
      <c r="G20757" s="889"/>
    </row>
    <row r="20758" spans="7:7" ht="10.5" customHeight="1" x14ac:dyDescent="0.2">
      <c r="G20758" s="889"/>
    </row>
    <row r="20759" spans="7:7" ht="10.5" customHeight="1" x14ac:dyDescent="0.2">
      <c r="G20759" s="889"/>
    </row>
    <row r="20760" spans="7:7" ht="10.5" customHeight="1" x14ac:dyDescent="0.2">
      <c r="G20760" s="889"/>
    </row>
    <row r="20761" spans="7:7" ht="10.5" customHeight="1" x14ac:dyDescent="0.2">
      <c r="G20761" s="889"/>
    </row>
    <row r="20762" spans="7:7" ht="10.5" customHeight="1" x14ac:dyDescent="0.2">
      <c r="G20762" s="889"/>
    </row>
    <row r="20763" spans="7:7" ht="10.5" customHeight="1" x14ac:dyDescent="0.2">
      <c r="G20763" s="889"/>
    </row>
    <row r="20764" spans="7:7" ht="10.5" customHeight="1" x14ac:dyDescent="0.2">
      <c r="G20764" s="889"/>
    </row>
    <row r="20765" spans="7:7" ht="10.5" customHeight="1" x14ac:dyDescent="0.2">
      <c r="G20765" s="889"/>
    </row>
    <row r="20766" spans="7:7" ht="10.5" customHeight="1" x14ac:dyDescent="0.2">
      <c r="G20766" s="889"/>
    </row>
    <row r="20767" spans="7:7" ht="10.5" customHeight="1" x14ac:dyDescent="0.2">
      <c r="G20767" s="889"/>
    </row>
    <row r="20768" spans="7:7" ht="10.5" customHeight="1" x14ac:dyDescent="0.2">
      <c r="G20768" s="889"/>
    </row>
    <row r="20769" spans="7:7" ht="10.5" customHeight="1" x14ac:dyDescent="0.2">
      <c r="G20769" s="889"/>
    </row>
    <row r="20770" spans="7:7" ht="10.5" customHeight="1" x14ac:dyDescent="0.2">
      <c r="G20770" s="889"/>
    </row>
    <row r="20771" spans="7:7" ht="10.5" customHeight="1" x14ac:dyDescent="0.2">
      <c r="G20771" s="889"/>
    </row>
    <row r="20772" spans="7:7" ht="10.5" customHeight="1" x14ac:dyDescent="0.2">
      <c r="G20772" s="889"/>
    </row>
    <row r="20773" spans="7:7" ht="10.5" customHeight="1" x14ac:dyDescent="0.2">
      <c r="G20773" s="889"/>
    </row>
    <row r="20774" spans="7:7" ht="10.5" customHeight="1" x14ac:dyDescent="0.2">
      <c r="G20774" s="889"/>
    </row>
    <row r="20775" spans="7:7" ht="10.5" customHeight="1" x14ac:dyDescent="0.2">
      <c r="G20775" s="889"/>
    </row>
    <row r="20776" spans="7:7" ht="10.5" customHeight="1" x14ac:dyDescent="0.2">
      <c r="G20776" s="889"/>
    </row>
    <row r="20777" spans="7:7" ht="10.5" customHeight="1" x14ac:dyDescent="0.2">
      <c r="G20777" s="889"/>
    </row>
    <row r="20778" spans="7:7" ht="10.5" customHeight="1" x14ac:dyDescent="0.2">
      <c r="G20778" s="889"/>
    </row>
    <row r="20779" spans="7:7" ht="10.5" customHeight="1" x14ac:dyDescent="0.2">
      <c r="G20779" s="889"/>
    </row>
    <row r="20780" spans="7:7" ht="10.5" customHeight="1" x14ac:dyDescent="0.2">
      <c r="G20780" s="889"/>
    </row>
    <row r="20781" spans="7:7" ht="10.5" customHeight="1" x14ac:dyDescent="0.2">
      <c r="G20781" s="889"/>
    </row>
    <row r="20782" spans="7:7" ht="10.5" customHeight="1" x14ac:dyDescent="0.2">
      <c r="G20782" s="889"/>
    </row>
    <row r="20783" spans="7:7" ht="10.5" customHeight="1" x14ac:dyDescent="0.2">
      <c r="G20783" s="889"/>
    </row>
    <row r="20784" spans="7:7" ht="10.5" customHeight="1" x14ac:dyDescent="0.2">
      <c r="G20784" s="889"/>
    </row>
    <row r="20785" spans="7:7" ht="10.5" customHeight="1" x14ac:dyDescent="0.2">
      <c r="G20785" s="889"/>
    </row>
    <row r="20786" spans="7:7" ht="10.5" customHeight="1" x14ac:dyDescent="0.2">
      <c r="G20786" s="889"/>
    </row>
    <row r="20787" spans="7:7" ht="10.5" customHeight="1" x14ac:dyDescent="0.2">
      <c r="G20787" s="889"/>
    </row>
    <row r="20788" spans="7:7" ht="10.5" customHeight="1" x14ac:dyDescent="0.2">
      <c r="G20788" s="889"/>
    </row>
    <row r="20789" spans="7:7" ht="10.5" customHeight="1" x14ac:dyDescent="0.2">
      <c r="G20789" s="889"/>
    </row>
    <row r="20790" spans="7:7" ht="10.5" customHeight="1" x14ac:dyDescent="0.2">
      <c r="G20790" s="889"/>
    </row>
    <row r="20791" spans="7:7" ht="10.5" customHeight="1" x14ac:dyDescent="0.2">
      <c r="G20791" s="889"/>
    </row>
    <row r="20792" spans="7:7" ht="10.5" customHeight="1" x14ac:dyDescent="0.2">
      <c r="G20792" s="889"/>
    </row>
    <row r="20793" spans="7:7" ht="10.5" customHeight="1" x14ac:dyDescent="0.2">
      <c r="G20793" s="889"/>
    </row>
    <row r="20794" spans="7:7" ht="10.5" customHeight="1" x14ac:dyDescent="0.2">
      <c r="G20794" s="889"/>
    </row>
    <row r="20795" spans="7:7" ht="10.5" customHeight="1" x14ac:dyDescent="0.2">
      <c r="G20795" s="889"/>
    </row>
    <row r="20796" spans="7:7" ht="10.5" customHeight="1" x14ac:dyDescent="0.2">
      <c r="G20796" s="889"/>
    </row>
    <row r="20797" spans="7:7" ht="10.5" customHeight="1" x14ac:dyDescent="0.2">
      <c r="G20797" s="889"/>
    </row>
    <row r="20798" spans="7:7" ht="10.5" customHeight="1" x14ac:dyDescent="0.2">
      <c r="G20798" s="889"/>
    </row>
    <row r="20799" spans="7:7" ht="10.5" customHeight="1" x14ac:dyDescent="0.2">
      <c r="G20799" s="889"/>
    </row>
    <row r="20800" spans="7:7" ht="10.5" customHeight="1" x14ac:dyDescent="0.2">
      <c r="G20800" s="889"/>
    </row>
    <row r="20801" spans="7:7" ht="10.5" customHeight="1" x14ac:dyDescent="0.2">
      <c r="G20801" s="889"/>
    </row>
    <row r="20802" spans="7:7" ht="10.5" customHeight="1" x14ac:dyDescent="0.2">
      <c r="G20802" s="889"/>
    </row>
    <row r="20803" spans="7:7" ht="10.5" customHeight="1" x14ac:dyDescent="0.2">
      <c r="G20803" s="889"/>
    </row>
    <row r="20804" spans="7:7" ht="10.5" customHeight="1" x14ac:dyDescent="0.2">
      <c r="G20804" s="889"/>
    </row>
    <row r="20805" spans="7:7" ht="10.5" customHeight="1" x14ac:dyDescent="0.2">
      <c r="G20805" s="889"/>
    </row>
    <row r="20806" spans="7:7" ht="10.5" customHeight="1" x14ac:dyDescent="0.2">
      <c r="G20806" s="889"/>
    </row>
    <row r="20807" spans="7:7" ht="10.5" customHeight="1" x14ac:dyDescent="0.2">
      <c r="G20807" s="889"/>
    </row>
    <row r="20808" spans="7:7" ht="10.5" customHeight="1" x14ac:dyDescent="0.2">
      <c r="G20808" s="889"/>
    </row>
    <row r="20809" spans="7:7" ht="10.5" customHeight="1" x14ac:dyDescent="0.2">
      <c r="G20809" s="889"/>
    </row>
    <row r="20810" spans="7:7" ht="10.5" customHeight="1" x14ac:dyDescent="0.2">
      <c r="G20810" s="889"/>
    </row>
    <row r="20811" spans="7:7" ht="10.5" customHeight="1" x14ac:dyDescent="0.2">
      <c r="G20811" s="889"/>
    </row>
    <row r="20812" spans="7:7" ht="10.5" customHeight="1" x14ac:dyDescent="0.2">
      <c r="G20812" s="889"/>
    </row>
    <row r="20813" spans="7:7" ht="10.5" customHeight="1" x14ac:dyDescent="0.2">
      <c r="G20813" s="889"/>
    </row>
    <row r="20814" spans="7:7" ht="10.5" customHeight="1" x14ac:dyDescent="0.2">
      <c r="G20814" s="889"/>
    </row>
    <row r="20815" spans="7:7" ht="10.5" customHeight="1" x14ac:dyDescent="0.2">
      <c r="G20815" s="889"/>
    </row>
    <row r="20816" spans="7:7" ht="10.5" customHeight="1" x14ac:dyDescent="0.2">
      <c r="G20816" s="889"/>
    </row>
    <row r="20817" spans="7:7" ht="10.5" customHeight="1" x14ac:dyDescent="0.2">
      <c r="G20817" s="889"/>
    </row>
    <row r="20818" spans="7:7" ht="10.5" customHeight="1" x14ac:dyDescent="0.2">
      <c r="G20818" s="889"/>
    </row>
    <row r="20819" spans="7:7" ht="10.5" customHeight="1" x14ac:dyDescent="0.2">
      <c r="G20819" s="889"/>
    </row>
    <row r="20820" spans="7:7" ht="10.5" customHeight="1" x14ac:dyDescent="0.2">
      <c r="G20820" s="889"/>
    </row>
    <row r="20821" spans="7:7" ht="10.5" customHeight="1" x14ac:dyDescent="0.2">
      <c r="G20821" s="889"/>
    </row>
    <row r="20822" spans="7:7" ht="10.5" customHeight="1" x14ac:dyDescent="0.2">
      <c r="G20822" s="889"/>
    </row>
    <row r="20823" spans="7:7" ht="10.5" customHeight="1" x14ac:dyDescent="0.2">
      <c r="G20823" s="889"/>
    </row>
    <row r="20824" spans="7:7" ht="10.5" customHeight="1" x14ac:dyDescent="0.2">
      <c r="G20824" s="889"/>
    </row>
    <row r="20825" spans="7:7" ht="10.5" customHeight="1" x14ac:dyDescent="0.2">
      <c r="G20825" s="889"/>
    </row>
    <row r="20826" spans="7:7" ht="10.5" customHeight="1" x14ac:dyDescent="0.2">
      <c r="G20826" s="889"/>
    </row>
    <row r="20827" spans="7:7" ht="10.5" customHeight="1" x14ac:dyDescent="0.2">
      <c r="G20827" s="889"/>
    </row>
    <row r="20828" spans="7:7" ht="10.5" customHeight="1" x14ac:dyDescent="0.2">
      <c r="G20828" s="889"/>
    </row>
    <row r="20829" spans="7:7" ht="10.5" customHeight="1" x14ac:dyDescent="0.2">
      <c r="G20829" s="889"/>
    </row>
    <row r="20830" spans="7:7" ht="10.5" customHeight="1" x14ac:dyDescent="0.2">
      <c r="G20830" s="889"/>
    </row>
    <row r="20831" spans="7:7" ht="10.5" customHeight="1" x14ac:dyDescent="0.2">
      <c r="G20831" s="889"/>
    </row>
    <row r="20832" spans="7:7" ht="10.5" customHeight="1" x14ac:dyDescent="0.2">
      <c r="G20832" s="889"/>
    </row>
    <row r="20833" spans="7:7" ht="10.5" customHeight="1" x14ac:dyDescent="0.2">
      <c r="G20833" s="889"/>
    </row>
    <row r="20834" spans="7:7" ht="10.5" customHeight="1" x14ac:dyDescent="0.2">
      <c r="G20834" s="889"/>
    </row>
    <row r="20835" spans="7:7" ht="10.5" customHeight="1" x14ac:dyDescent="0.2">
      <c r="G20835" s="889"/>
    </row>
    <row r="20836" spans="7:7" ht="10.5" customHeight="1" x14ac:dyDescent="0.2">
      <c r="G20836" s="889"/>
    </row>
    <row r="20837" spans="7:7" ht="10.5" customHeight="1" x14ac:dyDescent="0.2">
      <c r="G20837" s="889"/>
    </row>
    <row r="20838" spans="7:7" ht="10.5" customHeight="1" x14ac:dyDescent="0.2">
      <c r="G20838" s="889"/>
    </row>
    <row r="20839" spans="7:7" ht="10.5" customHeight="1" x14ac:dyDescent="0.2">
      <c r="G20839" s="889"/>
    </row>
    <row r="20840" spans="7:7" ht="10.5" customHeight="1" x14ac:dyDescent="0.2">
      <c r="G20840" s="889"/>
    </row>
    <row r="20841" spans="7:7" ht="10.5" customHeight="1" x14ac:dyDescent="0.2">
      <c r="G20841" s="889"/>
    </row>
    <row r="20842" spans="7:7" ht="10.5" customHeight="1" x14ac:dyDescent="0.2">
      <c r="G20842" s="889"/>
    </row>
    <row r="20843" spans="7:7" ht="10.5" customHeight="1" x14ac:dyDescent="0.2">
      <c r="G20843" s="889"/>
    </row>
    <row r="20844" spans="7:7" ht="10.5" customHeight="1" x14ac:dyDescent="0.2">
      <c r="G20844" s="889"/>
    </row>
    <row r="20845" spans="7:7" ht="10.5" customHeight="1" x14ac:dyDescent="0.2">
      <c r="G20845" s="889"/>
    </row>
    <row r="20846" spans="7:7" ht="10.5" customHeight="1" x14ac:dyDescent="0.2">
      <c r="G20846" s="889"/>
    </row>
    <row r="20847" spans="7:7" ht="10.5" customHeight="1" x14ac:dyDescent="0.2">
      <c r="G20847" s="889"/>
    </row>
    <row r="20848" spans="7:7" ht="10.5" customHeight="1" x14ac:dyDescent="0.2">
      <c r="G20848" s="889"/>
    </row>
    <row r="20849" spans="7:7" ht="10.5" customHeight="1" x14ac:dyDescent="0.2">
      <c r="G20849" s="889"/>
    </row>
    <row r="20850" spans="7:7" ht="10.5" customHeight="1" x14ac:dyDescent="0.2">
      <c r="G20850" s="889"/>
    </row>
    <row r="20851" spans="7:7" ht="10.5" customHeight="1" x14ac:dyDescent="0.2">
      <c r="G20851" s="889"/>
    </row>
    <row r="20852" spans="7:7" ht="10.5" customHeight="1" x14ac:dyDescent="0.2">
      <c r="G20852" s="889"/>
    </row>
    <row r="20853" spans="7:7" ht="10.5" customHeight="1" x14ac:dyDescent="0.2">
      <c r="G20853" s="889"/>
    </row>
    <row r="20854" spans="7:7" ht="10.5" customHeight="1" x14ac:dyDescent="0.2">
      <c r="G20854" s="889"/>
    </row>
    <row r="20855" spans="7:7" ht="10.5" customHeight="1" x14ac:dyDescent="0.2">
      <c r="G20855" s="889"/>
    </row>
    <row r="20856" spans="7:7" ht="10.5" customHeight="1" x14ac:dyDescent="0.2">
      <c r="G20856" s="889"/>
    </row>
    <row r="20857" spans="7:7" ht="10.5" customHeight="1" x14ac:dyDescent="0.2">
      <c r="G20857" s="889"/>
    </row>
    <row r="20858" spans="7:7" ht="10.5" customHeight="1" x14ac:dyDescent="0.2">
      <c r="G20858" s="889"/>
    </row>
    <row r="20859" spans="7:7" ht="10.5" customHeight="1" x14ac:dyDescent="0.2">
      <c r="G20859" s="889"/>
    </row>
    <row r="20860" spans="7:7" ht="10.5" customHeight="1" x14ac:dyDescent="0.2">
      <c r="G20860" s="889"/>
    </row>
    <row r="20861" spans="7:7" ht="10.5" customHeight="1" x14ac:dyDescent="0.2">
      <c r="G20861" s="889"/>
    </row>
    <row r="20862" spans="7:7" ht="10.5" customHeight="1" x14ac:dyDescent="0.2">
      <c r="G20862" s="889"/>
    </row>
    <row r="20863" spans="7:7" ht="10.5" customHeight="1" x14ac:dyDescent="0.2">
      <c r="G20863" s="889"/>
    </row>
    <row r="20864" spans="7:7" ht="10.5" customHeight="1" x14ac:dyDescent="0.2">
      <c r="G20864" s="889"/>
    </row>
    <row r="20865" spans="7:7" ht="10.5" customHeight="1" x14ac:dyDescent="0.2">
      <c r="G20865" s="889"/>
    </row>
    <row r="20866" spans="7:7" ht="10.5" customHeight="1" x14ac:dyDescent="0.2">
      <c r="G20866" s="889"/>
    </row>
    <row r="20867" spans="7:7" ht="10.5" customHeight="1" x14ac:dyDescent="0.2">
      <c r="G20867" s="889"/>
    </row>
    <row r="20868" spans="7:7" ht="10.5" customHeight="1" x14ac:dyDescent="0.2">
      <c r="G20868" s="889"/>
    </row>
    <row r="20869" spans="7:7" ht="10.5" customHeight="1" x14ac:dyDescent="0.2">
      <c r="G20869" s="889"/>
    </row>
    <row r="20870" spans="7:7" ht="10.5" customHeight="1" x14ac:dyDescent="0.2">
      <c r="G20870" s="889"/>
    </row>
    <row r="20871" spans="7:7" ht="10.5" customHeight="1" x14ac:dyDescent="0.2">
      <c r="G20871" s="889"/>
    </row>
    <row r="20872" spans="7:7" ht="10.5" customHeight="1" x14ac:dyDescent="0.2">
      <c r="G20872" s="889"/>
    </row>
    <row r="20873" spans="7:7" ht="10.5" customHeight="1" x14ac:dyDescent="0.2">
      <c r="G20873" s="889"/>
    </row>
    <row r="20874" spans="7:7" ht="10.5" customHeight="1" x14ac:dyDescent="0.2">
      <c r="G20874" s="889"/>
    </row>
    <row r="20875" spans="7:7" ht="10.5" customHeight="1" x14ac:dyDescent="0.2">
      <c r="G20875" s="889"/>
    </row>
    <row r="20876" spans="7:7" ht="10.5" customHeight="1" x14ac:dyDescent="0.2">
      <c r="G20876" s="889"/>
    </row>
    <row r="20877" spans="7:7" ht="10.5" customHeight="1" x14ac:dyDescent="0.2">
      <c r="G20877" s="889"/>
    </row>
    <row r="20878" spans="7:7" ht="10.5" customHeight="1" x14ac:dyDescent="0.2">
      <c r="G20878" s="889"/>
    </row>
    <row r="20879" spans="7:7" ht="10.5" customHeight="1" x14ac:dyDescent="0.2">
      <c r="G20879" s="889"/>
    </row>
    <row r="20880" spans="7:7" ht="10.5" customHeight="1" x14ac:dyDescent="0.2">
      <c r="G20880" s="889"/>
    </row>
    <row r="20881" spans="7:7" ht="10.5" customHeight="1" x14ac:dyDescent="0.2">
      <c r="G20881" s="889"/>
    </row>
    <row r="20882" spans="7:7" ht="10.5" customHeight="1" x14ac:dyDescent="0.2">
      <c r="G20882" s="889"/>
    </row>
    <row r="20883" spans="7:7" ht="10.5" customHeight="1" x14ac:dyDescent="0.2">
      <c r="G20883" s="889"/>
    </row>
    <row r="20884" spans="7:7" ht="10.5" customHeight="1" x14ac:dyDescent="0.2">
      <c r="G20884" s="889"/>
    </row>
    <row r="20885" spans="7:7" ht="10.5" customHeight="1" x14ac:dyDescent="0.2">
      <c r="G20885" s="889"/>
    </row>
    <row r="20886" spans="7:7" ht="10.5" customHeight="1" x14ac:dyDescent="0.2">
      <c r="G20886" s="889"/>
    </row>
    <row r="20887" spans="7:7" ht="10.5" customHeight="1" x14ac:dyDescent="0.2">
      <c r="G20887" s="889"/>
    </row>
    <row r="20888" spans="7:7" ht="10.5" customHeight="1" x14ac:dyDescent="0.2">
      <c r="G20888" s="889"/>
    </row>
    <row r="20889" spans="7:7" ht="10.5" customHeight="1" x14ac:dyDescent="0.2">
      <c r="G20889" s="889"/>
    </row>
    <row r="20890" spans="7:7" ht="10.5" customHeight="1" x14ac:dyDescent="0.2">
      <c r="G20890" s="889"/>
    </row>
    <row r="20891" spans="7:7" ht="10.5" customHeight="1" x14ac:dyDescent="0.2">
      <c r="G20891" s="889"/>
    </row>
    <row r="20892" spans="7:7" ht="10.5" customHeight="1" x14ac:dyDescent="0.2">
      <c r="G20892" s="889"/>
    </row>
    <row r="20893" spans="7:7" ht="10.5" customHeight="1" x14ac:dyDescent="0.2">
      <c r="G20893" s="889"/>
    </row>
    <row r="20894" spans="7:7" ht="10.5" customHeight="1" x14ac:dyDescent="0.2">
      <c r="G20894" s="889"/>
    </row>
    <row r="20895" spans="7:7" ht="10.5" customHeight="1" x14ac:dyDescent="0.2">
      <c r="G20895" s="889"/>
    </row>
    <row r="20896" spans="7:7" ht="10.5" customHeight="1" x14ac:dyDescent="0.2">
      <c r="G20896" s="889"/>
    </row>
    <row r="20897" spans="7:7" ht="10.5" customHeight="1" x14ac:dyDescent="0.2">
      <c r="G20897" s="889"/>
    </row>
    <row r="20898" spans="7:7" ht="10.5" customHeight="1" x14ac:dyDescent="0.2">
      <c r="G20898" s="889"/>
    </row>
    <row r="20899" spans="7:7" ht="10.5" customHeight="1" x14ac:dyDescent="0.2">
      <c r="G20899" s="889"/>
    </row>
    <row r="20900" spans="7:7" ht="10.5" customHeight="1" x14ac:dyDescent="0.2">
      <c r="G20900" s="889"/>
    </row>
    <row r="20901" spans="7:7" ht="10.5" customHeight="1" x14ac:dyDescent="0.2">
      <c r="G20901" s="889"/>
    </row>
    <row r="20902" spans="7:7" ht="10.5" customHeight="1" x14ac:dyDescent="0.2">
      <c r="G20902" s="889"/>
    </row>
    <row r="20903" spans="7:7" ht="10.5" customHeight="1" x14ac:dyDescent="0.2">
      <c r="G20903" s="889"/>
    </row>
    <row r="20904" spans="7:7" ht="10.5" customHeight="1" x14ac:dyDescent="0.2">
      <c r="G20904" s="889"/>
    </row>
    <row r="20905" spans="7:7" ht="10.5" customHeight="1" x14ac:dyDescent="0.2">
      <c r="G20905" s="889"/>
    </row>
    <row r="20906" spans="7:7" ht="10.5" customHeight="1" x14ac:dyDescent="0.2">
      <c r="G20906" s="889"/>
    </row>
    <row r="20907" spans="7:7" ht="10.5" customHeight="1" x14ac:dyDescent="0.2">
      <c r="G20907" s="889"/>
    </row>
    <row r="20908" spans="7:7" ht="10.5" customHeight="1" x14ac:dyDescent="0.2">
      <c r="G20908" s="889"/>
    </row>
    <row r="20909" spans="7:7" ht="10.5" customHeight="1" x14ac:dyDescent="0.2">
      <c r="G20909" s="889"/>
    </row>
    <row r="20910" spans="7:7" ht="10.5" customHeight="1" x14ac:dyDescent="0.2">
      <c r="G20910" s="889"/>
    </row>
    <row r="20911" spans="7:7" ht="10.5" customHeight="1" x14ac:dyDescent="0.2">
      <c r="G20911" s="889"/>
    </row>
    <row r="20912" spans="7:7" ht="10.5" customHeight="1" x14ac:dyDescent="0.2">
      <c r="G20912" s="889"/>
    </row>
    <row r="20913" spans="7:7" ht="10.5" customHeight="1" x14ac:dyDescent="0.2">
      <c r="G20913" s="889"/>
    </row>
    <row r="20914" spans="7:7" ht="10.5" customHeight="1" x14ac:dyDescent="0.2">
      <c r="G20914" s="889"/>
    </row>
    <row r="20915" spans="7:7" ht="10.5" customHeight="1" x14ac:dyDescent="0.2">
      <c r="G20915" s="889"/>
    </row>
    <row r="20916" spans="7:7" ht="10.5" customHeight="1" x14ac:dyDescent="0.2">
      <c r="G20916" s="889"/>
    </row>
    <row r="20917" spans="7:7" ht="10.5" customHeight="1" x14ac:dyDescent="0.2">
      <c r="G20917" s="889"/>
    </row>
    <row r="20918" spans="7:7" ht="10.5" customHeight="1" x14ac:dyDescent="0.2">
      <c r="G20918" s="889"/>
    </row>
    <row r="20919" spans="7:7" ht="10.5" customHeight="1" x14ac:dyDescent="0.2">
      <c r="G20919" s="889"/>
    </row>
    <row r="20920" spans="7:7" ht="10.5" customHeight="1" x14ac:dyDescent="0.2">
      <c r="G20920" s="889"/>
    </row>
    <row r="20921" spans="7:7" ht="10.5" customHeight="1" x14ac:dyDescent="0.2">
      <c r="G20921" s="889"/>
    </row>
    <row r="20922" spans="7:7" ht="10.5" customHeight="1" x14ac:dyDescent="0.2">
      <c r="G20922" s="889"/>
    </row>
    <row r="20923" spans="7:7" ht="10.5" customHeight="1" x14ac:dyDescent="0.2">
      <c r="G20923" s="889"/>
    </row>
    <row r="20924" spans="7:7" ht="10.5" customHeight="1" x14ac:dyDescent="0.2">
      <c r="G20924" s="889"/>
    </row>
    <row r="20925" spans="7:7" ht="10.5" customHeight="1" x14ac:dyDescent="0.2">
      <c r="G20925" s="889"/>
    </row>
    <row r="20926" spans="7:7" ht="10.5" customHeight="1" x14ac:dyDescent="0.2">
      <c r="G20926" s="889"/>
    </row>
    <row r="20927" spans="7:7" ht="10.5" customHeight="1" x14ac:dyDescent="0.2">
      <c r="G20927" s="889"/>
    </row>
    <row r="20928" spans="7:7" ht="10.5" customHeight="1" x14ac:dyDescent="0.2">
      <c r="G20928" s="889"/>
    </row>
    <row r="20929" spans="7:7" ht="10.5" customHeight="1" x14ac:dyDescent="0.2">
      <c r="G20929" s="889"/>
    </row>
    <row r="20930" spans="7:7" ht="10.5" customHeight="1" x14ac:dyDescent="0.2">
      <c r="G20930" s="889"/>
    </row>
    <row r="20931" spans="7:7" ht="10.5" customHeight="1" x14ac:dyDescent="0.2">
      <c r="G20931" s="889"/>
    </row>
    <row r="20932" spans="7:7" ht="10.5" customHeight="1" x14ac:dyDescent="0.2">
      <c r="G20932" s="889"/>
    </row>
    <row r="20933" spans="7:7" ht="10.5" customHeight="1" x14ac:dyDescent="0.2">
      <c r="G20933" s="889"/>
    </row>
    <row r="20934" spans="7:7" ht="10.5" customHeight="1" x14ac:dyDescent="0.2">
      <c r="G20934" s="889"/>
    </row>
    <row r="20935" spans="7:7" ht="10.5" customHeight="1" x14ac:dyDescent="0.2">
      <c r="G20935" s="889"/>
    </row>
    <row r="20936" spans="7:7" ht="10.5" customHeight="1" x14ac:dyDescent="0.2">
      <c r="G20936" s="889"/>
    </row>
    <row r="20937" spans="7:7" ht="10.5" customHeight="1" x14ac:dyDescent="0.2">
      <c r="G20937" s="889"/>
    </row>
    <row r="20938" spans="7:7" ht="10.5" customHeight="1" x14ac:dyDescent="0.2">
      <c r="G20938" s="889"/>
    </row>
    <row r="20939" spans="7:7" ht="10.5" customHeight="1" x14ac:dyDescent="0.2">
      <c r="G20939" s="889"/>
    </row>
    <row r="20940" spans="7:7" ht="10.5" customHeight="1" x14ac:dyDescent="0.2">
      <c r="G20940" s="889"/>
    </row>
    <row r="20941" spans="7:7" ht="10.5" customHeight="1" x14ac:dyDescent="0.2">
      <c r="G20941" s="889"/>
    </row>
    <row r="20942" spans="7:7" ht="10.5" customHeight="1" x14ac:dyDescent="0.2">
      <c r="G20942" s="889"/>
    </row>
    <row r="20943" spans="7:7" ht="10.5" customHeight="1" x14ac:dyDescent="0.2">
      <c r="G20943" s="889"/>
    </row>
    <row r="20944" spans="7:7" ht="10.5" customHeight="1" x14ac:dyDescent="0.2">
      <c r="G20944" s="889"/>
    </row>
    <row r="20945" spans="7:7" ht="10.5" customHeight="1" x14ac:dyDescent="0.2">
      <c r="G20945" s="889"/>
    </row>
    <row r="20946" spans="7:7" ht="10.5" customHeight="1" x14ac:dyDescent="0.2">
      <c r="G20946" s="889"/>
    </row>
    <row r="20947" spans="7:7" ht="10.5" customHeight="1" x14ac:dyDescent="0.2">
      <c r="G20947" s="889"/>
    </row>
    <row r="20948" spans="7:7" ht="10.5" customHeight="1" x14ac:dyDescent="0.2">
      <c r="G20948" s="889"/>
    </row>
    <row r="20949" spans="7:7" ht="10.5" customHeight="1" x14ac:dyDescent="0.2">
      <c r="G20949" s="889"/>
    </row>
    <row r="20950" spans="7:7" ht="10.5" customHeight="1" x14ac:dyDescent="0.2">
      <c r="G20950" s="889"/>
    </row>
    <row r="20951" spans="7:7" ht="10.5" customHeight="1" x14ac:dyDescent="0.2">
      <c r="G20951" s="889"/>
    </row>
    <row r="20952" spans="7:7" ht="10.5" customHeight="1" x14ac:dyDescent="0.2">
      <c r="G20952" s="889"/>
    </row>
    <row r="20953" spans="7:7" ht="10.5" customHeight="1" x14ac:dyDescent="0.2">
      <c r="G20953" s="889"/>
    </row>
    <row r="20954" spans="7:7" ht="10.5" customHeight="1" x14ac:dyDescent="0.2">
      <c r="G20954" s="889"/>
    </row>
    <row r="20955" spans="7:7" ht="10.5" customHeight="1" x14ac:dyDescent="0.2">
      <c r="G20955" s="889"/>
    </row>
    <row r="20956" spans="7:7" ht="10.5" customHeight="1" x14ac:dyDescent="0.2">
      <c r="G20956" s="889"/>
    </row>
    <row r="20957" spans="7:7" ht="10.5" customHeight="1" x14ac:dyDescent="0.2">
      <c r="G20957" s="889"/>
    </row>
    <row r="20958" spans="7:7" ht="10.5" customHeight="1" x14ac:dyDescent="0.2">
      <c r="G20958" s="889"/>
    </row>
    <row r="20959" spans="7:7" ht="10.5" customHeight="1" x14ac:dyDescent="0.2">
      <c r="G20959" s="889"/>
    </row>
    <row r="20960" spans="7:7" ht="10.5" customHeight="1" x14ac:dyDescent="0.2">
      <c r="G20960" s="889"/>
    </row>
    <row r="20961" spans="7:7" ht="10.5" customHeight="1" x14ac:dyDescent="0.2">
      <c r="G20961" s="889"/>
    </row>
    <row r="20962" spans="7:7" ht="10.5" customHeight="1" x14ac:dyDescent="0.2">
      <c r="G20962" s="889"/>
    </row>
    <row r="20963" spans="7:7" ht="10.5" customHeight="1" x14ac:dyDescent="0.2">
      <c r="G20963" s="889"/>
    </row>
    <row r="20964" spans="7:7" ht="10.5" customHeight="1" x14ac:dyDescent="0.2">
      <c r="G20964" s="889"/>
    </row>
    <row r="20965" spans="7:7" ht="10.5" customHeight="1" x14ac:dyDescent="0.2">
      <c r="G20965" s="889"/>
    </row>
    <row r="20966" spans="7:7" ht="10.5" customHeight="1" x14ac:dyDescent="0.2">
      <c r="G20966" s="889"/>
    </row>
    <row r="20967" spans="7:7" ht="10.5" customHeight="1" x14ac:dyDescent="0.2">
      <c r="G20967" s="889"/>
    </row>
    <row r="20968" spans="7:7" ht="10.5" customHeight="1" x14ac:dyDescent="0.2">
      <c r="G20968" s="889"/>
    </row>
    <row r="20969" spans="7:7" ht="10.5" customHeight="1" x14ac:dyDescent="0.2">
      <c r="G20969" s="889"/>
    </row>
    <row r="20970" spans="7:7" ht="10.5" customHeight="1" x14ac:dyDescent="0.2">
      <c r="G20970" s="889"/>
    </row>
    <row r="20971" spans="7:7" ht="10.5" customHeight="1" x14ac:dyDescent="0.2">
      <c r="G20971" s="889"/>
    </row>
    <row r="20972" spans="7:7" ht="10.5" customHeight="1" x14ac:dyDescent="0.2">
      <c r="G20972" s="889"/>
    </row>
    <row r="20973" spans="7:7" ht="10.5" customHeight="1" x14ac:dyDescent="0.2">
      <c r="G20973" s="889"/>
    </row>
    <row r="20974" spans="7:7" ht="10.5" customHeight="1" x14ac:dyDescent="0.2">
      <c r="G20974" s="889"/>
    </row>
    <row r="20975" spans="7:7" ht="10.5" customHeight="1" x14ac:dyDescent="0.2">
      <c r="G20975" s="889"/>
    </row>
    <row r="20976" spans="7:7" ht="10.5" customHeight="1" x14ac:dyDescent="0.2">
      <c r="G20976" s="889"/>
    </row>
    <row r="20977" spans="7:7" ht="10.5" customHeight="1" x14ac:dyDescent="0.2">
      <c r="G20977" s="889"/>
    </row>
    <row r="20978" spans="7:7" ht="10.5" customHeight="1" x14ac:dyDescent="0.2">
      <c r="G20978" s="889"/>
    </row>
    <row r="20979" spans="7:7" ht="10.5" customHeight="1" x14ac:dyDescent="0.2">
      <c r="G20979" s="889"/>
    </row>
    <row r="20980" spans="7:7" ht="10.5" customHeight="1" x14ac:dyDescent="0.2">
      <c r="G20980" s="889"/>
    </row>
    <row r="20981" spans="7:7" ht="10.5" customHeight="1" x14ac:dyDescent="0.2">
      <c r="G20981" s="889"/>
    </row>
    <row r="20982" spans="7:7" ht="10.5" customHeight="1" x14ac:dyDescent="0.2">
      <c r="G20982" s="889"/>
    </row>
    <row r="20983" spans="7:7" ht="10.5" customHeight="1" x14ac:dyDescent="0.2">
      <c r="G20983" s="889"/>
    </row>
    <row r="20984" spans="7:7" ht="10.5" customHeight="1" x14ac:dyDescent="0.2">
      <c r="G20984" s="889"/>
    </row>
    <row r="20985" spans="7:7" ht="10.5" customHeight="1" x14ac:dyDescent="0.2">
      <c r="G20985" s="889"/>
    </row>
    <row r="20986" spans="7:7" ht="10.5" customHeight="1" x14ac:dyDescent="0.2">
      <c r="G20986" s="889"/>
    </row>
    <row r="20987" spans="7:7" ht="10.5" customHeight="1" x14ac:dyDescent="0.2">
      <c r="G20987" s="889"/>
    </row>
    <row r="20988" spans="7:7" ht="10.5" customHeight="1" x14ac:dyDescent="0.2">
      <c r="G20988" s="889"/>
    </row>
    <row r="20989" spans="7:7" ht="10.5" customHeight="1" x14ac:dyDescent="0.2">
      <c r="G20989" s="889"/>
    </row>
    <row r="20990" spans="7:7" ht="10.5" customHeight="1" x14ac:dyDescent="0.2">
      <c r="G20990" s="889"/>
    </row>
    <row r="20991" spans="7:7" ht="10.5" customHeight="1" x14ac:dyDescent="0.2">
      <c r="G20991" s="889"/>
    </row>
    <row r="20992" spans="7:7" ht="10.5" customHeight="1" x14ac:dyDescent="0.2">
      <c r="G20992" s="889"/>
    </row>
    <row r="20993" spans="7:7" ht="10.5" customHeight="1" x14ac:dyDescent="0.2">
      <c r="G20993" s="889"/>
    </row>
    <row r="20994" spans="7:7" ht="10.5" customHeight="1" x14ac:dyDescent="0.2">
      <c r="G20994" s="889"/>
    </row>
    <row r="20995" spans="7:7" ht="10.5" customHeight="1" x14ac:dyDescent="0.2">
      <c r="G20995" s="889"/>
    </row>
    <row r="20996" spans="7:7" ht="10.5" customHeight="1" x14ac:dyDescent="0.2">
      <c r="G20996" s="889"/>
    </row>
    <row r="20997" spans="7:7" ht="10.5" customHeight="1" x14ac:dyDescent="0.2">
      <c r="G20997" s="889"/>
    </row>
    <row r="20998" spans="7:7" ht="10.5" customHeight="1" x14ac:dyDescent="0.2">
      <c r="G20998" s="889"/>
    </row>
    <row r="20999" spans="7:7" ht="10.5" customHeight="1" x14ac:dyDescent="0.2">
      <c r="G20999" s="889"/>
    </row>
    <row r="21000" spans="7:7" ht="10.5" customHeight="1" x14ac:dyDescent="0.2">
      <c r="G21000" s="889"/>
    </row>
    <row r="21001" spans="7:7" ht="10.5" customHeight="1" x14ac:dyDescent="0.2">
      <c r="G21001" s="889"/>
    </row>
    <row r="21002" spans="7:7" ht="10.5" customHeight="1" x14ac:dyDescent="0.2">
      <c r="G21002" s="889"/>
    </row>
    <row r="21003" spans="7:7" ht="10.5" customHeight="1" x14ac:dyDescent="0.2">
      <c r="G21003" s="889"/>
    </row>
    <row r="21004" spans="7:7" ht="10.5" customHeight="1" x14ac:dyDescent="0.2">
      <c r="G21004" s="889"/>
    </row>
    <row r="21005" spans="7:7" ht="10.5" customHeight="1" x14ac:dyDescent="0.2">
      <c r="G21005" s="889"/>
    </row>
    <row r="21006" spans="7:7" ht="10.5" customHeight="1" x14ac:dyDescent="0.2">
      <c r="G21006" s="889"/>
    </row>
    <row r="21007" spans="7:7" ht="10.5" customHeight="1" x14ac:dyDescent="0.2">
      <c r="G21007" s="889"/>
    </row>
    <row r="21008" spans="7:7" ht="10.5" customHeight="1" x14ac:dyDescent="0.2">
      <c r="G21008" s="889"/>
    </row>
    <row r="21009" spans="7:7" ht="10.5" customHeight="1" x14ac:dyDescent="0.2">
      <c r="G21009" s="889"/>
    </row>
    <row r="21010" spans="7:7" ht="10.5" customHeight="1" x14ac:dyDescent="0.2">
      <c r="G21010" s="889"/>
    </row>
    <row r="21011" spans="7:7" ht="10.5" customHeight="1" x14ac:dyDescent="0.2">
      <c r="G21011" s="889"/>
    </row>
    <row r="21012" spans="7:7" ht="10.5" customHeight="1" x14ac:dyDescent="0.2">
      <c r="G21012" s="889"/>
    </row>
    <row r="21013" spans="7:7" ht="10.5" customHeight="1" x14ac:dyDescent="0.2">
      <c r="G21013" s="889"/>
    </row>
    <row r="21014" spans="7:7" ht="10.5" customHeight="1" x14ac:dyDescent="0.2">
      <c r="G21014" s="889"/>
    </row>
    <row r="21015" spans="7:7" ht="10.5" customHeight="1" x14ac:dyDescent="0.2">
      <c r="G21015" s="889"/>
    </row>
    <row r="21016" spans="7:7" ht="10.5" customHeight="1" x14ac:dyDescent="0.2">
      <c r="G21016" s="889"/>
    </row>
    <row r="21017" spans="7:7" ht="10.5" customHeight="1" x14ac:dyDescent="0.2">
      <c r="G21017" s="889"/>
    </row>
    <row r="21018" spans="7:7" ht="10.5" customHeight="1" x14ac:dyDescent="0.2">
      <c r="G21018" s="889"/>
    </row>
    <row r="21019" spans="7:7" ht="10.5" customHeight="1" x14ac:dyDescent="0.2">
      <c r="G21019" s="889"/>
    </row>
    <row r="21020" spans="7:7" ht="10.5" customHeight="1" x14ac:dyDescent="0.2">
      <c r="G21020" s="889"/>
    </row>
    <row r="21021" spans="7:7" ht="10.5" customHeight="1" x14ac:dyDescent="0.2">
      <c r="G21021" s="889"/>
    </row>
    <row r="21022" spans="7:7" ht="10.5" customHeight="1" x14ac:dyDescent="0.2">
      <c r="G21022" s="889"/>
    </row>
    <row r="21023" spans="7:7" ht="10.5" customHeight="1" x14ac:dyDescent="0.2">
      <c r="G21023" s="889"/>
    </row>
    <row r="21024" spans="7:7" ht="10.5" customHeight="1" x14ac:dyDescent="0.2">
      <c r="G21024" s="889"/>
    </row>
    <row r="21025" spans="7:7" ht="10.5" customHeight="1" x14ac:dyDescent="0.2">
      <c r="G21025" s="889"/>
    </row>
    <row r="21026" spans="7:7" ht="10.5" customHeight="1" x14ac:dyDescent="0.2">
      <c r="G21026" s="889"/>
    </row>
    <row r="21027" spans="7:7" ht="10.5" customHeight="1" x14ac:dyDescent="0.2">
      <c r="G21027" s="889"/>
    </row>
    <row r="21028" spans="7:7" ht="10.5" customHeight="1" x14ac:dyDescent="0.2">
      <c r="G21028" s="889"/>
    </row>
    <row r="21029" spans="7:7" ht="10.5" customHeight="1" x14ac:dyDescent="0.2">
      <c r="G21029" s="889"/>
    </row>
    <row r="21030" spans="7:7" ht="10.5" customHeight="1" x14ac:dyDescent="0.2">
      <c r="G21030" s="889"/>
    </row>
    <row r="21031" spans="7:7" ht="10.5" customHeight="1" x14ac:dyDescent="0.2">
      <c r="G21031" s="889"/>
    </row>
    <row r="21032" spans="7:7" ht="10.5" customHeight="1" x14ac:dyDescent="0.2">
      <c r="G21032" s="889"/>
    </row>
    <row r="21033" spans="7:7" ht="10.5" customHeight="1" x14ac:dyDescent="0.2">
      <c r="G21033" s="889"/>
    </row>
    <row r="21034" spans="7:7" ht="10.5" customHeight="1" x14ac:dyDescent="0.2">
      <c r="G21034" s="889"/>
    </row>
    <row r="21035" spans="7:7" ht="10.5" customHeight="1" x14ac:dyDescent="0.2">
      <c r="G21035" s="889"/>
    </row>
    <row r="21036" spans="7:7" ht="10.5" customHeight="1" x14ac:dyDescent="0.2">
      <c r="G21036" s="889"/>
    </row>
    <row r="21037" spans="7:7" ht="10.5" customHeight="1" x14ac:dyDescent="0.2">
      <c r="G21037" s="889"/>
    </row>
    <row r="21038" spans="7:7" ht="10.5" customHeight="1" x14ac:dyDescent="0.2">
      <c r="G21038" s="889"/>
    </row>
    <row r="21039" spans="7:7" ht="10.5" customHeight="1" x14ac:dyDescent="0.2">
      <c r="G21039" s="889"/>
    </row>
    <row r="21040" spans="7:7" ht="10.5" customHeight="1" x14ac:dyDescent="0.2">
      <c r="G21040" s="889"/>
    </row>
    <row r="21041" spans="7:7" ht="10.5" customHeight="1" x14ac:dyDescent="0.2">
      <c r="G21041" s="889"/>
    </row>
    <row r="21042" spans="7:7" ht="10.5" customHeight="1" x14ac:dyDescent="0.2">
      <c r="G21042" s="889"/>
    </row>
    <row r="21043" spans="7:7" ht="10.5" customHeight="1" x14ac:dyDescent="0.2">
      <c r="G21043" s="889"/>
    </row>
    <row r="21044" spans="7:7" ht="10.5" customHeight="1" x14ac:dyDescent="0.2">
      <c r="G21044" s="889"/>
    </row>
    <row r="21045" spans="7:7" ht="10.5" customHeight="1" x14ac:dyDescent="0.2">
      <c r="G21045" s="889"/>
    </row>
    <row r="21046" spans="7:7" ht="10.5" customHeight="1" x14ac:dyDescent="0.2">
      <c r="G21046" s="889"/>
    </row>
    <row r="21047" spans="7:7" ht="10.5" customHeight="1" x14ac:dyDescent="0.2">
      <c r="G21047" s="889"/>
    </row>
    <row r="21048" spans="7:7" ht="10.5" customHeight="1" x14ac:dyDescent="0.2">
      <c r="G21048" s="889"/>
    </row>
    <row r="21049" spans="7:7" ht="10.5" customHeight="1" x14ac:dyDescent="0.2">
      <c r="G21049" s="889"/>
    </row>
    <row r="21050" spans="7:7" ht="10.5" customHeight="1" x14ac:dyDescent="0.2">
      <c r="G21050" s="889"/>
    </row>
    <row r="21051" spans="7:7" ht="10.5" customHeight="1" x14ac:dyDescent="0.2">
      <c r="G21051" s="889"/>
    </row>
    <row r="21052" spans="7:7" ht="10.5" customHeight="1" x14ac:dyDescent="0.2">
      <c r="G21052" s="889"/>
    </row>
    <row r="21053" spans="7:7" ht="10.5" customHeight="1" x14ac:dyDescent="0.2">
      <c r="G21053" s="889"/>
    </row>
    <row r="21054" spans="7:7" ht="10.5" customHeight="1" x14ac:dyDescent="0.2">
      <c r="G21054" s="889"/>
    </row>
    <row r="21055" spans="7:7" ht="10.5" customHeight="1" x14ac:dyDescent="0.2">
      <c r="G21055" s="889"/>
    </row>
    <row r="21056" spans="7:7" ht="10.5" customHeight="1" x14ac:dyDescent="0.2">
      <c r="G21056" s="889"/>
    </row>
    <row r="21057" spans="7:7" ht="10.5" customHeight="1" x14ac:dyDescent="0.2">
      <c r="G21057" s="889"/>
    </row>
    <row r="21058" spans="7:7" ht="10.5" customHeight="1" x14ac:dyDescent="0.2">
      <c r="G21058" s="889"/>
    </row>
    <row r="21059" spans="7:7" ht="10.5" customHeight="1" x14ac:dyDescent="0.2">
      <c r="G21059" s="889"/>
    </row>
    <row r="21060" spans="7:7" ht="10.5" customHeight="1" x14ac:dyDescent="0.2">
      <c r="G21060" s="889"/>
    </row>
    <row r="21061" spans="7:7" ht="10.5" customHeight="1" x14ac:dyDescent="0.2">
      <c r="G21061" s="889"/>
    </row>
    <row r="21062" spans="7:7" ht="10.5" customHeight="1" x14ac:dyDescent="0.2">
      <c r="G21062" s="889"/>
    </row>
    <row r="21063" spans="7:7" ht="10.5" customHeight="1" x14ac:dyDescent="0.2">
      <c r="G21063" s="889"/>
    </row>
    <row r="21064" spans="7:7" ht="10.5" customHeight="1" x14ac:dyDescent="0.2">
      <c r="G21064" s="889"/>
    </row>
    <row r="21065" spans="7:7" ht="10.5" customHeight="1" x14ac:dyDescent="0.2">
      <c r="G21065" s="889"/>
    </row>
    <row r="21066" spans="7:7" ht="10.5" customHeight="1" x14ac:dyDescent="0.2">
      <c r="G21066" s="889"/>
    </row>
    <row r="21067" spans="7:7" ht="10.5" customHeight="1" x14ac:dyDescent="0.2">
      <c r="G21067" s="889"/>
    </row>
    <row r="21068" spans="7:7" ht="10.5" customHeight="1" x14ac:dyDescent="0.2">
      <c r="G21068" s="889"/>
    </row>
    <row r="21069" spans="7:7" ht="10.5" customHeight="1" x14ac:dyDescent="0.2">
      <c r="G21069" s="889"/>
    </row>
    <row r="21070" spans="7:7" ht="10.5" customHeight="1" x14ac:dyDescent="0.2">
      <c r="G21070" s="889"/>
    </row>
    <row r="21071" spans="7:7" ht="10.5" customHeight="1" x14ac:dyDescent="0.2">
      <c r="G21071" s="889"/>
    </row>
    <row r="21072" spans="7:7" ht="10.5" customHeight="1" x14ac:dyDescent="0.2">
      <c r="G21072" s="889"/>
    </row>
    <row r="21073" spans="7:7" ht="10.5" customHeight="1" x14ac:dyDescent="0.2">
      <c r="G21073" s="889"/>
    </row>
    <row r="21074" spans="7:7" ht="10.5" customHeight="1" x14ac:dyDescent="0.2">
      <c r="G21074" s="889"/>
    </row>
    <row r="21075" spans="7:7" ht="10.5" customHeight="1" x14ac:dyDescent="0.2">
      <c r="G21075" s="889"/>
    </row>
    <row r="21076" spans="7:7" ht="10.5" customHeight="1" x14ac:dyDescent="0.2">
      <c r="G21076" s="889"/>
    </row>
    <row r="21077" spans="7:7" ht="10.5" customHeight="1" x14ac:dyDescent="0.2">
      <c r="G21077" s="889"/>
    </row>
    <row r="21078" spans="7:7" ht="10.5" customHeight="1" x14ac:dyDescent="0.2">
      <c r="G21078" s="889"/>
    </row>
    <row r="21079" spans="7:7" ht="10.5" customHeight="1" x14ac:dyDescent="0.2">
      <c r="G21079" s="889"/>
    </row>
    <row r="21080" spans="7:7" ht="10.5" customHeight="1" x14ac:dyDescent="0.2">
      <c r="G21080" s="889"/>
    </row>
    <row r="21081" spans="7:7" ht="10.5" customHeight="1" x14ac:dyDescent="0.2">
      <c r="G21081" s="889"/>
    </row>
    <row r="21082" spans="7:7" ht="10.5" customHeight="1" x14ac:dyDescent="0.2">
      <c r="G21082" s="889"/>
    </row>
    <row r="21083" spans="7:7" ht="10.5" customHeight="1" x14ac:dyDescent="0.2">
      <c r="G21083" s="889"/>
    </row>
    <row r="21084" spans="7:7" ht="10.5" customHeight="1" x14ac:dyDescent="0.2">
      <c r="G21084" s="889"/>
    </row>
    <row r="21085" spans="7:7" ht="10.5" customHeight="1" x14ac:dyDescent="0.2">
      <c r="G21085" s="889"/>
    </row>
    <row r="21086" spans="7:7" ht="10.5" customHeight="1" x14ac:dyDescent="0.2">
      <c r="G21086" s="889"/>
    </row>
    <row r="21087" spans="7:7" ht="10.5" customHeight="1" x14ac:dyDescent="0.2">
      <c r="G21087" s="889"/>
    </row>
    <row r="21088" spans="7:7" ht="10.5" customHeight="1" x14ac:dyDescent="0.2">
      <c r="G21088" s="889"/>
    </row>
    <row r="21089" spans="7:7" ht="10.5" customHeight="1" x14ac:dyDescent="0.2">
      <c r="G21089" s="889"/>
    </row>
    <row r="21090" spans="7:7" ht="10.5" customHeight="1" x14ac:dyDescent="0.2">
      <c r="G21090" s="889"/>
    </row>
    <row r="21091" spans="7:7" ht="10.5" customHeight="1" x14ac:dyDescent="0.2">
      <c r="G21091" s="889"/>
    </row>
    <row r="21092" spans="7:7" ht="10.5" customHeight="1" x14ac:dyDescent="0.2">
      <c r="G21092" s="889"/>
    </row>
    <row r="21093" spans="7:7" ht="10.5" customHeight="1" x14ac:dyDescent="0.2">
      <c r="G21093" s="889"/>
    </row>
    <row r="21094" spans="7:7" ht="10.5" customHeight="1" x14ac:dyDescent="0.2">
      <c r="G21094" s="889"/>
    </row>
    <row r="21095" spans="7:7" ht="10.5" customHeight="1" x14ac:dyDescent="0.2">
      <c r="G21095" s="889"/>
    </row>
    <row r="21096" spans="7:7" ht="10.5" customHeight="1" x14ac:dyDescent="0.2">
      <c r="G21096" s="889"/>
    </row>
    <row r="21097" spans="7:7" ht="10.5" customHeight="1" x14ac:dyDescent="0.2">
      <c r="G21097" s="889"/>
    </row>
    <row r="21098" spans="7:7" ht="10.5" customHeight="1" x14ac:dyDescent="0.2">
      <c r="G21098" s="889"/>
    </row>
    <row r="21099" spans="7:7" ht="10.5" customHeight="1" x14ac:dyDescent="0.2">
      <c r="G21099" s="889"/>
    </row>
    <row r="21100" spans="7:7" ht="10.5" customHeight="1" x14ac:dyDescent="0.2">
      <c r="G21100" s="889"/>
    </row>
    <row r="21101" spans="7:7" ht="10.5" customHeight="1" x14ac:dyDescent="0.2">
      <c r="G21101" s="889"/>
    </row>
    <row r="21102" spans="7:7" ht="10.5" customHeight="1" x14ac:dyDescent="0.2">
      <c r="G21102" s="889"/>
    </row>
    <row r="21103" spans="7:7" ht="10.5" customHeight="1" x14ac:dyDescent="0.2">
      <c r="G21103" s="889"/>
    </row>
    <row r="21104" spans="7:7" ht="10.5" customHeight="1" x14ac:dyDescent="0.2">
      <c r="G21104" s="889"/>
    </row>
    <row r="21105" spans="7:7" ht="10.5" customHeight="1" x14ac:dyDescent="0.2">
      <c r="G21105" s="889"/>
    </row>
    <row r="21106" spans="7:7" ht="10.5" customHeight="1" x14ac:dyDescent="0.2">
      <c r="G21106" s="889"/>
    </row>
    <row r="21107" spans="7:7" ht="10.5" customHeight="1" x14ac:dyDescent="0.2">
      <c r="G21107" s="889"/>
    </row>
    <row r="21108" spans="7:7" ht="10.5" customHeight="1" x14ac:dyDescent="0.2">
      <c r="G21108" s="889"/>
    </row>
    <row r="21109" spans="7:7" ht="10.5" customHeight="1" x14ac:dyDescent="0.2">
      <c r="G21109" s="889"/>
    </row>
    <row r="21110" spans="7:7" ht="10.5" customHeight="1" x14ac:dyDescent="0.2">
      <c r="G21110" s="889"/>
    </row>
    <row r="21111" spans="7:7" ht="10.5" customHeight="1" x14ac:dyDescent="0.2">
      <c r="G21111" s="889"/>
    </row>
    <row r="21112" spans="7:7" ht="10.5" customHeight="1" x14ac:dyDescent="0.2">
      <c r="G21112" s="889"/>
    </row>
    <row r="21113" spans="7:7" ht="10.5" customHeight="1" x14ac:dyDescent="0.2">
      <c r="G21113" s="889"/>
    </row>
    <row r="21114" spans="7:7" ht="10.5" customHeight="1" x14ac:dyDescent="0.2">
      <c r="G21114" s="889"/>
    </row>
    <row r="21115" spans="7:7" ht="10.5" customHeight="1" x14ac:dyDescent="0.2">
      <c r="G21115" s="889"/>
    </row>
    <row r="21116" spans="7:7" ht="10.5" customHeight="1" x14ac:dyDescent="0.2">
      <c r="G21116" s="889"/>
    </row>
    <row r="21117" spans="7:7" ht="10.5" customHeight="1" x14ac:dyDescent="0.2">
      <c r="G21117" s="889"/>
    </row>
    <row r="21118" spans="7:7" ht="10.5" customHeight="1" x14ac:dyDescent="0.2">
      <c r="G21118" s="889"/>
    </row>
    <row r="21119" spans="7:7" ht="10.5" customHeight="1" x14ac:dyDescent="0.2">
      <c r="G21119" s="889"/>
    </row>
    <row r="21120" spans="7:7" ht="10.5" customHeight="1" x14ac:dyDescent="0.2">
      <c r="G21120" s="889"/>
    </row>
    <row r="21121" spans="7:7" ht="10.5" customHeight="1" x14ac:dyDescent="0.2">
      <c r="G21121" s="889"/>
    </row>
    <row r="21122" spans="7:7" ht="10.5" customHeight="1" x14ac:dyDescent="0.2">
      <c r="G21122" s="889"/>
    </row>
    <row r="21123" spans="7:7" ht="10.5" customHeight="1" x14ac:dyDescent="0.2">
      <c r="G21123" s="889"/>
    </row>
    <row r="21124" spans="7:7" ht="10.5" customHeight="1" x14ac:dyDescent="0.2">
      <c r="G21124" s="889"/>
    </row>
    <row r="21125" spans="7:7" ht="10.5" customHeight="1" x14ac:dyDescent="0.2">
      <c r="G21125" s="889"/>
    </row>
    <row r="21126" spans="7:7" ht="10.5" customHeight="1" x14ac:dyDescent="0.2">
      <c r="G21126" s="889"/>
    </row>
    <row r="21127" spans="7:7" ht="10.5" customHeight="1" x14ac:dyDescent="0.2">
      <c r="G21127" s="889"/>
    </row>
    <row r="21128" spans="7:7" ht="10.5" customHeight="1" x14ac:dyDescent="0.2">
      <c r="G21128" s="889"/>
    </row>
    <row r="21129" spans="7:7" ht="10.5" customHeight="1" x14ac:dyDescent="0.2">
      <c r="G21129" s="889"/>
    </row>
    <row r="21130" spans="7:7" ht="10.5" customHeight="1" x14ac:dyDescent="0.2">
      <c r="G21130" s="889"/>
    </row>
    <row r="21131" spans="7:7" ht="10.5" customHeight="1" x14ac:dyDescent="0.2">
      <c r="G21131" s="889"/>
    </row>
    <row r="21132" spans="7:7" ht="10.5" customHeight="1" x14ac:dyDescent="0.2">
      <c r="G21132" s="889"/>
    </row>
    <row r="21133" spans="7:7" ht="10.5" customHeight="1" x14ac:dyDescent="0.2">
      <c r="G21133" s="889"/>
    </row>
    <row r="21134" spans="7:7" ht="10.5" customHeight="1" x14ac:dyDescent="0.2">
      <c r="G21134" s="889"/>
    </row>
    <row r="21135" spans="7:7" ht="10.5" customHeight="1" x14ac:dyDescent="0.2">
      <c r="G21135" s="889"/>
    </row>
    <row r="21136" spans="7:7" ht="10.5" customHeight="1" x14ac:dyDescent="0.2">
      <c r="G21136" s="889"/>
    </row>
    <row r="21137" spans="7:7" ht="10.5" customHeight="1" x14ac:dyDescent="0.2">
      <c r="G21137" s="889"/>
    </row>
    <row r="21138" spans="7:7" ht="10.5" customHeight="1" x14ac:dyDescent="0.2">
      <c r="G21138" s="889"/>
    </row>
    <row r="21139" spans="7:7" ht="10.5" customHeight="1" x14ac:dyDescent="0.2">
      <c r="G21139" s="889"/>
    </row>
    <row r="21140" spans="7:7" ht="10.5" customHeight="1" x14ac:dyDescent="0.2">
      <c r="G21140" s="889"/>
    </row>
    <row r="21141" spans="7:7" ht="10.5" customHeight="1" x14ac:dyDescent="0.2">
      <c r="G21141" s="889"/>
    </row>
    <row r="21142" spans="7:7" ht="10.5" customHeight="1" x14ac:dyDescent="0.2">
      <c r="G21142" s="889"/>
    </row>
    <row r="21143" spans="7:7" ht="10.5" customHeight="1" x14ac:dyDescent="0.2">
      <c r="G21143" s="889"/>
    </row>
    <row r="21144" spans="7:7" ht="10.5" customHeight="1" x14ac:dyDescent="0.2">
      <c r="G21144" s="889"/>
    </row>
    <row r="21145" spans="7:7" ht="10.5" customHeight="1" x14ac:dyDescent="0.2">
      <c r="G21145" s="889"/>
    </row>
    <row r="21146" spans="7:7" ht="10.5" customHeight="1" x14ac:dyDescent="0.2">
      <c r="G21146" s="889"/>
    </row>
    <row r="21147" spans="7:7" ht="10.5" customHeight="1" x14ac:dyDescent="0.2">
      <c r="G21147" s="889"/>
    </row>
    <row r="21148" spans="7:7" ht="10.5" customHeight="1" x14ac:dyDescent="0.2">
      <c r="G21148" s="889"/>
    </row>
    <row r="21149" spans="7:7" ht="10.5" customHeight="1" x14ac:dyDescent="0.2">
      <c r="G21149" s="889"/>
    </row>
    <row r="21150" spans="7:7" ht="10.5" customHeight="1" x14ac:dyDescent="0.2">
      <c r="G21150" s="889"/>
    </row>
    <row r="21151" spans="7:7" ht="10.5" customHeight="1" x14ac:dyDescent="0.2">
      <c r="G21151" s="889"/>
    </row>
    <row r="21152" spans="7:7" ht="10.5" customHeight="1" x14ac:dyDescent="0.2">
      <c r="G21152" s="889"/>
    </row>
    <row r="21153" spans="7:7" ht="10.5" customHeight="1" x14ac:dyDescent="0.2">
      <c r="G21153" s="889"/>
    </row>
    <row r="21154" spans="7:7" ht="10.5" customHeight="1" x14ac:dyDescent="0.2">
      <c r="G21154" s="889"/>
    </row>
    <row r="21155" spans="7:7" ht="10.5" customHeight="1" x14ac:dyDescent="0.2">
      <c r="G21155" s="889"/>
    </row>
    <row r="21156" spans="7:7" ht="10.5" customHeight="1" x14ac:dyDescent="0.2">
      <c r="G21156" s="889"/>
    </row>
    <row r="21157" spans="7:7" ht="10.5" customHeight="1" x14ac:dyDescent="0.2">
      <c r="G21157" s="889"/>
    </row>
    <row r="21158" spans="7:7" ht="10.5" customHeight="1" x14ac:dyDescent="0.2">
      <c r="G21158" s="889"/>
    </row>
    <row r="21159" spans="7:7" ht="10.5" customHeight="1" x14ac:dyDescent="0.2">
      <c r="G21159" s="889"/>
    </row>
    <row r="21160" spans="7:7" ht="10.5" customHeight="1" x14ac:dyDescent="0.2">
      <c r="G21160" s="889"/>
    </row>
    <row r="21161" spans="7:7" ht="10.5" customHeight="1" x14ac:dyDescent="0.2">
      <c r="G21161" s="889"/>
    </row>
    <row r="21162" spans="7:7" ht="10.5" customHeight="1" x14ac:dyDescent="0.2">
      <c r="G21162" s="889"/>
    </row>
    <row r="21163" spans="7:7" ht="10.5" customHeight="1" x14ac:dyDescent="0.2">
      <c r="G21163" s="889"/>
    </row>
    <row r="21164" spans="7:7" ht="10.5" customHeight="1" x14ac:dyDescent="0.2">
      <c r="G21164" s="889"/>
    </row>
    <row r="21165" spans="7:7" ht="10.5" customHeight="1" x14ac:dyDescent="0.2">
      <c r="G21165" s="889"/>
    </row>
    <row r="21166" spans="7:7" ht="10.5" customHeight="1" x14ac:dyDescent="0.2">
      <c r="G21166" s="889"/>
    </row>
    <row r="21167" spans="7:7" ht="10.5" customHeight="1" x14ac:dyDescent="0.2">
      <c r="G21167" s="889"/>
    </row>
    <row r="21168" spans="7:7" ht="10.5" customHeight="1" x14ac:dyDescent="0.2">
      <c r="G21168" s="889"/>
    </row>
    <row r="21169" spans="7:7" ht="10.5" customHeight="1" x14ac:dyDescent="0.2">
      <c r="G21169" s="889"/>
    </row>
    <row r="21170" spans="7:7" ht="10.5" customHeight="1" x14ac:dyDescent="0.2">
      <c r="G21170" s="889"/>
    </row>
    <row r="21171" spans="7:7" ht="10.5" customHeight="1" x14ac:dyDescent="0.2">
      <c r="G21171" s="889"/>
    </row>
    <row r="21172" spans="7:7" ht="10.5" customHeight="1" x14ac:dyDescent="0.2">
      <c r="G21172" s="889"/>
    </row>
    <row r="21173" spans="7:7" ht="10.5" customHeight="1" x14ac:dyDescent="0.2">
      <c r="G21173" s="889"/>
    </row>
    <row r="21174" spans="7:7" ht="10.5" customHeight="1" x14ac:dyDescent="0.2">
      <c r="G21174" s="889"/>
    </row>
    <row r="21175" spans="7:7" ht="10.5" customHeight="1" x14ac:dyDescent="0.2">
      <c r="G21175" s="889"/>
    </row>
    <row r="21176" spans="7:7" ht="10.5" customHeight="1" x14ac:dyDescent="0.2">
      <c r="G21176" s="889"/>
    </row>
    <row r="21177" spans="7:7" ht="10.5" customHeight="1" x14ac:dyDescent="0.2">
      <c r="G21177" s="889"/>
    </row>
    <row r="21178" spans="7:7" ht="10.5" customHeight="1" x14ac:dyDescent="0.2">
      <c r="G21178" s="889"/>
    </row>
    <row r="21179" spans="7:7" ht="10.5" customHeight="1" x14ac:dyDescent="0.2">
      <c r="G21179" s="889"/>
    </row>
    <row r="21180" spans="7:7" ht="10.5" customHeight="1" x14ac:dyDescent="0.2">
      <c r="G21180" s="889"/>
    </row>
    <row r="21181" spans="7:7" ht="10.5" customHeight="1" x14ac:dyDescent="0.2">
      <c r="G21181" s="889"/>
    </row>
    <row r="21182" spans="7:7" ht="10.5" customHeight="1" x14ac:dyDescent="0.2">
      <c r="G21182" s="889"/>
    </row>
    <row r="21183" spans="7:7" ht="10.5" customHeight="1" x14ac:dyDescent="0.2">
      <c r="G21183" s="889"/>
    </row>
    <row r="21184" spans="7:7" ht="10.5" customHeight="1" x14ac:dyDescent="0.2">
      <c r="G21184" s="889"/>
    </row>
    <row r="21185" spans="7:7" ht="10.5" customHeight="1" x14ac:dyDescent="0.2">
      <c r="G21185" s="889"/>
    </row>
    <row r="21186" spans="7:7" ht="10.5" customHeight="1" x14ac:dyDescent="0.2">
      <c r="G21186" s="889"/>
    </row>
    <row r="21187" spans="7:7" ht="10.5" customHeight="1" x14ac:dyDescent="0.2">
      <c r="G21187" s="889"/>
    </row>
    <row r="21188" spans="7:7" ht="10.5" customHeight="1" x14ac:dyDescent="0.2">
      <c r="G21188" s="889"/>
    </row>
    <row r="21189" spans="7:7" ht="10.5" customHeight="1" x14ac:dyDescent="0.2">
      <c r="G21189" s="889"/>
    </row>
    <row r="21190" spans="7:7" ht="10.5" customHeight="1" x14ac:dyDescent="0.2">
      <c r="G21190" s="889"/>
    </row>
    <row r="21191" spans="7:7" ht="10.5" customHeight="1" x14ac:dyDescent="0.2">
      <c r="G21191" s="889"/>
    </row>
    <row r="21192" spans="7:7" ht="10.5" customHeight="1" x14ac:dyDescent="0.2">
      <c r="G21192" s="889"/>
    </row>
    <row r="21193" spans="7:7" ht="10.5" customHeight="1" x14ac:dyDescent="0.2">
      <c r="G21193" s="889"/>
    </row>
    <row r="21194" spans="7:7" ht="10.5" customHeight="1" x14ac:dyDescent="0.2">
      <c r="G21194" s="889"/>
    </row>
    <row r="21195" spans="7:7" ht="10.5" customHeight="1" x14ac:dyDescent="0.2">
      <c r="G21195" s="889"/>
    </row>
    <row r="21196" spans="7:7" ht="10.5" customHeight="1" x14ac:dyDescent="0.2">
      <c r="G21196" s="889"/>
    </row>
    <row r="21197" spans="7:7" ht="10.5" customHeight="1" x14ac:dyDescent="0.2">
      <c r="G21197" s="889"/>
    </row>
    <row r="21198" spans="7:7" ht="10.5" customHeight="1" x14ac:dyDescent="0.2">
      <c r="G21198" s="889"/>
    </row>
    <row r="21199" spans="7:7" ht="10.5" customHeight="1" x14ac:dyDescent="0.2">
      <c r="G21199" s="889"/>
    </row>
    <row r="21200" spans="7:7" ht="10.5" customHeight="1" x14ac:dyDescent="0.2">
      <c r="G21200" s="889"/>
    </row>
    <row r="21201" spans="7:7" ht="10.5" customHeight="1" x14ac:dyDescent="0.2">
      <c r="G21201" s="889"/>
    </row>
    <row r="21202" spans="7:7" ht="10.5" customHeight="1" x14ac:dyDescent="0.2">
      <c r="G21202" s="889"/>
    </row>
    <row r="21203" spans="7:7" ht="10.5" customHeight="1" x14ac:dyDescent="0.2">
      <c r="G21203" s="889"/>
    </row>
    <row r="21204" spans="7:7" ht="10.5" customHeight="1" x14ac:dyDescent="0.2">
      <c r="G21204" s="889"/>
    </row>
    <row r="21205" spans="7:7" ht="10.5" customHeight="1" x14ac:dyDescent="0.2">
      <c r="G21205" s="889"/>
    </row>
    <row r="21206" spans="7:7" ht="10.5" customHeight="1" x14ac:dyDescent="0.2">
      <c r="G21206" s="889"/>
    </row>
    <row r="21207" spans="7:7" ht="10.5" customHeight="1" x14ac:dyDescent="0.2">
      <c r="G21207" s="889"/>
    </row>
    <row r="21208" spans="7:7" ht="10.5" customHeight="1" x14ac:dyDescent="0.2">
      <c r="G21208" s="889"/>
    </row>
    <row r="21209" spans="7:7" ht="10.5" customHeight="1" x14ac:dyDescent="0.2">
      <c r="G21209" s="889"/>
    </row>
    <row r="21210" spans="7:7" ht="10.5" customHeight="1" x14ac:dyDescent="0.2">
      <c r="G21210" s="889"/>
    </row>
    <row r="21211" spans="7:7" ht="10.5" customHeight="1" x14ac:dyDescent="0.2">
      <c r="G21211" s="889"/>
    </row>
    <row r="21212" spans="7:7" ht="10.5" customHeight="1" x14ac:dyDescent="0.2">
      <c r="G21212" s="889"/>
    </row>
    <row r="21213" spans="7:7" ht="10.5" customHeight="1" x14ac:dyDescent="0.2">
      <c r="G21213" s="889"/>
    </row>
    <row r="21214" spans="7:7" ht="10.5" customHeight="1" x14ac:dyDescent="0.2">
      <c r="G21214" s="889"/>
    </row>
    <row r="21215" spans="7:7" ht="10.5" customHeight="1" x14ac:dyDescent="0.2">
      <c r="G21215" s="889"/>
    </row>
    <row r="21216" spans="7:7" ht="10.5" customHeight="1" x14ac:dyDescent="0.2">
      <c r="G21216" s="889"/>
    </row>
    <row r="21217" spans="7:7" ht="10.5" customHeight="1" x14ac:dyDescent="0.2">
      <c r="G21217" s="889"/>
    </row>
    <row r="21218" spans="7:7" ht="10.5" customHeight="1" x14ac:dyDescent="0.2">
      <c r="G21218" s="889"/>
    </row>
    <row r="21219" spans="7:7" ht="10.5" customHeight="1" x14ac:dyDescent="0.2">
      <c r="G21219" s="889"/>
    </row>
    <row r="21220" spans="7:7" ht="10.5" customHeight="1" x14ac:dyDescent="0.2">
      <c r="G21220" s="889"/>
    </row>
    <row r="21221" spans="7:7" ht="10.5" customHeight="1" x14ac:dyDescent="0.2">
      <c r="G21221" s="889"/>
    </row>
    <row r="21222" spans="7:7" ht="10.5" customHeight="1" x14ac:dyDescent="0.2">
      <c r="G21222" s="889"/>
    </row>
    <row r="21223" spans="7:7" ht="10.5" customHeight="1" x14ac:dyDescent="0.2">
      <c r="G21223" s="889"/>
    </row>
    <row r="21224" spans="7:7" ht="10.5" customHeight="1" x14ac:dyDescent="0.2">
      <c r="G21224" s="889"/>
    </row>
    <row r="21225" spans="7:7" ht="10.5" customHeight="1" x14ac:dyDescent="0.2">
      <c r="G21225" s="889"/>
    </row>
    <row r="21226" spans="7:7" ht="10.5" customHeight="1" x14ac:dyDescent="0.2">
      <c r="G21226" s="889"/>
    </row>
    <row r="21227" spans="7:7" ht="10.5" customHeight="1" x14ac:dyDescent="0.2">
      <c r="G21227" s="889"/>
    </row>
    <row r="21228" spans="7:7" ht="10.5" customHeight="1" x14ac:dyDescent="0.2">
      <c r="G21228" s="889"/>
    </row>
    <row r="21229" spans="7:7" ht="10.5" customHeight="1" x14ac:dyDescent="0.2">
      <c r="G21229" s="889"/>
    </row>
    <row r="21230" spans="7:7" ht="10.5" customHeight="1" x14ac:dyDescent="0.2">
      <c r="G21230" s="889"/>
    </row>
    <row r="21231" spans="7:7" ht="10.5" customHeight="1" x14ac:dyDescent="0.2">
      <c r="G21231" s="889"/>
    </row>
    <row r="21232" spans="7:7" ht="10.5" customHeight="1" x14ac:dyDescent="0.2">
      <c r="G21232" s="889"/>
    </row>
    <row r="21233" spans="7:7" ht="10.5" customHeight="1" x14ac:dyDescent="0.2">
      <c r="G21233" s="889"/>
    </row>
    <row r="21234" spans="7:7" ht="10.5" customHeight="1" x14ac:dyDescent="0.2">
      <c r="G21234" s="889"/>
    </row>
    <row r="21235" spans="7:7" ht="10.5" customHeight="1" x14ac:dyDescent="0.2">
      <c r="G21235" s="889"/>
    </row>
    <row r="21236" spans="7:7" ht="10.5" customHeight="1" x14ac:dyDescent="0.2">
      <c r="G21236" s="889"/>
    </row>
    <row r="21237" spans="7:7" ht="10.5" customHeight="1" x14ac:dyDescent="0.2">
      <c r="G21237" s="889"/>
    </row>
    <row r="21238" spans="7:7" ht="10.5" customHeight="1" x14ac:dyDescent="0.2">
      <c r="G21238" s="889"/>
    </row>
    <row r="21239" spans="7:7" ht="10.5" customHeight="1" x14ac:dyDescent="0.2">
      <c r="G21239" s="889"/>
    </row>
    <row r="21240" spans="7:7" ht="10.5" customHeight="1" x14ac:dyDescent="0.2">
      <c r="G21240" s="889"/>
    </row>
    <row r="21241" spans="7:7" ht="10.5" customHeight="1" x14ac:dyDescent="0.2">
      <c r="G21241" s="889"/>
    </row>
    <row r="21242" spans="7:7" ht="10.5" customHeight="1" x14ac:dyDescent="0.2">
      <c r="G21242" s="889"/>
    </row>
    <row r="21243" spans="7:7" ht="10.5" customHeight="1" x14ac:dyDescent="0.2">
      <c r="G21243" s="889"/>
    </row>
    <row r="21244" spans="7:7" ht="10.5" customHeight="1" x14ac:dyDescent="0.2">
      <c r="G21244" s="889"/>
    </row>
    <row r="21245" spans="7:7" ht="10.5" customHeight="1" x14ac:dyDescent="0.2">
      <c r="G21245" s="889"/>
    </row>
    <row r="21246" spans="7:7" ht="10.5" customHeight="1" x14ac:dyDescent="0.2">
      <c r="G21246" s="889"/>
    </row>
    <row r="21247" spans="7:7" ht="10.5" customHeight="1" x14ac:dyDescent="0.2">
      <c r="G21247" s="889"/>
    </row>
    <row r="21248" spans="7:7" ht="10.5" customHeight="1" x14ac:dyDescent="0.2">
      <c r="G21248" s="889"/>
    </row>
    <row r="21249" spans="7:7" ht="10.5" customHeight="1" x14ac:dyDescent="0.2">
      <c r="G21249" s="889"/>
    </row>
    <row r="21250" spans="7:7" ht="10.5" customHeight="1" x14ac:dyDescent="0.2">
      <c r="G21250" s="889"/>
    </row>
    <row r="21251" spans="7:7" ht="10.5" customHeight="1" x14ac:dyDescent="0.2">
      <c r="G21251" s="889"/>
    </row>
    <row r="21252" spans="7:7" ht="10.5" customHeight="1" x14ac:dyDescent="0.2">
      <c r="G21252" s="889"/>
    </row>
    <row r="21253" spans="7:7" ht="10.5" customHeight="1" x14ac:dyDescent="0.2">
      <c r="G21253" s="889"/>
    </row>
    <row r="21254" spans="7:7" ht="10.5" customHeight="1" x14ac:dyDescent="0.2">
      <c r="G21254" s="889"/>
    </row>
    <row r="21255" spans="7:7" ht="10.5" customHeight="1" x14ac:dyDescent="0.2">
      <c r="G21255" s="889"/>
    </row>
    <row r="21256" spans="7:7" ht="10.5" customHeight="1" x14ac:dyDescent="0.2">
      <c r="G21256" s="889"/>
    </row>
    <row r="21257" spans="7:7" ht="10.5" customHeight="1" x14ac:dyDescent="0.2">
      <c r="G21257" s="889"/>
    </row>
    <row r="21258" spans="7:7" ht="10.5" customHeight="1" x14ac:dyDescent="0.2">
      <c r="G21258" s="889"/>
    </row>
    <row r="21259" spans="7:7" ht="10.5" customHeight="1" x14ac:dyDescent="0.2">
      <c r="G21259" s="889"/>
    </row>
    <row r="21260" spans="7:7" ht="10.5" customHeight="1" x14ac:dyDescent="0.2">
      <c r="G21260" s="889"/>
    </row>
    <row r="21261" spans="7:7" ht="10.5" customHeight="1" x14ac:dyDescent="0.2">
      <c r="G21261" s="889"/>
    </row>
    <row r="21262" spans="7:7" ht="10.5" customHeight="1" x14ac:dyDescent="0.2">
      <c r="G21262" s="889"/>
    </row>
    <row r="21263" spans="7:7" ht="10.5" customHeight="1" x14ac:dyDescent="0.2">
      <c r="G21263" s="889"/>
    </row>
    <row r="21264" spans="7:7" ht="10.5" customHeight="1" x14ac:dyDescent="0.2">
      <c r="G21264" s="889"/>
    </row>
    <row r="21265" spans="7:7" ht="10.5" customHeight="1" x14ac:dyDescent="0.2">
      <c r="G21265" s="889"/>
    </row>
    <row r="21266" spans="7:7" ht="10.5" customHeight="1" x14ac:dyDescent="0.2">
      <c r="G21266" s="889"/>
    </row>
    <row r="21267" spans="7:7" ht="10.5" customHeight="1" x14ac:dyDescent="0.2">
      <c r="G21267" s="889"/>
    </row>
    <row r="21268" spans="7:7" ht="10.5" customHeight="1" x14ac:dyDescent="0.2">
      <c r="G21268" s="889"/>
    </row>
    <row r="21269" spans="7:7" ht="10.5" customHeight="1" x14ac:dyDescent="0.2">
      <c r="G21269" s="889"/>
    </row>
    <row r="21270" spans="7:7" ht="10.5" customHeight="1" x14ac:dyDescent="0.2">
      <c r="G21270" s="889"/>
    </row>
    <row r="21271" spans="7:7" ht="10.5" customHeight="1" x14ac:dyDescent="0.2">
      <c r="G21271" s="889"/>
    </row>
    <row r="21272" spans="7:7" ht="10.5" customHeight="1" x14ac:dyDescent="0.2">
      <c r="G21272" s="889"/>
    </row>
    <row r="21273" spans="7:7" ht="10.5" customHeight="1" x14ac:dyDescent="0.2">
      <c r="G21273" s="889"/>
    </row>
    <row r="21274" spans="7:7" ht="10.5" customHeight="1" x14ac:dyDescent="0.2">
      <c r="G21274" s="889"/>
    </row>
    <row r="21275" spans="7:7" ht="10.5" customHeight="1" x14ac:dyDescent="0.2">
      <c r="G21275" s="889"/>
    </row>
    <row r="21276" spans="7:7" ht="10.5" customHeight="1" x14ac:dyDescent="0.2">
      <c r="G21276" s="889"/>
    </row>
    <row r="21277" spans="7:7" ht="10.5" customHeight="1" x14ac:dyDescent="0.2">
      <c r="G21277" s="889"/>
    </row>
    <row r="21278" spans="7:7" ht="10.5" customHeight="1" x14ac:dyDescent="0.2">
      <c r="G21278" s="889"/>
    </row>
    <row r="21279" spans="7:7" ht="10.5" customHeight="1" x14ac:dyDescent="0.2">
      <c r="G21279" s="889"/>
    </row>
    <row r="21280" spans="7:7" ht="10.5" customHeight="1" x14ac:dyDescent="0.2">
      <c r="G21280" s="889"/>
    </row>
    <row r="21281" spans="7:7" ht="10.5" customHeight="1" x14ac:dyDescent="0.2">
      <c r="G21281" s="889"/>
    </row>
    <row r="21282" spans="7:7" ht="10.5" customHeight="1" x14ac:dyDescent="0.2">
      <c r="G21282" s="889"/>
    </row>
    <row r="21283" spans="7:7" ht="10.5" customHeight="1" x14ac:dyDescent="0.2">
      <c r="G21283" s="889"/>
    </row>
    <row r="21284" spans="7:7" ht="10.5" customHeight="1" x14ac:dyDescent="0.2">
      <c r="G21284" s="889"/>
    </row>
    <row r="21285" spans="7:7" ht="10.5" customHeight="1" x14ac:dyDescent="0.2">
      <c r="G21285" s="889"/>
    </row>
    <row r="21286" spans="7:7" ht="10.5" customHeight="1" x14ac:dyDescent="0.2">
      <c r="G21286" s="889"/>
    </row>
    <row r="21287" spans="7:7" ht="10.5" customHeight="1" x14ac:dyDescent="0.2">
      <c r="G21287" s="889"/>
    </row>
    <row r="21288" spans="7:7" ht="10.5" customHeight="1" x14ac:dyDescent="0.2">
      <c r="G21288" s="889"/>
    </row>
    <row r="21289" spans="7:7" ht="10.5" customHeight="1" x14ac:dyDescent="0.2">
      <c r="G21289" s="889"/>
    </row>
    <row r="21290" spans="7:7" ht="10.5" customHeight="1" x14ac:dyDescent="0.2">
      <c r="G21290" s="889"/>
    </row>
    <row r="21291" spans="7:7" ht="10.5" customHeight="1" x14ac:dyDescent="0.2">
      <c r="G21291" s="889"/>
    </row>
    <row r="21292" spans="7:7" ht="10.5" customHeight="1" x14ac:dyDescent="0.2">
      <c r="G21292" s="889"/>
    </row>
    <row r="21293" spans="7:7" ht="10.5" customHeight="1" x14ac:dyDescent="0.2">
      <c r="G21293" s="889"/>
    </row>
    <row r="21294" spans="7:7" ht="10.5" customHeight="1" x14ac:dyDescent="0.2">
      <c r="G21294" s="889"/>
    </row>
    <row r="21295" spans="7:7" ht="10.5" customHeight="1" x14ac:dyDescent="0.2">
      <c r="G21295" s="889"/>
    </row>
    <row r="21296" spans="7:7" ht="10.5" customHeight="1" x14ac:dyDescent="0.2">
      <c r="G21296" s="889"/>
    </row>
    <row r="21297" spans="7:7" ht="10.5" customHeight="1" x14ac:dyDescent="0.2">
      <c r="G21297" s="889"/>
    </row>
    <row r="21298" spans="7:7" ht="10.5" customHeight="1" x14ac:dyDescent="0.2">
      <c r="G21298" s="889"/>
    </row>
    <row r="21299" spans="7:7" ht="10.5" customHeight="1" x14ac:dyDescent="0.2">
      <c r="G21299" s="889"/>
    </row>
    <row r="21300" spans="7:7" ht="10.5" customHeight="1" x14ac:dyDescent="0.2">
      <c r="G21300" s="889"/>
    </row>
    <row r="21301" spans="7:7" ht="10.5" customHeight="1" x14ac:dyDescent="0.2">
      <c r="G21301" s="889"/>
    </row>
    <row r="21302" spans="7:7" ht="10.5" customHeight="1" x14ac:dyDescent="0.2">
      <c r="G21302" s="889"/>
    </row>
    <row r="21303" spans="7:7" ht="10.5" customHeight="1" x14ac:dyDescent="0.2">
      <c r="G21303" s="889"/>
    </row>
    <row r="21304" spans="7:7" ht="10.5" customHeight="1" x14ac:dyDescent="0.2">
      <c r="G21304" s="889"/>
    </row>
    <row r="21305" spans="7:7" ht="10.5" customHeight="1" x14ac:dyDescent="0.2">
      <c r="G21305" s="889"/>
    </row>
    <row r="21306" spans="7:7" ht="10.5" customHeight="1" x14ac:dyDescent="0.2">
      <c r="G21306" s="889"/>
    </row>
    <row r="21307" spans="7:7" ht="10.5" customHeight="1" x14ac:dyDescent="0.2">
      <c r="G21307" s="889"/>
    </row>
    <row r="21308" spans="7:7" ht="10.5" customHeight="1" x14ac:dyDescent="0.2">
      <c r="G21308" s="889"/>
    </row>
    <row r="21309" spans="7:7" ht="10.5" customHeight="1" x14ac:dyDescent="0.2">
      <c r="G21309" s="889"/>
    </row>
    <row r="21310" spans="7:7" ht="10.5" customHeight="1" x14ac:dyDescent="0.2">
      <c r="G21310" s="889"/>
    </row>
    <row r="21311" spans="7:7" ht="10.5" customHeight="1" x14ac:dyDescent="0.2">
      <c r="G21311" s="889"/>
    </row>
    <row r="21312" spans="7:7" ht="10.5" customHeight="1" x14ac:dyDescent="0.2">
      <c r="G21312" s="889"/>
    </row>
    <row r="21313" spans="7:7" ht="10.5" customHeight="1" x14ac:dyDescent="0.2">
      <c r="G21313" s="889"/>
    </row>
    <row r="21314" spans="7:7" ht="10.5" customHeight="1" x14ac:dyDescent="0.2">
      <c r="G21314" s="889"/>
    </row>
    <row r="21315" spans="7:7" ht="10.5" customHeight="1" x14ac:dyDescent="0.2">
      <c r="G21315" s="889"/>
    </row>
    <row r="21316" spans="7:7" ht="10.5" customHeight="1" x14ac:dyDescent="0.2">
      <c r="G21316" s="889"/>
    </row>
    <row r="21317" spans="7:7" ht="10.5" customHeight="1" x14ac:dyDescent="0.2">
      <c r="G21317" s="889"/>
    </row>
    <row r="21318" spans="7:7" ht="10.5" customHeight="1" x14ac:dyDescent="0.2">
      <c r="G21318" s="889"/>
    </row>
    <row r="21319" spans="7:7" ht="10.5" customHeight="1" x14ac:dyDescent="0.2">
      <c r="G21319" s="889"/>
    </row>
    <row r="21320" spans="7:7" ht="10.5" customHeight="1" x14ac:dyDescent="0.2">
      <c r="G21320" s="889"/>
    </row>
    <row r="21321" spans="7:7" ht="10.5" customHeight="1" x14ac:dyDescent="0.2">
      <c r="G21321" s="889"/>
    </row>
    <row r="21322" spans="7:7" ht="10.5" customHeight="1" x14ac:dyDescent="0.2">
      <c r="G21322" s="889"/>
    </row>
    <row r="21323" spans="7:7" ht="10.5" customHeight="1" x14ac:dyDescent="0.2">
      <c r="G21323" s="889"/>
    </row>
    <row r="21324" spans="7:7" ht="10.5" customHeight="1" x14ac:dyDescent="0.2">
      <c r="G21324" s="889"/>
    </row>
    <row r="21325" spans="7:7" ht="10.5" customHeight="1" x14ac:dyDescent="0.2">
      <c r="G21325" s="889"/>
    </row>
    <row r="21326" spans="7:7" ht="10.5" customHeight="1" x14ac:dyDescent="0.2">
      <c r="G21326" s="889"/>
    </row>
    <row r="21327" spans="7:7" ht="10.5" customHeight="1" x14ac:dyDescent="0.2">
      <c r="G21327" s="889"/>
    </row>
    <row r="21328" spans="7:7" ht="10.5" customHeight="1" x14ac:dyDescent="0.2">
      <c r="G21328" s="889"/>
    </row>
    <row r="21329" spans="7:7" ht="10.5" customHeight="1" x14ac:dyDescent="0.2">
      <c r="G21329" s="889"/>
    </row>
    <row r="21330" spans="7:7" ht="10.5" customHeight="1" x14ac:dyDescent="0.2">
      <c r="G21330" s="889"/>
    </row>
    <row r="21331" spans="7:7" ht="10.5" customHeight="1" x14ac:dyDescent="0.2">
      <c r="G21331" s="889"/>
    </row>
    <row r="21332" spans="7:7" ht="10.5" customHeight="1" x14ac:dyDescent="0.2">
      <c r="G21332" s="889"/>
    </row>
    <row r="21333" spans="7:7" ht="10.5" customHeight="1" x14ac:dyDescent="0.2">
      <c r="G21333" s="889"/>
    </row>
    <row r="21334" spans="7:7" ht="10.5" customHeight="1" x14ac:dyDescent="0.2">
      <c r="G21334" s="889"/>
    </row>
    <row r="21335" spans="7:7" ht="10.5" customHeight="1" x14ac:dyDescent="0.2">
      <c r="G21335" s="889"/>
    </row>
    <row r="21336" spans="7:7" ht="10.5" customHeight="1" x14ac:dyDescent="0.2">
      <c r="G21336" s="889"/>
    </row>
    <row r="21337" spans="7:7" ht="10.5" customHeight="1" x14ac:dyDescent="0.2">
      <c r="G21337" s="889"/>
    </row>
    <row r="21338" spans="7:7" ht="10.5" customHeight="1" x14ac:dyDescent="0.2">
      <c r="G21338" s="889"/>
    </row>
    <row r="21339" spans="7:7" ht="10.5" customHeight="1" x14ac:dyDescent="0.2">
      <c r="G21339" s="889"/>
    </row>
    <row r="21340" spans="7:7" ht="10.5" customHeight="1" x14ac:dyDescent="0.2">
      <c r="G21340" s="889"/>
    </row>
    <row r="21341" spans="7:7" ht="10.5" customHeight="1" x14ac:dyDescent="0.2">
      <c r="G21341" s="889"/>
    </row>
    <row r="21342" spans="7:7" ht="10.5" customHeight="1" x14ac:dyDescent="0.2">
      <c r="G21342" s="889"/>
    </row>
    <row r="21343" spans="7:7" ht="10.5" customHeight="1" x14ac:dyDescent="0.2">
      <c r="G21343" s="889"/>
    </row>
    <row r="21344" spans="7:7" ht="10.5" customHeight="1" x14ac:dyDescent="0.2">
      <c r="G21344" s="889"/>
    </row>
    <row r="21345" spans="7:7" ht="10.5" customHeight="1" x14ac:dyDescent="0.2">
      <c r="G21345" s="889"/>
    </row>
    <row r="21346" spans="7:7" ht="10.5" customHeight="1" x14ac:dyDescent="0.2">
      <c r="G21346" s="889"/>
    </row>
    <row r="21347" spans="7:7" ht="10.5" customHeight="1" x14ac:dyDescent="0.2">
      <c r="G21347" s="889"/>
    </row>
    <row r="21348" spans="7:7" ht="10.5" customHeight="1" x14ac:dyDescent="0.2">
      <c r="G21348" s="889"/>
    </row>
    <row r="21349" spans="7:7" ht="10.5" customHeight="1" x14ac:dyDescent="0.2">
      <c r="G21349" s="889"/>
    </row>
    <row r="21350" spans="7:7" ht="10.5" customHeight="1" x14ac:dyDescent="0.2">
      <c r="G21350" s="889"/>
    </row>
    <row r="21351" spans="7:7" ht="10.5" customHeight="1" x14ac:dyDescent="0.2">
      <c r="G21351" s="889"/>
    </row>
    <row r="21352" spans="7:7" ht="10.5" customHeight="1" x14ac:dyDescent="0.2">
      <c r="G21352" s="889"/>
    </row>
    <row r="21353" spans="7:7" ht="10.5" customHeight="1" x14ac:dyDescent="0.2">
      <c r="G21353" s="889"/>
    </row>
    <row r="21354" spans="7:7" ht="10.5" customHeight="1" x14ac:dyDescent="0.2">
      <c r="G21354" s="889"/>
    </row>
    <row r="21355" spans="7:7" ht="10.5" customHeight="1" x14ac:dyDescent="0.2">
      <c r="G21355" s="889"/>
    </row>
    <row r="21356" spans="7:7" ht="10.5" customHeight="1" x14ac:dyDescent="0.2">
      <c r="G21356" s="889"/>
    </row>
    <row r="21357" spans="7:7" ht="10.5" customHeight="1" x14ac:dyDescent="0.2">
      <c r="G21357" s="889"/>
    </row>
    <row r="21358" spans="7:7" ht="10.5" customHeight="1" x14ac:dyDescent="0.2">
      <c r="G21358" s="889"/>
    </row>
    <row r="21359" spans="7:7" ht="10.5" customHeight="1" x14ac:dyDescent="0.2">
      <c r="G21359" s="889"/>
    </row>
    <row r="21360" spans="7:7" ht="10.5" customHeight="1" x14ac:dyDescent="0.2">
      <c r="G21360" s="889"/>
    </row>
    <row r="21361" spans="7:7" ht="10.5" customHeight="1" x14ac:dyDescent="0.2">
      <c r="G21361" s="889"/>
    </row>
    <row r="21362" spans="7:7" ht="10.5" customHeight="1" x14ac:dyDescent="0.2">
      <c r="G21362" s="889"/>
    </row>
    <row r="21363" spans="7:7" ht="10.5" customHeight="1" x14ac:dyDescent="0.2">
      <c r="G21363" s="889"/>
    </row>
    <row r="21364" spans="7:7" ht="10.5" customHeight="1" x14ac:dyDescent="0.2">
      <c r="G21364" s="889"/>
    </row>
    <row r="21365" spans="7:7" ht="10.5" customHeight="1" x14ac:dyDescent="0.2">
      <c r="G21365" s="889"/>
    </row>
    <row r="21366" spans="7:7" ht="10.5" customHeight="1" x14ac:dyDescent="0.2">
      <c r="G21366" s="889"/>
    </row>
    <row r="21367" spans="7:7" ht="10.5" customHeight="1" x14ac:dyDescent="0.2">
      <c r="G21367" s="889"/>
    </row>
    <row r="21368" spans="7:7" ht="10.5" customHeight="1" x14ac:dyDescent="0.2">
      <c r="G21368" s="889"/>
    </row>
    <row r="21369" spans="7:7" ht="10.5" customHeight="1" x14ac:dyDescent="0.2">
      <c r="G21369" s="889"/>
    </row>
    <row r="21370" spans="7:7" ht="10.5" customHeight="1" x14ac:dyDescent="0.2">
      <c r="G21370" s="889"/>
    </row>
    <row r="21371" spans="7:7" ht="10.5" customHeight="1" x14ac:dyDescent="0.2">
      <c r="G21371" s="889"/>
    </row>
    <row r="21372" spans="7:7" ht="10.5" customHeight="1" x14ac:dyDescent="0.2">
      <c r="G21372" s="889"/>
    </row>
    <row r="21373" spans="7:7" ht="10.5" customHeight="1" x14ac:dyDescent="0.2">
      <c r="G21373" s="889"/>
    </row>
    <row r="21374" spans="7:7" ht="10.5" customHeight="1" x14ac:dyDescent="0.2">
      <c r="G21374" s="889"/>
    </row>
    <row r="21375" spans="7:7" ht="10.5" customHeight="1" x14ac:dyDescent="0.2">
      <c r="G21375" s="889"/>
    </row>
    <row r="21376" spans="7:7" ht="10.5" customHeight="1" x14ac:dyDescent="0.2">
      <c r="G21376" s="889"/>
    </row>
    <row r="21377" spans="7:7" ht="10.5" customHeight="1" x14ac:dyDescent="0.2">
      <c r="G21377" s="889"/>
    </row>
    <row r="21378" spans="7:7" ht="10.5" customHeight="1" x14ac:dyDescent="0.2">
      <c r="G21378" s="889"/>
    </row>
    <row r="21379" spans="7:7" ht="10.5" customHeight="1" x14ac:dyDescent="0.2">
      <c r="G21379" s="889"/>
    </row>
    <row r="21380" spans="7:7" ht="10.5" customHeight="1" x14ac:dyDescent="0.2">
      <c r="G21380" s="889"/>
    </row>
    <row r="21381" spans="7:7" ht="10.5" customHeight="1" x14ac:dyDescent="0.2">
      <c r="G21381" s="889"/>
    </row>
    <row r="21382" spans="7:7" ht="10.5" customHeight="1" x14ac:dyDescent="0.2">
      <c r="G21382" s="889"/>
    </row>
    <row r="21383" spans="7:7" ht="10.5" customHeight="1" x14ac:dyDescent="0.2">
      <c r="G21383" s="889"/>
    </row>
    <row r="21384" spans="7:7" ht="10.5" customHeight="1" x14ac:dyDescent="0.2">
      <c r="G21384" s="889"/>
    </row>
    <row r="21385" spans="7:7" ht="10.5" customHeight="1" x14ac:dyDescent="0.2">
      <c r="G21385" s="889"/>
    </row>
    <row r="21386" spans="7:7" ht="10.5" customHeight="1" x14ac:dyDescent="0.2">
      <c r="G21386" s="889"/>
    </row>
    <row r="21387" spans="7:7" ht="10.5" customHeight="1" x14ac:dyDescent="0.2">
      <c r="G21387" s="889"/>
    </row>
    <row r="21388" spans="7:7" ht="10.5" customHeight="1" x14ac:dyDescent="0.2">
      <c r="G21388" s="889"/>
    </row>
    <row r="21389" spans="7:7" ht="10.5" customHeight="1" x14ac:dyDescent="0.2">
      <c r="G21389" s="889"/>
    </row>
    <row r="21390" spans="7:7" ht="10.5" customHeight="1" x14ac:dyDescent="0.2">
      <c r="G21390" s="889"/>
    </row>
    <row r="21391" spans="7:7" ht="10.5" customHeight="1" x14ac:dyDescent="0.2">
      <c r="G21391" s="889"/>
    </row>
    <row r="21392" spans="7:7" ht="10.5" customHeight="1" x14ac:dyDescent="0.2">
      <c r="G21392" s="889"/>
    </row>
    <row r="21393" spans="7:7" ht="10.5" customHeight="1" x14ac:dyDescent="0.2">
      <c r="G21393" s="889"/>
    </row>
    <row r="21394" spans="7:7" ht="10.5" customHeight="1" x14ac:dyDescent="0.2">
      <c r="G21394" s="889"/>
    </row>
    <row r="21395" spans="7:7" ht="10.5" customHeight="1" x14ac:dyDescent="0.2">
      <c r="G21395" s="889"/>
    </row>
    <row r="21396" spans="7:7" ht="10.5" customHeight="1" x14ac:dyDescent="0.2">
      <c r="G21396" s="889"/>
    </row>
    <row r="21397" spans="7:7" ht="10.5" customHeight="1" x14ac:dyDescent="0.2">
      <c r="G21397" s="889"/>
    </row>
    <row r="21398" spans="7:7" ht="10.5" customHeight="1" x14ac:dyDescent="0.2">
      <c r="G21398" s="889"/>
    </row>
    <row r="21399" spans="7:7" ht="10.5" customHeight="1" x14ac:dyDescent="0.2">
      <c r="G21399" s="889"/>
    </row>
    <row r="21400" spans="7:7" ht="10.5" customHeight="1" x14ac:dyDescent="0.2">
      <c r="G21400" s="889"/>
    </row>
    <row r="21401" spans="7:7" ht="10.5" customHeight="1" x14ac:dyDescent="0.2">
      <c r="G21401" s="889"/>
    </row>
    <row r="21402" spans="7:7" ht="10.5" customHeight="1" x14ac:dyDescent="0.2">
      <c r="G21402" s="889"/>
    </row>
    <row r="21403" spans="7:7" ht="10.5" customHeight="1" x14ac:dyDescent="0.2">
      <c r="G21403" s="889"/>
    </row>
    <row r="21404" spans="7:7" ht="10.5" customHeight="1" x14ac:dyDescent="0.2">
      <c r="G21404" s="889"/>
    </row>
    <row r="21405" spans="7:7" ht="10.5" customHeight="1" x14ac:dyDescent="0.2">
      <c r="G21405" s="889"/>
    </row>
    <row r="21406" spans="7:7" ht="10.5" customHeight="1" x14ac:dyDescent="0.2">
      <c r="G21406" s="889"/>
    </row>
    <row r="21407" spans="7:7" ht="10.5" customHeight="1" x14ac:dyDescent="0.2">
      <c r="G21407" s="889"/>
    </row>
    <row r="21408" spans="7:7" ht="10.5" customHeight="1" x14ac:dyDescent="0.2">
      <c r="G21408" s="889"/>
    </row>
    <row r="21409" spans="7:7" ht="10.5" customHeight="1" x14ac:dyDescent="0.2">
      <c r="G21409" s="889"/>
    </row>
    <row r="21410" spans="7:7" ht="10.5" customHeight="1" x14ac:dyDescent="0.2">
      <c r="G21410" s="889"/>
    </row>
    <row r="21411" spans="7:7" ht="10.5" customHeight="1" x14ac:dyDescent="0.2">
      <c r="G21411" s="889"/>
    </row>
    <row r="21412" spans="7:7" ht="10.5" customHeight="1" x14ac:dyDescent="0.2">
      <c r="G21412" s="889"/>
    </row>
    <row r="21413" spans="7:7" ht="10.5" customHeight="1" x14ac:dyDescent="0.2">
      <c r="G21413" s="889"/>
    </row>
    <row r="21414" spans="7:7" ht="10.5" customHeight="1" x14ac:dyDescent="0.2">
      <c r="G21414" s="889"/>
    </row>
    <row r="21415" spans="7:7" ht="10.5" customHeight="1" x14ac:dyDescent="0.2">
      <c r="G21415" s="889"/>
    </row>
    <row r="21416" spans="7:7" ht="10.5" customHeight="1" x14ac:dyDescent="0.2">
      <c r="G21416" s="889"/>
    </row>
    <row r="21417" spans="7:7" ht="10.5" customHeight="1" x14ac:dyDescent="0.2">
      <c r="G21417" s="889"/>
    </row>
    <row r="21418" spans="7:7" ht="10.5" customHeight="1" x14ac:dyDescent="0.2">
      <c r="G21418" s="889"/>
    </row>
    <row r="21419" spans="7:7" ht="10.5" customHeight="1" x14ac:dyDescent="0.2">
      <c r="G21419" s="889"/>
    </row>
    <row r="21420" spans="7:7" ht="10.5" customHeight="1" x14ac:dyDescent="0.2">
      <c r="G21420" s="889"/>
    </row>
    <row r="21421" spans="7:7" ht="10.5" customHeight="1" x14ac:dyDescent="0.2">
      <c r="G21421" s="889"/>
    </row>
    <row r="21422" spans="7:7" ht="10.5" customHeight="1" x14ac:dyDescent="0.2">
      <c r="G21422" s="889"/>
    </row>
    <row r="21423" spans="7:7" ht="10.5" customHeight="1" x14ac:dyDescent="0.2">
      <c r="G21423" s="889"/>
    </row>
    <row r="21424" spans="7:7" ht="10.5" customHeight="1" x14ac:dyDescent="0.2">
      <c r="G21424" s="889"/>
    </row>
    <row r="21425" spans="7:7" ht="10.5" customHeight="1" x14ac:dyDescent="0.2">
      <c r="G21425" s="889"/>
    </row>
    <row r="21426" spans="7:7" ht="10.5" customHeight="1" x14ac:dyDescent="0.2">
      <c r="G21426" s="889"/>
    </row>
    <row r="21427" spans="7:7" ht="10.5" customHeight="1" x14ac:dyDescent="0.2">
      <c r="G21427" s="889"/>
    </row>
    <row r="21428" spans="7:7" ht="10.5" customHeight="1" x14ac:dyDescent="0.2">
      <c r="G21428" s="889"/>
    </row>
    <row r="21429" spans="7:7" ht="10.5" customHeight="1" x14ac:dyDescent="0.2">
      <c r="G21429" s="889"/>
    </row>
    <row r="21430" spans="7:7" ht="10.5" customHeight="1" x14ac:dyDescent="0.2">
      <c r="G21430" s="889"/>
    </row>
    <row r="21431" spans="7:7" ht="10.5" customHeight="1" x14ac:dyDescent="0.2">
      <c r="G21431" s="889"/>
    </row>
    <row r="21432" spans="7:7" ht="10.5" customHeight="1" x14ac:dyDescent="0.2">
      <c r="G21432" s="889"/>
    </row>
    <row r="21433" spans="7:7" ht="10.5" customHeight="1" x14ac:dyDescent="0.2">
      <c r="G21433" s="889"/>
    </row>
    <row r="21434" spans="7:7" ht="10.5" customHeight="1" x14ac:dyDescent="0.2">
      <c r="G21434" s="889"/>
    </row>
    <row r="21435" spans="7:7" ht="10.5" customHeight="1" x14ac:dyDescent="0.2">
      <c r="G21435" s="889"/>
    </row>
    <row r="21436" spans="7:7" ht="10.5" customHeight="1" x14ac:dyDescent="0.2">
      <c r="G21436" s="889"/>
    </row>
    <row r="21437" spans="7:7" ht="10.5" customHeight="1" x14ac:dyDescent="0.2">
      <c r="G21437" s="889"/>
    </row>
    <row r="21438" spans="7:7" ht="10.5" customHeight="1" x14ac:dyDescent="0.2">
      <c r="G21438" s="889"/>
    </row>
    <row r="21439" spans="7:7" ht="10.5" customHeight="1" x14ac:dyDescent="0.2">
      <c r="G21439" s="889"/>
    </row>
    <row r="21440" spans="7:7" ht="10.5" customHeight="1" x14ac:dyDescent="0.2">
      <c r="G21440" s="889"/>
    </row>
    <row r="21441" spans="7:7" ht="10.5" customHeight="1" x14ac:dyDescent="0.2">
      <c r="G21441" s="889"/>
    </row>
    <row r="21442" spans="7:7" ht="10.5" customHeight="1" x14ac:dyDescent="0.2">
      <c r="G21442" s="889"/>
    </row>
    <row r="21443" spans="7:7" ht="10.5" customHeight="1" x14ac:dyDescent="0.2">
      <c r="G21443" s="889"/>
    </row>
    <row r="21444" spans="7:7" ht="10.5" customHeight="1" x14ac:dyDescent="0.2">
      <c r="G21444" s="889"/>
    </row>
    <row r="21445" spans="7:7" ht="10.5" customHeight="1" x14ac:dyDescent="0.2">
      <c r="G21445" s="889"/>
    </row>
    <row r="21446" spans="7:7" ht="10.5" customHeight="1" x14ac:dyDescent="0.2">
      <c r="G21446" s="889"/>
    </row>
    <row r="21447" spans="7:7" ht="10.5" customHeight="1" x14ac:dyDescent="0.2">
      <c r="G21447" s="889"/>
    </row>
    <row r="21448" spans="7:7" ht="10.5" customHeight="1" x14ac:dyDescent="0.2">
      <c r="G21448" s="889"/>
    </row>
    <row r="21449" spans="7:7" ht="10.5" customHeight="1" x14ac:dyDescent="0.2">
      <c r="G21449" s="889"/>
    </row>
    <row r="21450" spans="7:7" ht="10.5" customHeight="1" x14ac:dyDescent="0.2">
      <c r="G21450" s="889"/>
    </row>
    <row r="21451" spans="7:7" ht="10.5" customHeight="1" x14ac:dyDescent="0.2">
      <c r="G21451" s="889"/>
    </row>
    <row r="21452" spans="7:7" ht="10.5" customHeight="1" x14ac:dyDescent="0.2">
      <c r="G21452" s="889"/>
    </row>
    <row r="21453" spans="7:7" ht="10.5" customHeight="1" x14ac:dyDescent="0.2">
      <c r="G21453" s="889"/>
    </row>
    <row r="21454" spans="7:7" ht="10.5" customHeight="1" x14ac:dyDescent="0.2">
      <c r="G21454" s="889"/>
    </row>
    <row r="21455" spans="7:7" ht="10.5" customHeight="1" x14ac:dyDescent="0.2">
      <c r="G21455" s="889"/>
    </row>
    <row r="21456" spans="7:7" ht="10.5" customHeight="1" x14ac:dyDescent="0.2">
      <c r="G21456" s="889"/>
    </row>
    <row r="21457" spans="7:7" ht="10.5" customHeight="1" x14ac:dyDescent="0.2">
      <c r="G21457" s="889"/>
    </row>
    <row r="21458" spans="7:7" ht="10.5" customHeight="1" x14ac:dyDescent="0.2">
      <c r="G21458" s="889"/>
    </row>
    <row r="21459" spans="7:7" ht="10.5" customHeight="1" x14ac:dyDescent="0.2">
      <c r="G21459" s="889"/>
    </row>
    <row r="21460" spans="7:7" ht="10.5" customHeight="1" x14ac:dyDescent="0.2">
      <c r="G21460" s="889"/>
    </row>
    <row r="21461" spans="7:7" ht="10.5" customHeight="1" x14ac:dyDescent="0.2">
      <c r="G21461" s="889"/>
    </row>
    <row r="21462" spans="7:7" ht="10.5" customHeight="1" x14ac:dyDescent="0.2">
      <c r="G21462" s="889"/>
    </row>
    <row r="21463" spans="7:7" ht="10.5" customHeight="1" x14ac:dyDescent="0.2">
      <c r="G21463" s="889"/>
    </row>
    <row r="21464" spans="7:7" ht="10.5" customHeight="1" x14ac:dyDescent="0.2">
      <c r="G21464" s="889"/>
    </row>
    <row r="21465" spans="7:7" ht="10.5" customHeight="1" x14ac:dyDescent="0.2">
      <c r="G21465" s="889"/>
    </row>
    <row r="21466" spans="7:7" ht="10.5" customHeight="1" x14ac:dyDescent="0.2">
      <c r="G21466" s="889"/>
    </row>
    <row r="21467" spans="7:7" ht="10.5" customHeight="1" x14ac:dyDescent="0.2">
      <c r="G21467" s="889"/>
    </row>
    <row r="21468" spans="7:7" ht="10.5" customHeight="1" x14ac:dyDescent="0.2">
      <c r="G21468" s="889"/>
    </row>
    <row r="21469" spans="7:7" ht="10.5" customHeight="1" x14ac:dyDescent="0.2">
      <c r="G21469" s="889"/>
    </row>
    <row r="21470" spans="7:7" ht="10.5" customHeight="1" x14ac:dyDescent="0.2">
      <c r="G21470" s="889"/>
    </row>
    <row r="21471" spans="7:7" ht="10.5" customHeight="1" x14ac:dyDescent="0.2">
      <c r="G21471" s="889"/>
    </row>
    <row r="21472" spans="7:7" ht="10.5" customHeight="1" x14ac:dyDescent="0.2">
      <c r="G21472" s="889"/>
    </row>
    <row r="21473" spans="7:7" ht="10.5" customHeight="1" x14ac:dyDescent="0.2">
      <c r="G21473" s="889"/>
    </row>
    <row r="21474" spans="7:7" ht="10.5" customHeight="1" x14ac:dyDescent="0.2">
      <c r="G21474" s="889"/>
    </row>
    <row r="21475" spans="7:7" ht="10.5" customHeight="1" x14ac:dyDescent="0.2">
      <c r="G21475" s="889"/>
    </row>
    <row r="21476" spans="7:7" ht="10.5" customHeight="1" x14ac:dyDescent="0.2">
      <c r="G21476" s="889"/>
    </row>
    <row r="21477" spans="7:7" ht="10.5" customHeight="1" x14ac:dyDescent="0.2">
      <c r="G21477" s="889"/>
    </row>
    <row r="21478" spans="7:7" ht="10.5" customHeight="1" x14ac:dyDescent="0.2">
      <c r="G21478" s="889"/>
    </row>
    <row r="21479" spans="7:7" ht="10.5" customHeight="1" x14ac:dyDescent="0.2">
      <c r="G21479" s="889"/>
    </row>
    <row r="21480" spans="7:7" ht="10.5" customHeight="1" x14ac:dyDescent="0.2">
      <c r="G21480" s="889"/>
    </row>
    <row r="21481" spans="7:7" ht="10.5" customHeight="1" x14ac:dyDescent="0.2">
      <c r="G21481" s="889"/>
    </row>
    <row r="21482" spans="7:7" ht="10.5" customHeight="1" x14ac:dyDescent="0.2">
      <c r="G21482" s="889"/>
    </row>
    <row r="21483" spans="7:7" ht="10.5" customHeight="1" x14ac:dyDescent="0.2">
      <c r="G21483" s="889"/>
    </row>
    <row r="21484" spans="7:7" ht="10.5" customHeight="1" x14ac:dyDescent="0.2">
      <c r="G21484" s="889"/>
    </row>
    <row r="21485" spans="7:7" ht="10.5" customHeight="1" x14ac:dyDescent="0.2">
      <c r="G21485" s="889"/>
    </row>
    <row r="21486" spans="7:7" ht="10.5" customHeight="1" x14ac:dyDescent="0.2">
      <c r="G21486" s="889"/>
    </row>
    <row r="21487" spans="7:7" ht="10.5" customHeight="1" x14ac:dyDescent="0.2">
      <c r="G21487" s="889"/>
    </row>
    <row r="21488" spans="7:7" ht="10.5" customHeight="1" x14ac:dyDescent="0.2">
      <c r="G21488" s="889"/>
    </row>
    <row r="21489" spans="7:7" ht="10.5" customHeight="1" x14ac:dyDescent="0.2">
      <c r="G21489" s="889"/>
    </row>
    <row r="21490" spans="7:7" ht="10.5" customHeight="1" x14ac:dyDescent="0.2">
      <c r="G21490" s="889"/>
    </row>
    <row r="21491" spans="7:7" ht="10.5" customHeight="1" x14ac:dyDescent="0.2">
      <c r="G21491" s="889"/>
    </row>
    <row r="21492" spans="7:7" ht="10.5" customHeight="1" x14ac:dyDescent="0.2">
      <c r="G21492" s="889"/>
    </row>
    <row r="21493" spans="7:7" ht="10.5" customHeight="1" x14ac:dyDescent="0.2">
      <c r="G21493" s="889"/>
    </row>
    <row r="21494" spans="7:7" ht="10.5" customHeight="1" x14ac:dyDescent="0.2">
      <c r="G21494" s="889"/>
    </row>
    <row r="21495" spans="7:7" ht="10.5" customHeight="1" x14ac:dyDescent="0.2">
      <c r="G21495" s="889"/>
    </row>
    <row r="21496" spans="7:7" ht="10.5" customHeight="1" x14ac:dyDescent="0.2">
      <c r="G21496" s="889"/>
    </row>
    <row r="21497" spans="7:7" ht="10.5" customHeight="1" x14ac:dyDescent="0.2">
      <c r="G21497" s="889"/>
    </row>
    <row r="21498" spans="7:7" ht="10.5" customHeight="1" x14ac:dyDescent="0.2">
      <c r="G21498" s="889"/>
    </row>
    <row r="21499" spans="7:7" ht="10.5" customHeight="1" x14ac:dyDescent="0.2">
      <c r="G21499" s="889"/>
    </row>
    <row r="21500" spans="7:7" ht="10.5" customHeight="1" x14ac:dyDescent="0.2">
      <c r="G21500" s="889"/>
    </row>
    <row r="21501" spans="7:7" ht="10.5" customHeight="1" x14ac:dyDescent="0.2">
      <c r="G21501" s="889"/>
    </row>
    <row r="21502" spans="7:7" ht="10.5" customHeight="1" x14ac:dyDescent="0.2">
      <c r="G21502" s="889"/>
    </row>
    <row r="21503" spans="7:7" ht="10.5" customHeight="1" x14ac:dyDescent="0.2">
      <c r="G21503" s="889"/>
    </row>
    <row r="21504" spans="7:7" ht="10.5" customHeight="1" x14ac:dyDescent="0.2">
      <c r="G21504" s="889"/>
    </row>
    <row r="21505" spans="7:7" ht="10.5" customHeight="1" x14ac:dyDescent="0.2">
      <c r="G21505" s="889"/>
    </row>
    <row r="21506" spans="7:7" ht="10.5" customHeight="1" x14ac:dyDescent="0.2">
      <c r="G21506" s="889"/>
    </row>
    <row r="21507" spans="7:7" ht="10.5" customHeight="1" x14ac:dyDescent="0.2">
      <c r="G21507" s="889"/>
    </row>
    <row r="21508" spans="7:7" ht="10.5" customHeight="1" x14ac:dyDescent="0.2">
      <c r="G21508" s="889"/>
    </row>
    <row r="21509" spans="7:7" ht="10.5" customHeight="1" x14ac:dyDescent="0.2">
      <c r="G21509" s="889"/>
    </row>
    <row r="21510" spans="7:7" ht="10.5" customHeight="1" x14ac:dyDescent="0.2">
      <c r="G21510" s="889"/>
    </row>
    <row r="21511" spans="7:7" ht="10.5" customHeight="1" x14ac:dyDescent="0.2">
      <c r="G21511" s="889"/>
    </row>
    <row r="21512" spans="7:7" ht="10.5" customHeight="1" x14ac:dyDescent="0.2">
      <c r="G21512" s="889"/>
    </row>
    <row r="21513" spans="7:7" ht="10.5" customHeight="1" x14ac:dyDescent="0.2">
      <c r="G21513" s="889"/>
    </row>
    <row r="21514" spans="7:7" ht="10.5" customHeight="1" x14ac:dyDescent="0.2">
      <c r="G21514" s="889"/>
    </row>
    <row r="21515" spans="7:7" ht="10.5" customHeight="1" x14ac:dyDescent="0.2">
      <c r="G21515" s="889"/>
    </row>
    <row r="21516" spans="7:7" ht="10.5" customHeight="1" x14ac:dyDescent="0.2">
      <c r="G21516" s="889"/>
    </row>
    <row r="21517" spans="7:7" ht="10.5" customHeight="1" x14ac:dyDescent="0.2">
      <c r="G21517" s="889"/>
    </row>
    <row r="21518" spans="7:7" ht="10.5" customHeight="1" x14ac:dyDescent="0.2">
      <c r="G21518" s="889"/>
    </row>
    <row r="21519" spans="7:7" ht="10.5" customHeight="1" x14ac:dyDescent="0.2">
      <c r="G21519" s="889"/>
    </row>
    <row r="21520" spans="7:7" ht="10.5" customHeight="1" x14ac:dyDescent="0.2">
      <c r="G21520" s="889"/>
    </row>
    <row r="21521" spans="7:7" ht="10.5" customHeight="1" x14ac:dyDescent="0.2">
      <c r="G21521" s="889"/>
    </row>
    <row r="21522" spans="7:7" ht="10.5" customHeight="1" x14ac:dyDescent="0.2">
      <c r="G21522" s="889"/>
    </row>
    <row r="21523" spans="7:7" ht="10.5" customHeight="1" x14ac:dyDescent="0.2">
      <c r="G21523" s="889"/>
    </row>
    <row r="21524" spans="7:7" ht="10.5" customHeight="1" x14ac:dyDescent="0.2">
      <c r="G21524" s="889"/>
    </row>
    <row r="21525" spans="7:7" ht="10.5" customHeight="1" x14ac:dyDescent="0.2">
      <c r="G21525" s="889"/>
    </row>
    <row r="21526" spans="7:7" ht="10.5" customHeight="1" x14ac:dyDescent="0.2">
      <c r="G21526" s="889"/>
    </row>
    <row r="21527" spans="7:7" ht="10.5" customHeight="1" x14ac:dyDescent="0.2">
      <c r="G21527" s="889"/>
    </row>
    <row r="21528" spans="7:7" ht="10.5" customHeight="1" x14ac:dyDescent="0.2">
      <c r="G21528" s="889"/>
    </row>
    <row r="21529" spans="7:7" ht="10.5" customHeight="1" x14ac:dyDescent="0.2">
      <c r="G21529" s="889"/>
    </row>
    <row r="21530" spans="7:7" ht="10.5" customHeight="1" x14ac:dyDescent="0.2">
      <c r="G21530" s="889"/>
    </row>
    <row r="21531" spans="7:7" ht="10.5" customHeight="1" x14ac:dyDescent="0.2">
      <c r="G21531" s="889"/>
    </row>
    <row r="21532" spans="7:7" ht="10.5" customHeight="1" x14ac:dyDescent="0.2">
      <c r="G21532" s="889"/>
    </row>
    <row r="21533" spans="7:7" ht="10.5" customHeight="1" x14ac:dyDescent="0.2">
      <c r="G21533" s="889"/>
    </row>
    <row r="21534" spans="7:7" ht="10.5" customHeight="1" x14ac:dyDescent="0.2">
      <c r="G21534" s="889"/>
    </row>
    <row r="21535" spans="7:7" ht="10.5" customHeight="1" x14ac:dyDescent="0.2">
      <c r="G21535" s="889"/>
    </row>
    <row r="21536" spans="7:7" ht="10.5" customHeight="1" x14ac:dyDescent="0.2">
      <c r="G21536" s="889"/>
    </row>
    <row r="21537" spans="7:7" ht="10.5" customHeight="1" x14ac:dyDescent="0.2">
      <c r="G21537" s="889"/>
    </row>
    <row r="21538" spans="7:7" ht="10.5" customHeight="1" x14ac:dyDescent="0.2">
      <c r="G21538" s="889"/>
    </row>
    <row r="21539" spans="7:7" ht="10.5" customHeight="1" x14ac:dyDescent="0.2">
      <c r="G21539" s="889"/>
    </row>
    <row r="21540" spans="7:7" ht="10.5" customHeight="1" x14ac:dyDescent="0.2">
      <c r="G21540" s="889"/>
    </row>
    <row r="21541" spans="7:7" ht="10.5" customHeight="1" x14ac:dyDescent="0.2">
      <c r="G21541" s="889"/>
    </row>
    <row r="21542" spans="7:7" ht="10.5" customHeight="1" x14ac:dyDescent="0.2">
      <c r="G21542" s="889"/>
    </row>
    <row r="21543" spans="7:7" ht="10.5" customHeight="1" x14ac:dyDescent="0.2">
      <c r="G21543" s="889"/>
    </row>
    <row r="21544" spans="7:7" ht="10.5" customHeight="1" x14ac:dyDescent="0.2">
      <c r="G21544" s="889"/>
    </row>
    <row r="21545" spans="7:7" ht="10.5" customHeight="1" x14ac:dyDescent="0.2">
      <c r="G21545" s="889"/>
    </row>
    <row r="21546" spans="7:7" ht="10.5" customHeight="1" x14ac:dyDescent="0.2">
      <c r="G21546" s="889"/>
    </row>
    <row r="21547" spans="7:7" ht="10.5" customHeight="1" x14ac:dyDescent="0.2">
      <c r="G21547" s="889"/>
    </row>
    <row r="21548" spans="7:7" ht="10.5" customHeight="1" x14ac:dyDescent="0.2">
      <c r="G21548" s="889"/>
    </row>
    <row r="21549" spans="7:7" ht="10.5" customHeight="1" x14ac:dyDescent="0.2">
      <c r="G21549" s="889"/>
    </row>
    <row r="21550" spans="7:7" ht="10.5" customHeight="1" x14ac:dyDescent="0.2">
      <c r="G21550" s="889"/>
    </row>
    <row r="21551" spans="7:7" ht="10.5" customHeight="1" x14ac:dyDescent="0.2">
      <c r="G21551" s="889"/>
    </row>
    <row r="21552" spans="7:7" ht="10.5" customHeight="1" x14ac:dyDescent="0.2">
      <c r="G21552" s="889"/>
    </row>
    <row r="21553" spans="7:7" ht="10.5" customHeight="1" x14ac:dyDescent="0.2">
      <c r="G21553" s="889"/>
    </row>
    <row r="21554" spans="7:7" ht="10.5" customHeight="1" x14ac:dyDescent="0.2">
      <c r="G21554" s="889"/>
    </row>
    <row r="21555" spans="7:7" ht="10.5" customHeight="1" x14ac:dyDescent="0.2">
      <c r="G21555" s="889"/>
    </row>
    <row r="21556" spans="7:7" ht="10.5" customHeight="1" x14ac:dyDescent="0.2">
      <c r="G21556" s="889"/>
    </row>
    <row r="21557" spans="7:7" ht="10.5" customHeight="1" x14ac:dyDescent="0.2">
      <c r="G21557" s="889"/>
    </row>
    <row r="21558" spans="7:7" ht="10.5" customHeight="1" x14ac:dyDescent="0.2">
      <c r="G21558" s="889"/>
    </row>
    <row r="21559" spans="7:7" ht="10.5" customHeight="1" x14ac:dyDescent="0.2">
      <c r="G21559" s="889"/>
    </row>
    <row r="21560" spans="7:7" ht="10.5" customHeight="1" x14ac:dyDescent="0.2">
      <c r="G21560" s="889"/>
    </row>
    <row r="21561" spans="7:7" ht="10.5" customHeight="1" x14ac:dyDescent="0.2">
      <c r="G21561" s="889"/>
    </row>
    <row r="21562" spans="7:7" ht="10.5" customHeight="1" x14ac:dyDescent="0.2">
      <c r="G21562" s="889"/>
    </row>
    <row r="21563" spans="7:7" ht="10.5" customHeight="1" x14ac:dyDescent="0.2">
      <c r="G21563" s="889"/>
    </row>
    <row r="21564" spans="7:7" ht="10.5" customHeight="1" x14ac:dyDescent="0.2">
      <c r="G21564" s="889"/>
    </row>
    <row r="21565" spans="7:7" ht="10.5" customHeight="1" x14ac:dyDescent="0.2">
      <c r="G21565" s="889"/>
    </row>
    <row r="21566" spans="7:7" ht="10.5" customHeight="1" x14ac:dyDescent="0.2">
      <c r="G21566" s="889"/>
    </row>
    <row r="21567" spans="7:7" ht="10.5" customHeight="1" x14ac:dyDescent="0.2">
      <c r="G21567" s="889"/>
    </row>
    <row r="21568" spans="7:7" ht="10.5" customHeight="1" x14ac:dyDescent="0.2">
      <c r="G21568" s="889"/>
    </row>
    <row r="21569" spans="7:7" ht="10.5" customHeight="1" x14ac:dyDescent="0.2">
      <c r="G21569" s="889"/>
    </row>
    <row r="21570" spans="7:7" ht="10.5" customHeight="1" x14ac:dyDescent="0.2">
      <c r="G21570" s="889"/>
    </row>
    <row r="21571" spans="7:7" ht="10.5" customHeight="1" x14ac:dyDescent="0.2">
      <c r="G21571" s="889"/>
    </row>
    <row r="21572" spans="7:7" ht="10.5" customHeight="1" x14ac:dyDescent="0.2">
      <c r="G21572" s="889"/>
    </row>
    <row r="21573" spans="7:7" ht="10.5" customHeight="1" x14ac:dyDescent="0.2">
      <c r="G21573" s="889"/>
    </row>
    <row r="21574" spans="7:7" ht="10.5" customHeight="1" x14ac:dyDescent="0.2">
      <c r="G21574" s="889"/>
    </row>
    <row r="21575" spans="7:7" ht="10.5" customHeight="1" x14ac:dyDescent="0.2">
      <c r="G21575" s="889"/>
    </row>
    <row r="21576" spans="7:7" ht="10.5" customHeight="1" x14ac:dyDescent="0.2">
      <c r="G21576" s="889"/>
    </row>
    <row r="21577" spans="7:7" ht="10.5" customHeight="1" x14ac:dyDescent="0.2">
      <c r="G21577" s="889"/>
    </row>
    <row r="21578" spans="7:7" ht="10.5" customHeight="1" x14ac:dyDescent="0.2">
      <c r="G21578" s="889"/>
    </row>
    <row r="21579" spans="7:7" ht="10.5" customHeight="1" x14ac:dyDescent="0.2">
      <c r="G21579" s="889"/>
    </row>
    <row r="21580" spans="7:7" ht="10.5" customHeight="1" x14ac:dyDescent="0.2">
      <c r="G21580" s="889"/>
    </row>
    <row r="21581" spans="7:7" ht="10.5" customHeight="1" x14ac:dyDescent="0.2">
      <c r="G21581" s="889"/>
    </row>
    <row r="21582" spans="7:7" ht="10.5" customHeight="1" x14ac:dyDescent="0.2">
      <c r="G21582" s="889"/>
    </row>
    <row r="21583" spans="7:7" ht="10.5" customHeight="1" x14ac:dyDescent="0.2">
      <c r="G21583" s="889"/>
    </row>
    <row r="21584" spans="7:7" ht="10.5" customHeight="1" x14ac:dyDescent="0.2">
      <c r="G21584" s="889"/>
    </row>
    <row r="21585" spans="7:7" ht="10.5" customHeight="1" x14ac:dyDescent="0.2">
      <c r="G21585" s="889"/>
    </row>
    <row r="21586" spans="7:7" ht="10.5" customHeight="1" x14ac:dyDescent="0.2">
      <c r="G21586" s="889"/>
    </row>
    <row r="21587" spans="7:7" ht="10.5" customHeight="1" x14ac:dyDescent="0.2">
      <c r="G21587" s="889"/>
    </row>
    <row r="21588" spans="7:7" ht="10.5" customHeight="1" x14ac:dyDescent="0.2">
      <c r="G21588" s="889"/>
    </row>
    <row r="21589" spans="7:7" ht="10.5" customHeight="1" x14ac:dyDescent="0.2">
      <c r="G21589" s="889"/>
    </row>
    <row r="21590" spans="7:7" ht="10.5" customHeight="1" x14ac:dyDescent="0.2">
      <c r="G21590" s="889"/>
    </row>
    <row r="21591" spans="7:7" ht="10.5" customHeight="1" x14ac:dyDescent="0.2">
      <c r="G21591" s="889"/>
    </row>
    <row r="21592" spans="7:7" ht="10.5" customHeight="1" x14ac:dyDescent="0.2">
      <c r="G21592" s="889"/>
    </row>
    <row r="21593" spans="7:7" ht="10.5" customHeight="1" x14ac:dyDescent="0.2">
      <c r="G21593" s="889"/>
    </row>
    <row r="21594" spans="7:7" ht="10.5" customHeight="1" x14ac:dyDescent="0.2">
      <c r="G21594" s="889"/>
    </row>
    <row r="21595" spans="7:7" ht="10.5" customHeight="1" x14ac:dyDescent="0.2">
      <c r="G21595" s="889"/>
    </row>
    <row r="21596" spans="7:7" ht="10.5" customHeight="1" x14ac:dyDescent="0.2">
      <c r="G21596" s="889"/>
    </row>
    <row r="21597" spans="7:7" ht="10.5" customHeight="1" x14ac:dyDescent="0.2">
      <c r="G21597" s="889"/>
    </row>
    <row r="21598" spans="7:7" ht="10.5" customHeight="1" x14ac:dyDescent="0.2">
      <c r="G21598" s="889"/>
    </row>
    <row r="21599" spans="7:7" ht="10.5" customHeight="1" x14ac:dyDescent="0.2">
      <c r="G21599" s="889"/>
    </row>
    <row r="21600" spans="7:7" ht="10.5" customHeight="1" x14ac:dyDescent="0.2">
      <c r="G21600" s="889"/>
    </row>
    <row r="21601" spans="7:7" ht="10.5" customHeight="1" x14ac:dyDescent="0.2">
      <c r="G21601" s="889"/>
    </row>
    <row r="21602" spans="7:7" ht="10.5" customHeight="1" x14ac:dyDescent="0.2">
      <c r="G21602" s="889"/>
    </row>
    <row r="21603" spans="7:7" ht="10.5" customHeight="1" x14ac:dyDescent="0.2">
      <c r="G21603" s="889"/>
    </row>
    <row r="21604" spans="7:7" ht="10.5" customHeight="1" x14ac:dyDescent="0.2">
      <c r="G21604" s="889"/>
    </row>
    <row r="21605" spans="7:7" ht="10.5" customHeight="1" x14ac:dyDescent="0.2">
      <c r="G21605" s="889"/>
    </row>
    <row r="21606" spans="7:7" ht="10.5" customHeight="1" x14ac:dyDescent="0.2">
      <c r="G21606" s="889"/>
    </row>
    <row r="21607" spans="7:7" ht="10.5" customHeight="1" x14ac:dyDescent="0.2">
      <c r="G21607" s="889"/>
    </row>
    <row r="21608" spans="7:7" ht="10.5" customHeight="1" x14ac:dyDescent="0.2">
      <c r="G21608" s="889"/>
    </row>
    <row r="21609" spans="7:7" ht="10.5" customHeight="1" x14ac:dyDescent="0.2">
      <c r="G21609" s="889"/>
    </row>
    <row r="21610" spans="7:7" ht="10.5" customHeight="1" x14ac:dyDescent="0.2">
      <c r="G21610" s="889"/>
    </row>
    <row r="21611" spans="7:7" ht="10.5" customHeight="1" x14ac:dyDescent="0.2">
      <c r="G21611" s="889"/>
    </row>
    <row r="21612" spans="7:7" ht="10.5" customHeight="1" x14ac:dyDescent="0.2">
      <c r="G21612" s="889"/>
    </row>
    <row r="21613" spans="7:7" ht="10.5" customHeight="1" x14ac:dyDescent="0.2">
      <c r="G21613" s="889"/>
    </row>
    <row r="21614" spans="7:7" ht="10.5" customHeight="1" x14ac:dyDescent="0.2">
      <c r="G21614" s="889"/>
    </row>
    <row r="21615" spans="7:7" ht="10.5" customHeight="1" x14ac:dyDescent="0.2">
      <c r="G21615" s="889"/>
    </row>
    <row r="21616" spans="7:7" ht="10.5" customHeight="1" x14ac:dyDescent="0.2">
      <c r="G21616" s="889"/>
    </row>
    <row r="21617" spans="7:7" ht="10.5" customHeight="1" x14ac:dyDescent="0.2">
      <c r="G21617" s="889"/>
    </row>
    <row r="21618" spans="7:7" ht="10.5" customHeight="1" x14ac:dyDescent="0.2">
      <c r="G21618" s="889"/>
    </row>
    <row r="21619" spans="7:7" ht="10.5" customHeight="1" x14ac:dyDescent="0.2">
      <c r="G21619" s="889"/>
    </row>
    <row r="21620" spans="7:7" ht="10.5" customHeight="1" x14ac:dyDescent="0.2">
      <c r="G21620" s="889"/>
    </row>
    <row r="21621" spans="7:7" ht="10.5" customHeight="1" x14ac:dyDescent="0.2">
      <c r="G21621" s="889"/>
    </row>
    <row r="21622" spans="7:7" ht="10.5" customHeight="1" x14ac:dyDescent="0.2">
      <c r="G21622" s="889"/>
    </row>
    <row r="21623" spans="7:7" ht="10.5" customHeight="1" x14ac:dyDescent="0.2">
      <c r="G21623" s="889"/>
    </row>
    <row r="21624" spans="7:7" ht="10.5" customHeight="1" x14ac:dyDescent="0.2">
      <c r="G21624" s="889"/>
    </row>
    <row r="21625" spans="7:7" ht="10.5" customHeight="1" x14ac:dyDescent="0.2">
      <c r="G21625" s="889"/>
    </row>
    <row r="21626" spans="7:7" ht="10.5" customHeight="1" x14ac:dyDescent="0.2">
      <c r="G21626" s="889"/>
    </row>
    <row r="21627" spans="7:7" ht="10.5" customHeight="1" x14ac:dyDescent="0.2">
      <c r="G21627" s="889"/>
    </row>
    <row r="21628" spans="7:7" ht="10.5" customHeight="1" x14ac:dyDescent="0.2">
      <c r="G21628" s="889"/>
    </row>
    <row r="21629" spans="7:7" ht="10.5" customHeight="1" x14ac:dyDescent="0.2">
      <c r="G21629" s="889"/>
    </row>
    <row r="21630" spans="7:7" ht="10.5" customHeight="1" x14ac:dyDescent="0.2">
      <c r="G21630" s="889"/>
    </row>
    <row r="21631" spans="7:7" ht="10.5" customHeight="1" x14ac:dyDescent="0.2">
      <c r="G21631" s="889"/>
    </row>
    <row r="21632" spans="7:7" ht="10.5" customHeight="1" x14ac:dyDescent="0.2">
      <c r="G21632" s="889"/>
    </row>
    <row r="21633" spans="7:7" ht="10.5" customHeight="1" x14ac:dyDescent="0.2">
      <c r="G21633" s="889"/>
    </row>
    <row r="21634" spans="7:7" ht="10.5" customHeight="1" x14ac:dyDescent="0.2">
      <c r="G21634" s="889"/>
    </row>
    <row r="21635" spans="7:7" ht="10.5" customHeight="1" x14ac:dyDescent="0.2">
      <c r="G21635" s="889"/>
    </row>
    <row r="21636" spans="7:7" ht="10.5" customHeight="1" x14ac:dyDescent="0.2">
      <c r="G21636" s="889"/>
    </row>
    <row r="21637" spans="7:7" ht="10.5" customHeight="1" x14ac:dyDescent="0.2">
      <c r="G21637" s="889"/>
    </row>
    <row r="21638" spans="7:7" ht="10.5" customHeight="1" x14ac:dyDescent="0.2">
      <c r="G21638" s="889"/>
    </row>
    <row r="21639" spans="7:7" ht="10.5" customHeight="1" x14ac:dyDescent="0.2">
      <c r="G21639" s="889"/>
    </row>
    <row r="21640" spans="7:7" ht="10.5" customHeight="1" x14ac:dyDescent="0.2">
      <c r="G21640" s="889"/>
    </row>
    <row r="21641" spans="7:7" ht="10.5" customHeight="1" x14ac:dyDescent="0.2">
      <c r="G21641" s="889"/>
    </row>
    <row r="21642" spans="7:7" ht="10.5" customHeight="1" x14ac:dyDescent="0.2">
      <c r="G21642" s="889"/>
    </row>
    <row r="21643" spans="7:7" ht="10.5" customHeight="1" x14ac:dyDescent="0.2">
      <c r="G21643" s="889"/>
    </row>
    <row r="21644" spans="7:7" ht="10.5" customHeight="1" x14ac:dyDescent="0.2">
      <c r="G21644" s="889"/>
    </row>
    <row r="21645" spans="7:7" ht="10.5" customHeight="1" x14ac:dyDescent="0.2">
      <c r="G21645" s="889"/>
    </row>
    <row r="21646" spans="7:7" ht="10.5" customHeight="1" x14ac:dyDescent="0.2">
      <c r="G21646" s="889"/>
    </row>
    <row r="21647" spans="7:7" ht="10.5" customHeight="1" x14ac:dyDescent="0.2">
      <c r="G21647" s="889"/>
    </row>
    <row r="21648" spans="7:7" ht="10.5" customHeight="1" x14ac:dyDescent="0.2">
      <c r="G21648" s="889"/>
    </row>
    <row r="21649" spans="7:7" ht="10.5" customHeight="1" x14ac:dyDescent="0.2">
      <c r="G21649" s="889"/>
    </row>
    <row r="21650" spans="7:7" ht="10.5" customHeight="1" x14ac:dyDescent="0.2">
      <c r="G21650" s="889"/>
    </row>
    <row r="21651" spans="7:7" ht="10.5" customHeight="1" x14ac:dyDescent="0.2">
      <c r="G21651" s="889"/>
    </row>
    <row r="21652" spans="7:7" ht="10.5" customHeight="1" x14ac:dyDescent="0.2">
      <c r="G21652" s="889"/>
    </row>
    <row r="21653" spans="7:7" ht="10.5" customHeight="1" x14ac:dyDescent="0.2">
      <c r="G21653" s="889"/>
    </row>
    <row r="21654" spans="7:7" ht="10.5" customHeight="1" x14ac:dyDescent="0.2">
      <c r="G21654" s="889"/>
    </row>
    <row r="21655" spans="7:7" ht="10.5" customHeight="1" x14ac:dyDescent="0.2">
      <c r="G21655" s="889"/>
    </row>
    <row r="21656" spans="7:7" ht="10.5" customHeight="1" x14ac:dyDescent="0.2">
      <c r="G21656" s="889"/>
    </row>
    <row r="21657" spans="7:7" ht="10.5" customHeight="1" x14ac:dyDescent="0.2">
      <c r="G21657" s="889"/>
    </row>
    <row r="21658" spans="7:7" ht="10.5" customHeight="1" x14ac:dyDescent="0.2">
      <c r="G21658" s="889"/>
    </row>
    <row r="21659" spans="7:7" ht="10.5" customHeight="1" x14ac:dyDescent="0.2">
      <c r="G21659" s="889"/>
    </row>
    <row r="21660" spans="7:7" ht="10.5" customHeight="1" x14ac:dyDescent="0.2">
      <c r="G21660" s="889"/>
    </row>
    <row r="21661" spans="7:7" ht="10.5" customHeight="1" x14ac:dyDescent="0.2">
      <c r="G21661" s="889"/>
    </row>
    <row r="21662" spans="7:7" ht="10.5" customHeight="1" x14ac:dyDescent="0.2">
      <c r="G21662" s="889"/>
    </row>
    <row r="21663" spans="7:7" ht="10.5" customHeight="1" x14ac:dyDescent="0.2">
      <c r="G21663" s="889"/>
    </row>
    <row r="21664" spans="7:7" ht="10.5" customHeight="1" x14ac:dyDescent="0.2">
      <c r="G21664" s="889"/>
    </row>
    <row r="21665" spans="7:7" ht="10.5" customHeight="1" x14ac:dyDescent="0.2">
      <c r="G21665" s="889"/>
    </row>
    <row r="21666" spans="7:7" ht="10.5" customHeight="1" x14ac:dyDescent="0.2">
      <c r="G21666" s="889"/>
    </row>
    <row r="21667" spans="7:7" ht="10.5" customHeight="1" x14ac:dyDescent="0.2">
      <c r="G21667" s="889"/>
    </row>
    <row r="21668" spans="7:7" ht="10.5" customHeight="1" x14ac:dyDescent="0.2">
      <c r="G21668" s="889"/>
    </row>
    <row r="21669" spans="7:7" ht="10.5" customHeight="1" x14ac:dyDescent="0.2">
      <c r="G21669" s="889"/>
    </row>
    <row r="21670" spans="7:7" ht="10.5" customHeight="1" x14ac:dyDescent="0.2">
      <c r="G21670" s="889"/>
    </row>
    <row r="21671" spans="7:7" ht="10.5" customHeight="1" x14ac:dyDescent="0.2">
      <c r="G21671" s="889"/>
    </row>
    <row r="21672" spans="7:7" ht="10.5" customHeight="1" x14ac:dyDescent="0.2">
      <c r="G21672" s="889"/>
    </row>
    <row r="21673" spans="7:7" ht="10.5" customHeight="1" x14ac:dyDescent="0.2">
      <c r="G21673" s="889"/>
    </row>
    <row r="21674" spans="7:7" ht="10.5" customHeight="1" x14ac:dyDescent="0.2">
      <c r="G21674" s="889"/>
    </row>
    <row r="21675" spans="7:7" ht="10.5" customHeight="1" x14ac:dyDescent="0.2">
      <c r="G21675" s="889"/>
    </row>
    <row r="21676" spans="7:7" ht="10.5" customHeight="1" x14ac:dyDescent="0.2">
      <c r="G21676" s="889"/>
    </row>
    <row r="21677" spans="7:7" ht="10.5" customHeight="1" x14ac:dyDescent="0.2">
      <c r="G21677" s="889"/>
    </row>
    <row r="21678" spans="7:7" ht="10.5" customHeight="1" x14ac:dyDescent="0.2">
      <c r="G21678" s="889"/>
    </row>
    <row r="21679" spans="7:7" ht="10.5" customHeight="1" x14ac:dyDescent="0.2">
      <c r="G21679" s="889"/>
    </row>
    <row r="21680" spans="7:7" ht="10.5" customHeight="1" x14ac:dyDescent="0.2">
      <c r="G21680" s="889"/>
    </row>
    <row r="21681" spans="7:7" ht="10.5" customHeight="1" x14ac:dyDescent="0.2">
      <c r="G21681" s="889"/>
    </row>
    <row r="21682" spans="7:7" ht="10.5" customHeight="1" x14ac:dyDescent="0.2">
      <c r="G21682" s="889"/>
    </row>
    <row r="21683" spans="7:7" ht="10.5" customHeight="1" x14ac:dyDescent="0.2">
      <c r="G21683" s="889"/>
    </row>
    <row r="21684" spans="7:7" ht="10.5" customHeight="1" x14ac:dyDescent="0.2">
      <c r="G21684" s="889"/>
    </row>
    <row r="21685" spans="7:7" ht="10.5" customHeight="1" x14ac:dyDescent="0.2">
      <c r="G21685" s="889"/>
    </row>
    <row r="21686" spans="7:7" ht="10.5" customHeight="1" x14ac:dyDescent="0.2">
      <c r="G21686" s="889"/>
    </row>
    <row r="21687" spans="7:7" ht="10.5" customHeight="1" x14ac:dyDescent="0.2">
      <c r="G21687" s="889"/>
    </row>
    <row r="21688" spans="7:7" ht="10.5" customHeight="1" x14ac:dyDescent="0.2">
      <c r="G21688" s="889"/>
    </row>
    <row r="21689" spans="7:7" ht="10.5" customHeight="1" x14ac:dyDescent="0.2">
      <c r="G21689" s="889"/>
    </row>
    <row r="21690" spans="7:7" ht="10.5" customHeight="1" x14ac:dyDescent="0.2">
      <c r="G21690" s="889"/>
    </row>
    <row r="21691" spans="7:7" ht="10.5" customHeight="1" x14ac:dyDescent="0.2">
      <c r="G21691" s="889"/>
    </row>
    <row r="21692" spans="7:7" ht="10.5" customHeight="1" x14ac:dyDescent="0.2">
      <c r="G21692" s="889"/>
    </row>
    <row r="21693" spans="7:7" ht="10.5" customHeight="1" x14ac:dyDescent="0.2">
      <c r="G21693" s="889"/>
    </row>
    <row r="21694" spans="7:7" ht="10.5" customHeight="1" x14ac:dyDescent="0.2">
      <c r="G21694" s="889"/>
    </row>
    <row r="21695" spans="7:7" ht="10.5" customHeight="1" x14ac:dyDescent="0.2">
      <c r="G21695" s="889"/>
    </row>
    <row r="21696" spans="7:7" ht="10.5" customHeight="1" x14ac:dyDescent="0.2">
      <c r="G21696" s="889"/>
    </row>
    <row r="21697" spans="7:7" ht="10.5" customHeight="1" x14ac:dyDescent="0.2">
      <c r="G21697" s="889"/>
    </row>
    <row r="21698" spans="7:7" ht="10.5" customHeight="1" x14ac:dyDescent="0.2">
      <c r="G21698" s="889"/>
    </row>
    <row r="21699" spans="7:7" ht="10.5" customHeight="1" x14ac:dyDescent="0.2">
      <c r="G21699" s="889"/>
    </row>
    <row r="21700" spans="7:7" ht="10.5" customHeight="1" x14ac:dyDescent="0.2">
      <c r="G21700" s="889"/>
    </row>
    <row r="21701" spans="7:7" ht="10.5" customHeight="1" x14ac:dyDescent="0.2">
      <c r="G21701" s="889"/>
    </row>
    <row r="21702" spans="7:7" ht="10.5" customHeight="1" x14ac:dyDescent="0.2">
      <c r="G21702" s="889"/>
    </row>
    <row r="21703" spans="7:7" ht="10.5" customHeight="1" x14ac:dyDescent="0.2">
      <c r="G21703" s="889"/>
    </row>
    <row r="21704" spans="7:7" ht="10.5" customHeight="1" x14ac:dyDescent="0.2">
      <c r="G21704" s="889"/>
    </row>
    <row r="21705" spans="7:7" ht="10.5" customHeight="1" x14ac:dyDescent="0.2">
      <c r="G21705" s="889"/>
    </row>
    <row r="21706" spans="7:7" ht="10.5" customHeight="1" x14ac:dyDescent="0.2">
      <c r="G21706" s="889"/>
    </row>
    <row r="21707" spans="7:7" ht="10.5" customHeight="1" x14ac:dyDescent="0.2">
      <c r="G21707" s="889"/>
    </row>
    <row r="21708" spans="7:7" ht="10.5" customHeight="1" x14ac:dyDescent="0.2">
      <c r="G21708" s="889"/>
    </row>
    <row r="21709" spans="7:7" ht="10.5" customHeight="1" x14ac:dyDescent="0.2">
      <c r="G21709" s="889"/>
    </row>
    <row r="21710" spans="7:7" ht="10.5" customHeight="1" x14ac:dyDescent="0.2">
      <c r="G21710" s="889"/>
    </row>
    <row r="21711" spans="7:7" ht="10.5" customHeight="1" x14ac:dyDescent="0.2">
      <c r="G21711" s="889"/>
    </row>
    <row r="21712" spans="7:7" ht="10.5" customHeight="1" x14ac:dyDescent="0.2">
      <c r="G21712" s="889"/>
    </row>
    <row r="21713" spans="7:7" ht="10.5" customHeight="1" x14ac:dyDescent="0.2">
      <c r="G21713" s="889"/>
    </row>
    <row r="21714" spans="7:7" ht="10.5" customHeight="1" x14ac:dyDescent="0.2">
      <c r="G21714" s="889"/>
    </row>
    <row r="21715" spans="7:7" ht="10.5" customHeight="1" x14ac:dyDescent="0.2">
      <c r="G21715" s="889"/>
    </row>
    <row r="21716" spans="7:7" ht="10.5" customHeight="1" x14ac:dyDescent="0.2">
      <c r="G21716" s="889"/>
    </row>
    <row r="21717" spans="7:7" ht="10.5" customHeight="1" x14ac:dyDescent="0.2">
      <c r="G21717" s="889"/>
    </row>
    <row r="21718" spans="7:7" ht="10.5" customHeight="1" x14ac:dyDescent="0.2">
      <c r="G21718" s="889"/>
    </row>
    <row r="21719" spans="7:7" ht="10.5" customHeight="1" x14ac:dyDescent="0.2">
      <c r="G21719" s="889"/>
    </row>
    <row r="21720" spans="7:7" ht="10.5" customHeight="1" x14ac:dyDescent="0.2">
      <c r="G21720" s="889"/>
    </row>
    <row r="21721" spans="7:7" ht="10.5" customHeight="1" x14ac:dyDescent="0.2">
      <c r="G21721" s="889"/>
    </row>
    <row r="21722" spans="7:7" ht="10.5" customHeight="1" x14ac:dyDescent="0.2">
      <c r="G21722" s="889"/>
    </row>
    <row r="21723" spans="7:7" ht="10.5" customHeight="1" x14ac:dyDescent="0.2">
      <c r="G21723" s="889"/>
    </row>
    <row r="21724" spans="7:7" ht="10.5" customHeight="1" x14ac:dyDescent="0.2">
      <c r="G21724" s="889"/>
    </row>
    <row r="21725" spans="7:7" ht="10.5" customHeight="1" x14ac:dyDescent="0.2">
      <c r="G21725" s="889"/>
    </row>
    <row r="21726" spans="7:7" ht="10.5" customHeight="1" x14ac:dyDescent="0.2">
      <c r="G21726" s="889"/>
    </row>
    <row r="21727" spans="7:7" ht="10.5" customHeight="1" x14ac:dyDescent="0.2">
      <c r="G21727" s="889"/>
    </row>
    <row r="21728" spans="7:7" ht="10.5" customHeight="1" x14ac:dyDescent="0.2">
      <c r="G21728" s="889"/>
    </row>
    <row r="21729" spans="7:7" ht="10.5" customHeight="1" x14ac:dyDescent="0.2">
      <c r="G21729" s="889"/>
    </row>
    <row r="21730" spans="7:7" ht="10.5" customHeight="1" x14ac:dyDescent="0.2">
      <c r="G21730" s="889"/>
    </row>
    <row r="21731" spans="7:7" ht="10.5" customHeight="1" x14ac:dyDescent="0.2">
      <c r="G21731" s="889"/>
    </row>
    <row r="21732" spans="7:7" ht="10.5" customHeight="1" x14ac:dyDescent="0.2">
      <c r="G21732" s="889"/>
    </row>
    <row r="21733" spans="7:7" ht="10.5" customHeight="1" x14ac:dyDescent="0.2">
      <c r="G21733" s="889"/>
    </row>
    <row r="21734" spans="7:7" ht="10.5" customHeight="1" x14ac:dyDescent="0.2">
      <c r="G21734" s="889"/>
    </row>
    <row r="21735" spans="7:7" ht="10.5" customHeight="1" x14ac:dyDescent="0.2">
      <c r="G21735" s="889"/>
    </row>
    <row r="21736" spans="7:7" ht="10.5" customHeight="1" x14ac:dyDescent="0.2">
      <c r="G21736" s="889"/>
    </row>
    <row r="21737" spans="7:7" ht="10.5" customHeight="1" x14ac:dyDescent="0.2">
      <c r="G21737" s="889"/>
    </row>
    <row r="21738" spans="7:7" ht="10.5" customHeight="1" x14ac:dyDescent="0.2">
      <c r="G21738" s="889"/>
    </row>
    <row r="21739" spans="7:7" ht="10.5" customHeight="1" x14ac:dyDescent="0.2">
      <c r="G21739" s="889"/>
    </row>
    <row r="21740" spans="7:7" ht="10.5" customHeight="1" x14ac:dyDescent="0.2">
      <c r="G21740" s="889"/>
    </row>
    <row r="21741" spans="7:7" ht="10.5" customHeight="1" x14ac:dyDescent="0.2">
      <c r="G21741" s="889"/>
    </row>
    <row r="21742" spans="7:7" ht="10.5" customHeight="1" x14ac:dyDescent="0.2">
      <c r="G21742" s="889"/>
    </row>
    <row r="21743" spans="7:7" ht="10.5" customHeight="1" x14ac:dyDescent="0.2">
      <c r="G21743" s="889"/>
    </row>
    <row r="21744" spans="7:7" ht="10.5" customHeight="1" x14ac:dyDescent="0.2">
      <c r="G21744" s="889"/>
    </row>
    <row r="21745" spans="7:7" ht="10.5" customHeight="1" x14ac:dyDescent="0.2">
      <c r="G21745" s="889"/>
    </row>
    <row r="21746" spans="7:7" ht="10.5" customHeight="1" x14ac:dyDescent="0.2">
      <c r="G21746" s="889"/>
    </row>
    <row r="21747" spans="7:7" ht="10.5" customHeight="1" x14ac:dyDescent="0.2">
      <c r="G21747" s="889"/>
    </row>
    <row r="21748" spans="7:7" ht="10.5" customHeight="1" x14ac:dyDescent="0.2">
      <c r="G21748" s="889"/>
    </row>
    <row r="21749" spans="7:7" ht="10.5" customHeight="1" x14ac:dyDescent="0.2">
      <c r="G21749" s="889"/>
    </row>
    <row r="21750" spans="7:7" ht="10.5" customHeight="1" x14ac:dyDescent="0.2">
      <c r="G21750" s="889"/>
    </row>
    <row r="21751" spans="7:7" ht="10.5" customHeight="1" x14ac:dyDescent="0.2">
      <c r="G21751" s="889"/>
    </row>
    <row r="21752" spans="7:7" ht="10.5" customHeight="1" x14ac:dyDescent="0.2">
      <c r="G21752" s="889"/>
    </row>
    <row r="21753" spans="7:7" ht="10.5" customHeight="1" x14ac:dyDescent="0.2">
      <c r="G21753" s="889"/>
    </row>
    <row r="21754" spans="7:7" ht="10.5" customHeight="1" x14ac:dyDescent="0.2">
      <c r="G21754" s="889"/>
    </row>
    <row r="21755" spans="7:7" ht="10.5" customHeight="1" x14ac:dyDescent="0.2">
      <c r="G21755" s="889"/>
    </row>
    <row r="21756" spans="7:7" ht="10.5" customHeight="1" x14ac:dyDescent="0.2">
      <c r="G21756" s="889"/>
    </row>
    <row r="21757" spans="7:7" ht="10.5" customHeight="1" x14ac:dyDescent="0.2">
      <c r="G21757" s="889"/>
    </row>
    <row r="21758" spans="7:7" ht="10.5" customHeight="1" x14ac:dyDescent="0.2">
      <c r="G21758" s="889"/>
    </row>
    <row r="21759" spans="7:7" ht="10.5" customHeight="1" x14ac:dyDescent="0.2">
      <c r="G21759" s="889"/>
    </row>
    <row r="21760" spans="7:7" ht="10.5" customHeight="1" x14ac:dyDescent="0.2">
      <c r="G21760" s="889"/>
    </row>
    <row r="21761" spans="7:7" ht="10.5" customHeight="1" x14ac:dyDescent="0.2">
      <c r="G21761" s="889"/>
    </row>
    <row r="21762" spans="7:7" ht="10.5" customHeight="1" x14ac:dyDescent="0.2">
      <c r="G21762" s="889"/>
    </row>
    <row r="21763" spans="7:7" ht="10.5" customHeight="1" x14ac:dyDescent="0.2">
      <c r="G21763" s="889"/>
    </row>
    <row r="21764" spans="7:7" ht="10.5" customHeight="1" x14ac:dyDescent="0.2">
      <c r="G21764" s="889"/>
    </row>
    <row r="21765" spans="7:7" ht="10.5" customHeight="1" x14ac:dyDescent="0.2">
      <c r="G21765" s="889"/>
    </row>
    <row r="21766" spans="7:7" ht="10.5" customHeight="1" x14ac:dyDescent="0.2">
      <c r="G21766" s="889"/>
    </row>
    <row r="21767" spans="7:7" ht="10.5" customHeight="1" x14ac:dyDescent="0.2">
      <c r="G21767" s="889"/>
    </row>
    <row r="21768" spans="7:7" ht="10.5" customHeight="1" x14ac:dyDescent="0.2">
      <c r="G21768" s="889"/>
    </row>
    <row r="21769" spans="7:7" ht="10.5" customHeight="1" x14ac:dyDescent="0.2">
      <c r="G21769" s="889"/>
    </row>
    <row r="21770" spans="7:7" ht="10.5" customHeight="1" x14ac:dyDescent="0.2">
      <c r="G21770" s="889"/>
    </row>
    <row r="21771" spans="7:7" ht="10.5" customHeight="1" x14ac:dyDescent="0.2">
      <c r="G21771" s="889"/>
    </row>
    <row r="21772" spans="7:7" ht="10.5" customHeight="1" x14ac:dyDescent="0.2">
      <c r="G21772" s="889"/>
    </row>
    <row r="21773" spans="7:7" ht="10.5" customHeight="1" x14ac:dyDescent="0.2">
      <c r="G21773" s="889"/>
    </row>
    <row r="21774" spans="7:7" ht="10.5" customHeight="1" x14ac:dyDescent="0.2">
      <c r="G21774" s="889"/>
    </row>
    <row r="21775" spans="7:7" ht="10.5" customHeight="1" x14ac:dyDescent="0.2">
      <c r="G21775" s="889"/>
    </row>
    <row r="21776" spans="7:7" ht="10.5" customHeight="1" x14ac:dyDescent="0.2">
      <c r="G21776" s="889"/>
    </row>
    <row r="21777" spans="7:7" ht="10.5" customHeight="1" x14ac:dyDescent="0.2">
      <c r="G21777" s="889"/>
    </row>
    <row r="21778" spans="7:7" ht="10.5" customHeight="1" x14ac:dyDescent="0.2">
      <c r="G21778" s="889"/>
    </row>
    <row r="21779" spans="7:7" ht="10.5" customHeight="1" x14ac:dyDescent="0.2">
      <c r="G21779" s="889"/>
    </row>
    <row r="21780" spans="7:7" ht="10.5" customHeight="1" x14ac:dyDescent="0.2">
      <c r="G21780" s="889"/>
    </row>
    <row r="21781" spans="7:7" ht="10.5" customHeight="1" x14ac:dyDescent="0.2">
      <c r="G21781" s="889"/>
    </row>
    <row r="21782" spans="7:7" ht="10.5" customHeight="1" x14ac:dyDescent="0.2">
      <c r="G21782" s="889"/>
    </row>
    <row r="21783" spans="7:7" ht="10.5" customHeight="1" x14ac:dyDescent="0.2">
      <c r="G21783" s="889"/>
    </row>
    <row r="21784" spans="7:7" ht="10.5" customHeight="1" x14ac:dyDescent="0.2">
      <c r="G21784" s="889"/>
    </row>
    <row r="21785" spans="7:7" ht="10.5" customHeight="1" x14ac:dyDescent="0.2">
      <c r="G21785" s="889"/>
    </row>
    <row r="21786" spans="7:7" ht="10.5" customHeight="1" x14ac:dyDescent="0.2">
      <c r="G21786" s="889"/>
    </row>
    <row r="21787" spans="7:7" ht="10.5" customHeight="1" x14ac:dyDescent="0.2">
      <c r="G21787" s="889"/>
    </row>
    <row r="21788" spans="7:7" ht="10.5" customHeight="1" x14ac:dyDescent="0.2">
      <c r="G21788" s="889"/>
    </row>
    <row r="21789" spans="7:7" ht="10.5" customHeight="1" x14ac:dyDescent="0.2">
      <c r="G21789" s="889"/>
    </row>
    <row r="21790" spans="7:7" ht="10.5" customHeight="1" x14ac:dyDescent="0.2">
      <c r="G21790" s="889"/>
    </row>
    <row r="21791" spans="7:7" ht="10.5" customHeight="1" x14ac:dyDescent="0.2">
      <c r="G21791" s="889"/>
    </row>
    <row r="21792" spans="7:7" ht="10.5" customHeight="1" x14ac:dyDescent="0.2">
      <c r="G21792" s="889"/>
    </row>
    <row r="21793" spans="7:7" ht="10.5" customHeight="1" x14ac:dyDescent="0.2">
      <c r="G21793" s="889"/>
    </row>
    <row r="21794" spans="7:7" ht="10.5" customHeight="1" x14ac:dyDescent="0.2">
      <c r="G21794" s="889"/>
    </row>
    <row r="21795" spans="7:7" ht="10.5" customHeight="1" x14ac:dyDescent="0.2">
      <c r="G21795" s="889"/>
    </row>
    <row r="21796" spans="7:7" ht="10.5" customHeight="1" x14ac:dyDescent="0.2">
      <c r="G21796" s="889"/>
    </row>
    <row r="21797" spans="7:7" ht="10.5" customHeight="1" x14ac:dyDescent="0.2">
      <c r="G21797" s="889"/>
    </row>
    <row r="21798" spans="7:7" ht="10.5" customHeight="1" x14ac:dyDescent="0.2">
      <c r="G21798" s="889"/>
    </row>
    <row r="21799" spans="7:7" ht="10.5" customHeight="1" x14ac:dyDescent="0.2">
      <c r="G21799" s="889"/>
    </row>
    <row r="21800" spans="7:7" ht="10.5" customHeight="1" x14ac:dyDescent="0.2">
      <c r="G21800" s="889"/>
    </row>
    <row r="21801" spans="7:7" ht="10.5" customHeight="1" x14ac:dyDescent="0.2">
      <c r="G21801" s="889"/>
    </row>
    <row r="21802" spans="7:7" ht="10.5" customHeight="1" x14ac:dyDescent="0.2">
      <c r="G21802" s="889"/>
    </row>
    <row r="21803" spans="7:7" ht="10.5" customHeight="1" x14ac:dyDescent="0.2">
      <c r="G21803" s="889"/>
    </row>
    <row r="21804" spans="7:7" ht="10.5" customHeight="1" x14ac:dyDescent="0.2">
      <c r="G21804" s="889"/>
    </row>
    <row r="21805" spans="7:7" ht="10.5" customHeight="1" x14ac:dyDescent="0.2">
      <c r="G21805" s="889"/>
    </row>
    <row r="21806" spans="7:7" ht="10.5" customHeight="1" x14ac:dyDescent="0.2">
      <c r="G21806" s="889"/>
    </row>
    <row r="21807" spans="7:7" ht="10.5" customHeight="1" x14ac:dyDescent="0.2">
      <c r="G21807" s="889"/>
    </row>
    <row r="21808" spans="7:7" ht="10.5" customHeight="1" x14ac:dyDescent="0.2">
      <c r="G21808" s="889"/>
    </row>
    <row r="21809" spans="7:7" ht="10.5" customHeight="1" x14ac:dyDescent="0.2">
      <c r="G21809" s="889"/>
    </row>
    <row r="21810" spans="7:7" ht="10.5" customHeight="1" x14ac:dyDescent="0.2">
      <c r="G21810" s="889"/>
    </row>
    <row r="21811" spans="7:7" ht="10.5" customHeight="1" x14ac:dyDescent="0.2">
      <c r="G21811" s="889"/>
    </row>
    <row r="21812" spans="7:7" ht="10.5" customHeight="1" x14ac:dyDescent="0.2">
      <c r="G21812" s="889"/>
    </row>
    <row r="21813" spans="7:7" ht="10.5" customHeight="1" x14ac:dyDescent="0.2">
      <c r="G21813" s="889"/>
    </row>
    <row r="21814" spans="7:7" ht="10.5" customHeight="1" x14ac:dyDescent="0.2">
      <c r="G21814" s="889"/>
    </row>
    <row r="21815" spans="7:7" ht="10.5" customHeight="1" x14ac:dyDescent="0.2">
      <c r="G21815" s="889"/>
    </row>
    <row r="21816" spans="7:7" ht="10.5" customHeight="1" x14ac:dyDescent="0.2">
      <c r="G21816" s="889"/>
    </row>
    <row r="21817" spans="7:7" ht="10.5" customHeight="1" x14ac:dyDescent="0.2">
      <c r="G21817" s="889"/>
    </row>
    <row r="21818" spans="7:7" ht="10.5" customHeight="1" x14ac:dyDescent="0.2">
      <c r="G21818" s="889"/>
    </row>
    <row r="21819" spans="7:7" ht="10.5" customHeight="1" x14ac:dyDescent="0.2">
      <c r="G21819" s="889"/>
    </row>
    <row r="21820" spans="7:7" ht="10.5" customHeight="1" x14ac:dyDescent="0.2">
      <c r="G21820" s="889"/>
    </row>
    <row r="21821" spans="7:7" ht="10.5" customHeight="1" x14ac:dyDescent="0.2">
      <c r="G21821" s="889"/>
    </row>
    <row r="21822" spans="7:7" ht="10.5" customHeight="1" x14ac:dyDescent="0.2">
      <c r="G21822" s="889"/>
    </row>
    <row r="21823" spans="7:7" ht="10.5" customHeight="1" x14ac:dyDescent="0.2">
      <c r="G21823" s="889"/>
    </row>
    <row r="21824" spans="7:7" ht="10.5" customHeight="1" x14ac:dyDescent="0.2">
      <c r="G21824" s="889"/>
    </row>
    <row r="21825" spans="7:7" ht="10.5" customHeight="1" x14ac:dyDescent="0.2">
      <c r="G21825" s="889"/>
    </row>
    <row r="21826" spans="7:7" ht="10.5" customHeight="1" x14ac:dyDescent="0.2">
      <c r="G21826" s="889"/>
    </row>
    <row r="21827" spans="7:7" ht="10.5" customHeight="1" x14ac:dyDescent="0.2">
      <c r="G21827" s="889"/>
    </row>
    <row r="21828" spans="7:7" ht="10.5" customHeight="1" x14ac:dyDescent="0.2">
      <c r="G21828" s="889"/>
    </row>
    <row r="21829" spans="7:7" ht="10.5" customHeight="1" x14ac:dyDescent="0.2">
      <c r="G21829" s="889"/>
    </row>
    <row r="21830" spans="7:7" ht="10.5" customHeight="1" x14ac:dyDescent="0.2">
      <c r="G21830" s="889"/>
    </row>
    <row r="21831" spans="7:7" ht="10.5" customHeight="1" x14ac:dyDescent="0.2">
      <c r="G21831" s="889"/>
    </row>
    <row r="21832" spans="7:7" ht="10.5" customHeight="1" x14ac:dyDescent="0.2">
      <c r="G21832" s="889"/>
    </row>
    <row r="21833" spans="7:7" ht="10.5" customHeight="1" x14ac:dyDescent="0.2">
      <c r="G21833" s="889"/>
    </row>
    <row r="21834" spans="7:7" ht="10.5" customHeight="1" x14ac:dyDescent="0.2">
      <c r="G21834" s="889"/>
    </row>
    <row r="21835" spans="7:7" ht="10.5" customHeight="1" x14ac:dyDescent="0.2">
      <c r="G21835" s="889"/>
    </row>
    <row r="21836" spans="7:7" ht="10.5" customHeight="1" x14ac:dyDescent="0.2">
      <c r="G21836" s="889"/>
    </row>
    <row r="21837" spans="7:7" ht="10.5" customHeight="1" x14ac:dyDescent="0.2">
      <c r="G21837" s="889"/>
    </row>
    <row r="21838" spans="7:7" ht="10.5" customHeight="1" x14ac:dyDescent="0.2">
      <c r="G21838" s="889"/>
    </row>
    <row r="21839" spans="7:7" ht="10.5" customHeight="1" x14ac:dyDescent="0.2">
      <c r="G21839" s="889"/>
    </row>
    <row r="21840" spans="7:7" ht="10.5" customHeight="1" x14ac:dyDescent="0.2">
      <c r="G21840" s="889"/>
    </row>
    <row r="21841" spans="7:7" ht="10.5" customHeight="1" x14ac:dyDescent="0.2">
      <c r="G21841" s="889"/>
    </row>
    <row r="21842" spans="7:7" ht="10.5" customHeight="1" x14ac:dyDescent="0.2">
      <c r="G21842" s="889"/>
    </row>
    <row r="21843" spans="7:7" ht="10.5" customHeight="1" x14ac:dyDescent="0.2">
      <c r="G21843" s="889"/>
    </row>
    <row r="21844" spans="7:7" ht="10.5" customHeight="1" x14ac:dyDescent="0.2">
      <c r="G21844" s="889"/>
    </row>
    <row r="21845" spans="7:7" ht="10.5" customHeight="1" x14ac:dyDescent="0.2">
      <c r="G21845" s="889"/>
    </row>
    <row r="21846" spans="7:7" ht="10.5" customHeight="1" x14ac:dyDescent="0.2">
      <c r="G21846" s="889"/>
    </row>
    <row r="21847" spans="7:7" ht="10.5" customHeight="1" x14ac:dyDescent="0.2">
      <c r="G21847" s="889"/>
    </row>
    <row r="21848" spans="7:7" ht="10.5" customHeight="1" x14ac:dyDescent="0.2">
      <c r="G21848" s="889"/>
    </row>
    <row r="21849" spans="7:7" ht="10.5" customHeight="1" x14ac:dyDescent="0.2">
      <c r="G21849" s="889"/>
    </row>
    <row r="21850" spans="7:7" ht="10.5" customHeight="1" x14ac:dyDescent="0.2">
      <c r="G21850" s="889"/>
    </row>
    <row r="21851" spans="7:7" ht="10.5" customHeight="1" x14ac:dyDescent="0.2">
      <c r="G21851" s="889"/>
    </row>
    <row r="21852" spans="7:7" ht="10.5" customHeight="1" x14ac:dyDescent="0.2">
      <c r="G21852" s="889"/>
    </row>
    <row r="21853" spans="7:7" ht="10.5" customHeight="1" x14ac:dyDescent="0.2">
      <c r="G21853" s="889"/>
    </row>
    <row r="21854" spans="7:7" ht="10.5" customHeight="1" x14ac:dyDescent="0.2">
      <c r="G21854" s="889"/>
    </row>
    <row r="21855" spans="7:7" ht="10.5" customHeight="1" x14ac:dyDescent="0.2">
      <c r="G21855" s="889"/>
    </row>
    <row r="21856" spans="7:7" ht="10.5" customHeight="1" x14ac:dyDescent="0.2">
      <c r="G21856" s="889"/>
    </row>
    <row r="21857" spans="7:7" ht="10.5" customHeight="1" x14ac:dyDescent="0.2">
      <c r="G21857" s="889"/>
    </row>
    <row r="21858" spans="7:7" ht="10.5" customHeight="1" x14ac:dyDescent="0.2">
      <c r="G21858" s="889"/>
    </row>
    <row r="21859" spans="7:7" ht="10.5" customHeight="1" x14ac:dyDescent="0.2">
      <c r="G21859" s="889"/>
    </row>
    <row r="21860" spans="7:7" ht="10.5" customHeight="1" x14ac:dyDescent="0.2">
      <c r="G21860" s="889"/>
    </row>
    <row r="21861" spans="7:7" ht="10.5" customHeight="1" x14ac:dyDescent="0.2">
      <c r="G21861" s="889"/>
    </row>
    <row r="21862" spans="7:7" ht="10.5" customHeight="1" x14ac:dyDescent="0.2">
      <c r="G21862" s="889"/>
    </row>
    <row r="21863" spans="7:7" ht="10.5" customHeight="1" x14ac:dyDescent="0.2">
      <c r="G21863" s="889"/>
    </row>
    <row r="21864" spans="7:7" ht="10.5" customHeight="1" x14ac:dyDescent="0.2">
      <c r="G21864" s="889"/>
    </row>
    <row r="21865" spans="7:7" ht="10.5" customHeight="1" x14ac:dyDescent="0.2">
      <c r="G21865" s="889"/>
    </row>
    <row r="21866" spans="7:7" ht="10.5" customHeight="1" x14ac:dyDescent="0.2">
      <c r="G21866" s="889"/>
    </row>
    <row r="21867" spans="7:7" ht="10.5" customHeight="1" x14ac:dyDescent="0.2">
      <c r="G21867" s="889"/>
    </row>
    <row r="21868" spans="7:7" ht="10.5" customHeight="1" x14ac:dyDescent="0.2">
      <c r="G21868" s="889"/>
    </row>
    <row r="21869" spans="7:7" ht="10.5" customHeight="1" x14ac:dyDescent="0.2">
      <c r="G21869" s="889"/>
    </row>
    <row r="21870" spans="7:7" ht="10.5" customHeight="1" x14ac:dyDescent="0.2">
      <c r="G21870" s="889"/>
    </row>
    <row r="21871" spans="7:7" ht="10.5" customHeight="1" x14ac:dyDescent="0.2">
      <c r="G21871" s="889"/>
    </row>
    <row r="21872" spans="7:7" ht="10.5" customHeight="1" x14ac:dyDescent="0.2">
      <c r="G21872" s="889"/>
    </row>
    <row r="21873" spans="7:7" ht="10.5" customHeight="1" x14ac:dyDescent="0.2">
      <c r="G21873" s="889"/>
    </row>
    <row r="21874" spans="7:7" ht="10.5" customHeight="1" x14ac:dyDescent="0.2">
      <c r="G21874" s="889"/>
    </row>
    <row r="21875" spans="7:7" ht="10.5" customHeight="1" x14ac:dyDescent="0.2">
      <c r="G21875" s="889"/>
    </row>
    <row r="21876" spans="7:7" ht="10.5" customHeight="1" x14ac:dyDescent="0.2">
      <c r="G21876" s="889"/>
    </row>
    <row r="21877" spans="7:7" ht="10.5" customHeight="1" x14ac:dyDescent="0.2">
      <c r="G21877" s="889"/>
    </row>
    <row r="21878" spans="7:7" ht="10.5" customHeight="1" x14ac:dyDescent="0.2">
      <c r="G21878" s="889"/>
    </row>
    <row r="21879" spans="7:7" ht="10.5" customHeight="1" x14ac:dyDescent="0.2">
      <c r="G21879" s="889"/>
    </row>
    <row r="21880" spans="7:7" ht="10.5" customHeight="1" x14ac:dyDescent="0.2">
      <c r="G21880" s="889"/>
    </row>
    <row r="21881" spans="7:7" ht="10.5" customHeight="1" x14ac:dyDescent="0.2">
      <c r="G21881" s="889"/>
    </row>
    <row r="21882" spans="7:7" ht="10.5" customHeight="1" x14ac:dyDescent="0.2">
      <c r="G21882" s="889"/>
    </row>
    <row r="21883" spans="7:7" ht="10.5" customHeight="1" x14ac:dyDescent="0.2">
      <c r="G21883" s="889"/>
    </row>
    <row r="21884" spans="7:7" ht="10.5" customHeight="1" x14ac:dyDescent="0.2">
      <c r="G21884" s="889"/>
    </row>
    <row r="21885" spans="7:7" ht="10.5" customHeight="1" x14ac:dyDescent="0.2">
      <c r="G21885" s="889"/>
    </row>
    <row r="21886" spans="7:7" ht="10.5" customHeight="1" x14ac:dyDescent="0.2">
      <c r="G21886" s="889"/>
    </row>
    <row r="21887" spans="7:7" ht="10.5" customHeight="1" x14ac:dyDescent="0.2">
      <c r="G21887" s="889"/>
    </row>
    <row r="21888" spans="7:7" ht="10.5" customHeight="1" x14ac:dyDescent="0.2">
      <c r="G21888" s="889"/>
    </row>
    <row r="21889" spans="7:7" ht="10.5" customHeight="1" x14ac:dyDescent="0.2">
      <c r="G21889" s="889"/>
    </row>
    <row r="21890" spans="7:7" ht="10.5" customHeight="1" x14ac:dyDescent="0.2">
      <c r="G21890" s="889"/>
    </row>
    <row r="21891" spans="7:7" ht="10.5" customHeight="1" x14ac:dyDescent="0.2">
      <c r="G21891" s="889"/>
    </row>
    <row r="21892" spans="7:7" ht="10.5" customHeight="1" x14ac:dyDescent="0.2">
      <c r="G21892" s="889"/>
    </row>
    <row r="21893" spans="7:7" ht="10.5" customHeight="1" x14ac:dyDescent="0.2">
      <c r="G21893" s="889"/>
    </row>
    <row r="21894" spans="7:7" ht="10.5" customHeight="1" x14ac:dyDescent="0.2">
      <c r="G21894" s="889"/>
    </row>
    <row r="21895" spans="7:7" ht="10.5" customHeight="1" x14ac:dyDescent="0.2">
      <c r="G21895" s="889"/>
    </row>
    <row r="21896" spans="7:7" ht="10.5" customHeight="1" x14ac:dyDescent="0.2">
      <c r="G21896" s="889"/>
    </row>
    <row r="21897" spans="7:7" ht="10.5" customHeight="1" x14ac:dyDescent="0.2">
      <c r="G21897" s="889"/>
    </row>
    <row r="21898" spans="7:7" ht="10.5" customHeight="1" x14ac:dyDescent="0.2">
      <c r="G21898" s="889"/>
    </row>
    <row r="21899" spans="7:7" ht="10.5" customHeight="1" x14ac:dyDescent="0.2">
      <c r="G21899" s="889"/>
    </row>
    <row r="21900" spans="7:7" ht="10.5" customHeight="1" x14ac:dyDescent="0.2">
      <c r="G21900" s="889"/>
    </row>
    <row r="21901" spans="7:7" ht="10.5" customHeight="1" x14ac:dyDescent="0.2">
      <c r="G21901" s="889"/>
    </row>
    <row r="21902" spans="7:7" ht="10.5" customHeight="1" x14ac:dyDescent="0.2">
      <c r="G21902" s="889"/>
    </row>
    <row r="21903" spans="7:7" ht="10.5" customHeight="1" x14ac:dyDescent="0.2">
      <c r="G21903" s="889"/>
    </row>
    <row r="21904" spans="7:7" ht="10.5" customHeight="1" x14ac:dyDescent="0.2">
      <c r="G21904" s="889"/>
    </row>
    <row r="21905" spans="7:7" ht="10.5" customHeight="1" x14ac:dyDescent="0.2">
      <c r="G21905" s="889"/>
    </row>
    <row r="21906" spans="7:7" ht="10.5" customHeight="1" x14ac:dyDescent="0.2">
      <c r="G21906" s="889"/>
    </row>
    <row r="21907" spans="7:7" ht="10.5" customHeight="1" x14ac:dyDescent="0.2">
      <c r="G21907" s="889"/>
    </row>
    <row r="21908" spans="7:7" ht="10.5" customHeight="1" x14ac:dyDescent="0.2">
      <c r="G21908" s="889"/>
    </row>
    <row r="21909" spans="7:7" ht="10.5" customHeight="1" x14ac:dyDescent="0.2">
      <c r="G21909" s="889"/>
    </row>
    <row r="21910" spans="7:7" ht="10.5" customHeight="1" x14ac:dyDescent="0.2">
      <c r="G21910" s="889"/>
    </row>
    <row r="21911" spans="7:7" ht="10.5" customHeight="1" x14ac:dyDescent="0.2">
      <c r="G21911" s="889"/>
    </row>
    <row r="21912" spans="7:7" ht="10.5" customHeight="1" x14ac:dyDescent="0.2">
      <c r="G21912" s="889"/>
    </row>
    <row r="21913" spans="7:7" ht="10.5" customHeight="1" x14ac:dyDescent="0.2">
      <c r="G21913" s="889"/>
    </row>
    <row r="21914" spans="7:7" ht="10.5" customHeight="1" x14ac:dyDescent="0.2">
      <c r="G21914" s="889"/>
    </row>
    <row r="21915" spans="7:7" ht="10.5" customHeight="1" x14ac:dyDescent="0.2">
      <c r="G21915" s="889"/>
    </row>
    <row r="21916" spans="7:7" ht="10.5" customHeight="1" x14ac:dyDescent="0.2">
      <c r="G21916" s="889"/>
    </row>
    <row r="21917" spans="7:7" ht="10.5" customHeight="1" x14ac:dyDescent="0.2">
      <c r="G21917" s="889"/>
    </row>
    <row r="21918" spans="7:7" ht="10.5" customHeight="1" x14ac:dyDescent="0.2">
      <c r="G21918" s="889"/>
    </row>
    <row r="21919" spans="7:7" ht="10.5" customHeight="1" x14ac:dyDescent="0.2">
      <c r="G21919" s="889"/>
    </row>
    <row r="21920" spans="7:7" ht="10.5" customHeight="1" x14ac:dyDescent="0.2">
      <c r="G21920" s="889"/>
    </row>
    <row r="21921" spans="7:7" ht="10.5" customHeight="1" x14ac:dyDescent="0.2">
      <c r="G21921" s="889"/>
    </row>
    <row r="21922" spans="7:7" ht="10.5" customHeight="1" x14ac:dyDescent="0.2">
      <c r="G21922" s="889"/>
    </row>
    <row r="21923" spans="7:7" ht="10.5" customHeight="1" x14ac:dyDescent="0.2">
      <c r="G21923" s="889"/>
    </row>
    <row r="21924" spans="7:7" ht="10.5" customHeight="1" x14ac:dyDescent="0.2">
      <c r="G21924" s="889"/>
    </row>
    <row r="21925" spans="7:7" ht="10.5" customHeight="1" x14ac:dyDescent="0.2">
      <c r="G21925" s="889"/>
    </row>
    <row r="21926" spans="7:7" ht="10.5" customHeight="1" x14ac:dyDescent="0.2">
      <c r="G21926" s="889"/>
    </row>
    <row r="21927" spans="7:7" ht="10.5" customHeight="1" x14ac:dyDescent="0.2">
      <c r="G21927" s="889"/>
    </row>
    <row r="21928" spans="7:7" ht="10.5" customHeight="1" x14ac:dyDescent="0.2">
      <c r="G21928" s="889"/>
    </row>
    <row r="21929" spans="7:7" ht="10.5" customHeight="1" x14ac:dyDescent="0.2">
      <c r="G21929" s="889"/>
    </row>
    <row r="21930" spans="7:7" ht="10.5" customHeight="1" x14ac:dyDescent="0.2">
      <c r="G21930" s="889"/>
    </row>
    <row r="21931" spans="7:7" ht="10.5" customHeight="1" x14ac:dyDescent="0.2">
      <c r="G21931" s="889"/>
    </row>
    <row r="21932" spans="7:7" ht="10.5" customHeight="1" x14ac:dyDescent="0.2">
      <c r="G21932" s="889"/>
    </row>
    <row r="21933" spans="7:7" ht="10.5" customHeight="1" x14ac:dyDescent="0.2">
      <c r="G21933" s="889"/>
    </row>
    <row r="21934" spans="7:7" ht="10.5" customHeight="1" x14ac:dyDescent="0.2">
      <c r="G21934" s="889"/>
    </row>
    <row r="21935" spans="7:7" ht="10.5" customHeight="1" x14ac:dyDescent="0.2">
      <c r="G21935" s="889"/>
    </row>
    <row r="21936" spans="7:7" ht="10.5" customHeight="1" x14ac:dyDescent="0.2">
      <c r="G21936" s="889"/>
    </row>
    <row r="21937" spans="7:7" ht="10.5" customHeight="1" x14ac:dyDescent="0.2">
      <c r="G21937" s="889"/>
    </row>
    <row r="21938" spans="7:7" ht="10.5" customHeight="1" x14ac:dyDescent="0.2">
      <c r="G21938" s="889"/>
    </row>
    <row r="21939" spans="7:7" ht="10.5" customHeight="1" x14ac:dyDescent="0.2">
      <c r="G21939" s="889"/>
    </row>
    <row r="21940" spans="7:7" ht="10.5" customHeight="1" x14ac:dyDescent="0.2">
      <c r="G21940" s="889"/>
    </row>
    <row r="21941" spans="7:7" ht="10.5" customHeight="1" x14ac:dyDescent="0.2">
      <c r="G21941" s="889"/>
    </row>
    <row r="21942" spans="7:7" ht="10.5" customHeight="1" x14ac:dyDescent="0.2">
      <c r="G21942" s="889"/>
    </row>
    <row r="21943" spans="7:7" ht="10.5" customHeight="1" x14ac:dyDescent="0.2">
      <c r="G21943" s="889"/>
    </row>
    <row r="21944" spans="7:7" ht="10.5" customHeight="1" x14ac:dyDescent="0.2">
      <c r="G21944" s="889"/>
    </row>
    <row r="21945" spans="7:7" ht="10.5" customHeight="1" x14ac:dyDescent="0.2">
      <c r="G21945" s="889"/>
    </row>
    <row r="21946" spans="7:7" ht="10.5" customHeight="1" x14ac:dyDescent="0.2">
      <c r="G21946" s="889"/>
    </row>
    <row r="21947" spans="7:7" ht="10.5" customHeight="1" x14ac:dyDescent="0.2">
      <c r="G21947" s="889"/>
    </row>
    <row r="21948" spans="7:7" ht="10.5" customHeight="1" x14ac:dyDescent="0.2">
      <c r="G21948" s="889"/>
    </row>
    <row r="21949" spans="7:7" ht="10.5" customHeight="1" x14ac:dyDescent="0.2">
      <c r="G21949" s="889"/>
    </row>
    <row r="21950" spans="7:7" ht="10.5" customHeight="1" x14ac:dyDescent="0.2">
      <c r="G21950" s="889"/>
    </row>
    <row r="21951" spans="7:7" ht="10.5" customHeight="1" x14ac:dyDescent="0.2">
      <c r="G21951" s="889"/>
    </row>
    <row r="21952" spans="7:7" ht="10.5" customHeight="1" x14ac:dyDescent="0.2">
      <c r="G21952" s="889"/>
    </row>
    <row r="21953" spans="7:7" ht="10.5" customHeight="1" x14ac:dyDescent="0.2">
      <c r="G21953" s="889"/>
    </row>
    <row r="21954" spans="7:7" ht="10.5" customHeight="1" x14ac:dyDescent="0.2">
      <c r="G21954" s="889"/>
    </row>
    <row r="21955" spans="7:7" ht="10.5" customHeight="1" x14ac:dyDescent="0.2">
      <c r="G21955" s="889"/>
    </row>
    <row r="21956" spans="7:7" ht="10.5" customHeight="1" x14ac:dyDescent="0.2">
      <c r="G21956" s="889"/>
    </row>
    <row r="21957" spans="7:7" ht="10.5" customHeight="1" x14ac:dyDescent="0.2">
      <c r="G21957" s="889"/>
    </row>
    <row r="21958" spans="7:7" ht="10.5" customHeight="1" x14ac:dyDescent="0.2">
      <c r="G21958" s="889"/>
    </row>
    <row r="21959" spans="7:7" ht="10.5" customHeight="1" x14ac:dyDescent="0.2">
      <c r="G21959" s="889"/>
    </row>
    <row r="21960" spans="7:7" ht="10.5" customHeight="1" x14ac:dyDescent="0.2">
      <c r="G21960" s="889"/>
    </row>
    <row r="21961" spans="7:7" ht="10.5" customHeight="1" x14ac:dyDescent="0.2">
      <c r="G21961" s="889"/>
    </row>
    <row r="21962" spans="7:7" ht="10.5" customHeight="1" x14ac:dyDescent="0.2">
      <c r="G21962" s="889"/>
    </row>
    <row r="21963" spans="7:7" ht="10.5" customHeight="1" x14ac:dyDescent="0.2">
      <c r="G21963" s="889"/>
    </row>
    <row r="21964" spans="7:7" ht="10.5" customHeight="1" x14ac:dyDescent="0.2">
      <c r="G21964" s="889"/>
    </row>
    <row r="21965" spans="7:7" ht="10.5" customHeight="1" x14ac:dyDescent="0.2">
      <c r="G21965" s="889"/>
    </row>
    <row r="21966" spans="7:7" ht="10.5" customHeight="1" x14ac:dyDescent="0.2">
      <c r="G21966" s="889"/>
    </row>
    <row r="21967" spans="7:7" ht="10.5" customHeight="1" x14ac:dyDescent="0.2">
      <c r="G21967" s="889"/>
    </row>
    <row r="21968" spans="7:7" ht="10.5" customHeight="1" x14ac:dyDescent="0.2">
      <c r="G21968" s="889"/>
    </row>
    <row r="21969" spans="7:7" ht="10.5" customHeight="1" x14ac:dyDescent="0.2">
      <c r="G21969" s="889"/>
    </row>
    <row r="21970" spans="7:7" ht="10.5" customHeight="1" x14ac:dyDescent="0.2">
      <c r="G21970" s="889"/>
    </row>
    <row r="21971" spans="7:7" ht="10.5" customHeight="1" x14ac:dyDescent="0.2">
      <c r="G21971" s="889"/>
    </row>
    <row r="21972" spans="7:7" ht="10.5" customHeight="1" x14ac:dyDescent="0.2">
      <c r="G21972" s="889"/>
    </row>
    <row r="21973" spans="7:7" ht="10.5" customHeight="1" x14ac:dyDescent="0.2">
      <c r="G21973" s="889"/>
    </row>
    <row r="21974" spans="7:7" ht="10.5" customHeight="1" x14ac:dyDescent="0.2">
      <c r="G21974" s="889"/>
    </row>
    <row r="21975" spans="7:7" ht="10.5" customHeight="1" x14ac:dyDescent="0.2">
      <c r="G21975" s="889"/>
    </row>
    <row r="21976" spans="7:7" ht="10.5" customHeight="1" x14ac:dyDescent="0.2">
      <c r="G21976" s="889"/>
    </row>
    <row r="21977" spans="7:7" ht="10.5" customHeight="1" x14ac:dyDescent="0.2">
      <c r="G21977" s="889"/>
    </row>
    <row r="21978" spans="7:7" ht="10.5" customHeight="1" x14ac:dyDescent="0.2">
      <c r="G21978" s="889"/>
    </row>
    <row r="21979" spans="7:7" ht="10.5" customHeight="1" x14ac:dyDescent="0.2">
      <c r="G21979" s="889"/>
    </row>
    <row r="21980" spans="7:7" ht="10.5" customHeight="1" x14ac:dyDescent="0.2">
      <c r="G21980" s="889"/>
    </row>
    <row r="21981" spans="7:7" ht="10.5" customHeight="1" x14ac:dyDescent="0.2">
      <c r="G21981" s="889"/>
    </row>
    <row r="21982" spans="7:7" ht="10.5" customHeight="1" x14ac:dyDescent="0.2">
      <c r="G21982" s="889"/>
    </row>
    <row r="21983" spans="7:7" ht="10.5" customHeight="1" x14ac:dyDescent="0.2">
      <c r="G21983" s="889"/>
    </row>
    <row r="21984" spans="7:7" ht="10.5" customHeight="1" x14ac:dyDescent="0.2">
      <c r="G21984" s="889"/>
    </row>
    <row r="21985" spans="7:7" ht="10.5" customHeight="1" x14ac:dyDescent="0.2">
      <c r="G21985" s="889"/>
    </row>
    <row r="21986" spans="7:7" ht="10.5" customHeight="1" x14ac:dyDescent="0.2">
      <c r="G21986" s="889"/>
    </row>
    <row r="21987" spans="7:7" ht="10.5" customHeight="1" x14ac:dyDescent="0.2">
      <c r="G21987" s="889"/>
    </row>
    <row r="21988" spans="7:7" ht="10.5" customHeight="1" x14ac:dyDescent="0.2">
      <c r="G21988" s="889"/>
    </row>
    <row r="21989" spans="7:7" ht="10.5" customHeight="1" x14ac:dyDescent="0.2">
      <c r="G21989" s="889"/>
    </row>
    <row r="21990" spans="7:7" ht="10.5" customHeight="1" x14ac:dyDescent="0.2">
      <c r="G21990" s="889"/>
    </row>
    <row r="21991" spans="7:7" ht="10.5" customHeight="1" x14ac:dyDescent="0.2">
      <c r="G21991" s="889"/>
    </row>
    <row r="21992" spans="7:7" ht="10.5" customHeight="1" x14ac:dyDescent="0.2">
      <c r="G21992" s="889"/>
    </row>
    <row r="21993" spans="7:7" ht="10.5" customHeight="1" x14ac:dyDescent="0.2">
      <c r="G21993" s="889"/>
    </row>
    <row r="21994" spans="7:7" ht="10.5" customHeight="1" x14ac:dyDescent="0.2">
      <c r="G21994" s="889"/>
    </row>
    <row r="21995" spans="7:7" ht="10.5" customHeight="1" x14ac:dyDescent="0.2">
      <c r="G21995" s="889"/>
    </row>
    <row r="21996" spans="7:7" ht="10.5" customHeight="1" x14ac:dyDescent="0.2">
      <c r="G21996" s="889"/>
    </row>
    <row r="21997" spans="7:7" ht="10.5" customHeight="1" x14ac:dyDescent="0.2">
      <c r="G21997" s="889"/>
    </row>
    <row r="21998" spans="7:7" ht="10.5" customHeight="1" x14ac:dyDescent="0.2">
      <c r="G21998" s="889"/>
    </row>
    <row r="21999" spans="7:7" ht="10.5" customHeight="1" x14ac:dyDescent="0.2">
      <c r="G21999" s="889"/>
    </row>
    <row r="22000" spans="7:7" ht="10.5" customHeight="1" x14ac:dyDescent="0.2">
      <c r="G22000" s="889"/>
    </row>
    <row r="22001" spans="7:7" ht="10.5" customHeight="1" x14ac:dyDescent="0.2">
      <c r="G22001" s="889"/>
    </row>
    <row r="22002" spans="7:7" ht="10.5" customHeight="1" x14ac:dyDescent="0.2">
      <c r="G22002" s="889"/>
    </row>
    <row r="22003" spans="7:7" ht="10.5" customHeight="1" x14ac:dyDescent="0.2">
      <c r="G22003" s="889"/>
    </row>
    <row r="22004" spans="7:7" ht="10.5" customHeight="1" x14ac:dyDescent="0.2">
      <c r="G22004" s="889"/>
    </row>
    <row r="22005" spans="7:7" ht="10.5" customHeight="1" x14ac:dyDescent="0.2">
      <c r="G22005" s="889"/>
    </row>
    <row r="22006" spans="7:7" ht="10.5" customHeight="1" x14ac:dyDescent="0.2">
      <c r="G22006" s="889"/>
    </row>
    <row r="22007" spans="7:7" ht="10.5" customHeight="1" x14ac:dyDescent="0.2">
      <c r="G22007" s="889"/>
    </row>
    <row r="22008" spans="7:7" ht="10.5" customHeight="1" x14ac:dyDescent="0.2">
      <c r="G22008" s="889"/>
    </row>
    <row r="22009" spans="7:7" ht="10.5" customHeight="1" x14ac:dyDescent="0.2">
      <c r="G22009" s="889"/>
    </row>
    <row r="22010" spans="7:7" ht="10.5" customHeight="1" x14ac:dyDescent="0.2">
      <c r="G22010" s="889"/>
    </row>
    <row r="22011" spans="7:7" ht="10.5" customHeight="1" x14ac:dyDescent="0.2">
      <c r="G22011" s="889"/>
    </row>
    <row r="22012" spans="7:7" ht="10.5" customHeight="1" x14ac:dyDescent="0.2">
      <c r="G22012" s="889"/>
    </row>
    <row r="22013" spans="7:7" ht="10.5" customHeight="1" x14ac:dyDescent="0.2">
      <c r="G22013" s="889"/>
    </row>
    <row r="22014" spans="7:7" ht="10.5" customHeight="1" x14ac:dyDescent="0.2">
      <c r="G22014" s="889"/>
    </row>
    <row r="22015" spans="7:7" ht="10.5" customHeight="1" x14ac:dyDescent="0.2">
      <c r="G22015" s="889"/>
    </row>
    <row r="22016" spans="7:7" ht="10.5" customHeight="1" x14ac:dyDescent="0.2">
      <c r="G22016" s="889"/>
    </row>
    <row r="22017" spans="7:7" ht="10.5" customHeight="1" x14ac:dyDescent="0.2">
      <c r="G22017" s="889"/>
    </row>
    <row r="22018" spans="7:7" ht="10.5" customHeight="1" x14ac:dyDescent="0.2">
      <c r="G22018" s="889"/>
    </row>
    <row r="22019" spans="7:7" ht="10.5" customHeight="1" x14ac:dyDescent="0.2">
      <c r="G22019" s="889"/>
    </row>
    <row r="22020" spans="7:7" ht="10.5" customHeight="1" x14ac:dyDescent="0.2">
      <c r="G22020" s="889"/>
    </row>
    <row r="22021" spans="7:7" ht="10.5" customHeight="1" x14ac:dyDescent="0.2">
      <c r="G22021" s="889"/>
    </row>
    <row r="22022" spans="7:7" ht="10.5" customHeight="1" x14ac:dyDescent="0.2">
      <c r="G22022" s="889"/>
    </row>
    <row r="22023" spans="7:7" ht="10.5" customHeight="1" x14ac:dyDescent="0.2">
      <c r="G22023" s="889"/>
    </row>
    <row r="22024" spans="7:7" ht="10.5" customHeight="1" x14ac:dyDescent="0.2">
      <c r="G22024" s="889"/>
    </row>
    <row r="22025" spans="7:7" ht="10.5" customHeight="1" x14ac:dyDescent="0.2">
      <c r="G22025" s="889"/>
    </row>
    <row r="22026" spans="7:7" ht="10.5" customHeight="1" x14ac:dyDescent="0.2">
      <c r="G22026" s="889"/>
    </row>
    <row r="22027" spans="7:7" ht="10.5" customHeight="1" x14ac:dyDescent="0.2">
      <c r="G22027" s="889"/>
    </row>
    <row r="22028" spans="7:7" ht="10.5" customHeight="1" x14ac:dyDescent="0.2">
      <c r="G22028" s="889"/>
    </row>
    <row r="22029" spans="7:7" ht="10.5" customHeight="1" x14ac:dyDescent="0.2">
      <c r="G22029" s="889"/>
    </row>
    <row r="22030" spans="7:7" ht="10.5" customHeight="1" x14ac:dyDescent="0.2">
      <c r="G22030" s="889"/>
    </row>
    <row r="22031" spans="7:7" ht="10.5" customHeight="1" x14ac:dyDescent="0.2">
      <c r="G22031" s="889"/>
    </row>
    <row r="22032" spans="7:7" ht="10.5" customHeight="1" x14ac:dyDescent="0.2">
      <c r="G22032" s="889"/>
    </row>
    <row r="22033" spans="7:7" ht="10.5" customHeight="1" x14ac:dyDescent="0.2">
      <c r="G22033" s="889"/>
    </row>
    <row r="22034" spans="7:7" ht="10.5" customHeight="1" x14ac:dyDescent="0.2">
      <c r="G22034" s="889"/>
    </row>
    <row r="22035" spans="7:7" ht="10.5" customHeight="1" x14ac:dyDescent="0.2">
      <c r="G22035" s="889"/>
    </row>
    <row r="22036" spans="7:7" ht="10.5" customHeight="1" x14ac:dyDescent="0.2">
      <c r="G22036" s="889"/>
    </row>
    <row r="22037" spans="7:7" ht="10.5" customHeight="1" x14ac:dyDescent="0.2">
      <c r="G22037" s="889"/>
    </row>
    <row r="22038" spans="7:7" ht="10.5" customHeight="1" x14ac:dyDescent="0.2">
      <c r="G22038" s="889"/>
    </row>
    <row r="22039" spans="7:7" ht="10.5" customHeight="1" x14ac:dyDescent="0.2">
      <c r="G22039" s="889"/>
    </row>
    <row r="22040" spans="7:7" ht="10.5" customHeight="1" x14ac:dyDescent="0.2">
      <c r="G22040" s="889"/>
    </row>
    <row r="22041" spans="7:7" ht="10.5" customHeight="1" x14ac:dyDescent="0.2">
      <c r="G22041" s="889"/>
    </row>
    <row r="22042" spans="7:7" ht="10.5" customHeight="1" x14ac:dyDescent="0.2">
      <c r="G22042" s="889"/>
    </row>
    <row r="22043" spans="7:7" ht="10.5" customHeight="1" x14ac:dyDescent="0.2">
      <c r="G22043" s="889"/>
    </row>
    <row r="22044" spans="7:7" ht="10.5" customHeight="1" x14ac:dyDescent="0.2">
      <c r="G22044" s="889"/>
    </row>
    <row r="22045" spans="7:7" ht="10.5" customHeight="1" x14ac:dyDescent="0.2">
      <c r="G22045" s="889"/>
    </row>
    <row r="22046" spans="7:7" ht="10.5" customHeight="1" x14ac:dyDescent="0.2">
      <c r="G22046" s="889"/>
    </row>
    <row r="22047" spans="7:7" ht="10.5" customHeight="1" x14ac:dyDescent="0.2">
      <c r="G22047" s="889"/>
    </row>
    <row r="22048" spans="7:7" ht="10.5" customHeight="1" x14ac:dyDescent="0.2">
      <c r="G22048" s="889"/>
    </row>
    <row r="22049" spans="7:7" ht="10.5" customHeight="1" x14ac:dyDescent="0.2">
      <c r="G22049" s="889"/>
    </row>
    <row r="22050" spans="7:7" ht="10.5" customHeight="1" x14ac:dyDescent="0.2">
      <c r="G22050" s="889"/>
    </row>
    <row r="22051" spans="7:7" ht="10.5" customHeight="1" x14ac:dyDescent="0.2">
      <c r="G22051" s="889"/>
    </row>
    <row r="22052" spans="7:7" ht="10.5" customHeight="1" x14ac:dyDescent="0.2">
      <c r="G22052" s="889"/>
    </row>
    <row r="22053" spans="7:7" ht="10.5" customHeight="1" x14ac:dyDescent="0.2">
      <c r="G22053" s="889"/>
    </row>
    <row r="22054" spans="7:7" ht="10.5" customHeight="1" x14ac:dyDescent="0.2">
      <c r="G22054" s="889"/>
    </row>
    <row r="22055" spans="7:7" ht="10.5" customHeight="1" x14ac:dyDescent="0.2">
      <c r="G22055" s="889"/>
    </row>
    <row r="22056" spans="7:7" ht="10.5" customHeight="1" x14ac:dyDescent="0.2">
      <c r="G22056" s="889"/>
    </row>
    <row r="22057" spans="7:7" ht="10.5" customHeight="1" x14ac:dyDescent="0.2">
      <c r="G22057" s="889"/>
    </row>
    <row r="22058" spans="7:7" ht="10.5" customHeight="1" x14ac:dyDescent="0.2">
      <c r="G22058" s="889"/>
    </row>
    <row r="22059" spans="7:7" ht="10.5" customHeight="1" x14ac:dyDescent="0.2">
      <c r="G22059" s="889"/>
    </row>
    <row r="22060" spans="7:7" ht="10.5" customHeight="1" x14ac:dyDescent="0.2">
      <c r="G22060" s="889"/>
    </row>
    <row r="22061" spans="7:7" ht="10.5" customHeight="1" x14ac:dyDescent="0.2">
      <c r="G22061" s="889"/>
    </row>
    <row r="22062" spans="7:7" ht="10.5" customHeight="1" x14ac:dyDescent="0.2">
      <c r="G22062" s="889"/>
    </row>
    <row r="22063" spans="7:7" ht="10.5" customHeight="1" x14ac:dyDescent="0.2">
      <c r="G22063" s="889"/>
    </row>
    <row r="22064" spans="7:7" ht="10.5" customHeight="1" x14ac:dyDescent="0.2">
      <c r="G22064" s="889"/>
    </row>
    <row r="22065" spans="7:7" ht="10.5" customHeight="1" x14ac:dyDescent="0.2">
      <c r="G22065" s="889"/>
    </row>
    <row r="22066" spans="7:7" ht="10.5" customHeight="1" x14ac:dyDescent="0.2">
      <c r="G22066" s="889"/>
    </row>
    <row r="22067" spans="7:7" ht="10.5" customHeight="1" x14ac:dyDescent="0.2">
      <c r="G22067" s="889"/>
    </row>
    <row r="22068" spans="7:7" ht="10.5" customHeight="1" x14ac:dyDescent="0.2">
      <c r="G22068" s="889"/>
    </row>
    <row r="22069" spans="7:7" ht="10.5" customHeight="1" x14ac:dyDescent="0.2">
      <c r="G22069" s="889"/>
    </row>
    <row r="22070" spans="7:7" ht="10.5" customHeight="1" x14ac:dyDescent="0.2">
      <c r="G22070" s="889"/>
    </row>
    <row r="22071" spans="7:7" ht="10.5" customHeight="1" x14ac:dyDescent="0.2">
      <c r="G22071" s="889"/>
    </row>
    <row r="22072" spans="7:7" ht="10.5" customHeight="1" x14ac:dyDescent="0.2">
      <c r="G22072" s="889"/>
    </row>
    <row r="22073" spans="7:7" ht="10.5" customHeight="1" x14ac:dyDescent="0.2">
      <c r="G22073" s="889"/>
    </row>
    <row r="22074" spans="7:7" ht="10.5" customHeight="1" x14ac:dyDescent="0.2">
      <c r="G22074" s="889"/>
    </row>
    <row r="22075" spans="7:7" ht="10.5" customHeight="1" x14ac:dyDescent="0.2">
      <c r="G22075" s="889"/>
    </row>
    <row r="22076" spans="7:7" ht="10.5" customHeight="1" x14ac:dyDescent="0.2">
      <c r="G22076" s="889"/>
    </row>
    <row r="22077" spans="7:7" ht="10.5" customHeight="1" x14ac:dyDescent="0.2">
      <c r="G22077" s="889"/>
    </row>
    <row r="22078" spans="7:7" ht="10.5" customHeight="1" x14ac:dyDescent="0.2">
      <c r="G22078" s="889"/>
    </row>
    <row r="22079" spans="7:7" ht="10.5" customHeight="1" x14ac:dyDescent="0.2">
      <c r="G22079" s="889"/>
    </row>
    <row r="22080" spans="7:7" ht="10.5" customHeight="1" x14ac:dyDescent="0.2">
      <c r="G22080" s="889"/>
    </row>
    <row r="22081" spans="7:7" ht="10.5" customHeight="1" x14ac:dyDescent="0.2">
      <c r="G22081" s="889"/>
    </row>
    <row r="22082" spans="7:7" ht="10.5" customHeight="1" x14ac:dyDescent="0.2">
      <c r="G22082" s="889"/>
    </row>
    <row r="22083" spans="7:7" ht="10.5" customHeight="1" x14ac:dyDescent="0.2">
      <c r="G22083" s="889"/>
    </row>
    <row r="22084" spans="7:7" ht="10.5" customHeight="1" x14ac:dyDescent="0.2">
      <c r="G22084" s="889"/>
    </row>
    <row r="22085" spans="7:7" ht="10.5" customHeight="1" x14ac:dyDescent="0.2">
      <c r="G22085" s="889"/>
    </row>
    <row r="22086" spans="7:7" ht="10.5" customHeight="1" x14ac:dyDescent="0.2">
      <c r="G22086" s="889"/>
    </row>
    <row r="22087" spans="7:7" ht="10.5" customHeight="1" x14ac:dyDescent="0.2">
      <c r="G22087" s="889"/>
    </row>
    <row r="22088" spans="7:7" ht="10.5" customHeight="1" x14ac:dyDescent="0.2">
      <c r="G22088" s="889"/>
    </row>
    <row r="22089" spans="7:7" ht="10.5" customHeight="1" x14ac:dyDescent="0.2">
      <c r="G22089" s="889"/>
    </row>
    <row r="22090" spans="7:7" ht="10.5" customHeight="1" x14ac:dyDescent="0.2">
      <c r="G22090" s="889"/>
    </row>
    <row r="22091" spans="7:7" ht="10.5" customHeight="1" x14ac:dyDescent="0.2">
      <c r="G22091" s="889"/>
    </row>
    <row r="22092" spans="7:7" ht="10.5" customHeight="1" x14ac:dyDescent="0.2">
      <c r="G22092" s="889"/>
    </row>
    <row r="22093" spans="7:7" ht="10.5" customHeight="1" x14ac:dyDescent="0.2">
      <c r="G22093" s="889"/>
    </row>
    <row r="22094" spans="7:7" ht="10.5" customHeight="1" x14ac:dyDescent="0.2">
      <c r="G22094" s="889"/>
    </row>
    <row r="22095" spans="7:7" ht="10.5" customHeight="1" x14ac:dyDescent="0.2">
      <c r="G22095" s="889"/>
    </row>
    <row r="22096" spans="7:7" ht="10.5" customHeight="1" x14ac:dyDescent="0.2">
      <c r="G22096" s="889"/>
    </row>
    <row r="22097" spans="7:7" ht="10.5" customHeight="1" x14ac:dyDescent="0.2">
      <c r="G22097" s="889"/>
    </row>
    <row r="22098" spans="7:7" ht="10.5" customHeight="1" x14ac:dyDescent="0.2">
      <c r="G22098" s="889"/>
    </row>
    <row r="22099" spans="7:7" ht="10.5" customHeight="1" x14ac:dyDescent="0.2">
      <c r="G22099" s="889"/>
    </row>
    <row r="22100" spans="7:7" ht="10.5" customHeight="1" x14ac:dyDescent="0.2">
      <c r="G22100" s="889"/>
    </row>
    <row r="22101" spans="7:7" ht="10.5" customHeight="1" x14ac:dyDescent="0.2">
      <c r="G22101" s="889"/>
    </row>
    <row r="22102" spans="7:7" ht="10.5" customHeight="1" x14ac:dyDescent="0.2">
      <c r="G22102" s="889"/>
    </row>
    <row r="22103" spans="7:7" ht="10.5" customHeight="1" x14ac:dyDescent="0.2">
      <c r="G22103" s="889"/>
    </row>
    <row r="22104" spans="7:7" ht="10.5" customHeight="1" x14ac:dyDescent="0.2">
      <c r="G22104" s="889"/>
    </row>
    <row r="22105" spans="7:7" ht="10.5" customHeight="1" x14ac:dyDescent="0.2">
      <c r="G22105" s="889"/>
    </row>
    <row r="22106" spans="7:7" ht="10.5" customHeight="1" x14ac:dyDescent="0.2">
      <c r="G22106" s="889"/>
    </row>
    <row r="22107" spans="7:7" ht="10.5" customHeight="1" x14ac:dyDescent="0.2">
      <c r="G22107" s="889"/>
    </row>
    <row r="22108" spans="7:7" ht="10.5" customHeight="1" x14ac:dyDescent="0.2">
      <c r="G22108" s="889"/>
    </row>
    <row r="22109" spans="7:7" ht="10.5" customHeight="1" x14ac:dyDescent="0.2">
      <c r="G22109" s="889"/>
    </row>
    <row r="22110" spans="7:7" ht="10.5" customHeight="1" x14ac:dyDescent="0.2">
      <c r="G22110" s="889"/>
    </row>
    <row r="22111" spans="7:7" ht="10.5" customHeight="1" x14ac:dyDescent="0.2">
      <c r="G22111" s="889"/>
    </row>
    <row r="22112" spans="7:7" ht="10.5" customHeight="1" x14ac:dyDescent="0.2">
      <c r="G22112" s="889"/>
    </row>
    <row r="22113" spans="7:7" ht="10.5" customHeight="1" x14ac:dyDescent="0.2">
      <c r="G22113" s="889"/>
    </row>
    <row r="22114" spans="7:7" ht="10.5" customHeight="1" x14ac:dyDescent="0.2">
      <c r="G22114" s="889"/>
    </row>
    <row r="22115" spans="7:7" ht="10.5" customHeight="1" x14ac:dyDescent="0.2">
      <c r="G22115" s="889"/>
    </row>
    <row r="22116" spans="7:7" ht="10.5" customHeight="1" x14ac:dyDescent="0.2">
      <c r="G22116" s="889"/>
    </row>
    <row r="22117" spans="7:7" ht="10.5" customHeight="1" x14ac:dyDescent="0.2">
      <c r="G22117" s="889"/>
    </row>
    <row r="22118" spans="7:7" ht="10.5" customHeight="1" x14ac:dyDescent="0.2">
      <c r="G22118" s="889"/>
    </row>
    <row r="22119" spans="7:7" ht="10.5" customHeight="1" x14ac:dyDescent="0.2">
      <c r="G22119" s="889"/>
    </row>
    <row r="22120" spans="7:7" ht="10.5" customHeight="1" x14ac:dyDescent="0.2">
      <c r="G22120" s="889"/>
    </row>
    <row r="22121" spans="7:7" ht="10.5" customHeight="1" x14ac:dyDescent="0.2">
      <c r="G22121" s="889"/>
    </row>
    <row r="22122" spans="7:7" ht="10.5" customHeight="1" x14ac:dyDescent="0.2">
      <c r="G22122" s="889"/>
    </row>
    <row r="22123" spans="7:7" ht="10.5" customHeight="1" x14ac:dyDescent="0.2">
      <c r="G22123" s="889"/>
    </row>
    <row r="22124" spans="7:7" ht="10.5" customHeight="1" x14ac:dyDescent="0.2">
      <c r="G22124" s="889"/>
    </row>
    <row r="22125" spans="7:7" ht="10.5" customHeight="1" x14ac:dyDescent="0.2">
      <c r="G22125" s="889"/>
    </row>
    <row r="22126" spans="7:7" ht="10.5" customHeight="1" x14ac:dyDescent="0.2">
      <c r="G22126" s="889"/>
    </row>
    <row r="22127" spans="7:7" ht="10.5" customHeight="1" x14ac:dyDescent="0.2">
      <c r="G22127" s="889"/>
    </row>
    <row r="22128" spans="7:7" ht="10.5" customHeight="1" x14ac:dyDescent="0.2">
      <c r="G22128" s="889"/>
    </row>
    <row r="22129" spans="7:7" ht="10.5" customHeight="1" x14ac:dyDescent="0.2">
      <c r="G22129" s="889"/>
    </row>
    <row r="22130" spans="7:7" ht="10.5" customHeight="1" x14ac:dyDescent="0.2">
      <c r="G22130" s="889"/>
    </row>
    <row r="22131" spans="7:7" ht="10.5" customHeight="1" x14ac:dyDescent="0.2">
      <c r="G22131" s="889"/>
    </row>
    <row r="22132" spans="7:7" ht="10.5" customHeight="1" x14ac:dyDescent="0.2">
      <c r="G22132" s="889"/>
    </row>
    <row r="22133" spans="7:7" ht="10.5" customHeight="1" x14ac:dyDescent="0.2">
      <c r="G22133" s="889"/>
    </row>
    <row r="22134" spans="7:7" ht="10.5" customHeight="1" x14ac:dyDescent="0.2">
      <c r="G22134" s="889"/>
    </row>
    <row r="22135" spans="7:7" ht="10.5" customHeight="1" x14ac:dyDescent="0.2">
      <c r="G22135" s="889"/>
    </row>
    <row r="22136" spans="7:7" ht="10.5" customHeight="1" x14ac:dyDescent="0.2">
      <c r="G22136" s="889"/>
    </row>
    <row r="22137" spans="7:7" ht="10.5" customHeight="1" x14ac:dyDescent="0.2">
      <c r="G22137" s="889"/>
    </row>
    <row r="22138" spans="7:7" ht="10.5" customHeight="1" x14ac:dyDescent="0.2">
      <c r="G22138" s="889"/>
    </row>
    <row r="22139" spans="7:7" ht="10.5" customHeight="1" x14ac:dyDescent="0.2">
      <c r="G22139" s="889"/>
    </row>
    <row r="22140" spans="7:7" ht="10.5" customHeight="1" x14ac:dyDescent="0.2">
      <c r="G22140" s="889"/>
    </row>
    <row r="22141" spans="7:7" ht="10.5" customHeight="1" x14ac:dyDescent="0.2">
      <c r="G22141" s="889"/>
    </row>
    <row r="22142" spans="7:7" ht="10.5" customHeight="1" x14ac:dyDescent="0.2">
      <c r="G22142" s="889"/>
    </row>
    <row r="22143" spans="7:7" ht="10.5" customHeight="1" x14ac:dyDescent="0.2">
      <c r="G22143" s="889"/>
    </row>
    <row r="22144" spans="7:7" ht="10.5" customHeight="1" x14ac:dyDescent="0.2">
      <c r="G22144" s="889"/>
    </row>
    <row r="22145" spans="7:7" ht="10.5" customHeight="1" x14ac:dyDescent="0.2">
      <c r="G22145" s="889"/>
    </row>
    <row r="22146" spans="7:7" ht="10.5" customHeight="1" x14ac:dyDescent="0.2">
      <c r="G22146" s="889"/>
    </row>
    <row r="22147" spans="7:7" ht="10.5" customHeight="1" x14ac:dyDescent="0.2">
      <c r="G22147" s="889"/>
    </row>
    <row r="22148" spans="7:7" ht="10.5" customHeight="1" x14ac:dyDescent="0.2">
      <c r="G22148" s="889"/>
    </row>
    <row r="22149" spans="7:7" ht="10.5" customHeight="1" x14ac:dyDescent="0.2">
      <c r="G22149" s="889"/>
    </row>
    <row r="22150" spans="7:7" ht="10.5" customHeight="1" x14ac:dyDescent="0.2">
      <c r="G22150" s="889"/>
    </row>
    <row r="22151" spans="7:7" ht="10.5" customHeight="1" x14ac:dyDescent="0.2">
      <c r="G22151" s="889"/>
    </row>
    <row r="22152" spans="7:7" ht="10.5" customHeight="1" x14ac:dyDescent="0.2">
      <c r="G22152" s="889"/>
    </row>
    <row r="22153" spans="7:7" ht="10.5" customHeight="1" x14ac:dyDescent="0.2">
      <c r="G22153" s="889"/>
    </row>
    <row r="22154" spans="7:7" ht="10.5" customHeight="1" x14ac:dyDescent="0.2">
      <c r="G22154" s="889"/>
    </row>
    <row r="22155" spans="7:7" ht="10.5" customHeight="1" x14ac:dyDescent="0.2">
      <c r="G22155" s="889"/>
    </row>
    <row r="22156" spans="7:7" ht="10.5" customHeight="1" x14ac:dyDescent="0.2">
      <c r="G22156" s="889"/>
    </row>
    <row r="22157" spans="7:7" ht="10.5" customHeight="1" x14ac:dyDescent="0.2">
      <c r="G22157" s="889"/>
    </row>
    <row r="22158" spans="7:7" ht="10.5" customHeight="1" x14ac:dyDescent="0.2">
      <c r="G22158" s="889"/>
    </row>
    <row r="22159" spans="7:7" ht="10.5" customHeight="1" x14ac:dyDescent="0.2">
      <c r="G22159" s="889"/>
    </row>
    <row r="22160" spans="7:7" ht="10.5" customHeight="1" x14ac:dyDescent="0.2">
      <c r="G22160" s="889"/>
    </row>
    <row r="22161" spans="7:7" ht="10.5" customHeight="1" x14ac:dyDescent="0.2">
      <c r="G22161" s="889"/>
    </row>
    <row r="22162" spans="7:7" ht="10.5" customHeight="1" x14ac:dyDescent="0.2">
      <c r="G22162" s="889"/>
    </row>
    <row r="22163" spans="7:7" ht="10.5" customHeight="1" x14ac:dyDescent="0.2">
      <c r="G22163" s="889"/>
    </row>
    <row r="22164" spans="7:7" ht="10.5" customHeight="1" x14ac:dyDescent="0.2">
      <c r="G22164" s="889"/>
    </row>
    <row r="22165" spans="7:7" ht="10.5" customHeight="1" x14ac:dyDescent="0.2">
      <c r="G22165" s="889"/>
    </row>
    <row r="22166" spans="7:7" ht="10.5" customHeight="1" x14ac:dyDescent="0.2">
      <c r="G22166" s="889"/>
    </row>
    <row r="22167" spans="7:7" ht="10.5" customHeight="1" x14ac:dyDescent="0.2">
      <c r="G22167" s="889"/>
    </row>
    <row r="22168" spans="7:7" ht="10.5" customHeight="1" x14ac:dyDescent="0.2">
      <c r="G22168" s="889"/>
    </row>
    <row r="22169" spans="7:7" ht="10.5" customHeight="1" x14ac:dyDescent="0.2">
      <c r="G22169" s="889"/>
    </row>
    <row r="22170" spans="7:7" ht="10.5" customHeight="1" x14ac:dyDescent="0.2">
      <c r="G22170" s="889"/>
    </row>
    <row r="22171" spans="7:7" ht="10.5" customHeight="1" x14ac:dyDescent="0.2">
      <c r="G22171" s="889"/>
    </row>
    <row r="22172" spans="7:7" ht="10.5" customHeight="1" x14ac:dyDescent="0.2">
      <c r="G22172" s="889"/>
    </row>
    <row r="22173" spans="7:7" ht="10.5" customHeight="1" x14ac:dyDescent="0.2">
      <c r="G22173" s="889"/>
    </row>
    <row r="22174" spans="7:7" ht="10.5" customHeight="1" x14ac:dyDescent="0.2">
      <c r="G22174" s="889"/>
    </row>
    <row r="22175" spans="7:7" ht="10.5" customHeight="1" x14ac:dyDescent="0.2">
      <c r="G22175" s="889"/>
    </row>
    <row r="22176" spans="7:7" ht="10.5" customHeight="1" x14ac:dyDescent="0.2">
      <c r="G22176" s="889"/>
    </row>
    <row r="22177" spans="7:7" ht="10.5" customHeight="1" x14ac:dyDescent="0.2">
      <c r="G22177" s="889"/>
    </row>
    <row r="22178" spans="7:7" ht="10.5" customHeight="1" x14ac:dyDescent="0.2">
      <c r="G22178" s="889"/>
    </row>
    <row r="22179" spans="7:7" ht="10.5" customHeight="1" x14ac:dyDescent="0.2">
      <c r="G22179" s="889"/>
    </row>
    <row r="22180" spans="7:7" ht="10.5" customHeight="1" x14ac:dyDescent="0.2">
      <c r="G22180" s="889"/>
    </row>
    <row r="22181" spans="7:7" ht="10.5" customHeight="1" x14ac:dyDescent="0.2">
      <c r="G22181" s="889"/>
    </row>
    <row r="22182" spans="7:7" ht="10.5" customHeight="1" x14ac:dyDescent="0.2">
      <c r="G22182" s="889"/>
    </row>
    <row r="22183" spans="7:7" ht="10.5" customHeight="1" x14ac:dyDescent="0.2">
      <c r="G22183" s="889"/>
    </row>
    <row r="22184" spans="7:7" ht="10.5" customHeight="1" x14ac:dyDescent="0.2">
      <c r="G22184" s="889"/>
    </row>
    <row r="22185" spans="7:7" ht="10.5" customHeight="1" x14ac:dyDescent="0.2">
      <c r="G22185" s="889"/>
    </row>
    <row r="22186" spans="7:7" ht="10.5" customHeight="1" x14ac:dyDescent="0.2">
      <c r="G22186" s="889"/>
    </row>
    <row r="22187" spans="7:7" ht="10.5" customHeight="1" x14ac:dyDescent="0.2">
      <c r="G22187" s="889"/>
    </row>
    <row r="22188" spans="7:7" ht="10.5" customHeight="1" x14ac:dyDescent="0.2">
      <c r="G22188" s="889"/>
    </row>
    <row r="22189" spans="7:7" ht="10.5" customHeight="1" x14ac:dyDescent="0.2">
      <c r="G22189" s="889"/>
    </row>
    <row r="22190" spans="7:7" ht="10.5" customHeight="1" x14ac:dyDescent="0.2">
      <c r="G22190" s="889"/>
    </row>
    <row r="22191" spans="7:7" ht="10.5" customHeight="1" x14ac:dyDescent="0.2">
      <c r="G22191" s="889"/>
    </row>
    <row r="22192" spans="7:7" ht="10.5" customHeight="1" x14ac:dyDescent="0.2">
      <c r="G22192" s="889"/>
    </row>
    <row r="22193" spans="7:7" ht="10.5" customHeight="1" x14ac:dyDescent="0.2">
      <c r="G22193" s="889"/>
    </row>
    <row r="22194" spans="7:7" ht="10.5" customHeight="1" x14ac:dyDescent="0.2">
      <c r="G22194" s="889"/>
    </row>
    <row r="22195" spans="7:7" ht="10.5" customHeight="1" x14ac:dyDescent="0.2">
      <c r="G22195" s="889"/>
    </row>
    <row r="22196" spans="7:7" ht="10.5" customHeight="1" x14ac:dyDescent="0.2">
      <c r="G22196" s="889"/>
    </row>
    <row r="22197" spans="7:7" ht="10.5" customHeight="1" x14ac:dyDescent="0.2">
      <c r="G22197" s="889"/>
    </row>
    <row r="22198" spans="7:7" ht="10.5" customHeight="1" x14ac:dyDescent="0.2">
      <c r="G22198" s="889"/>
    </row>
    <row r="22199" spans="7:7" ht="10.5" customHeight="1" x14ac:dyDescent="0.2">
      <c r="G22199" s="889"/>
    </row>
    <row r="22200" spans="7:7" ht="10.5" customHeight="1" x14ac:dyDescent="0.2">
      <c r="G22200" s="889"/>
    </row>
    <row r="22201" spans="7:7" ht="10.5" customHeight="1" x14ac:dyDescent="0.2">
      <c r="G22201" s="889"/>
    </row>
    <row r="22202" spans="7:7" ht="10.5" customHeight="1" x14ac:dyDescent="0.2">
      <c r="G22202" s="889"/>
    </row>
    <row r="22203" spans="7:7" ht="10.5" customHeight="1" x14ac:dyDescent="0.2">
      <c r="G22203" s="889"/>
    </row>
    <row r="22204" spans="7:7" ht="10.5" customHeight="1" x14ac:dyDescent="0.2">
      <c r="G22204" s="889"/>
    </row>
    <row r="22205" spans="7:7" ht="10.5" customHeight="1" x14ac:dyDescent="0.2">
      <c r="G22205" s="889"/>
    </row>
    <row r="22206" spans="7:7" ht="10.5" customHeight="1" x14ac:dyDescent="0.2">
      <c r="G22206" s="889"/>
    </row>
    <row r="22207" spans="7:7" ht="10.5" customHeight="1" x14ac:dyDescent="0.2">
      <c r="G22207" s="889"/>
    </row>
    <row r="22208" spans="7:7" ht="10.5" customHeight="1" x14ac:dyDescent="0.2">
      <c r="G22208" s="889"/>
    </row>
    <row r="22209" spans="7:7" ht="10.5" customHeight="1" x14ac:dyDescent="0.2">
      <c r="G22209" s="889"/>
    </row>
    <row r="22210" spans="7:7" ht="10.5" customHeight="1" x14ac:dyDescent="0.2">
      <c r="G22210" s="889"/>
    </row>
    <row r="22211" spans="7:7" ht="10.5" customHeight="1" x14ac:dyDescent="0.2">
      <c r="G22211" s="889"/>
    </row>
    <row r="22212" spans="7:7" ht="10.5" customHeight="1" x14ac:dyDescent="0.2">
      <c r="G22212" s="889"/>
    </row>
    <row r="22213" spans="7:7" ht="10.5" customHeight="1" x14ac:dyDescent="0.2">
      <c r="G22213" s="889"/>
    </row>
    <row r="22214" spans="7:7" ht="10.5" customHeight="1" x14ac:dyDescent="0.2">
      <c r="G22214" s="889"/>
    </row>
    <row r="22215" spans="7:7" ht="10.5" customHeight="1" x14ac:dyDescent="0.2">
      <c r="G22215" s="889"/>
    </row>
    <row r="22216" spans="7:7" ht="10.5" customHeight="1" x14ac:dyDescent="0.2">
      <c r="G22216" s="889"/>
    </row>
    <row r="22217" spans="7:7" ht="10.5" customHeight="1" x14ac:dyDescent="0.2">
      <c r="G22217" s="889"/>
    </row>
    <row r="22218" spans="7:7" ht="10.5" customHeight="1" x14ac:dyDescent="0.2">
      <c r="G22218" s="889"/>
    </row>
    <row r="22219" spans="7:7" ht="10.5" customHeight="1" x14ac:dyDescent="0.2">
      <c r="G22219" s="889"/>
    </row>
    <row r="22220" spans="7:7" ht="10.5" customHeight="1" x14ac:dyDescent="0.2">
      <c r="G22220" s="889"/>
    </row>
    <row r="22221" spans="7:7" ht="10.5" customHeight="1" x14ac:dyDescent="0.2">
      <c r="G22221" s="889"/>
    </row>
    <row r="22222" spans="7:7" ht="10.5" customHeight="1" x14ac:dyDescent="0.2">
      <c r="G22222" s="889"/>
    </row>
    <row r="22223" spans="7:7" ht="10.5" customHeight="1" x14ac:dyDescent="0.2">
      <c r="G22223" s="889"/>
    </row>
    <row r="22224" spans="7:7" ht="10.5" customHeight="1" x14ac:dyDescent="0.2">
      <c r="G22224" s="889"/>
    </row>
    <row r="22225" spans="7:7" ht="10.5" customHeight="1" x14ac:dyDescent="0.2">
      <c r="G22225" s="889"/>
    </row>
    <row r="22226" spans="7:7" ht="10.5" customHeight="1" x14ac:dyDescent="0.2">
      <c r="G22226" s="889"/>
    </row>
    <row r="22227" spans="7:7" ht="10.5" customHeight="1" x14ac:dyDescent="0.2">
      <c r="G22227" s="889"/>
    </row>
    <row r="22228" spans="7:7" ht="10.5" customHeight="1" x14ac:dyDescent="0.2">
      <c r="G22228" s="889"/>
    </row>
    <row r="22229" spans="7:7" ht="10.5" customHeight="1" x14ac:dyDescent="0.2">
      <c r="G22229" s="889"/>
    </row>
    <row r="22230" spans="7:7" ht="10.5" customHeight="1" x14ac:dyDescent="0.2">
      <c r="G22230" s="889"/>
    </row>
    <row r="22231" spans="7:7" ht="10.5" customHeight="1" x14ac:dyDescent="0.2">
      <c r="G22231" s="889"/>
    </row>
    <row r="22232" spans="7:7" ht="10.5" customHeight="1" x14ac:dyDescent="0.2">
      <c r="G22232" s="889"/>
    </row>
    <row r="22233" spans="7:7" ht="10.5" customHeight="1" x14ac:dyDescent="0.2">
      <c r="G22233" s="889"/>
    </row>
    <row r="22234" spans="7:7" ht="10.5" customHeight="1" x14ac:dyDescent="0.2">
      <c r="G22234" s="889"/>
    </row>
    <row r="22235" spans="7:7" ht="10.5" customHeight="1" x14ac:dyDescent="0.2">
      <c r="G22235" s="889"/>
    </row>
    <row r="22236" spans="7:7" ht="10.5" customHeight="1" x14ac:dyDescent="0.2">
      <c r="G22236" s="889"/>
    </row>
    <row r="22237" spans="7:7" ht="10.5" customHeight="1" x14ac:dyDescent="0.2">
      <c r="G22237" s="889"/>
    </row>
    <row r="22238" spans="7:7" ht="10.5" customHeight="1" x14ac:dyDescent="0.2">
      <c r="G22238" s="889"/>
    </row>
    <row r="22239" spans="7:7" ht="10.5" customHeight="1" x14ac:dyDescent="0.2">
      <c r="G22239" s="889"/>
    </row>
    <row r="22240" spans="7:7" ht="10.5" customHeight="1" x14ac:dyDescent="0.2">
      <c r="G22240" s="889"/>
    </row>
    <row r="22241" spans="7:7" ht="10.5" customHeight="1" x14ac:dyDescent="0.2">
      <c r="G22241" s="889"/>
    </row>
    <row r="22242" spans="7:7" ht="10.5" customHeight="1" x14ac:dyDescent="0.2">
      <c r="G22242" s="889"/>
    </row>
    <row r="22243" spans="7:7" ht="10.5" customHeight="1" x14ac:dyDescent="0.2">
      <c r="G22243" s="889"/>
    </row>
    <row r="22244" spans="7:7" ht="10.5" customHeight="1" x14ac:dyDescent="0.2">
      <c r="G22244" s="889"/>
    </row>
    <row r="22245" spans="7:7" ht="10.5" customHeight="1" x14ac:dyDescent="0.2">
      <c r="G22245" s="889"/>
    </row>
    <row r="22246" spans="7:7" ht="10.5" customHeight="1" x14ac:dyDescent="0.2">
      <c r="G22246" s="889"/>
    </row>
    <row r="22247" spans="7:7" ht="10.5" customHeight="1" x14ac:dyDescent="0.2">
      <c r="G22247" s="889"/>
    </row>
    <row r="22248" spans="7:7" ht="10.5" customHeight="1" x14ac:dyDescent="0.2">
      <c r="G22248" s="889"/>
    </row>
    <row r="22249" spans="7:7" ht="10.5" customHeight="1" x14ac:dyDescent="0.2">
      <c r="G22249" s="889"/>
    </row>
    <row r="22250" spans="7:7" ht="10.5" customHeight="1" x14ac:dyDescent="0.2">
      <c r="G22250" s="889"/>
    </row>
    <row r="22251" spans="7:7" ht="10.5" customHeight="1" x14ac:dyDescent="0.2">
      <c r="G22251" s="889"/>
    </row>
    <row r="22252" spans="7:7" ht="10.5" customHeight="1" x14ac:dyDescent="0.2">
      <c r="G22252" s="889"/>
    </row>
    <row r="22253" spans="7:7" ht="10.5" customHeight="1" x14ac:dyDescent="0.2">
      <c r="G22253" s="889"/>
    </row>
    <row r="22254" spans="7:7" ht="10.5" customHeight="1" x14ac:dyDescent="0.2">
      <c r="G22254" s="889"/>
    </row>
    <row r="22255" spans="7:7" ht="10.5" customHeight="1" x14ac:dyDescent="0.2">
      <c r="G22255" s="889"/>
    </row>
    <row r="22256" spans="7:7" ht="10.5" customHeight="1" x14ac:dyDescent="0.2">
      <c r="G22256" s="889"/>
    </row>
    <row r="22257" spans="7:7" ht="10.5" customHeight="1" x14ac:dyDescent="0.2">
      <c r="G22257" s="889"/>
    </row>
    <row r="22258" spans="7:7" ht="10.5" customHeight="1" x14ac:dyDescent="0.2">
      <c r="G22258" s="889"/>
    </row>
    <row r="22259" spans="7:7" ht="10.5" customHeight="1" x14ac:dyDescent="0.2">
      <c r="G22259" s="889"/>
    </row>
    <row r="22260" spans="7:7" ht="10.5" customHeight="1" x14ac:dyDescent="0.2">
      <c r="G22260" s="889"/>
    </row>
    <row r="22261" spans="7:7" ht="10.5" customHeight="1" x14ac:dyDescent="0.2">
      <c r="G22261" s="889"/>
    </row>
    <row r="22262" spans="7:7" ht="10.5" customHeight="1" x14ac:dyDescent="0.2">
      <c r="G22262" s="889"/>
    </row>
    <row r="22263" spans="7:7" ht="10.5" customHeight="1" x14ac:dyDescent="0.2">
      <c r="G22263" s="889"/>
    </row>
    <row r="22264" spans="7:7" ht="10.5" customHeight="1" x14ac:dyDescent="0.2">
      <c r="G22264" s="889"/>
    </row>
    <row r="22265" spans="7:7" ht="10.5" customHeight="1" x14ac:dyDescent="0.2">
      <c r="G22265" s="889"/>
    </row>
    <row r="22266" spans="7:7" ht="10.5" customHeight="1" x14ac:dyDescent="0.2">
      <c r="G22266" s="889"/>
    </row>
    <row r="22267" spans="7:7" ht="10.5" customHeight="1" x14ac:dyDescent="0.2">
      <c r="G22267" s="889"/>
    </row>
    <row r="22268" spans="7:7" ht="10.5" customHeight="1" x14ac:dyDescent="0.2">
      <c r="G22268" s="889"/>
    </row>
    <row r="22269" spans="7:7" ht="10.5" customHeight="1" x14ac:dyDescent="0.2">
      <c r="G22269" s="889"/>
    </row>
    <row r="22270" spans="7:7" ht="10.5" customHeight="1" x14ac:dyDescent="0.2">
      <c r="G22270" s="889"/>
    </row>
    <row r="22271" spans="7:7" ht="10.5" customHeight="1" x14ac:dyDescent="0.2">
      <c r="G22271" s="889"/>
    </row>
    <row r="22272" spans="7:7" ht="10.5" customHeight="1" x14ac:dyDescent="0.2">
      <c r="G22272" s="889"/>
    </row>
    <row r="22273" spans="7:7" ht="10.5" customHeight="1" x14ac:dyDescent="0.2">
      <c r="G22273" s="889"/>
    </row>
    <row r="22274" spans="7:7" ht="10.5" customHeight="1" x14ac:dyDescent="0.2">
      <c r="G22274" s="889"/>
    </row>
    <row r="22275" spans="7:7" ht="10.5" customHeight="1" x14ac:dyDescent="0.2">
      <c r="G22275" s="889"/>
    </row>
    <row r="22276" spans="7:7" ht="10.5" customHeight="1" x14ac:dyDescent="0.2">
      <c r="G22276" s="889"/>
    </row>
    <row r="22277" spans="7:7" ht="10.5" customHeight="1" x14ac:dyDescent="0.2">
      <c r="G22277" s="889"/>
    </row>
    <row r="22278" spans="7:7" ht="10.5" customHeight="1" x14ac:dyDescent="0.2">
      <c r="G22278" s="889"/>
    </row>
    <row r="22279" spans="7:7" ht="10.5" customHeight="1" x14ac:dyDescent="0.2">
      <c r="G22279" s="889"/>
    </row>
    <row r="22280" spans="7:7" ht="10.5" customHeight="1" x14ac:dyDescent="0.2">
      <c r="G22280" s="889"/>
    </row>
    <row r="22281" spans="7:7" ht="10.5" customHeight="1" x14ac:dyDescent="0.2">
      <c r="G22281" s="889"/>
    </row>
    <row r="22282" spans="7:7" ht="10.5" customHeight="1" x14ac:dyDescent="0.2">
      <c r="G22282" s="889"/>
    </row>
    <row r="22283" spans="7:7" ht="10.5" customHeight="1" x14ac:dyDescent="0.2">
      <c r="G22283" s="889"/>
    </row>
    <row r="22284" spans="7:7" ht="10.5" customHeight="1" x14ac:dyDescent="0.2">
      <c r="G22284" s="889"/>
    </row>
    <row r="22285" spans="7:7" ht="10.5" customHeight="1" x14ac:dyDescent="0.2">
      <c r="G22285" s="889"/>
    </row>
    <row r="22286" spans="7:7" ht="10.5" customHeight="1" x14ac:dyDescent="0.2">
      <c r="G22286" s="889"/>
    </row>
    <row r="22287" spans="7:7" ht="10.5" customHeight="1" x14ac:dyDescent="0.2">
      <c r="G22287" s="889"/>
    </row>
    <row r="22288" spans="7:7" ht="10.5" customHeight="1" x14ac:dyDescent="0.2">
      <c r="G22288" s="889"/>
    </row>
    <row r="22289" spans="7:7" ht="10.5" customHeight="1" x14ac:dyDescent="0.2">
      <c r="G22289" s="889"/>
    </row>
    <row r="22290" spans="7:7" ht="10.5" customHeight="1" x14ac:dyDescent="0.2">
      <c r="G22290" s="889"/>
    </row>
    <row r="22291" spans="7:7" ht="10.5" customHeight="1" x14ac:dyDescent="0.2">
      <c r="G22291" s="889"/>
    </row>
    <row r="22292" spans="7:7" ht="10.5" customHeight="1" x14ac:dyDescent="0.2">
      <c r="G22292" s="889"/>
    </row>
    <row r="22293" spans="7:7" ht="10.5" customHeight="1" x14ac:dyDescent="0.2">
      <c r="G22293" s="889"/>
    </row>
    <row r="22294" spans="7:7" ht="10.5" customHeight="1" x14ac:dyDescent="0.2">
      <c r="G22294" s="889"/>
    </row>
    <row r="22295" spans="7:7" ht="10.5" customHeight="1" x14ac:dyDescent="0.2">
      <c r="G22295" s="889"/>
    </row>
    <row r="22296" spans="7:7" ht="10.5" customHeight="1" x14ac:dyDescent="0.2">
      <c r="G22296" s="889"/>
    </row>
    <row r="22297" spans="7:7" ht="10.5" customHeight="1" x14ac:dyDescent="0.2">
      <c r="G22297" s="889"/>
    </row>
    <row r="22298" spans="7:7" ht="10.5" customHeight="1" x14ac:dyDescent="0.2">
      <c r="G22298" s="889"/>
    </row>
    <row r="22299" spans="7:7" ht="10.5" customHeight="1" x14ac:dyDescent="0.2">
      <c r="G22299" s="889"/>
    </row>
    <row r="22300" spans="7:7" ht="10.5" customHeight="1" x14ac:dyDescent="0.2">
      <c r="G22300" s="889"/>
    </row>
    <row r="22301" spans="7:7" ht="10.5" customHeight="1" x14ac:dyDescent="0.2">
      <c r="G22301" s="889"/>
    </row>
    <row r="22302" spans="7:7" ht="10.5" customHeight="1" x14ac:dyDescent="0.2">
      <c r="G22302" s="889"/>
    </row>
    <row r="22303" spans="7:7" ht="10.5" customHeight="1" x14ac:dyDescent="0.2">
      <c r="G22303" s="889"/>
    </row>
    <row r="22304" spans="7:7" ht="10.5" customHeight="1" x14ac:dyDescent="0.2">
      <c r="G22304" s="889"/>
    </row>
    <row r="22305" spans="7:7" ht="10.5" customHeight="1" x14ac:dyDescent="0.2">
      <c r="G22305" s="889"/>
    </row>
    <row r="22306" spans="7:7" ht="10.5" customHeight="1" x14ac:dyDescent="0.2">
      <c r="G22306" s="889"/>
    </row>
    <row r="22307" spans="7:7" ht="10.5" customHeight="1" x14ac:dyDescent="0.2">
      <c r="G22307" s="889"/>
    </row>
    <row r="22308" spans="7:7" ht="10.5" customHeight="1" x14ac:dyDescent="0.2">
      <c r="G22308" s="889"/>
    </row>
    <row r="22309" spans="7:7" ht="10.5" customHeight="1" x14ac:dyDescent="0.2">
      <c r="G22309" s="889"/>
    </row>
    <row r="22310" spans="7:7" ht="10.5" customHeight="1" x14ac:dyDescent="0.2">
      <c r="G22310" s="889"/>
    </row>
    <row r="22311" spans="7:7" ht="10.5" customHeight="1" x14ac:dyDescent="0.2">
      <c r="G22311" s="889"/>
    </row>
    <row r="22312" spans="7:7" ht="10.5" customHeight="1" x14ac:dyDescent="0.2">
      <c r="G22312" s="889"/>
    </row>
    <row r="22313" spans="7:7" ht="10.5" customHeight="1" x14ac:dyDescent="0.2">
      <c r="G22313" s="889"/>
    </row>
    <row r="22314" spans="7:7" ht="10.5" customHeight="1" x14ac:dyDescent="0.2">
      <c r="G22314" s="889"/>
    </row>
    <row r="22315" spans="7:7" ht="10.5" customHeight="1" x14ac:dyDescent="0.2">
      <c r="G22315" s="889"/>
    </row>
    <row r="22316" spans="7:7" ht="10.5" customHeight="1" x14ac:dyDescent="0.2">
      <c r="G22316" s="889"/>
    </row>
    <row r="22317" spans="7:7" ht="10.5" customHeight="1" x14ac:dyDescent="0.2">
      <c r="G22317" s="889"/>
    </row>
    <row r="22318" spans="7:7" ht="10.5" customHeight="1" x14ac:dyDescent="0.2">
      <c r="G22318" s="889"/>
    </row>
    <row r="22319" spans="7:7" ht="10.5" customHeight="1" x14ac:dyDescent="0.2">
      <c r="G22319" s="889"/>
    </row>
    <row r="22320" spans="7:7" ht="10.5" customHeight="1" x14ac:dyDescent="0.2">
      <c r="G22320" s="889"/>
    </row>
    <row r="22321" spans="7:7" ht="10.5" customHeight="1" x14ac:dyDescent="0.2">
      <c r="G22321" s="889"/>
    </row>
    <row r="22322" spans="7:7" ht="10.5" customHeight="1" x14ac:dyDescent="0.2">
      <c r="G22322" s="889"/>
    </row>
    <row r="22323" spans="7:7" ht="10.5" customHeight="1" x14ac:dyDescent="0.2">
      <c r="G22323" s="889"/>
    </row>
    <row r="22324" spans="7:7" ht="10.5" customHeight="1" x14ac:dyDescent="0.2">
      <c r="G22324" s="889"/>
    </row>
    <row r="22325" spans="7:7" ht="10.5" customHeight="1" x14ac:dyDescent="0.2">
      <c r="G22325" s="889"/>
    </row>
    <row r="22326" spans="7:7" ht="10.5" customHeight="1" x14ac:dyDescent="0.2">
      <c r="G22326" s="889"/>
    </row>
    <row r="22327" spans="7:7" ht="10.5" customHeight="1" x14ac:dyDescent="0.2">
      <c r="G22327" s="889"/>
    </row>
    <row r="22328" spans="7:7" ht="10.5" customHeight="1" x14ac:dyDescent="0.2">
      <c r="G22328" s="889"/>
    </row>
    <row r="22329" spans="7:7" ht="10.5" customHeight="1" x14ac:dyDescent="0.2">
      <c r="G22329" s="889"/>
    </row>
    <row r="22330" spans="7:7" ht="10.5" customHeight="1" x14ac:dyDescent="0.2">
      <c r="G22330" s="889"/>
    </row>
    <row r="22331" spans="7:7" ht="10.5" customHeight="1" x14ac:dyDescent="0.2">
      <c r="G22331" s="889"/>
    </row>
    <row r="22332" spans="7:7" ht="10.5" customHeight="1" x14ac:dyDescent="0.2">
      <c r="G22332" s="889"/>
    </row>
    <row r="22333" spans="7:7" ht="10.5" customHeight="1" x14ac:dyDescent="0.2">
      <c r="G22333" s="889"/>
    </row>
    <row r="22334" spans="7:7" ht="10.5" customHeight="1" x14ac:dyDescent="0.2">
      <c r="G22334" s="889"/>
    </row>
    <row r="22335" spans="7:7" ht="10.5" customHeight="1" x14ac:dyDescent="0.2">
      <c r="G22335" s="889"/>
    </row>
    <row r="22336" spans="7:7" ht="10.5" customHeight="1" x14ac:dyDescent="0.2">
      <c r="G22336" s="889"/>
    </row>
    <row r="22337" spans="7:7" ht="10.5" customHeight="1" x14ac:dyDescent="0.2">
      <c r="G22337" s="889"/>
    </row>
    <row r="22338" spans="7:7" ht="10.5" customHeight="1" x14ac:dyDescent="0.2">
      <c r="G22338" s="889"/>
    </row>
    <row r="22339" spans="7:7" ht="10.5" customHeight="1" x14ac:dyDescent="0.2">
      <c r="G22339" s="889"/>
    </row>
    <row r="22340" spans="7:7" ht="10.5" customHeight="1" x14ac:dyDescent="0.2">
      <c r="G22340" s="889"/>
    </row>
    <row r="22341" spans="7:7" ht="10.5" customHeight="1" x14ac:dyDescent="0.2">
      <c r="G22341" s="889"/>
    </row>
    <row r="22342" spans="7:7" ht="10.5" customHeight="1" x14ac:dyDescent="0.2">
      <c r="G22342" s="889"/>
    </row>
    <row r="22343" spans="7:7" ht="10.5" customHeight="1" x14ac:dyDescent="0.2">
      <c r="G22343" s="889"/>
    </row>
    <row r="22344" spans="7:7" ht="10.5" customHeight="1" x14ac:dyDescent="0.2">
      <c r="G22344" s="889"/>
    </row>
    <row r="22345" spans="7:7" ht="10.5" customHeight="1" x14ac:dyDescent="0.2">
      <c r="G22345" s="889"/>
    </row>
    <row r="22346" spans="7:7" ht="10.5" customHeight="1" x14ac:dyDescent="0.2">
      <c r="G22346" s="889"/>
    </row>
    <row r="22347" spans="7:7" ht="10.5" customHeight="1" x14ac:dyDescent="0.2">
      <c r="G22347" s="889"/>
    </row>
    <row r="22348" spans="7:7" ht="10.5" customHeight="1" x14ac:dyDescent="0.2">
      <c r="G22348" s="889"/>
    </row>
    <row r="22349" spans="7:7" ht="10.5" customHeight="1" x14ac:dyDescent="0.2">
      <c r="G22349" s="889"/>
    </row>
    <row r="22350" spans="7:7" ht="10.5" customHeight="1" x14ac:dyDescent="0.2">
      <c r="G22350" s="889"/>
    </row>
    <row r="22351" spans="7:7" ht="10.5" customHeight="1" x14ac:dyDescent="0.2">
      <c r="G22351" s="889"/>
    </row>
    <row r="22352" spans="7:7" ht="10.5" customHeight="1" x14ac:dyDescent="0.2">
      <c r="G22352" s="889"/>
    </row>
    <row r="22353" spans="7:7" ht="10.5" customHeight="1" x14ac:dyDescent="0.2">
      <c r="G22353" s="889"/>
    </row>
    <row r="22354" spans="7:7" ht="10.5" customHeight="1" x14ac:dyDescent="0.2">
      <c r="G22354" s="889"/>
    </row>
    <row r="22355" spans="7:7" ht="10.5" customHeight="1" x14ac:dyDescent="0.2">
      <c r="G22355" s="889"/>
    </row>
    <row r="22356" spans="7:7" ht="10.5" customHeight="1" x14ac:dyDescent="0.2">
      <c r="G22356" s="889"/>
    </row>
    <row r="22357" spans="7:7" ht="10.5" customHeight="1" x14ac:dyDescent="0.2">
      <c r="G22357" s="889"/>
    </row>
    <row r="22358" spans="7:7" ht="10.5" customHeight="1" x14ac:dyDescent="0.2">
      <c r="G22358" s="889"/>
    </row>
    <row r="22359" spans="7:7" ht="10.5" customHeight="1" x14ac:dyDescent="0.2">
      <c r="G22359" s="889"/>
    </row>
    <row r="22360" spans="7:7" ht="10.5" customHeight="1" x14ac:dyDescent="0.2">
      <c r="G22360" s="889"/>
    </row>
    <row r="22361" spans="7:7" ht="10.5" customHeight="1" x14ac:dyDescent="0.2">
      <c r="G22361" s="889"/>
    </row>
    <row r="22362" spans="7:7" ht="10.5" customHeight="1" x14ac:dyDescent="0.2">
      <c r="G22362" s="889"/>
    </row>
    <row r="22363" spans="7:7" ht="10.5" customHeight="1" x14ac:dyDescent="0.2">
      <c r="G22363" s="889"/>
    </row>
    <row r="22364" spans="7:7" ht="10.5" customHeight="1" x14ac:dyDescent="0.2">
      <c r="G22364" s="889"/>
    </row>
    <row r="22365" spans="7:7" ht="10.5" customHeight="1" x14ac:dyDescent="0.2">
      <c r="G22365" s="889"/>
    </row>
    <row r="22366" spans="7:7" ht="10.5" customHeight="1" x14ac:dyDescent="0.2">
      <c r="G22366" s="889"/>
    </row>
    <row r="22367" spans="7:7" ht="10.5" customHeight="1" x14ac:dyDescent="0.2">
      <c r="G22367" s="889"/>
    </row>
    <row r="22368" spans="7:7" ht="10.5" customHeight="1" x14ac:dyDescent="0.2">
      <c r="G22368" s="889"/>
    </row>
    <row r="22369" spans="7:7" ht="10.5" customHeight="1" x14ac:dyDescent="0.2">
      <c r="G22369" s="889"/>
    </row>
    <row r="22370" spans="7:7" ht="10.5" customHeight="1" x14ac:dyDescent="0.2">
      <c r="G22370" s="889"/>
    </row>
    <row r="22371" spans="7:7" ht="10.5" customHeight="1" x14ac:dyDescent="0.2">
      <c r="G22371" s="889"/>
    </row>
    <row r="22372" spans="7:7" ht="10.5" customHeight="1" x14ac:dyDescent="0.2">
      <c r="G22372" s="889"/>
    </row>
    <row r="22373" spans="7:7" ht="10.5" customHeight="1" x14ac:dyDescent="0.2">
      <c r="G22373" s="889"/>
    </row>
    <row r="22374" spans="7:7" ht="10.5" customHeight="1" x14ac:dyDescent="0.2">
      <c r="G22374" s="889"/>
    </row>
    <row r="22375" spans="7:7" ht="10.5" customHeight="1" x14ac:dyDescent="0.2">
      <c r="G22375" s="889"/>
    </row>
    <row r="22376" spans="7:7" ht="10.5" customHeight="1" x14ac:dyDescent="0.2">
      <c r="G22376" s="889"/>
    </row>
    <row r="22377" spans="7:7" ht="10.5" customHeight="1" x14ac:dyDescent="0.2">
      <c r="G22377" s="889"/>
    </row>
    <row r="22378" spans="7:7" ht="10.5" customHeight="1" x14ac:dyDescent="0.2">
      <c r="G22378" s="889"/>
    </row>
    <row r="22379" spans="7:7" ht="10.5" customHeight="1" x14ac:dyDescent="0.2">
      <c r="G22379" s="889"/>
    </row>
    <row r="22380" spans="7:7" ht="10.5" customHeight="1" x14ac:dyDescent="0.2">
      <c r="G22380" s="889"/>
    </row>
    <row r="22381" spans="7:7" ht="10.5" customHeight="1" x14ac:dyDescent="0.2">
      <c r="G22381" s="889"/>
    </row>
    <row r="22382" spans="7:7" ht="10.5" customHeight="1" x14ac:dyDescent="0.2">
      <c r="G22382" s="889"/>
    </row>
    <row r="22383" spans="7:7" ht="10.5" customHeight="1" x14ac:dyDescent="0.2">
      <c r="G22383" s="889"/>
    </row>
    <row r="22384" spans="7:7" ht="10.5" customHeight="1" x14ac:dyDescent="0.2">
      <c r="G22384" s="889"/>
    </row>
    <row r="22385" spans="7:7" ht="10.5" customHeight="1" x14ac:dyDescent="0.2">
      <c r="G22385" s="889"/>
    </row>
    <row r="22386" spans="7:7" ht="10.5" customHeight="1" x14ac:dyDescent="0.2">
      <c r="G22386" s="889"/>
    </row>
    <row r="22387" spans="7:7" ht="10.5" customHeight="1" x14ac:dyDescent="0.2">
      <c r="G22387" s="889"/>
    </row>
    <row r="22388" spans="7:7" ht="10.5" customHeight="1" x14ac:dyDescent="0.2">
      <c r="G22388" s="889"/>
    </row>
    <row r="22389" spans="7:7" ht="10.5" customHeight="1" x14ac:dyDescent="0.2">
      <c r="G22389" s="889"/>
    </row>
    <row r="22390" spans="7:7" ht="10.5" customHeight="1" x14ac:dyDescent="0.2">
      <c r="G22390" s="889"/>
    </row>
    <row r="22391" spans="7:7" ht="10.5" customHeight="1" x14ac:dyDescent="0.2">
      <c r="G22391" s="889"/>
    </row>
    <row r="22392" spans="7:7" ht="10.5" customHeight="1" x14ac:dyDescent="0.2">
      <c r="G22392" s="889"/>
    </row>
    <row r="22393" spans="7:7" ht="10.5" customHeight="1" x14ac:dyDescent="0.2">
      <c r="G22393" s="889"/>
    </row>
    <row r="22394" spans="7:7" ht="10.5" customHeight="1" x14ac:dyDescent="0.2">
      <c r="G22394" s="889"/>
    </row>
    <row r="22395" spans="7:7" ht="10.5" customHeight="1" x14ac:dyDescent="0.2">
      <c r="G22395" s="889"/>
    </row>
    <row r="22396" spans="7:7" ht="10.5" customHeight="1" x14ac:dyDescent="0.2">
      <c r="G22396" s="889"/>
    </row>
    <row r="22397" spans="7:7" ht="10.5" customHeight="1" x14ac:dyDescent="0.2">
      <c r="G22397" s="889"/>
    </row>
    <row r="22398" spans="7:7" ht="10.5" customHeight="1" x14ac:dyDescent="0.2">
      <c r="G22398" s="889"/>
    </row>
    <row r="22399" spans="7:7" ht="10.5" customHeight="1" x14ac:dyDescent="0.2">
      <c r="G22399" s="889"/>
    </row>
    <row r="22400" spans="7:7" ht="10.5" customHeight="1" x14ac:dyDescent="0.2">
      <c r="G22400" s="889"/>
    </row>
    <row r="22401" spans="7:7" ht="10.5" customHeight="1" x14ac:dyDescent="0.2">
      <c r="G22401" s="889"/>
    </row>
    <row r="22402" spans="7:7" ht="10.5" customHeight="1" x14ac:dyDescent="0.2">
      <c r="G22402" s="889"/>
    </row>
    <row r="22403" spans="7:7" ht="10.5" customHeight="1" x14ac:dyDescent="0.2">
      <c r="G22403" s="889"/>
    </row>
    <row r="22404" spans="7:7" ht="10.5" customHeight="1" x14ac:dyDescent="0.2">
      <c r="G22404" s="889"/>
    </row>
    <row r="22405" spans="7:7" ht="10.5" customHeight="1" x14ac:dyDescent="0.2">
      <c r="G22405" s="889"/>
    </row>
    <row r="22406" spans="7:7" ht="10.5" customHeight="1" x14ac:dyDescent="0.2">
      <c r="G22406" s="889"/>
    </row>
    <row r="22407" spans="7:7" ht="10.5" customHeight="1" x14ac:dyDescent="0.2">
      <c r="G22407" s="889"/>
    </row>
    <row r="22408" spans="7:7" ht="10.5" customHeight="1" x14ac:dyDescent="0.2">
      <c r="G22408" s="889"/>
    </row>
    <row r="22409" spans="7:7" ht="10.5" customHeight="1" x14ac:dyDescent="0.2">
      <c r="G22409" s="889"/>
    </row>
    <row r="22410" spans="7:7" ht="10.5" customHeight="1" x14ac:dyDescent="0.2">
      <c r="G22410" s="889"/>
    </row>
    <row r="22411" spans="7:7" ht="10.5" customHeight="1" x14ac:dyDescent="0.2">
      <c r="G22411" s="889"/>
    </row>
    <row r="22412" spans="7:7" ht="10.5" customHeight="1" x14ac:dyDescent="0.2">
      <c r="G22412" s="889"/>
    </row>
    <row r="22413" spans="7:7" ht="10.5" customHeight="1" x14ac:dyDescent="0.2">
      <c r="G22413" s="889"/>
    </row>
    <row r="22414" spans="7:7" ht="10.5" customHeight="1" x14ac:dyDescent="0.2">
      <c r="G22414" s="889"/>
    </row>
    <row r="22415" spans="7:7" ht="10.5" customHeight="1" x14ac:dyDescent="0.2">
      <c r="G22415" s="889"/>
    </row>
    <row r="22416" spans="7:7" ht="10.5" customHeight="1" x14ac:dyDescent="0.2">
      <c r="G22416" s="889"/>
    </row>
    <row r="22417" spans="7:7" ht="10.5" customHeight="1" x14ac:dyDescent="0.2">
      <c r="G22417" s="889"/>
    </row>
    <row r="22418" spans="7:7" ht="10.5" customHeight="1" x14ac:dyDescent="0.2">
      <c r="G22418" s="889"/>
    </row>
    <row r="22419" spans="7:7" ht="10.5" customHeight="1" x14ac:dyDescent="0.2">
      <c r="G22419" s="889"/>
    </row>
    <row r="22420" spans="7:7" ht="10.5" customHeight="1" x14ac:dyDescent="0.2">
      <c r="G22420" s="889"/>
    </row>
    <row r="22421" spans="7:7" ht="10.5" customHeight="1" x14ac:dyDescent="0.2">
      <c r="G22421" s="889"/>
    </row>
    <row r="22422" spans="7:7" ht="10.5" customHeight="1" x14ac:dyDescent="0.2">
      <c r="G22422" s="889"/>
    </row>
    <row r="22423" spans="7:7" ht="10.5" customHeight="1" x14ac:dyDescent="0.2">
      <c r="G22423" s="889"/>
    </row>
    <row r="22424" spans="7:7" ht="10.5" customHeight="1" x14ac:dyDescent="0.2">
      <c r="G22424" s="889"/>
    </row>
    <row r="22425" spans="7:7" ht="10.5" customHeight="1" x14ac:dyDescent="0.2">
      <c r="G22425" s="889"/>
    </row>
    <row r="22426" spans="7:7" ht="10.5" customHeight="1" x14ac:dyDescent="0.2">
      <c r="G22426" s="889"/>
    </row>
    <row r="22427" spans="7:7" ht="10.5" customHeight="1" x14ac:dyDescent="0.2">
      <c r="G22427" s="889"/>
    </row>
    <row r="22428" spans="7:7" ht="10.5" customHeight="1" x14ac:dyDescent="0.2">
      <c r="G22428" s="889"/>
    </row>
    <row r="22429" spans="7:7" ht="10.5" customHeight="1" x14ac:dyDescent="0.2">
      <c r="G22429" s="889"/>
    </row>
    <row r="22430" spans="7:7" ht="10.5" customHeight="1" x14ac:dyDescent="0.2">
      <c r="G22430" s="889"/>
    </row>
    <row r="22431" spans="7:7" ht="10.5" customHeight="1" x14ac:dyDescent="0.2">
      <c r="G22431" s="889"/>
    </row>
    <row r="22432" spans="7:7" ht="10.5" customHeight="1" x14ac:dyDescent="0.2">
      <c r="G22432" s="889"/>
    </row>
    <row r="22433" spans="7:7" ht="10.5" customHeight="1" x14ac:dyDescent="0.2">
      <c r="G22433" s="889"/>
    </row>
    <row r="22434" spans="7:7" ht="10.5" customHeight="1" x14ac:dyDescent="0.2">
      <c r="G22434" s="889"/>
    </row>
    <row r="22435" spans="7:7" ht="10.5" customHeight="1" x14ac:dyDescent="0.2">
      <c r="G22435" s="889"/>
    </row>
    <row r="22436" spans="7:7" ht="10.5" customHeight="1" x14ac:dyDescent="0.2">
      <c r="G22436" s="889"/>
    </row>
    <row r="22437" spans="7:7" ht="10.5" customHeight="1" x14ac:dyDescent="0.2">
      <c r="G22437" s="889"/>
    </row>
    <row r="22438" spans="7:7" ht="10.5" customHeight="1" x14ac:dyDescent="0.2">
      <c r="G22438" s="889"/>
    </row>
    <row r="22439" spans="7:7" ht="10.5" customHeight="1" x14ac:dyDescent="0.2">
      <c r="G22439" s="889"/>
    </row>
    <row r="22440" spans="7:7" ht="10.5" customHeight="1" x14ac:dyDescent="0.2">
      <c r="G22440" s="889"/>
    </row>
    <row r="22441" spans="7:7" ht="10.5" customHeight="1" x14ac:dyDescent="0.2">
      <c r="G22441" s="889"/>
    </row>
    <row r="22442" spans="7:7" ht="10.5" customHeight="1" x14ac:dyDescent="0.2">
      <c r="G22442" s="889"/>
    </row>
    <row r="22443" spans="7:7" ht="10.5" customHeight="1" x14ac:dyDescent="0.2">
      <c r="G22443" s="889"/>
    </row>
    <row r="22444" spans="7:7" ht="10.5" customHeight="1" x14ac:dyDescent="0.2">
      <c r="G22444" s="889"/>
    </row>
    <row r="22445" spans="7:7" ht="10.5" customHeight="1" x14ac:dyDescent="0.2">
      <c r="G22445" s="889"/>
    </row>
    <row r="22446" spans="7:7" ht="10.5" customHeight="1" x14ac:dyDescent="0.2">
      <c r="G22446" s="889"/>
    </row>
    <row r="22447" spans="7:7" ht="10.5" customHeight="1" x14ac:dyDescent="0.2">
      <c r="G22447" s="889"/>
    </row>
    <row r="22448" spans="7:7" ht="10.5" customHeight="1" x14ac:dyDescent="0.2">
      <c r="G22448" s="889"/>
    </row>
    <row r="22449" spans="7:7" ht="10.5" customHeight="1" x14ac:dyDescent="0.2">
      <c r="G22449" s="889"/>
    </row>
    <row r="22450" spans="7:7" ht="10.5" customHeight="1" x14ac:dyDescent="0.2">
      <c r="G22450" s="889"/>
    </row>
    <row r="22451" spans="7:7" ht="10.5" customHeight="1" x14ac:dyDescent="0.2">
      <c r="G22451" s="889"/>
    </row>
    <row r="22452" spans="7:7" ht="10.5" customHeight="1" x14ac:dyDescent="0.2">
      <c r="G22452" s="889"/>
    </row>
    <row r="22453" spans="7:7" ht="10.5" customHeight="1" x14ac:dyDescent="0.2">
      <c r="G22453" s="889"/>
    </row>
    <row r="22454" spans="7:7" ht="10.5" customHeight="1" x14ac:dyDescent="0.2">
      <c r="G22454" s="889"/>
    </row>
    <row r="22455" spans="7:7" ht="10.5" customHeight="1" x14ac:dyDescent="0.2">
      <c r="G22455" s="889"/>
    </row>
    <row r="22456" spans="7:7" ht="10.5" customHeight="1" x14ac:dyDescent="0.2">
      <c r="G22456" s="889"/>
    </row>
    <row r="22457" spans="7:7" ht="10.5" customHeight="1" x14ac:dyDescent="0.2">
      <c r="G22457" s="889"/>
    </row>
    <row r="22458" spans="7:7" ht="10.5" customHeight="1" x14ac:dyDescent="0.2">
      <c r="G22458" s="889"/>
    </row>
    <row r="22459" spans="7:7" ht="10.5" customHeight="1" x14ac:dyDescent="0.2">
      <c r="G22459" s="889"/>
    </row>
    <row r="22460" spans="7:7" ht="10.5" customHeight="1" x14ac:dyDescent="0.2">
      <c r="G22460" s="889"/>
    </row>
    <row r="22461" spans="7:7" ht="10.5" customHeight="1" x14ac:dyDescent="0.2">
      <c r="G22461" s="889"/>
    </row>
    <row r="22462" spans="7:7" ht="10.5" customHeight="1" x14ac:dyDescent="0.2">
      <c r="G22462" s="889"/>
    </row>
    <row r="22463" spans="7:7" ht="10.5" customHeight="1" x14ac:dyDescent="0.2">
      <c r="G22463" s="889"/>
    </row>
    <row r="22464" spans="7:7" ht="10.5" customHeight="1" x14ac:dyDescent="0.2">
      <c r="G22464" s="889"/>
    </row>
    <row r="22465" spans="7:7" ht="10.5" customHeight="1" x14ac:dyDescent="0.2">
      <c r="G22465" s="889"/>
    </row>
    <row r="22466" spans="7:7" ht="10.5" customHeight="1" x14ac:dyDescent="0.2">
      <c r="G22466" s="889"/>
    </row>
    <row r="22467" spans="7:7" ht="10.5" customHeight="1" x14ac:dyDescent="0.2">
      <c r="G22467" s="889"/>
    </row>
    <row r="22468" spans="7:7" ht="10.5" customHeight="1" x14ac:dyDescent="0.2">
      <c r="G22468" s="889"/>
    </row>
    <row r="22469" spans="7:7" ht="10.5" customHeight="1" x14ac:dyDescent="0.2">
      <c r="G22469" s="889"/>
    </row>
    <row r="22470" spans="7:7" ht="10.5" customHeight="1" x14ac:dyDescent="0.2">
      <c r="G22470" s="889"/>
    </row>
    <row r="22471" spans="7:7" ht="10.5" customHeight="1" x14ac:dyDescent="0.2">
      <c r="G22471" s="889"/>
    </row>
    <row r="22472" spans="7:7" ht="10.5" customHeight="1" x14ac:dyDescent="0.2">
      <c r="G22472" s="889"/>
    </row>
    <row r="22473" spans="7:7" ht="10.5" customHeight="1" x14ac:dyDescent="0.2">
      <c r="G22473" s="889"/>
    </row>
    <row r="22474" spans="7:7" ht="10.5" customHeight="1" x14ac:dyDescent="0.2">
      <c r="G22474" s="889"/>
    </row>
    <row r="22475" spans="7:7" ht="10.5" customHeight="1" x14ac:dyDescent="0.2">
      <c r="G22475" s="889"/>
    </row>
    <row r="22476" spans="7:7" ht="10.5" customHeight="1" x14ac:dyDescent="0.2">
      <c r="G22476" s="889"/>
    </row>
    <row r="22477" spans="7:7" ht="10.5" customHeight="1" x14ac:dyDescent="0.2">
      <c r="G22477" s="889"/>
    </row>
    <row r="22478" spans="7:7" ht="10.5" customHeight="1" x14ac:dyDescent="0.2">
      <c r="G22478" s="889"/>
    </row>
    <row r="22479" spans="7:7" ht="10.5" customHeight="1" x14ac:dyDescent="0.2">
      <c r="G22479" s="889"/>
    </row>
    <row r="22480" spans="7:7" ht="10.5" customHeight="1" x14ac:dyDescent="0.2">
      <c r="G22480" s="889"/>
    </row>
    <row r="22481" spans="7:7" ht="10.5" customHeight="1" x14ac:dyDescent="0.2">
      <c r="G22481" s="889"/>
    </row>
    <row r="22482" spans="7:7" ht="10.5" customHeight="1" x14ac:dyDescent="0.2">
      <c r="G22482" s="889"/>
    </row>
    <row r="22483" spans="7:7" ht="10.5" customHeight="1" x14ac:dyDescent="0.2">
      <c r="G22483" s="889"/>
    </row>
    <row r="22484" spans="7:7" ht="10.5" customHeight="1" x14ac:dyDescent="0.2">
      <c r="G22484" s="889"/>
    </row>
    <row r="22485" spans="7:7" ht="10.5" customHeight="1" x14ac:dyDescent="0.2">
      <c r="G22485" s="889"/>
    </row>
    <row r="22486" spans="7:7" ht="10.5" customHeight="1" x14ac:dyDescent="0.2">
      <c r="G22486" s="889"/>
    </row>
    <row r="22487" spans="7:7" ht="10.5" customHeight="1" x14ac:dyDescent="0.2">
      <c r="G22487" s="889"/>
    </row>
    <row r="22488" spans="7:7" ht="10.5" customHeight="1" x14ac:dyDescent="0.2">
      <c r="G22488" s="889"/>
    </row>
    <row r="22489" spans="7:7" ht="10.5" customHeight="1" x14ac:dyDescent="0.2">
      <c r="G22489" s="889"/>
    </row>
    <row r="22490" spans="7:7" ht="10.5" customHeight="1" x14ac:dyDescent="0.2">
      <c r="G22490" s="889"/>
    </row>
    <row r="22491" spans="7:7" ht="10.5" customHeight="1" x14ac:dyDescent="0.2">
      <c r="G22491" s="889"/>
    </row>
    <row r="22492" spans="7:7" ht="10.5" customHeight="1" x14ac:dyDescent="0.2">
      <c r="G22492" s="889"/>
    </row>
    <row r="22493" spans="7:7" ht="10.5" customHeight="1" x14ac:dyDescent="0.2">
      <c r="G22493" s="889"/>
    </row>
    <row r="22494" spans="7:7" ht="10.5" customHeight="1" x14ac:dyDescent="0.2">
      <c r="G22494" s="889"/>
    </row>
    <row r="22495" spans="7:7" ht="10.5" customHeight="1" x14ac:dyDescent="0.2">
      <c r="G22495" s="889"/>
    </row>
    <row r="22496" spans="7:7" ht="10.5" customHeight="1" x14ac:dyDescent="0.2">
      <c r="G22496" s="889"/>
    </row>
    <row r="22497" spans="7:7" ht="10.5" customHeight="1" x14ac:dyDescent="0.2">
      <c r="G22497" s="889"/>
    </row>
    <row r="22498" spans="7:7" ht="10.5" customHeight="1" x14ac:dyDescent="0.2">
      <c r="G22498" s="889"/>
    </row>
    <row r="22499" spans="7:7" ht="10.5" customHeight="1" x14ac:dyDescent="0.2">
      <c r="G22499" s="889"/>
    </row>
    <row r="22500" spans="7:7" ht="10.5" customHeight="1" x14ac:dyDescent="0.2">
      <c r="G22500" s="889"/>
    </row>
    <row r="22501" spans="7:7" ht="10.5" customHeight="1" x14ac:dyDescent="0.2">
      <c r="G22501" s="889"/>
    </row>
    <row r="22502" spans="7:7" ht="10.5" customHeight="1" x14ac:dyDescent="0.2">
      <c r="G22502" s="889"/>
    </row>
    <row r="22503" spans="7:7" ht="10.5" customHeight="1" x14ac:dyDescent="0.2">
      <c r="G22503" s="889"/>
    </row>
    <row r="22504" spans="7:7" ht="10.5" customHeight="1" x14ac:dyDescent="0.2">
      <c r="G22504" s="889"/>
    </row>
    <row r="22505" spans="7:7" ht="10.5" customHeight="1" x14ac:dyDescent="0.2">
      <c r="G22505" s="889"/>
    </row>
    <row r="22506" spans="7:7" ht="10.5" customHeight="1" x14ac:dyDescent="0.2">
      <c r="G22506" s="889"/>
    </row>
    <row r="22507" spans="7:7" ht="10.5" customHeight="1" x14ac:dyDescent="0.2">
      <c r="G22507" s="889"/>
    </row>
    <row r="22508" spans="7:7" ht="10.5" customHeight="1" x14ac:dyDescent="0.2">
      <c r="G22508" s="889"/>
    </row>
    <row r="22509" spans="7:7" ht="10.5" customHeight="1" x14ac:dyDescent="0.2">
      <c r="G22509" s="889"/>
    </row>
    <row r="22510" spans="7:7" ht="10.5" customHeight="1" x14ac:dyDescent="0.2">
      <c r="G22510" s="889"/>
    </row>
    <row r="22511" spans="7:7" ht="10.5" customHeight="1" x14ac:dyDescent="0.2">
      <c r="G22511" s="889"/>
    </row>
    <row r="22512" spans="7:7" ht="10.5" customHeight="1" x14ac:dyDescent="0.2">
      <c r="G22512" s="889"/>
    </row>
    <row r="22513" spans="7:7" ht="10.5" customHeight="1" x14ac:dyDescent="0.2">
      <c r="G22513" s="889"/>
    </row>
    <row r="22514" spans="7:7" ht="10.5" customHeight="1" x14ac:dyDescent="0.2">
      <c r="G22514" s="889"/>
    </row>
    <row r="22515" spans="7:7" ht="10.5" customHeight="1" x14ac:dyDescent="0.2">
      <c r="G22515" s="889"/>
    </row>
    <row r="22516" spans="7:7" ht="10.5" customHeight="1" x14ac:dyDescent="0.2">
      <c r="G22516" s="889"/>
    </row>
    <row r="22517" spans="7:7" ht="10.5" customHeight="1" x14ac:dyDescent="0.2">
      <c r="G22517" s="889"/>
    </row>
    <row r="22518" spans="7:7" ht="10.5" customHeight="1" x14ac:dyDescent="0.2">
      <c r="G22518" s="889"/>
    </row>
    <row r="22519" spans="7:7" ht="10.5" customHeight="1" x14ac:dyDescent="0.2">
      <c r="G22519" s="889"/>
    </row>
    <row r="22520" spans="7:7" ht="10.5" customHeight="1" x14ac:dyDescent="0.2">
      <c r="G22520" s="889"/>
    </row>
    <row r="22521" spans="7:7" ht="10.5" customHeight="1" x14ac:dyDescent="0.2">
      <c r="G22521" s="889"/>
    </row>
    <row r="22522" spans="7:7" ht="10.5" customHeight="1" x14ac:dyDescent="0.2">
      <c r="G22522" s="889"/>
    </row>
    <row r="22523" spans="7:7" ht="10.5" customHeight="1" x14ac:dyDescent="0.2">
      <c r="G22523" s="889"/>
    </row>
    <row r="22524" spans="7:7" ht="10.5" customHeight="1" x14ac:dyDescent="0.2">
      <c r="G22524" s="889"/>
    </row>
    <row r="22525" spans="7:7" ht="10.5" customHeight="1" x14ac:dyDescent="0.2">
      <c r="G22525" s="889"/>
    </row>
    <row r="22526" spans="7:7" ht="10.5" customHeight="1" x14ac:dyDescent="0.2">
      <c r="G22526" s="889"/>
    </row>
    <row r="22527" spans="7:7" ht="10.5" customHeight="1" x14ac:dyDescent="0.2">
      <c r="G22527" s="889"/>
    </row>
    <row r="22528" spans="7:7" ht="10.5" customHeight="1" x14ac:dyDescent="0.2">
      <c r="G22528" s="889"/>
    </row>
    <row r="22529" spans="7:7" ht="10.5" customHeight="1" x14ac:dyDescent="0.2">
      <c r="G22529" s="889"/>
    </row>
    <row r="22530" spans="7:7" ht="10.5" customHeight="1" x14ac:dyDescent="0.2">
      <c r="G22530" s="889"/>
    </row>
    <row r="22531" spans="7:7" ht="10.5" customHeight="1" x14ac:dyDescent="0.2">
      <c r="G22531" s="889"/>
    </row>
    <row r="22532" spans="7:7" ht="10.5" customHeight="1" x14ac:dyDescent="0.2">
      <c r="G22532" s="889"/>
    </row>
    <row r="22533" spans="7:7" ht="10.5" customHeight="1" x14ac:dyDescent="0.2">
      <c r="G22533" s="889"/>
    </row>
    <row r="22534" spans="7:7" ht="10.5" customHeight="1" x14ac:dyDescent="0.2">
      <c r="G22534" s="889"/>
    </row>
    <row r="22535" spans="7:7" ht="10.5" customHeight="1" x14ac:dyDescent="0.2">
      <c r="G22535" s="889"/>
    </row>
    <row r="22536" spans="7:7" ht="10.5" customHeight="1" x14ac:dyDescent="0.2">
      <c r="G22536" s="889"/>
    </row>
    <row r="22537" spans="7:7" ht="10.5" customHeight="1" x14ac:dyDescent="0.2">
      <c r="G22537" s="889"/>
    </row>
    <row r="22538" spans="7:7" ht="10.5" customHeight="1" x14ac:dyDescent="0.2">
      <c r="G22538" s="889"/>
    </row>
    <row r="22539" spans="7:7" ht="10.5" customHeight="1" x14ac:dyDescent="0.2">
      <c r="G22539" s="889"/>
    </row>
    <row r="22540" spans="7:7" ht="10.5" customHeight="1" x14ac:dyDescent="0.2">
      <c r="G22540" s="889"/>
    </row>
    <row r="22541" spans="7:7" ht="10.5" customHeight="1" x14ac:dyDescent="0.2">
      <c r="G22541" s="889"/>
    </row>
    <row r="22542" spans="7:7" ht="10.5" customHeight="1" x14ac:dyDescent="0.2">
      <c r="G22542" s="889"/>
    </row>
    <row r="22543" spans="7:7" ht="10.5" customHeight="1" x14ac:dyDescent="0.2">
      <c r="G22543" s="889"/>
    </row>
    <row r="22544" spans="7:7" ht="10.5" customHeight="1" x14ac:dyDescent="0.2">
      <c r="G22544" s="889"/>
    </row>
    <row r="22545" spans="7:7" ht="10.5" customHeight="1" x14ac:dyDescent="0.2">
      <c r="G22545" s="889"/>
    </row>
    <row r="22546" spans="7:7" ht="10.5" customHeight="1" x14ac:dyDescent="0.2">
      <c r="G22546" s="889"/>
    </row>
    <row r="22547" spans="7:7" ht="10.5" customHeight="1" x14ac:dyDescent="0.2">
      <c r="G22547" s="889"/>
    </row>
    <row r="22548" spans="7:7" ht="10.5" customHeight="1" x14ac:dyDescent="0.2">
      <c r="G22548" s="889"/>
    </row>
    <row r="22549" spans="7:7" ht="10.5" customHeight="1" x14ac:dyDescent="0.2">
      <c r="G22549" s="889"/>
    </row>
    <row r="22550" spans="7:7" ht="10.5" customHeight="1" x14ac:dyDescent="0.2">
      <c r="G22550" s="889"/>
    </row>
    <row r="22551" spans="7:7" ht="10.5" customHeight="1" x14ac:dyDescent="0.2">
      <c r="G22551" s="889"/>
    </row>
    <row r="22552" spans="7:7" ht="10.5" customHeight="1" x14ac:dyDescent="0.2">
      <c r="G22552" s="889"/>
    </row>
    <row r="22553" spans="7:7" ht="10.5" customHeight="1" x14ac:dyDescent="0.2">
      <c r="G22553" s="889"/>
    </row>
    <row r="22554" spans="7:7" ht="10.5" customHeight="1" x14ac:dyDescent="0.2">
      <c r="G22554" s="889"/>
    </row>
    <row r="22555" spans="7:7" ht="10.5" customHeight="1" x14ac:dyDescent="0.2">
      <c r="G22555" s="889"/>
    </row>
    <row r="22556" spans="7:7" ht="10.5" customHeight="1" x14ac:dyDescent="0.2">
      <c r="G22556" s="889"/>
    </row>
    <row r="22557" spans="7:7" ht="10.5" customHeight="1" x14ac:dyDescent="0.2">
      <c r="G22557" s="889"/>
    </row>
    <row r="22558" spans="7:7" ht="10.5" customHeight="1" x14ac:dyDescent="0.2">
      <c r="G22558" s="889"/>
    </row>
    <row r="22559" spans="7:7" ht="10.5" customHeight="1" x14ac:dyDescent="0.2">
      <c r="G22559" s="889"/>
    </row>
    <row r="22560" spans="7:7" ht="10.5" customHeight="1" x14ac:dyDescent="0.2">
      <c r="G22560" s="889"/>
    </row>
    <row r="22561" spans="7:7" ht="10.5" customHeight="1" x14ac:dyDescent="0.2">
      <c r="G22561" s="889"/>
    </row>
    <row r="22562" spans="7:7" ht="10.5" customHeight="1" x14ac:dyDescent="0.2">
      <c r="G22562" s="889"/>
    </row>
    <row r="22563" spans="7:7" ht="10.5" customHeight="1" x14ac:dyDescent="0.2">
      <c r="G22563" s="889"/>
    </row>
    <row r="22564" spans="7:7" ht="10.5" customHeight="1" x14ac:dyDescent="0.2">
      <c r="G22564" s="889"/>
    </row>
    <row r="22565" spans="7:7" ht="10.5" customHeight="1" x14ac:dyDescent="0.2">
      <c r="G22565" s="889"/>
    </row>
    <row r="22566" spans="7:7" ht="10.5" customHeight="1" x14ac:dyDescent="0.2">
      <c r="G22566" s="889"/>
    </row>
    <row r="22567" spans="7:7" ht="10.5" customHeight="1" x14ac:dyDescent="0.2">
      <c r="G22567" s="889"/>
    </row>
    <row r="22568" spans="7:7" ht="10.5" customHeight="1" x14ac:dyDescent="0.2">
      <c r="G22568" s="889"/>
    </row>
    <row r="22569" spans="7:7" ht="10.5" customHeight="1" x14ac:dyDescent="0.2">
      <c r="G22569" s="889"/>
    </row>
    <row r="22570" spans="7:7" ht="10.5" customHeight="1" x14ac:dyDescent="0.2">
      <c r="G22570" s="889"/>
    </row>
    <row r="22571" spans="7:7" ht="10.5" customHeight="1" x14ac:dyDescent="0.2">
      <c r="G22571" s="889"/>
    </row>
    <row r="22572" spans="7:7" ht="10.5" customHeight="1" x14ac:dyDescent="0.2">
      <c r="G22572" s="889"/>
    </row>
    <row r="22573" spans="7:7" ht="10.5" customHeight="1" x14ac:dyDescent="0.2">
      <c r="G22573" s="889"/>
    </row>
    <row r="22574" spans="7:7" ht="10.5" customHeight="1" x14ac:dyDescent="0.2">
      <c r="G22574" s="889"/>
    </row>
    <row r="22575" spans="7:7" ht="10.5" customHeight="1" x14ac:dyDescent="0.2">
      <c r="G22575" s="889"/>
    </row>
    <row r="22576" spans="7:7" ht="10.5" customHeight="1" x14ac:dyDescent="0.2">
      <c r="G22576" s="889"/>
    </row>
    <row r="22577" spans="7:7" ht="10.5" customHeight="1" x14ac:dyDescent="0.2">
      <c r="G22577" s="889"/>
    </row>
    <row r="22578" spans="7:7" ht="10.5" customHeight="1" x14ac:dyDescent="0.2">
      <c r="G22578" s="889"/>
    </row>
    <row r="22579" spans="7:7" ht="10.5" customHeight="1" x14ac:dyDescent="0.2">
      <c r="G22579" s="889"/>
    </row>
    <row r="22580" spans="7:7" ht="10.5" customHeight="1" x14ac:dyDescent="0.2">
      <c r="G22580" s="889"/>
    </row>
    <row r="22581" spans="7:7" ht="10.5" customHeight="1" x14ac:dyDescent="0.2">
      <c r="G22581" s="889"/>
    </row>
    <row r="22582" spans="7:7" ht="10.5" customHeight="1" x14ac:dyDescent="0.2">
      <c r="G22582" s="889"/>
    </row>
    <row r="22583" spans="7:7" ht="10.5" customHeight="1" x14ac:dyDescent="0.2">
      <c r="G22583" s="889"/>
    </row>
    <row r="22584" spans="7:7" ht="10.5" customHeight="1" x14ac:dyDescent="0.2">
      <c r="G22584" s="889"/>
    </row>
    <row r="22585" spans="7:7" ht="10.5" customHeight="1" x14ac:dyDescent="0.2">
      <c r="G22585" s="889"/>
    </row>
    <row r="22586" spans="7:7" ht="10.5" customHeight="1" x14ac:dyDescent="0.2">
      <c r="G22586" s="889"/>
    </row>
    <row r="22587" spans="7:7" ht="10.5" customHeight="1" x14ac:dyDescent="0.2">
      <c r="G22587" s="889"/>
    </row>
    <row r="22588" spans="7:7" ht="10.5" customHeight="1" x14ac:dyDescent="0.2">
      <c r="G22588" s="889"/>
    </row>
    <row r="22589" spans="7:7" ht="10.5" customHeight="1" x14ac:dyDescent="0.2">
      <c r="G22589" s="889"/>
    </row>
    <row r="22590" spans="7:7" ht="10.5" customHeight="1" x14ac:dyDescent="0.2">
      <c r="G22590" s="889"/>
    </row>
    <row r="22591" spans="7:7" ht="10.5" customHeight="1" x14ac:dyDescent="0.2">
      <c r="G22591" s="889"/>
    </row>
    <row r="22592" spans="7:7" ht="10.5" customHeight="1" x14ac:dyDescent="0.2">
      <c r="G22592" s="889"/>
    </row>
    <row r="22593" spans="7:7" ht="10.5" customHeight="1" x14ac:dyDescent="0.2">
      <c r="G22593" s="889"/>
    </row>
    <row r="22594" spans="7:7" ht="10.5" customHeight="1" x14ac:dyDescent="0.2">
      <c r="G22594" s="889"/>
    </row>
    <row r="22595" spans="7:7" ht="10.5" customHeight="1" x14ac:dyDescent="0.2">
      <c r="G22595" s="889"/>
    </row>
    <row r="22596" spans="7:7" ht="10.5" customHeight="1" x14ac:dyDescent="0.2">
      <c r="G22596" s="889"/>
    </row>
    <row r="22597" spans="7:7" ht="10.5" customHeight="1" x14ac:dyDescent="0.2">
      <c r="G22597" s="889"/>
    </row>
    <row r="22598" spans="7:7" ht="10.5" customHeight="1" x14ac:dyDescent="0.2">
      <c r="G22598" s="889"/>
    </row>
    <row r="22599" spans="7:7" ht="10.5" customHeight="1" x14ac:dyDescent="0.2">
      <c r="G22599" s="889"/>
    </row>
    <row r="22600" spans="7:7" ht="10.5" customHeight="1" x14ac:dyDescent="0.2">
      <c r="G22600" s="889"/>
    </row>
    <row r="22601" spans="7:7" ht="10.5" customHeight="1" x14ac:dyDescent="0.2">
      <c r="G22601" s="889"/>
    </row>
    <row r="22602" spans="7:7" ht="10.5" customHeight="1" x14ac:dyDescent="0.2">
      <c r="G22602" s="889"/>
    </row>
    <row r="22603" spans="7:7" ht="10.5" customHeight="1" x14ac:dyDescent="0.2">
      <c r="G22603" s="889"/>
    </row>
    <row r="22604" spans="7:7" ht="10.5" customHeight="1" x14ac:dyDescent="0.2">
      <c r="G22604" s="889"/>
    </row>
    <row r="22605" spans="7:7" ht="10.5" customHeight="1" x14ac:dyDescent="0.2">
      <c r="G22605" s="889"/>
    </row>
    <row r="22606" spans="7:7" ht="10.5" customHeight="1" x14ac:dyDescent="0.2">
      <c r="G22606" s="889"/>
    </row>
    <row r="22607" spans="7:7" ht="10.5" customHeight="1" x14ac:dyDescent="0.2">
      <c r="G22607" s="889"/>
    </row>
    <row r="22608" spans="7:7" ht="10.5" customHeight="1" x14ac:dyDescent="0.2">
      <c r="G22608" s="889"/>
    </row>
    <row r="22609" spans="7:7" ht="10.5" customHeight="1" x14ac:dyDescent="0.2">
      <c r="G22609" s="889"/>
    </row>
    <row r="22610" spans="7:7" ht="10.5" customHeight="1" x14ac:dyDescent="0.2">
      <c r="G22610" s="889"/>
    </row>
    <row r="22611" spans="7:7" ht="10.5" customHeight="1" x14ac:dyDescent="0.2">
      <c r="G22611" s="889"/>
    </row>
    <row r="22612" spans="7:7" ht="10.5" customHeight="1" x14ac:dyDescent="0.2">
      <c r="G22612" s="889"/>
    </row>
    <row r="22613" spans="7:7" ht="10.5" customHeight="1" x14ac:dyDescent="0.2">
      <c r="G22613" s="889"/>
    </row>
    <row r="22614" spans="7:7" ht="10.5" customHeight="1" x14ac:dyDescent="0.2">
      <c r="G22614" s="889"/>
    </row>
    <row r="22615" spans="7:7" ht="10.5" customHeight="1" x14ac:dyDescent="0.2">
      <c r="G22615" s="889"/>
    </row>
    <row r="22616" spans="7:7" ht="10.5" customHeight="1" x14ac:dyDescent="0.2">
      <c r="G22616" s="889"/>
    </row>
    <row r="22617" spans="7:7" ht="10.5" customHeight="1" x14ac:dyDescent="0.2">
      <c r="G22617" s="889"/>
    </row>
    <row r="22618" spans="7:7" ht="10.5" customHeight="1" x14ac:dyDescent="0.2">
      <c r="G22618" s="889"/>
    </row>
    <row r="22619" spans="7:7" ht="10.5" customHeight="1" x14ac:dyDescent="0.2">
      <c r="G22619" s="889"/>
    </row>
    <row r="22620" spans="7:7" ht="10.5" customHeight="1" x14ac:dyDescent="0.2">
      <c r="G22620" s="889"/>
    </row>
    <row r="22621" spans="7:7" ht="10.5" customHeight="1" x14ac:dyDescent="0.2">
      <c r="G22621" s="889"/>
    </row>
    <row r="22622" spans="7:7" ht="10.5" customHeight="1" x14ac:dyDescent="0.2">
      <c r="G22622" s="889"/>
    </row>
    <row r="22623" spans="7:7" ht="10.5" customHeight="1" x14ac:dyDescent="0.2">
      <c r="G22623" s="889"/>
    </row>
    <row r="22624" spans="7:7" ht="10.5" customHeight="1" x14ac:dyDescent="0.2">
      <c r="G22624" s="889"/>
    </row>
    <row r="22625" spans="7:7" ht="10.5" customHeight="1" x14ac:dyDescent="0.2">
      <c r="G22625" s="889"/>
    </row>
    <row r="22626" spans="7:7" ht="10.5" customHeight="1" x14ac:dyDescent="0.2">
      <c r="G22626" s="889"/>
    </row>
    <row r="22627" spans="7:7" ht="10.5" customHeight="1" x14ac:dyDescent="0.2">
      <c r="G22627" s="889"/>
    </row>
    <row r="22628" spans="7:7" ht="10.5" customHeight="1" x14ac:dyDescent="0.2">
      <c r="G22628" s="889"/>
    </row>
    <row r="22629" spans="7:7" ht="10.5" customHeight="1" x14ac:dyDescent="0.2">
      <c r="G22629" s="889"/>
    </row>
    <row r="22630" spans="7:7" ht="10.5" customHeight="1" x14ac:dyDescent="0.2">
      <c r="G22630" s="889"/>
    </row>
    <row r="22631" spans="7:7" ht="10.5" customHeight="1" x14ac:dyDescent="0.2">
      <c r="G22631" s="889"/>
    </row>
    <row r="22632" spans="7:7" ht="10.5" customHeight="1" x14ac:dyDescent="0.2">
      <c r="G22632" s="889"/>
    </row>
    <row r="22633" spans="7:7" ht="10.5" customHeight="1" x14ac:dyDescent="0.2">
      <c r="G22633" s="889"/>
    </row>
    <row r="22634" spans="7:7" ht="10.5" customHeight="1" x14ac:dyDescent="0.2">
      <c r="G22634" s="889"/>
    </row>
    <row r="22635" spans="7:7" ht="10.5" customHeight="1" x14ac:dyDescent="0.2">
      <c r="G22635" s="889"/>
    </row>
    <row r="22636" spans="7:7" ht="10.5" customHeight="1" x14ac:dyDescent="0.2">
      <c r="G22636" s="889"/>
    </row>
    <row r="22637" spans="7:7" ht="10.5" customHeight="1" x14ac:dyDescent="0.2">
      <c r="G22637" s="889"/>
    </row>
    <row r="22638" spans="7:7" ht="10.5" customHeight="1" x14ac:dyDescent="0.2">
      <c r="G22638" s="889"/>
    </row>
    <row r="22639" spans="7:7" ht="10.5" customHeight="1" x14ac:dyDescent="0.2">
      <c r="G22639" s="889"/>
    </row>
    <row r="22640" spans="7:7" ht="10.5" customHeight="1" x14ac:dyDescent="0.2">
      <c r="G22640" s="889"/>
    </row>
    <row r="22641" spans="7:7" ht="10.5" customHeight="1" x14ac:dyDescent="0.2">
      <c r="G22641" s="889"/>
    </row>
    <row r="22642" spans="7:7" ht="10.5" customHeight="1" x14ac:dyDescent="0.2">
      <c r="G22642" s="889"/>
    </row>
    <row r="22643" spans="7:7" ht="10.5" customHeight="1" x14ac:dyDescent="0.2">
      <c r="G22643" s="889"/>
    </row>
    <row r="22644" spans="7:7" ht="10.5" customHeight="1" x14ac:dyDescent="0.2">
      <c r="G22644" s="889"/>
    </row>
    <row r="22645" spans="7:7" ht="10.5" customHeight="1" x14ac:dyDescent="0.2">
      <c r="G22645" s="889"/>
    </row>
    <row r="22646" spans="7:7" ht="10.5" customHeight="1" x14ac:dyDescent="0.2">
      <c r="G22646" s="889"/>
    </row>
    <row r="22647" spans="7:7" ht="10.5" customHeight="1" x14ac:dyDescent="0.2">
      <c r="G22647" s="889"/>
    </row>
    <row r="22648" spans="7:7" ht="10.5" customHeight="1" x14ac:dyDescent="0.2">
      <c r="G22648" s="889"/>
    </row>
    <row r="22649" spans="7:7" ht="10.5" customHeight="1" x14ac:dyDescent="0.2">
      <c r="G22649" s="889"/>
    </row>
    <row r="22650" spans="7:7" ht="10.5" customHeight="1" x14ac:dyDescent="0.2">
      <c r="G22650" s="889"/>
    </row>
    <row r="22651" spans="7:7" ht="10.5" customHeight="1" x14ac:dyDescent="0.2">
      <c r="G22651" s="889"/>
    </row>
    <row r="22652" spans="7:7" ht="10.5" customHeight="1" x14ac:dyDescent="0.2">
      <c r="G22652" s="889"/>
    </row>
    <row r="22653" spans="7:7" ht="10.5" customHeight="1" x14ac:dyDescent="0.2">
      <c r="G22653" s="889"/>
    </row>
    <row r="22654" spans="7:7" ht="10.5" customHeight="1" x14ac:dyDescent="0.2">
      <c r="G22654" s="889"/>
    </row>
    <row r="22655" spans="7:7" ht="10.5" customHeight="1" x14ac:dyDescent="0.2">
      <c r="G22655" s="889"/>
    </row>
    <row r="22656" spans="7:7" ht="10.5" customHeight="1" x14ac:dyDescent="0.2">
      <c r="G22656" s="889"/>
    </row>
    <row r="22657" spans="7:7" ht="10.5" customHeight="1" x14ac:dyDescent="0.2">
      <c r="G22657" s="889"/>
    </row>
    <row r="22658" spans="7:7" ht="10.5" customHeight="1" x14ac:dyDescent="0.2">
      <c r="G22658" s="889"/>
    </row>
    <row r="22659" spans="7:7" ht="10.5" customHeight="1" x14ac:dyDescent="0.2">
      <c r="G22659" s="889"/>
    </row>
    <row r="22660" spans="7:7" ht="10.5" customHeight="1" x14ac:dyDescent="0.2">
      <c r="G22660" s="889"/>
    </row>
    <row r="22661" spans="7:7" ht="10.5" customHeight="1" x14ac:dyDescent="0.2">
      <c r="G22661" s="889"/>
    </row>
    <row r="22662" spans="7:7" ht="10.5" customHeight="1" x14ac:dyDescent="0.2">
      <c r="G22662" s="889"/>
    </row>
    <row r="22663" spans="7:7" ht="10.5" customHeight="1" x14ac:dyDescent="0.2">
      <c r="G22663" s="889"/>
    </row>
    <row r="22664" spans="7:7" ht="10.5" customHeight="1" x14ac:dyDescent="0.2">
      <c r="G22664" s="889"/>
    </row>
    <row r="22665" spans="7:7" ht="10.5" customHeight="1" x14ac:dyDescent="0.2">
      <c r="G22665" s="889"/>
    </row>
    <row r="22666" spans="7:7" ht="10.5" customHeight="1" x14ac:dyDescent="0.2">
      <c r="G22666" s="889"/>
    </row>
    <row r="22667" spans="7:7" ht="10.5" customHeight="1" x14ac:dyDescent="0.2">
      <c r="G22667" s="889"/>
    </row>
    <row r="22668" spans="7:7" ht="10.5" customHeight="1" x14ac:dyDescent="0.2">
      <c r="G22668" s="889"/>
    </row>
    <row r="22669" spans="7:7" ht="10.5" customHeight="1" x14ac:dyDescent="0.2">
      <c r="G22669" s="889"/>
    </row>
    <row r="22670" spans="7:7" ht="10.5" customHeight="1" x14ac:dyDescent="0.2">
      <c r="G22670" s="889"/>
    </row>
    <row r="22671" spans="7:7" ht="10.5" customHeight="1" x14ac:dyDescent="0.2">
      <c r="G22671" s="889"/>
    </row>
    <row r="22672" spans="7:7" ht="10.5" customHeight="1" x14ac:dyDescent="0.2">
      <c r="G22672" s="889"/>
    </row>
    <row r="22673" spans="7:7" ht="10.5" customHeight="1" x14ac:dyDescent="0.2">
      <c r="G22673" s="889"/>
    </row>
    <row r="22674" spans="7:7" ht="10.5" customHeight="1" x14ac:dyDescent="0.2">
      <c r="G22674" s="889"/>
    </row>
    <row r="22675" spans="7:7" ht="10.5" customHeight="1" x14ac:dyDescent="0.2">
      <c r="G22675" s="889"/>
    </row>
    <row r="22676" spans="7:7" ht="10.5" customHeight="1" x14ac:dyDescent="0.2">
      <c r="G22676" s="889"/>
    </row>
    <row r="22677" spans="7:7" ht="10.5" customHeight="1" x14ac:dyDescent="0.2">
      <c r="G22677" s="889"/>
    </row>
    <row r="22678" spans="7:7" ht="10.5" customHeight="1" x14ac:dyDescent="0.2">
      <c r="G22678" s="889"/>
    </row>
    <row r="22679" spans="7:7" ht="10.5" customHeight="1" x14ac:dyDescent="0.2">
      <c r="G22679" s="889"/>
    </row>
    <row r="22680" spans="7:7" ht="10.5" customHeight="1" x14ac:dyDescent="0.2">
      <c r="G22680" s="889"/>
    </row>
    <row r="22681" spans="7:7" ht="10.5" customHeight="1" x14ac:dyDescent="0.2">
      <c r="G22681" s="889"/>
    </row>
    <row r="22682" spans="7:7" ht="10.5" customHeight="1" x14ac:dyDescent="0.2">
      <c r="G22682" s="889"/>
    </row>
    <row r="22683" spans="7:7" ht="10.5" customHeight="1" x14ac:dyDescent="0.2">
      <c r="G22683" s="889"/>
    </row>
    <row r="22684" spans="7:7" ht="10.5" customHeight="1" x14ac:dyDescent="0.2">
      <c r="G22684" s="889"/>
    </row>
    <row r="22685" spans="7:7" ht="10.5" customHeight="1" x14ac:dyDescent="0.2">
      <c r="G22685" s="889"/>
    </row>
    <row r="22686" spans="7:7" ht="10.5" customHeight="1" x14ac:dyDescent="0.2">
      <c r="G22686" s="889"/>
    </row>
    <row r="22687" spans="7:7" ht="10.5" customHeight="1" x14ac:dyDescent="0.2">
      <c r="G22687" s="889"/>
    </row>
    <row r="22688" spans="7:7" ht="10.5" customHeight="1" x14ac:dyDescent="0.2">
      <c r="G22688" s="889"/>
    </row>
    <row r="22689" spans="7:7" ht="10.5" customHeight="1" x14ac:dyDescent="0.2">
      <c r="G22689" s="889"/>
    </row>
    <row r="22690" spans="7:7" ht="10.5" customHeight="1" x14ac:dyDescent="0.2">
      <c r="G22690" s="889"/>
    </row>
    <row r="22691" spans="7:7" ht="10.5" customHeight="1" x14ac:dyDescent="0.2">
      <c r="G22691" s="889"/>
    </row>
    <row r="22692" spans="7:7" ht="10.5" customHeight="1" x14ac:dyDescent="0.2">
      <c r="G22692" s="889"/>
    </row>
    <row r="22693" spans="7:7" ht="10.5" customHeight="1" x14ac:dyDescent="0.2">
      <c r="G22693" s="889"/>
    </row>
    <row r="22694" spans="7:7" ht="10.5" customHeight="1" x14ac:dyDescent="0.2">
      <c r="G22694" s="889"/>
    </row>
    <row r="22695" spans="7:7" ht="10.5" customHeight="1" x14ac:dyDescent="0.2">
      <c r="G22695" s="889"/>
    </row>
    <row r="22696" spans="7:7" ht="10.5" customHeight="1" x14ac:dyDescent="0.2">
      <c r="G22696" s="889"/>
    </row>
    <row r="22697" spans="7:7" ht="10.5" customHeight="1" x14ac:dyDescent="0.2">
      <c r="G22697" s="889"/>
    </row>
    <row r="22698" spans="7:7" ht="10.5" customHeight="1" x14ac:dyDescent="0.2">
      <c r="G22698" s="889"/>
    </row>
    <row r="22699" spans="7:7" ht="10.5" customHeight="1" x14ac:dyDescent="0.2">
      <c r="G22699" s="889"/>
    </row>
    <row r="22700" spans="7:7" ht="10.5" customHeight="1" x14ac:dyDescent="0.2">
      <c r="G22700" s="889"/>
    </row>
    <row r="22701" spans="7:7" ht="10.5" customHeight="1" x14ac:dyDescent="0.2">
      <c r="G22701" s="889"/>
    </row>
    <row r="22702" spans="7:7" ht="10.5" customHeight="1" x14ac:dyDescent="0.2">
      <c r="G22702" s="889"/>
    </row>
    <row r="22703" spans="7:7" ht="10.5" customHeight="1" x14ac:dyDescent="0.2">
      <c r="G22703" s="889"/>
    </row>
    <row r="22704" spans="7:7" ht="10.5" customHeight="1" x14ac:dyDescent="0.2">
      <c r="G22704" s="889"/>
    </row>
    <row r="22705" spans="7:7" ht="10.5" customHeight="1" x14ac:dyDescent="0.2">
      <c r="G22705" s="889"/>
    </row>
    <row r="22706" spans="7:7" ht="10.5" customHeight="1" x14ac:dyDescent="0.2">
      <c r="G22706" s="889"/>
    </row>
    <row r="22707" spans="7:7" ht="10.5" customHeight="1" x14ac:dyDescent="0.2">
      <c r="G22707" s="889"/>
    </row>
    <row r="22708" spans="7:7" ht="10.5" customHeight="1" x14ac:dyDescent="0.2">
      <c r="G22708" s="889"/>
    </row>
    <row r="22709" spans="7:7" ht="10.5" customHeight="1" x14ac:dyDescent="0.2">
      <c r="G22709" s="889"/>
    </row>
    <row r="22710" spans="7:7" ht="10.5" customHeight="1" x14ac:dyDescent="0.2">
      <c r="G22710" s="889"/>
    </row>
    <row r="22711" spans="7:7" ht="10.5" customHeight="1" x14ac:dyDescent="0.2">
      <c r="G22711" s="889"/>
    </row>
    <row r="22712" spans="7:7" ht="10.5" customHeight="1" x14ac:dyDescent="0.2">
      <c r="G22712" s="889"/>
    </row>
    <row r="22713" spans="7:7" ht="10.5" customHeight="1" x14ac:dyDescent="0.2">
      <c r="G22713" s="889"/>
    </row>
    <row r="22714" spans="7:7" ht="10.5" customHeight="1" x14ac:dyDescent="0.2">
      <c r="G22714" s="889"/>
    </row>
    <row r="22715" spans="7:7" ht="10.5" customHeight="1" x14ac:dyDescent="0.2">
      <c r="G22715" s="889"/>
    </row>
    <row r="22716" spans="7:7" ht="10.5" customHeight="1" x14ac:dyDescent="0.2">
      <c r="G22716" s="889"/>
    </row>
    <row r="22717" spans="7:7" ht="10.5" customHeight="1" x14ac:dyDescent="0.2">
      <c r="G22717" s="889"/>
    </row>
    <row r="22718" spans="7:7" ht="10.5" customHeight="1" x14ac:dyDescent="0.2">
      <c r="G22718" s="889"/>
    </row>
    <row r="22719" spans="7:7" ht="10.5" customHeight="1" x14ac:dyDescent="0.2">
      <c r="G22719" s="889"/>
    </row>
    <row r="22720" spans="7:7" ht="10.5" customHeight="1" x14ac:dyDescent="0.2">
      <c r="G22720" s="889"/>
    </row>
    <row r="22721" spans="7:7" ht="10.5" customHeight="1" x14ac:dyDescent="0.2">
      <c r="G22721" s="889"/>
    </row>
    <row r="22722" spans="7:7" ht="10.5" customHeight="1" x14ac:dyDescent="0.2">
      <c r="G22722" s="889"/>
    </row>
    <row r="22723" spans="7:7" ht="10.5" customHeight="1" x14ac:dyDescent="0.2">
      <c r="G22723" s="889"/>
    </row>
    <row r="22724" spans="7:7" ht="10.5" customHeight="1" x14ac:dyDescent="0.2">
      <c r="G22724" s="889"/>
    </row>
    <row r="22725" spans="7:7" ht="10.5" customHeight="1" x14ac:dyDescent="0.2">
      <c r="G22725" s="889"/>
    </row>
    <row r="22726" spans="7:7" ht="10.5" customHeight="1" x14ac:dyDescent="0.2">
      <c r="G22726" s="889"/>
    </row>
    <row r="22727" spans="7:7" ht="10.5" customHeight="1" x14ac:dyDescent="0.2">
      <c r="G22727" s="889"/>
    </row>
    <row r="22728" spans="7:7" ht="10.5" customHeight="1" x14ac:dyDescent="0.2">
      <c r="G22728" s="889"/>
    </row>
    <row r="22729" spans="7:7" ht="10.5" customHeight="1" x14ac:dyDescent="0.2">
      <c r="G22729" s="889"/>
    </row>
    <row r="22730" spans="7:7" ht="10.5" customHeight="1" x14ac:dyDescent="0.2">
      <c r="G22730" s="889"/>
    </row>
    <row r="22731" spans="7:7" ht="10.5" customHeight="1" x14ac:dyDescent="0.2">
      <c r="G22731" s="889"/>
    </row>
    <row r="22732" spans="7:7" ht="10.5" customHeight="1" x14ac:dyDescent="0.2">
      <c r="G22732" s="889"/>
    </row>
    <row r="22733" spans="7:7" ht="10.5" customHeight="1" x14ac:dyDescent="0.2">
      <c r="G22733" s="889"/>
    </row>
    <row r="22734" spans="7:7" ht="10.5" customHeight="1" x14ac:dyDescent="0.2">
      <c r="G22734" s="889"/>
    </row>
    <row r="22735" spans="7:7" ht="10.5" customHeight="1" x14ac:dyDescent="0.2">
      <c r="G22735" s="889"/>
    </row>
    <row r="22736" spans="7:7" ht="10.5" customHeight="1" x14ac:dyDescent="0.2">
      <c r="G22736" s="889"/>
    </row>
    <row r="22737" spans="7:7" ht="10.5" customHeight="1" x14ac:dyDescent="0.2">
      <c r="G22737" s="889"/>
    </row>
    <row r="22738" spans="7:7" ht="10.5" customHeight="1" x14ac:dyDescent="0.2">
      <c r="G22738" s="889"/>
    </row>
    <row r="22739" spans="7:7" ht="10.5" customHeight="1" x14ac:dyDescent="0.2">
      <c r="G22739" s="889"/>
    </row>
    <row r="22740" spans="7:7" ht="10.5" customHeight="1" x14ac:dyDescent="0.2">
      <c r="G22740" s="889"/>
    </row>
    <row r="22741" spans="7:7" ht="10.5" customHeight="1" x14ac:dyDescent="0.2">
      <c r="G22741" s="889"/>
    </row>
    <row r="22742" spans="7:7" ht="10.5" customHeight="1" x14ac:dyDescent="0.2">
      <c r="G22742" s="889"/>
    </row>
    <row r="22743" spans="7:7" ht="10.5" customHeight="1" x14ac:dyDescent="0.2">
      <c r="G22743" s="889"/>
    </row>
    <row r="22744" spans="7:7" ht="10.5" customHeight="1" x14ac:dyDescent="0.2">
      <c r="G22744" s="889"/>
    </row>
    <row r="22745" spans="7:7" ht="10.5" customHeight="1" x14ac:dyDescent="0.2">
      <c r="G22745" s="889"/>
    </row>
    <row r="22746" spans="7:7" ht="10.5" customHeight="1" x14ac:dyDescent="0.2">
      <c r="G22746" s="889"/>
    </row>
    <row r="22747" spans="7:7" ht="10.5" customHeight="1" x14ac:dyDescent="0.2">
      <c r="G22747" s="889"/>
    </row>
    <row r="22748" spans="7:7" ht="10.5" customHeight="1" x14ac:dyDescent="0.2">
      <c r="G22748" s="889"/>
    </row>
    <row r="22749" spans="7:7" ht="10.5" customHeight="1" x14ac:dyDescent="0.2">
      <c r="G22749" s="889"/>
    </row>
    <row r="22750" spans="7:7" ht="10.5" customHeight="1" x14ac:dyDescent="0.2">
      <c r="G22750" s="889"/>
    </row>
    <row r="22751" spans="7:7" ht="10.5" customHeight="1" x14ac:dyDescent="0.2">
      <c r="G22751" s="889"/>
    </row>
    <row r="22752" spans="7:7" ht="10.5" customHeight="1" x14ac:dyDescent="0.2">
      <c r="G22752" s="889"/>
    </row>
    <row r="22753" spans="7:7" ht="10.5" customHeight="1" x14ac:dyDescent="0.2">
      <c r="G22753" s="889"/>
    </row>
    <row r="22754" spans="7:7" ht="10.5" customHeight="1" x14ac:dyDescent="0.2">
      <c r="G22754" s="889"/>
    </row>
    <row r="22755" spans="7:7" ht="10.5" customHeight="1" x14ac:dyDescent="0.2">
      <c r="G22755" s="889"/>
    </row>
    <row r="22756" spans="7:7" ht="10.5" customHeight="1" x14ac:dyDescent="0.2">
      <c r="G22756" s="889"/>
    </row>
    <row r="22757" spans="7:7" ht="10.5" customHeight="1" x14ac:dyDescent="0.2">
      <c r="G22757" s="889"/>
    </row>
    <row r="22758" spans="7:7" ht="10.5" customHeight="1" x14ac:dyDescent="0.2">
      <c r="G22758" s="889"/>
    </row>
    <row r="22759" spans="7:7" ht="10.5" customHeight="1" x14ac:dyDescent="0.2">
      <c r="G22759" s="889"/>
    </row>
    <row r="22760" spans="7:7" ht="10.5" customHeight="1" x14ac:dyDescent="0.2">
      <c r="G22760" s="889"/>
    </row>
    <row r="22761" spans="7:7" ht="10.5" customHeight="1" x14ac:dyDescent="0.2">
      <c r="G22761" s="889"/>
    </row>
    <row r="22762" spans="7:7" ht="10.5" customHeight="1" x14ac:dyDescent="0.2">
      <c r="G22762" s="889"/>
    </row>
    <row r="22763" spans="7:7" ht="10.5" customHeight="1" x14ac:dyDescent="0.2">
      <c r="G22763" s="889"/>
    </row>
    <row r="22764" spans="7:7" ht="10.5" customHeight="1" x14ac:dyDescent="0.2">
      <c r="G22764" s="889"/>
    </row>
    <row r="22765" spans="7:7" ht="10.5" customHeight="1" x14ac:dyDescent="0.2">
      <c r="G22765" s="889"/>
    </row>
    <row r="22766" spans="7:7" ht="10.5" customHeight="1" x14ac:dyDescent="0.2">
      <c r="G22766" s="889"/>
    </row>
    <row r="22767" spans="7:7" ht="10.5" customHeight="1" x14ac:dyDescent="0.2">
      <c r="G22767" s="889"/>
    </row>
    <row r="22768" spans="7:7" ht="10.5" customHeight="1" x14ac:dyDescent="0.2">
      <c r="G22768" s="889"/>
    </row>
    <row r="22769" spans="7:7" ht="10.5" customHeight="1" x14ac:dyDescent="0.2">
      <c r="G22769" s="889"/>
    </row>
    <row r="22770" spans="7:7" ht="10.5" customHeight="1" x14ac:dyDescent="0.2">
      <c r="G22770" s="889"/>
    </row>
    <row r="22771" spans="7:7" ht="10.5" customHeight="1" x14ac:dyDescent="0.2">
      <c r="G22771" s="889"/>
    </row>
    <row r="22772" spans="7:7" ht="10.5" customHeight="1" x14ac:dyDescent="0.2">
      <c r="G22772" s="889"/>
    </row>
    <row r="22773" spans="7:7" ht="10.5" customHeight="1" x14ac:dyDescent="0.2">
      <c r="G22773" s="889"/>
    </row>
    <row r="22774" spans="7:7" ht="10.5" customHeight="1" x14ac:dyDescent="0.2">
      <c r="G22774" s="889"/>
    </row>
    <row r="22775" spans="7:7" ht="10.5" customHeight="1" x14ac:dyDescent="0.2">
      <c r="G22775" s="889"/>
    </row>
    <row r="22776" spans="7:7" ht="10.5" customHeight="1" x14ac:dyDescent="0.2">
      <c r="G22776" s="889"/>
    </row>
    <row r="22777" spans="7:7" ht="10.5" customHeight="1" x14ac:dyDescent="0.2">
      <c r="G22777" s="889"/>
    </row>
    <row r="22778" spans="7:7" ht="10.5" customHeight="1" x14ac:dyDescent="0.2">
      <c r="G22778" s="889"/>
    </row>
    <row r="22779" spans="7:7" ht="10.5" customHeight="1" x14ac:dyDescent="0.2">
      <c r="G22779" s="889"/>
    </row>
    <row r="22780" spans="7:7" ht="10.5" customHeight="1" x14ac:dyDescent="0.2">
      <c r="G22780" s="889"/>
    </row>
    <row r="22781" spans="7:7" ht="10.5" customHeight="1" x14ac:dyDescent="0.2">
      <c r="G22781" s="889"/>
    </row>
    <row r="22782" spans="7:7" ht="10.5" customHeight="1" x14ac:dyDescent="0.2">
      <c r="G22782" s="889"/>
    </row>
    <row r="22783" spans="7:7" ht="10.5" customHeight="1" x14ac:dyDescent="0.2">
      <c r="G22783" s="889"/>
    </row>
    <row r="22784" spans="7:7" ht="10.5" customHeight="1" x14ac:dyDescent="0.2">
      <c r="G22784" s="889"/>
    </row>
    <row r="22785" spans="7:7" ht="10.5" customHeight="1" x14ac:dyDescent="0.2">
      <c r="G22785" s="889"/>
    </row>
    <row r="22786" spans="7:7" ht="10.5" customHeight="1" x14ac:dyDescent="0.2">
      <c r="G22786" s="889"/>
    </row>
    <row r="22787" spans="7:7" ht="10.5" customHeight="1" x14ac:dyDescent="0.2">
      <c r="G22787" s="889"/>
    </row>
    <row r="22788" spans="7:7" ht="10.5" customHeight="1" x14ac:dyDescent="0.2">
      <c r="G22788" s="889"/>
    </row>
    <row r="22789" spans="7:7" ht="10.5" customHeight="1" x14ac:dyDescent="0.2">
      <c r="G22789" s="889"/>
    </row>
    <row r="22790" spans="7:7" ht="10.5" customHeight="1" x14ac:dyDescent="0.2">
      <c r="G22790" s="889"/>
    </row>
    <row r="22791" spans="7:7" ht="10.5" customHeight="1" x14ac:dyDescent="0.2">
      <c r="G22791" s="889"/>
    </row>
    <row r="22792" spans="7:7" ht="10.5" customHeight="1" x14ac:dyDescent="0.2">
      <c r="G22792" s="889"/>
    </row>
    <row r="22793" spans="7:7" ht="10.5" customHeight="1" x14ac:dyDescent="0.2">
      <c r="G22793" s="889"/>
    </row>
    <row r="22794" spans="7:7" ht="10.5" customHeight="1" x14ac:dyDescent="0.2">
      <c r="G22794" s="889"/>
    </row>
    <row r="22795" spans="7:7" ht="10.5" customHeight="1" x14ac:dyDescent="0.2">
      <c r="G22795" s="889"/>
    </row>
    <row r="22796" spans="7:7" ht="10.5" customHeight="1" x14ac:dyDescent="0.2">
      <c r="G22796" s="889"/>
    </row>
    <row r="22797" spans="7:7" ht="10.5" customHeight="1" x14ac:dyDescent="0.2">
      <c r="G22797" s="889"/>
    </row>
    <row r="22798" spans="7:7" ht="10.5" customHeight="1" x14ac:dyDescent="0.2">
      <c r="G22798" s="889"/>
    </row>
    <row r="22799" spans="7:7" ht="10.5" customHeight="1" x14ac:dyDescent="0.2">
      <c r="G22799" s="889"/>
    </row>
    <row r="22800" spans="7:7" ht="10.5" customHeight="1" x14ac:dyDescent="0.2">
      <c r="G22800" s="889"/>
    </row>
    <row r="22801" spans="7:7" ht="10.5" customHeight="1" x14ac:dyDescent="0.2">
      <c r="G22801" s="889"/>
    </row>
    <row r="22802" spans="7:7" ht="10.5" customHeight="1" x14ac:dyDescent="0.2">
      <c r="G22802" s="889"/>
    </row>
    <row r="22803" spans="7:7" ht="10.5" customHeight="1" x14ac:dyDescent="0.2">
      <c r="G22803" s="889"/>
    </row>
    <row r="22804" spans="7:7" ht="10.5" customHeight="1" x14ac:dyDescent="0.2">
      <c r="G22804" s="889"/>
    </row>
    <row r="22805" spans="7:7" ht="10.5" customHeight="1" x14ac:dyDescent="0.2">
      <c r="G22805" s="889"/>
    </row>
    <row r="22806" spans="7:7" ht="10.5" customHeight="1" x14ac:dyDescent="0.2">
      <c r="G22806" s="889"/>
    </row>
    <row r="22807" spans="7:7" ht="10.5" customHeight="1" x14ac:dyDescent="0.2">
      <c r="G22807" s="889"/>
    </row>
    <row r="22808" spans="7:7" ht="10.5" customHeight="1" x14ac:dyDescent="0.2">
      <c r="G22808" s="889"/>
    </row>
    <row r="22809" spans="7:7" ht="10.5" customHeight="1" x14ac:dyDescent="0.2">
      <c r="G22809" s="889"/>
    </row>
    <row r="22810" spans="7:7" ht="10.5" customHeight="1" x14ac:dyDescent="0.2">
      <c r="G22810" s="889"/>
    </row>
    <row r="22811" spans="7:7" ht="10.5" customHeight="1" x14ac:dyDescent="0.2">
      <c r="G22811" s="889"/>
    </row>
    <row r="22812" spans="7:7" ht="10.5" customHeight="1" x14ac:dyDescent="0.2">
      <c r="G22812" s="889"/>
    </row>
    <row r="22813" spans="7:7" ht="10.5" customHeight="1" x14ac:dyDescent="0.2">
      <c r="G22813" s="889"/>
    </row>
    <row r="22814" spans="7:7" ht="10.5" customHeight="1" x14ac:dyDescent="0.2">
      <c r="G22814" s="889"/>
    </row>
    <row r="22815" spans="7:7" ht="10.5" customHeight="1" x14ac:dyDescent="0.2">
      <c r="G22815" s="889"/>
    </row>
    <row r="22816" spans="7:7" ht="10.5" customHeight="1" x14ac:dyDescent="0.2">
      <c r="G22816" s="889"/>
    </row>
    <row r="22817" spans="7:7" ht="10.5" customHeight="1" x14ac:dyDescent="0.2">
      <c r="G22817" s="889"/>
    </row>
    <row r="22818" spans="7:7" ht="10.5" customHeight="1" x14ac:dyDescent="0.2">
      <c r="G22818" s="889"/>
    </row>
    <row r="22819" spans="7:7" ht="10.5" customHeight="1" x14ac:dyDescent="0.2">
      <c r="G22819" s="889"/>
    </row>
    <row r="22820" spans="7:7" ht="10.5" customHeight="1" x14ac:dyDescent="0.2">
      <c r="G22820" s="889"/>
    </row>
    <row r="22821" spans="7:7" ht="10.5" customHeight="1" x14ac:dyDescent="0.2">
      <c r="G22821" s="889"/>
    </row>
    <row r="22822" spans="7:7" ht="10.5" customHeight="1" x14ac:dyDescent="0.2">
      <c r="G22822" s="889"/>
    </row>
    <row r="22823" spans="7:7" ht="10.5" customHeight="1" x14ac:dyDescent="0.2">
      <c r="G22823" s="889"/>
    </row>
    <row r="22824" spans="7:7" ht="10.5" customHeight="1" x14ac:dyDescent="0.2">
      <c r="G22824" s="889"/>
    </row>
    <row r="22825" spans="7:7" ht="10.5" customHeight="1" x14ac:dyDescent="0.2">
      <c r="G22825" s="889"/>
    </row>
    <row r="22826" spans="7:7" ht="10.5" customHeight="1" x14ac:dyDescent="0.2">
      <c r="G22826" s="889"/>
    </row>
    <row r="22827" spans="7:7" ht="10.5" customHeight="1" x14ac:dyDescent="0.2">
      <c r="G22827" s="889"/>
    </row>
    <row r="22828" spans="7:7" ht="10.5" customHeight="1" x14ac:dyDescent="0.2">
      <c r="G22828" s="889"/>
    </row>
    <row r="22829" spans="7:7" ht="10.5" customHeight="1" x14ac:dyDescent="0.2">
      <c r="G22829" s="889"/>
    </row>
    <row r="22830" spans="7:7" ht="10.5" customHeight="1" x14ac:dyDescent="0.2">
      <c r="G22830" s="889"/>
    </row>
    <row r="22831" spans="7:7" ht="10.5" customHeight="1" x14ac:dyDescent="0.2">
      <c r="G22831" s="889"/>
    </row>
    <row r="22832" spans="7:7" ht="10.5" customHeight="1" x14ac:dyDescent="0.2">
      <c r="G22832" s="889"/>
    </row>
    <row r="22833" spans="7:7" ht="10.5" customHeight="1" x14ac:dyDescent="0.2">
      <c r="G22833" s="889"/>
    </row>
    <row r="22834" spans="7:7" ht="10.5" customHeight="1" x14ac:dyDescent="0.2">
      <c r="G22834" s="889"/>
    </row>
    <row r="22835" spans="7:7" ht="10.5" customHeight="1" x14ac:dyDescent="0.2">
      <c r="G22835" s="889"/>
    </row>
    <row r="22836" spans="7:7" ht="10.5" customHeight="1" x14ac:dyDescent="0.2">
      <c r="G22836" s="889"/>
    </row>
    <row r="22837" spans="7:7" ht="10.5" customHeight="1" x14ac:dyDescent="0.2">
      <c r="G22837" s="889"/>
    </row>
    <row r="22838" spans="7:7" ht="10.5" customHeight="1" x14ac:dyDescent="0.2">
      <c r="G22838" s="889"/>
    </row>
    <row r="22839" spans="7:7" ht="10.5" customHeight="1" x14ac:dyDescent="0.2">
      <c r="G22839" s="889"/>
    </row>
    <row r="22840" spans="7:7" ht="10.5" customHeight="1" x14ac:dyDescent="0.2">
      <c r="G22840" s="889"/>
    </row>
    <row r="22841" spans="7:7" ht="10.5" customHeight="1" x14ac:dyDescent="0.2">
      <c r="G22841" s="889"/>
    </row>
    <row r="22842" spans="7:7" ht="10.5" customHeight="1" x14ac:dyDescent="0.2">
      <c r="G22842" s="889"/>
    </row>
    <row r="22843" spans="7:7" ht="10.5" customHeight="1" x14ac:dyDescent="0.2">
      <c r="G22843" s="889"/>
    </row>
    <row r="22844" spans="7:7" ht="10.5" customHeight="1" x14ac:dyDescent="0.2">
      <c r="G22844" s="889"/>
    </row>
    <row r="22845" spans="7:7" ht="10.5" customHeight="1" x14ac:dyDescent="0.2">
      <c r="G22845" s="889"/>
    </row>
    <row r="22846" spans="7:7" ht="10.5" customHeight="1" x14ac:dyDescent="0.2">
      <c r="G22846" s="889"/>
    </row>
    <row r="22847" spans="7:7" ht="10.5" customHeight="1" x14ac:dyDescent="0.2">
      <c r="G22847" s="889"/>
    </row>
    <row r="22848" spans="7:7" ht="10.5" customHeight="1" x14ac:dyDescent="0.2">
      <c r="G22848" s="889"/>
    </row>
    <row r="22849" spans="7:7" ht="10.5" customHeight="1" x14ac:dyDescent="0.2">
      <c r="G22849" s="889"/>
    </row>
    <row r="22850" spans="7:7" ht="10.5" customHeight="1" x14ac:dyDescent="0.2">
      <c r="G22850" s="889"/>
    </row>
    <row r="22851" spans="7:7" ht="10.5" customHeight="1" x14ac:dyDescent="0.2">
      <c r="G22851" s="889"/>
    </row>
    <row r="22852" spans="7:7" ht="10.5" customHeight="1" x14ac:dyDescent="0.2">
      <c r="G22852" s="889"/>
    </row>
    <row r="22853" spans="7:7" ht="10.5" customHeight="1" x14ac:dyDescent="0.2">
      <c r="G22853" s="889"/>
    </row>
    <row r="22854" spans="7:7" ht="10.5" customHeight="1" x14ac:dyDescent="0.2">
      <c r="G22854" s="889"/>
    </row>
    <row r="22855" spans="7:7" ht="10.5" customHeight="1" x14ac:dyDescent="0.2">
      <c r="G22855" s="889"/>
    </row>
    <row r="22856" spans="7:7" ht="10.5" customHeight="1" x14ac:dyDescent="0.2">
      <c r="G22856" s="889"/>
    </row>
    <row r="22857" spans="7:7" ht="10.5" customHeight="1" x14ac:dyDescent="0.2">
      <c r="G22857" s="889"/>
    </row>
    <row r="22858" spans="7:7" ht="10.5" customHeight="1" x14ac:dyDescent="0.2">
      <c r="G22858" s="889"/>
    </row>
    <row r="22859" spans="7:7" ht="10.5" customHeight="1" x14ac:dyDescent="0.2">
      <c r="G22859" s="889"/>
    </row>
    <row r="22860" spans="7:7" ht="10.5" customHeight="1" x14ac:dyDescent="0.2">
      <c r="G22860" s="889"/>
    </row>
    <row r="22861" spans="7:7" ht="10.5" customHeight="1" x14ac:dyDescent="0.2">
      <c r="G22861" s="889"/>
    </row>
    <row r="22862" spans="7:7" ht="10.5" customHeight="1" x14ac:dyDescent="0.2">
      <c r="G22862" s="889"/>
    </row>
    <row r="22863" spans="7:7" ht="10.5" customHeight="1" x14ac:dyDescent="0.2">
      <c r="G22863" s="889"/>
    </row>
    <row r="22864" spans="7:7" ht="10.5" customHeight="1" x14ac:dyDescent="0.2">
      <c r="G22864" s="889"/>
    </row>
    <row r="22865" spans="7:7" ht="10.5" customHeight="1" x14ac:dyDescent="0.2">
      <c r="G22865" s="889"/>
    </row>
    <row r="22866" spans="7:7" ht="10.5" customHeight="1" x14ac:dyDescent="0.2">
      <c r="G22866" s="889"/>
    </row>
    <row r="22867" spans="7:7" ht="10.5" customHeight="1" x14ac:dyDescent="0.2">
      <c r="G22867" s="889"/>
    </row>
    <row r="22868" spans="7:7" ht="10.5" customHeight="1" x14ac:dyDescent="0.2">
      <c r="G22868" s="889"/>
    </row>
    <row r="22869" spans="7:7" ht="10.5" customHeight="1" x14ac:dyDescent="0.2">
      <c r="G22869" s="889"/>
    </row>
    <row r="22870" spans="7:7" ht="10.5" customHeight="1" x14ac:dyDescent="0.2">
      <c r="G22870" s="889"/>
    </row>
    <row r="22871" spans="7:7" ht="10.5" customHeight="1" x14ac:dyDescent="0.2">
      <c r="G22871" s="889"/>
    </row>
    <row r="22872" spans="7:7" ht="10.5" customHeight="1" x14ac:dyDescent="0.2">
      <c r="G22872" s="889"/>
    </row>
    <row r="22873" spans="7:7" ht="10.5" customHeight="1" x14ac:dyDescent="0.2">
      <c r="G22873" s="889"/>
    </row>
    <row r="22874" spans="7:7" ht="10.5" customHeight="1" x14ac:dyDescent="0.2">
      <c r="G22874" s="889"/>
    </row>
    <row r="22875" spans="7:7" ht="10.5" customHeight="1" x14ac:dyDescent="0.2">
      <c r="G22875" s="889"/>
    </row>
    <row r="22876" spans="7:7" ht="10.5" customHeight="1" x14ac:dyDescent="0.2">
      <c r="G22876" s="889"/>
    </row>
    <row r="22877" spans="7:7" ht="10.5" customHeight="1" x14ac:dyDescent="0.2">
      <c r="G22877" s="889"/>
    </row>
    <row r="22878" spans="7:7" ht="10.5" customHeight="1" x14ac:dyDescent="0.2">
      <c r="G22878" s="889"/>
    </row>
    <row r="22879" spans="7:7" ht="10.5" customHeight="1" x14ac:dyDescent="0.2">
      <c r="G22879" s="889"/>
    </row>
    <row r="22880" spans="7:7" ht="10.5" customHeight="1" x14ac:dyDescent="0.2">
      <c r="G22880" s="889"/>
    </row>
    <row r="22881" spans="7:7" ht="10.5" customHeight="1" x14ac:dyDescent="0.2">
      <c r="G22881" s="889"/>
    </row>
    <row r="22882" spans="7:7" ht="10.5" customHeight="1" x14ac:dyDescent="0.2">
      <c r="G22882" s="889"/>
    </row>
    <row r="22883" spans="7:7" ht="10.5" customHeight="1" x14ac:dyDescent="0.2">
      <c r="G22883" s="889"/>
    </row>
    <row r="22884" spans="7:7" ht="10.5" customHeight="1" x14ac:dyDescent="0.2">
      <c r="G22884" s="889"/>
    </row>
    <row r="22885" spans="7:7" ht="10.5" customHeight="1" x14ac:dyDescent="0.2">
      <c r="G22885" s="889"/>
    </row>
    <row r="22886" spans="7:7" ht="10.5" customHeight="1" x14ac:dyDescent="0.2">
      <c r="G22886" s="889"/>
    </row>
    <row r="22887" spans="7:7" ht="10.5" customHeight="1" x14ac:dyDescent="0.2">
      <c r="G22887" s="889"/>
    </row>
    <row r="22888" spans="7:7" ht="10.5" customHeight="1" x14ac:dyDescent="0.2">
      <c r="G22888" s="889"/>
    </row>
    <row r="22889" spans="7:7" ht="10.5" customHeight="1" x14ac:dyDescent="0.2">
      <c r="G22889" s="889"/>
    </row>
    <row r="22890" spans="7:7" ht="10.5" customHeight="1" x14ac:dyDescent="0.2">
      <c r="G22890" s="889"/>
    </row>
    <row r="22891" spans="7:7" ht="10.5" customHeight="1" x14ac:dyDescent="0.2">
      <c r="G22891" s="889"/>
    </row>
    <row r="22892" spans="7:7" ht="10.5" customHeight="1" x14ac:dyDescent="0.2">
      <c r="G22892" s="889"/>
    </row>
    <row r="22893" spans="7:7" ht="10.5" customHeight="1" x14ac:dyDescent="0.2">
      <c r="G22893" s="889"/>
    </row>
    <row r="22894" spans="7:7" ht="10.5" customHeight="1" x14ac:dyDescent="0.2">
      <c r="G22894" s="889"/>
    </row>
    <row r="22895" spans="7:7" ht="10.5" customHeight="1" x14ac:dyDescent="0.2">
      <c r="G22895" s="889"/>
    </row>
    <row r="22896" spans="7:7" ht="10.5" customHeight="1" x14ac:dyDescent="0.2">
      <c r="G22896" s="889"/>
    </row>
    <row r="22897" spans="7:7" ht="10.5" customHeight="1" x14ac:dyDescent="0.2">
      <c r="G22897" s="889"/>
    </row>
    <row r="22898" spans="7:7" ht="10.5" customHeight="1" x14ac:dyDescent="0.2">
      <c r="G22898" s="889"/>
    </row>
    <row r="22899" spans="7:7" ht="10.5" customHeight="1" x14ac:dyDescent="0.2">
      <c r="G22899" s="889"/>
    </row>
    <row r="22900" spans="7:7" ht="10.5" customHeight="1" x14ac:dyDescent="0.2">
      <c r="G22900" s="889"/>
    </row>
    <row r="22901" spans="7:7" ht="10.5" customHeight="1" x14ac:dyDescent="0.2">
      <c r="G22901" s="889"/>
    </row>
    <row r="22902" spans="7:7" ht="10.5" customHeight="1" x14ac:dyDescent="0.2">
      <c r="G22902" s="889"/>
    </row>
    <row r="22903" spans="7:7" ht="10.5" customHeight="1" x14ac:dyDescent="0.2">
      <c r="G22903" s="889"/>
    </row>
    <row r="22904" spans="7:7" ht="10.5" customHeight="1" x14ac:dyDescent="0.2">
      <c r="G22904" s="889"/>
    </row>
    <row r="22905" spans="7:7" ht="10.5" customHeight="1" x14ac:dyDescent="0.2">
      <c r="G22905" s="889"/>
    </row>
    <row r="22906" spans="7:7" ht="10.5" customHeight="1" x14ac:dyDescent="0.2">
      <c r="G22906" s="889"/>
    </row>
    <row r="22907" spans="7:7" ht="10.5" customHeight="1" x14ac:dyDescent="0.2">
      <c r="G22907" s="889"/>
    </row>
    <row r="22908" spans="7:7" ht="10.5" customHeight="1" x14ac:dyDescent="0.2">
      <c r="G22908" s="889"/>
    </row>
    <row r="22909" spans="7:7" ht="10.5" customHeight="1" x14ac:dyDescent="0.2">
      <c r="G22909" s="889"/>
    </row>
    <row r="22910" spans="7:7" ht="10.5" customHeight="1" x14ac:dyDescent="0.2">
      <c r="G22910" s="889"/>
    </row>
    <row r="22911" spans="7:7" ht="10.5" customHeight="1" x14ac:dyDescent="0.2">
      <c r="G22911" s="889"/>
    </row>
    <row r="22912" spans="7:7" ht="10.5" customHeight="1" x14ac:dyDescent="0.2">
      <c r="G22912" s="889"/>
    </row>
    <row r="22913" spans="7:7" ht="10.5" customHeight="1" x14ac:dyDescent="0.2">
      <c r="G22913" s="889"/>
    </row>
    <row r="22914" spans="7:7" ht="10.5" customHeight="1" x14ac:dyDescent="0.2">
      <c r="G22914" s="889"/>
    </row>
    <row r="22915" spans="7:7" ht="10.5" customHeight="1" x14ac:dyDescent="0.2">
      <c r="G22915" s="889"/>
    </row>
    <row r="22916" spans="7:7" ht="10.5" customHeight="1" x14ac:dyDescent="0.2">
      <c r="G22916" s="889"/>
    </row>
    <row r="22917" spans="7:7" ht="10.5" customHeight="1" x14ac:dyDescent="0.2">
      <c r="G22917" s="889"/>
    </row>
    <row r="22918" spans="7:7" ht="10.5" customHeight="1" x14ac:dyDescent="0.2">
      <c r="G22918" s="889"/>
    </row>
    <row r="22919" spans="7:7" ht="10.5" customHeight="1" x14ac:dyDescent="0.2">
      <c r="G22919" s="889"/>
    </row>
    <row r="22920" spans="7:7" ht="10.5" customHeight="1" x14ac:dyDescent="0.2">
      <c r="G22920" s="889"/>
    </row>
    <row r="22921" spans="7:7" ht="10.5" customHeight="1" x14ac:dyDescent="0.2">
      <c r="G22921" s="889"/>
    </row>
    <row r="22922" spans="7:7" ht="10.5" customHeight="1" x14ac:dyDescent="0.2">
      <c r="G22922" s="889"/>
    </row>
    <row r="22923" spans="7:7" ht="10.5" customHeight="1" x14ac:dyDescent="0.2">
      <c r="G22923" s="889"/>
    </row>
    <row r="22924" spans="7:7" ht="10.5" customHeight="1" x14ac:dyDescent="0.2">
      <c r="G22924" s="889"/>
    </row>
    <row r="22925" spans="7:7" ht="10.5" customHeight="1" x14ac:dyDescent="0.2">
      <c r="G22925" s="889"/>
    </row>
    <row r="22926" spans="7:7" ht="10.5" customHeight="1" x14ac:dyDescent="0.2">
      <c r="G22926" s="889"/>
    </row>
    <row r="22927" spans="7:7" ht="10.5" customHeight="1" x14ac:dyDescent="0.2">
      <c r="G22927" s="889"/>
    </row>
    <row r="22928" spans="7:7" ht="10.5" customHeight="1" x14ac:dyDescent="0.2">
      <c r="G22928" s="889"/>
    </row>
    <row r="22929" spans="7:7" ht="10.5" customHeight="1" x14ac:dyDescent="0.2">
      <c r="G22929" s="889"/>
    </row>
    <row r="22930" spans="7:7" ht="10.5" customHeight="1" x14ac:dyDescent="0.2">
      <c r="G22930" s="889"/>
    </row>
    <row r="22931" spans="7:7" ht="10.5" customHeight="1" x14ac:dyDescent="0.2">
      <c r="G22931" s="889"/>
    </row>
    <row r="22932" spans="7:7" ht="10.5" customHeight="1" x14ac:dyDescent="0.2">
      <c r="G22932" s="889"/>
    </row>
    <row r="22933" spans="7:7" ht="10.5" customHeight="1" x14ac:dyDescent="0.2">
      <c r="G22933" s="889"/>
    </row>
    <row r="22934" spans="7:7" ht="10.5" customHeight="1" x14ac:dyDescent="0.2">
      <c r="G22934" s="889"/>
    </row>
    <row r="22935" spans="7:7" ht="10.5" customHeight="1" x14ac:dyDescent="0.2">
      <c r="G22935" s="889"/>
    </row>
    <row r="22936" spans="7:7" ht="10.5" customHeight="1" x14ac:dyDescent="0.2">
      <c r="G22936" s="889"/>
    </row>
    <row r="22937" spans="7:7" ht="10.5" customHeight="1" x14ac:dyDescent="0.2">
      <c r="G22937" s="889"/>
    </row>
    <row r="22938" spans="7:7" ht="10.5" customHeight="1" x14ac:dyDescent="0.2">
      <c r="G22938" s="889"/>
    </row>
    <row r="22939" spans="7:7" ht="10.5" customHeight="1" x14ac:dyDescent="0.2">
      <c r="G22939" s="889"/>
    </row>
    <row r="22940" spans="7:7" ht="10.5" customHeight="1" x14ac:dyDescent="0.2">
      <c r="G22940" s="889"/>
    </row>
    <row r="22941" spans="7:7" ht="10.5" customHeight="1" x14ac:dyDescent="0.2">
      <c r="G22941" s="889"/>
    </row>
    <row r="22942" spans="7:7" ht="10.5" customHeight="1" x14ac:dyDescent="0.2">
      <c r="G22942" s="889"/>
    </row>
    <row r="22943" spans="7:7" ht="10.5" customHeight="1" x14ac:dyDescent="0.2">
      <c r="G22943" s="889"/>
    </row>
    <row r="22944" spans="7:7" ht="10.5" customHeight="1" x14ac:dyDescent="0.2">
      <c r="G22944" s="889"/>
    </row>
    <row r="22945" spans="7:7" ht="10.5" customHeight="1" x14ac:dyDescent="0.2">
      <c r="G22945" s="889"/>
    </row>
    <row r="22946" spans="7:7" ht="10.5" customHeight="1" x14ac:dyDescent="0.2">
      <c r="G22946" s="889"/>
    </row>
    <row r="22947" spans="7:7" ht="10.5" customHeight="1" x14ac:dyDescent="0.2">
      <c r="G22947" s="889"/>
    </row>
    <row r="22948" spans="7:7" ht="10.5" customHeight="1" x14ac:dyDescent="0.2">
      <c r="G22948" s="889"/>
    </row>
    <row r="22949" spans="7:7" ht="10.5" customHeight="1" x14ac:dyDescent="0.2">
      <c r="G22949" s="889"/>
    </row>
    <row r="22950" spans="7:7" ht="10.5" customHeight="1" x14ac:dyDescent="0.2">
      <c r="G22950" s="889"/>
    </row>
    <row r="22951" spans="7:7" ht="10.5" customHeight="1" x14ac:dyDescent="0.2">
      <c r="G22951" s="889"/>
    </row>
    <row r="22952" spans="7:7" ht="10.5" customHeight="1" x14ac:dyDescent="0.2">
      <c r="G22952" s="889"/>
    </row>
    <row r="22953" spans="7:7" ht="10.5" customHeight="1" x14ac:dyDescent="0.2">
      <c r="G22953" s="889"/>
    </row>
    <row r="22954" spans="7:7" ht="10.5" customHeight="1" x14ac:dyDescent="0.2">
      <c r="G22954" s="889"/>
    </row>
    <row r="22955" spans="7:7" ht="10.5" customHeight="1" x14ac:dyDescent="0.2">
      <c r="G22955" s="889"/>
    </row>
    <row r="22956" spans="7:7" ht="10.5" customHeight="1" x14ac:dyDescent="0.2">
      <c r="G22956" s="889"/>
    </row>
    <row r="22957" spans="7:7" ht="10.5" customHeight="1" x14ac:dyDescent="0.2">
      <c r="G22957" s="889"/>
    </row>
    <row r="22958" spans="7:7" ht="10.5" customHeight="1" x14ac:dyDescent="0.2">
      <c r="G22958" s="889"/>
    </row>
    <row r="22959" spans="7:7" ht="10.5" customHeight="1" x14ac:dyDescent="0.2">
      <c r="G22959" s="889"/>
    </row>
    <row r="22960" spans="7:7" ht="10.5" customHeight="1" x14ac:dyDescent="0.2">
      <c r="G22960" s="889"/>
    </row>
    <row r="22961" spans="7:7" ht="10.5" customHeight="1" x14ac:dyDescent="0.2">
      <c r="G22961" s="889"/>
    </row>
    <row r="22962" spans="7:7" ht="10.5" customHeight="1" x14ac:dyDescent="0.2">
      <c r="G22962" s="889"/>
    </row>
    <row r="22963" spans="7:7" ht="10.5" customHeight="1" x14ac:dyDescent="0.2">
      <c r="G22963" s="889"/>
    </row>
    <row r="22964" spans="7:7" ht="10.5" customHeight="1" x14ac:dyDescent="0.2">
      <c r="G22964" s="889"/>
    </row>
    <row r="22965" spans="7:7" ht="10.5" customHeight="1" x14ac:dyDescent="0.2">
      <c r="G22965" s="889"/>
    </row>
    <row r="22966" spans="7:7" ht="10.5" customHeight="1" x14ac:dyDescent="0.2">
      <c r="G22966" s="889"/>
    </row>
    <row r="22967" spans="7:7" ht="10.5" customHeight="1" x14ac:dyDescent="0.2">
      <c r="G22967" s="889"/>
    </row>
    <row r="22968" spans="7:7" ht="10.5" customHeight="1" x14ac:dyDescent="0.2">
      <c r="G22968" s="889"/>
    </row>
    <row r="22969" spans="7:7" ht="10.5" customHeight="1" x14ac:dyDescent="0.2">
      <c r="G22969" s="889"/>
    </row>
    <row r="22970" spans="7:7" ht="10.5" customHeight="1" x14ac:dyDescent="0.2">
      <c r="G22970" s="889"/>
    </row>
    <row r="22971" spans="7:7" ht="10.5" customHeight="1" x14ac:dyDescent="0.2">
      <c r="G22971" s="889"/>
    </row>
    <row r="22972" spans="7:7" ht="10.5" customHeight="1" x14ac:dyDescent="0.2">
      <c r="G22972" s="889"/>
    </row>
    <row r="22973" spans="7:7" ht="10.5" customHeight="1" x14ac:dyDescent="0.2">
      <c r="G22973" s="889"/>
    </row>
    <row r="22974" spans="7:7" ht="10.5" customHeight="1" x14ac:dyDescent="0.2">
      <c r="G22974" s="889"/>
    </row>
    <row r="22975" spans="7:7" ht="10.5" customHeight="1" x14ac:dyDescent="0.2">
      <c r="G22975" s="889"/>
    </row>
    <row r="22976" spans="7:7" ht="10.5" customHeight="1" x14ac:dyDescent="0.2">
      <c r="G22976" s="889"/>
    </row>
    <row r="22977" spans="7:7" ht="10.5" customHeight="1" x14ac:dyDescent="0.2">
      <c r="G22977" s="889"/>
    </row>
    <row r="22978" spans="7:7" ht="10.5" customHeight="1" x14ac:dyDescent="0.2">
      <c r="G22978" s="889"/>
    </row>
    <row r="22979" spans="7:7" ht="10.5" customHeight="1" x14ac:dyDescent="0.2">
      <c r="G22979" s="889"/>
    </row>
    <row r="22980" spans="7:7" ht="10.5" customHeight="1" x14ac:dyDescent="0.2">
      <c r="G22980" s="889"/>
    </row>
    <row r="22981" spans="7:7" ht="10.5" customHeight="1" x14ac:dyDescent="0.2">
      <c r="G22981" s="889"/>
    </row>
    <row r="22982" spans="7:7" ht="10.5" customHeight="1" x14ac:dyDescent="0.2">
      <c r="G22982" s="889"/>
    </row>
    <row r="22983" spans="7:7" ht="10.5" customHeight="1" x14ac:dyDescent="0.2">
      <c r="G22983" s="889"/>
    </row>
    <row r="22984" spans="7:7" ht="10.5" customHeight="1" x14ac:dyDescent="0.2">
      <c r="G22984" s="889"/>
    </row>
    <row r="22985" spans="7:7" ht="10.5" customHeight="1" x14ac:dyDescent="0.2">
      <c r="G22985" s="889"/>
    </row>
    <row r="22986" spans="7:7" ht="10.5" customHeight="1" x14ac:dyDescent="0.2">
      <c r="G22986" s="889"/>
    </row>
    <row r="22987" spans="7:7" ht="10.5" customHeight="1" x14ac:dyDescent="0.2">
      <c r="G22987" s="889"/>
    </row>
    <row r="22988" spans="7:7" ht="10.5" customHeight="1" x14ac:dyDescent="0.2">
      <c r="G22988" s="889"/>
    </row>
    <row r="22989" spans="7:7" ht="10.5" customHeight="1" x14ac:dyDescent="0.2">
      <c r="G22989" s="889"/>
    </row>
    <row r="22990" spans="7:7" ht="10.5" customHeight="1" x14ac:dyDescent="0.2">
      <c r="G22990" s="889"/>
    </row>
    <row r="22991" spans="7:7" ht="10.5" customHeight="1" x14ac:dyDescent="0.2">
      <c r="G22991" s="889"/>
    </row>
    <row r="22992" spans="7:7" ht="10.5" customHeight="1" x14ac:dyDescent="0.2">
      <c r="G22992" s="889"/>
    </row>
    <row r="22993" spans="7:7" ht="10.5" customHeight="1" x14ac:dyDescent="0.2">
      <c r="G22993" s="889"/>
    </row>
    <row r="22994" spans="7:7" ht="10.5" customHeight="1" x14ac:dyDescent="0.2">
      <c r="G22994" s="889"/>
    </row>
    <row r="22995" spans="7:7" ht="10.5" customHeight="1" x14ac:dyDescent="0.2">
      <c r="G22995" s="889"/>
    </row>
    <row r="22996" spans="7:7" ht="10.5" customHeight="1" x14ac:dyDescent="0.2">
      <c r="G22996" s="889"/>
    </row>
    <row r="22997" spans="7:7" ht="10.5" customHeight="1" x14ac:dyDescent="0.2">
      <c r="G22997" s="889"/>
    </row>
    <row r="22998" spans="7:7" ht="10.5" customHeight="1" x14ac:dyDescent="0.2">
      <c r="G22998" s="889"/>
    </row>
    <row r="22999" spans="7:7" ht="10.5" customHeight="1" x14ac:dyDescent="0.2">
      <c r="G22999" s="889"/>
    </row>
    <row r="23000" spans="7:7" ht="10.5" customHeight="1" x14ac:dyDescent="0.2">
      <c r="G23000" s="889"/>
    </row>
    <row r="23001" spans="7:7" ht="10.5" customHeight="1" x14ac:dyDescent="0.2">
      <c r="G23001" s="889"/>
    </row>
    <row r="23002" spans="7:7" ht="10.5" customHeight="1" x14ac:dyDescent="0.2">
      <c r="G23002" s="889"/>
    </row>
    <row r="23003" spans="7:7" ht="10.5" customHeight="1" x14ac:dyDescent="0.2">
      <c r="G23003" s="889"/>
    </row>
    <row r="23004" spans="7:7" ht="10.5" customHeight="1" x14ac:dyDescent="0.2">
      <c r="G23004" s="889"/>
    </row>
    <row r="23005" spans="7:7" ht="10.5" customHeight="1" x14ac:dyDescent="0.2">
      <c r="G23005" s="889"/>
    </row>
    <row r="23006" spans="7:7" ht="10.5" customHeight="1" x14ac:dyDescent="0.2">
      <c r="G23006" s="889"/>
    </row>
    <row r="23007" spans="7:7" ht="10.5" customHeight="1" x14ac:dyDescent="0.2">
      <c r="G23007" s="889"/>
    </row>
    <row r="23008" spans="7:7" ht="10.5" customHeight="1" x14ac:dyDescent="0.2">
      <c r="G23008" s="889"/>
    </row>
    <row r="23009" spans="7:7" ht="10.5" customHeight="1" x14ac:dyDescent="0.2">
      <c r="G23009" s="889"/>
    </row>
    <row r="23010" spans="7:7" ht="10.5" customHeight="1" x14ac:dyDescent="0.2">
      <c r="G23010" s="889"/>
    </row>
    <row r="23011" spans="7:7" ht="10.5" customHeight="1" x14ac:dyDescent="0.2">
      <c r="G23011" s="889"/>
    </row>
    <row r="23012" spans="7:7" ht="10.5" customHeight="1" x14ac:dyDescent="0.2">
      <c r="G23012" s="889"/>
    </row>
    <row r="23013" spans="7:7" ht="10.5" customHeight="1" x14ac:dyDescent="0.2">
      <c r="G23013" s="889"/>
    </row>
    <row r="23014" spans="7:7" ht="10.5" customHeight="1" x14ac:dyDescent="0.2">
      <c r="G23014" s="889"/>
    </row>
    <row r="23015" spans="7:7" ht="10.5" customHeight="1" x14ac:dyDescent="0.2">
      <c r="G23015" s="889"/>
    </row>
    <row r="23016" spans="7:7" ht="10.5" customHeight="1" x14ac:dyDescent="0.2">
      <c r="G23016" s="889"/>
    </row>
    <row r="23017" spans="7:7" ht="10.5" customHeight="1" x14ac:dyDescent="0.2">
      <c r="G23017" s="889"/>
    </row>
    <row r="23018" spans="7:7" ht="10.5" customHeight="1" x14ac:dyDescent="0.2">
      <c r="G23018" s="889"/>
    </row>
    <row r="23019" spans="7:7" ht="10.5" customHeight="1" x14ac:dyDescent="0.2">
      <c r="G23019" s="889"/>
    </row>
    <row r="23020" spans="7:7" ht="10.5" customHeight="1" x14ac:dyDescent="0.2">
      <c r="G23020" s="889"/>
    </row>
    <row r="23021" spans="7:7" ht="10.5" customHeight="1" x14ac:dyDescent="0.2">
      <c r="G23021" s="889"/>
    </row>
    <row r="23022" spans="7:7" ht="10.5" customHeight="1" x14ac:dyDescent="0.2">
      <c r="G23022" s="889"/>
    </row>
    <row r="23023" spans="7:7" ht="10.5" customHeight="1" x14ac:dyDescent="0.2">
      <c r="G23023" s="889"/>
    </row>
    <row r="23024" spans="7:7" ht="10.5" customHeight="1" x14ac:dyDescent="0.2">
      <c r="G23024" s="889"/>
    </row>
    <row r="23025" spans="7:7" ht="10.5" customHeight="1" x14ac:dyDescent="0.2">
      <c r="G23025" s="889"/>
    </row>
    <row r="23026" spans="7:7" ht="10.5" customHeight="1" x14ac:dyDescent="0.2">
      <c r="G23026" s="889"/>
    </row>
    <row r="23027" spans="7:7" ht="10.5" customHeight="1" x14ac:dyDescent="0.2">
      <c r="G23027" s="889"/>
    </row>
    <row r="23028" spans="7:7" ht="10.5" customHeight="1" x14ac:dyDescent="0.2">
      <c r="G23028" s="889"/>
    </row>
    <row r="23029" spans="7:7" ht="10.5" customHeight="1" x14ac:dyDescent="0.2">
      <c r="G23029" s="889"/>
    </row>
    <row r="23030" spans="7:7" ht="10.5" customHeight="1" x14ac:dyDescent="0.2">
      <c r="G23030" s="889"/>
    </row>
    <row r="23031" spans="7:7" ht="10.5" customHeight="1" x14ac:dyDescent="0.2">
      <c r="G23031" s="889"/>
    </row>
    <row r="23032" spans="7:7" ht="10.5" customHeight="1" x14ac:dyDescent="0.2">
      <c r="G23032" s="889"/>
    </row>
    <row r="23033" spans="7:7" ht="10.5" customHeight="1" x14ac:dyDescent="0.2">
      <c r="G23033" s="889"/>
    </row>
    <row r="23034" spans="7:7" ht="10.5" customHeight="1" x14ac:dyDescent="0.2">
      <c r="G23034" s="889"/>
    </row>
    <row r="23035" spans="7:7" ht="10.5" customHeight="1" x14ac:dyDescent="0.2">
      <c r="G23035" s="889"/>
    </row>
    <row r="23036" spans="7:7" ht="10.5" customHeight="1" x14ac:dyDescent="0.2">
      <c r="G23036" s="889"/>
    </row>
    <row r="23037" spans="7:7" ht="10.5" customHeight="1" x14ac:dyDescent="0.2">
      <c r="G23037" s="889"/>
    </row>
    <row r="23038" spans="7:7" ht="10.5" customHeight="1" x14ac:dyDescent="0.2">
      <c r="G23038" s="889"/>
    </row>
    <row r="23039" spans="7:7" ht="10.5" customHeight="1" x14ac:dyDescent="0.2">
      <c r="G23039" s="889"/>
    </row>
    <row r="23040" spans="7:7" ht="10.5" customHeight="1" x14ac:dyDescent="0.2">
      <c r="G23040" s="889"/>
    </row>
    <row r="23041" spans="7:7" ht="10.5" customHeight="1" x14ac:dyDescent="0.2">
      <c r="G23041" s="889"/>
    </row>
    <row r="23042" spans="7:7" ht="10.5" customHeight="1" x14ac:dyDescent="0.2">
      <c r="G23042" s="889"/>
    </row>
    <row r="23043" spans="7:7" ht="10.5" customHeight="1" x14ac:dyDescent="0.2">
      <c r="G23043" s="889"/>
    </row>
    <row r="23044" spans="7:7" ht="10.5" customHeight="1" x14ac:dyDescent="0.2">
      <c r="G23044" s="889"/>
    </row>
    <row r="23045" spans="7:7" ht="10.5" customHeight="1" x14ac:dyDescent="0.2">
      <c r="G23045" s="889"/>
    </row>
    <row r="23046" spans="7:7" ht="10.5" customHeight="1" x14ac:dyDescent="0.2">
      <c r="G23046" s="889"/>
    </row>
    <row r="23047" spans="7:7" ht="10.5" customHeight="1" x14ac:dyDescent="0.2">
      <c r="G23047" s="889"/>
    </row>
    <row r="23048" spans="7:7" ht="10.5" customHeight="1" x14ac:dyDescent="0.2">
      <c r="G23048" s="889"/>
    </row>
    <row r="23049" spans="7:7" ht="10.5" customHeight="1" x14ac:dyDescent="0.2">
      <c r="G23049" s="889"/>
    </row>
    <row r="23050" spans="7:7" ht="10.5" customHeight="1" x14ac:dyDescent="0.2">
      <c r="G23050" s="889"/>
    </row>
    <row r="23051" spans="7:7" ht="10.5" customHeight="1" x14ac:dyDescent="0.2">
      <c r="G23051" s="889"/>
    </row>
    <row r="23052" spans="7:7" ht="10.5" customHeight="1" x14ac:dyDescent="0.2">
      <c r="G23052" s="889"/>
    </row>
    <row r="23053" spans="7:7" ht="10.5" customHeight="1" x14ac:dyDescent="0.2">
      <c r="G23053" s="889"/>
    </row>
    <row r="23054" spans="7:7" ht="10.5" customHeight="1" x14ac:dyDescent="0.2">
      <c r="G23054" s="889"/>
    </row>
    <row r="23055" spans="7:7" ht="10.5" customHeight="1" x14ac:dyDescent="0.2">
      <c r="G23055" s="889"/>
    </row>
    <row r="23056" spans="7:7" ht="10.5" customHeight="1" x14ac:dyDescent="0.2">
      <c r="G23056" s="889"/>
    </row>
    <row r="23057" spans="7:7" ht="10.5" customHeight="1" x14ac:dyDescent="0.2">
      <c r="G23057" s="889"/>
    </row>
    <row r="23058" spans="7:7" ht="10.5" customHeight="1" x14ac:dyDescent="0.2">
      <c r="G23058" s="889"/>
    </row>
    <row r="23059" spans="7:7" ht="10.5" customHeight="1" x14ac:dyDescent="0.2">
      <c r="G23059" s="889"/>
    </row>
    <row r="23060" spans="7:7" ht="10.5" customHeight="1" x14ac:dyDescent="0.2">
      <c r="G23060" s="889"/>
    </row>
    <row r="23061" spans="7:7" ht="10.5" customHeight="1" x14ac:dyDescent="0.2">
      <c r="G23061" s="889"/>
    </row>
    <row r="23062" spans="7:7" ht="10.5" customHeight="1" x14ac:dyDescent="0.2">
      <c r="G23062" s="889"/>
    </row>
    <row r="23063" spans="7:7" ht="10.5" customHeight="1" x14ac:dyDescent="0.2">
      <c r="G23063" s="889"/>
    </row>
    <row r="23064" spans="7:7" ht="10.5" customHeight="1" x14ac:dyDescent="0.2">
      <c r="G23064" s="889"/>
    </row>
    <row r="23065" spans="7:7" ht="10.5" customHeight="1" x14ac:dyDescent="0.2">
      <c r="G23065" s="889"/>
    </row>
    <row r="23066" spans="7:7" ht="10.5" customHeight="1" x14ac:dyDescent="0.2">
      <c r="G23066" s="889"/>
    </row>
    <row r="23067" spans="7:7" ht="10.5" customHeight="1" x14ac:dyDescent="0.2">
      <c r="G23067" s="889"/>
    </row>
    <row r="23068" spans="7:7" ht="10.5" customHeight="1" x14ac:dyDescent="0.2">
      <c r="G23068" s="889"/>
    </row>
    <row r="23069" spans="7:7" ht="10.5" customHeight="1" x14ac:dyDescent="0.2">
      <c r="G23069" s="889"/>
    </row>
    <row r="23070" spans="7:7" ht="10.5" customHeight="1" x14ac:dyDescent="0.2">
      <c r="G23070" s="889"/>
    </row>
    <row r="23071" spans="7:7" ht="10.5" customHeight="1" x14ac:dyDescent="0.2">
      <c r="G23071" s="889"/>
    </row>
    <row r="23072" spans="7:7" ht="10.5" customHeight="1" x14ac:dyDescent="0.2">
      <c r="G23072" s="889"/>
    </row>
    <row r="23073" spans="7:7" ht="10.5" customHeight="1" x14ac:dyDescent="0.2">
      <c r="G23073" s="889"/>
    </row>
    <row r="23074" spans="7:7" ht="10.5" customHeight="1" x14ac:dyDescent="0.2">
      <c r="G23074" s="889"/>
    </row>
    <row r="23075" spans="7:7" ht="10.5" customHeight="1" x14ac:dyDescent="0.2">
      <c r="G23075" s="889"/>
    </row>
    <row r="23076" spans="7:7" ht="10.5" customHeight="1" x14ac:dyDescent="0.2">
      <c r="G23076" s="889"/>
    </row>
    <row r="23077" spans="7:7" ht="10.5" customHeight="1" x14ac:dyDescent="0.2">
      <c r="G23077" s="889"/>
    </row>
    <row r="23078" spans="7:7" ht="10.5" customHeight="1" x14ac:dyDescent="0.2">
      <c r="G23078" s="889"/>
    </row>
    <row r="23079" spans="7:7" ht="10.5" customHeight="1" x14ac:dyDescent="0.2">
      <c r="G23079" s="889"/>
    </row>
    <row r="23080" spans="7:7" ht="10.5" customHeight="1" x14ac:dyDescent="0.2">
      <c r="G23080" s="889"/>
    </row>
    <row r="23081" spans="7:7" ht="10.5" customHeight="1" x14ac:dyDescent="0.2">
      <c r="G23081" s="889"/>
    </row>
    <row r="23082" spans="7:7" ht="10.5" customHeight="1" x14ac:dyDescent="0.2">
      <c r="G23082" s="889"/>
    </row>
    <row r="23083" spans="7:7" ht="10.5" customHeight="1" x14ac:dyDescent="0.2">
      <c r="G23083" s="889"/>
    </row>
    <row r="23084" spans="7:7" ht="10.5" customHeight="1" x14ac:dyDescent="0.2">
      <c r="G23084" s="889"/>
    </row>
    <row r="23085" spans="7:7" ht="10.5" customHeight="1" x14ac:dyDescent="0.2">
      <c r="G23085" s="889"/>
    </row>
    <row r="23086" spans="7:7" ht="10.5" customHeight="1" x14ac:dyDescent="0.2">
      <c r="G23086" s="889"/>
    </row>
    <row r="23087" spans="7:7" ht="10.5" customHeight="1" x14ac:dyDescent="0.2">
      <c r="G23087" s="889"/>
    </row>
    <row r="23088" spans="7:7" ht="10.5" customHeight="1" x14ac:dyDescent="0.2">
      <c r="G23088" s="889"/>
    </row>
    <row r="23089" spans="7:7" ht="10.5" customHeight="1" x14ac:dyDescent="0.2">
      <c r="G23089" s="889"/>
    </row>
    <row r="23090" spans="7:7" ht="10.5" customHeight="1" x14ac:dyDescent="0.2">
      <c r="G23090" s="889"/>
    </row>
    <row r="23091" spans="7:7" ht="10.5" customHeight="1" x14ac:dyDescent="0.2">
      <c r="G23091" s="889"/>
    </row>
    <row r="23092" spans="7:7" ht="10.5" customHeight="1" x14ac:dyDescent="0.2">
      <c r="G23092" s="889"/>
    </row>
    <row r="23093" spans="7:7" ht="10.5" customHeight="1" x14ac:dyDescent="0.2">
      <c r="G23093" s="889"/>
    </row>
    <row r="23094" spans="7:7" ht="10.5" customHeight="1" x14ac:dyDescent="0.2">
      <c r="G23094" s="889"/>
    </row>
    <row r="23095" spans="7:7" ht="10.5" customHeight="1" x14ac:dyDescent="0.2">
      <c r="G23095" s="889"/>
    </row>
    <row r="23096" spans="7:7" ht="10.5" customHeight="1" x14ac:dyDescent="0.2">
      <c r="G23096" s="889"/>
    </row>
    <row r="23097" spans="7:7" ht="10.5" customHeight="1" x14ac:dyDescent="0.2">
      <c r="G23097" s="889"/>
    </row>
    <row r="23098" spans="7:7" ht="10.5" customHeight="1" x14ac:dyDescent="0.2">
      <c r="G23098" s="889"/>
    </row>
    <row r="23099" spans="7:7" ht="10.5" customHeight="1" x14ac:dyDescent="0.2">
      <c r="G23099" s="889"/>
    </row>
    <row r="23100" spans="7:7" ht="10.5" customHeight="1" x14ac:dyDescent="0.2">
      <c r="G23100" s="889"/>
    </row>
    <row r="23101" spans="7:7" ht="10.5" customHeight="1" x14ac:dyDescent="0.2">
      <c r="G23101" s="889"/>
    </row>
    <row r="23102" spans="7:7" ht="10.5" customHeight="1" x14ac:dyDescent="0.2">
      <c r="G23102" s="889"/>
    </row>
    <row r="23103" spans="7:7" ht="10.5" customHeight="1" x14ac:dyDescent="0.2">
      <c r="G23103" s="889"/>
    </row>
    <row r="23104" spans="7:7" ht="10.5" customHeight="1" x14ac:dyDescent="0.2">
      <c r="G23104" s="889"/>
    </row>
    <row r="23105" spans="7:7" ht="10.5" customHeight="1" x14ac:dyDescent="0.2">
      <c r="G23105" s="889"/>
    </row>
    <row r="23106" spans="7:7" ht="10.5" customHeight="1" x14ac:dyDescent="0.2">
      <c r="G23106" s="889"/>
    </row>
    <row r="23107" spans="7:7" ht="10.5" customHeight="1" x14ac:dyDescent="0.2">
      <c r="G23107" s="889"/>
    </row>
    <row r="23108" spans="7:7" ht="10.5" customHeight="1" x14ac:dyDescent="0.2">
      <c r="G23108" s="889"/>
    </row>
    <row r="23109" spans="7:7" ht="10.5" customHeight="1" x14ac:dyDescent="0.2">
      <c r="G23109" s="889"/>
    </row>
    <row r="23110" spans="7:7" ht="10.5" customHeight="1" x14ac:dyDescent="0.2">
      <c r="G23110" s="889"/>
    </row>
    <row r="23111" spans="7:7" ht="10.5" customHeight="1" x14ac:dyDescent="0.2">
      <c r="G23111" s="889"/>
    </row>
    <row r="23112" spans="7:7" ht="10.5" customHeight="1" x14ac:dyDescent="0.2">
      <c r="G23112" s="889"/>
    </row>
    <row r="23113" spans="7:7" ht="10.5" customHeight="1" x14ac:dyDescent="0.2">
      <c r="G23113" s="889"/>
    </row>
    <row r="23114" spans="7:7" ht="10.5" customHeight="1" x14ac:dyDescent="0.2">
      <c r="G23114" s="889"/>
    </row>
    <row r="23115" spans="7:7" ht="10.5" customHeight="1" x14ac:dyDescent="0.2">
      <c r="G23115" s="889"/>
    </row>
    <row r="23116" spans="7:7" ht="10.5" customHeight="1" x14ac:dyDescent="0.2">
      <c r="G23116" s="889"/>
    </row>
    <row r="23117" spans="7:7" ht="10.5" customHeight="1" x14ac:dyDescent="0.2">
      <c r="G23117" s="889"/>
    </row>
    <row r="23118" spans="7:7" ht="10.5" customHeight="1" x14ac:dyDescent="0.2">
      <c r="G23118" s="889"/>
    </row>
    <row r="23119" spans="7:7" ht="10.5" customHeight="1" x14ac:dyDescent="0.2">
      <c r="G23119" s="889"/>
    </row>
    <row r="23120" spans="7:7" ht="10.5" customHeight="1" x14ac:dyDescent="0.2">
      <c r="G23120" s="889"/>
    </row>
    <row r="23121" spans="7:7" ht="10.5" customHeight="1" x14ac:dyDescent="0.2">
      <c r="G23121" s="889"/>
    </row>
    <row r="23122" spans="7:7" ht="10.5" customHeight="1" x14ac:dyDescent="0.2">
      <c r="G23122" s="889"/>
    </row>
    <row r="23123" spans="7:7" ht="10.5" customHeight="1" x14ac:dyDescent="0.2">
      <c r="G23123" s="889"/>
    </row>
    <row r="23124" spans="7:7" ht="10.5" customHeight="1" x14ac:dyDescent="0.2">
      <c r="G23124" s="889"/>
    </row>
    <row r="23125" spans="7:7" ht="10.5" customHeight="1" x14ac:dyDescent="0.2">
      <c r="G23125" s="889"/>
    </row>
    <row r="23126" spans="7:7" ht="10.5" customHeight="1" x14ac:dyDescent="0.2">
      <c r="G23126" s="889"/>
    </row>
    <row r="23127" spans="7:7" ht="10.5" customHeight="1" x14ac:dyDescent="0.2">
      <c r="G23127" s="889"/>
    </row>
    <row r="23128" spans="7:7" ht="10.5" customHeight="1" x14ac:dyDescent="0.2">
      <c r="G23128" s="889"/>
    </row>
    <row r="23129" spans="7:7" ht="10.5" customHeight="1" x14ac:dyDescent="0.2">
      <c r="G23129" s="889"/>
    </row>
    <row r="23130" spans="7:7" ht="10.5" customHeight="1" x14ac:dyDescent="0.2">
      <c r="G23130" s="889"/>
    </row>
    <row r="23131" spans="7:7" ht="10.5" customHeight="1" x14ac:dyDescent="0.2">
      <c r="G23131" s="889"/>
    </row>
    <row r="23132" spans="7:7" ht="10.5" customHeight="1" x14ac:dyDescent="0.2">
      <c r="G23132" s="889"/>
    </row>
    <row r="23133" spans="7:7" ht="10.5" customHeight="1" x14ac:dyDescent="0.2">
      <c r="G23133" s="889"/>
    </row>
    <row r="23134" spans="7:7" ht="10.5" customHeight="1" x14ac:dyDescent="0.2">
      <c r="G23134" s="889"/>
    </row>
    <row r="23135" spans="7:7" ht="10.5" customHeight="1" x14ac:dyDescent="0.2">
      <c r="G23135" s="889"/>
    </row>
    <row r="23136" spans="7:7" ht="10.5" customHeight="1" x14ac:dyDescent="0.2">
      <c r="G23136" s="889"/>
    </row>
    <row r="23137" spans="7:7" ht="10.5" customHeight="1" x14ac:dyDescent="0.2">
      <c r="G23137" s="889"/>
    </row>
    <row r="23138" spans="7:7" ht="10.5" customHeight="1" x14ac:dyDescent="0.2">
      <c r="G23138" s="889"/>
    </row>
    <row r="23139" spans="7:7" ht="10.5" customHeight="1" x14ac:dyDescent="0.2">
      <c r="G23139" s="889"/>
    </row>
    <row r="23140" spans="7:7" ht="10.5" customHeight="1" x14ac:dyDescent="0.2">
      <c r="G23140" s="889"/>
    </row>
    <row r="23141" spans="7:7" ht="10.5" customHeight="1" x14ac:dyDescent="0.2">
      <c r="G23141" s="889"/>
    </row>
    <row r="23142" spans="7:7" ht="10.5" customHeight="1" x14ac:dyDescent="0.2">
      <c r="G23142" s="889"/>
    </row>
    <row r="23143" spans="7:7" ht="10.5" customHeight="1" x14ac:dyDescent="0.2">
      <c r="G23143" s="889"/>
    </row>
    <row r="23144" spans="7:7" ht="10.5" customHeight="1" x14ac:dyDescent="0.2">
      <c r="G23144" s="889"/>
    </row>
    <row r="23145" spans="7:7" ht="10.5" customHeight="1" x14ac:dyDescent="0.2">
      <c r="G23145" s="889"/>
    </row>
    <row r="23146" spans="7:7" ht="10.5" customHeight="1" x14ac:dyDescent="0.2">
      <c r="G23146" s="889"/>
    </row>
    <row r="23147" spans="7:7" ht="10.5" customHeight="1" x14ac:dyDescent="0.2">
      <c r="G23147" s="889"/>
    </row>
    <row r="23148" spans="7:7" ht="10.5" customHeight="1" x14ac:dyDescent="0.2">
      <c r="G23148" s="889"/>
    </row>
    <row r="23149" spans="7:7" ht="10.5" customHeight="1" x14ac:dyDescent="0.2">
      <c r="G23149" s="889"/>
    </row>
    <row r="23150" spans="7:7" ht="10.5" customHeight="1" x14ac:dyDescent="0.2">
      <c r="G23150" s="889"/>
    </row>
    <row r="23151" spans="7:7" ht="10.5" customHeight="1" x14ac:dyDescent="0.2">
      <c r="G23151" s="889"/>
    </row>
    <row r="23152" spans="7:7" ht="10.5" customHeight="1" x14ac:dyDescent="0.2">
      <c r="G23152" s="889"/>
    </row>
    <row r="23153" spans="7:7" ht="10.5" customHeight="1" x14ac:dyDescent="0.2">
      <c r="G23153" s="889"/>
    </row>
    <row r="23154" spans="7:7" ht="10.5" customHeight="1" x14ac:dyDescent="0.2">
      <c r="G23154" s="889"/>
    </row>
    <row r="23155" spans="7:7" ht="10.5" customHeight="1" x14ac:dyDescent="0.2">
      <c r="G23155" s="889"/>
    </row>
    <row r="23156" spans="7:7" ht="10.5" customHeight="1" x14ac:dyDescent="0.2">
      <c r="G23156" s="889"/>
    </row>
    <row r="23157" spans="7:7" ht="10.5" customHeight="1" x14ac:dyDescent="0.2">
      <c r="G23157" s="889"/>
    </row>
    <row r="23158" spans="7:7" ht="10.5" customHeight="1" x14ac:dyDescent="0.2">
      <c r="G23158" s="889"/>
    </row>
    <row r="23159" spans="7:7" ht="10.5" customHeight="1" x14ac:dyDescent="0.2">
      <c r="G23159" s="889"/>
    </row>
    <row r="23160" spans="7:7" ht="10.5" customHeight="1" x14ac:dyDescent="0.2">
      <c r="G23160" s="889"/>
    </row>
    <row r="23161" spans="7:7" ht="10.5" customHeight="1" x14ac:dyDescent="0.2">
      <c r="G23161" s="889"/>
    </row>
    <row r="23162" spans="7:7" ht="10.5" customHeight="1" x14ac:dyDescent="0.2">
      <c r="G23162" s="889"/>
    </row>
    <row r="23163" spans="7:7" ht="10.5" customHeight="1" x14ac:dyDescent="0.2">
      <c r="G23163" s="889"/>
    </row>
    <row r="23164" spans="7:7" ht="10.5" customHeight="1" x14ac:dyDescent="0.2">
      <c r="G23164" s="889"/>
    </row>
    <row r="23165" spans="7:7" ht="10.5" customHeight="1" x14ac:dyDescent="0.2">
      <c r="G23165" s="889"/>
    </row>
    <row r="23166" spans="7:7" ht="10.5" customHeight="1" x14ac:dyDescent="0.2">
      <c r="G23166" s="889"/>
    </row>
    <row r="23167" spans="7:7" ht="10.5" customHeight="1" x14ac:dyDescent="0.2">
      <c r="G23167" s="889"/>
    </row>
    <row r="23168" spans="7:7" ht="10.5" customHeight="1" x14ac:dyDescent="0.2">
      <c r="G23168" s="889"/>
    </row>
    <row r="23169" spans="7:7" ht="10.5" customHeight="1" x14ac:dyDescent="0.2">
      <c r="G23169" s="889"/>
    </row>
    <row r="23170" spans="7:7" ht="10.5" customHeight="1" x14ac:dyDescent="0.2">
      <c r="G23170" s="889"/>
    </row>
    <row r="23171" spans="7:7" ht="10.5" customHeight="1" x14ac:dyDescent="0.2">
      <c r="G23171" s="889"/>
    </row>
    <row r="23172" spans="7:7" ht="10.5" customHeight="1" x14ac:dyDescent="0.2">
      <c r="G23172" s="889"/>
    </row>
    <row r="23173" spans="7:7" ht="10.5" customHeight="1" x14ac:dyDescent="0.2">
      <c r="G23173" s="889"/>
    </row>
    <row r="23174" spans="7:7" ht="10.5" customHeight="1" x14ac:dyDescent="0.2">
      <c r="G23174" s="889"/>
    </row>
    <row r="23175" spans="7:7" ht="10.5" customHeight="1" x14ac:dyDescent="0.2">
      <c r="G23175" s="889"/>
    </row>
    <row r="23176" spans="7:7" ht="10.5" customHeight="1" x14ac:dyDescent="0.2">
      <c r="G23176" s="889"/>
    </row>
    <row r="23177" spans="7:7" ht="10.5" customHeight="1" x14ac:dyDescent="0.2">
      <c r="G23177" s="889"/>
    </row>
    <row r="23178" spans="7:7" ht="10.5" customHeight="1" x14ac:dyDescent="0.2">
      <c r="G23178" s="889"/>
    </row>
    <row r="23179" spans="7:7" ht="10.5" customHeight="1" x14ac:dyDescent="0.2">
      <c r="G23179" s="889"/>
    </row>
    <row r="23180" spans="7:7" ht="10.5" customHeight="1" x14ac:dyDescent="0.2">
      <c r="G23180" s="889"/>
    </row>
    <row r="23181" spans="7:7" ht="10.5" customHeight="1" x14ac:dyDescent="0.2">
      <c r="G23181" s="889"/>
    </row>
    <row r="23182" spans="7:7" ht="10.5" customHeight="1" x14ac:dyDescent="0.2">
      <c r="G23182" s="889"/>
    </row>
    <row r="23183" spans="7:7" ht="10.5" customHeight="1" x14ac:dyDescent="0.2">
      <c r="G23183" s="889"/>
    </row>
    <row r="23184" spans="7:7" ht="10.5" customHeight="1" x14ac:dyDescent="0.2">
      <c r="G23184" s="889"/>
    </row>
    <row r="23185" spans="7:7" ht="10.5" customHeight="1" x14ac:dyDescent="0.2">
      <c r="G23185" s="889"/>
    </row>
    <row r="23186" spans="7:7" ht="10.5" customHeight="1" x14ac:dyDescent="0.2">
      <c r="G23186" s="889"/>
    </row>
    <row r="23187" spans="7:7" ht="10.5" customHeight="1" x14ac:dyDescent="0.2">
      <c r="G23187" s="889"/>
    </row>
    <row r="23188" spans="7:7" ht="10.5" customHeight="1" x14ac:dyDescent="0.2">
      <c r="G23188" s="889"/>
    </row>
    <row r="23189" spans="7:7" ht="10.5" customHeight="1" x14ac:dyDescent="0.2">
      <c r="G23189" s="889"/>
    </row>
    <row r="23190" spans="7:7" ht="10.5" customHeight="1" x14ac:dyDescent="0.2">
      <c r="G23190" s="889"/>
    </row>
    <row r="23191" spans="7:7" ht="10.5" customHeight="1" x14ac:dyDescent="0.2">
      <c r="G23191" s="889"/>
    </row>
    <row r="23192" spans="7:7" ht="10.5" customHeight="1" x14ac:dyDescent="0.2">
      <c r="G23192" s="889"/>
    </row>
    <row r="23193" spans="7:7" ht="10.5" customHeight="1" x14ac:dyDescent="0.2">
      <c r="G23193" s="889"/>
    </row>
    <row r="23194" spans="7:7" ht="10.5" customHeight="1" x14ac:dyDescent="0.2">
      <c r="G23194" s="889"/>
    </row>
    <row r="23195" spans="7:7" ht="10.5" customHeight="1" x14ac:dyDescent="0.2">
      <c r="G23195" s="889"/>
    </row>
    <row r="23196" spans="7:7" ht="10.5" customHeight="1" x14ac:dyDescent="0.2">
      <c r="G23196" s="889"/>
    </row>
    <row r="23197" spans="7:7" ht="10.5" customHeight="1" x14ac:dyDescent="0.2">
      <c r="G23197" s="889"/>
    </row>
    <row r="23198" spans="7:7" ht="10.5" customHeight="1" x14ac:dyDescent="0.2">
      <c r="G23198" s="889"/>
    </row>
    <row r="23199" spans="7:7" ht="10.5" customHeight="1" x14ac:dyDescent="0.2">
      <c r="G23199" s="889"/>
    </row>
    <row r="23200" spans="7:7" ht="10.5" customHeight="1" x14ac:dyDescent="0.2">
      <c r="G23200" s="889"/>
    </row>
    <row r="23201" spans="7:7" ht="10.5" customHeight="1" x14ac:dyDescent="0.2">
      <c r="G23201" s="889"/>
    </row>
    <row r="23202" spans="7:7" ht="10.5" customHeight="1" x14ac:dyDescent="0.2">
      <c r="G23202" s="889"/>
    </row>
    <row r="23203" spans="7:7" ht="10.5" customHeight="1" x14ac:dyDescent="0.2">
      <c r="G23203" s="889"/>
    </row>
    <row r="23204" spans="7:7" ht="10.5" customHeight="1" x14ac:dyDescent="0.2">
      <c r="G23204" s="889"/>
    </row>
    <row r="23205" spans="7:7" ht="10.5" customHeight="1" x14ac:dyDescent="0.2">
      <c r="G23205" s="889"/>
    </row>
    <row r="23206" spans="7:7" ht="10.5" customHeight="1" x14ac:dyDescent="0.2">
      <c r="G23206" s="889"/>
    </row>
    <row r="23207" spans="7:7" ht="10.5" customHeight="1" x14ac:dyDescent="0.2">
      <c r="G23207" s="889"/>
    </row>
    <row r="23208" spans="7:7" ht="10.5" customHeight="1" x14ac:dyDescent="0.2">
      <c r="G23208" s="889"/>
    </row>
    <row r="23209" spans="7:7" ht="10.5" customHeight="1" x14ac:dyDescent="0.2">
      <c r="G23209" s="889"/>
    </row>
    <row r="23210" spans="7:7" ht="10.5" customHeight="1" x14ac:dyDescent="0.2">
      <c r="G23210" s="889"/>
    </row>
    <row r="23211" spans="7:7" ht="10.5" customHeight="1" x14ac:dyDescent="0.2">
      <c r="G23211" s="889"/>
    </row>
    <row r="23212" spans="7:7" ht="10.5" customHeight="1" x14ac:dyDescent="0.2">
      <c r="G23212" s="889"/>
    </row>
    <row r="23213" spans="7:7" ht="10.5" customHeight="1" x14ac:dyDescent="0.2">
      <c r="G23213" s="889"/>
    </row>
    <row r="23214" spans="7:7" ht="10.5" customHeight="1" x14ac:dyDescent="0.2">
      <c r="G23214" s="889"/>
    </row>
    <row r="23215" spans="7:7" ht="10.5" customHeight="1" x14ac:dyDescent="0.2">
      <c r="G23215" s="889"/>
    </row>
    <row r="23216" spans="7:7" ht="10.5" customHeight="1" x14ac:dyDescent="0.2">
      <c r="G23216" s="889"/>
    </row>
    <row r="23217" spans="7:7" ht="10.5" customHeight="1" x14ac:dyDescent="0.2">
      <c r="G23217" s="889"/>
    </row>
    <row r="23218" spans="7:7" ht="10.5" customHeight="1" x14ac:dyDescent="0.2">
      <c r="G23218" s="889"/>
    </row>
    <row r="23219" spans="7:7" ht="10.5" customHeight="1" x14ac:dyDescent="0.2">
      <c r="G23219" s="889"/>
    </row>
    <row r="23220" spans="7:7" ht="10.5" customHeight="1" x14ac:dyDescent="0.2">
      <c r="G23220" s="889"/>
    </row>
    <row r="23221" spans="7:7" ht="10.5" customHeight="1" x14ac:dyDescent="0.2">
      <c r="G23221" s="889"/>
    </row>
    <row r="23222" spans="7:7" ht="10.5" customHeight="1" x14ac:dyDescent="0.2">
      <c r="G23222" s="889"/>
    </row>
    <row r="23223" spans="7:7" ht="10.5" customHeight="1" x14ac:dyDescent="0.2">
      <c r="G23223" s="889"/>
    </row>
    <row r="23224" spans="7:7" ht="10.5" customHeight="1" x14ac:dyDescent="0.2">
      <c r="G23224" s="889"/>
    </row>
    <row r="23225" spans="7:7" ht="10.5" customHeight="1" x14ac:dyDescent="0.2">
      <c r="G23225" s="889"/>
    </row>
    <row r="23226" spans="7:7" ht="10.5" customHeight="1" x14ac:dyDescent="0.2">
      <c r="G23226" s="889"/>
    </row>
    <row r="23227" spans="7:7" ht="10.5" customHeight="1" x14ac:dyDescent="0.2">
      <c r="G23227" s="889"/>
    </row>
    <row r="23228" spans="7:7" ht="10.5" customHeight="1" x14ac:dyDescent="0.2">
      <c r="G23228" s="889"/>
    </row>
    <row r="23229" spans="7:7" ht="10.5" customHeight="1" x14ac:dyDescent="0.2">
      <c r="G23229" s="889"/>
    </row>
    <row r="23230" spans="7:7" ht="10.5" customHeight="1" x14ac:dyDescent="0.2">
      <c r="G23230" s="889"/>
    </row>
    <row r="23231" spans="7:7" ht="10.5" customHeight="1" x14ac:dyDescent="0.2">
      <c r="G23231" s="889"/>
    </row>
    <row r="23232" spans="7:7" ht="10.5" customHeight="1" x14ac:dyDescent="0.2">
      <c r="G23232" s="889"/>
    </row>
    <row r="23233" spans="7:7" ht="10.5" customHeight="1" x14ac:dyDescent="0.2">
      <c r="G23233" s="889"/>
    </row>
    <row r="23234" spans="7:7" ht="10.5" customHeight="1" x14ac:dyDescent="0.2">
      <c r="G23234" s="889"/>
    </row>
    <row r="23235" spans="7:7" ht="10.5" customHeight="1" x14ac:dyDescent="0.2">
      <c r="G23235" s="889"/>
    </row>
    <row r="23236" spans="7:7" ht="10.5" customHeight="1" x14ac:dyDescent="0.2">
      <c r="G23236" s="889"/>
    </row>
    <row r="23237" spans="7:7" ht="10.5" customHeight="1" x14ac:dyDescent="0.2">
      <c r="G23237" s="889"/>
    </row>
    <row r="23238" spans="7:7" ht="10.5" customHeight="1" x14ac:dyDescent="0.2">
      <c r="G23238" s="889"/>
    </row>
    <row r="23239" spans="7:7" ht="10.5" customHeight="1" x14ac:dyDescent="0.2">
      <c r="G23239" s="889"/>
    </row>
    <row r="23240" spans="7:7" ht="10.5" customHeight="1" x14ac:dyDescent="0.2">
      <c r="G23240" s="889"/>
    </row>
    <row r="23241" spans="7:7" ht="10.5" customHeight="1" x14ac:dyDescent="0.2">
      <c r="G23241" s="889"/>
    </row>
    <row r="23242" spans="7:7" ht="10.5" customHeight="1" x14ac:dyDescent="0.2">
      <c r="G23242" s="889"/>
    </row>
    <row r="23243" spans="7:7" ht="10.5" customHeight="1" x14ac:dyDescent="0.2">
      <c r="G23243" s="889"/>
    </row>
    <row r="23244" spans="7:7" ht="10.5" customHeight="1" x14ac:dyDescent="0.2">
      <c r="G23244" s="889"/>
    </row>
    <row r="23245" spans="7:7" ht="10.5" customHeight="1" x14ac:dyDescent="0.2">
      <c r="G23245" s="889"/>
    </row>
    <row r="23246" spans="7:7" ht="10.5" customHeight="1" x14ac:dyDescent="0.2">
      <c r="G23246" s="889"/>
    </row>
    <row r="23247" spans="7:7" ht="10.5" customHeight="1" x14ac:dyDescent="0.2">
      <c r="G23247" s="889"/>
    </row>
    <row r="23248" spans="7:7" ht="10.5" customHeight="1" x14ac:dyDescent="0.2">
      <c r="G23248" s="889"/>
    </row>
    <row r="23249" spans="7:7" ht="10.5" customHeight="1" x14ac:dyDescent="0.2">
      <c r="G23249" s="889"/>
    </row>
    <row r="23250" spans="7:7" ht="10.5" customHeight="1" x14ac:dyDescent="0.2">
      <c r="G23250" s="889"/>
    </row>
    <row r="23251" spans="7:7" ht="10.5" customHeight="1" x14ac:dyDescent="0.2">
      <c r="G23251" s="889"/>
    </row>
    <row r="23252" spans="7:7" ht="10.5" customHeight="1" x14ac:dyDescent="0.2">
      <c r="G23252" s="889"/>
    </row>
    <row r="23253" spans="7:7" ht="10.5" customHeight="1" x14ac:dyDescent="0.2">
      <c r="G23253" s="889"/>
    </row>
    <row r="23254" spans="7:7" ht="10.5" customHeight="1" x14ac:dyDescent="0.2">
      <c r="G23254" s="889"/>
    </row>
    <row r="23255" spans="7:7" ht="10.5" customHeight="1" x14ac:dyDescent="0.2">
      <c r="G23255" s="889"/>
    </row>
    <row r="23256" spans="7:7" ht="10.5" customHeight="1" x14ac:dyDescent="0.2">
      <c r="G23256" s="889"/>
    </row>
    <row r="23257" spans="7:7" ht="10.5" customHeight="1" x14ac:dyDescent="0.2">
      <c r="G23257" s="889"/>
    </row>
    <row r="23258" spans="7:7" ht="10.5" customHeight="1" x14ac:dyDescent="0.2">
      <c r="G23258" s="889"/>
    </row>
    <row r="23259" spans="7:7" ht="10.5" customHeight="1" x14ac:dyDescent="0.2">
      <c r="G23259" s="889"/>
    </row>
    <row r="23260" spans="7:7" ht="10.5" customHeight="1" x14ac:dyDescent="0.2">
      <c r="G23260" s="889"/>
    </row>
    <row r="23261" spans="7:7" ht="10.5" customHeight="1" x14ac:dyDescent="0.2">
      <c r="G23261" s="889"/>
    </row>
    <row r="23262" spans="7:7" ht="10.5" customHeight="1" x14ac:dyDescent="0.2">
      <c r="G23262" s="889"/>
    </row>
    <row r="23263" spans="7:7" ht="10.5" customHeight="1" x14ac:dyDescent="0.2">
      <c r="G23263" s="889"/>
    </row>
    <row r="23264" spans="7:7" ht="10.5" customHeight="1" x14ac:dyDescent="0.2">
      <c r="G23264" s="889"/>
    </row>
    <row r="23265" spans="7:7" ht="10.5" customHeight="1" x14ac:dyDescent="0.2">
      <c r="G23265" s="889"/>
    </row>
    <row r="23266" spans="7:7" ht="10.5" customHeight="1" x14ac:dyDescent="0.2">
      <c r="G23266" s="889"/>
    </row>
    <row r="23267" spans="7:7" ht="10.5" customHeight="1" x14ac:dyDescent="0.2">
      <c r="G23267" s="889"/>
    </row>
    <row r="23268" spans="7:7" ht="10.5" customHeight="1" x14ac:dyDescent="0.2">
      <c r="G23268" s="889"/>
    </row>
    <row r="23269" spans="7:7" ht="10.5" customHeight="1" x14ac:dyDescent="0.2">
      <c r="G23269" s="889"/>
    </row>
    <row r="23270" spans="7:7" ht="10.5" customHeight="1" x14ac:dyDescent="0.2">
      <c r="G23270" s="889"/>
    </row>
    <row r="23271" spans="7:7" ht="10.5" customHeight="1" x14ac:dyDescent="0.2">
      <c r="G23271" s="889"/>
    </row>
    <row r="23272" spans="7:7" ht="10.5" customHeight="1" x14ac:dyDescent="0.2">
      <c r="G23272" s="889"/>
    </row>
    <row r="23273" spans="7:7" ht="10.5" customHeight="1" x14ac:dyDescent="0.2">
      <c r="G23273" s="889"/>
    </row>
    <row r="23274" spans="7:7" ht="10.5" customHeight="1" x14ac:dyDescent="0.2">
      <c r="G23274" s="889"/>
    </row>
    <row r="23275" spans="7:7" ht="10.5" customHeight="1" x14ac:dyDescent="0.2">
      <c r="G23275" s="889"/>
    </row>
    <row r="23276" spans="7:7" ht="10.5" customHeight="1" x14ac:dyDescent="0.2">
      <c r="G23276" s="889"/>
    </row>
    <row r="23277" spans="7:7" ht="10.5" customHeight="1" x14ac:dyDescent="0.2">
      <c r="G23277" s="889"/>
    </row>
    <row r="23278" spans="7:7" ht="10.5" customHeight="1" x14ac:dyDescent="0.2">
      <c r="G23278" s="889"/>
    </row>
    <row r="23279" spans="7:7" ht="10.5" customHeight="1" x14ac:dyDescent="0.2">
      <c r="G23279" s="889"/>
    </row>
    <row r="23280" spans="7:7" ht="10.5" customHeight="1" x14ac:dyDescent="0.2">
      <c r="G23280" s="889"/>
    </row>
    <row r="23281" spans="7:7" ht="10.5" customHeight="1" x14ac:dyDescent="0.2">
      <c r="G23281" s="889"/>
    </row>
    <row r="23282" spans="7:7" ht="10.5" customHeight="1" x14ac:dyDescent="0.2">
      <c r="G23282" s="889"/>
    </row>
    <row r="23283" spans="7:7" ht="10.5" customHeight="1" x14ac:dyDescent="0.2">
      <c r="G23283" s="889"/>
    </row>
    <row r="23284" spans="7:7" ht="10.5" customHeight="1" x14ac:dyDescent="0.2">
      <c r="G23284" s="889"/>
    </row>
    <row r="23285" spans="7:7" ht="10.5" customHeight="1" x14ac:dyDescent="0.2">
      <c r="G23285" s="889"/>
    </row>
    <row r="23286" spans="7:7" ht="10.5" customHeight="1" x14ac:dyDescent="0.2">
      <c r="G23286" s="889"/>
    </row>
    <row r="23287" spans="7:7" ht="10.5" customHeight="1" x14ac:dyDescent="0.2">
      <c r="G23287" s="889"/>
    </row>
    <row r="23288" spans="7:7" ht="10.5" customHeight="1" x14ac:dyDescent="0.2">
      <c r="G23288" s="889"/>
    </row>
    <row r="23289" spans="7:7" ht="10.5" customHeight="1" x14ac:dyDescent="0.2">
      <c r="G23289" s="889"/>
    </row>
    <row r="23290" spans="7:7" ht="10.5" customHeight="1" x14ac:dyDescent="0.2">
      <c r="G23290" s="889"/>
    </row>
    <row r="23291" spans="7:7" ht="10.5" customHeight="1" x14ac:dyDescent="0.2">
      <c r="G23291" s="889"/>
    </row>
    <row r="23292" spans="7:7" ht="10.5" customHeight="1" x14ac:dyDescent="0.2">
      <c r="G23292" s="889"/>
    </row>
    <row r="23293" spans="7:7" ht="10.5" customHeight="1" x14ac:dyDescent="0.2">
      <c r="G23293" s="889"/>
    </row>
    <row r="23294" spans="7:7" ht="10.5" customHeight="1" x14ac:dyDescent="0.2">
      <c r="G23294" s="889"/>
    </row>
    <row r="23295" spans="7:7" ht="10.5" customHeight="1" x14ac:dyDescent="0.2">
      <c r="G23295" s="889"/>
    </row>
    <row r="23296" spans="7:7" ht="10.5" customHeight="1" x14ac:dyDescent="0.2">
      <c r="G23296" s="889"/>
    </row>
    <row r="23297" spans="7:7" ht="10.5" customHeight="1" x14ac:dyDescent="0.2">
      <c r="G23297" s="889"/>
    </row>
    <row r="23298" spans="7:7" ht="10.5" customHeight="1" x14ac:dyDescent="0.2">
      <c r="G23298" s="889"/>
    </row>
    <row r="23299" spans="7:7" ht="10.5" customHeight="1" x14ac:dyDescent="0.2">
      <c r="G23299" s="889"/>
    </row>
    <row r="23300" spans="7:7" ht="10.5" customHeight="1" x14ac:dyDescent="0.2">
      <c r="G23300" s="889"/>
    </row>
    <row r="23301" spans="7:7" ht="10.5" customHeight="1" x14ac:dyDescent="0.2">
      <c r="G23301" s="889"/>
    </row>
    <row r="23302" spans="7:7" ht="10.5" customHeight="1" x14ac:dyDescent="0.2">
      <c r="G23302" s="889"/>
    </row>
    <row r="23303" spans="7:7" ht="10.5" customHeight="1" x14ac:dyDescent="0.2">
      <c r="G23303" s="889"/>
    </row>
    <row r="23304" spans="7:7" ht="10.5" customHeight="1" x14ac:dyDescent="0.2">
      <c r="G23304" s="889"/>
    </row>
    <row r="23305" spans="7:7" ht="10.5" customHeight="1" x14ac:dyDescent="0.2">
      <c r="G23305" s="889"/>
    </row>
    <row r="23306" spans="7:7" ht="10.5" customHeight="1" x14ac:dyDescent="0.2">
      <c r="G23306" s="889"/>
    </row>
    <row r="23307" spans="7:7" ht="10.5" customHeight="1" x14ac:dyDescent="0.2">
      <c r="G23307" s="889"/>
    </row>
    <row r="23308" spans="7:7" ht="10.5" customHeight="1" x14ac:dyDescent="0.2">
      <c r="G23308" s="889"/>
    </row>
    <row r="23309" spans="7:7" ht="10.5" customHeight="1" x14ac:dyDescent="0.2">
      <c r="G23309" s="889"/>
    </row>
    <row r="23310" spans="7:7" ht="10.5" customHeight="1" x14ac:dyDescent="0.2">
      <c r="G23310" s="889"/>
    </row>
    <row r="23311" spans="7:7" ht="10.5" customHeight="1" x14ac:dyDescent="0.2">
      <c r="G23311" s="889"/>
    </row>
    <row r="23312" spans="7:7" ht="10.5" customHeight="1" x14ac:dyDescent="0.2">
      <c r="G23312" s="889"/>
    </row>
    <row r="23313" spans="7:7" ht="10.5" customHeight="1" x14ac:dyDescent="0.2">
      <c r="G23313" s="889"/>
    </row>
    <row r="23314" spans="7:7" ht="10.5" customHeight="1" x14ac:dyDescent="0.2">
      <c r="G23314" s="889"/>
    </row>
    <row r="23315" spans="7:7" ht="10.5" customHeight="1" x14ac:dyDescent="0.2">
      <c r="G23315" s="889"/>
    </row>
    <row r="23316" spans="7:7" ht="10.5" customHeight="1" x14ac:dyDescent="0.2">
      <c r="G23316" s="889"/>
    </row>
    <row r="23317" spans="7:7" ht="10.5" customHeight="1" x14ac:dyDescent="0.2">
      <c r="G23317" s="889"/>
    </row>
    <row r="23318" spans="7:7" ht="10.5" customHeight="1" x14ac:dyDescent="0.2">
      <c r="G23318" s="889"/>
    </row>
    <row r="23319" spans="7:7" ht="10.5" customHeight="1" x14ac:dyDescent="0.2">
      <c r="G23319" s="889"/>
    </row>
    <row r="23320" spans="7:7" ht="10.5" customHeight="1" x14ac:dyDescent="0.2">
      <c r="G23320" s="889"/>
    </row>
    <row r="23321" spans="7:7" ht="10.5" customHeight="1" x14ac:dyDescent="0.2">
      <c r="G23321" s="889"/>
    </row>
    <row r="23322" spans="7:7" ht="10.5" customHeight="1" x14ac:dyDescent="0.2">
      <c r="G23322" s="889"/>
    </row>
    <row r="23323" spans="7:7" ht="10.5" customHeight="1" x14ac:dyDescent="0.2">
      <c r="G23323" s="889"/>
    </row>
    <row r="23324" spans="7:7" ht="10.5" customHeight="1" x14ac:dyDescent="0.2">
      <c r="G23324" s="889"/>
    </row>
    <row r="23325" spans="7:7" ht="10.5" customHeight="1" x14ac:dyDescent="0.2">
      <c r="G23325" s="889"/>
    </row>
    <row r="23326" spans="7:7" ht="10.5" customHeight="1" x14ac:dyDescent="0.2">
      <c r="G23326" s="889"/>
    </row>
    <row r="23327" spans="7:7" ht="10.5" customHeight="1" x14ac:dyDescent="0.2">
      <c r="G23327" s="889"/>
    </row>
    <row r="23328" spans="7:7" ht="10.5" customHeight="1" x14ac:dyDescent="0.2">
      <c r="G23328" s="889"/>
    </row>
    <row r="23329" spans="7:7" ht="10.5" customHeight="1" x14ac:dyDescent="0.2">
      <c r="G23329" s="889"/>
    </row>
    <row r="23330" spans="7:7" ht="10.5" customHeight="1" x14ac:dyDescent="0.2">
      <c r="G23330" s="889"/>
    </row>
    <row r="23331" spans="7:7" ht="10.5" customHeight="1" x14ac:dyDescent="0.2">
      <c r="G23331" s="889"/>
    </row>
    <row r="23332" spans="7:7" ht="10.5" customHeight="1" x14ac:dyDescent="0.2">
      <c r="G23332" s="889"/>
    </row>
    <row r="23333" spans="7:7" ht="10.5" customHeight="1" x14ac:dyDescent="0.2">
      <c r="G23333" s="889"/>
    </row>
    <row r="23334" spans="7:7" ht="10.5" customHeight="1" x14ac:dyDescent="0.2">
      <c r="G23334" s="889"/>
    </row>
    <row r="23335" spans="7:7" ht="10.5" customHeight="1" x14ac:dyDescent="0.2">
      <c r="G23335" s="889"/>
    </row>
    <row r="23336" spans="7:7" ht="10.5" customHeight="1" x14ac:dyDescent="0.2">
      <c r="G23336" s="889"/>
    </row>
    <row r="23337" spans="7:7" ht="10.5" customHeight="1" x14ac:dyDescent="0.2">
      <c r="G23337" s="889"/>
    </row>
    <row r="23338" spans="7:7" ht="10.5" customHeight="1" x14ac:dyDescent="0.2">
      <c r="G23338" s="889"/>
    </row>
    <row r="23339" spans="7:7" ht="10.5" customHeight="1" x14ac:dyDescent="0.2">
      <c r="G23339" s="889"/>
    </row>
    <row r="23340" spans="7:7" ht="10.5" customHeight="1" x14ac:dyDescent="0.2">
      <c r="G23340" s="889"/>
    </row>
    <row r="23341" spans="7:7" ht="10.5" customHeight="1" x14ac:dyDescent="0.2">
      <c r="G23341" s="889"/>
    </row>
    <row r="23342" spans="7:7" ht="10.5" customHeight="1" x14ac:dyDescent="0.2">
      <c r="G23342" s="889"/>
    </row>
    <row r="23343" spans="7:7" ht="10.5" customHeight="1" x14ac:dyDescent="0.2">
      <c r="G23343" s="889"/>
    </row>
    <row r="23344" spans="7:7" ht="10.5" customHeight="1" x14ac:dyDescent="0.2">
      <c r="G23344" s="889"/>
    </row>
    <row r="23345" spans="7:7" ht="10.5" customHeight="1" x14ac:dyDescent="0.2">
      <c r="G23345" s="889"/>
    </row>
    <row r="23346" spans="7:7" ht="10.5" customHeight="1" x14ac:dyDescent="0.2">
      <c r="G23346" s="889"/>
    </row>
    <row r="23347" spans="7:7" ht="10.5" customHeight="1" x14ac:dyDescent="0.2">
      <c r="G23347" s="889"/>
    </row>
    <row r="23348" spans="7:7" ht="10.5" customHeight="1" x14ac:dyDescent="0.2">
      <c r="G23348" s="889"/>
    </row>
    <row r="23349" spans="7:7" ht="10.5" customHeight="1" x14ac:dyDescent="0.2">
      <c r="G23349" s="889"/>
    </row>
    <row r="23350" spans="7:7" ht="10.5" customHeight="1" x14ac:dyDescent="0.2">
      <c r="G23350" s="889"/>
    </row>
    <row r="23351" spans="7:7" ht="10.5" customHeight="1" x14ac:dyDescent="0.2">
      <c r="G23351" s="889"/>
    </row>
    <row r="23352" spans="7:7" ht="10.5" customHeight="1" x14ac:dyDescent="0.2">
      <c r="G23352" s="889"/>
    </row>
    <row r="23353" spans="7:7" ht="10.5" customHeight="1" x14ac:dyDescent="0.2">
      <c r="G23353" s="889"/>
    </row>
    <row r="23354" spans="7:7" ht="10.5" customHeight="1" x14ac:dyDescent="0.2">
      <c r="G23354" s="889"/>
    </row>
    <row r="23355" spans="7:7" ht="10.5" customHeight="1" x14ac:dyDescent="0.2">
      <c r="G23355" s="889"/>
    </row>
    <row r="23356" spans="7:7" ht="10.5" customHeight="1" x14ac:dyDescent="0.2">
      <c r="G23356" s="889"/>
    </row>
    <row r="23357" spans="7:7" ht="10.5" customHeight="1" x14ac:dyDescent="0.2">
      <c r="G23357" s="889"/>
    </row>
    <row r="23358" spans="7:7" ht="10.5" customHeight="1" x14ac:dyDescent="0.2">
      <c r="G23358" s="889"/>
    </row>
    <row r="23359" spans="7:7" ht="10.5" customHeight="1" x14ac:dyDescent="0.2">
      <c r="G23359" s="889"/>
    </row>
    <row r="23360" spans="7:7" ht="10.5" customHeight="1" x14ac:dyDescent="0.2">
      <c r="G23360" s="889"/>
    </row>
    <row r="23361" spans="7:7" ht="10.5" customHeight="1" x14ac:dyDescent="0.2">
      <c r="G23361" s="889"/>
    </row>
    <row r="23362" spans="7:7" ht="10.5" customHeight="1" x14ac:dyDescent="0.2">
      <c r="G23362" s="889"/>
    </row>
    <row r="23363" spans="7:7" ht="10.5" customHeight="1" x14ac:dyDescent="0.2">
      <c r="G23363" s="889"/>
    </row>
    <row r="23364" spans="7:7" ht="10.5" customHeight="1" x14ac:dyDescent="0.2">
      <c r="G23364" s="889"/>
    </row>
    <row r="23365" spans="7:7" ht="10.5" customHeight="1" x14ac:dyDescent="0.2">
      <c r="G23365" s="889"/>
    </row>
    <row r="23366" spans="7:7" ht="10.5" customHeight="1" x14ac:dyDescent="0.2">
      <c r="G23366" s="889"/>
    </row>
    <row r="23367" spans="7:7" ht="10.5" customHeight="1" x14ac:dyDescent="0.2">
      <c r="G23367" s="889"/>
    </row>
    <row r="23368" spans="7:7" ht="10.5" customHeight="1" x14ac:dyDescent="0.2">
      <c r="G23368" s="889"/>
    </row>
    <row r="23369" spans="7:7" ht="10.5" customHeight="1" x14ac:dyDescent="0.2">
      <c r="G23369" s="889"/>
    </row>
    <row r="23370" spans="7:7" ht="10.5" customHeight="1" x14ac:dyDescent="0.2">
      <c r="G23370" s="889"/>
    </row>
    <row r="23371" spans="7:7" ht="10.5" customHeight="1" x14ac:dyDescent="0.2">
      <c r="G23371" s="889"/>
    </row>
    <row r="23372" spans="7:7" ht="10.5" customHeight="1" x14ac:dyDescent="0.2">
      <c r="G23372" s="889"/>
    </row>
    <row r="23373" spans="7:7" ht="10.5" customHeight="1" x14ac:dyDescent="0.2">
      <c r="G23373" s="889"/>
    </row>
    <row r="23374" spans="7:7" ht="10.5" customHeight="1" x14ac:dyDescent="0.2">
      <c r="G23374" s="889"/>
    </row>
    <row r="23375" spans="7:7" ht="10.5" customHeight="1" x14ac:dyDescent="0.2">
      <c r="G23375" s="889"/>
    </row>
    <row r="23376" spans="7:7" ht="10.5" customHeight="1" x14ac:dyDescent="0.2">
      <c r="G23376" s="889"/>
    </row>
    <row r="23377" spans="7:7" ht="10.5" customHeight="1" x14ac:dyDescent="0.2">
      <c r="G23377" s="889"/>
    </row>
    <row r="23378" spans="7:7" ht="10.5" customHeight="1" x14ac:dyDescent="0.2">
      <c r="G23378" s="889"/>
    </row>
    <row r="23379" spans="7:7" ht="10.5" customHeight="1" x14ac:dyDescent="0.2">
      <c r="G23379" s="889"/>
    </row>
    <row r="23380" spans="7:7" ht="10.5" customHeight="1" x14ac:dyDescent="0.2">
      <c r="G23380" s="889"/>
    </row>
    <row r="23381" spans="7:7" ht="10.5" customHeight="1" x14ac:dyDescent="0.2">
      <c r="G23381" s="889"/>
    </row>
    <row r="23382" spans="7:7" ht="10.5" customHeight="1" x14ac:dyDescent="0.2">
      <c r="G23382" s="889"/>
    </row>
    <row r="23383" spans="7:7" ht="10.5" customHeight="1" x14ac:dyDescent="0.2">
      <c r="G23383" s="889"/>
    </row>
    <row r="23384" spans="7:7" ht="10.5" customHeight="1" x14ac:dyDescent="0.2">
      <c r="G23384" s="889"/>
    </row>
    <row r="23385" spans="7:7" ht="10.5" customHeight="1" x14ac:dyDescent="0.2">
      <c r="G23385" s="889"/>
    </row>
    <row r="23386" spans="7:7" ht="10.5" customHeight="1" x14ac:dyDescent="0.2">
      <c r="G23386" s="889"/>
    </row>
    <row r="23387" spans="7:7" ht="10.5" customHeight="1" x14ac:dyDescent="0.2">
      <c r="G23387" s="889"/>
    </row>
    <row r="23388" spans="7:7" ht="10.5" customHeight="1" x14ac:dyDescent="0.2">
      <c r="G23388" s="889"/>
    </row>
    <row r="23389" spans="7:7" ht="10.5" customHeight="1" x14ac:dyDescent="0.2">
      <c r="G23389" s="889"/>
    </row>
    <row r="23390" spans="7:7" ht="10.5" customHeight="1" x14ac:dyDescent="0.2">
      <c r="G23390" s="889"/>
    </row>
    <row r="23391" spans="7:7" ht="10.5" customHeight="1" x14ac:dyDescent="0.2">
      <c r="G23391" s="889"/>
    </row>
    <row r="23392" spans="7:7" ht="10.5" customHeight="1" x14ac:dyDescent="0.2">
      <c r="G23392" s="889"/>
    </row>
    <row r="23393" spans="7:7" ht="10.5" customHeight="1" x14ac:dyDescent="0.2">
      <c r="G23393" s="889"/>
    </row>
    <row r="23394" spans="7:7" ht="10.5" customHeight="1" x14ac:dyDescent="0.2">
      <c r="G23394" s="889"/>
    </row>
    <row r="23395" spans="7:7" ht="10.5" customHeight="1" x14ac:dyDescent="0.2">
      <c r="G23395" s="889"/>
    </row>
    <row r="23396" spans="7:7" ht="10.5" customHeight="1" x14ac:dyDescent="0.2">
      <c r="G23396" s="889"/>
    </row>
    <row r="23397" spans="7:7" ht="10.5" customHeight="1" x14ac:dyDescent="0.2">
      <c r="G23397" s="889"/>
    </row>
    <row r="23398" spans="7:7" ht="10.5" customHeight="1" x14ac:dyDescent="0.2">
      <c r="G23398" s="889"/>
    </row>
    <row r="23399" spans="7:7" ht="10.5" customHeight="1" x14ac:dyDescent="0.2">
      <c r="G23399" s="889"/>
    </row>
    <row r="23400" spans="7:7" ht="10.5" customHeight="1" x14ac:dyDescent="0.2">
      <c r="G23400" s="889"/>
    </row>
    <row r="23401" spans="7:7" ht="10.5" customHeight="1" x14ac:dyDescent="0.2">
      <c r="G23401" s="889"/>
    </row>
    <row r="23402" spans="7:7" ht="10.5" customHeight="1" x14ac:dyDescent="0.2">
      <c r="G23402" s="889"/>
    </row>
    <row r="23403" spans="7:7" ht="10.5" customHeight="1" x14ac:dyDescent="0.2">
      <c r="G23403" s="889"/>
    </row>
    <row r="23404" spans="7:7" ht="10.5" customHeight="1" x14ac:dyDescent="0.2">
      <c r="G23404" s="889"/>
    </row>
    <row r="23405" spans="7:7" ht="10.5" customHeight="1" x14ac:dyDescent="0.2">
      <c r="G23405" s="889"/>
    </row>
    <row r="23406" spans="7:7" ht="10.5" customHeight="1" x14ac:dyDescent="0.2">
      <c r="G23406" s="889"/>
    </row>
    <row r="23407" spans="7:7" ht="10.5" customHeight="1" x14ac:dyDescent="0.2">
      <c r="G23407" s="889"/>
    </row>
    <row r="23408" spans="7:7" ht="10.5" customHeight="1" x14ac:dyDescent="0.2">
      <c r="G23408" s="889"/>
    </row>
    <row r="23409" spans="7:7" ht="10.5" customHeight="1" x14ac:dyDescent="0.2">
      <c r="G23409" s="889"/>
    </row>
    <row r="23410" spans="7:7" ht="10.5" customHeight="1" x14ac:dyDescent="0.2">
      <c r="G23410" s="889"/>
    </row>
    <row r="23411" spans="7:7" ht="10.5" customHeight="1" x14ac:dyDescent="0.2">
      <c r="G23411" s="889"/>
    </row>
    <row r="23412" spans="7:7" ht="10.5" customHeight="1" x14ac:dyDescent="0.2">
      <c r="G23412" s="889"/>
    </row>
    <row r="23413" spans="7:7" ht="10.5" customHeight="1" x14ac:dyDescent="0.2">
      <c r="G23413" s="889"/>
    </row>
    <row r="23414" spans="7:7" ht="10.5" customHeight="1" x14ac:dyDescent="0.2">
      <c r="G23414" s="889"/>
    </row>
    <row r="23415" spans="7:7" ht="10.5" customHeight="1" x14ac:dyDescent="0.2">
      <c r="G23415" s="889"/>
    </row>
    <row r="23416" spans="7:7" ht="10.5" customHeight="1" x14ac:dyDescent="0.2">
      <c r="G23416" s="889"/>
    </row>
    <row r="23417" spans="7:7" ht="10.5" customHeight="1" x14ac:dyDescent="0.2">
      <c r="G23417" s="889"/>
    </row>
    <row r="23418" spans="7:7" ht="10.5" customHeight="1" x14ac:dyDescent="0.2">
      <c r="G23418" s="889"/>
    </row>
    <row r="23419" spans="7:7" ht="10.5" customHeight="1" x14ac:dyDescent="0.2">
      <c r="G23419" s="889"/>
    </row>
    <row r="23420" spans="7:7" ht="10.5" customHeight="1" x14ac:dyDescent="0.2">
      <c r="G23420" s="889"/>
    </row>
    <row r="23421" spans="7:7" ht="10.5" customHeight="1" x14ac:dyDescent="0.2">
      <c r="G23421" s="889"/>
    </row>
    <row r="23422" spans="7:7" ht="10.5" customHeight="1" x14ac:dyDescent="0.2">
      <c r="G23422" s="889"/>
    </row>
    <row r="23423" spans="7:7" ht="10.5" customHeight="1" x14ac:dyDescent="0.2">
      <c r="G23423" s="889"/>
    </row>
    <row r="23424" spans="7:7" ht="10.5" customHeight="1" x14ac:dyDescent="0.2">
      <c r="G23424" s="889"/>
    </row>
    <row r="23425" spans="7:7" ht="10.5" customHeight="1" x14ac:dyDescent="0.2">
      <c r="G23425" s="889"/>
    </row>
    <row r="23426" spans="7:7" ht="10.5" customHeight="1" x14ac:dyDescent="0.2">
      <c r="G23426" s="889"/>
    </row>
    <row r="23427" spans="7:7" ht="10.5" customHeight="1" x14ac:dyDescent="0.2">
      <c r="G23427" s="889"/>
    </row>
    <row r="23428" spans="7:7" ht="10.5" customHeight="1" x14ac:dyDescent="0.2">
      <c r="G23428" s="889"/>
    </row>
    <row r="23429" spans="7:7" ht="10.5" customHeight="1" x14ac:dyDescent="0.2">
      <c r="G23429" s="889"/>
    </row>
    <row r="23430" spans="7:7" ht="10.5" customHeight="1" x14ac:dyDescent="0.2">
      <c r="G23430" s="889"/>
    </row>
    <row r="23431" spans="7:7" ht="10.5" customHeight="1" x14ac:dyDescent="0.2">
      <c r="G23431" s="889"/>
    </row>
    <row r="23432" spans="7:7" ht="10.5" customHeight="1" x14ac:dyDescent="0.2">
      <c r="G23432" s="889"/>
    </row>
    <row r="23433" spans="7:7" ht="10.5" customHeight="1" x14ac:dyDescent="0.2">
      <c r="G23433" s="889"/>
    </row>
    <row r="23434" spans="7:7" ht="10.5" customHeight="1" x14ac:dyDescent="0.2">
      <c r="G23434" s="889"/>
    </row>
    <row r="23435" spans="7:7" ht="10.5" customHeight="1" x14ac:dyDescent="0.2">
      <c r="G23435" s="889"/>
    </row>
    <row r="23436" spans="7:7" ht="10.5" customHeight="1" x14ac:dyDescent="0.2">
      <c r="G23436" s="889"/>
    </row>
    <row r="23437" spans="7:7" ht="10.5" customHeight="1" x14ac:dyDescent="0.2">
      <c r="G23437" s="889"/>
    </row>
    <row r="23438" spans="7:7" ht="10.5" customHeight="1" x14ac:dyDescent="0.2">
      <c r="G23438" s="889"/>
    </row>
    <row r="23439" spans="7:7" ht="10.5" customHeight="1" x14ac:dyDescent="0.2">
      <c r="G23439" s="889"/>
    </row>
    <row r="23440" spans="7:7" ht="10.5" customHeight="1" x14ac:dyDescent="0.2">
      <c r="G23440" s="889"/>
    </row>
    <row r="23441" spans="7:7" ht="10.5" customHeight="1" x14ac:dyDescent="0.2">
      <c r="G23441" s="889"/>
    </row>
    <row r="23442" spans="7:7" ht="10.5" customHeight="1" x14ac:dyDescent="0.2">
      <c r="G23442" s="889"/>
    </row>
    <row r="23443" spans="7:7" ht="10.5" customHeight="1" x14ac:dyDescent="0.2">
      <c r="G23443" s="889"/>
    </row>
    <row r="23444" spans="7:7" ht="10.5" customHeight="1" x14ac:dyDescent="0.2">
      <c r="G23444" s="889"/>
    </row>
    <row r="23445" spans="7:7" ht="10.5" customHeight="1" x14ac:dyDescent="0.2">
      <c r="G23445" s="889"/>
    </row>
    <row r="23446" spans="7:7" ht="10.5" customHeight="1" x14ac:dyDescent="0.2">
      <c r="G23446" s="889"/>
    </row>
    <row r="23447" spans="7:7" ht="10.5" customHeight="1" x14ac:dyDescent="0.2">
      <c r="G23447" s="889"/>
    </row>
    <row r="23448" spans="7:7" ht="10.5" customHeight="1" x14ac:dyDescent="0.2">
      <c r="G23448" s="889"/>
    </row>
    <row r="23449" spans="7:7" ht="10.5" customHeight="1" x14ac:dyDescent="0.2">
      <c r="G23449" s="889"/>
    </row>
    <row r="23450" spans="7:7" ht="10.5" customHeight="1" x14ac:dyDescent="0.2">
      <c r="G23450" s="889"/>
    </row>
    <row r="23451" spans="7:7" ht="10.5" customHeight="1" x14ac:dyDescent="0.2">
      <c r="G23451" s="889"/>
    </row>
    <row r="23452" spans="7:7" ht="10.5" customHeight="1" x14ac:dyDescent="0.2">
      <c r="G23452" s="889"/>
    </row>
    <row r="23453" spans="7:7" ht="10.5" customHeight="1" x14ac:dyDescent="0.2">
      <c r="G23453" s="889"/>
    </row>
    <row r="23454" spans="7:7" ht="10.5" customHeight="1" x14ac:dyDescent="0.2">
      <c r="G23454" s="889"/>
    </row>
    <row r="23455" spans="7:7" ht="10.5" customHeight="1" x14ac:dyDescent="0.2">
      <c r="G23455" s="889"/>
    </row>
    <row r="23456" spans="7:7" ht="10.5" customHeight="1" x14ac:dyDescent="0.2">
      <c r="G23456" s="889"/>
    </row>
    <row r="23457" spans="7:7" ht="10.5" customHeight="1" x14ac:dyDescent="0.2">
      <c r="G23457" s="889"/>
    </row>
    <row r="23458" spans="7:7" ht="10.5" customHeight="1" x14ac:dyDescent="0.2">
      <c r="G23458" s="889"/>
    </row>
    <row r="23459" spans="7:7" ht="10.5" customHeight="1" x14ac:dyDescent="0.2">
      <c r="G23459" s="889"/>
    </row>
    <row r="23460" spans="7:7" ht="10.5" customHeight="1" x14ac:dyDescent="0.2">
      <c r="G23460" s="889"/>
    </row>
    <row r="23461" spans="7:7" ht="10.5" customHeight="1" x14ac:dyDescent="0.2">
      <c r="G23461" s="889"/>
    </row>
    <row r="23462" spans="7:7" ht="10.5" customHeight="1" x14ac:dyDescent="0.2">
      <c r="G23462" s="889"/>
    </row>
    <row r="23463" spans="7:7" ht="10.5" customHeight="1" x14ac:dyDescent="0.2">
      <c r="G23463" s="889"/>
    </row>
    <row r="23464" spans="7:7" ht="10.5" customHeight="1" x14ac:dyDescent="0.2">
      <c r="G23464" s="889"/>
    </row>
    <row r="23465" spans="7:7" ht="10.5" customHeight="1" x14ac:dyDescent="0.2">
      <c r="G23465" s="889"/>
    </row>
    <row r="23466" spans="7:7" ht="10.5" customHeight="1" x14ac:dyDescent="0.2">
      <c r="G23466" s="889"/>
    </row>
    <row r="23467" spans="7:7" ht="10.5" customHeight="1" x14ac:dyDescent="0.2">
      <c r="G23467" s="889"/>
    </row>
    <row r="23468" spans="7:7" ht="10.5" customHeight="1" x14ac:dyDescent="0.2">
      <c r="G23468" s="889"/>
    </row>
    <row r="23469" spans="7:7" ht="10.5" customHeight="1" x14ac:dyDescent="0.2">
      <c r="G23469" s="889"/>
    </row>
    <row r="23470" spans="7:7" ht="10.5" customHeight="1" x14ac:dyDescent="0.2">
      <c r="G23470" s="889"/>
    </row>
    <row r="23471" spans="7:7" ht="10.5" customHeight="1" x14ac:dyDescent="0.2">
      <c r="G23471" s="889"/>
    </row>
    <row r="23472" spans="7:7" ht="10.5" customHeight="1" x14ac:dyDescent="0.2">
      <c r="G23472" s="889"/>
    </row>
    <row r="23473" spans="7:7" ht="10.5" customHeight="1" x14ac:dyDescent="0.2">
      <c r="G23473" s="889"/>
    </row>
    <row r="23474" spans="7:7" ht="10.5" customHeight="1" x14ac:dyDescent="0.2">
      <c r="G23474" s="889"/>
    </row>
    <row r="23475" spans="7:7" ht="10.5" customHeight="1" x14ac:dyDescent="0.2">
      <c r="G23475" s="889"/>
    </row>
    <row r="23476" spans="7:7" ht="10.5" customHeight="1" x14ac:dyDescent="0.2">
      <c r="G23476" s="889"/>
    </row>
    <row r="23477" spans="7:7" ht="10.5" customHeight="1" x14ac:dyDescent="0.2">
      <c r="G23477" s="889"/>
    </row>
    <row r="23478" spans="7:7" ht="10.5" customHeight="1" x14ac:dyDescent="0.2">
      <c r="G23478" s="889"/>
    </row>
    <row r="23479" spans="7:7" ht="10.5" customHeight="1" x14ac:dyDescent="0.2">
      <c r="G23479" s="889"/>
    </row>
    <row r="23480" spans="7:7" ht="10.5" customHeight="1" x14ac:dyDescent="0.2">
      <c r="G23480" s="889"/>
    </row>
    <row r="23481" spans="7:7" ht="10.5" customHeight="1" x14ac:dyDescent="0.2">
      <c r="G23481" s="889"/>
    </row>
    <row r="23482" spans="7:7" ht="10.5" customHeight="1" x14ac:dyDescent="0.2">
      <c r="G23482" s="889"/>
    </row>
    <row r="23483" spans="7:7" ht="10.5" customHeight="1" x14ac:dyDescent="0.2">
      <c r="G23483" s="889"/>
    </row>
    <row r="23484" spans="7:7" ht="10.5" customHeight="1" x14ac:dyDescent="0.2">
      <c r="G23484" s="889"/>
    </row>
    <row r="23485" spans="7:7" ht="10.5" customHeight="1" x14ac:dyDescent="0.2">
      <c r="G23485" s="889"/>
    </row>
    <row r="23486" spans="7:7" ht="10.5" customHeight="1" x14ac:dyDescent="0.2">
      <c r="G23486" s="889"/>
    </row>
    <row r="23487" spans="7:7" ht="10.5" customHeight="1" x14ac:dyDescent="0.2">
      <c r="G23487" s="889"/>
    </row>
    <row r="23488" spans="7:7" ht="10.5" customHeight="1" x14ac:dyDescent="0.2">
      <c r="G23488" s="889"/>
    </row>
    <row r="23489" spans="7:7" ht="10.5" customHeight="1" x14ac:dyDescent="0.2">
      <c r="G23489" s="889"/>
    </row>
    <row r="23490" spans="7:7" ht="10.5" customHeight="1" x14ac:dyDescent="0.2">
      <c r="G23490" s="889"/>
    </row>
    <row r="23491" spans="7:7" ht="10.5" customHeight="1" x14ac:dyDescent="0.2">
      <c r="G23491" s="889"/>
    </row>
    <row r="23492" spans="7:7" ht="10.5" customHeight="1" x14ac:dyDescent="0.2">
      <c r="G23492" s="889"/>
    </row>
    <row r="23493" spans="7:7" ht="10.5" customHeight="1" x14ac:dyDescent="0.2">
      <c r="G23493" s="889"/>
    </row>
    <row r="23494" spans="7:7" ht="10.5" customHeight="1" x14ac:dyDescent="0.2">
      <c r="G23494" s="889"/>
    </row>
    <row r="23495" spans="7:7" ht="10.5" customHeight="1" x14ac:dyDescent="0.2">
      <c r="G23495" s="889"/>
    </row>
    <row r="23496" spans="7:7" ht="10.5" customHeight="1" x14ac:dyDescent="0.2">
      <c r="G23496" s="889"/>
    </row>
    <row r="23497" spans="7:7" ht="10.5" customHeight="1" x14ac:dyDescent="0.2">
      <c r="G23497" s="889"/>
    </row>
    <row r="23498" spans="7:7" ht="10.5" customHeight="1" x14ac:dyDescent="0.2">
      <c r="G23498" s="889"/>
    </row>
    <row r="23499" spans="7:7" ht="10.5" customHeight="1" x14ac:dyDescent="0.2">
      <c r="G23499" s="889"/>
    </row>
    <row r="23500" spans="7:7" ht="10.5" customHeight="1" x14ac:dyDescent="0.2">
      <c r="G23500" s="889"/>
    </row>
    <row r="23501" spans="7:7" ht="10.5" customHeight="1" x14ac:dyDescent="0.2">
      <c r="G23501" s="889"/>
    </row>
    <row r="23502" spans="7:7" ht="10.5" customHeight="1" x14ac:dyDescent="0.2">
      <c r="G23502" s="889"/>
    </row>
    <row r="23503" spans="7:7" ht="10.5" customHeight="1" x14ac:dyDescent="0.2">
      <c r="G23503" s="889"/>
    </row>
    <row r="23504" spans="7:7" ht="10.5" customHeight="1" x14ac:dyDescent="0.2">
      <c r="G23504" s="889"/>
    </row>
    <row r="23505" spans="7:7" ht="10.5" customHeight="1" x14ac:dyDescent="0.2">
      <c r="G23505" s="889"/>
    </row>
    <row r="23506" spans="7:7" ht="10.5" customHeight="1" x14ac:dyDescent="0.2">
      <c r="G23506" s="889"/>
    </row>
    <row r="23507" spans="7:7" ht="10.5" customHeight="1" x14ac:dyDescent="0.2">
      <c r="G23507" s="889"/>
    </row>
    <row r="23508" spans="7:7" ht="10.5" customHeight="1" x14ac:dyDescent="0.2">
      <c r="G23508" s="889"/>
    </row>
    <row r="23509" spans="7:7" ht="10.5" customHeight="1" x14ac:dyDescent="0.2">
      <c r="G23509" s="889"/>
    </row>
    <row r="23510" spans="7:7" ht="10.5" customHeight="1" x14ac:dyDescent="0.2">
      <c r="G23510" s="889"/>
    </row>
    <row r="23511" spans="7:7" ht="10.5" customHeight="1" x14ac:dyDescent="0.2">
      <c r="G23511" s="889"/>
    </row>
    <row r="23512" spans="7:7" ht="10.5" customHeight="1" x14ac:dyDescent="0.2">
      <c r="G23512" s="889"/>
    </row>
    <row r="23513" spans="7:7" ht="10.5" customHeight="1" x14ac:dyDescent="0.2">
      <c r="G23513" s="889"/>
    </row>
    <row r="23514" spans="7:7" ht="10.5" customHeight="1" x14ac:dyDescent="0.2">
      <c r="G23514" s="889"/>
    </row>
    <row r="23515" spans="7:7" ht="10.5" customHeight="1" x14ac:dyDescent="0.2">
      <c r="G23515" s="889"/>
    </row>
    <row r="23516" spans="7:7" ht="10.5" customHeight="1" x14ac:dyDescent="0.2">
      <c r="G23516" s="889"/>
    </row>
    <row r="23517" spans="7:7" ht="10.5" customHeight="1" x14ac:dyDescent="0.2">
      <c r="G23517" s="889"/>
    </row>
    <row r="23518" spans="7:7" ht="10.5" customHeight="1" x14ac:dyDescent="0.2">
      <c r="G23518" s="889"/>
    </row>
    <row r="23519" spans="7:7" ht="10.5" customHeight="1" x14ac:dyDescent="0.2">
      <c r="G23519" s="889"/>
    </row>
    <row r="23520" spans="7:7" ht="10.5" customHeight="1" x14ac:dyDescent="0.2">
      <c r="G23520" s="889"/>
    </row>
    <row r="23521" spans="7:7" ht="10.5" customHeight="1" x14ac:dyDescent="0.2">
      <c r="G23521" s="889"/>
    </row>
    <row r="23522" spans="7:7" ht="10.5" customHeight="1" x14ac:dyDescent="0.2">
      <c r="G23522" s="889"/>
    </row>
    <row r="23523" spans="7:7" ht="10.5" customHeight="1" x14ac:dyDescent="0.2">
      <c r="G23523" s="889"/>
    </row>
    <row r="23524" spans="7:7" ht="10.5" customHeight="1" x14ac:dyDescent="0.2">
      <c r="G23524" s="889"/>
    </row>
    <row r="23525" spans="7:7" ht="10.5" customHeight="1" x14ac:dyDescent="0.2">
      <c r="G23525" s="889"/>
    </row>
    <row r="23526" spans="7:7" ht="10.5" customHeight="1" x14ac:dyDescent="0.2">
      <c r="G23526" s="889"/>
    </row>
    <row r="23527" spans="7:7" ht="10.5" customHeight="1" x14ac:dyDescent="0.2">
      <c r="G23527" s="889"/>
    </row>
    <row r="23528" spans="7:7" ht="10.5" customHeight="1" x14ac:dyDescent="0.2">
      <c r="G23528" s="889"/>
    </row>
    <row r="23529" spans="7:7" ht="10.5" customHeight="1" x14ac:dyDescent="0.2">
      <c r="G23529" s="889"/>
    </row>
    <row r="23530" spans="7:7" ht="10.5" customHeight="1" x14ac:dyDescent="0.2">
      <c r="G23530" s="889"/>
    </row>
    <row r="23531" spans="7:7" ht="10.5" customHeight="1" x14ac:dyDescent="0.2">
      <c r="G23531" s="889"/>
    </row>
    <row r="23532" spans="7:7" ht="10.5" customHeight="1" x14ac:dyDescent="0.2">
      <c r="G23532" s="889"/>
    </row>
    <row r="23533" spans="7:7" ht="10.5" customHeight="1" x14ac:dyDescent="0.2">
      <c r="G23533" s="889"/>
    </row>
    <row r="23534" spans="7:7" ht="10.5" customHeight="1" x14ac:dyDescent="0.2">
      <c r="G23534" s="889"/>
    </row>
    <row r="23535" spans="7:7" ht="10.5" customHeight="1" x14ac:dyDescent="0.2">
      <c r="G23535" s="889"/>
    </row>
    <row r="23536" spans="7:7" ht="10.5" customHeight="1" x14ac:dyDescent="0.2">
      <c r="G23536" s="889"/>
    </row>
    <row r="23537" spans="7:7" ht="10.5" customHeight="1" x14ac:dyDescent="0.2">
      <c r="G23537" s="889"/>
    </row>
    <row r="23538" spans="7:7" ht="10.5" customHeight="1" x14ac:dyDescent="0.2">
      <c r="G23538" s="889"/>
    </row>
    <row r="23539" spans="7:7" ht="10.5" customHeight="1" x14ac:dyDescent="0.2">
      <c r="G23539" s="889"/>
    </row>
    <row r="23540" spans="7:7" ht="10.5" customHeight="1" x14ac:dyDescent="0.2">
      <c r="G23540" s="889"/>
    </row>
    <row r="23541" spans="7:7" ht="10.5" customHeight="1" x14ac:dyDescent="0.2">
      <c r="G23541" s="889"/>
    </row>
    <row r="23542" spans="7:7" ht="10.5" customHeight="1" x14ac:dyDescent="0.2">
      <c r="G23542" s="889"/>
    </row>
    <row r="23543" spans="7:7" ht="10.5" customHeight="1" x14ac:dyDescent="0.2">
      <c r="G23543" s="889"/>
    </row>
    <row r="23544" spans="7:7" ht="10.5" customHeight="1" x14ac:dyDescent="0.2">
      <c r="G23544" s="889"/>
    </row>
    <row r="23545" spans="7:7" ht="10.5" customHeight="1" x14ac:dyDescent="0.2">
      <c r="G23545" s="889"/>
    </row>
    <row r="23546" spans="7:7" ht="10.5" customHeight="1" x14ac:dyDescent="0.2">
      <c r="G23546" s="889"/>
    </row>
    <row r="23547" spans="7:7" ht="10.5" customHeight="1" x14ac:dyDescent="0.2">
      <c r="G23547" s="889"/>
    </row>
    <row r="23548" spans="7:7" ht="10.5" customHeight="1" x14ac:dyDescent="0.2">
      <c r="G23548" s="889"/>
    </row>
    <row r="23549" spans="7:7" ht="10.5" customHeight="1" x14ac:dyDescent="0.2">
      <c r="G23549" s="889"/>
    </row>
    <row r="23550" spans="7:7" ht="10.5" customHeight="1" x14ac:dyDescent="0.2">
      <c r="G23550" s="889"/>
    </row>
    <row r="23551" spans="7:7" ht="10.5" customHeight="1" x14ac:dyDescent="0.2">
      <c r="G23551" s="889"/>
    </row>
    <row r="23552" spans="7:7" ht="10.5" customHeight="1" x14ac:dyDescent="0.2">
      <c r="G23552" s="889"/>
    </row>
    <row r="23553" spans="7:7" ht="10.5" customHeight="1" x14ac:dyDescent="0.2">
      <c r="G23553" s="889"/>
    </row>
    <row r="23554" spans="7:7" ht="10.5" customHeight="1" x14ac:dyDescent="0.2">
      <c r="G23554" s="889"/>
    </row>
    <row r="23555" spans="7:7" ht="10.5" customHeight="1" x14ac:dyDescent="0.2">
      <c r="G23555" s="889"/>
    </row>
    <row r="23556" spans="7:7" ht="10.5" customHeight="1" x14ac:dyDescent="0.2">
      <c r="G23556" s="889"/>
    </row>
    <row r="23557" spans="7:7" ht="10.5" customHeight="1" x14ac:dyDescent="0.2">
      <c r="G23557" s="889"/>
    </row>
    <row r="23558" spans="7:7" ht="10.5" customHeight="1" x14ac:dyDescent="0.2">
      <c r="G23558" s="889"/>
    </row>
    <row r="23559" spans="7:7" ht="10.5" customHeight="1" x14ac:dyDescent="0.2">
      <c r="G23559" s="889"/>
    </row>
    <row r="23560" spans="7:7" ht="10.5" customHeight="1" x14ac:dyDescent="0.2">
      <c r="G23560" s="889"/>
    </row>
    <row r="23561" spans="7:7" ht="10.5" customHeight="1" x14ac:dyDescent="0.2">
      <c r="G23561" s="889"/>
    </row>
    <row r="23562" spans="7:7" ht="10.5" customHeight="1" x14ac:dyDescent="0.2">
      <c r="G23562" s="889"/>
    </row>
    <row r="23563" spans="7:7" ht="10.5" customHeight="1" x14ac:dyDescent="0.2">
      <c r="G23563" s="889"/>
    </row>
    <row r="23564" spans="7:7" ht="10.5" customHeight="1" x14ac:dyDescent="0.2">
      <c r="G23564" s="889"/>
    </row>
    <row r="23565" spans="7:7" ht="10.5" customHeight="1" x14ac:dyDescent="0.2">
      <c r="G23565" s="889"/>
    </row>
    <row r="23566" spans="7:7" ht="10.5" customHeight="1" x14ac:dyDescent="0.2">
      <c r="G23566" s="889"/>
    </row>
    <row r="23567" spans="7:7" ht="10.5" customHeight="1" x14ac:dyDescent="0.2">
      <c r="G23567" s="889"/>
    </row>
    <row r="23568" spans="7:7" ht="10.5" customHeight="1" x14ac:dyDescent="0.2">
      <c r="G23568" s="889"/>
    </row>
    <row r="23569" spans="7:7" ht="10.5" customHeight="1" x14ac:dyDescent="0.2">
      <c r="G23569" s="889"/>
    </row>
    <row r="23570" spans="7:7" ht="10.5" customHeight="1" x14ac:dyDescent="0.2">
      <c r="G23570" s="889"/>
    </row>
    <row r="23571" spans="7:7" ht="10.5" customHeight="1" x14ac:dyDescent="0.2">
      <c r="G23571" s="889"/>
    </row>
    <row r="23572" spans="7:7" ht="10.5" customHeight="1" x14ac:dyDescent="0.2">
      <c r="G23572" s="889"/>
    </row>
    <row r="23573" spans="7:7" ht="10.5" customHeight="1" x14ac:dyDescent="0.2">
      <c r="G23573" s="889"/>
    </row>
    <row r="23574" spans="7:7" ht="10.5" customHeight="1" x14ac:dyDescent="0.2">
      <c r="G23574" s="889"/>
    </row>
    <row r="23575" spans="7:7" ht="10.5" customHeight="1" x14ac:dyDescent="0.2">
      <c r="G23575" s="889"/>
    </row>
    <row r="23576" spans="7:7" ht="10.5" customHeight="1" x14ac:dyDescent="0.2">
      <c r="G23576" s="889"/>
    </row>
    <row r="23577" spans="7:7" ht="10.5" customHeight="1" x14ac:dyDescent="0.2">
      <c r="G23577" s="889"/>
    </row>
    <row r="23578" spans="7:7" ht="10.5" customHeight="1" x14ac:dyDescent="0.2">
      <c r="G23578" s="889"/>
    </row>
    <row r="23579" spans="7:7" ht="10.5" customHeight="1" x14ac:dyDescent="0.2">
      <c r="G23579" s="889"/>
    </row>
    <row r="23580" spans="7:7" ht="10.5" customHeight="1" x14ac:dyDescent="0.2">
      <c r="G23580" s="889"/>
    </row>
    <row r="23581" spans="7:7" ht="10.5" customHeight="1" x14ac:dyDescent="0.2">
      <c r="G23581" s="889"/>
    </row>
    <row r="23582" spans="7:7" ht="10.5" customHeight="1" x14ac:dyDescent="0.2">
      <c r="G23582" s="889"/>
    </row>
    <row r="23583" spans="7:7" ht="10.5" customHeight="1" x14ac:dyDescent="0.2">
      <c r="G23583" s="889"/>
    </row>
    <row r="23584" spans="7:7" ht="10.5" customHeight="1" x14ac:dyDescent="0.2">
      <c r="G23584" s="889"/>
    </row>
    <row r="23585" spans="7:7" ht="10.5" customHeight="1" x14ac:dyDescent="0.2">
      <c r="G23585" s="889"/>
    </row>
    <row r="23586" spans="7:7" ht="10.5" customHeight="1" x14ac:dyDescent="0.2">
      <c r="G23586" s="889"/>
    </row>
    <row r="23587" spans="7:7" ht="10.5" customHeight="1" x14ac:dyDescent="0.2">
      <c r="G23587" s="889"/>
    </row>
    <row r="23588" spans="7:7" ht="10.5" customHeight="1" x14ac:dyDescent="0.2">
      <c r="G23588" s="889"/>
    </row>
    <row r="23589" spans="7:7" ht="10.5" customHeight="1" x14ac:dyDescent="0.2">
      <c r="G23589" s="889"/>
    </row>
    <row r="23590" spans="7:7" ht="10.5" customHeight="1" x14ac:dyDescent="0.2">
      <c r="G23590" s="889"/>
    </row>
    <row r="23591" spans="7:7" ht="10.5" customHeight="1" x14ac:dyDescent="0.2">
      <c r="G23591" s="889"/>
    </row>
    <row r="23592" spans="7:7" ht="10.5" customHeight="1" x14ac:dyDescent="0.2">
      <c r="G23592" s="889"/>
    </row>
    <row r="23593" spans="7:7" ht="10.5" customHeight="1" x14ac:dyDescent="0.2">
      <c r="G23593" s="889"/>
    </row>
    <row r="23594" spans="7:7" ht="10.5" customHeight="1" x14ac:dyDescent="0.2">
      <c r="G23594" s="889"/>
    </row>
    <row r="23595" spans="7:7" ht="10.5" customHeight="1" x14ac:dyDescent="0.2">
      <c r="G23595" s="889"/>
    </row>
    <row r="23596" spans="7:7" ht="10.5" customHeight="1" x14ac:dyDescent="0.2">
      <c r="G23596" s="889"/>
    </row>
    <row r="23597" spans="7:7" ht="10.5" customHeight="1" x14ac:dyDescent="0.2">
      <c r="G23597" s="889"/>
    </row>
    <row r="23598" spans="7:7" ht="10.5" customHeight="1" x14ac:dyDescent="0.2">
      <c r="G23598" s="889"/>
    </row>
    <row r="23599" spans="7:7" ht="10.5" customHeight="1" x14ac:dyDescent="0.2">
      <c r="G23599" s="889"/>
    </row>
    <row r="23600" spans="7:7" ht="10.5" customHeight="1" x14ac:dyDescent="0.2">
      <c r="G23600" s="889"/>
    </row>
    <row r="23601" spans="7:7" ht="10.5" customHeight="1" x14ac:dyDescent="0.2">
      <c r="G23601" s="889"/>
    </row>
    <row r="23602" spans="7:7" ht="10.5" customHeight="1" x14ac:dyDescent="0.2">
      <c r="G23602" s="889"/>
    </row>
    <row r="23603" spans="7:7" ht="10.5" customHeight="1" x14ac:dyDescent="0.2">
      <c r="G23603" s="889"/>
    </row>
    <row r="23604" spans="7:7" ht="10.5" customHeight="1" x14ac:dyDescent="0.2">
      <c r="G23604" s="889"/>
    </row>
    <row r="23605" spans="7:7" ht="10.5" customHeight="1" x14ac:dyDescent="0.2">
      <c r="G23605" s="889"/>
    </row>
    <row r="23606" spans="7:7" ht="10.5" customHeight="1" x14ac:dyDescent="0.2">
      <c r="G23606" s="889"/>
    </row>
    <row r="23607" spans="7:7" ht="10.5" customHeight="1" x14ac:dyDescent="0.2">
      <c r="G23607" s="889"/>
    </row>
    <row r="23608" spans="7:7" ht="10.5" customHeight="1" x14ac:dyDescent="0.2">
      <c r="G23608" s="889"/>
    </row>
    <row r="23609" spans="7:7" ht="10.5" customHeight="1" x14ac:dyDescent="0.2">
      <c r="G23609" s="889"/>
    </row>
    <row r="23610" spans="7:7" ht="10.5" customHeight="1" x14ac:dyDescent="0.2">
      <c r="G23610" s="889"/>
    </row>
    <row r="23611" spans="7:7" ht="10.5" customHeight="1" x14ac:dyDescent="0.2">
      <c r="G23611" s="889"/>
    </row>
    <row r="23612" spans="7:7" ht="10.5" customHeight="1" x14ac:dyDescent="0.2">
      <c r="G23612" s="889"/>
    </row>
    <row r="23613" spans="7:7" ht="10.5" customHeight="1" x14ac:dyDescent="0.2">
      <c r="G23613" s="889"/>
    </row>
    <row r="23614" spans="7:7" ht="10.5" customHeight="1" x14ac:dyDescent="0.2">
      <c r="G23614" s="889"/>
    </row>
    <row r="23615" spans="7:7" ht="10.5" customHeight="1" x14ac:dyDescent="0.2">
      <c r="G23615" s="889"/>
    </row>
    <row r="23616" spans="7:7" ht="10.5" customHeight="1" x14ac:dyDescent="0.2">
      <c r="G23616" s="889"/>
    </row>
    <row r="23617" spans="7:7" ht="10.5" customHeight="1" x14ac:dyDescent="0.2">
      <c r="G23617" s="889"/>
    </row>
    <row r="23618" spans="7:7" ht="10.5" customHeight="1" x14ac:dyDescent="0.2">
      <c r="G23618" s="889"/>
    </row>
    <row r="23619" spans="7:7" ht="10.5" customHeight="1" x14ac:dyDescent="0.2">
      <c r="G23619" s="889"/>
    </row>
    <row r="23620" spans="7:7" ht="10.5" customHeight="1" x14ac:dyDescent="0.2">
      <c r="G23620" s="889"/>
    </row>
    <row r="23621" spans="7:7" ht="10.5" customHeight="1" x14ac:dyDescent="0.2">
      <c r="G23621" s="889"/>
    </row>
    <row r="23622" spans="7:7" ht="10.5" customHeight="1" x14ac:dyDescent="0.2">
      <c r="G23622" s="889"/>
    </row>
    <row r="23623" spans="7:7" ht="10.5" customHeight="1" x14ac:dyDescent="0.2">
      <c r="G23623" s="889"/>
    </row>
    <row r="23624" spans="7:7" ht="10.5" customHeight="1" x14ac:dyDescent="0.2">
      <c r="G23624" s="889"/>
    </row>
    <row r="23625" spans="7:7" ht="10.5" customHeight="1" x14ac:dyDescent="0.2">
      <c r="G23625" s="889"/>
    </row>
    <row r="23626" spans="7:7" ht="10.5" customHeight="1" x14ac:dyDescent="0.2">
      <c r="G23626" s="889"/>
    </row>
    <row r="23627" spans="7:7" ht="10.5" customHeight="1" x14ac:dyDescent="0.2">
      <c r="G23627" s="889"/>
    </row>
    <row r="23628" spans="7:7" ht="10.5" customHeight="1" x14ac:dyDescent="0.2">
      <c r="G23628" s="889"/>
    </row>
    <row r="23629" spans="7:7" ht="10.5" customHeight="1" x14ac:dyDescent="0.2">
      <c r="G23629" s="889"/>
    </row>
    <row r="23630" spans="7:7" ht="10.5" customHeight="1" x14ac:dyDescent="0.2">
      <c r="G23630" s="889"/>
    </row>
    <row r="23631" spans="7:7" ht="10.5" customHeight="1" x14ac:dyDescent="0.2">
      <c r="G23631" s="889"/>
    </row>
    <row r="23632" spans="7:7" ht="10.5" customHeight="1" x14ac:dyDescent="0.2">
      <c r="G23632" s="889"/>
    </row>
    <row r="23633" spans="7:7" ht="10.5" customHeight="1" x14ac:dyDescent="0.2">
      <c r="G23633" s="889"/>
    </row>
    <row r="23634" spans="7:7" ht="10.5" customHeight="1" x14ac:dyDescent="0.2">
      <c r="G23634" s="889"/>
    </row>
    <row r="23635" spans="7:7" ht="10.5" customHeight="1" x14ac:dyDescent="0.2">
      <c r="G23635" s="889"/>
    </row>
    <row r="23636" spans="7:7" ht="10.5" customHeight="1" x14ac:dyDescent="0.2">
      <c r="G23636" s="889"/>
    </row>
    <row r="23637" spans="7:7" ht="10.5" customHeight="1" x14ac:dyDescent="0.2">
      <c r="G23637" s="889"/>
    </row>
    <row r="23638" spans="7:7" ht="10.5" customHeight="1" x14ac:dyDescent="0.2">
      <c r="G23638" s="889"/>
    </row>
    <row r="23639" spans="7:7" ht="10.5" customHeight="1" x14ac:dyDescent="0.2">
      <c r="G23639" s="889"/>
    </row>
    <row r="23640" spans="7:7" ht="10.5" customHeight="1" x14ac:dyDescent="0.2">
      <c r="G23640" s="889"/>
    </row>
    <row r="23641" spans="7:7" ht="10.5" customHeight="1" x14ac:dyDescent="0.2">
      <c r="G23641" s="889"/>
    </row>
    <row r="23642" spans="7:7" ht="10.5" customHeight="1" x14ac:dyDescent="0.2">
      <c r="G23642" s="889"/>
    </row>
    <row r="23643" spans="7:7" ht="10.5" customHeight="1" x14ac:dyDescent="0.2">
      <c r="G23643" s="889"/>
    </row>
    <row r="23644" spans="7:7" ht="10.5" customHeight="1" x14ac:dyDescent="0.2">
      <c r="G23644" s="889"/>
    </row>
    <row r="23645" spans="7:7" ht="10.5" customHeight="1" x14ac:dyDescent="0.2">
      <c r="G23645" s="889"/>
    </row>
    <row r="23646" spans="7:7" ht="10.5" customHeight="1" x14ac:dyDescent="0.2">
      <c r="G23646" s="889"/>
    </row>
    <row r="23647" spans="7:7" ht="10.5" customHeight="1" x14ac:dyDescent="0.2">
      <c r="G23647" s="889"/>
    </row>
    <row r="23648" spans="7:7" ht="10.5" customHeight="1" x14ac:dyDescent="0.2">
      <c r="G23648" s="889"/>
    </row>
    <row r="23649" spans="7:7" ht="10.5" customHeight="1" x14ac:dyDescent="0.2">
      <c r="G23649" s="889"/>
    </row>
    <row r="23650" spans="7:7" ht="10.5" customHeight="1" x14ac:dyDescent="0.2">
      <c r="G23650" s="889"/>
    </row>
    <row r="23651" spans="7:7" ht="10.5" customHeight="1" x14ac:dyDescent="0.2">
      <c r="G23651" s="889"/>
    </row>
    <row r="23652" spans="7:7" ht="10.5" customHeight="1" x14ac:dyDescent="0.2">
      <c r="G23652" s="889"/>
    </row>
    <row r="23653" spans="7:7" ht="10.5" customHeight="1" x14ac:dyDescent="0.2">
      <c r="G23653" s="889"/>
    </row>
    <row r="23654" spans="7:7" ht="10.5" customHeight="1" x14ac:dyDescent="0.2">
      <c r="G23654" s="889"/>
    </row>
    <row r="23655" spans="7:7" ht="10.5" customHeight="1" x14ac:dyDescent="0.2">
      <c r="G23655" s="889"/>
    </row>
    <row r="23656" spans="7:7" ht="10.5" customHeight="1" x14ac:dyDescent="0.2">
      <c r="G23656" s="889"/>
    </row>
    <row r="23657" spans="7:7" ht="10.5" customHeight="1" x14ac:dyDescent="0.2">
      <c r="G23657" s="889"/>
    </row>
    <row r="23658" spans="7:7" ht="10.5" customHeight="1" x14ac:dyDescent="0.2">
      <c r="G23658" s="889"/>
    </row>
    <row r="23659" spans="7:7" ht="10.5" customHeight="1" x14ac:dyDescent="0.2">
      <c r="G23659" s="889"/>
    </row>
    <row r="23660" spans="7:7" ht="10.5" customHeight="1" x14ac:dyDescent="0.2">
      <c r="G23660" s="889"/>
    </row>
    <row r="23661" spans="7:7" ht="10.5" customHeight="1" x14ac:dyDescent="0.2">
      <c r="G23661" s="889"/>
    </row>
    <row r="23662" spans="7:7" ht="10.5" customHeight="1" x14ac:dyDescent="0.2">
      <c r="G23662" s="889"/>
    </row>
    <row r="23663" spans="7:7" ht="10.5" customHeight="1" x14ac:dyDescent="0.2">
      <c r="G23663" s="889"/>
    </row>
    <row r="23664" spans="7:7" ht="10.5" customHeight="1" x14ac:dyDescent="0.2">
      <c r="G23664" s="889"/>
    </row>
    <row r="23665" spans="7:7" ht="10.5" customHeight="1" x14ac:dyDescent="0.2">
      <c r="G23665" s="889"/>
    </row>
    <row r="23666" spans="7:7" ht="10.5" customHeight="1" x14ac:dyDescent="0.2">
      <c r="G23666" s="889"/>
    </row>
    <row r="23667" spans="7:7" ht="10.5" customHeight="1" x14ac:dyDescent="0.2">
      <c r="G23667" s="889"/>
    </row>
    <row r="23668" spans="7:7" ht="10.5" customHeight="1" x14ac:dyDescent="0.2">
      <c r="G23668" s="889"/>
    </row>
    <row r="23669" spans="7:7" ht="10.5" customHeight="1" x14ac:dyDescent="0.2">
      <c r="G23669" s="889"/>
    </row>
    <row r="23670" spans="7:7" ht="10.5" customHeight="1" x14ac:dyDescent="0.2">
      <c r="G23670" s="889"/>
    </row>
    <row r="23671" spans="7:7" ht="10.5" customHeight="1" x14ac:dyDescent="0.2">
      <c r="G23671" s="889"/>
    </row>
    <row r="23672" spans="7:7" ht="10.5" customHeight="1" x14ac:dyDescent="0.2">
      <c r="G23672" s="889"/>
    </row>
    <row r="23673" spans="7:7" ht="10.5" customHeight="1" x14ac:dyDescent="0.2">
      <c r="G23673" s="889"/>
    </row>
    <row r="23674" spans="7:7" ht="10.5" customHeight="1" x14ac:dyDescent="0.2">
      <c r="G23674" s="889"/>
    </row>
    <row r="23675" spans="7:7" ht="10.5" customHeight="1" x14ac:dyDescent="0.2">
      <c r="G23675" s="889"/>
    </row>
    <row r="23676" spans="7:7" ht="10.5" customHeight="1" x14ac:dyDescent="0.2">
      <c r="G23676" s="889"/>
    </row>
    <row r="23677" spans="7:7" ht="10.5" customHeight="1" x14ac:dyDescent="0.2">
      <c r="G23677" s="889"/>
    </row>
    <row r="23678" spans="7:7" ht="10.5" customHeight="1" x14ac:dyDescent="0.2">
      <c r="G23678" s="889"/>
    </row>
    <row r="23679" spans="7:7" ht="10.5" customHeight="1" x14ac:dyDescent="0.2">
      <c r="G23679" s="889"/>
    </row>
    <row r="23680" spans="7:7" ht="10.5" customHeight="1" x14ac:dyDescent="0.2">
      <c r="G23680" s="889"/>
    </row>
    <row r="23681" spans="7:7" ht="10.5" customHeight="1" x14ac:dyDescent="0.2">
      <c r="G23681" s="889"/>
    </row>
    <row r="23682" spans="7:7" ht="10.5" customHeight="1" x14ac:dyDescent="0.2">
      <c r="G23682" s="889"/>
    </row>
    <row r="23683" spans="7:7" ht="10.5" customHeight="1" x14ac:dyDescent="0.2">
      <c r="G23683" s="889"/>
    </row>
    <row r="23684" spans="7:7" ht="10.5" customHeight="1" x14ac:dyDescent="0.2">
      <c r="G23684" s="889"/>
    </row>
    <row r="23685" spans="7:7" ht="10.5" customHeight="1" x14ac:dyDescent="0.2">
      <c r="G23685" s="889"/>
    </row>
    <row r="23686" spans="7:7" ht="10.5" customHeight="1" x14ac:dyDescent="0.2">
      <c r="G23686" s="889"/>
    </row>
    <row r="23687" spans="7:7" ht="10.5" customHeight="1" x14ac:dyDescent="0.2">
      <c r="G23687" s="889"/>
    </row>
    <row r="23688" spans="7:7" ht="10.5" customHeight="1" x14ac:dyDescent="0.2">
      <c r="G23688" s="889"/>
    </row>
    <row r="23689" spans="7:7" ht="10.5" customHeight="1" x14ac:dyDescent="0.2">
      <c r="G23689" s="889"/>
    </row>
    <row r="23690" spans="7:7" ht="10.5" customHeight="1" x14ac:dyDescent="0.2">
      <c r="G23690" s="889"/>
    </row>
    <row r="23691" spans="7:7" ht="10.5" customHeight="1" x14ac:dyDescent="0.2">
      <c r="G23691" s="889"/>
    </row>
    <row r="23692" spans="7:7" ht="10.5" customHeight="1" x14ac:dyDescent="0.2">
      <c r="G23692" s="889"/>
    </row>
    <row r="23693" spans="7:7" ht="10.5" customHeight="1" x14ac:dyDescent="0.2">
      <c r="G23693" s="889"/>
    </row>
    <row r="23694" spans="7:7" ht="10.5" customHeight="1" x14ac:dyDescent="0.2">
      <c r="G23694" s="889"/>
    </row>
    <row r="23695" spans="7:7" ht="10.5" customHeight="1" x14ac:dyDescent="0.2">
      <c r="G23695" s="889"/>
    </row>
    <row r="23696" spans="7:7" ht="10.5" customHeight="1" x14ac:dyDescent="0.2">
      <c r="G23696" s="889"/>
    </row>
    <row r="23697" spans="7:7" ht="10.5" customHeight="1" x14ac:dyDescent="0.2">
      <c r="G23697" s="889"/>
    </row>
    <row r="23698" spans="7:7" ht="10.5" customHeight="1" x14ac:dyDescent="0.2">
      <c r="G23698" s="889"/>
    </row>
    <row r="23699" spans="7:7" ht="10.5" customHeight="1" x14ac:dyDescent="0.2">
      <c r="G23699" s="889"/>
    </row>
    <row r="23700" spans="7:7" ht="10.5" customHeight="1" x14ac:dyDescent="0.2">
      <c r="G23700" s="889"/>
    </row>
    <row r="23701" spans="7:7" ht="10.5" customHeight="1" x14ac:dyDescent="0.2">
      <c r="G23701" s="889"/>
    </row>
    <row r="23702" spans="7:7" ht="10.5" customHeight="1" x14ac:dyDescent="0.2">
      <c r="G23702" s="889"/>
    </row>
    <row r="23703" spans="7:7" ht="10.5" customHeight="1" x14ac:dyDescent="0.2">
      <c r="G23703" s="889"/>
    </row>
    <row r="23704" spans="7:7" ht="10.5" customHeight="1" x14ac:dyDescent="0.2">
      <c r="G23704" s="889"/>
    </row>
    <row r="23705" spans="7:7" ht="10.5" customHeight="1" x14ac:dyDescent="0.2">
      <c r="G23705" s="889"/>
    </row>
    <row r="23706" spans="7:7" ht="10.5" customHeight="1" x14ac:dyDescent="0.2">
      <c r="G23706" s="889"/>
    </row>
    <row r="23707" spans="7:7" ht="10.5" customHeight="1" x14ac:dyDescent="0.2">
      <c r="G23707" s="889"/>
    </row>
    <row r="23708" spans="7:7" ht="10.5" customHeight="1" x14ac:dyDescent="0.2">
      <c r="G23708" s="889"/>
    </row>
    <row r="23709" spans="7:7" ht="10.5" customHeight="1" x14ac:dyDescent="0.2">
      <c r="G23709" s="889"/>
    </row>
    <row r="23710" spans="7:7" ht="10.5" customHeight="1" x14ac:dyDescent="0.2">
      <c r="G23710" s="889"/>
    </row>
    <row r="23711" spans="7:7" ht="10.5" customHeight="1" x14ac:dyDescent="0.2">
      <c r="G23711" s="889"/>
    </row>
    <row r="23712" spans="7:7" ht="10.5" customHeight="1" x14ac:dyDescent="0.2">
      <c r="G23712" s="889"/>
    </row>
    <row r="23713" spans="7:7" ht="10.5" customHeight="1" x14ac:dyDescent="0.2">
      <c r="G23713" s="889"/>
    </row>
    <row r="23714" spans="7:7" ht="10.5" customHeight="1" x14ac:dyDescent="0.2">
      <c r="G23714" s="889"/>
    </row>
    <row r="23715" spans="7:7" ht="10.5" customHeight="1" x14ac:dyDescent="0.2">
      <c r="G23715" s="889"/>
    </row>
    <row r="23716" spans="7:7" ht="10.5" customHeight="1" x14ac:dyDescent="0.2">
      <c r="G23716" s="889"/>
    </row>
    <row r="23717" spans="7:7" ht="10.5" customHeight="1" x14ac:dyDescent="0.2">
      <c r="G23717" s="889"/>
    </row>
    <row r="23718" spans="7:7" ht="10.5" customHeight="1" x14ac:dyDescent="0.2">
      <c r="G23718" s="889"/>
    </row>
    <row r="23719" spans="7:7" ht="10.5" customHeight="1" x14ac:dyDescent="0.2">
      <c r="G23719" s="889"/>
    </row>
    <row r="23720" spans="7:7" ht="10.5" customHeight="1" x14ac:dyDescent="0.2">
      <c r="G23720" s="889"/>
    </row>
    <row r="23721" spans="7:7" ht="10.5" customHeight="1" x14ac:dyDescent="0.2">
      <c r="G23721" s="889"/>
    </row>
    <row r="23722" spans="7:7" ht="10.5" customHeight="1" x14ac:dyDescent="0.2">
      <c r="G23722" s="889"/>
    </row>
    <row r="23723" spans="7:7" ht="10.5" customHeight="1" x14ac:dyDescent="0.2">
      <c r="G23723" s="889"/>
    </row>
    <row r="23724" spans="7:7" ht="10.5" customHeight="1" x14ac:dyDescent="0.2">
      <c r="G23724" s="889"/>
    </row>
    <row r="23725" spans="7:7" ht="10.5" customHeight="1" x14ac:dyDescent="0.2">
      <c r="G23725" s="889"/>
    </row>
    <row r="23726" spans="7:7" ht="10.5" customHeight="1" x14ac:dyDescent="0.2">
      <c r="G23726" s="889"/>
    </row>
    <row r="23727" spans="7:7" ht="10.5" customHeight="1" x14ac:dyDescent="0.2">
      <c r="G23727" s="889"/>
    </row>
    <row r="23728" spans="7:7" ht="10.5" customHeight="1" x14ac:dyDescent="0.2">
      <c r="G23728" s="889"/>
    </row>
    <row r="23729" spans="7:7" ht="10.5" customHeight="1" x14ac:dyDescent="0.2">
      <c r="G23729" s="889"/>
    </row>
    <row r="23730" spans="7:7" ht="10.5" customHeight="1" x14ac:dyDescent="0.2">
      <c r="G23730" s="889"/>
    </row>
    <row r="23731" spans="7:7" ht="10.5" customHeight="1" x14ac:dyDescent="0.2">
      <c r="G23731" s="889"/>
    </row>
    <row r="23732" spans="7:7" ht="10.5" customHeight="1" x14ac:dyDescent="0.2">
      <c r="G23732" s="889"/>
    </row>
    <row r="23733" spans="7:7" ht="10.5" customHeight="1" x14ac:dyDescent="0.2">
      <c r="G23733" s="889"/>
    </row>
    <row r="23734" spans="7:7" ht="10.5" customHeight="1" x14ac:dyDescent="0.2">
      <c r="G23734" s="889"/>
    </row>
    <row r="23735" spans="7:7" ht="10.5" customHeight="1" x14ac:dyDescent="0.2">
      <c r="G23735" s="889"/>
    </row>
    <row r="23736" spans="7:7" ht="10.5" customHeight="1" x14ac:dyDescent="0.2">
      <c r="G23736" s="889"/>
    </row>
    <row r="23737" spans="7:7" ht="10.5" customHeight="1" x14ac:dyDescent="0.2">
      <c r="G23737" s="889"/>
    </row>
    <row r="23738" spans="7:7" ht="10.5" customHeight="1" x14ac:dyDescent="0.2">
      <c r="G23738" s="889"/>
    </row>
    <row r="23739" spans="7:7" ht="10.5" customHeight="1" x14ac:dyDescent="0.2">
      <c r="G23739" s="889"/>
    </row>
    <row r="23740" spans="7:7" ht="10.5" customHeight="1" x14ac:dyDescent="0.2">
      <c r="G23740" s="889"/>
    </row>
    <row r="23741" spans="7:7" ht="10.5" customHeight="1" x14ac:dyDescent="0.2">
      <c r="G23741" s="889"/>
    </row>
    <row r="23742" spans="7:7" ht="10.5" customHeight="1" x14ac:dyDescent="0.2">
      <c r="G23742" s="889"/>
    </row>
    <row r="23743" spans="7:7" ht="10.5" customHeight="1" x14ac:dyDescent="0.2">
      <c r="G23743" s="889"/>
    </row>
    <row r="23744" spans="7:7" ht="10.5" customHeight="1" x14ac:dyDescent="0.2">
      <c r="G23744" s="889"/>
    </row>
    <row r="23745" spans="7:7" ht="10.5" customHeight="1" x14ac:dyDescent="0.2">
      <c r="G23745" s="889"/>
    </row>
    <row r="23746" spans="7:7" ht="10.5" customHeight="1" x14ac:dyDescent="0.2">
      <c r="G23746" s="889"/>
    </row>
    <row r="23747" spans="7:7" ht="10.5" customHeight="1" x14ac:dyDescent="0.2">
      <c r="G23747" s="889"/>
    </row>
    <row r="23748" spans="7:7" ht="10.5" customHeight="1" x14ac:dyDescent="0.2">
      <c r="G23748" s="889"/>
    </row>
    <row r="23749" spans="7:7" ht="10.5" customHeight="1" x14ac:dyDescent="0.2">
      <c r="G23749" s="889"/>
    </row>
    <row r="23750" spans="7:7" ht="10.5" customHeight="1" x14ac:dyDescent="0.2">
      <c r="G23750" s="889"/>
    </row>
    <row r="23751" spans="7:7" ht="10.5" customHeight="1" x14ac:dyDescent="0.2">
      <c r="G23751" s="889"/>
    </row>
    <row r="23752" spans="7:7" ht="10.5" customHeight="1" x14ac:dyDescent="0.2">
      <c r="G23752" s="889"/>
    </row>
    <row r="23753" spans="7:7" ht="10.5" customHeight="1" x14ac:dyDescent="0.2">
      <c r="G23753" s="889"/>
    </row>
    <row r="23754" spans="7:7" ht="10.5" customHeight="1" x14ac:dyDescent="0.2">
      <c r="G23754" s="889"/>
    </row>
    <row r="23755" spans="7:7" ht="10.5" customHeight="1" x14ac:dyDescent="0.2">
      <c r="G23755" s="889"/>
    </row>
    <row r="23756" spans="7:7" ht="10.5" customHeight="1" x14ac:dyDescent="0.2">
      <c r="G23756" s="889"/>
    </row>
    <row r="23757" spans="7:7" ht="10.5" customHeight="1" x14ac:dyDescent="0.2">
      <c r="G23757" s="889"/>
    </row>
    <row r="23758" spans="7:7" ht="10.5" customHeight="1" x14ac:dyDescent="0.2">
      <c r="G23758" s="889"/>
    </row>
    <row r="23759" spans="7:7" ht="10.5" customHeight="1" x14ac:dyDescent="0.2">
      <c r="G23759" s="889"/>
    </row>
    <row r="23760" spans="7:7" ht="10.5" customHeight="1" x14ac:dyDescent="0.2">
      <c r="G23760" s="889"/>
    </row>
    <row r="23761" spans="7:7" ht="10.5" customHeight="1" x14ac:dyDescent="0.2">
      <c r="G23761" s="889"/>
    </row>
    <row r="23762" spans="7:7" ht="10.5" customHeight="1" x14ac:dyDescent="0.2">
      <c r="G23762" s="889"/>
    </row>
    <row r="23763" spans="7:7" ht="10.5" customHeight="1" x14ac:dyDescent="0.2">
      <c r="G23763" s="889"/>
    </row>
    <row r="23764" spans="7:7" ht="10.5" customHeight="1" x14ac:dyDescent="0.2">
      <c r="G23764" s="889"/>
    </row>
    <row r="23765" spans="7:7" ht="10.5" customHeight="1" x14ac:dyDescent="0.2">
      <c r="G23765" s="889"/>
    </row>
    <row r="23766" spans="7:7" ht="10.5" customHeight="1" x14ac:dyDescent="0.2">
      <c r="G23766" s="889"/>
    </row>
    <row r="23767" spans="7:7" ht="10.5" customHeight="1" x14ac:dyDescent="0.2">
      <c r="G23767" s="889"/>
    </row>
    <row r="23768" spans="7:7" ht="10.5" customHeight="1" x14ac:dyDescent="0.2">
      <c r="G23768" s="889"/>
    </row>
    <row r="23769" spans="7:7" ht="10.5" customHeight="1" x14ac:dyDescent="0.2">
      <c r="G23769" s="889"/>
    </row>
    <row r="23770" spans="7:7" ht="10.5" customHeight="1" x14ac:dyDescent="0.2">
      <c r="G23770" s="889"/>
    </row>
    <row r="23771" spans="7:7" ht="10.5" customHeight="1" x14ac:dyDescent="0.2">
      <c r="G23771" s="889"/>
    </row>
    <row r="23772" spans="7:7" ht="10.5" customHeight="1" x14ac:dyDescent="0.2">
      <c r="G23772" s="889"/>
    </row>
    <row r="23773" spans="7:7" ht="10.5" customHeight="1" x14ac:dyDescent="0.2">
      <c r="G23773" s="889"/>
    </row>
    <row r="23774" spans="7:7" ht="10.5" customHeight="1" x14ac:dyDescent="0.2">
      <c r="G23774" s="889"/>
    </row>
    <row r="23775" spans="7:7" ht="10.5" customHeight="1" x14ac:dyDescent="0.2">
      <c r="G23775" s="889"/>
    </row>
    <row r="23776" spans="7:7" ht="10.5" customHeight="1" x14ac:dyDescent="0.2">
      <c r="G23776" s="889"/>
    </row>
    <row r="23777" spans="7:7" ht="10.5" customHeight="1" x14ac:dyDescent="0.2">
      <c r="G23777" s="889"/>
    </row>
    <row r="23778" spans="7:7" ht="10.5" customHeight="1" x14ac:dyDescent="0.2">
      <c r="G23778" s="889"/>
    </row>
    <row r="23779" spans="7:7" ht="10.5" customHeight="1" x14ac:dyDescent="0.2">
      <c r="G23779" s="889"/>
    </row>
    <row r="23780" spans="7:7" ht="10.5" customHeight="1" x14ac:dyDescent="0.2">
      <c r="G23780" s="889"/>
    </row>
    <row r="23781" spans="7:7" ht="10.5" customHeight="1" x14ac:dyDescent="0.2">
      <c r="G23781" s="889"/>
    </row>
    <row r="23782" spans="7:7" ht="10.5" customHeight="1" x14ac:dyDescent="0.2">
      <c r="G23782" s="889"/>
    </row>
    <row r="23783" spans="7:7" ht="10.5" customHeight="1" x14ac:dyDescent="0.2">
      <c r="G23783" s="889"/>
    </row>
    <row r="23784" spans="7:7" ht="10.5" customHeight="1" x14ac:dyDescent="0.2">
      <c r="G23784" s="889"/>
    </row>
    <row r="23785" spans="7:7" ht="10.5" customHeight="1" x14ac:dyDescent="0.2">
      <c r="G23785" s="889"/>
    </row>
    <row r="23786" spans="7:7" ht="10.5" customHeight="1" x14ac:dyDescent="0.2">
      <c r="G23786" s="889"/>
    </row>
    <row r="23787" spans="7:7" ht="10.5" customHeight="1" x14ac:dyDescent="0.2">
      <c r="G23787" s="889"/>
    </row>
    <row r="23788" spans="7:7" ht="10.5" customHeight="1" x14ac:dyDescent="0.2">
      <c r="G23788" s="889"/>
    </row>
    <row r="23789" spans="7:7" ht="10.5" customHeight="1" x14ac:dyDescent="0.2">
      <c r="G23789" s="889"/>
    </row>
    <row r="23790" spans="7:7" ht="10.5" customHeight="1" x14ac:dyDescent="0.2">
      <c r="G23790" s="889"/>
    </row>
    <row r="23791" spans="7:7" ht="10.5" customHeight="1" x14ac:dyDescent="0.2">
      <c r="G23791" s="889"/>
    </row>
    <row r="23792" spans="7:7" ht="10.5" customHeight="1" x14ac:dyDescent="0.2">
      <c r="G23792" s="889"/>
    </row>
    <row r="23793" spans="7:7" ht="10.5" customHeight="1" x14ac:dyDescent="0.2">
      <c r="G23793" s="889"/>
    </row>
    <row r="23794" spans="7:7" ht="10.5" customHeight="1" x14ac:dyDescent="0.2">
      <c r="G23794" s="889"/>
    </row>
    <row r="23795" spans="7:7" ht="10.5" customHeight="1" x14ac:dyDescent="0.2">
      <c r="G23795" s="889"/>
    </row>
    <row r="23796" spans="7:7" ht="10.5" customHeight="1" x14ac:dyDescent="0.2">
      <c r="G23796" s="889"/>
    </row>
    <row r="23797" spans="7:7" ht="10.5" customHeight="1" x14ac:dyDescent="0.2">
      <c r="G23797" s="889"/>
    </row>
    <row r="23798" spans="7:7" ht="10.5" customHeight="1" x14ac:dyDescent="0.2">
      <c r="G23798" s="889"/>
    </row>
    <row r="23799" spans="7:7" ht="10.5" customHeight="1" x14ac:dyDescent="0.2">
      <c r="G23799" s="889"/>
    </row>
    <row r="23800" spans="7:7" ht="10.5" customHeight="1" x14ac:dyDescent="0.2">
      <c r="G23800" s="889"/>
    </row>
    <row r="23801" spans="7:7" ht="10.5" customHeight="1" x14ac:dyDescent="0.2">
      <c r="G23801" s="889"/>
    </row>
    <row r="23802" spans="7:7" ht="10.5" customHeight="1" x14ac:dyDescent="0.2">
      <c r="G23802" s="889"/>
    </row>
    <row r="23803" spans="7:7" ht="10.5" customHeight="1" x14ac:dyDescent="0.2">
      <c r="G23803" s="889"/>
    </row>
    <row r="23804" spans="7:7" ht="10.5" customHeight="1" x14ac:dyDescent="0.2">
      <c r="G23804" s="889"/>
    </row>
    <row r="23805" spans="7:7" ht="10.5" customHeight="1" x14ac:dyDescent="0.2">
      <c r="G23805" s="889"/>
    </row>
    <row r="23806" spans="7:7" ht="10.5" customHeight="1" x14ac:dyDescent="0.2">
      <c r="G23806" s="889"/>
    </row>
    <row r="23807" spans="7:7" ht="10.5" customHeight="1" x14ac:dyDescent="0.2">
      <c r="G23807" s="889"/>
    </row>
    <row r="23808" spans="7:7" ht="10.5" customHeight="1" x14ac:dyDescent="0.2">
      <c r="G23808" s="889"/>
    </row>
    <row r="23809" spans="7:7" ht="10.5" customHeight="1" x14ac:dyDescent="0.2">
      <c r="G23809" s="889"/>
    </row>
    <row r="23810" spans="7:7" ht="10.5" customHeight="1" x14ac:dyDescent="0.2">
      <c r="G23810" s="889"/>
    </row>
    <row r="23811" spans="7:7" ht="10.5" customHeight="1" x14ac:dyDescent="0.2">
      <c r="G23811" s="889"/>
    </row>
    <row r="23812" spans="7:7" ht="10.5" customHeight="1" x14ac:dyDescent="0.2">
      <c r="G23812" s="889"/>
    </row>
    <row r="23813" spans="7:7" ht="10.5" customHeight="1" x14ac:dyDescent="0.2">
      <c r="G23813" s="889"/>
    </row>
    <row r="23814" spans="7:7" ht="10.5" customHeight="1" x14ac:dyDescent="0.2">
      <c r="G23814" s="889"/>
    </row>
    <row r="23815" spans="7:7" ht="10.5" customHeight="1" x14ac:dyDescent="0.2">
      <c r="G23815" s="889"/>
    </row>
    <row r="23816" spans="7:7" ht="10.5" customHeight="1" x14ac:dyDescent="0.2">
      <c r="G23816" s="889"/>
    </row>
    <row r="23817" spans="7:7" ht="10.5" customHeight="1" x14ac:dyDescent="0.2">
      <c r="G23817" s="889"/>
    </row>
    <row r="23818" spans="7:7" ht="10.5" customHeight="1" x14ac:dyDescent="0.2">
      <c r="G23818" s="889"/>
    </row>
    <row r="23819" spans="7:7" ht="10.5" customHeight="1" x14ac:dyDescent="0.2">
      <c r="G23819" s="889"/>
    </row>
    <row r="23820" spans="7:7" ht="10.5" customHeight="1" x14ac:dyDescent="0.2">
      <c r="G23820" s="889"/>
    </row>
    <row r="23821" spans="7:7" ht="10.5" customHeight="1" x14ac:dyDescent="0.2">
      <c r="G23821" s="889"/>
    </row>
    <row r="23822" spans="7:7" ht="10.5" customHeight="1" x14ac:dyDescent="0.2">
      <c r="G23822" s="889"/>
    </row>
    <row r="23823" spans="7:7" ht="10.5" customHeight="1" x14ac:dyDescent="0.2">
      <c r="G23823" s="889"/>
    </row>
    <row r="23824" spans="7:7" ht="10.5" customHeight="1" x14ac:dyDescent="0.2">
      <c r="G23824" s="889"/>
    </row>
    <row r="23825" spans="7:7" ht="10.5" customHeight="1" x14ac:dyDescent="0.2">
      <c r="G23825" s="889"/>
    </row>
    <row r="23826" spans="7:7" ht="10.5" customHeight="1" x14ac:dyDescent="0.2">
      <c r="G23826" s="889"/>
    </row>
    <row r="23827" spans="7:7" ht="10.5" customHeight="1" x14ac:dyDescent="0.2">
      <c r="G23827" s="889"/>
    </row>
    <row r="23828" spans="7:7" ht="10.5" customHeight="1" x14ac:dyDescent="0.2">
      <c r="G23828" s="889"/>
    </row>
    <row r="23829" spans="7:7" ht="10.5" customHeight="1" x14ac:dyDescent="0.2">
      <c r="G23829" s="889"/>
    </row>
    <row r="23830" spans="7:7" ht="10.5" customHeight="1" x14ac:dyDescent="0.2">
      <c r="G23830" s="889"/>
    </row>
    <row r="23831" spans="7:7" ht="10.5" customHeight="1" x14ac:dyDescent="0.2">
      <c r="G23831" s="889"/>
    </row>
    <row r="23832" spans="7:7" ht="10.5" customHeight="1" x14ac:dyDescent="0.2">
      <c r="G23832" s="889"/>
    </row>
    <row r="23833" spans="7:7" ht="10.5" customHeight="1" x14ac:dyDescent="0.2">
      <c r="G23833" s="889"/>
    </row>
    <row r="23834" spans="7:7" ht="10.5" customHeight="1" x14ac:dyDescent="0.2">
      <c r="G23834" s="889"/>
    </row>
    <row r="23835" spans="7:7" ht="10.5" customHeight="1" x14ac:dyDescent="0.2">
      <c r="G23835" s="889"/>
    </row>
    <row r="23836" spans="7:7" ht="10.5" customHeight="1" x14ac:dyDescent="0.2">
      <c r="G23836" s="889"/>
    </row>
    <row r="23837" spans="7:7" ht="10.5" customHeight="1" x14ac:dyDescent="0.2">
      <c r="G23837" s="889"/>
    </row>
    <row r="23838" spans="7:7" ht="10.5" customHeight="1" x14ac:dyDescent="0.2">
      <c r="G23838" s="889"/>
    </row>
    <row r="23839" spans="7:7" ht="10.5" customHeight="1" x14ac:dyDescent="0.2">
      <c r="G23839" s="889"/>
    </row>
    <row r="23840" spans="7:7" ht="10.5" customHeight="1" x14ac:dyDescent="0.2">
      <c r="G23840" s="889"/>
    </row>
    <row r="23841" spans="7:7" ht="10.5" customHeight="1" x14ac:dyDescent="0.2">
      <c r="G23841" s="889"/>
    </row>
    <row r="23842" spans="7:7" ht="10.5" customHeight="1" x14ac:dyDescent="0.2">
      <c r="G23842" s="889"/>
    </row>
    <row r="23843" spans="7:7" ht="10.5" customHeight="1" x14ac:dyDescent="0.2">
      <c r="G23843" s="889"/>
    </row>
    <row r="23844" spans="7:7" ht="10.5" customHeight="1" x14ac:dyDescent="0.2">
      <c r="G23844" s="889"/>
    </row>
    <row r="23845" spans="7:7" ht="10.5" customHeight="1" x14ac:dyDescent="0.2">
      <c r="G23845" s="889"/>
    </row>
    <row r="23846" spans="7:7" ht="10.5" customHeight="1" x14ac:dyDescent="0.2">
      <c r="G23846" s="889"/>
    </row>
    <row r="23847" spans="7:7" ht="10.5" customHeight="1" x14ac:dyDescent="0.2">
      <c r="G23847" s="889"/>
    </row>
    <row r="23848" spans="7:7" ht="10.5" customHeight="1" x14ac:dyDescent="0.2">
      <c r="G23848" s="889"/>
    </row>
    <row r="23849" spans="7:7" ht="10.5" customHeight="1" x14ac:dyDescent="0.2">
      <c r="G23849" s="889"/>
    </row>
    <row r="23850" spans="7:7" ht="10.5" customHeight="1" x14ac:dyDescent="0.2">
      <c r="G23850" s="889"/>
    </row>
    <row r="23851" spans="7:7" ht="10.5" customHeight="1" x14ac:dyDescent="0.2">
      <c r="G23851" s="889"/>
    </row>
    <row r="23852" spans="7:7" ht="10.5" customHeight="1" x14ac:dyDescent="0.2">
      <c r="G23852" s="889"/>
    </row>
    <row r="23853" spans="7:7" ht="10.5" customHeight="1" x14ac:dyDescent="0.2">
      <c r="G23853" s="889"/>
    </row>
    <row r="23854" spans="7:7" ht="10.5" customHeight="1" x14ac:dyDescent="0.2">
      <c r="G23854" s="889"/>
    </row>
    <row r="23855" spans="7:7" ht="10.5" customHeight="1" x14ac:dyDescent="0.2">
      <c r="G23855" s="889"/>
    </row>
    <row r="23856" spans="7:7" ht="10.5" customHeight="1" x14ac:dyDescent="0.2">
      <c r="G23856" s="889"/>
    </row>
    <row r="23857" spans="7:7" ht="10.5" customHeight="1" x14ac:dyDescent="0.2">
      <c r="G23857" s="889"/>
    </row>
    <row r="23858" spans="7:7" ht="10.5" customHeight="1" x14ac:dyDescent="0.2">
      <c r="G23858" s="889"/>
    </row>
    <row r="23859" spans="7:7" ht="10.5" customHeight="1" x14ac:dyDescent="0.2">
      <c r="G23859" s="889"/>
    </row>
    <row r="23860" spans="7:7" ht="10.5" customHeight="1" x14ac:dyDescent="0.2">
      <c r="G23860" s="889"/>
    </row>
    <row r="23861" spans="7:7" ht="10.5" customHeight="1" x14ac:dyDescent="0.2">
      <c r="G23861" s="889"/>
    </row>
    <row r="23862" spans="7:7" ht="10.5" customHeight="1" x14ac:dyDescent="0.2">
      <c r="G23862" s="889"/>
    </row>
    <row r="23863" spans="7:7" ht="10.5" customHeight="1" x14ac:dyDescent="0.2">
      <c r="G23863" s="889"/>
    </row>
    <row r="23864" spans="7:7" ht="10.5" customHeight="1" x14ac:dyDescent="0.2">
      <c r="G23864" s="889"/>
    </row>
    <row r="23865" spans="7:7" ht="10.5" customHeight="1" x14ac:dyDescent="0.2">
      <c r="G23865" s="889"/>
    </row>
    <row r="23866" spans="7:7" ht="10.5" customHeight="1" x14ac:dyDescent="0.2">
      <c r="G23866" s="889"/>
    </row>
    <row r="23867" spans="7:7" ht="10.5" customHeight="1" x14ac:dyDescent="0.2">
      <c r="G23867" s="889"/>
    </row>
    <row r="23868" spans="7:7" ht="10.5" customHeight="1" x14ac:dyDescent="0.2">
      <c r="G23868" s="889"/>
    </row>
    <row r="23869" spans="7:7" ht="10.5" customHeight="1" x14ac:dyDescent="0.2">
      <c r="G23869" s="889"/>
    </row>
    <row r="23870" spans="7:7" ht="10.5" customHeight="1" x14ac:dyDescent="0.2">
      <c r="G23870" s="889"/>
    </row>
    <row r="23871" spans="7:7" ht="10.5" customHeight="1" x14ac:dyDescent="0.2">
      <c r="G23871" s="889"/>
    </row>
    <row r="23872" spans="7:7" ht="10.5" customHeight="1" x14ac:dyDescent="0.2">
      <c r="G23872" s="889"/>
    </row>
    <row r="23873" spans="7:7" ht="10.5" customHeight="1" x14ac:dyDescent="0.2">
      <c r="G23873" s="889"/>
    </row>
    <row r="23874" spans="7:7" ht="10.5" customHeight="1" x14ac:dyDescent="0.2">
      <c r="G23874" s="889"/>
    </row>
    <row r="23875" spans="7:7" ht="10.5" customHeight="1" x14ac:dyDescent="0.2">
      <c r="G23875" s="889"/>
    </row>
    <row r="23876" spans="7:7" ht="10.5" customHeight="1" x14ac:dyDescent="0.2">
      <c r="G23876" s="889"/>
    </row>
    <row r="23877" spans="7:7" ht="10.5" customHeight="1" x14ac:dyDescent="0.2">
      <c r="G23877" s="889"/>
    </row>
    <row r="23878" spans="7:7" ht="10.5" customHeight="1" x14ac:dyDescent="0.2">
      <c r="G23878" s="889"/>
    </row>
    <row r="23879" spans="7:7" ht="10.5" customHeight="1" x14ac:dyDescent="0.2">
      <c r="G23879" s="889"/>
    </row>
    <row r="23880" spans="7:7" ht="10.5" customHeight="1" x14ac:dyDescent="0.2">
      <c r="G23880" s="889"/>
    </row>
    <row r="23881" spans="7:7" ht="10.5" customHeight="1" x14ac:dyDescent="0.2">
      <c r="G23881" s="889"/>
    </row>
    <row r="23882" spans="7:7" ht="10.5" customHeight="1" x14ac:dyDescent="0.2">
      <c r="G23882" s="889"/>
    </row>
    <row r="23883" spans="7:7" ht="10.5" customHeight="1" x14ac:dyDescent="0.2">
      <c r="G23883" s="889"/>
    </row>
    <row r="23884" spans="7:7" ht="10.5" customHeight="1" x14ac:dyDescent="0.2">
      <c r="G23884" s="889"/>
    </row>
    <row r="23885" spans="7:7" ht="10.5" customHeight="1" x14ac:dyDescent="0.2">
      <c r="G23885" s="889"/>
    </row>
    <row r="23886" spans="7:7" ht="10.5" customHeight="1" x14ac:dyDescent="0.2">
      <c r="G23886" s="889"/>
    </row>
    <row r="23887" spans="7:7" ht="10.5" customHeight="1" x14ac:dyDescent="0.2">
      <c r="G23887" s="889"/>
    </row>
    <row r="23888" spans="7:7" ht="10.5" customHeight="1" x14ac:dyDescent="0.2">
      <c r="G23888" s="889"/>
    </row>
    <row r="23889" spans="7:7" ht="10.5" customHeight="1" x14ac:dyDescent="0.2">
      <c r="G23889" s="889"/>
    </row>
    <row r="23890" spans="7:7" ht="10.5" customHeight="1" x14ac:dyDescent="0.2">
      <c r="G23890" s="889"/>
    </row>
    <row r="23891" spans="7:7" ht="10.5" customHeight="1" x14ac:dyDescent="0.2">
      <c r="G23891" s="889"/>
    </row>
    <row r="23892" spans="7:7" ht="10.5" customHeight="1" x14ac:dyDescent="0.2">
      <c r="G23892" s="889"/>
    </row>
    <row r="23893" spans="7:7" ht="10.5" customHeight="1" x14ac:dyDescent="0.2">
      <c r="G23893" s="889"/>
    </row>
    <row r="23894" spans="7:7" ht="10.5" customHeight="1" x14ac:dyDescent="0.2">
      <c r="G23894" s="889"/>
    </row>
    <row r="23895" spans="7:7" ht="10.5" customHeight="1" x14ac:dyDescent="0.2">
      <c r="G23895" s="889"/>
    </row>
    <row r="23896" spans="7:7" ht="10.5" customHeight="1" x14ac:dyDescent="0.2">
      <c r="G23896" s="889"/>
    </row>
    <row r="23897" spans="7:7" ht="10.5" customHeight="1" x14ac:dyDescent="0.2">
      <c r="G23897" s="889"/>
    </row>
    <row r="23898" spans="7:7" ht="10.5" customHeight="1" x14ac:dyDescent="0.2">
      <c r="G23898" s="889"/>
    </row>
    <row r="23899" spans="7:7" ht="10.5" customHeight="1" x14ac:dyDescent="0.2">
      <c r="G23899" s="889"/>
    </row>
    <row r="23900" spans="7:7" ht="10.5" customHeight="1" x14ac:dyDescent="0.2">
      <c r="G23900" s="889"/>
    </row>
    <row r="23901" spans="7:7" ht="10.5" customHeight="1" x14ac:dyDescent="0.2">
      <c r="G23901" s="889"/>
    </row>
    <row r="23902" spans="7:7" ht="10.5" customHeight="1" x14ac:dyDescent="0.2">
      <c r="G23902" s="889"/>
    </row>
    <row r="23903" spans="7:7" ht="10.5" customHeight="1" x14ac:dyDescent="0.2">
      <c r="G23903" s="889"/>
    </row>
    <row r="23904" spans="7:7" ht="10.5" customHeight="1" x14ac:dyDescent="0.2">
      <c r="G23904" s="889"/>
    </row>
    <row r="23905" spans="7:7" ht="10.5" customHeight="1" x14ac:dyDescent="0.2">
      <c r="G23905" s="889"/>
    </row>
    <row r="23906" spans="7:7" ht="10.5" customHeight="1" x14ac:dyDescent="0.2">
      <c r="G23906" s="889"/>
    </row>
    <row r="23907" spans="7:7" ht="10.5" customHeight="1" x14ac:dyDescent="0.2">
      <c r="G23907" s="889"/>
    </row>
    <row r="23908" spans="7:7" ht="10.5" customHeight="1" x14ac:dyDescent="0.2">
      <c r="G23908" s="889"/>
    </row>
    <row r="23909" spans="7:7" ht="10.5" customHeight="1" x14ac:dyDescent="0.2">
      <c r="G23909" s="889"/>
    </row>
    <row r="23910" spans="7:7" ht="10.5" customHeight="1" x14ac:dyDescent="0.2">
      <c r="G23910" s="889"/>
    </row>
    <row r="23911" spans="7:7" ht="10.5" customHeight="1" x14ac:dyDescent="0.2">
      <c r="G23911" s="889"/>
    </row>
    <row r="23912" spans="7:7" ht="10.5" customHeight="1" x14ac:dyDescent="0.2">
      <c r="G23912" s="889"/>
    </row>
    <row r="23913" spans="7:7" ht="10.5" customHeight="1" x14ac:dyDescent="0.2">
      <c r="G23913" s="889"/>
    </row>
    <row r="23914" spans="7:7" ht="10.5" customHeight="1" x14ac:dyDescent="0.2">
      <c r="G23914" s="889"/>
    </row>
    <row r="23915" spans="7:7" ht="10.5" customHeight="1" x14ac:dyDescent="0.2">
      <c r="G23915" s="889"/>
    </row>
    <row r="23916" spans="7:7" ht="10.5" customHeight="1" x14ac:dyDescent="0.2">
      <c r="G23916" s="889"/>
    </row>
    <row r="23917" spans="7:7" ht="10.5" customHeight="1" x14ac:dyDescent="0.2">
      <c r="G23917" s="889"/>
    </row>
    <row r="23918" spans="7:7" ht="10.5" customHeight="1" x14ac:dyDescent="0.2">
      <c r="G23918" s="889"/>
    </row>
    <row r="23919" spans="7:7" ht="10.5" customHeight="1" x14ac:dyDescent="0.2">
      <c r="G23919" s="889"/>
    </row>
    <row r="23920" spans="7:7" ht="10.5" customHeight="1" x14ac:dyDescent="0.2">
      <c r="G23920" s="889"/>
    </row>
    <row r="23921" spans="7:7" ht="10.5" customHeight="1" x14ac:dyDescent="0.2">
      <c r="G23921" s="889"/>
    </row>
    <row r="23922" spans="7:7" ht="10.5" customHeight="1" x14ac:dyDescent="0.2">
      <c r="G23922" s="889"/>
    </row>
    <row r="23923" spans="7:7" ht="10.5" customHeight="1" x14ac:dyDescent="0.2">
      <c r="G23923" s="889"/>
    </row>
    <row r="23924" spans="7:7" ht="10.5" customHeight="1" x14ac:dyDescent="0.2">
      <c r="G23924" s="889"/>
    </row>
    <row r="23925" spans="7:7" ht="10.5" customHeight="1" x14ac:dyDescent="0.2">
      <c r="G23925" s="889"/>
    </row>
    <row r="23926" spans="7:7" ht="10.5" customHeight="1" x14ac:dyDescent="0.2">
      <c r="G23926" s="889"/>
    </row>
    <row r="23927" spans="7:7" ht="10.5" customHeight="1" x14ac:dyDescent="0.2">
      <c r="G23927" s="889"/>
    </row>
    <row r="23928" spans="7:7" ht="10.5" customHeight="1" x14ac:dyDescent="0.2">
      <c r="G23928" s="889"/>
    </row>
    <row r="23929" spans="7:7" ht="10.5" customHeight="1" x14ac:dyDescent="0.2">
      <c r="G23929" s="889"/>
    </row>
    <row r="23930" spans="7:7" ht="10.5" customHeight="1" x14ac:dyDescent="0.2">
      <c r="G23930" s="889"/>
    </row>
    <row r="23931" spans="7:7" ht="10.5" customHeight="1" x14ac:dyDescent="0.2">
      <c r="G23931" s="889"/>
    </row>
    <row r="23932" spans="7:7" ht="10.5" customHeight="1" x14ac:dyDescent="0.2">
      <c r="G23932" s="889"/>
    </row>
    <row r="23933" spans="7:7" ht="10.5" customHeight="1" x14ac:dyDescent="0.2">
      <c r="G23933" s="889"/>
    </row>
    <row r="23934" spans="7:7" ht="10.5" customHeight="1" x14ac:dyDescent="0.2">
      <c r="G23934" s="889"/>
    </row>
    <row r="23935" spans="7:7" ht="10.5" customHeight="1" x14ac:dyDescent="0.2">
      <c r="G23935" s="889"/>
    </row>
    <row r="23936" spans="7:7" ht="10.5" customHeight="1" x14ac:dyDescent="0.2">
      <c r="G23936" s="889"/>
    </row>
    <row r="23937" spans="7:7" ht="10.5" customHeight="1" x14ac:dyDescent="0.2">
      <c r="G23937" s="889"/>
    </row>
    <row r="23938" spans="7:7" ht="10.5" customHeight="1" x14ac:dyDescent="0.2">
      <c r="G23938" s="889"/>
    </row>
    <row r="23939" spans="7:7" ht="10.5" customHeight="1" x14ac:dyDescent="0.2">
      <c r="G23939" s="889"/>
    </row>
    <row r="23940" spans="7:7" ht="10.5" customHeight="1" x14ac:dyDescent="0.2">
      <c r="G23940" s="889"/>
    </row>
    <row r="23941" spans="7:7" ht="10.5" customHeight="1" x14ac:dyDescent="0.2">
      <c r="G23941" s="889"/>
    </row>
    <row r="23942" spans="7:7" ht="10.5" customHeight="1" x14ac:dyDescent="0.2">
      <c r="G23942" s="889"/>
    </row>
    <row r="23943" spans="7:7" ht="10.5" customHeight="1" x14ac:dyDescent="0.2">
      <c r="G23943" s="889"/>
    </row>
    <row r="23944" spans="7:7" ht="10.5" customHeight="1" x14ac:dyDescent="0.2">
      <c r="G23944" s="889"/>
    </row>
    <row r="23945" spans="7:7" ht="10.5" customHeight="1" x14ac:dyDescent="0.2">
      <c r="G23945" s="889"/>
    </row>
    <row r="23946" spans="7:7" ht="10.5" customHeight="1" x14ac:dyDescent="0.2">
      <c r="G23946" s="889"/>
    </row>
    <row r="23947" spans="7:7" ht="10.5" customHeight="1" x14ac:dyDescent="0.2">
      <c r="G23947" s="889"/>
    </row>
    <row r="23948" spans="7:7" ht="10.5" customHeight="1" x14ac:dyDescent="0.2">
      <c r="G23948" s="889"/>
    </row>
    <row r="23949" spans="7:7" ht="10.5" customHeight="1" x14ac:dyDescent="0.2">
      <c r="G23949" s="889"/>
    </row>
    <row r="23950" spans="7:7" ht="10.5" customHeight="1" x14ac:dyDescent="0.2">
      <c r="G23950" s="889"/>
    </row>
    <row r="23951" spans="7:7" ht="10.5" customHeight="1" x14ac:dyDescent="0.2">
      <c r="G23951" s="889"/>
    </row>
    <row r="23952" spans="7:7" ht="10.5" customHeight="1" x14ac:dyDescent="0.2">
      <c r="G23952" s="889"/>
    </row>
    <row r="23953" spans="7:7" ht="10.5" customHeight="1" x14ac:dyDescent="0.2">
      <c r="G23953" s="889"/>
    </row>
    <row r="23954" spans="7:7" ht="10.5" customHeight="1" x14ac:dyDescent="0.2">
      <c r="G23954" s="889"/>
    </row>
    <row r="23955" spans="7:7" ht="10.5" customHeight="1" x14ac:dyDescent="0.2">
      <c r="G23955" s="889"/>
    </row>
    <row r="23956" spans="7:7" ht="10.5" customHeight="1" x14ac:dyDescent="0.2">
      <c r="G23956" s="889"/>
    </row>
    <row r="23957" spans="7:7" ht="10.5" customHeight="1" x14ac:dyDescent="0.2">
      <c r="G23957" s="889"/>
    </row>
    <row r="23958" spans="7:7" ht="10.5" customHeight="1" x14ac:dyDescent="0.2">
      <c r="G23958" s="889"/>
    </row>
    <row r="23959" spans="7:7" ht="10.5" customHeight="1" x14ac:dyDescent="0.2">
      <c r="G23959" s="889"/>
    </row>
    <row r="23960" spans="7:7" ht="10.5" customHeight="1" x14ac:dyDescent="0.2">
      <c r="G23960" s="889"/>
    </row>
    <row r="23961" spans="7:7" ht="10.5" customHeight="1" x14ac:dyDescent="0.2">
      <c r="G23961" s="889"/>
    </row>
    <row r="23962" spans="7:7" ht="10.5" customHeight="1" x14ac:dyDescent="0.2">
      <c r="G23962" s="889"/>
    </row>
    <row r="23963" spans="7:7" ht="10.5" customHeight="1" x14ac:dyDescent="0.2">
      <c r="G23963" s="889"/>
    </row>
    <row r="23964" spans="7:7" ht="10.5" customHeight="1" x14ac:dyDescent="0.2">
      <c r="G23964" s="889"/>
    </row>
    <row r="23965" spans="7:7" ht="10.5" customHeight="1" x14ac:dyDescent="0.2">
      <c r="G23965" s="889"/>
    </row>
    <row r="23966" spans="7:7" ht="10.5" customHeight="1" x14ac:dyDescent="0.2">
      <c r="G23966" s="889"/>
    </row>
    <row r="23967" spans="7:7" ht="10.5" customHeight="1" x14ac:dyDescent="0.2">
      <c r="G23967" s="889"/>
    </row>
    <row r="23968" spans="7:7" ht="10.5" customHeight="1" x14ac:dyDescent="0.2">
      <c r="G23968" s="889"/>
    </row>
    <row r="23969" spans="7:7" ht="10.5" customHeight="1" x14ac:dyDescent="0.2">
      <c r="G23969" s="889"/>
    </row>
    <row r="23970" spans="7:7" ht="10.5" customHeight="1" x14ac:dyDescent="0.2">
      <c r="G23970" s="889"/>
    </row>
    <row r="23971" spans="7:7" ht="10.5" customHeight="1" x14ac:dyDescent="0.2">
      <c r="G23971" s="889"/>
    </row>
    <row r="23972" spans="7:7" ht="10.5" customHeight="1" x14ac:dyDescent="0.2">
      <c r="G23972" s="889"/>
    </row>
    <row r="23973" spans="7:7" ht="10.5" customHeight="1" x14ac:dyDescent="0.2">
      <c r="G23973" s="889"/>
    </row>
    <row r="23974" spans="7:7" ht="10.5" customHeight="1" x14ac:dyDescent="0.2">
      <c r="G23974" s="889"/>
    </row>
    <row r="23975" spans="7:7" ht="10.5" customHeight="1" x14ac:dyDescent="0.2">
      <c r="G23975" s="889"/>
    </row>
    <row r="23976" spans="7:7" ht="10.5" customHeight="1" x14ac:dyDescent="0.2">
      <c r="G23976" s="889"/>
    </row>
    <row r="23977" spans="7:7" ht="10.5" customHeight="1" x14ac:dyDescent="0.2">
      <c r="G23977" s="889"/>
    </row>
    <row r="23978" spans="7:7" ht="10.5" customHeight="1" x14ac:dyDescent="0.2">
      <c r="G23978" s="889"/>
    </row>
    <row r="23979" spans="7:7" ht="10.5" customHeight="1" x14ac:dyDescent="0.2">
      <c r="G23979" s="889"/>
    </row>
    <row r="23980" spans="7:7" ht="10.5" customHeight="1" x14ac:dyDescent="0.2">
      <c r="G23980" s="889"/>
    </row>
    <row r="23981" spans="7:7" ht="10.5" customHeight="1" x14ac:dyDescent="0.2">
      <c r="G23981" s="889"/>
    </row>
    <row r="23982" spans="7:7" ht="10.5" customHeight="1" x14ac:dyDescent="0.2">
      <c r="G23982" s="889"/>
    </row>
    <row r="23983" spans="7:7" ht="10.5" customHeight="1" x14ac:dyDescent="0.2">
      <c r="G23983" s="889"/>
    </row>
    <row r="23984" spans="7:7" ht="10.5" customHeight="1" x14ac:dyDescent="0.2">
      <c r="G23984" s="889"/>
    </row>
    <row r="23985" spans="7:7" ht="10.5" customHeight="1" x14ac:dyDescent="0.2">
      <c r="G23985" s="889"/>
    </row>
    <row r="23986" spans="7:7" ht="10.5" customHeight="1" x14ac:dyDescent="0.2">
      <c r="G23986" s="889"/>
    </row>
    <row r="23987" spans="7:7" ht="10.5" customHeight="1" x14ac:dyDescent="0.2">
      <c r="G23987" s="889"/>
    </row>
    <row r="23988" spans="7:7" ht="10.5" customHeight="1" x14ac:dyDescent="0.2">
      <c r="G23988" s="889"/>
    </row>
    <row r="23989" spans="7:7" ht="10.5" customHeight="1" x14ac:dyDescent="0.2">
      <c r="G23989" s="889"/>
    </row>
    <row r="23990" spans="7:7" ht="10.5" customHeight="1" x14ac:dyDescent="0.2">
      <c r="G23990" s="889"/>
    </row>
    <row r="23991" spans="7:7" ht="10.5" customHeight="1" x14ac:dyDescent="0.2">
      <c r="G23991" s="889"/>
    </row>
    <row r="23992" spans="7:7" ht="10.5" customHeight="1" x14ac:dyDescent="0.2">
      <c r="G23992" s="889"/>
    </row>
    <row r="23993" spans="7:7" ht="10.5" customHeight="1" x14ac:dyDescent="0.2">
      <c r="G23993" s="889"/>
    </row>
    <row r="23994" spans="7:7" ht="10.5" customHeight="1" x14ac:dyDescent="0.2">
      <c r="G23994" s="889"/>
    </row>
    <row r="23995" spans="7:7" ht="10.5" customHeight="1" x14ac:dyDescent="0.2">
      <c r="G23995" s="889"/>
    </row>
    <row r="23996" spans="7:7" ht="10.5" customHeight="1" x14ac:dyDescent="0.2">
      <c r="G23996" s="889"/>
    </row>
    <row r="23997" spans="7:7" ht="10.5" customHeight="1" x14ac:dyDescent="0.2">
      <c r="G23997" s="889"/>
    </row>
    <row r="23998" spans="7:7" ht="10.5" customHeight="1" x14ac:dyDescent="0.2">
      <c r="G23998" s="889"/>
    </row>
    <row r="23999" spans="7:7" ht="10.5" customHeight="1" x14ac:dyDescent="0.2">
      <c r="G23999" s="889"/>
    </row>
    <row r="24000" spans="7:7" ht="10.5" customHeight="1" x14ac:dyDescent="0.2">
      <c r="G24000" s="889"/>
    </row>
    <row r="24001" spans="7:7" ht="10.5" customHeight="1" x14ac:dyDescent="0.2">
      <c r="G24001" s="889"/>
    </row>
    <row r="24002" spans="7:7" ht="10.5" customHeight="1" x14ac:dyDescent="0.2">
      <c r="G24002" s="889"/>
    </row>
    <row r="24003" spans="7:7" ht="10.5" customHeight="1" x14ac:dyDescent="0.2">
      <c r="G24003" s="889"/>
    </row>
    <row r="24004" spans="7:7" ht="10.5" customHeight="1" x14ac:dyDescent="0.2">
      <c r="G24004" s="889"/>
    </row>
    <row r="24005" spans="7:7" ht="10.5" customHeight="1" x14ac:dyDescent="0.2">
      <c r="G24005" s="889"/>
    </row>
    <row r="24006" spans="7:7" ht="10.5" customHeight="1" x14ac:dyDescent="0.2">
      <c r="G24006" s="889"/>
    </row>
    <row r="24007" spans="7:7" ht="10.5" customHeight="1" x14ac:dyDescent="0.2">
      <c r="G24007" s="889"/>
    </row>
    <row r="24008" spans="7:7" ht="10.5" customHeight="1" x14ac:dyDescent="0.2">
      <c r="G24008" s="889"/>
    </row>
    <row r="24009" spans="7:7" ht="10.5" customHeight="1" x14ac:dyDescent="0.2">
      <c r="G24009" s="889"/>
    </row>
    <row r="24010" spans="7:7" ht="10.5" customHeight="1" x14ac:dyDescent="0.2">
      <c r="G24010" s="889"/>
    </row>
    <row r="24011" spans="7:7" ht="10.5" customHeight="1" x14ac:dyDescent="0.2">
      <c r="G24011" s="889"/>
    </row>
    <row r="24012" spans="7:7" ht="10.5" customHeight="1" x14ac:dyDescent="0.2">
      <c r="G24012" s="889"/>
    </row>
    <row r="24013" spans="7:7" ht="10.5" customHeight="1" x14ac:dyDescent="0.2">
      <c r="G24013" s="889"/>
    </row>
    <row r="24014" spans="7:7" ht="10.5" customHeight="1" x14ac:dyDescent="0.2">
      <c r="G24014" s="889"/>
    </row>
    <row r="24015" spans="7:7" ht="10.5" customHeight="1" x14ac:dyDescent="0.2">
      <c r="G24015" s="889"/>
    </row>
    <row r="24016" spans="7:7" ht="10.5" customHeight="1" x14ac:dyDescent="0.2">
      <c r="G24016" s="889"/>
    </row>
    <row r="24017" spans="7:7" ht="10.5" customHeight="1" x14ac:dyDescent="0.2">
      <c r="G24017" s="889"/>
    </row>
    <row r="24018" spans="7:7" ht="10.5" customHeight="1" x14ac:dyDescent="0.2">
      <c r="G24018" s="889"/>
    </row>
    <row r="24019" spans="7:7" ht="10.5" customHeight="1" x14ac:dyDescent="0.2">
      <c r="G24019" s="889"/>
    </row>
    <row r="24020" spans="7:7" ht="10.5" customHeight="1" x14ac:dyDescent="0.2">
      <c r="G24020" s="889"/>
    </row>
    <row r="24021" spans="7:7" ht="10.5" customHeight="1" x14ac:dyDescent="0.2">
      <c r="G24021" s="889"/>
    </row>
    <row r="24022" spans="7:7" ht="10.5" customHeight="1" x14ac:dyDescent="0.2">
      <c r="G24022" s="889"/>
    </row>
    <row r="24023" spans="7:7" ht="10.5" customHeight="1" x14ac:dyDescent="0.2">
      <c r="G24023" s="889"/>
    </row>
    <row r="24024" spans="7:7" ht="10.5" customHeight="1" x14ac:dyDescent="0.2">
      <c r="G24024" s="889"/>
    </row>
    <row r="24025" spans="7:7" ht="10.5" customHeight="1" x14ac:dyDescent="0.2">
      <c r="G24025" s="889"/>
    </row>
    <row r="24026" spans="7:7" ht="10.5" customHeight="1" x14ac:dyDescent="0.2">
      <c r="G24026" s="889"/>
    </row>
    <row r="24027" spans="7:7" ht="10.5" customHeight="1" x14ac:dyDescent="0.2">
      <c r="G24027" s="889"/>
    </row>
    <row r="24028" spans="7:7" ht="10.5" customHeight="1" x14ac:dyDescent="0.2">
      <c r="G24028" s="889"/>
    </row>
    <row r="24029" spans="7:7" ht="10.5" customHeight="1" x14ac:dyDescent="0.2">
      <c r="G24029" s="889"/>
    </row>
    <row r="24030" spans="7:7" ht="10.5" customHeight="1" x14ac:dyDescent="0.2">
      <c r="G24030" s="889"/>
    </row>
    <row r="24031" spans="7:7" ht="10.5" customHeight="1" x14ac:dyDescent="0.2">
      <c r="G24031" s="889"/>
    </row>
    <row r="24032" spans="7:7" ht="10.5" customHeight="1" x14ac:dyDescent="0.2">
      <c r="G24032" s="889"/>
    </row>
    <row r="24033" spans="7:7" ht="10.5" customHeight="1" x14ac:dyDescent="0.2">
      <c r="G24033" s="889"/>
    </row>
    <row r="24034" spans="7:7" ht="10.5" customHeight="1" x14ac:dyDescent="0.2">
      <c r="G24034" s="889"/>
    </row>
    <row r="24035" spans="7:7" ht="10.5" customHeight="1" x14ac:dyDescent="0.2">
      <c r="G24035" s="889"/>
    </row>
    <row r="24036" spans="7:7" ht="10.5" customHeight="1" x14ac:dyDescent="0.2">
      <c r="G24036" s="889"/>
    </row>
    <row r="24037" spans="7:7" ht="10.5" customHeight="1" x14ac:dyDescent="0.2">
      <c r="G24037" s="889"/>
    </row>
    <row r="24038" spans="7:7" ht="10.5" customHeight="1" x14ac:dyDescent="0.2">
      <c r="G24038" s="889"/>
    </row>
    <row r="24039" spans="7:7" ht="10.5" customHeight="1" x14ac:dyDescent="0.2">
      <c r="G24039" s="889"/>
    </row>
    <row r="24040" spans="7:7" ht="10.5" customHeight="1" x14ac:dyDescent="0.2">
      <c r="G24040" s="889"/>
    </row>
    <row r="24041" spans="7:7" ht="10.5" customHeight="1" x14ac:dyDescent="0.2">
      <c r="G24041" s="889"/>
    </row>
    <row r="24042" spans="7:7" ht="10.5" customHeight="1" x14ac:dyDescent="0.2">
      <c r="G24042" s="889"/>
    </row>
    <row r="24043" spans="7:7" ht="10.5" customHeight="1" x14ac:dyDescent="0.2">
      <c r="G24043" s="889"/>
    </row>
    <row r="24044" spans="7:7" ht="10.5" customHeight="1" x14ac:dyDescent="0.2">
      <c r="G24044" s="889"/>
    </row>
    <row r="24045" spans="7:7" ht="10.5" customHeight="1" x14ac:dyDescent="0.2">
      <c r="G24045" s="889"/>
    </row>
    <row r="24046" spans="7:7" ht="10.5" customHeight="1" x14ac:dyDescent="0.2">
      <c r="G24046" s="889"/>
    </row>
    <row r="24047" spans="7:7" ht="10.5" customHeight="1" x14ac:dyDescent="0.2">
      <c r="G24047" s="889"/>
    </row>
    <row r="24048" spans="7:7" ht="10.5" customHeight="1" x14ac:dyDescent="0.2">
      <c r="G24048" s="889"/>
    </row>
    <row r="24049" spans="7:7" ht="10.5" customHeight="1" x14ac:dyDescent="0.2">
      <c r="G24049" s="889"/>
    </row>
    <row r="24050" spans="7:7" ht="10.5" customHeight="1" x14ac:dyDescent="0.2">
      <c r="G24050" s="889"/>
    </row>
    <row r="24051" spans="7:7" ht="10.5" customHeight="1" x14ac:dyDescent="0.2">
      <c r="G24051" s="889"/>
    </row>
    <row r="24052" spans="7:7" ht="10.5" customHeight="1" x14ac:dyDescent="0.2">
      <c r="G24052" s="889"/>
    </row>
    <row r="24053" spans="7:7" ht="10.5" customHeight="1" x14ac:dyDescent="0.2">
      <c r="G24053" s="889"/>
    </row>
    <row r="24054" spans="7:7" ht="10.5" customHeight="1" x14ac:dyDescent="0.2">
      <c r="G24054" s="889"/>
    </row>
    <row r="24055" spans="7:7" ht="10.5" customHeight="1" x14ac:dyDescent="0.2">
      <c r="G24055" s="889"/>
    </row>
    <row r="24056" spans="7:7" ht="10.5" customHeight="1" x14ac:dyDescent="0.2">
      <c r="G24056" s="889"/>
    </row>
    <row r="24057" spans="7:7" ht="10.5" customHeight="1" x14ac:dyDescent="0.2">
      <c r="G24057" s="889"/>
    </row>
    <row r="24058" spans="7:7" ht="10.5" customHeight="1" x14ac:dyDescent="0.2">
      <c r="G24058" s="889"/>
    </row>
    <row r="24059" spans="7:7" ht="10.5" customHeight="1" x14ac:dyDescent="0.2">
      <c r="G24059" s="889"/>
    </row>
    <row r="24060" spans="7:7" ht="10.5" customHeight="1" x14ac:dyDescent="0.2">
      <c r="G24060" s="889"/>
    </row>
    <row r="24061" spans="7:7" ht="10.5" customHeight="1" x14ac:dyDescent="0.2">
      <c r="G24061" s="889"/>
    </row>
    <row r="24062" spans="7:7" ht="10.5" customHeight="1" x14ac:dyDescent="0.2">
      <c r="G24062" s="889"/>
    </row>
    <row r="24063" spans="7:7" ht="10.5" customHeight="1" x14ac:dyDescent="0.2">
      <c r="G24063" s="889"/>
    </row>
    <row r="24064" spans="7:7" ht="10.5" customHeight="1" x14ac:dyDescent="0.2">
      <c r="G24064" s="889"/>
    </row>
    <row r="24065" spans="7:7" ht="10.5" customHeight="1" x14ac:dyDescent="0.2">
      <c r="G24065" s="889"/>
    </row>
    <row r="24066" spans="7:7" ht="10.5" customHeight="1" x14ac:dyDescent="0.2">
      <c r="G24066" s="889"/>
    </row>
    <row r="24067" spans="7:7" ht="10.5" customHeight="1" x14ac:dyDescent="0.2">
      <c r="G24067" s="889"/>
    </row>
    <row r="24068" spans="7:7" ht="10.5" customHeight="1" x14ac:dyDescent="0.2">
      <c r="G24068" s="889"/>
    </row>
    <row r="24069" spans="7:7" ht="10.5" customHeight="1" x14ac:dyDescent="0.2">
      <c r="G24069" s="889"/>
    </row>
    <row r="24070" spans="7:7" ht="10.5" customHeight="1" x14ac:dyDescent="0.2">
      <c r="G24070" s="889"/>
    </row>
    <row r="24071" spans="7:7" ht="10.5" customHeight="1" x14ac:dyDescent="0.2">
      <c r="G24071" s="889"/>
    </row>
    <row r="24072" spans="7:7" ht="10.5" customHeight="1" x14ac:dyDescent="0.2">
      <c r="G24072" s="889"/>
    </row>
    <row r="24073" spans="7:7" ht="10.5" customHeight="1" x14ac:dyDescent="0.2">
      <c r="G24073" s="889"/>
    </row>
    <row r="24074" spans="7:7" ht="10.5" customHeight="1" x14ac:dyDescent="0.2">
      <c r="G24074" s="889"/>
    </row>
    <row r="24075" spans="7:7" ht="10.5" customHeight="1" x14ac:dyDescent="0.2">
      <c r="G24075" s="889"/>
    </row>
    <row r="24076" spans="7:7" ht="10.5" customHeight="1" x14ac:dyDescent="0.2">
      <c r="G24076" s="889"/>
    </row>
    <row r="24077" spans="7:7" ht="10.5" customHeight="1" x14ac:dyDescent="0.2">
      <c r="G24077" s="889"/>
    </row>
    <row r="24078" spans="7:7" ht="10.5" customHeight="1" x14ac:dyDescent="0.2">
      <c r="G24078" s="889"/>
    </row>
    <row r="24079" spans="7:7" ht="10.5" customHeight="1" x14ac:dyDescent="0.2">
      <c r="G24079" s="889"/>
    </row>
    <row r="24080" spans="7:7" ht="10.5" customHeight="1" x14ac:dyDescent="0.2">
      <c r="G24080" s="889"/>
    </row>
    <row r="24081" spans="7:7" ht="10.5" customHeight="1" x14ac:dyDescent="0.2">
      <c r="G24081" s="889"/>
    </row>
    <row r="24082" spans="7:7" ht="10.5" customHeight="1" x14ac:dyDescent="0.2">
      <c r="G24082" s="889"/>
    </row>
    <row r="24083" spans="7:7" ht="10.5" customHeight="1" x14ac:dyDescent="0.2">
      <c r="G24083" s="889"/>
    </row>
    <row r="24084" spans="7:7" ht="10.5" customHeight="1" x14ac:dyDescent="0.2">
      <c r="G24084" s="889"/>
    </row>
    <row r="24085" spans="7:7" ht="10.5" customHeight="1" x14ac:dyDescent="0.2">
      <c r="G24085" s="889"/>
    </row>
    <row r="24086" spans="7:7" ht="10.5" customHeight="1" x14ac:dyDescent="0.2">
      <c r="G24086" s="889"/>
    </row>
    <row r="24087" spans="7:7" ht="10.5" customHeight="1" x14ac:dyDescent="0.2">
      <c r="G24087" s="889"/>
    </row>
    <row r="24088" spans="7:7" ht="10.5" customHeight="1" x14ac:dyDescent="0.2">
      <c r="G24088" s="889"/>
    </row>
    <row r="24089" spans="7:7" ht="10.5" customHeight="1" x14ac:dyDescent="0.2">
      <c r="G24089" s="889"/>
    </row>
    <row r="24090" spans="7:7" ht="10.5" customHeight="1" x14ac:dyDescent="0.2">
      <c r="G24090" s="889"/>
    </row>
    <row r="24091" spans="7:7" ht="10.5" customHeight="1" x14ac:dyDescent="0.2">
      <c r="G24091" s="889"/>
    </row>
    <row r="24092" spans="7:7" ht="10.5" customHeight="1" x14ac:dyDescent="0.2">
      <c r="G24092" s="889"/>
    </row>
    <row r="24093" spans="7:7" ht="10.5" customHeight="1" x14ac:dyDescent="0.2">
      <c r="G24093" s="889"/>
    </row>
    <row r="24094" spans="7:7" ht="10.5" customHeight="1" x14ac:dyDescent="0.2">
      <c r="G24094" s="889"/>
    </row>
    <row r="24095" spans="7:7" ht="10.5" customHeight="1" x14ac:dyDescent="0.2">
      <c r="G24095" s="889"/>
    </row>
    <row r="24096" spans="7:7" ht="10.5" customHeight="1" x14ac:dyDescent="0.2">
      <c r="G24096" s="889"/>
    </row>
    <row r="24097" spans="7:7" ht="10.5" customHeight="1" x14ac:dyDescent="0.2">
      <c r="G24097" s="889"/>
    </row>
    <row r="24098" spans="7:7" ht="10.5" customHeight="1" x14ac:dyDescent="0.2">
      <c r="G24098" s="889"/>
    </row>
    <row r="24099" spans="7:7" ht="10.5" customHeight="1" x14ac:dyDescent="0.2">
      <c r="G24099" s="889"/>
    </row>
    <row r="24100" spans="7:7" ht="10.5" customHeight="1" x14ac:dyDescent="0.2">
      <c r="G24100" s="889"/>
    </row>
    <row r="24101" spans="7:7" ht="10.5" customHeight="1" x14ac:dyDescent="0.2">
      <c r="G24101" s="889"/>
    </row>
    <row r="24102" spans="7:7" ht="10.5" customHeight="1" x14ac:dyDescent="0.2">
      <c r="G24102" s="889"/>
    </row>
    <row r="24103" spans="7:7" ht="10.5" customHeight="1" x14ac:dyDescent="0.2">
      <c r="G24103" s="889"/>
    </row>
    <row r="24104" spans="7:7" ht="10.5" customHeight="1" x14ac:dyDescent="0.2">
      <c r="G24104" s="889"/>
    </row>
    <row r="24105" spans="7:7" ht="10.5" customHeight="1" x14ac:dyDescent="0.2">
      <c r="G24105" s="889"/>
    </row>
    <row r="24106" spans="7:7" ht="10.5" customHeight="1" x14ac:dyDescent="0.2">
      <c r="G24106" s="889"/>
    </row>
    <row r="24107" spans="7:7" ht="10.5" customHeight="1" x14ac:dyDescent="0.2">
      <c r="G24107" s="889"/>
    </row>
    <row r="24108" spans="7:7" ht="10.5" customHeight="1" x14ac:dyDescent="0.2">
      <c r="G24108" s="889"/>
    </row>
    <row r="24109" spans="7:7" ht="10.5" customHeight="1" x14ac:dyDescent="0.2">
      <c r="G24109" s="889"/>
    </row>
    <row r="24110" spans="7:7" ht="10.5" customHeight="1" x14ac:dyDescent="0.2">
      <c r="G24110" s="889"/>
    </row>
    <row r="24111" spans="7:7" ht="10.5" customHeight="1" x14ac:dyDescent="0.2">
      <c r="G24111" s="889"/>
    </row>
    <row r="24112" spans="7:7" ht="10.5" customHeight="1" x14ac:dyDescent="0.2">
      <c r="G24112" s="889"/>
    </row>
    <row r="24113" spans="7:7" ht="10.5" customHeight="1" x14ac:dyDescent="0.2">
      <c r="G24113" s="889"/>
    </row>
    <row r="24114" spans="7:7" ht="10.5" customHeight="1" x14ac:dyDescent="0.2">
      <c r="G24114" s="889"/>
    </row>
    <row r="24115" spans="7:7" ht="10.5" customHeight="1" x14ac:dyDescent="0.2">
      <c r="G24115" s="889"/>
    </row>
    <row r="24116" spans="7:7" ht="10.5" customHeight="1" x14ac:dyDescent="0.2">
      <c r="G24116" s="889"/>
    </row>
    <row r="24117" spans="7:7" ht="10.5" customHeight="1" x14ac:dyDescent="0.2">
      <c r="G24117" s="889"/>
    </row>
    <row r="24118" spans="7:7" ht="10.5" customHeight="1" x14ac:dyDescent="0.2">
      <c r="G24118" s="889"/>
    </row>
    <row r="24119" spans="7:7" ht="10.5" customHeight="1" x14ac:dyDescent="0.2">
      <c r="G24119" s="889"/>
    </row>
    <row r="24120" spans="7:7" ht="10.5" customHeight="1" x14ac:dyDescent="0.2">
      <c r="G24120" s="889"/>
    </row>
    <row r="24121" spans="7:7" ht="10.5" customHeight="1" x14ac:dyDescent="0.2">
      <c r="G24121" s="889"/>
    </row>
    <row r="24122" spans="7:7" ht="10.5" customHeight="1" x14ac:dyDescent="0.2">
      <c r="G24122" s="889"/>
    </row>
    <row r="24123" spans="7:7" ht="10.5" customHeight="1" x14ac:dyDescent="0.2">
      <c r="G24123" s="889"/>
    </row>
    <row r="24124" spans="7:7" ht="10.5" customHeight="1" x14ac:dyDescent="0.2">
      <c r="G24124" s="889"/>
    </row>
    <row r="24125" spans="7:7" ht="10.5" customHeight="1" x14ac:dyDescent="0.2">
      <c r="G24125" s="889"/>
    </row>
    <row r="24126" spans="7:7" ht="10.5" customHeight="1" x14ac:dyDescent="0.2">
      <c r="G24126" s="889"/>
    </row>
    <row r="24127" spans="7:7" ht="10.5" customHeight="1" x14ac:dyDescent="0.2">
      <c r="G24127" s="889"/>
    </row>
    <row r="24128" spans="7:7" ht="10.5" customHeight="1" x14ac:dyDescent="0.2">
      <c r="G24128" s="889"/>
    </row>
    <row r="24129" spans="7:7" ht="10.5" customHeight="1" x14ac:dyDescent="0.2">
      <c r="G24129" s="889"/>
    </row>
    <row r="24130" spans="7:7" ht="10.5" customHeight="1" x14ac:dyDescent="0.2">
      <c r="G24130" s="889"/>
    </row>
    <row r="24131" spans="7:7" ht="10.5" customHeight="1" x14ac:dyDescent="0.2">
      <c r="G24131" s="889"/>
    </row>
    <row r="24132" spans="7:7" ht="10.5" customHeight="1" x14ac:dyDescent="0.2">
      <c r="G24132" s="889"/>
    </row>
    <row r="24133" spans="7:7" ht="10.5" customHeight="1" x14ac:dyDescent="0.2">
      <c r="G24133" s="889"/>
    </row>
    <row r="24134" spans="7:7" ht="10.5" customHeight="1" x14ac:dyDescent="0.2">
      <c r="G24134" s="889"/>
    </row>
    <row r="24135" spans="7:7" ht="10.5" customHeight="1" x14ac:dyDescent="0.2">
      <c r="G24135" s="889"/>
    </row>
    <row r="24136" spans="7:7" ht="10.5" customHeight="1" x14ac:dyDescent="0.2">
      <c r="G24136" s="889"/>
    </row>
    <row r="24137" spans="7:7" ht="10.5" customHeight="1" x14ac:dyDescent="0.2">
      <c r="G24137" s="889"/>
    </row>
    <row r="24138" spans="7:7" ht="10.5" customHeight="1" x14ac:dyDescent="0.2">
      <c r="G24138" s="889"/>
    </row>
    <row r="24139" spans="7:7" ht="10.5" customHeight="1" x14ac:dyDescent="0.2">
      <c r="G24139" s="889"/>
    </row>
    <row r="24140" spans="7:7" ht="10.5" customHeight="1" x14ac:dyDescent="0.2">
      <c r="G24140" s="889"/>
    </row>
    <row r="24141" spans="7:7" ht="10.5" customHeight="1" x14ac:dyDescent="0.2">
      <c r="G24141" s="889"/>
    </row>
    <row r="24142" spans="7:7" ht="10.5" customHeight="1" x14ac:dyDescent="0.2">
      <c r="G24142" s="889"/>
    </row>
    <row r="24143" spans="7:7" ht="10.5" customHeight="1" x14ac:dyDescent="0.2">
      <c r="G24143" s="889"/>
    </row>
    <row r="24144" spans="7:7" ht="10.5" customHeight="1" x14ac:dyDescent="0.2">
      <c r="G24144" s="889"/>
    </row>
    <row r="24145" spans="7:7" ht="10.5" customHeight="1" x14ac:dyDescent="0.2">
      <c r="G24145" s="889"/>
    </row>
    <row r="24146" spans="7:7" ht="10.5" customHeight="1" x14ac:dyDescent="0.2">
      <c r="G24146" s="889"/>
    </row>
    <row r="24147" spans="7:7" ht="10.5" customHeight="1" x14ac:dyDescent="0.2">
      <c r="G24147" s="889"/>
    </row>
    <row r="24148" spans="7:7" ht="10.5" customHeight="1" x14ac:dyDescent="0.2">
      <c r="G24148" s="889"/>
    </row>
    <row r="24149" spans="7:7" ht="10.5" customHeight="1" x14ac:dyDescent="0.2">
      <c r="G24149" s="889"/>
    </row>
    <row r="24150" spans="7:7" ht="10.5" customHeight="1" x14ac:dyDescent="0.2">
      <c r="G24150" s="889"/>
    </row>
    <row r="24151" spans="7:7" ht="10.5" customHeight="1" x14ac:dyDescent="0.2">
      <c r="G24151" s="889"/>
    </row>
    <row r="24152" spans="7:7" ht="10.5" customHeight="1" x14ac:dyDescent="0.2">
      <c r="G24152" s="889"/>
    </row>
    <row r="24153" spans="7:7" ht="10.5" customHeight="1" x14ac:dyDescent="0.2">
      <c r="G24153" s="889"/>
    </row>
    <row r="24154" spans="7:7" ht="10.5" customHeight="1" x14ac:dyDescent="0.2">
      <c r="G24154" s="889"/>
    </row>
    <row r="24155" spans="7:7" ht="10.5" customHeight="1" x14ac:dyDescent="0.2">
      <c r="G24155" s="889"/>
    </row>
    <row r="24156" spans="7:7" ht="10.5" customHeight="1" x14ac:dyDescent="0.2">
      <c r="G24156" s="889"/>
    </row>
    <row r="24157" spans="7:7" ht="10.5" customHeight="1" x14ac:dyDescent="0.2">
      <c r="G24157" s="889"/>
    </row>
    <row r="24158" spans="7:7" ht="10.5" customHeight="1" x14ac:dyDescent="0.2">
      <c r="G24158" s="889"/>
    </row>
    <row r="24159" spans="7:7" ht="10.5" customHeight="1" x14ac:dyDescent="0.2">
      <c r="G24159" s="889"/>
    </row>
    <row r="24160" spans="7:7" ht="10.5" customHeight="1" x14ac:dyDescent="0.2">
      <c r="G24160" s="889"/>
    </row>
    <row r="24161" spans="7:7" ht="10.5" customHeight="1" x14ac:dyDescent="0.2">
      <c r="G24161" s="889"/>
    </row>
    <row r="24162" spans="7:7" ht="10.5" customHeight="1" x14ac:dyDescent="0.2">
      <c r="G24162" s="889"/>
    </row>
    <row r="24163" spans="7:7" ht="10.5" customHeight="1" x14ac:dyDescent="0.2">
      <c r="G24163" s="889"/>
    </row>
    <row r="24164" spans="7:7" ht="10.5" customHeight="1" x14ac:dyDescent="0.2">
      <c r="G24164" s="889"/>
    </row>
    <row r="24165" spans="7:7" ht="10.5" customHeight="1" x14ac:dyDescent="0.2">
      <c r="G24165" s="889"/>
    </row>
    <row r="24166" spans="7:7" ht="10.5" customHeight="1" x14ac:dyDescent="0.2">
      <c r="G24166" s="889"/>
    </row>
    <row r="24167" spans="7:7" ht="10.5" customHeight="1" x14ac:dyDescent="0.2">
      <c r="G24167" s="889"/>
    </row>
    <row r="24168" spans="7:7" ht="10.5" customHeight="1" x14ac:dyDescent="0.2">
      <c r="G24168" s="889"/>
    </row>
    <row r="24169" spans="7:7" ht="10.5" customHeight="1" x14ac:dyDescent="0.2">
      <c r="G24169" s="889"/>
    </row>
    <row r="24170" spans="7:7" ht="10.5" customHeight="1" x14ac:dyDescent="0.2">
      <c r="G24170" s="889"/>
    </row>
    <row r="24171" spans="7:7" ht="10.5" customHeight="1" x14ac:dyDescent="0.2">
      <c r="G24171" s="889"/>
    </row>
    <row r="24172" spans="7:7" ht="10.5" customHeight="1" x14ac:dyDescent="0.2">
      <c r="G24172" s="889"/>
    </row>
    <row r="24173" spans="7:7" ht="10.5" customHeight="1" x14ac:dyDescent="0.2">
      <c r="G24173" s="889"/>
    </row>
    <row r="24174" spans="7:7" ht="10.5" customHeight="1" x14ac:dyDescent="0.2">
      <c r="G24174" s="889"/>
    </row>
    <row r="24175" spans="7:7" ht="10.5" customHeight="1" x14ac:dyDescent="0.2">
      <c r="G24175" s="889"/>
    </row>
    <row r="24176" spans="7:7" ht="10.5" customHeight="1" x14ac:dyDescent="0.2">
      <c r="G24176" s="889"/>
    </row>
    <row r="24177" spans="7:7" ht="10.5" customHeight="1" x14ac:dyDescent="0.2">
      <c r="G24177" s="889"/>
    </row>
    <row r="24178" spans="7:7" ht="10.5" customHeight="1" x14ac:dyDescent="0.2">
      <c r="G24178" s="889"/>
    </row>
    <row r="24179" spans="7:7" ht="10.5" customHeight="1" x14ac:dyDescent="0.2">
      <c r="G24179" s="889"/>
    </row>
    <row r="24180" spans="7:7" ht="10.5" customHeight="1" x14ac:dyDescent="0.2">
      <c r="G24180" s="889"/>
    </row>
    <row r="24181" spans="7:7" ht="10.5" customHeight="1" x14ac:dyDescent="0.2">
      <c r="G24181" s="889"/>
    </row>
    <row r="24182" spans="7:7" ht="10.5" customHeight="1" x14ac:dyDescent="0.2">
      <c r="G24182" s="889"/>
    </row>
    <row r="24183" spans="7:7" ht="10.5" customHeight="1" x14ac:dyDescent="0.2">
      <c r="G24183" s="889"/>
    </row>
    <row r="24184" spans="7:7" ht="10.5" customHeight="1" x14ac:dyDescent="0.2">
      <c r="G24184" s="889"/>
    </row>
    <row r="24185" spans="7:7" ht="10.5" customHeight="1" x14ac:dyDescent="0.2">
      <c r="G24185" s="889"/>
    </row>
    <row r="24186" spans="7:7" ht="10.5" customHeight="1" x14ac:dyDescent="0.2">
      <c r="G24186" s="889"/>
    </row>
    <row r="24187" spans="7:7" ht="10.5" customHeight="1" x14ac:dyDescent="0.2">
      <c r="G24187" s="889"/>
    </row>
    <row r="24188" spans="7:7" ht="10.5" customHeight="1" x14ac:dyDescent="0.2">
      <c r="G24188" s="889"/>
    </row>
    <row r="24189" spans="7:7" ht="10.5" customHeight="1" x14ac:dyDescent="0.2">
      <c r="G24189" s="889"/>
    </row>
    <row r="24190" spans="7:7" ht="10.5" customHeight="1" x14ac:dyDescent="0.2">
      <c r="G24190" s="889"/>
    </row>
    <row r="24191" spans="7:7" ht="10.5" customHeight="1" x14ac:dyDescent="0.2">
      <c r="G24191" s="889"/>
    </row>
    <row r="24192" spans="7:7" ht="10.5" customHeight="1" x14ac:dyDescent="0.2">
      <c r="G24192" s="889"/>
    </row>
    <row r="24193" spans="7:7" ht="10.5" customHeight="1" x14ac:dyDescent="0.2">
      <c r="G24193" s="889"/>
    </row>
    <row r="24194" spans="7:7" ht="10.5" customHeight="1" x14ac:dyDescent="0.2">
      <c r="G24194" s="889"/>
    </row>
    <row r="24195" spans="7:7" ht="10.5" customHeight="1" x14ac:dyDescent="0.2">
      <c r="G24195" s="889"/>
    </row>
    <row r="24196" spans="7:7" ht="10.5" customHeight="1" x14ac:dyDescent="0.2">
      <c r="G24196" s="889"/>
    </row>
    <row r="24197" spans="7:7" ht="10.5" customHeight="1" x14ac:dyDescent="0.2">
      <c r="G24197" s="889"/>
    </row>
    <row r="24198" spans="7:7" ht="10.5" customHeight="1" x14ac:dyDescent="0.2">
      <c r="G24198" s="889"/>
    </row>
    <row r="24199" spans="7:7" ht="10.5" customHeight="1" x14ac:dyDescent="0.2">
      <c r="G24199" s="889"/>
    </row>
    <row r="24200" spans="7:7" ht="10.5" customHeight="1" x14ac:dyDescent="0.2">
      <c r="G24200" s="889"/>
    </row>
    <row r="24201" spans="7:7" ht="10.5" customHeight="1" x14ac:dyDescent="0.2">
      <c r="G24201" s="889"/>
    </row>
    <row r="24202" spans="7:7" ht="10.5" customHeight="1" x14ac:dyDescent="0.2">
      <c r="G24202" s="889"/>
    </row>
    <row r="24203" spans="7:7" ht="10.5" customHeight="1" x14ac:dyDescent="0.2">
      <c r="G24203" s="889"/>
    </row>
    <row r="24204" spans="7:7" ht="10.5" customHeight="1" x14ac:dyDescent="0.2">
      <c r="G24204" s="889"/>
    </row>
    <row r="24205" spans="7:7" ht="10.5" customHeight="1" x14ac:dyDescent="0.2">
      <c r="G24205" s="889"/>
    </row>
    <row r="24206" spans="7:7" ht="10.5" customHeight="1" x14ac:dyDescent="0.2">
      <c r="G24206" s="889"/>
    </row>
    <row r="24207" spans="7:7" ht="10.5" customHeight="1" x14ac:dyDescent="0.2">
      <c r="G24207" s="889"/>
    </row>
    <row r="24208" spans="7:7" ht="10.5" customHeight="1" x14ac:dyDescent="0.2">
      <c r="G24208" s="889"/>
    </row>
    <row r="24209" spans="7:7" ht="10.5" customHeight="1" x14ac:dyDescent="0.2">
      <c r="G24209" s="889"/>
    </row>
    <row r="24210" spans="7:7" ht="10.5" customHeight="1" x14ac:dyDescent="0.2">
      <c r="G24210" s="889"/>
    </row>
    <row r="24211" spans="7:7" ht="10.5" customHeight="1" x14ac:dyDescent="0.2">
      <c r="G24211" s="889"/>
    </row>
    <row r="24212" spans="7:7" ht="10.5" customHeight="1" x14ac:dyDescent="0.2">
      <c r="G24212" s="889"/>
    </row>
    <row r="24213" spans="7:7" ht="10.5" customHeight="1" x14ac:dyDescent="0.2">
      <c r="G24213" s="889"/>
    </row>
    <row r="24214" spans="7:7" ht="10.5" customHeight="1" x14ac:dyDescent="0.2">
      <c r="G24214" s="889"/>
    </row>
    <row r="24215" spans="7:7" ht="10.5" customHeight="1" x14ac:dyDescent="0.2">
      <c r="G24215" s="889"/>
    </row>
    <row r="24216" spans="7:7" ht="10.5" customHeight="1" x14ac:dyDescent="0.2">
      <c r="G24216" s="889"/>
    </row>
    <row r="24217" spans="7:7" ht="10.5" customHeight="1" x14ac:dyDescent="0.2">
      <c r="G24217" s="889"/>
    </row>
    <row r="24218" spans="7:7" ht="10.5" customHeight="1" x14ac:dyDescent="0.2">
      <c r="G24218" s="889"/>
    </row>
    <row r="24219" spans="7:7" ht="10.5" customHeight="1" x14ac:dyDescent="0.2">
      <c r="G24219" s="889"/>
    </row>
    <row r="24220" spans="7:7" ht="10.5" customHeight="1" x14ac:dyDescent="0.2">
      <c r="G24220" s="889"/>
    </row>
    <row r="24221" spans="7:7" ht="10.5" customHeight="1" x14ac:dyDescent="0.2">
      <c r="G24221" s="889"/>
    </row>
    <row r="24222" spans="7:7" ht="10.5" customHeight="1" x14ac:dyDescent="0.2">
      <c r="G24222" s="889"/>
    </row>
    <row r="24223" spans="7:7" ht="10.5" customHeight="1" x14ac:dyDescent="0.2">
      <c r="G24223" s="889"/>
    </row>
    <row r="24224" spans="7:7" ht="10.5" customHeight="1" x14ac:dyDescent="0.2">
      <c r="G24224" s="889"/>
    </row>
    <row r="24225" spans="7:7" ht="10.5" customHeight="1" x14ac:dyDescent="0.2">
      <c r="G24225" s="889"/>
    </row>
    <row r="24226" spans="7:7" ht="10.5" customHeight="1" x14ac:dyDescent="0.2">
      <c r="G24226" s="889"/>
    </row>
    <row r="24227" spans="7:7" ht="10.5" customHeight="1" x14ac:dyDescent="0.2">
      <c r="G24227" s="889"/>
    </row>
    <row r="24228" spans="7:7" ht="10.5" customHeight="1" x14ac:dyDescent="0.2">
      <c r="G24228" s="889"/>
    </row>
    <row r="24229" spans="7:7" ht="10.5" customHeight="1" x14ac:dyDescent="0.2">
      <c r="G24229" s="889"/>
    </row>
    <row r="24230" spans="7:7" ht="10.5" customHeight="1" x14ac:dyDescent="0.2">
      <c r="G24230" s="889"/>
    </row>
    <row r="24231" spans="7:7" ht="10.5" customHeight="1" x14ac:dyDescent="0.2">
      <c r="G24231" s="889"/>
    </row>
    <row r="24232" spans="7:7" ht="10.5" customHeight="1" x14ac:dyDescent="0.2">
      <c r="G24232" s="889"/>
    </row>
    <row r="24233" spans="7:7" ht="10.5" customHeight="1" x14ac:dyDescent="0.2">
      <c r="G24233" s="889"/>
    </row>
    <row r="24234" spans="7:7" ht="10.5" customHeight="1" x14ac:dyDescent="0.2">
      <c r="G24234" s="889"/>
    </row>
    <row r="24235" spans="7:7" ht="10.5" customHeight="1" x14ac:dyDescent="0.2">
      <c r="G24235" s="889"/>
    </row>
    <row r="24236" spans="7:7" ht="10.5" customHeight="1" x14ac:dyDescent="0.2">
      <c r="G24236" s="889"/>
    </row>
    <row r="24237" spans="7:7" ht="10.5" customHeight="1" x14ac:dyDescent="0.2">
      <c r="G24237" s="889"/>
    </row>
    <row r="24238" spans="7:7" ht="10.5" customHeight="1" x14ac:dyDescent="0.2">
      <c r="G24238" s="889"/>
    </row>
    <row r="24239" spans="7:7" ht="10.5" customHeight="1" x14ac:dyDescent="0.2">
      <c r="G24239" s="889"/>
    </row>
    <row r="24240" spans="7:7" ht="10.5" customHeight="1" x14ac:dyDescent="0.2">
      <c r="G24240" s="889"/>
    </row>
    <row r="24241" spans="7:7" ht="10.5" customHeight="1" x14ac:dyDescent="0.2">
      <c r="G24241" s="889"/>
    </row>
    <row r="24242" spans="7:7" ht="10.5" customHeight="1" x14ac:dyDescent="0.2">
      <c r="G24242" s="889"/>
    </row>
    <row r="24243" spans="7:7" ht="10.5" customHeight="1" x14ac:dyDescent="0.2">
      <c r="G24243" s="889"/>
    </row>
    <row r="24244" spans="7:7" ht="10.5" customHeight="1" x14ac:dyDescent="0.2">
      <c r="G24244" s="889"/>
    </row>
    <row r="24245" spans="7:7" ht="10.5" customHeight="1" x14ac:dyDescent="0.2">
      <c r="G24245" s="889"/>
    </row>
    <row r="24246" spans="7:7" ht="10.5" customHeight="1" x14ac:dyDescent="0.2">
      <c r="G24246" s="889"/>
    </row>
    <row r="24247" spans="7:7" ht="10.5" customHeight="1" x14ac:dyDescent="0.2">
      <c r="G24247" s="889"/>
    </row>
    <row r="24248" spans="7:7" ht="10.5" customHeight="1" x14ac:dyDescent="0.2">
      <c r="G24248" s="889"/>
    </row>
    <row r="24249" spans="7:7" ht="10.5" customHeight="1" x14ac:dyDescent="0.2">
      <c r="G24249" s="889"/>
    </row>
    <row r="24250" spans="7:7" ht="10.5" customHeight="1" x14ac:dyDescent="0.2">
      <c r="G24250" s="889"/>
    </row>
    <row r="24251" spans="7:7" ht="10.5" customHeight="1" x14ac:dyDescent="0.2">
      <c r="G24251" s="889"/>
    </row>
    <row r="24252" spans="7:7" ht="10.5" customHeight="1" x14ac:dyDescent="0.2">
      <c r="G24252" s="889"/>
    </row>
    <row r="24253" spans="7:7" ht="10.5" customHeight="1" x14ac:dyDescent="0.2">
      <c r="G24253" s="889"/>
    </row>
    <row r="24254" spans="7:7" ht="10.5" customHeight="1" x14ac:dyDescent="0.2">
      <c r="G24254" s="889"/>
    </row>
    <row r="24255" spans="7:7" ht="10.5" customHeight="1" x14ac:dyDescent="0.2">
      <c r="G24255" s="889"/>
    </row>
    <row r="24256" spans="7:7" ht="10.5" customHeight="1" x14ac:dyDescent="0.2">
      <c r="G24256" s="889"/>
    </row>
    <row r="24257" spans="7:7" ht="10.5" customHeight="1" x14ac:dyDescent="0.2">
      <c r="G24257" s="889"/>
    </row>
    <row r="24258" spans="7:7" ht="10.5" customHeight="1" x14ac:dyDescent="0.2">
      <c r="G24258" s="889"/>
    </row>
    <row r="24259" spans="7:7" ht="10.5" customHeight="1" x14ac:dyDescent="0.2">
      <c r="G24259" s="889"/>
    </row>
    <row r="24260" spans="7:7" ht="10.5" customHeight="1" x14ac:dyDescent="0.2">
      <c r="G24260" s="889"/>
    </row>
    <row r="24261" spans="7:7" ht="10.5" customHeight="1" x14ac:dyDescent="0.2">
      <c r="G24261" s="889"/>
    </row>
    <row r="24262" spans="7:7" ht="10.5" customHeight="1" x14ac:dyDescent="0.2">
      <c r="G24262" s="889"/>
    </row>
    <row r="24263" spans="7:7" ht="10.5" customHeight="1" x14ac:dyDescent="0.2">
      <c r="G24263" s="889"/>
    </row>
    <row r="24264" spans="7:7" ht="10.5" customHeight="1" x14ac:dyDescent="0.2">
      <c r="G24264" s="889"/>
    </row>
    <row r="24265" spans="7:7" ht="10.5" customHeight="1" x14ac:dyDescent="0.2">
      <c r="G24265" s="889"/>
    </row>
    <row r="24266" spans="7:7" ht="10.5" customHeight="1" x14ac:dyDescent="0.2">
      <c r="G24266" s="889"/>
    </row>
    <row r="24267" spans="7:7" ht="10.5" customHeight="1" x14ac:dyDescent="0.2">
      <c r="G24267" s="889"/>
    </row>
    <row r="24268" spans="7:7" ht="10.5" customHeight="1" x14ac:dyDescent="0.2">
      <c r="G24268" s="889"/>
    </row>
    <row r="24269" spans="7:7" ht="10.5" customHeight="1" x14ac:dyDescent="0.2">
      <c r="G24269" s="889"/>
    </row>
    <row r="24270" spans="7:7" ht="10.5" customHeight="1" x14ac:dyDescent="0.2">
      <c r="G24270" s="889"/>
    </row>
    <row r="24271" spans="7:7" ht="10.5" customHeight="1" x14ac:dyDescent="0.2">
      <c r="G24271" s="889"/>
    </row>
    <row r="24272" spans="7:7" ht="10.5" customHeight="1" x14ac:dyDescent="0.2">
      <c r="G24272" s="889"/>
    </row>
    <row r="24273" spans="7:7" ht="10.5" customHeight="1" x14ac:dyDescent="0.2">
      <c r="G24273" s="889"/>
    </row>
    <row r="24274" spans="7:7" ht="10.5" customHeight="1" x14ac:dyDescent="0.2">
      <c r="G24274" s="889"/>
    </row>
    <row r="24275" spans="7:7" ht="10.5" customHeight="1" x14ac:dyDescent="0.2">
      <c r="G24275" s="889"/>
    </row>
    <row r="24276" spans="7:7" ht="10.5" customHeight="1" x14ac:dyDescent="0.2">
      <c r="G24276" s="889"/>
    </row>
    <row r="24277" spans="7:7" ht="10.5" customHeight="1" x14ac:dyDescent="0.2">
      <c r="G24277" s="889"/>
    </row>
    <row r="24278" spans="7:7" ht="10.5" customHeight="1" x14ac:dyDescent="0.2">
      <c r="G24278" s="889"/>
    </row>
    <row r="24279" spans="7:7" ht="10.5" customHeight="1" x14ac:dyDescent="0.2">
      <c r="G24279" s="889"/>
    </row>
    <row r="24280" spans="7:7" ht="10.5" customHeight="1" x14ac:dyDescent="0.2">
      <c r="G24280" s="889"/>
    </row>
    <row r="24281" spans="7:7" ht="10.5" customHeight="1" x14ac:dyDescent="0.2">
      <c r="G24281" s="889"/>
    </row>
    <row r="24282" spans="7:7" ht="10.5" customHeight="1" x14ac:dyDescent="0.2">
      <c r="G24282" s="889"/>
    </row>
    <row r="24283" spans="7:7" ht="10.5" customHeight="1" x14ac:dyDescent="0.2">
      <c r="G24283" s="889"/>
    </row>
    <row r="24284" spans="7:7" ht="10.5" customHeight="1" x14ac:dyDescent="0.2">
      <c r="G24284" s="889"/>
    </row>
    <row r="24285" spans="7:7" ht="10.5" customHeight="1" x14ac:dyDescent="0.2">
      <c r="G24285" s="889"/>
    </row>
    <row r="24286" spans="7:7" ht="10.5" customHeight="1" x14ac:dyDescent="0.2">
      <c r="G24286" s="889"/>
    </row>
    <row r="24287" spans="7:7" ht="10.5" customHeight="1" x14ac:dyDescent="0.2">
      <c r="G24287" s="889"/>
    </row>
    <row r="24288" spans="7:7" ht="10.5" customHeight="1" x14ac:dyDescent="0.2">
      <c r="G24288" s="889"/>
    </row>
    <row r="24289" spans="7:7" ht="10.5" customHeight="1" x14ac:dyDescent="0.2">
      <c r="G24289" s="889"/>
    </row>
    <row r="24290" spans="7:7" ht="10.5" customHeight="1" x14ac:dyDescent="0.2">
      <c r="G24290" s="889"/>
    </row>
    <row r="24291" spans="7:7" ht="10.5" customHeight="1" x14ac:dyDescent="0.2">
      <c r="G24291" s="889"/>
    </row>
    <row r="24292" spans="7:7" ht="10.5" customHeight="1" x14ac:dyDescent="0.2">
      <c r="G24292" s="889"/>
    </row>
    <row r="24293" spans="7:7" ht="10.5" customHeight="1" x14ac:dyDescent="0.2">
      <c r="G24293" s="889"/>
    </row>
    <row r="24294" spans="7:7" ht="10.5" customHeight="1" x14ac:dyDescent="0.2">
      <c r="G24294" s="889"/>
    </row>
    <row r="24295" spans="7:7" ht="10.5" customHeight="1" x14ac:dyDescent="0.2">
      <c r="G24295" s="889"/>
    </row>
    <row r="24296" spans="7:7" ht="10.5" customHeight="1" x14ac:dyDescent="0.2">
      <c r="G24296" s="889"/>
    </row>
    <row r="24297" spans="7:7" ht="10.5" customHeight="1" x14ac:dyDescent="0.2">
      <c r="G24297" s="889"/>
    </row>
    <row r="24298" spans="7:7" ht="10.5" customHeight="1" x14ac:dyDescent="0.2">
      <c r="G24298" s="889"/>
    </row>
    <row r="24299" spans="7:7" ht="10.5" customHeight="1" x14ac:dyDescent="0.2">
      <c r="G24299" s="889"/>
    </row>
    <row r="24300" spans="7:7" ht="10.5" customHeight="1" x14ac:dyDescent="0.2">
      <c r="G24300" s="889"/>
    </row>
    <row r="24301" spans="7:7" ht="10.5" customHeight="1" x14ac:dyDescent="0.2">
      <c r="G24301" s="889"/>
    </row>
    <row r="24302" spans="7:7" ht="10.5" customHeight="1" x14ac:dyDescent="0.2">
      <c r="G24302" s="889"/>
    </row>
    <row r="24303" spans="7:7" ht="10.5" customHeight="1" x14ac:dyDescent="0.2">
      <c r="G24303" s="889"/>
    </row>
    <row r="24304" spans="7:7" ht="10.5" customHeight="1" x14ac:dyDescent="0.2">
      <c r="G24304" s="889"/>
    </row>
    <row r="24305" spans="7:7" ht="10.5" customHeight="1" x14ac:dyDescent="0.2">
      <c r="G24305" s="889"/>
    </row>
    <row r="24306" spans="7:7" ht="10.5" customHeight="1" x14ac:dyDescent="0.2">
      <c r="G24306" s="889"/>
    </row>
    <row r="24307" spans="7:7" ht="10.5" customHeight="1" x14ac:dyDescent="0.2">
      <c r="G24307" s="889"/>
    </row>
    <row r="24308" spans="7:7" ht="10.5" customHeight="1" x14ac:dyDescent="0.2">
      <c r="G24308" s="889"/>
    </row>
    <row r="24309" spans="7:7" ht="10.5" customHeight="1" x14ac:dyDescent="0.2">
      <c r="G24309" s="889"/>
    </row>
    <row r="24310" spans="7:7" ht="10.5" customHeight="1" x14ac:dyDescent="0.2">
      <c r="G24310" s="889"/>
    </row>
    <row r="24311" spans="7:7" ht="10.5" customHeight="1" x14ac:dyDescent="0.2">
      <c r="G24311" s="889"/>
    </row>
    <row r="24312" spans="7:7" ht="10.5" customHeight="1" x14ac:dyDescent="0.2">
      <c r="G24312" s="889"/>
    </row>
    <row r="24313" spans="7:7" ht="10.5" customHeight="1" x14ac:dyDescent="0.2">
      <c r="G24313" s="889"/>
    </row>
    <row r="24314" spans="7:7" ht="10.5" customHeight="1" x14ac:dyDescent="0.2">
      <c r="G24314" s="889"/>
    </row>
    <row r="24315" spans="7:7" ht="10.5" customHeight="1" x14ac:dyDescent="0.2">
      <c r="G24315" s="889"/>
    </row>
    <row r="24316" spans="7:7" ht="10.5" customHeight="1" x14ac:dyDescent="0.2">
      <c r="G24316" s="889"/>
    </row>
    <row r="24317" spans="7:7" ht="10.5" customHeight="1" x14ac:dyDescent="0.2">
      <c r="G24317" s="889"/>
    </row>
    <row r="24318" spans="7:7" ht="10.5" customHeight="1" x14ac:dyDescent="0.2">
      <c r="G24318" s="889"/>
    </row>
    <row r="24319" spans="7:7" ht="10.5" customHeight="1" x14ac:dyDescent="0.2">
      <c r="G24319" s="889"/>
    </row>
    <row r="24320" spans="7:7" ht="10.5" customHeight="1" x14ac:dyDescent="0.2">
      <c r="G24320" s="889"/>
    </row>
    <row r="24321" spans="7:7" ht="10.5" customHeight="1" x14ac:dyDescent="0.2">
      <c r="G24321" s="889"/>
    </row>
    <row r="24322" spans="7:7" ht="10.5" customHeight="1" x14ac:dyDescent="0.2">
      <c r="G24322" s="889"/>
    </row>
    <row r="24323" spans="7:7" ht="10.5" customHeight="1" x14ac:dyDescent="0.2">
      <c r="G24323" s="889"/>
    </row>
    <row r="24324" spans="7:7" ht="10.5" customHeight="1" x14ac:dyDescent="0.2">
      <c r="G24324" s="889"/>
    </row>
    <row r="24325" spans="7:7" ht="10.5" customHeight="1" x14ac:dyDescent="0.2">
      <c r="G24325" s="889"/>
    </row>
    <row r="24326" spans="7:7" ht="10.5" customHeight="1" x14ac:dyDescent="0.2">
      <c r="G24326" s="889"/>
    </row>
    <row r="24327" spans="7:7" ht="10.5" customHeight="1" x14ac:dyDescent="0.2">
      <c r="G24327" s="889"/>
    </row>
    <row r="24328" spans="7:7" ht="10.5" customHeight="1" x14ac:dyDescent="0.2">
      <c r="G24328" s="889"/>
    </row>
    <row r="24329" spans="7:7" ht="10.5" customHeight="1" x14ac:dyDescent="0.2">
      <c r="G24329" s="889"/>
    </row>
    <row r="24330" spans="7:7" ht="10.5" customHeight="1" x14ac:dyDescent="0.2">
      <c r="G24330" s="889"/>
    </row>
    <row r="24331" spans="7:7" ht="10.5" customHeight="1" x14ac:dyDescent="0.2">
      <c r="G24331" s="889"/>
    </row>
    <row r="24332" spans="7:7" ht="10.5" customHeight="1" x14ac:dyDescent="0.2">
      <c r="G24332" s="889"/>
    </row>
    <row r="24333" spans="7:7" ht="10.5" customHeight="1" x14ac:dyDescent="0.2">
      <c r="G24333" s="889"/>
    </row>
    <row r="24334" spans="7:7" ht="10.5" customHeight="1" x14ac:dyDescent="0.2">
      <c r="G24334" s="889"/>
    </row>
    <row r="24335" spans="7:7" ht="10.5" customHeight="1" x14ac:dyDescent="0.2">
      <c r="G24335" s="889"/>
    </row>
    <row r="24336" spans="7:7" ht="10.5" customHeight="1" x14ac:dyDescent="0.2">
      <c r="G24336" s="889"/>
    </row>
    <row r="24337" spans="7:7" ht="10.5" customHeight="1" x14ac:dyDescent="0.2">
      <c r="G24337" s="889"/>
    </row>
    <row r="24338" spans="7:7" ht="10.5" customHeight="1" x14ac:dyDescent="0.2">
      <c r="G24338" s="889"/>
    </row>
    <row r="24339" spans="7:7" ht="10.5" customHeight="1" x14ac:dyDescent="0.2">
      <c r="G24339" s="889"/>
    </row>
    <row r="24340" spans="7:7" ht="10.5" customHeight="1" x14ac:dyDescent="0.2">
      <c r="G24340" s="889"/>
    </row>
    <row r="24341" spans="7:7" ht="10.5" customHeight="1" x14ac:dyDescent="0.2">
      <c r="G24341" s="889"/>
    </row>
    <row r="24342" spans="7:7" ht="10.5" customHeight="1" x14ac:dyDescent="0.2">
      <c r="G24342" s="889"/>
    </row>
    <row r="24343" spans="7:7" ht="10.5" customHeight="1" x14ac:dyDescent="0.2">
      <c r="G24343" s="889"/>
    </row>
    <row r="24344" spans="7:7" ht="10.5" customHeight="1" x14ac:dyDescent="0.2">
      <c r="G24344" s="889"/>
    </row>
    <row r="24345" spans="7:7" ht="10.5" customHeight="1" x14ac:dyDescent="0.2">
      <c r="G24345" s="889"/>
    </row>
    <row r="24346" spans="7:7" ht="10.5" customHeight="1" x14ac:dyDescent="0.2">
      <c r="G24346" s="889"/>
    </row>
    <row r="24347" spans="7:7" ht="10.5" customHeight="1" x14ac:dyDescent="0.2">
      <c r="G24347" s="889"/>
    </row>
    <row r="24348" spans="7:7" ht="10.5" customHeight="1" x14ac:dyDescent="0.2">
      <c r="G24348" s="889"/>
    </row>
    <row r="24349" spans="7:7" ht="10.5" customHeight="1" x14ac:dyDescent="0.2">
      <c r="G24349" s="889"/>
    </row>
    <row r="24350" spans="7:7" ht="10.5" customHeight="1" x14ac:dyDescent="0.2">
      <c r="G24350" s="889"/>
    </row>
    <row r="24351" spans="7:7" ht="10.5" customHeight="1" x14ac:dyDescent="0.2">
      <c r="G24351" s="889"/>
    </row>
    <row r="24352" spans="7:7" ht="10.5" customHeight="1" x14ac:dyDescent="0.2">
      <c r="G24352" s="889"/>
    </row>
    <row r="24353" spans="7:7" ht="10.5" customHeight="1" x14ac:dyDescent="0.2">
      <c r="G24353" s="889"/>
    </row>
    <row r="24354" spans="7:7" ht="10.5" customHeight="1" x14ac:dyDescent="0.2">
      <c r="G24354" s="889"/>
    </row>
    <row r="24355" spans="7:7" ht="10.5" customHeight="1" x14ac:dyDescent="0.2">
      <c r="G24355" s="889"/>
    </row>
    <row r="24356" spans="7:7" ht="10.5" customHeight="1" x14ac:dyDescent="0.2">
      <c r="G24356" s="889"/>
    </row>
    <row r="24357" spans="7:7" ht="10.5" customHeight="1" x14ac:dyDescent="0.2">
      <c r="G24357" s="889"/>
    </row>
    <row r="24358" spans="7:7" ht="10.5" customHeight="1" x14ac:dyDescent="0.2">
      <c r="G24358" s="889"/>
    </row>
    <row r="24359" spans="7:7" ht="10.5" customHeight="1" x14ac:dyDescent="0.2">
      <c r="G24359" s="889"/>
    </row>
    <row r="24360" spans="7:7" ht="10.5" customHeight="1" x14ac:dyDescent="0.2">
      <c r="G24360" s="889"/>
    </row>
    <row r="24361" spans="7:7" ht="10.5" customHeight="1" x14ac:dyDescent="0.2">
      <c r="G24361" s="889"/>
    </row>
    <row r="24362" spans="7:7" ht="10.5" customHeight="1" x14ac:dyDescent="0.2">
      <c r="G24362" s="889"/>
    </row>
    <row r="24363" spans="7:7" ht="10.5" customHeight="1" x14ac:dyDescent="0.2">
      <c r="G24363" s="889"/>
    </row>
    <row r="24364" spans="7:7" ht="10.5" customHeight="1" x14ac:dyDescent="0.2">
      <c r="G24364" s="889"/>
    </row>
    <row r="24365" spans="7:7" ht="10.5" customHeight="1" x14ac:dyDescent="0.2">
      <c r="G24365" s="889"/>
    </row>
    <row r="24366" spans="7:7" ht="10.5" customHeight="1" x14ac:dyDescent="0.2">
      <c r="G24366" s="889"/>
    </row>
    <row r="24367" spans="7:7" ht="10.5" customHeight="1" x14ac:dyDescent="0.2">
      <c r="G24367" s="889"/>
    </row>
    <row r="24368" spans="7:7" ht="10.5" customHeight="1" x14ac:dyDescent="0.2">
      <c r="G24368" s="889"/>
    </row>
    <row r="24369" spans="7:7" ht="10.5" customHeight="1" x14ac:dyDescent="0.2">
      <c r="G24369" s="889"/>
    </row>
    <row r="24370" spans="7:7" ht="10.5" customHeight="1" x14ac:dyDescent="0.2">
      <c r="G24370" s="889"/>
    </row>
    <row r="24371" spans="7:7" ht="10.5" customHeight="1" x14ac:dyDescent="0.2">
      <c r="G24371" s="889"/>
    </row>
    <row r="24372" spans="7:7" ht="10.5" customHeight="1" x14ac:dyDescent="0.2">
      <c r="G24372" s="889"/>
    </row>
    <row r="24373" spans="7:7" ht="10.5" customHeight="1" x14ac:dyDescent="0.2">
      <c r="G24373" s="889"/>
    </row>
    <row r="24374" spans="7:7" ht="10.5" customHeight="1" x14ac:dyDescent="0.2">
      <c r="G24374" s="889"/>
    </row>
    <row r="24375" spans="7:7" ht="10.5" customHeight="1" x14ac:dyDescent="0.2">
      <c r="G24375" s="889"/>
    </row>
    <row r="24376" spans="7:7" ht="10.5" customHeight="1" x14ac:dyDescent="0.2">
      <c r="G24376" s="889"/>
    </row>
    <row r="24377" spans="7:7" ht="10.5" customHeight="1" x14ac:dyDescent="0.2">
      <c r="G24377" s="889"/>
    </row>
    <row r="24378" spans="7:7" ht="10.5" customHeight="1" x14ac:dyDescent="0.2">
      <c r="G24378" s="889"/>
    </row>
    <row r="24379" spans="7:7" ht="10.5" customHeight="1" x14ac:dyDescent="0.2">
      <c r="G24379" s="889"/>
    </row>
    <row r="24380" spans="7:7" ht="10.5" customHeight="1" x14ac:dyDescent="0.2">
      <c r="G24380" s="889"/>
    </row>
    <row r="24381" spans="7:7" ht="10.5" customHeight="1" x14ac:dyDescent="0.2">
      <c r="G24381" s="889"/>
    </row>
    <row r="24382" spans="7:7" ht="10.5" customHeight="1" x14ac:dyDescent="0.2">
      <c r="G24382" s="889"/>
    </row>
    <row r="24383" spans="7:7" ht="10.5" customHeight="1" x14ac:dyDescent="0.2">
      <c r="G24383" s="889"/>
    </row>
    <row r="24384" spans="7:7" ht="10.5" customHeight="1" x14ac:dyDescent="0.2">
      <c r="G24384" s="889"/>
    </row>
    <row r="24385" spans="7:7" ht="10.5" customHeight="1" x14ac:dyDescent="0.2">
      <c r="G24385" s="889"/>
    </row>
    <row r="24386" spans="7:7" ht="10.5" customHeight="1" x14ac:dyDescent="0.2">
      <c r="G24386" s="889"/>
    </row>
    <row r="24387" spans="7:7" ht="10.5" customHeight="1" x14ac:dyDescent="0.2">
      <c r="G24387" s="889"/>
    </row>
    <row r="24388" spans="7:7" ht="10.5" customHeight="1" x14ac:dyDescent="0.2">
      <c r="G24388" s="889"/>
    </row>
    <row r="24389" spans="7:7" ht="10.5" customHeight="1" x14ac:dyDescent="0.2">
      <c r="G24389" s="889"/>
    </row>
    <row r="24390" spans="7:7" ht="10.5" customHeight="1" x14ac:dyDescent="0.2">
      <c r="G24390" s="889"/>
    </row>
    <row r="24391" spans="7:7" ht="10.5" customHeight="1" x14ac:dyDescent="0.2">
      <c r="G24391" s="889"/>
    </row>
    <row r="24392" spans="7:7" ht="10.5" customHeight="1" x14ac:dyDescent="0.2">
      <c r="G24392" s="889"/>
    </row>
    <row r="24393" spans="7:7" ht="10.5" customHeight="1" x14ac:dyDescent="0.2">
      <c r="G24393" s="889"/>
    </row>
    <row r="24394" spans="7:7" ht="10.5" customHeight="1" x14ac:dyDescent="0.2">
      <c r="G24394" s="889"/>
    </row>
    <row r="24395" spans="7:7" ht="10.5" customHeight="1" x14ac:dyDescent="0.2">
      <c r="G24395" s="889"/>
    </row>
    <row r="24396" spans="7:7" ht="10.5" customHeight="1" x14ac:dyDescent="0.2">
      <c r="G24396" s="889"/>
    </row>
    <row r="24397" spans="7:7" ht="10.5" customHeight="1" x14ac:dyDescent="0.2">
      <c r="G24397" s="889"/>
    </row>
    <row r="24398" spans="7:7" ht="10.5" customHeight="1" x14ac:dyDescent="0.2">
      <c r="G24398" s="889"/>
    </row>
    <row r="24399" spans="7:7" ht="10.5" customHeight="1" x14ac:dyDescent="0.2">
      <c r="G24399" s="889"/>
    </row>
    <row r="24400" spans="7:7" ht="10.5" customHeight="1" x14ac:dyDescent="0.2">
      <c r="G24400" s="889"/>
    </row>
    <row r="24401" spans="7:7" ht="10.5" customHeight="1" x14ac:dyDescent="0.2">
      <c r="G24401" s="889"/>
    </row>
    <row r="24402" spans="7:7" ht="10.5" customHeight="1" x14ac:dyDescent="0.2">
      <c r="G24402" s="889"/>
    </row>
    <row r="24403" spans="7:7" ht="10.5" customHeight="1" x14ac:dyDescent="0.2">
      <c r="G24403" s="889"/>
    </row>
    <row r="24404" spans="7:7" ht="10.5" customHeight="1" x14ac:dyDescent="0.2">
      <c r="G24404" s="889"/>
    </row>
    <row r="24405" spans="7:7" ht="10.5" customHeight="1" x14ac:dyDescent="0.2">
      <c r="G24405" s="889"/>
    </row>
    <row r="24406" spans="7:7" ht="10.5" customHeight="1" x14ac:dyDescent="0.2">
      <c r="G24406" s="889"/>
    </row>
    <row r="24407" spans="7:7" ht="10.5" customHeight="1" x14ac:dyDescent="0.2">
      <c r="G24407" s="889"/>
    </row>
    <row r="24408" spans="7:7" ht="10.5" customHeight="1" x14ac:dyDescent="0.2">
      <c r="G24408" s="889"/>
    </row>
    <row r="24409" spans="7:7" ht="10.5" customHeight="1" x14ac:dyDescent="0.2">
      <c r="G24409" s="889"/>
    </row>
    <row r="24410" spans="7:7" ht="10.5" customHeight="1" x14ac:dyDescent="0.2">
      <c r="G24410" s="889"/>
    </row>
    <row r="24411" spans="7:7" ht="10.5" customHeight="1" x14ac:dyDescent="0.2">
      <c r="G24411" s="889"/>
    </row>
    <row r="24412" spans="7:7" ht="10.5" customHeight="1" x14ac:dyDescent="0.2">
      <c r="G24412" s="889"/>
    </row>
    <row r="24413" spans="7:7" ht="10.5" customHeight="1" x14ac:dyDescent="0.2">
      <c r="G24413" s="889"/>
    </row>
    <row r="24414" spans="7:7" ht="10.5" customHeight="1" x14ac:dyDescent="0.2">
      <c r="G24414" s="889"/>
    </row>
    <row r="24415" spans="7:7" ht="10.5" customHeight="1" x14ac:dyDescent="0.2">
      <c r="G24415" s="889"/>
    </row>
    <row r="24416" spans="7:7" ht="10.5" customHeight="1" x14ac:dyDescent="0.2">
      <c r="G24416" s="889"/>
    </row>
    <row r="24417" spans="7:7" ht="10.5" customHeight="1" x14ac:dyDescent="0.2">
      <c r="G24417" s="889"/>
    </row>
    <row r="24418" spans="7:7" ht="10.5" customHeight="1" x14ac:dyDescent="0.2">
      <c r="G24418" s="889"/>
    </row>
    <row r="24419" spans="7:7" ht="10.5" customHeight="1" x14ac:dyDescent="0.2">
      <c r="G24419" s="889"/>
    </row>
    <row r="24420" spans="7:7" ht="10.5" customHeight="1" x14ac:dyDescent="0.2">
      <c r="G24420" s="889"/>
    </row>
    <row r="24421" spans="7:7" ht="10.5" customHeight="1" x14ac:dyDescent="0.2">
      <c r="G24421" s="889"/>
    </row>
    <row r="24422" spans="7:7" ht="10.5" customHeight="1" x14ac:dyDescent="0.2">
      <c r="G24422" s="889"/>
    </row>
    <row r="24423" spans="7:7" ht="10.5" customHeight="1" x14ac:dyDescent="0.2">
      <c r="G24423" s="889"/>
    </row>
    <row r="24424" spans="7:7" ht="10.5" customHeight="1" x14ac:dyDescent="0.2">
      <c r="G24424" s="889"/>
    </row>
    <row r="24425" spans="7:7" ht="10.5" customHeight="1" x14ac:dyDescent="0.2">
      <c r="G24425" s="889"/>
    </row>
    <row r="24426" spans="7:7" ht="10.5" customHeight="1" x14ac:dyDescent="0.2">
      <c r="G24426" s="889"/>
    </row>
    <row r="24427" spans="7:7" ht="10.5" customHeight="1" x14ac:dyDescent="0.2">
      <c r="G24427" s="889"/>
    </row>
    <row r="24428" spans="7:7" ht="10.5" customHeight="1" x14ac:dyDescent="0.2">
      <c r="G24428" s="889"/>
    </row>
    <row r="24429" spans="7:7" ht="10.5" customHeight="1" x14ac:dyDescent="0.2">
      <c r="G24429" s="889"/>
    </row>
    <row r="24430" spans="7:7" ht="10.5" customHeight="1" x14ac:dyDescent="0.2">
      <c r="G24430" s="889"/>
    </row>
    <row r="24431" spans="7:7" ht="10.5" customHeight="1" x14ac:dyDescent="0.2">
      <c r="G24431" s="889"/>
    </row>
    <row r="24432" spans="7:7" ht="10.5" customHeight="1" x14ac:dyDescent="0.2">
      <c r="G24432" s="889"/>
    </row>
    <row r="24433" spans="7:7" ht="10.5" customHeight="1" x14ac:dyDescent="0.2">
      <c r="G24433" s="889"/>
    </row>
    <row r="24434" spans="7:7" ht="10.5" customHeight="1" x14ac:dyDescent="0.2">
      <c r="G24434" s="889"/>
    </row>
    <row r="24435" spans="7:7" ht="10.5" customHeight="1" x14ac:dyDescent="0.2">
      <c r="G24435" s="889"/>
    </row>
    <row r="24436" spans="7:7" ht="10.5" customHeight="1" x14ac:dyDescent="0.2">
      <c r="G24436" s="889"/>
    </row>
    <row r="24437" spans="7:7" ht="10.5" customHeight="1" x14ac:dyDescent="0.2">
      <c r="G24437" s="889"/>
    </row>
    <row r="24438" spans="7:7" ht="10.5" customHeight="1" x14ac:dyDescent="0.2">
      <c r="G24438" s="889"/>
    </row>
    <row r="24439" spans="7:7" ht="10.5" customHeight="1" x14ac:dyDescent="0.2">
      <c r="G24439" s="889"/>
    </row>
    <row r="24440" spans="7:7" ht="10.5" customHeight="1" x14ac:dyDescent="0.2">
      <c r="G24440" s="889"/>
    </row>
    <row r="24441" spans="7:7" ht="10.5" customHeight="1" x14ac:dyDescent="0.2">
      <c r="G24441" s="889"/>
    </row>
    <row r="24442" spans="7:7" ht="10.5" customHeight="1" x14ac:dyDescent="0.2">
      <c r="G24442" s="889"/>
    </row>
    <row r="24443" spans="7:7" ht="10.5" customHeight="1" x14ac:dyDescent="0.2">
      <c r="G24443" s="889"/>
    </row>
    <row r="24444" spans="7:7" ht="10.5" customHeight="1" x14ac:dyDescent="0.2">
      <c r="G24444" s="889"/>
    </row>
    <row r="24445" spans="7:7" ht="10.5" customHeight="1" x14ac:dyDescent="0.2">
      <c r="G24445" s="889"/>
    </row>
    <row r="24446" spans="7:7" ht="10.5" customHeight="1" x14ac:dyDescent="0.2">
      <c r="G24446" s="889"/>
    </row>
    <row r="24447" spans="7:7" ht="10.5" customHeight="1" x14ac:dyDescent="0.2">
      <c r="G24447" s="889"/>
    </row>
    <row r="24448" spans="7:7" ht="10.5" customHeight="1" x14ac:dyDescent="0.2">
      <c r="G24448" s="889"/>
    </row>
    <row r="24449" spans="7:7" ht="10.5" customHeight="1" x14ac:dyDescent="0.2">
      <c r="G24449" s="889"/>
    </row>
    <row r="24450" spans="7:7" ht="10.5" customHeight="1" x14ac:dyDescent="0.2">
      <c r="G24450" s="889"/>
    </row>
    <row r="24451" spans="7:7" ht="10.5" customHeight="1" x14ac:dyDescent="0.2">
      <c r="G24451" s="889"/>
    </row>
    <row r="24452" spans="7:7" ht="10.5" customHeight="1" x14ac:dyDescent="0.2">
      <c r="G24452" s="889"/>
    </row>
    <row r="24453" spans="7:7" ht="10.5" customHeight="1" x14ac:dyDescent="0.2">
      <c r="G24453" s="889"/>
    </row>
    <row r="24454" spans="7:7" ht="10.5" customHeight="1" x14ac:dyDescent="0.2">
      <c r="G24454" s="889"/>
    </row>
    <row r="24455" spans="7:7" ht="10.5" customHeight="1" x14ac:dyDescent="0.2">
      <c r="G24455" s="889"/>
    </row>
    <row r="24456" spans="7:7" ht="10.5" customHeight="1" x14ac:dyDescent="0.2">
      <c r="G24456" s="889"/>
    </row>
    <row r="24457" spans="7:7" ht="10.5" customHeight="1" x14ac:dyDescent="0.2">
      <c r="G24457" s="889"/>
    </row>
    <row r="24458" spans="7:7" ht="10.5" customHeight="1" x14ac:dyDescent="0.2">
      <c r="G24458" s="889"/>
    </row>
    <row r="24459" spans="7:7" ht="10.5" customHeight="1" x14ac:dyDescent="0.2">
      <c r="G24459" s="889"/>
    </row>
    <row r="24460" spans="7:7" ht="10.5" customHeight="1" x14ac:dyDescent="0.2">
      <c r="G24460" s="889"/>
    </row>
    <row r="24461" spans="7:7" ht="10.5" customHeight="1" x14ac:dyDescent="0.2">
      <c r="G24461" s="889"/>
    </row>
    <row r="24462" spans="7:7" ht="10.5" customHeight="1" x14ac:dyDescent="0.2">
      <c r="G24462" s="889"/>
    </row>
    <row r="24463" spans="7:7" ht="10.5" customHeight="1" x14ac:dyDescent="0.2">
      <c r="G24463" s="889"/>
    </row>
    <row r="24464" spans="7:7" ht="10.5" customHeight="1" x14ac:dyDescent="0.2">
      <c r="G24464" s="889"/>
    </row>
    <row r="24465" spans="7:7" ht="10.5" customHeight="1" x14ac:dyDescent="0.2">
      <c r="G24465" s="889"/>
    </row>
    <row r="24466" spans="7:7" ht="10.5" customHeight="1" x14ac:dyDescent="0.2">
      <c r="G24466" s="889"/>
    </row>
    <row r="24467" spans="7:7" ht="10.5" customHeight="1" x14ac:dyDescent="0.2">
      <c r="G24467" s="889"/>
    </row>
    <row r="24468" spans="7:7" ht="10.5" customHeight="1" x14ac:dyDescent="0.2">
      <c r="G24468" s="889"/>
    </row>
    <row r="24469" spans="7:7" ht="10.5" customHeight="1" x14ac:dyDescent="0.2">
      <c r="G24469" s="889"/>
    </row>
    <row r="24470" spans="7:7" ht="10.5" customHeight="1" x14ac:dyDescent="0.2">
      <c r="G24470" s="889"/>
    </row>
    <row r="24471" spans="7:7" ht="10.5" customHeight="1" x14ac:dyDescent="0.2">
      <c r="G24471" s="889"/>
    </row>
    <row r="24472" spans="7:7" ht="10.5" customHeight="1" x14ac:dyDescent="0.2">
      <c r="G24472" s="889"/>
    </row>
    <row r="24473" spans="7:7" ht="10.5" customHeight="1" x14ac:dyDescent="0.2">
      <c r="G24473" s="889"/>
    </row>
    <row r="24474" spans="7:7" ht="10.5" customHeight="1" x14ac:dyDescent="0.2">
      <c r="G24474" s="889"/>
    </row>
    <row r="24475" spans="7:7" ht="10.5" customHeight="1" x14ac:dyDescent="0.2">
      <c r="G24475" s="889"/>
    </row>
    <row r="24476" spans="7:7" ht="10.5" customHeight="1" x14ac:dyDescent="0.2">
      <c r="G24476" s="889"/>
    </row>
    <row r="24477" spans="7:7" ht="10.5" customHeight="1" x14ac:dyDescent="0.2">
      <c r="G24477" s="889"/>
    </row>
    <row r="24478" spans="7:7" ht="10.5" customHeight="1" x14ac:dyDescent="0.2">
      <c r="G24478" s="889"/>
    </row>
    <row r="24479" spans="7:7" ht="10.5" customHeight="1" x14ac:dyDescent="0.2">
      <c r="G24479" s="889"/>
    </row>
    <row r="24480" spans="7:7" ht="10.5" customHeight="1" x14ac:dyDescent="0.2">
      <c r="G24480" s="889"/>
    </row>
    <row r="24481" spans="7:7" ht="10.5" customHeight="1" x14ac:dyDescent="0.2">
      <c r="G24481" s="889"/>
    </row>
    <row r="24482" spans="7:7" ht="10.5" customHeight="1" x14ac:dyDescent="0.2">
      <c r="G24482" s="889"/>
    </row>
    <row r="24483" spans="7:7" ht="10.5" customHeight="1" x14ac:dyDescent="0.2">
      <c r="G24483" s="889"/>
    </row>
    <row r="24484" spans="7:7" ht="10.5" customHeight="1" x14ac:dyDescent="0.2">
      <c r="G24484" s="889"/>
    </row>
    <row r="24485" spans="7:7" ht="10.5" customHeight="1" x14ac:dyDescent="0.2">
      <c r="G24485" s="889"/>
    </row>
    <row r="24486" spans="7:7" ht="10.5" customHeight="1" x14ac:dyDescent="0.2">
      <c r="G24486" s="889"/>
    </row>
    <row r="24487" spans="7:7" ht="10.5" customHeight="1" x14ac:dyDescent="0.2">
      <c r="G24487" s="889"/>
    </row>
    <row r="24488" spans="7:7" ht="10.5" customHeight="1" x14ac:dyDescent="0.2">
      <c r="G24488" s="889"/>
    </row>
    <row r="24489" spans="7:7" ht="10.5" customHeight="1" x14ac:dyDescent="0.2">
      <c r="G24489" s="889"/>
    </row>
    <row r="24490" spans="7:7" ht="10.5" customHeight="1" x14ac:dyDescent="0.2">
      <c r="G24490" s="889"/>
    </row>
    <row r="24491" spans="7:7" ht="10.5" customHeight="1" x14ac:dyDescent="0.2">
      <c r="G24491" s="889"/>
    </row>
    <row r="24492" spans="7:7" ht="10.5" customHeight="1" x14ac:dyDescent="0.2">
      <c r="G24492" s="889"/>
    </row>
    <row r="24493" spans="7:7" ht="10.5" customHeight="1" x14ac:dyDescent="0.2">
      <c r="G24493" s="889"/>
    </row>
    <row r="24494" spans="7:7" ht="10.5" customHeight="1" x14ac:dyDescent="0.2">
      <c r="G24494" s="889"/>
    </row>
    <row r="24495" spans="7:7" ht="10.5" customHeight="1" x14ac:dyDescent="0.2">
      <c r="G24495" s="889"/>
    </row>
    <row r="24496" spans="7:7" ht="10.5" customHeight="1" x14ac:dyDescent="0.2">
      <c r="G24496" s="889"/>
    </row>
    <row r="24497" spans="7:7" ht="10.5" customHeight="1" x14ac:dyDescent="0.2">
      <c r="G24497" s="889"/>
    </row>
    <row r="24498" spans="7:7" ht="10.5" customHeight="1" x14ac:dyDescent="0.2">
      <c r="G24498" s="889"/>
    </row>
    <row r="24499" spans="7:7" ht="10.5" customHeight="1" x14ac:dyDescent="0.2">
      <c r="G24499" s="889"/>
    </row>
    <row r="24500" spans="7:7" ht="10.5" customHeight="1" x14ac:dyDescent="0.2">
      <c r="G24500" s="889"/>
    </row>
    <row r="24501" spans="7:7" ht="10.5" customHeight="1" x14ac:dyDescent="0.2">
      <c r="G24501" s="889"/>
    </row>
    <row r="24502" spans="7:7" ht="10.5" customHeight="1" x14ac:dyDescent="0.2">
      <c r="G24502" s="889"/>
    </row>
    <row r="24503" spans="7:7" ht="10.5" customHeight="1" x14ac:dyDescent="0.2">
      <c r="G24503" s="889"/>
    </row>
    <row r="24504" spans="7:7" ht="10.5" customHeight="1" x14ac:dyDescent="0.2">
      <c r="G24504" s="889"/>
    </row>
    <row r="24505" spans="7:7" ht="10.5" customHeight="1" x14ac:dyDescent="0.2">
      <c r="G24505" s="889"/>
    </row>
    <row r="24506" spans="7:7" ht="10.5" customHeight="1" x14ac:dyDescent="0.2">
      <c r="G24506" s="889"/>
    </row>
    <row r="24507" spans="7:7" ht="10.5" customHeight="1" x14ac:dyDescent="0.2">
      <c r="G24507" s="889"/>
    </row>
    <row r="24508" spans="7:7" ht="10.5" customHeight="1" x14ac:dyDescent="0.2">
      <c r="G24508" s="889"/>
    </row>
    <row r="24509" spans="7:7" ht="10.5" customHeight="1" x14ac:dyDescent="0.2">
      <c r="G24509" s="889"/>
    </row>
    <row r="24510" spans="7:7" ht="10.5" customHeight="1" x14ac:dyDescent="0.2">
      <c r="G24510" s="889"/>
    </row>
    <row r="24511" spans="7:7" ht="10.5" customHeight="1" x14ac:dyDescent="0.2">
      <c r="G24511" s="889"/>
    </row>
    <row r="24512" spans="7:7" ht="10.5" customHeight="1" x14ac:dyDescent="0.2">
      <c r="G24512" s="889"/>
    </row>
    <row r="24513" spans="7:7" ht="10.5" customHeight="1" x14ac:dyDescent="0.2">
      <c r="G24513" s="889"/>
    </row>
    <row r="24514" spans="7:7" ht="10.5" customHeight="1" x14ac:dyDescent="0.2">
      <c r="G24514" s="889"/>
    </row>
    <row r="24515" spans="7:7" ht="10.5" customHeight="1" x14ac:dyDescent="0.2">
      <c r="G24515" s="889"/>
    </row>
    <row r="24516" spans="7:7" ht="10.5" customHeight="1" x14ac:dyDescent="0.2">
      <c r="G24516" s="889"/>
    </row>
    <row r="24517" spans="7:7" ht="10.5" customHeight="1" x14ac:dyDescent="0.2">
      <c r="G24517" s="889"/>
    </row>
    <row r="24518" spans="7:7" ht="10.5" customHeight="1" x14ac:dyDescent="0.2">
      <c r="G24518" s="889"/>
    </row>
    <row r="24519" spans="7:7" ht="10.5" customHeight="1" x14ac:dyDescent="0.2">
      <c r="G24519" s="889"/>
    </row>
    <row r="24520" spans="7:7" ht="10.5" customHeight="1" x14ac:dyDescent="0.2">
      <c r="G24520" s="889"/>
    </row>
    <row r="24521" spans="7:7" ht="10.5" customHeight="1" x14ac:dyDescent="0.2">
      <c r="G24521" s="889"/>
    </row>
    <row r="24522" spans="7:7" ht="10.5" customHeight="1" x14ac:dyDescent="0.2">
      <c r="G24522" s="889"/>
    </row>
    <row r="24523" spans="7:7" ht="10.5" customHeight="1" x14ac:dyDescent="0.2">
      <c r="G24523" s="889"/>
    </row>
    <row r="24524" spans="7:7" ht="10.5" customHeight="1" x14ac:dyDescent="0.2">
      <c r="G24524" s="889"/>
    </row>
    <row r="24525" spans="7:7" ht="10.5" customHeight="1" x14ac:dyDescent="0.2">
      <c r="G24525" s="889"/>
    </row>
    <row r="24526" spans="7:7" ht="10.5" customHeight="1" x14ac:dyDescent="0.2">
      <c r="G24526" s="889"/>
    </row>
    <row r="24527" spans="7:7" ht="10.5" customHeight="1" x14ac:dyDescent="0.2">
      <c r="G24527" s="889"/>
    </row>
    <row r="24528" spans="7:7" ht="10.5" customHeight="1" x14ac:dyDescent="0.2">
      <c r="G24528" s="889"/>
    </row>
    <row r="24529" spans="7:7" ht="10.5" customHeight="1" x14ac:dyDescent="0.2">
      <c r="G24529" s="889"/>
    </row>
    <row r="24530" spans="7:7" ht="10.5" customHeight="1" x14ac:dyDescent="0.2">
      <c r="G24530" s="889"/>
    </row>
    <row r="24531" spans="7:7" ht="10.5" customHeight="1" x14ac:dyDescent="0.2">
      <c r="G24531" s="889"/>
    </row>
    <row r="24532" spans="7:7" ht="10.5" customHeight="1" x14ac:dyDescent="0.2">
      <c r="G24532" s="889"/>
    </row>
    <row r="24533" spans="7:7" ht="10.5" customHeight="1" x14ac:dyDescent="0.2">
      <c r="G24533" s="889"/>
    </row>
    <row r="24534" spans="7:7" ht="10.5" customHeight="1" x14ac:dyDescent="0.2">
      <c r="G24534" s="889"/>
    </row>
    <row r="24535" spans="7:7" ht="10.5" customHeight="1" x14ac:dyDescent="0.2">
      <c r="G24535" s="889"/>
    </row>
    <row r="24536" spans="7:7" ht="10.5" customHeight="1" x14ac:dyDescent="0.2">
      <c r="G24536" s="889"/>
    </row>
    <row r="24537" spans="7:7" ht="10.5" customHeight="1" x14ac:dyDescent="0.2">
      <c r="G24537" s="889"/>
    </row>
    <row r="24538" spans="7:7" ht="10.5" customHeight="1" x14ac:dyDescent="0.2">
      <c r="G24538" s="889"/>
    </row>
    <row r="24539" spans="7:7" ht="10.5" customHeight="1" x14ac:dyDescent="0.2">
      <c r="G24539" s="889"/>
    </row>
    <row r="24540" spans="7:7" ht="10.5" customHeight="1" x14ac:dyDescent="0.2">
      <c r="G24540" s="889"/>
    </row>
    <row r="24541" spans="7:7" ht="10.5" customHeight="1" x14ac:dyDescent="0.2">
      <c r="G24541" s="889"/>
    </row>
    <row r="24542" spans="7:7" ht="10.5" customHeight="1" x14ac:dyDescent="0.2">
      <c r="G24542" s="889"/>
    </row>
    <row r="24543" spans="7:7" ht="10.5" customHeight="1" x14ac:dyDescent="0.2">
      <c r="G24543" s="889"/>
    </row>
    <row r="24544" spans="7:7" ht="10.5" customHeight="1" x14ac:dyDescent="0.2">
      <c r="G24544" s="889"/>
    </row>
    <row r="24545" spans="7:7" ht="10.5" customHeight="1" x14ac:dyDescent="0.2">
      <c r="G24545" s="889"/>
    </row>
    <row r="24546" spans="7:7" ht="10.5" customHeight="1" x14ac:dyDescent="0.2">
      <c r="G24546" s="889"/>
    </row>
    <row r="24547" spans="7:7" ht="10.5" customHeight="1" x14ac:dyDescent="0.2">
      <c r="G24547" s="889"/>
    </row>
    <row r="24548" spans="7:7" ht="10.5" customHeight="1" x14ac:dyDescent="0.2">
      <c r="G24548" s="889"/>
    </row>
    <row r="24549" spans="7:7" ht="10.5" customHeight="1" x14ac:dyDescent="0.2">
      <c r="G24549" s="889"/>
    </row>
    <row r="24550" spans="7:7" ht="10.5" customHeight="1" x14ac:dyDescent="0.2">
      <c r="G24550" s="889"/>
    </row>
    <row r="24551" spans="7:7" ht="10.5" customHeight="1" x14ac:dyDescent="0.2">
      <c r="G24551" s="889"/>
    </row>
    <row r="24552" spans="7:7" ht="10.5" customHeight="1" x14ac:dyDescent="0.2">
      <c r="G24552" s="889"/>
    </row>
    <row r="24553" spans="7:7" ht="10.5" customHeight="1" x14ac:dyDescent="0.2">
      <c r="G24553" s="889"/>
    </row>
    <row r="24554" spans="7:7" ht="10.5" customHeight="1" x14ac:dyDescent="0.2">
      <c r="G24554" s="889"/>
    </row>
    <row r="24555" spans="7:7" ht="10.5" customHeight="1" x14ac:dyDescent="0.2">
      <c r="G24555" s="889"/>
    </row>
    <row r="24556" spans="7:7" ht="10.5" customHeight="1" x14ac:dyDescent="0.2">
      <c r="G24556" s="889"/>
    </row>
    <row r="24557" spans="7:7" ht="10.5" customHeight="1" x14ac:dyDescent="0.2">
      <c r="G24557" s="889"/>
    </row>
    <row r="24558" spans="7:7" ht="10.5" customHeight="1" x14ac:dyDescent="0.2">
      <c r="G24558" s="889"/>
    </row>
    <row r="24559" spans="7:7" ht="10.5" customHeight="1" x14ac:dyDescent="0.2">
      <c r="G24559" s="889"/>
    </row>
    <row r="24560" spans="7:7" ht="10.5" customHeight="1" x14ac:dyDescent="0.2">
      <c r="G24560" s="889"/>
    </row>
    <row r="24561" spans="7:7" ht="10.5" customHeight="1" x14ac:dyDescent="0.2">
      <c r="G24561" s="889"/>
    </row>
    <row r="24562" spans="7:7" ht="10.5" customHeight="1" x14ac:dyDescent="0.2">
      <c r="G24562" s="889"/>
    </row>
    <row r="24563" spans="7:7" ht="10.5" customHeight="1" x14ac:dyDescent="0.2">
      <c r="G24563" s="889"/>
    </row>
    <row r="24564" spans="7:7" ht="10.5" customHeight="1" x14ac:dyDescent="0.2">
      <c r="G24564" s="889"/>
    </row>
    <row r="24565" spans="7:7" ht="10.5" customHeight="1" x14ac:dyDescent="0.2">
      <c r="G24565" s="889"/>
    </row>
    <row r="24566" spans="7:7" ht="10.5" customHeight="1" x14ac:dyDescent="0.2">
      <c r="G24566" s="889"/>
    </row>
    <row r="24567" spans="7:7" ht="10.5" customHeight="1" x14ac:dyDescent="0.2">
      <c r="G24567" s="889"/>
    </row>
    <row r="24568" spans="7:7" ht="10.5" customHeight="1" x14ac:dyDescent="0.2">
      <c r="G24568" s="889"/>
    </row>
    <row r="24569" spans="7:7" ht="10.5" customHeight="1" x14ac:dyDescent="0.2">
      <c r="G24569" s="889"/>
    </row>
    <row r="24570" spans="7:7" ht="10.5" customHeight="1" x14ac:dyDescent="0.2">
      <c r="G24570" s="889"/>
    </row>
    <row r="24571" spans="7:7" ht="10.5" customHeight="1" x14ac:dyDescent="0.2">
      <c r="G24571" s="889"/>
    </row>
    <row r="24572" spans="7:7" ht="10.5" customHeight="1" x14ac:dyDescent="0.2">
      <c r="G24572" s="889"/>
    </row>
    <row r="24573" spans="7:7" ht="10.5" customHeight="1" x14ac:dyDescent="0.2">
      <c r="G24573" s="889"/>
    </row>
    <row r="24574" spans="7:7" ht="10.5" customHeight="1" x14ac:dyDescent="0.2">
      <c r="G24574" s="889"/>
    </row>
    <row r="24575" spans="7:7" ht="10.5" customHeight="1" x14ac:dyDescent="0.2">
      <c r="G24575" s="889"/>
    </row>
    <row r="24576" spans="7:7" ht="10.5" customHeight="1" x14ac:dyDescent="0.2">
      <c r="G24576" s="889"/>
    </row>
    <row r="24577" spans="7:7" ht="10.5" customHeight="1" x14ac:dyDescent="0.2">
      <c r="G24577" s="889"/>
    </row>
    <row r="24578" spans="7:7" ht="10.5" customHeight="1" x14ac:dyDescent="0.2">
      <c r="G24578" s="889"/>
    </row>
    <row r="24579" spans="7:7" ht="10.5" customHeight="1" x14ac:dyDescent="0.2">
      <c r="G24579" s="889"/>
    </row>
    <row r="24580" spans="7:7" ht="10.5" customHeight="1" x14ac:dyDescent="0.2">
      <c r="G24580" s="889"/>
    </row>
    <row r="24581" spans="7:7" ht="10.5" customHeight="1" x14ac:dyDescent="0.2">
      <c r="G24581" s="889"/>
    </row>
    <row r="24582" spans="7:7" ht="10.5" customHeight="1" x14ac:dyDescent="0.2">
      <c r="G24582" s="889"/>
    </row>
    <row r="24583" spans="7:7" ht="10.5" customHeight="1" x14ac:dyDescent="0.2">
      <c r="G24583" s="889"/>
    </row>
    <row r="24584" spans="7:7" ht="10.5" customHeight="1" x14ac:dyDescent="0.2">
      <c r="G24584" s="889"/>
    </row>
    <row r="24585" spans="7:7" ht="10.5" customHeight="1" x14ac:dyDescent="0.2">
      <c r="G24585" s="889"/>
    </row>
    <row r="24586" spans="7:7" ht="10.5" customHeight="1" x14ac:dyDescent="0.2">
      <c r="G24586" s="889"/>
    </row>
    <row r="24587" spans="7:7" ht="10.5" customHeight="1" x14ac:dyDescent="0.2">
      <c r="G24587" s="889"/>
    </row>
    <row r="24588" spans="7:7" ht="10.5" customHeight="1" x14ac:dyDescent="0.2">
      <c r="G24588" s="889"/>
    </row>
    <row r="24589" spans="7:7" ht="10.5" customHeight="1" x14ac:dyDescent="0.2">
      <c r="G24589" s="889"/>
    </row>
    <row r="24590" spans="7:7" ht="10.5" customHeight="1" x14ac:dyDescent="0.2">
      <c r="G24590" s="889"/>
    </row>
    <row r="24591" spans="7:7" ht="10.5" customHeight="1" x14ac:dyDescent="0.2">
      <c r="G24591" s="889"/>
    </row>
    <row r="24592" spans="7:7" ht="10.5" customHeight="1" x14ac:dyDescent="0.2">
      <c r="G24592" s="889"/>
    </row>
    <row r="24593" spans="7:7" ht="10.5" customHeight="1" x14ac:dyDescent="0.2">
      <c r="G24593" s="889"/>
    </row>
    <row r="24594" spans="7:7" ht="10.5" customHeight="1" x14ac:dyDescent="0.2">
      <c r="G24594" s="889"/>
    </row>
    <row r="24595" spans="7:7" ht="10.5" customHeight="1" x14ac:dyDescent="0.2">
      <c r="G24595" s="889"/>
    </row>
    <row r="24596" spans="7:7" ht="10.5" customHeight="1" x14ac:dyDescent="0.2">
      <c r="G24596" s="889"/>
    </row>
    <row r="24597" spans="7:7" ht="10.5" customHeight="1" x14ac:dyDescent="0.2">
      <c r="G24597" s="889"/>
    </row>
    <row r="24598" spans="7:7" ht="10.5" customHeight="1" x14ac:dyDescent="0.2">
      <c r="G24598" s="889"/>
    </row>
    <row r="24599" spans="7:7" ht="10.5" customHeight="1" x14ac:dyDescent="0.2">
      <c r="G24599" s="889"/>
    </row>
    <row r="24600" spans="7:7" ht="10.5" customHeight="1" x14ac:dyDescent="0.2">
      <c r="G24600" s="889"/>
    </row>
    <row r="24601" spans="7:7" ht="10.5" customHeight="1" x14ac:dyDescent="0.2">
      <c r="G24601" s="889"/>
    </row>
    <row r="24602" spans="7:7" ht="10.5" customHeight="1" x14ac:dyDescent="0.2">
      <c r="G24602" s="889"/>
    </row>
    <row r="24603" spans="7:7" ht="10.5" customHeight="1" x14ac:dyDescent="0.2">
      <c r="G24603" s="889"/>
    </row>
    <row r="24604" spans="7:7" ht="10.5" customHeight="1" x14ac:dyDescent="0.2">
      <c r="G24604" s="889"/>
    </row>
    <row r="24605" spans="7:7" ht="10.5" customHeight="1" x14ac:dyDescent="0.2">
      <c r="G24605" s="889"/>
    </row>
    <row r="24606" spans="7:7" ht="10.5" customHeight="1" x14ac:dyDescent="0.2">
      <c r="G24606" s="889"/>
    </row>
    <row r="24607" spans="7:7" ht="10.5" customHeight="1" x14ac:dyDescent="0.2">
      <c r="G24607" s="889"/>
    </row>
    <row r="24608" spans="7:7" ht="10.5" customHeight="1" x14ac:dyDescent="0.2">
      <c r="G24608" s="889"/>
    </row>
    <row r="24609" spans="7:7" ht="10.5" customHeight="1" x14ac:dyDescent="0.2">
      <c r="G24609" s="889"/>
    </row>
    <row r="24610" spans="7:7" ht="10.5" customHeight="1" x14ac:dyDescent="0.2">
      <c r="G24610" s="889"/>
    </row>
    <row r="24611" spans="7:7" ht="10.5" customHeight="1" x14ac:dyDescent="0.2">
      <c r="G24611" s="889"/>
    </row>
    <row r="24612" spans="7:7" ht="10.5" customHeight="1" x14ac:dyDescent="0.2">
      <c r="G24612" s="889"/>
    </row>
    <row r="24613" spans="7:7" ht="10.5" customHeight="1" x14ac:dyDescent="0.2">
      <c r="G24613" s="889"/>
    </row>
    <row r="24614" spans="7:7" ht="10.5" customHeight="1" x14ac:dyDescent="0.2">
      <c r="G24614" s="889"/>
    </row>
    <row r="24615" spans="7:7" ht="10.5" customHeight="1" x14ac:dyDescent="0.2">
      <c r="G24615" s="889"/>
    </row>
    <row r="24616" spans="7:7" ht="10.5" customHeight="1" x14ac:dyDescent="0.2">
      <c r="G24616" s="889"/>
    </row>
    <row r="24617" spans="7:7" ht="10.5" customHeight="1" x14ac:dyDescent="0.2">
      <c r="G24617" s="889"/>
    </row>
    <row r="24618" spans="7:7" ht="10.5" customHeight="1" x14ac:dyDescent="0.2">
      <c r="G24618" s="889"/>
    </row>
    <row r="24619" spans="7:7" ht="10.5" customHeight="1" x14ac:dyDescent="0.2">
      <c r="G24619" s="889"/>
    </row>
    <row r="24620" spans="7:7" ht="10.5" customHeight="1" x14ac:dyDescent="0.2">
      <c r="G24620" s="889"/>
    </row>
    <row r="24621" spans="7:7" ht="10.5" customHeight="1" x14ac:dyDescent="0.2">
      <c r="G24621" s="889"/>
    </row>
    <row r="24622" spans="7:7" ht="10.5" customHeight="1" x14ac:dyDescent="0.2">
      <c r="G24622" s="889"/>
    </row>
    <row r="24623" spans="7:7" ht="10.5" customHeight="1" x14ac:dyDescent="0.2">
      <c r="G24623" s="889"/>
    </row>
    <row r="24624" spans="7:7" ht="10.5" customHeight="1" x14ac:dyDescent="0.2">
      <c r="G24624" s="889"/>
    </row>
    <row r="24625" spans="7:7" ht="10.5" customHeight="1" x14ac:dyDescent="0.2">
      <c r="G24625" s="889"/>
    </row>
    <row r="24626" spans="7:7" ht="10.5" customHeight="1" x14ac:dyDescent="0.2">
      <c r="G24626" s="889"/>
    </row>
    <row r="24627" spans="7:7" ht="10.5" customHeight="1" x14ac:dyDescent="0.2">
      <c r="G24627" s="889"/>
    </row>
    <row r="24628" spans="7:7" ht="10.5" customHeight="1" x14ac:dyDescent="0.2">
      <c r="G24628" s="889"/>
    </row>
    <row r="24629" spans="7:7" ht="10.5" customHeight="1" x14ac:dyDescent="0.2">
      <c r="G24629" s="889"/>
    </row>
    <row r="24630" spans="7:7" ht="10.5" customHeight="1" x14ac:dyDescent="0.2">
      <c r="G24630" s="889"/>
    </row>
    <row r="24631" spans="7:7" ht="10.5" customHeight="1" x14ac:dyDescent="0.2">
      <c r="G24631" s="889"/>
    </row>
    <row r="24632" spans="7:7" ht="10.5" customHeight="1" x14ac:dyDescent="0.2">
      <c r="G24632" s="889"/>
    </row>
    <row r="24633" spans="7:7" ht="10.5" customHeight="1" x14ac:dyDescent="0.2">
      <c r="G24633" s="889"/>
    </row>
    <row r="24634" spans="7:7" ht="10.5" customHeight="1" x14ac:dyDescent="0.2">
      <c r="G24634" s="889"/>
    </row>
    <row r="24635" spans="7:7" ht="10.5" customHeight="1" x14ac:dyDescent="0.2">
      <c r="G24635" s="889"/>
    </row>
    <row r="24636" spans="7:7" ht="10.5" customHeight="1" x14ac:dyDescent="0.2">
      <c r="G24636" s="889"/>
    </row>
    <row r="24637" spans="7:7" ht="10.5" customHeight="1" x14ac:dyDescent="0.2">
      <c r="G24637" s="889"/>
    </row>
    <row r="24638" spans="7:7" ht="10.5" customHeight="1" x14ac:dyDescent="0.2">
      <c r="G24638" s="889"/>
    </row>
    <row r="24639" spans="7:7" ht="10.5" customHeight="1" x14ac:dyDescent="0.2">
      <c r="G24639" s="889"/>
    </row>
    <row r="24640" spans="7:7" ht="10.5" customHeight="1" x14ac:dyDescent="0.2">
      <c r="G24640" s="889"/>
    </row>
    <row r="24641" spans="7:7" ht="10.5" customHeight="1" x14ac:dyDescent="0.2">
      <c r="G24641" s="889"/>
    </row>
    <row r="24642" spans="7:7" ht="10.5" customHeight="1" x14ac:dyDescent="0.2">
      <c r="G24642" s="889"/>
    </row>
    <row r="24643" spans="7:7" ht="10.5" customHeight="1" x14ac:dyDescent="0.2">
      <c r="G24643" s="889"/>
    </row>
    <row r="24644" spans="7:7" ht="10.5" customHeight="1" x14ac:dyDescent="0.2">
      <c r="G24644" s="889"/>
    </row>
    <row r="24645" spans="7:7" ht="10.5" customHeight="1" x14ac:dyDescent="0.2">
      <c r="G24645" s="889"/>
    </row>
    <row r="24646" spans="7:7" ht="10.5" customHeight="1" x14ac:dyDescent="0.2">
      <c r="G24646" s="889"/>
    </row>
    <row r="24647" spans="7:7" ht="10.5" customHeight="1" x14ac:dyDescent="0.2">
      <c r="G24647" s="889"/>
    </row>
    <row r="24648" spans="7:7" ht="10.5" customHeight="1" x14ac:dyDescent="0.2">
      <c r="G24648" s="889"/>
    </row>
    <row r="24649" spans="7:7" ht="10.5" customHeight="1" x14ac:dyDescent="0.2">
      <c r="G24649" s="889"/>
    </row>
    <row r="24650" spans="7:7" ht="10.5" customHeight="1" x14ac:dyDescent="0.2">
      <c r="G24650" s="889"/>
    </row>
    <row r="24651" spans="7:7" ht="10.5" customHeight="1" x14ac:dyDescent="0.2">
      <c r="G24651" s="889"/>
    </row>
    <row r="24652" spans="7:7" ht="10.5" customHeight="1" x14ac:dyDescent="0.2">
      <c r="G24652" s="889"/>
    </row>
    <row r="24653" spans="7:7" ht="10.5" customHeight="1" x14ac:dyDescent="0.2">
      <c r="G24653" s="889"/>
    </row>
    <row r="24654" spans="7:7" ht="10.5" customHeight="1" x14ac:dyDescent="0.2">
      <c r="G24654" s="889"/>
    </row>
    <row r="24655" spans="7:7" ht="10.5" customHeight="1" x14ac:dyDescent="0.2">
      <c r="G24655" s="889"/>
    </row>
    <row r="24656" spans="7:7" ht="10.5" customHeight="1" x14ac:dyDescent="0.2">
      <c r="G24656" s="889"/>
    </row>
    <row r="24657" spans="7:7" ht="10.5" customHeight="1" x14ac:dyDescent="0.2">
      <c r="G24657" s="889"/>
    </row>
    <row r="24658" spans="7:7" ht="10.5" customHeight="1" x14ac:dyDescent="0.2">
      <c r="G24658" s="889"/>
    </row>
    <row r="24659" spans="7:7" ht="10.5" customHeight="1" x14ac:dyDescent="0.2">
      <c r="G24659" s="889"/>
    </row>
    <row r="24660" spans="7:7" ht="10.5" customHeight="1" x14ac:dyDescent="0.2">
      <c r="G24660" s="889"/>
    </row>
    <row r="24661" spans="7:7" ht="10.5" customHeight="1" x14ac:dyDescent="0.2">
      <c r="G24661" s="889"/>
    </row>
    <row r="24662" spans="7:7" ht="10.5" customHeight="1" x14ac:dyDescent="0.2">
      <c r="G24662" s="889"/>
    </row>
    <row r="24663" spans="7:7" ht="10.5" customHeight="1" x14ac:dyDescent="0.2">
      <c r="G24663" s="889"/>
    </row>
    <row r="24664" spans="7:7" ht="10.5" customHeight="1" x14ac:dyDescent="0.2">
      <c r="G24664" s="889"/>
    </row>
    <row r="24665" spans="7:7" ht="10.5" customHeight="1" x14ac:dyDescent="0.2">
      <c r="G24665" s="889"/>
    </row>
    <row r="24666" spans="7:7" ht="10.5" customHeight="1" x14ac:dyDescent="0.2">
      <c r="G24666" s="889"/>
    </row>
    <row r="24667" spans="7:7" ht="10.5" customHeight="1" x14ac:dyDescent="0.2">
      <c r="G24667" s="889"/>
    </row>
    <row r="24668" spans="7:7" ht="10.5" customHeight="1" x14ac:dyDescent="0.2">
      <c r="G24668" s="889"/>
    </row>
    <row r="24669" spans="7:7" ht="10.5" customHeight="1" x14ac:dyDescent="0.2">
      <c r="G24669" s="889"/>
    </row>
    <row r="24670" spans="7:7" ht="10.5" customHeight="1" x14ac:dyDescent="0.2">
      <c r="G24670" s="889"/>
    </row>
    <row r="24671" spans="7:7" ht="10.5" customHeight="1" x14ac:dyDescent="0.2">
      <c r="G24671" s="889"/>
    </row>
    <row r="24672" spans="7:7" ht="10.5" customHeight="1" x14ac:dyDescent="0.2">
      <c r="G24672" s="889"/>
    </row>
    <row r="24673" spans="7:7" ht="10.5" customHeight="1" x14ac:dyDescent="0.2">
      <c r="G24673" s="889"/>
    </row>
    <row r="24674" spans="7:7" ht="10.5" customHeight="1" x14ac:dyDescent="0.2">
      <c r="G24674" s="889"/>
    </row>
    <row r="24675" spans="7:7" ht="10.5" customHeight="1" x14ac:dyDescent="0.2">
      <c r="G24675" s="889"/>
    </row>
    <row r="24676" spans="7:7" ht="10.5" customHeight="1" x14ac:dyDescent="0.2">
      <c r="G24676" s="889"/>
    </row>
    <row r="24677" spans="7:7" ht="10.5" customHeight="1" x14ac:dyDescent="0.2">
      <c r="G24677" s="889"/>
    </row>
    <row r="24678" spans="7:7" ht="10.5" customHeight="1" x14ac:dyDescent="0.2">
      <c r="G24678" s="889"/>
    </row>
    <row r="24679" spans="7:7" ht="10.5" customHeight="1" x14ac:dyDescent="0.2">
      <c r="G24679" s="889"/>
    </row>
    <row r="24680" spans="7:7" ht="10.5" customHeight="1" x14ac:dyDescent="0.2">
      <c r="G24680" s="889"/>
    </row>
    <row r="24681" spans="7:7" ht="10.5" customHeight="1" x14ac:dyDescent="0.2">
      <c r="G24681" s="889"/>
    </row>
    <row r="24682" spans="7:7" ht="10.5" customHeight="1" x14ac:dyDescent="0.2">
      <c r="G24682" s="889"/>
    </row>
    <row r="24683" spans="7:7" ht="10.5" customHeight="1" x14ac:dyDescent="0.2">
      <c r="G24683" s="889"/>
    </row>
    <row r="24684" spans="7:7" ht="10.5" customHeight="1" x14ac:dyDescent="0.2">
      <c r="G24684" s="889"/>
    </row>
    <row r="24685" spans="7:7" ht="10.5" customHeight="1" x14ac:dyDescent="0.2">
      <c r="G24685" s="889"/>
    </row>
    <row r="24686" spans="7:7" ht="10.5" customHeight="1" x14ac:dyDescent="0.2">
      <c r="G24686" s="889"/>
    </row>
    <row r="24687" spans="7:7" ht="10.5" customHeight="1" x14ac:dyDescent="0.2">
      <c r="G24687" s="889"/>
    </row>
    <row r="24688" spans="7:7" ht="10.5" customHeight="1" x14ac:dyDescent="0.2">
      <c r="G24688" s="889"/>
    </row>
    <row r="24689" spans="7:7" ht="10.5" customHeight="1" x14ac:dyDescent="0.2">
      <c r="G24689" s="889"/>
    </row>
    <row r="24690" spans="7:7" ht="10.5" customHeight="1" x14ac:dyDescent="0.2">
      <c r="G24690" s="889"/>
    </row>
    <row r="24691" spans="7:7" ht="10.5" customHeight="1" x14ac:dyDescent="0.2">
      <c r="G24691" s="889"/>
    </row>
    <row r="24692" spans="7:7" ht="10.5" customHeight="1" x14ac:dyDescent="0.2">
      <c r="G24692" s="889"/>
    </row>
    <row r="24693" spans="7:7" ht="10.5" customHeight="1" x14ac:dyDescent="0.2">
      <c r="G24693" s="889"/>
    </row>
    <row r="24694" spans="7:7" ht="10.5" customHeight="1" x14ac:dyDescent="0.2">
      <c r="G24694" s="889"/>
    </row>
    <row r="24695" spans="7:7" ht="10.5" customHeight="1" x14ac:dyDescent="0.2">
      <c r="G24695" s="889"/>
    </row>
    <row r="24696" spans="7:7" ht="10.5" customHeight="1" x14ac:dyDescent="0.2">
      <c r="G24696" s="889"/>
    </row>
    <row r="24697" spans="7:7" ht="10.5" customHeight="1" x14ac:dyDescent="0.2">
      <c r="G24697" s="889"/>
    </row>
    <row r="24698" spans="7:7" ht="10.5" customHeight="1" x14ac:dyDescent="0.2">
      <c r="G24698" s="889"/>
    </row>
    <row r="24699" spans="7:7" ht="10.5" customHeight="1" x14ac:dyDescent="0.2">
      <c r="G24699" s="889"/>
    </row>
    <row r="24700" spans="7:7" ht="10.5" customHeight="1" x14ac:dyDescent="0.2">
      <c r="G24700" s="889"/>
    </row>
    <row r="24701" spans="7:7" ht="10.5" customHeight="1" x14ac:dyDescent="0.2">
      <c r="G24701" s="889"/>
    </row>
    <row r="24702" spans="7:7" ht="10.5" customHeight="1" x14ac:dyDescent="0.2">
      <c r="G24702" s="889"/>
    </row>
    <row r="24703" spans="7:7" ht="10.5" customHeight="1" x14ac:dyDescent="0.2">
      <c r="G24703" s="889"/>
    </row>
    <row r="24704" spans="7:7" ht="10.5" customHeight="1" x14ac:dyDescent="0.2">
      <c r="G24704" s="889"/>
    </row>
    <row r="24705" spans="7:7" ht="10.5" customHeight="1" x14ac:dyDescent="0.2">
      <c r="G24705" s="889"/>
    </row>
    <row r="24706" spans="7:7" ht="10.5" customHeight="1" x14ac:dyDescent="0.2">
      <c r="G24706" s="889"/>
    </row>
    <row r="24707" spans="7:7" ht="10.5" customHeight="1" x14ac:dyDescent="0.2">
      <c r="G24707" s="889"/>
    </row>
    <row r="24708" spans="7:7" ht="10.5" customHeight="1" x14ac:dyDescent="0.2">
      <c r="G24708" s="889"/>
    </row>
    <row r="24709" spans="7:7" ht="10.5" customHeight="1" x14ac:dyDescent="0.2">
      <c r="G24709" s="889"/>
    </row>
    <row r="24710" spans="7:7" ht="10.5" customHeight="1" x14ac:dyDescent="0.2">
      <c r="G24710" s="889"/>
    </row>
    <row r="24711" spans="7:7" ht="10.5" customHeight="1" x14ac:dyDescent="0.2">
      <c r="G24711" s="889"/>
    </row>
    <row r="24712" spans="7:7" ht="10.5" customHeight="1" x14ac:dyDescent="0.2">
      <c r="G24712" s="889"/>
    </row>
    <row r="24713" spans="7:7" ht="10.5" customHeight="1" x14ac:dyDescent="0.2">
      <c r="G24713" s="889"/>
    </row>
    <row r="24714" spans="7:7" ht="10.5" customHeight="1" x14ac:dyDescent="0.2">
      <c r="G24714" s="889"/>
    </row>
    <row r="24715" spans="7:7" ht="10.5" customHeight="1" x14ac:dyDescent="0.2">
      <c r="G24715" s="889"/>
    </row>
    <row r="24716" spans="7:7" ht="10.5" customHeight="1" x14ac:dyDescent="0.2">
      <c r="G24716" s="889"/>
    </row>
    <row r="24717" spans="7:7" ht="10.5" customHeight="1" x14ac:dyDescent="0.2">
      <c r="G24717" s="889"/>
    </row>
    <row r="24718" spans="7:7" ht="10.5" customHeight="1" x14ac:dyDescent="0.2">
      <c r="G24718" s="889"/>
    </row>
    <row r="24719" spans="7:7" ht="10.5" customHeight="1" x14ac:dyDescent="0.2">
      <c r="G24719" s="889"/>
    </row>
    <row r="24720" spans="7:7" ht="10.5" customHeight="1" x14ac:dyDescent="0.2">
      <c r="G24720" s="889"/>
    </row>
    <row r="24721" spans="7:7" ht="10.5" customHeight="1" x14ac:dyDescent="0.2">
      <c r="G24721" s="889"/>
    </row>
    <row r="24722" spans="7:7" ht="10.5" customHeight="1" x14ac:dyDescent="0.2">
      <c r="G24722" s="889"/>
    </row>
    <row r="24723" spans="7:7" ht="10.5" customHeight="1" x14ac:dyDescent="0.2">
      <c r="G24723" s="889"/>
    </row>
    <row r="24724" spans="7:7" ht="10.5" customHeight="1" x14ac:dyDescent="0.2">
      <c r="G24724" s="889"/>
    </row>
    <row r="24725" spans="7:7" ht="10.5" customHeight="1" x14ac:dyDescent="0.2">
      <c r="G24725" s="889"/>
    </row>
    <row r="24726" spans="7:7" ht="10.5" customHeight="1" x14ac:dyDescent="0.2">
      <c r="G24726" s="889"/>
    </row>
    <row r="24727" spans="7:7" ht="10.5" customHeight="1" x14ac:dyDescent="0.2">
      <c r="G24727" s="889"/>
    </row>
    <row r="24728" spans="7:7" ht="10.5" customHeight="1" x14ac:dyDescent="0.2">
      <c r="G24728" s="889"/>
    </row>
    <row r="24729" spans="7:7" ht="10.5" customHeight="1" x14ac:dyDescent="0.2">
      <c r="G24729" s="889"/>
    </row>
    <row r="24730" spans="7:7" ht="10.5" customHeight="1" x14ac:dyDescent="0.2">
      <c r="G24730" s="889"/>
    </row>
    <row r="24731" spans="7:7" ht="10.5" customHeight="1" x14ac:dyDescent="0.2">
      <c r="G24731" s="889"/>
    </row>
    <row r="24732" spans="7:7" ht="10.5" customHeight="1" x14ac:dyDescent="0.2">
      <c r="G24732" s="889"/>
    </row>
    <row r="24733" spans="7:7" ht="10.5" customHeight="1" x14ac:dyDescent="0.2">
      <c r="G24733" s="889"/>
    </row>
    <row r="24734" spans="7:7" ht="10.5" customHeight="1" x14ac:dyDescent="0.2">
      <c r="G24734" s="889"/>
    </row>
    <row r="24735" spans="7:7" ht="10.5" customHeight="1" x14ac:dyDescent="0.2">
      <c r="G24735" s="889"/>
    </row>
    <row r="24736" spans="7:7" ht="10.5" customHeight="1" x14ac:dyDescent="0.2">
      <c r="G24736" s="889"/>
    </row>
    <row r="24737" spans="7:7" ht="10.5" customHeight="1" x14ac:dyDescent="0.2">
      <c r="G24737" s="889"/>
    </row>
    <row r="24738" spans="7:7" ht="10.5" customHeight="1" x14ac:dyDescent="0.2">
      <c r="G24738" s="889"/>
    </row>
    <row r="24739" spans="7:7" ht="10.5" customHeight="1" x14ac:dyDescent="0.2">
      <c r="G24739" s="889"/>
    </row>
    <row r="24740" spans="7:7" ht="10.5" customHeight="1" x14ac:dyDescent="0.2">
      <c r="G24740" s="889"/>
    </row>
    <row r="24741" spans="7:7" ht="10.5" customHeight="1" x14ac:dyDescent="0.2">
      <c r="G24741" s="889"/>
    </row>
    <row r="24742" spans="7:7" ht="10.5" customHeight="1" x14ac:dyDescent="0.2">
      <c r="G24742" s="889"/>
    </row>
    <row r="24743" spans="7:7" ht="10.5" customHeight="1" x14ac:dyDescent="0.2">
      <c r="G24743" s="889"/>
    </row>
    <row r="24744" spans="7:7" ht="10.5" customHeight="1" x14ac:dyDescent="0.2">
      <c r="G24744" s="889"/>
    </row>
    <row r="24745" spans="7:7" ht="10.5" customHeight="1" x14ac:dyDescent="0.2">
      <c r="G24745" s="889"/>
    </row>
    <row r="24746" spans="7:7" ht="10.5" customHeight="1" x14ac:dyDescent="0.2">
      <c r="G24746" s="889"/>
    </row>
    <row r="24747" spans="7:7" ht="10.5" customHeight="1" x14ac:dyDescent="0.2">
      <c r="G24747" s="889"/>
    </row>
    <row r="24748" spans="7:7" ht="10.5" customHeight="1" x14ac:dyDescent="0.2">
      <c r="G24748" s="889"/>
    </row>
    <row r="24749" spans="7:7" ht="10.5" customHeight="1" x14ac:dyDescent="0.2">
      <c r="G24749" s="889"/>
    </row>
    <row r="24750" spans="7:7" ht="10.5" customHeight="1" x14ac:dyDescent="0.2">
      <c r="G24750" s="889"/>
    </row>
    <row r="24751" spans="7:7" ht="10.5" customHeight="1" x14ac:dyDescent="0.2">
      <c r="G24751" s="889"/>
    </row>
    <row r="24752" spans="7:7" ht="10.5" customHeight="1" x14ac:dyDescent="0.2">
      <c r="G24752" s="889"/>
    </row>
    <row r="24753" spans="7:7" ht="10.5" customHeight="1" x14ac:dyDescent="0.2">
      <c r="G24753" s="889"/>
    </row>
    <row r="24754" spans="7:7" ht="10.5" customHeight="1" x14ac:dyDescent="0.2">
      <c r="G24754" s="889"/>
    </row>
    <row r="24755" spans="7:7" ht="10.5" customHeight="1" x14ac:dyDescent="0.2">
      <c r="G24755" s="889"/>
    </row>
    <row r="24756" spans="7:7" ht="10.5" customHeight="1" x14ac:dyDescent="0.2">
      <c r="G24756" s="889"/>
    </row>
    <row r="24757" spans="7:7" ht="10.5" customHeight="1" x14ac:dyDescent="0.2">
      <c r="G24757" s="889"/>
    </row>
    <row r="24758" spans="7:7" ht="10.5" customHeight="1" x14ac:dyDescent="0.2">
      <c r="G24758" s="889"/>
    </row>
    <row r="24759" spans="7:7" ht="10.5" customHeight="1" x14ac:dyDescent="0.2">
      <c r="G24759" s="889"/>
    </row>
    <row r="24760" spans="7:7" ht="10.5" customHeight="1" x14ac:dyDescent="0.2">
      <c r="G24760" s="889"/>
    </row>
    <row r="24761" spans="7:7" ht="10.5" customHeight="1" x14ac:dyDescent="0.2">
      <c r="G24761" s="889"/>
    </row>
    <row r="24762" spans="7:7" ht="10.5" customHeight="1" x14ac:dyDescent="0.2">
      <c r="G24762" s="889"/>
    </row>
    <row r="24763" spans="7:7" ht="10.5" customHeight="1" x14ac:dyDescent="0.2">
      <c r="G24763" s="889"/>
    </row>
    <row r="24764" spans="7:7" ht="10.5" customHeight="1" x14ac:dyDescent="0.2">
      <c r="G24764" s="889"/>
    </row>
    <row r="24765" spans="7:7" ht="10.5" customHeight="1" x14ac:dyDescent="0.2">
      <c r="G24765" s="889"/>
    </row>
    <row r="24766" spans="7:7" ht="10.5" customHeight="1" x14ac:dyDescent="0.2">
      <c r="G24766" s="889"/>
    </row>
    <row r="24767" spans="7:7" ht="10.5" customHeight="1" x14ac:dyDescent="0.2">
      <c r="G24767" s="889"/>
    </row>
    <row r="24768" spans="7:7" ht="10.5" customHeight="1" x14ac:dyDescent="0.2">
      <c r="G24768" s="889"/>
    </row>
    <row r="24769" spans="7:7" ht="10.5" customHeight="1" x14ac:dyDescent="0.2">
      <c r="G24769" s="889"/>
    </row>
    <row r="24770" spans="7:7" ht="10.5" customHeight="1" x14ac:dyDescent="0.2">
      <c r="G24770" s="889"/>
    </row>
    <row r="24771" spans="7:7" ht="10.5" customHeight="1" x14ac:dyDescent="0.2">
      <c r="G24771" s="889"/>
    </row>
    <row r="24772" spans="7:7" ht="10.5" customHeight="1" x14ac:dyDescent="0.2">
      <c r="G24772" s="889"/>
    </row>
    <row r="24773" spans="7:7" ht="10.5" customHeight="1" x14ac:dyDescent="0.2">
      <c r="G24773" s="889"/>
    </row>
    <row r="24774" spans="7:7" ht="10.5" customHeight="1" x14ac:dyDescent="0.2">
      <c r="G24774" s="889"/>
    </row>
    <row r="24775" spans="7:7" ht="10.5" customHeight="1" x14ac:dyDescent="0.2">
      <c r="G24775" s="889"/>
    </row>
    <row r="24776" spans="7:7" ht="10.5" customHeight="1" x14ac:dyDescent="0.2">
      <c r="G24776" s="889"/>
    </row>
    <row r="24777" spans="7:7" ht="10.5" customHeight="1" x14ac:dyDescent="0.2">
      <c r="G24777" s="889"/>
    </row>
    <row r="24778" spans="7:7" ht="10.5" customHeight="1" x14ac:dyDescent="0.2">
      <c r="G24778" s="889"/>
    </row>
    <row r="24779" spans="7:7" ht="10.5" customHeight="1" x14ac:dyDescent="0.2">
      <c r="G24779" s="889"/>
    </row>
    <row r="24780" spans="7:7" ht="10.5" customHeight="1" x14ac:dyDescent="0.2">
      <c r="G24780" s="889"/>
    </row>
    <row r="24781" spans="7:7" ht="10.5" customHeight="1" x14ac:dyDescent="0.2">
      <c r="G24781" s="889"/>
    </row>
    <row r="24782" spans="7:7" ht="10.5" customHeight="1" x14ac:dyDescent="0.2">
      <c r="G24782" s="889"/>
    </row>
    <row r="24783" spans="7:7" ht="10.5" customHeight="1" x14ac:dyDescent="0.2">
      <c r="G24783" s="889"/>
    </row>
    <row r="24784" spans="7:7" ht="10.5" customHeight="1" x14ac:dyDescent="0.2">
      <c r="G24784" s="889"/>
    </row>
    <row r="24785" spans="7:7" ht="10.5" customHeight="1" x14ac:dyDescent="0.2">
      <c r="G24785" s="889"/>
    </row>
    <row r="24786" spans="7:7" ht="10.5" customHeight="1" x14ac:dyDescent="0.2">
      <c r="G24786" s="889"/>
    </row>
    <row r="24787" spans="7:7" ht="10.5" customHeight="1" x14ac:dyDescent="0.2">
      <c r="G24787" s="889"/>
    </row>
    <row r="24788" spans="7:7" ht="10.5" customHeight="1" x14ac:dyDescent="0.2">
      <c r="G24788" s="889"/>
    </row>
    <row r="24789" spans="7:7" ht="10.5" customHeight="1" x14ac:dyDescent="0.2">
      <c r="G24789" s="889"/>
    </row>
    <row r="24790" spans="7:7" ht="10.5" customHeight="1" x14ac:dyDescent="0.2">
      <c r="G24790" s="889"/>
    </row>
    <row r="24791" spans="7:7" ht="10.5" customHeight="1" x14ac:dyDescent="0.2">
      <c r="G24791" s="889"/>
    </row>
    <row r="24792" spans="7:7" ht="10.5" customHeight="1" x14ac:dyDescent="0.2">
      <c r="G24792" s="889"/>
    </row>
    <row r="24793" spans="7:7" ht="10.5" customHeight="1" x14ac:dyDescent="0.2">
      <c r="G24793" s="889"/>
    </row>
    <row r="24794" spans="7:7" ht="10.5" customHeight="1" x14ac:dyDescent="0.2">
      <c r="G24794" s="889"/>
    </row>
    <row r="24795" spans="7:7" ht="10.5" customHeight="1" x14ac:dyDescent="0.2">
      <c r="G24795" s="889"/>
    </row>
    <row r="24796" spans="7:7" ht="10.5" customHeight="1" x14ac:dyDescent="0.2">
      <c r="G24796" s="889"/>
    </row>
    <row r="24797" spans="7:7" ht="10.5" customHeight="1" x14ac:dyDescent="0.2">
      <c r="G24797" s="889"/>
    </row>
    <row r="24798" spans="7:7" ht="10.5" customHeight="1" x14ac:dyDescent="0.2">
      <c r="G24798" s="889"/>
    </row>
    <row r="24799" spans="7:7" ht="10.5" customHeight="1" x14ac:dyDescent="0.2">
      <c r="G24799" s="889"/>
    </row>
    <row r="24800" spans="7:7" ht="10.5" customHeight="1" x14ac:dyDescent="0.2">
      <c r="G24800" s="889"/>
    </row>
    <row r="24801" spans="7:7" ht="10.5" customHeight="1" x14ac:dyDescent="0.2">
      <c r="G24801" s="889"/>
    </row>
    <row r="24802" spans="7:7" ht="10.5" customHeight="1" x14ac:dyDescent="0.2">
      <c r="G24802" s="889"/>
    </row>
    <row r="24803" spans="7:7" ht="10.5" customHeight="1" x14ac:dyDescent="0.2">
      <c r="G24803" s="889"/>
    </row>
    <row r="24804" spans="7:7" ht="10.5" customHeight="1" x14ac:dyDescent="0.2">
      <c r="G24804" s="889"/>
    </row>
    <row r="24805" spans="7:7" ht="10.5" customHeight="1" x14ac:dyDescent="0.2">
      <c r="G24805" s="889"/>
    </row>
    <row r="24806" spans="7:7" ht="10.5" customHeight="1" x14ac:dyDescent="0.2">
      <c r="G24806" s="889"/>
    </row>
    <row r="24807" spans="7:7" ht="10.5" customHeight="1" x14ac:dyDescent="0.2">
      <c r="G24807" s="889"/>
    </row>
    <row r="24808" spans="7:7" ht="10.5" customHeight="1" x14ac:dyDescent="0.2">
      <c r="G24808" s="889"/>
    </row>
    <row r="24809" spans="7:7" ht="10.5" customHeight="1" x14ac:dyDescent="0.2">
      <c r="G24809" s="889"/>
    </row>
    <row r="24810" spans="7:7" ht="10.5" customHeight="1" x14ac:dyDescent="0.2">
      <c r="G24810" s="889"/>
    </row>
    <row r="24811" spans="7:7" ht="10.5" customHeight="1" x14ac:dyDescent="0.2">
      <c r="G24811" s="889"/>
    </row>
    <row r="24812" spans="7:7" ht="10.5" customHeight="1" x14ac:dyDescent="0.2">
      <c r="G24812" s="889"/>
    </row>
    <row r="24813" spans="7:7" ht="10.5" customHeight="1" x14ac:dyDescent="0.2">
      <c r="G24813" s="889"/>
    </row>
    <row r="24814" spans="7:7" ht="10.5" customHeight="1" x14ac:dyDescent="0.2">
      <c r="G24814" s="889"/>
    </row>
    <row r="24815" spans="7:7" ht="10.5" customHeight="1" x14ac:dyDescent="0.2">
      <c r="G24815" s="889"/>
    </row>
    <row r="24816" spans="7:7" ht="10.5" customHeight="1" x14ac:dyDescent="0.2">
      <c r="G24816" s="889"/>
    </row>
    <row r="24817" spans="7:7" ht="10.5" customHeight="1" x14ac:dyDescent="0.2">
      <c r="G24817" s="889"/>
    </row>
    <row r="24818" spans="7:7" ht="10.5" customHeight="1" x14ac:dyDescent="0.2">
      <c r="G24818" s="889"/>
    </row>
    <row r="24819" spans="7:7" ht="10.5" customHeight="1" x14ac:dyDescent="0.2">
      <c r="G24819" s="889"/>
    </row>
    <row r="24820" spans="7:7" ht="10.5" customHeight="1" x14ac:dyDescent="0.2">
      <c r="G24820" s="889"/>
    </row>
    <row r="24821" spans="7:7" ht="10.5" customHeight="1" x14ac:dyDescent="0.2">
      <c r="G24821" s="889"/>
    </row>
    <row r="24822" spans="7:7" ht="10.5" customHeight="1" x14ac:dyDescent="0.2">
      <c r="G24822" s="889"/>
    </row>
    <row r="24823" spans="7:7" ht="10.5" customHeight="1" x14ac:dyDescent="0.2">
      <c r="G24823" s="889"/>
    </row>
    <row r="24824" spans="7:7" ht="10.5" customHeight="1" x14ac:dyDescent="0.2">
      <c r="G24824" s="889"/>
    </row>
    <row r="24825" spans="7:7" ht="10.5" customHeight="1" x14ac:dyDescent="0.2">
      <c r="G24825" s="889"/>
    </row>
    <row r="24826" spans="7:7" ht="10.5" customHeight="1" x14ac:dyDescent="0.2">
      <c r="G24826" s="889"/>
    </row>
    <row r="24827" spans="7:7" ht="10.5" customHeight="1" x14ac:dyDescent="0.2">
      <c r="G24827" s="889"/>
    </row>
    <row r="24828" spans="7:7" ht="10.5" customHeight="1" x14ac:dyDescent="0.2">
      <c r="G24828" s="889"/>
    </row>
    <row r="24829" spans="7:7" ht="10.5" customHeight="1" x14ac:dyDescent="0.2">
      <c r="G24829" s="889"/>
    </row>
    <row r="24830" spans="7:7" ht="10.5" customHeight="1" x14ac:dyDescent="0.2">
      <c r="G24830" s="889"/>
    </row>
    <row r="24831" spans="7:7" ht="10.5" customHeight="1" x14ac:dyDescent="0.2">
      <c r="G24831" s="889"/>
    </row>
    <row r="24832" spans="7:7" ht="10.5" customHeight="1" x14ac:dyDescent="0.2">
      <c r="G24832" s="889"/>
    </row>
    <row r="24833" spans="7:7" ht="10.5" customHeight="1" x14ac:dyDescent="0.2">
      <c r="G24833" s="889"/>
    </row>
    <row r="24834" spans="7:7" ht="10.5" customHeight="1" x14ac:dyDescent="0.2">
      <c r="G24834" s="889"/>
    </row>
    <row r="24835" spans="7:7" ht="10.5" customHeight="1" x14ac:dyDescent="0.2">
      <c r="G24835" s="889"/>
    </row>
    <row r="24836" spans="7:7" ht="10.5" customHeight="1" x14ac:dyDescent="0.2">
      <c r="G24836" s="889"/>
    </row>
    <row r="24837" spans="7:7" ht="10.5" customHeight="1" x14ac:dyDescent="0.2">
      <c r="G24837" s="889"/>
    </row>
    <row r="24838" spans="7:7" ht="10.5" customHeight="1" x14ac:dyDescent="0.2">
      <c r="G24838" s="889"/>
    </row>
    <row r="24839" spans="7:7" ht="10.5" customHeight="1" x14ac:dyDescent="0.2">
      <c r="G24839" s="889"/>
    </row>
    <row r="24840" spans="7:7" ht="10.5" customHeight="1" x14ac:dyDescent="0.2">
      <c r="G24840" s="889"/>
    </row>
    <row r="24841" spans="7:7" ht="10.5" customHeight="1" x14ac:dyDescent="0.2">
      <c r="G24841" s="889"/>
    </row>
    <row r="24842" spans="7:7" ht="10.5" customHeight="1" x14ac:dyDescent="0.2">
      <c r="G24842" s="889"/>
    </row>
    <row r="24843" spans="7:7" ht="10.5" customHeight="1" x14ac:dyDescent="0.2">
      <c r="G24843" s="889"/>
    </row>
    <row r="24844" spans="7:7" ht="10.5" customHeight="1" x14ac:dyDescent="0.2">
      <c r="G24844" s="889"/>
    </row>
    <row r="24845" spans="7:7" ht="10.5" customHeight="1" x14ac:dyDescent="0.2">
      <c r="G24845" s="889"/>
    </row>
    <row r="24846" spans="7:7" ht="10.5" customHeight="1" x14ac:dyDescent="0.2">
      <c r="G24846" s="889"/>
    </row>
    <row r="24847" spans="7:7" ht="10.5" customHeight="1" x14ac:dyDescent="0.2">
      <c r="G24847" s="889"/>
    </row>
    <row r="24848" spans="7:7" ht="10.5" customHeight="1" x14ac:dyDescent="0.2">
      <c r="G24848" s="889"/>
    </row>
    <row r="24849" spans="7:7" ht="10.5" customHeight="1" x14ac:dyDescent="0.2">
      <c r="G24849" s="889"/>
    </row>
    <row r="24850" spans="7:7" ht="10.5" customHeight="1" x14ac:dyDescent="0.2">
      <c r="G24850" s="889"/>
    </row>
    <row r="24851" spans="7:7" ht="10.5" customHeight="1" x14ac:dyDescent="0.2">
      <c r="G24851" s="889"/>
    </row>
    <row r="24852" spans="7:7" ht="10.5" customHeight="1" x14ac:dyDescent="0.2">
      <c r="G24852" s="889"/>
    </row>
    <row r="24853" spans="7:7" ht="10.5" customHeight="1" x14ac:dyDescent="0.2">
      <c r="G24853" s="889"/>
    </row>
    <row r="24854" spans="7:7" ht="10.5" customHeight="1" x14ac:dyDescent="0.2">
      <c r="G24854" s="889"/>
    </row>
    <row r="24855" spans="7:7" ht="10.5" customHeight="1" x14ac:dyDescent="0.2">
      <c r="G24855" s="889"/>
    </row>
    <row r="24856" spans="7:7" ht="10.5" customHeight="1" x14ac:dyDescent="0.2">
      <c r="G24856" s="889"/>
    </row>
    <row r="24857" spans="7:7" ht="10.5" customHeight="1" x14ac:dyDescent="0.2">
      <c r="G24857" s="889"/>
    </row>
    <row r="24858" spans="7:7" ht="10.5" customHeight="1" x14ac:dyDescent="0.2">
      <c r="G24858" s="889"/>
    </row>
    <row r="24859" spans="7:7" ht="10.5" customHeight="1" x14ac:dyDescent="0.2">
      <c r="G24859" s="889"/>
    </row>
    <row r="24860" spans="7:7" ht="10.5" customHeight="1" x14ac:dyDescent="0.2">
      <c r="G24860" s="889"/>
    </row>
    <row r="24861" spans="7:7" ht="10.5" customHeight="1" x14ac:dyDescent="0.2">
      <c r="G24861" s="889"/>
    </row>
    <row r="24862" spans="7:7" ht="10.5" customHeight="1" x14ac:dyDescent="0.2">
      <c r="G24862" s="889"/>
    </row>
    <row r="24863" spans="7:7" ht="10.5" customHeight="1" x14ac:dyDescent="0.2">
      <c r="G24863" s="889"/>
    </row>
    <row r="24864" spans="7:7" ht="10.5" customHeight="1" x14ac:dyDescent="0.2">
      <c r="G24864" s="889"/>
    </row>
    <row r="24865" spans="7:7" ht="10.5" customHeight="1" x14ac:dyDescent="0.2">
      <c r="G24865" s="889"/>
    </row>
    <row r="24866" spans="7:7" ht="10.5" customHeight="1" x14ac:dyDescent="0.2">
      <c r="G24866" s="889"/>
    </row>
    <row r="24867" spans="7:7" ht="10.5" customHeight="1" x14ac:dyDescent="0.2">
      <c r="G24867" s="889"/>
    </row>
    <row r="24868" spans="7:7" ht="10.5" customHeight="1" x14ac:dyDescent="0.2">
      <c r="G24868" s="889"/>
    </row>
    <row r="24869" spans="7:7" ht="10.5" customHeight="1" x14ac:dyDescent="0.2">
      <c r="G24869" s="889"/>
    </row>
    <row r="24870" spans="7:7" ht="10.5" customHeight="1" x14ac:dyDescent="0.2">
      <c r="G24870" s="889"/>
    </row>
    <row r="24871" spans="7:7" ht="10.5" customHeight="1" x14ac:dyDescent="0.2">
      <c r="G24871" s="889"/>
    </row>
    <row r="24872" spans="7:7" ht="10.5" customHeight="1" x14ac:dyDescent="0.2">
      <c r="G24872" s="889"/>
    </row>
    <row r="24873" spans="7:7" ht="10.5" customHeight="1" x14ac:dyDescent="0.2">
      <c r="G24873" s="889"/>
    </row>
    <row r="24874" spans="7:7" ht="10.5" customHeight="1" x14ac:dyDescent="0.2">
      <c r="G24874" s="889"/>
    </row>
    <row r="24875" spans="7:7" ht="10.5" customHeight="1" x14ac:dyDescent="0.2">
      <c r="G24875" s="889"/>
    </row>
    <row r="24876" spans="7:7" ht="10.5" customHeight="1" x14ac:dyDescent="0.2">
      <c r="G24876" s="889"/>
    </row>
    <row r="24877" spans="7:7" ht="10.5" customHeight="1" x14ac:dyDescent="0.2">
      <c r="G24877" s="889"/>
    </row>
    <row r="24878" spans="7:7" ht="10.5" customHeight="1" x14ac:dyDescent="0.2">
      <c r="G24878" s="889"/>
    </row>
    <row r="24879" spans="7:7" ht="10.5" customHeight="1" x14ac:dyDescent="0.2">
      <c r="G24879" s="889"/>
    </row>
    <row r="24880" spans="7:7" ht="10.5" customHeight="1" x14ac:dyDescent="0.2">
      <c r="G24880" s="889"/>
    </row>
    <row r="24881" spans="7:7" ht="10.5" customHeight="1" x14ac:dyDescent="0.2">
      <c r="G24881" s="889"/>
    </row>
    <row r="24882" spans="7:7" ht="10.5" customHeight="1" x14ac:dyDescent="0.2">
      <c r="G24882" s="889"/>
    </row>
    <row r="24883" spans="7:7" ht="10.5" customHeight="1" x14ac:dyDescent="0.2">
      <c r="G24883" s="889"/>
    </row>
    <row r="24884" spans="7:7" ht="10.5" customHeight="1" x14ac:dyDescent="0.2">
      <c r="G24884" s="889"/>
    </row>
    <row r="24885" spans="7:7" ht="10.5" customHeight="1" x14ac:dyDescent="0.2">
      <c r="G24885" s="889"/>
    </row>
    <row r="24886" spans="7:7" ht="10.5" customHeight="1" x14ac:dyDescent="0.2">
      <c r="G24886" s="889"/>
    </row>
    <row r="24887" spans="7:7" ht="10.5" customHeight="1" x14ac:dyDescent="0.2">
      <c r="G24887" s="889"/>
    </row>
    <row r="24888" spans="7:7" ht="10.5" customHeight="1" x14ac:dyDescent="0.2">
      <c r="G24888" s="889"/>
    </row>
    <row r="24889" spans="7:7" ht="10.5" customHeight="1" x14ac:dyDescent="0.2">
      <c r="G24889" s="889"/>
    </row>
    <row r="24890" spans="7:7" ht="10.5" customHeight="1" x14ac:dyDescent="0.2">
      <c r="G24890" s="889"/>
    </row>
    <row r="24891" spans="7:7" ht="10.5" customHeight="1" x14ac:dyDescent="0.2">
      <c r="G24891" s="889"/>
    </row>
    <row r="24892" spans="7:7" ht="10.5" customHeight="1" x14ac:dyDescent="0.2">
      <c r="G24892" s="889"/>
    </row>
    <row r="24893" spans="7:7" ht="10.5" customHeight="1" x14ac:dyDescent="0.2">
      <c r="G24893" s="889"/>
    </row>
    <row r="24894" spans="7:7" ht="10.5" customHeight="1" x14ac:dyDescent="0.2">
      <c r="G24894" s="889"/>
    </row>
    <row r="24895" spans="7:7" ht="10.5" customHeight="1" x14ac:dyDescent="0.2">
      <c r="G24895" s="889"/>
    </row>
    <row r="24896" spans="7:7" ht="10.5" customHeight="1" x14ac:dyDescent="0.2">
      <c r="G24896" s="889"/>
    </row>
    <row r="24897" spans="7:7" ht="10.5" customHeight="1" x14ac:dyDescent="0.2">
      <c r="G24897" s="889"/>
    </row>
    <row r="24898" spans="7:7" ht="10.5" customHeight="1" x14ac:dyDescent="0.2">
      <c r="G24898" s="889"/>
    </row>
    <row r="24899" spans="7:7" ht="10.5" customHeight="1" x14ac:dyDescent="0.2">
      <c r="G24899" s="889"/>
    </row>
    <row r="24900" spans="7:7" ht="10.5" customHeight="1" x14ac:dyDescent="0.2">
      <c r="G24900" s="889"/>
    </row>
    <row r="24901" spans="7:7" ht="10.5" customHeight="1" x14ac:dyDescent="0.2">
      <c r="G24901" s="889"/>
    </row>
    <row r="24902" spans="7:7" ht="10.5" customHeight="1" x14ac:dyDescent="0.2">
      <c r="G24902" s="889"/>
    </row>
    <row r="24903" spans="7:7" ht="10.5" customHeight="1" x14ac:dyDescent="0.2">
      <c r="G24903" s="889"/>
    </row>
    <row r="24904" spans="7:7" ht="10.5" customHeight="1" x14ac:dyDescent="0.2">
      <c r="G24904" s="889"/>
    </row>
    <row r="24905" spans="7:7" ht="10.5" customHeight="1" x14ac:dyDescent="0.2">
      <c r="G24905" s="889"/>
    </row>
    <row r="24906" spans="7:7" ht="10.5" customHeight="1" x14ac:dyDescent="0.2">
      <c r="G24906" s="889"/>
    </row>
    <row r="24907" spans="7:7" ht="10.5" customHeight="1" x14ac:dyDescent="0.2">
      <c r="G24907" s="889"/>
    </row>
    <row r="24908" spans="7:7" ht="10.5" customHeight="1" x14ac:dyDescent="0.2">
      <c r="G24908" s="889"/>
    </row>
    <row r="24909" spans="7:7" ht="10.5" customHeight="1" x14ac:dyDescent="0.2">
      <c r="G24909" s="889"/>
    </row>
    <row r="24910" spans="7:7" ht="10.5" customHeight="1" x14ac:dyDescent="0.2">
      <c r="G24910" s="889"/>
    </row>
    <row r="24911" spans="7:7" ht="10.5" customHeight="1" x14ac:dyDescent="0.2">
      <c r="G24911" s="889"/>
    </row>
    <row r="24912" spans="7:7" ht="10.5" customHeight="1" x14ac:dyDescent="0.2">
      <c r="G24912" s="889"/>
    </row>
    <row r="24913" spans="7:7" ht="10.5" customHeight="1" x14ac:dyDescent="0.2">
      <c r="G24913" s="889"/>
    </row>
    <row r="24914" spans="7:7" ht="10.5" customHeight="1" x14ac:dyDescent="0.2">
      <c r="G24914" s="889"/>
    </row>
    <row r="24915" spans="7:7" ht="10.5" customHeight="1" x14ac:dyDescent="0.2">
      <c r="G24915" s="889"/>
    </row>
    <row r="24916" spans="7:7" ht="10.5" customHeight="1" x14ac:dyDescent="0.2">
      <c r="G24916" s="889"/>
    </row>
    <row r="24917" spans="7:7" ht="10.5" customHeight="1" x14ac:dyDescent="0.2">
      <c r="G24917" s="889"/>
    </row>
    <row r="24918" spans="7:7" ht="10.5" customHeight="1" x14ac:dyDescent="0.2">
      <c r="G24918" s="889"/>
    </row>
    <row r="24919" spans="7:7" ht="10.5" customHeight="1" x14ac:dyDescent="0.2">
      <c r="G24919" s="889"/>
    </row>
    <row r="24920" spans="7:7" ht="10.5" customHeight="1" x14ac:dyDescent="0.2">
      <c r="G24920" s="889"/>
    </row>
    <row r="24921" spans="7:7" ht="10.5" customHeight="1" x14ac:dyDescent="0.2">
      <c r="G24921" s="889"/>
    </row>
    <row r="24922" spans="7:7" ht="10.5" customHeight="1" x14ac:dyDescent="0.2">
      <c r="G24922" s="889"/>
    </row>
    <row r="24923" spans="7:7" ht="10.5" customHeight="1" x14ac:dyDescent="0.2">
      <c r="G24923" s="889"/>
    </row>
    <row r="24924" spans="7:7" ht="10.5" customHeight="1" x14ac:dyDescent="0.2">
      <c r="G24924" s="889"/>
    </row>
    <row r="24925" spans="7:7" ht="10.5" customHeight="1" x14ac:dyDescent="0.2">
      <c r="G24925" s="889"/>
    </row>
    <row r="24926" spans="7:7" ht="10.5" customHeight="1" x14ac:dyDescent="0.2">
      <c r="G24926" s="889"/>
    </row>
    <row r="24927" spans="7:7" ht="10.5" customHeight="1" x14ac:dyDescent="0.2">
      <c r="G24927" s="889"/>
    </row>
    <row r="24928" spans="7:7" ht="10.5" customHeight="1" x14ac:dyDescent="0.2">
      <c r="G24928" s="889"/>
    </row>
    <row r="24929" spans="7:7" ht="10.5" customHeight="1" x14ac:dyDescent="0.2">
      <c r="G24929" s="889"/>
    </row>
    <row r="24930" spans="7:7" ht="10.5" customHeight="1" x14ac:dyDescent="0.2">
      <c r="G24930" s="889"/>
    </row>
    <row r="24931" spans="7:7" ht="10.5" customHeight="1" x14ac:dyDescent="0.2">
      <c r="G24931" s="889"/>
    </row>
    <row r="24932" spans="7:7" ht="10.5" customHeight="1" x14ac:dyDescent="0.2">
      <c r="G24932" s="889"/>
    </row>
    <row r="24933" spans="7:7" ht="10.5" customHeight="1" x14ac:dyDescent="0.2">
      <c r="G24933" s="889"/>
    </row>
    <row r="24934" spans="7:7" ht="10.5" customHeight="1" x14ac:dyDescent="0.2">
      <c r="G24934" s="889"/>
    </row>
    <row r="24935" spans="7:7" ht="10.5" customHeight="1" x14ac:dyDescent="0.2">
      <c r="G24935" s="889"/>
    </row>
    <row r="24936" spans="7:7" ht="10.5" customHeight="1" x14ac:dyDescent="0.2">
      <c r="G24936" s="889"/>
    </row>
    <row r="24937" spans="7:7" ht="10.5" customHeight="1" x14ac:dyDescent="0.2">
      <c r="G24937" s="889"/>
    </row>
    <row r="24938" spans="7:7" ht="10.5" customHeight="1" x14ac:dyDescent="0.2">
      <c r="G24938" s="889"/>
    </row>
    <row r="24939" spans="7:7" ht="10.5" customHeight="1" x14ac:dyDescent="0.2">
      <c r="G24939" s="889"/>
    </row>
    <row r="24940" spans="7:7" ht="10.5" customHeight="1" x14ac:dyDescent="0.2">
      <c r="G24940" s="889"/>
    </row>
    <row r="24941" spans="7:7" ht="10.5" customHeight="1" x14ac:dyDescent="0.2">
      <c r="G24941" s="889"/>
    </row>
    <row r="24942" spans="7:7" ht="10.5" customHeight="1" x14ac:dyDescent="0.2">
      <c r="G24942" s="889"/>
    </row>
    <row r="24943" spans="7:7" ht="10.5" customHeight="1" x14ac:dyDescent="0.2">
      <c r="G24943" s="889"/>
    </row>
    <row r="24944" spans="7:7" ht="10.5" customHeight="1" x14ac:dyDescent="0.2">
      <c r="G24944" s="889"/>
    </row>
    <row r="24945" spans="7:7" ht="10.5" customHeight="1" x14ac:dyDescent="0.2">
      <c r="G24945" s="889"/>
    </row>
    <row r="24946" spans="7:7" ht="10.5" customHeight="1" x14ac:dyDescent="0.2">
      <c r="G24946" s="889"/>
    </row>
    <row r="24947" spans="7:7" ht="10.5" customHeight="1" x14ac:dyDescent="0.2">
      <c r="G24947" s="889"/>
    </row>
    <row r="24948" spans="7:7" ht="10.5" customHeight="1" x14ac:dyDescent="0.2">
      <c r="G24948" s="889"/>
    </row>
    <row r="24949" spans="7:7" ht="10.5" customHeight="1" x14ac:dyDescent="0.2">
      <c r="G24949" s="889"/>
    </row>
    <row r="24950" spans="7:7" ht="10.5" customHeight="1" x14ac:dyDescent="0.2">
      <c r="G24950" s="889"/>
    </row>
    <row r="24951" spans="7:7" ht="10.5" customHeight="1" x14ac:dyDescent="0.2">
      <c r="G24951" s="889"/>
    </row>
    <row r="24952" spans="7:7" ht="10.5" customHeight="1" x14ac:dyDescent="0.2">
      <c r="G24952" s="889"/>
    </row>
    <row r="24953" spans="7:7" ht="10.5" customHeight="1" x14ac:dyDescent="0.2">
      <c r="G24953" s="889"/>
    </row>
    <row r="24954" spans="7:7" ht="10.5" customHeight="1" x14ac:dyDescent="0.2">
      <c r="G24954" s="889"/>
    </row>
    <row r="24955" spans="7:7" ht="10.5" customHeight="1" x14ac:dyDescent="0.2">
      <c r="G24955" s="889"/>
    </row>
    <row r="24956" spans="7:7" ht="10.5" customHeight="1" x14ac:dyDescent="0.2">
      <c r="G24956" s="889"/>
    </row>
    <row r="24957" spans="7:7" ht="10.5" customHeight="1" x14ac:dyDescent="0.2">
      <c r="G24957" s="889"/>
    </row>
    <row r="24958" spans="7:7" ht="10.5" customHeight="1" x14ac:dyDescent="0.2">
      <c r="G24958" s="889"/>
    </row>
    <row r="24959" spans="7:7" ht="10.5" customHeight="1" x14ac:dyDescent="0.2">
      <c r="G24959" s="889"/>
    </row>
    <row r="24960" spans="7:7" ht="10.5" customHeight="1" x14ac:dyDescent="0.2">
      <c r="G24960" s="889"/>
    </row>
    <row r="24961" spans="7:7" ht="10.5" customHeight="1" x14ac:dyDescent="0.2">
      <c r="G24961" s="889"/>
    </row>
    <row r="24962" spans="7:7" ht="10.5" customHeight="1" x14ac:dyDescent="0.2">
      <c r="G24962" s="889"/>
    </row>
    <row r="24963" spans="7:7" ht="10.5" customHeight="1" x14ac:dyDescent="0.2">
      <c r="G24963" s="889"/>
    </row>
    <row r="24964" spans="7:7" ht="10.5" customHeight="1" x14ac:dyDescent="0.2">
      <c r="G24964" s="889"/>
    </row>
    <row r="24965" spans="7:7" ht="10.5" customHeight="1" x14ac:dyDescent="0.2">
      <c r="G24965" s="889"/>
    </row>
    <row r="24966" spans="7:7" ht="10.5" customHeight="1" x14ac:dyDescent="0.2">
      <c r="G24966" s="889"/>
    </row>
    <row r="24967" spans="7:7" ht="10.5" customHeight="1" x14ac:dyDescent="0.2">
      <c r="G24967" s="889"/>
    </row>
    <row r="24968" spans="7:7" ht="10.5" customHeight="1" x14ac:dyDescent="0.2">
      <c r="G24968" s="889"/>
    </row>
    <row r="24969" spans="7:7" ht="10.5" customHeight="1" x14ac:dyDescent="0.2">
      <c r="G24969" s="889"/>
    </row>
    <row r="24970" spans="7:7" ht="10.5" customHeight="1" x14ac:dyDescent="0.2">
      <c r="G24970" s="889"/>
    </row>
    <row r="24971" spans="7:7" ht="10.5" customHeight="1" x14ac:dyDescent="0.2">
      <c r="G24971" s="889"/>
    </row>
    <row r="24972" spans="7:7" ht="10.5" customHeight="1" x14ac:dyDescent="0.2">
      <c r="G24972" s="889"/>
    </row>
    <row r="24973" spans="7:7" ht="10.5" customHeight="1" x14ac:dyDescent="0.2">
      <c r="G24973" s="889"/>
    </row>
    <row r="24974" spans="7:7" ht="10.5" customHeight="1" x14ac:dyDescent="0.2">
      <c r="G24974" s="889"/>
    </row>
    <row r="24975" spans="7:7" ht="10.5" customHeight="1" x14ac:dyDescent="0.2">
      <c r="G24975" s="889"/>
    </row>
    <row r="24976" spans="7:7" ht="10.5" customHeight="1" x14ac:dyDescent="0.2">
      <c r="G24976" s="889"/>
    </row>
    <row r="24977" spans="7:7" ht="10.5" customHeight="1" x14ac:dyDescent="0.2">
      <c r="G24977" s="889"/>
    </row>
    <row r="24978" spans="7:7" ht="10.5" customHeight="1" x14ac:dyDescent="0.2">
      <c r="G24978" s="889"/>
    </row>
    <row r="24979" spans="7:7" ht="10.5" customHeight="1" x14ac:dyDescent="0.2">
      <c r="G24979" s="889"/>
    </row>
    <row r="24980" spans="7:7" ht="10.5" customHeight="1" x14ac:dyDescent="0.2">
      <c r="G24980" s="889"/>
    </row>
    <row r="24981" spans="7:7" ht="10.5" customHeight="1" x14ac:dyDescent="0.2">
      <c r="G24981" s="889"/>
    </row>
    <row r="24982" spans="7:7" ht="10.5" customHeight="1" x14ac:dyDescent="0.2">
      <c r="G24982" s="889"/>
    </row>
    <row r="24983" spans="7:7" ht="10.5" customHeight="1" x14ac:dyDescent="0.2">
      <c r="G24983" s="889"/>
    </row>
    <row r="24984" spans="7:7" ht="10.5" customHeight="1" x14ac:dyDescent="0.2">
      <c r="G24984" s="889"/>
    </row>
    <row r="24985" spans="7:7" ht="10.5" customHeight="1" x14ac:dyDescent="0.2">
      <c r="G24985" s="889"/>
    </row>
    <row r="24986" spans="7:7" ht="10.5" customHeight="1" x14ac:dyDescent="0.2">
      <c r="G24986" s="889"/>
    </row>
    <row r="24987" spans="7:7" ht="10.5" customHeight="1" x14ac:dyDescent="0.2">
      <c r="G24987" s="889"/>
    </row>
    <row r="24988" spans="7:7" ht="10.5" customHeight="1" x14ac:dyDescent="0.2">
      <c r="G24988" s="889"/>
    </row>
    <row r="24989" spans="7:7" ht="10.5" customHeight="1" x14ac:dyDescent="0.2">
      <c r="G24989" s="889"/>
    </row>
    <row r="24990" spans="7:7" ht="10.5" customHeight="1" x14ac:dyDescent="0.2">
      <c r="G24990" s="889"/>
    </row>
    <row r="24991" spans="7:7" ht="10.5" customHeight="1" x14ac:dyDescent="0.2">
      <c r="G24991" s="889"/>
    </row>
    <row r="24992" spans="7:7" ht="10.5" customHeight="1" x14ac:dyDescent="0.2">
      <c r="G24992" s="889"/>
    </row>
    <row r="24993" spans="7:7" ht="10.5" customHeight="1" x14ac:dyDescent="0.2">
      <c r="G24993" s="889"/>
    </row>
    <row r="24994" spans="7:7" ht="10.5" customHeight="1" x14ac:dyDescent="0.2">
      <c r="G24994" s="889"/>
    </row>
    <row r="24995" spans="7:7" ht="10.5" customHeight="1" x14ac:dyDescent="0.2">
      <c r="G24995" s="889"/>
    </row>
    <row r="24996" spans="7:7" ht="10.5" customHeight="1" x14ac:dyDescent="0.2">
      <c r="G24996" s="889"/>
    </row>
    <row r="24997" spans="7:7" ht="10.5" customHeight="1" x14ac:dyDescent="0.2">
      <c r="G24997" s="889"/>
    </row>
    <row r="24998" spans="7:7" ht="10.5" customHeight="1" x14ac:dyDescent="0.2">
      <c r="G24998" s="889"/>
    </row>
    <row r="24999" spans="7:7" ht="10.5" customHeight="1" x14ac:dyDescent="0.2">
      <c r="G24999" s="889"/>
    </row>
    <row r="25000" spans="7:7" ht="10.5" customHeight="1" x14ac:dyDescent="0.2">
      <c r="G25000" s="889"/>
    </row>
    <row r="25001" spans="7:7" ht="10.5" customHeight="1" x14ac:dyDescent="0.2">
      <c r="G25001" s="889"/>
    </row>
    <row r="25002" spans="7:7" ht="10.5" customHeight="1" x14ac:dyDescent="0.2">
      <c r="G25002" s="889"/>
    </row>
    <row r="25003" spans="7:7" ht="10.5" customHeight="1" x14ac:dyDescent="0.2">
      <c r="G25003" s="889"/>
    </row>
    <row r="25004" spans="7:7" ht="10.5" customHeight="1" x14ac:dyDescent="0.2">
      <c r="G25004" s="889"/>
    </row>
    <row r="25005" spans="7:7" ht="10.5" customHeight="1" x14ac:dyDescent="0.2">
      <c r="G25005" s="889"/>
    </row>
    <row r="25006" spans="7:7" ht="10.5" customHeight="1" x14ac:dyDescent="0.2">
      <c r="G25006" s="889"/>
    </row>
    <row r="25007" spans="7:7" ht="10.5" customHeight="1" x14ac:dyDescent="0.2">
      <c r="G25007" s="889"/>
    </row>
    <row r="25008" spans="7:7" ht="10.5" customHeight="1" x14ac:dyDescent="0.2">
      <c r="G25008" s="889"/>
    </row>
    <row r="25009" spans="7:7" ht="10.5" customHeight="1" x14ac:dyDescent="0.2">
      <c r="G25009" s="889"/>
    </row>
    <row r="25010" spans="7:7" ht="10.5" customHeight="1" x14ac:dyDescent="0.2">
      <c r="G25010" s="889"/>
    </row>
    <row r="25011" spans="7:7" ht="10.5" customHeight="1" x14ac:dyDescent="0.2">
      <c r="G25011" s="889"/>
    </row>
    <row r="25012" spans="7:7" ht="10.5" customHeight="1" x14ac:dyDescent="0.2">
      <c r="G25012" s="889"/>
    </row>
    <row r="25013" spans="7:7" ht="10.5" customHeight="1" x14ac:dyDescent="0.2">
      <c r="G25013" s="889"/>
    </row>
    <row r="25014" spans="7:7" ht="10.5" customHeight="1" x14ac:dyDescent="0.2">
      <c r="G25014" s="889"/>
    </row>
    <row r="25015" spans="7:7" ht="10.5" customHeight="1" x14ac:dyDescent="0.2">
      <c r="G25015" s="889"/>
    </row>
    <row r="25016" spans="7:7" ht="10.5" customHeight="1" x14ac:dyDescent="0.2">
      <c r="G25016" s="889"/>
    </row>
    <row r="25017" spans="7:7" ht="10.5" customHeight="1" x14ac:dyDescent="0.2">
      <c r="G25017" s="889"/>
    </row>
    <row r="25018" spans="7:7" ht="10.5" customHeight="1" x14ac:dyDescent="0.2">
      <c r="G25018" s="889"/>
    </row>
    <row r="25019" spans="7:7" ht="10.5" customHeight="1" x14ac:dyDescent="0.2">
      <c r="G25019" s="889"/>
    </row>
    <row r="25020" spans="7:7" ht="10.5" customHeight="1" x14ac:dyDescent="0.2">
      <c r="G25020" s="889"/>
    </row>
    <row r="25021" spans="7:7" ht="10.5" customHeight="1" x14ac:dyDescent="0.2">
      <c r="G25021" s="889"/>
    </row>
    <row r="25022" spans="7:7" ht="10.5" customHeight="1" x14ac:dyDescent="0.2">
      <c r="G25022" s="889"/>
    </row>
    <row r="25023" spans="7:7" ht="10.5" customHeight="1" x14ac:dyDescent="0.2">
      <c r="G25023" s="889"/>
    </row>
    <row r="25024" spans="7:7" ht="10.5" customHeight="1" x14ac:dyDescent="0.2">
      <c r="G25024" s="889"/>
    </row>
    <row r="25025" spans="7:7" ht="10.5" customHeight="1" x14ac:dyDescent="0.2">
      <c r="G25025" s="889"/>
    </row>
    <row r="25026" spans="7:7" ht="10.5" customHeight="1" x14ac:dyDescent="0.2">
      <c r="G25026" s="889"/>
    </row>
    <row r="25027" spans="7:7" ht="10.5" customHeight="1" x14ac:dyDescent="0.2">
      <c r="G25027" s="889"/>
    </row>
    <row r="25028" spans="7:7" ht="10.5" customHeight="1" x14ac:dyDescent="0.2">
      <c r="G25028" s="889"/>
    </row>
    <row r="25029" spans="7:7" ht="10.5" customHeight="1" x14ac:dyDescent="0.2">
      <c r="G25029" s="889"/>
    </row>
    <row r="25030" spans="7:7" ht="10.5" customHeight="1" x14ac:dyDescent="0.2">
      <c r="G25030" s="889"/>
    </row>
    <row r="25031" spans="7:7" ht="10.5" customHeight="1" x14ac:dyDescent="0.2">
      <c r="G25031" s="889"/>
    </row>
    <row r="25032" spans="7:7" ht="10.5" customHeight="1" x14ac:dyDescent="0.2">
      <c r="G25032" s="889"/>
    </row>
    <row r="25033" spans="7:7" ht="10.5" customHeight="1" x14ac:dyDescent="0.2">
      <c r="G25033" s="889"/>
    </row>
    <row r="25034" spans="7:7" ht="10.5" customHeight="1" x14ac:dyDescent="0.2">
      <c r="G25034" s="889"/>
    </row>
    <row r="25035" spans="7:7" ht="10.5" customHeight="1" x14ac:dyDescent="0.2">
      <c r="G25035" s="889"/>
    </row>
    <row r="25036" spans="7:7" ht="10.5" customHeight="1" x14ac:dyDescent="0.2">
      <c r="G25036" s="889"/>
    </row>
    <row r="25037" spans="7:7" ht="10.5" customHeight="1" x14ac:dyDescent="0.2">
      <c r="G25037" s="889"/>
    </row>
    <row r="25038" spans="7:7" ht="10.5" customHeight="1" x14ac:dyDescent="0.2">
      <c r="G25038" s="889"/>
    </row>
    <row r="25039" spans="7:7" ht="10.5" customHeight="1" x14ac:dyDescent="0.2">
      <c r="G25039" s="889"/>
    </row>
    <row r="25040" spans="7:7" ht="10.5" customHeight="1" x14ac:dyDescent="0.2">
      <c r="G25040" s="889"/>
    </row>
    <row r="25041" spans="7:7" ht="10.5" customHeight="1" x14ac:dyDescent="0.2">
      <c r="G25041" s="889"/>
    </row>
    <row r="25042" spans="7:7" ht="10.5" customHeight="1" x14ac:dyDescent="0.2">
      <c r="G25042" s="889"/>
    </row>
    <row r="25043" spans="7:7" ht="10.5" customHeight="1" x14ac:dyDescent="0.2">
      <c r="G25043" s="889"/>
    </row>
    <row r="25044" spans="7:7" ht="10.5" customHeight="1" x14ac:dyDescent="0.2">
      <c r="G25044" s="889"/>
    </row>
    <row r="25045" spans="7:7" ht="10.5" customHeight="1" x14ac:dyDescent="0.2">
      <c r="G25045" s="889"/>
    </row>
    <row r="25046" spans="7:7" ht="10.5" customHeight="1" x14ac:dyDescent="0.2">
      <c r="G25046" s="889"/>
    </row>
    <row r="25047" spans="7:7" ht="10.5" customHeight="1" x14ac:dyDescent="0.2">
      <c r="G25047" s="889"/>
    </row>
    <row r="25048" spans="7:7" ht="10.5" customHeight="1" x14ac:dyDescent="0.2">
      <c r="G25048" s="889"/>
    </row>
    <row r="25049" spans="7:7" ht="10.5" customHeight="1" x14ac:dyDescent="0.2">
      <c r="G25049" s="889"/>
    </row>
    <row r="25050" spans="7:7" ht="10.5" customHeight="1" x14ac:dyDescent="0.2">
      <c r="G25050" s="889"/>
    </row>
    <row r="25051" spans="7:7" ht="10.5" customHeight="1" x14ac:dyDescent="0.2">
      <c r="G25051" s="889"/>
    </row>
    <row r="25052" spans="7:7" ht="10.5" customHeight="1" x14ac:dyDescent="0.2">
      <c r="G25052" s="889"/>
    </row>
    <row r="25053" spans="7:7" ht="10.5" customHeight="1" x14ac:dyDescent="0.2">
      <c r="G25053" s="889"/>
    </row>
    <row r="25054" spans="7:7" ht="10.5" customHeight="1" x14ac:dyDescent="0.2">
      <c r="G25054" s="889"/>
    </row>
    <row r="25055" spans="7:7" ht="10.5" customHeight="1" x14ac:dyDescent="0.2">
      <c r="G25055" s="889"/>
    </row>
    <row r="25056" spans="7:7" ht="10.5" customHeight="1" x14ac:dyDescent="0.2">
      <c r="G25056" s="889"/>
    </row>
    <row r="25057" spans="7:7" ht="10.5" customHeight="1" x14ac:dyDescent="0.2">
      <c r="G25057" s="889"/>
    </row>
    <row r="25058" spans="7:7" ht="10.5" customHeight="1" x14ac:dyDescent="0.2">
      <c r="G25058" s="889"/>
    </row>
    <row r="25059" spans="7:7" ht="10.5" customHeight="1" x14ac:dyDescent="0.2">
      <c r="G25059" s="889"/>
    </row>
    <row r="25060" spans="7:7" ht="10.5" customHeight="1" x14ac:dyDescent="0.2">
      <c r="G25060" s="889"/>
    </row>
    <row r="25061" spans="7:7" ht="10.5" customHeight="1" x14ac:dyDescent="0.2">
      <c r="G25061" s="889"/>
    </row>
    <row r="25062" spans="7:7" ht="10.5" customHeight="1" x14ac:dyDescent="0.2">
      <c r="G25062" s="889"/>
    </row>
    <row r="25063" spans="7:7" ht="10.5" customHeight="1" x14ac:dyDescent="0.2">
      <c r="G25063" s="889"/>
    </row>
    <row r="25064" spans="7:7" ht="10.5" customHeight="1" x14ac:dyDescent="0.2">
      <c r="G25064" s="889"/>
    </row>
    <row r="25065" spans="7:7" ht="10.5" customHeight="1" x14ac:dyDescent="0.2">
      <c r="G25065" s="889"/>
    </row>
    <row r="25066" spans="7:7" ht="10.5" customHeight="1" x14ac:dyDescent="0.2">
      <c r="G25066" s="889"/>
    </row>
    <row r="25067" spans="7:7" ht="10.5" customHeight="1" x14ac:dyDescent="0.2">
      <c r="G25067" s="889"/>
    </row>
    <row r="25068" spans="7:7" ht="10.5" customHeight="1" x14ac:dyDescent="0.2">
      <c r="G25068" s="889"/>
    </row>
    <row r="25069" spans="7:7" ht="10.5" customHeight="1" x14ac:dyDescent="0.2">
      <c r="G25069" s="889"/>
    </row>
    <row r="25070" spans="7:7" ht="10.5" customHeight="1" x14ac:dyDescent="0.2">
      <c r="G25070" s="889"/>
    </row>
    <row r="25071" spans="7:7" ht="10.5" customHeight="1" x14ac:dyDescent="0.2">
      <c r="G25071" s="889"/>
    </row>
    <row r="25072" spans="7:7" ht="10.5" customHeight="1" x14ac:dyDescent="0.2">
      <c r="G25072" s="889"/>
    </row>
    <row r="25073" spans="7:7" ht="10.5" customHeight="1" x14ac:dyDescent="0.2">
      <c r="G25073" s="889"/>
    </row>
    <row r="25074" spans="7:7" ht="10.5" customHeight="1" x14ac:dyDescent="0.2">
      <c r="G25074" s="889"/>
    </row>
    <row r="25075" spans="7:7" ht="10.5" customHeight="1" x14ac:dyDescent="0.2">
      <c r="G25075" s="889"/>
    </row>
    <row r="25076" spans="7:7" ht="10.5" customHeight="1" x14ac:dyDescent="0.2">
      <c r="G25076" s="889"/>
    </row>
    <row r="25077" spans="7:7" ht="10.5" customHeight="1" x14ac:dyDescent="0.2">
      <c r="G25077" s="889"/>
    </row>
    <row r="25078" spans="7:7" ht="10.5" customHeight="1" x14ac:dyDescent="0.2">
      <c r="G25078" s="889"/>
    </row>
    <row r="25079" spans="7:7" ht="10.5" customHeight="1" x14ac:dyDescent="0.2">
      <c r="G25079" s="889"/>
    </row>
    <row r="25080" spans="7:7" ht="10.5" customHeight="1" x14ac:dyDescent="0.2">
      <c r="G25080" s="889"/>
    </row>
    <row r="25081" spans="7:7" ht="10.5" customHeight="1" x14ac:dyDescent="0.2">
      <c r="G25081" s="889"/>
    </row>
    <row r="25082" spans="7:7" ht="10.5" customHeight="1" x14ac:dyDescent="0.2">
      <c r="G25082" s="889"/>
    </row>
    <row r="25083" spans="7:7" ht="10.5" customHeight="1" x14ac:dyDescent="0.2">
      <c r="G25083" s="889"/>
    </row>
    <row r="25084" spans="7:7" ht="10.5" customHeight="1" x14ac:dyDescent="0.2">
      <c r="G25084" s="889"/>
    </row>
    <row r="25085" spans="7:7" ht="10.5" customHeight="1" x14ac:dyDescent="0.2">
      <c r="G25085" s="889"/>
    </row>
    <row r="25086" spans="7:7" ht="10.5" customHeight="1" x14ac:dyDescent="0.2">
      <c r="G25086" s="889"/>
    </row>
    <row r="25087" spans="7:7" ht="10.5" customHeight="1" x14ac:dyDescent="0.2">
      <c r="G25087" s="889"/>
    </row>
    <row r="25088" spans="7:7" ht="10.5" customHeight="1" x14ac:dyDescent="0.2">
      <c r="G25088" s="889"/>
    </row>
    <row r="25089" spans="7:7" ht="10.5" customHeight="1" x14ac:dyDescent="0.2">
      <c r="G25089" s="889"/>
    </row>
    <row r="25090" spans="7:7" ht="10.5" customHeight="1" x14ac:dyDescent="0.2">
      <c r="G25090" s="889"/>
    </row>
    <row r="25091" spans="7:7" ht="10.5" customHeight="1" x14ac:dyDescent="0.2">
      <c r="G25091" s="889"/>
    </row>
    <row r="25092" spans="7:7" ht="10.5" customHeight="1" x14ac:dyDescent="0.2">
      <c r="G25092" s="889"/>
    </row>
    <row r="25093" spans="7:7" ht="10.5" customHeight="1" x14ac:dyDescent="0.2">
      <c r="G25093" s="889"/>
    </row>
    <row r="25094" spans="7:7" ht="10.5" customHeight="1" x14ac:dyDescent="0.2">
      <c r="G25094" s="889"/>
    </row>
    <row r="25095" spans="7:7" ht="10.5" customHeight="1" x14ac:dyDescent="0.2">
      <c r="G25095" s="889"/>
    </row>
    <row r="25096" spans="7:7" ht="10.5" customHeight="1" x14ac:dyDescent="0.2">
      <c r="G25096" s="889"/>
    </row>
    <row r="25097" spans="7:7" ht="10.5" customHeight="1" x14ac:dyDescent="0.2">
      <c r="G25097" s="889"/>
    </row>
    <row r="25098" spans="7:7" ht="10.5" customHeight="1" x14ac:dyDescent="0.2">
      <c r="G25098" s="889"/>
    </row>
    <row r="25099" spans="7:7" ht="10.5" customHeight="1" x14ac:dyDescent="0.2">
      <c r="G25099" s="889"/>
    </row>
    <row r="25100" spans="7:7" ht="10.5" customHeight="1" x14ac:dyDescent="0.2">
      <c r="G25100" s="889"/>
    </row>
    <row r="25101" spans="7:7" ht="10.5" customHeight="1" x14ac:dyDescent="0.2">
      <c r="G25101" s="889"/>
    </row>
    <row r="25102" spans="7:7" ht="10.5" customHeight="1" x14ac:dyDescent="0.2">
      <c r="G25102" s="889"/>
    </row>
    <row r="25103" spans="7:7" ht="10.5" customHeight="1" x14ac:dyDescent="0.2">
      <c r="G25103" s="889"/>
    </row>
    <row r="25104" spans="7:7" ht="10.5" customHeight="1" x14ac:dyDescent="0.2">
      <c r="G25104" s="889"/>
    </row>
    <row r="25105" spans="7:7" ht="10.5" customHeight="1" x14ac:dyDescent="0.2">
      <c r="G25105" s="889"/>
    </row>
    <row r="25106" spans="7:7" ht="10.5" customHeight="1" x14ac:dyDescent="0.2">
      <c r="G25106" s="889"/>
    </row>
    <row r="25107" spans="7:7" ht="10.5" customHeight="1" x14ac:dyDescent="0.2">
      <c r="G25107" s="889"/>
    </row>
    <row r="25108" spans="7:7" ht="10.5" customHeight="1" x14ac:dyDescent="0.2">
      <c r="G25108" s="889"/>
    </row>
    <row r="25109" spans="7:7" ht="10.5" customHeight="1" x14ac:dyDescent="0.2">
      <c r="G25109" s="889"/>
    </row>
    <row r="25110" spans="7:7" ht="10.5" customHeight="1" x14ac:dyDescent="0.2">
      <c r="G25110" s="889"/>
    </row>
    <row r="25111" spans="7:7" ht="10.5" customHeight="1" x14ac:dyDescent="0.2">
      <c r="G25111" s="889"/>
    </row>
    <row r="25112" spans="7:7" ht="10.5" customHeight="1" x14ac:dyDescent="0.2">
      <c r="G25112" s="889"/>
    </row>
    <row r="25113" spans="7:7" ht="10.5" customHeight="1" x14ac:dyDescent="0.2">
      <c r="G25113" s="889"/>
    </row>
    <row r="25114" spans="7:7" ht="10.5" customHeight="1" x14ac:dyDescent="0.2">
      <c r="G25114" s="889"/>
    </row>
    <row r="25115" spans="7:7" ht="10.5" customHeight="1" x14ac:dyDescent="0.2">
      <c r="G25115" s="889"/>
    </row>
    <row r="25116" spans="7:7" ht="10.5" customHeight="1" x14ac:dyDescent="0.2">
      <c r="G25116" s="889"/>
    </row>
    <row r="25117" spans="7:7" ht="10.5" customHeight="1" x14ac:dyDescent="0.2">
      <c r="G25117" s="889"/>
    </row>
    <row r="25118" spans="7:7" ht="10.5" customHeight="1" x14ac:dyDescent="0.2">
      <c r="G25118" s="889"/>
    </row>
    <row r="25119" spans="7:7" ht="10.5" customHeight="1" x14ac:dyDescent="0.2">
      <c r="G25119" s="889"/>
    </row>
    <row r="25120" spans="7:7" ht="10.5" customHeight="1" x14ac:dyDescent="0.2">
      <c r="G25120" s="889"/>
    </row>
    <row r="25121" spans="7:7" ht="10.5" customHeight="1" x14ac:dyDescent="0.2">
      <c r="G25121" s="889"/>
    </row>
    <row r="25122" spans="7:7" ht="10.5" customHeight="1" x14ac:dyDescent="0.2">
      <c r="G25122" s="889"/>
    </row>
    <row r="25123" spans="7:7" ht="10.5" customHeight="1" x14ac:dyDescent="0.2">
      <c r="G25123" s="889"/>
    </row>
    <row r="25124" spans="7:7" ht="10.5" customHeight="1" x14ac:dyDescent="0.2">
      <c r="G25124" s="889"/>
    </row>
    <row r="25125" spans="7:7" ht="10.5" customHeight="1" x14ac:dyDescent="0.2">
      <c r="G25125" s="889"/>
    </row>
    <row r="25126" spans="7:7" ht="10.5" customHeight="1" x14ac:dyDescent="0.2">
      <c r="G25126" s="889"/>
    </row>
    <row r="25127" spans="7:7" ht="10.5" customHeight="1" x14ac:dyDescent="0.2">
      <c r="G25127" s="889"/>
    </row>
    <row r="25128" spans="7:7" ht="10.5" customHeight="1" x14ac:dyDescent="0.2">
      <c r="G25128" s="889"/>
    </row>
    <row r="25129" spans="7:7" ht="10.5" customHeight="1" x14ac:dyDescent="0.2">
      <c r="G25129" s="889"/>
    </row>
    <row r="25130" spans="7:7" ht="10.5" customHeight="1" x14ac:dyDescent="0.2">
      <c r="G25130" s="889"/>
    </row>
    <row r="25131" spans="7:7" ht="10.5" customHeight="1" x14ac:dyDescent="0.2">
      <c r="G25131" s="889"/>
    </row>
    <row r="25132" spans="7:7" ht="10.5" customHeight="1" x14ac:dyDescent="0.2">
      <c r="G25132" s="889"/>
    </row>
    <row r="25133" spans="7:7" ht="10.5" customHeight="1" x14ac:dyDescent="0.2">
      <c r="G25133" s="889"/>
    </row>
    <row r="25134" spans="7:7" ht="10.5" customHeight="1" x14ac:dyDescent="0.2">
      <c r="G25134" s="889"/>
    </row>
    <row r="25135" spans="7:7" ht="10.5" customHeight="1" x14ac:dyDescent="0.2">
      <c r="G25135" s="889"/>
    </row>
    <row r="25136" spans="7:7" ht="10.5" customHeight="1" x14ac:dyDescent="0.2">
      <c r="G25136" s="889"/>
    </row>
    <row r="25137" spans="7:7" ht="10.5" customHeight="1" x14ac:dyDescent="0.2">
      <c r="G25137" s="889"/>
    </row>
    <row r="25138" spans="7:7" ht="10.5" customHeight="1" x14ac:dyDescent="0.2">
      <c r="G25138" s="889"/>
    </row>
    <row r="25139" spans="7:7" ht="10.5" customHeight="1" x14ac:dyDescent="0.2">
      <c r="G25139" s="889"/>
    </row>
    <row r="25140" spans="7:7" ht="10.5" customHeight="1" x14ac:dyDescent="0.2">
      <c r="G25140" s="889"/>
    </row>
    <row r="25141" spans="7:7" ht="10.5" customHeight="1" x14ac:dyDescent="0.2">
      <c r="G25141" s="889"/>
    </row>
    <row r="25142" spans="7:7" ht="10.5" customHeight="1" x14ac:dyDescent="0.2">
      <c r="G25142" s="889"/>
    </row>
    <row r="25143" spans="7:7" ht="10.5" customHeight="1" x14ac:dyDescent="0.2">
      <c r="G25143" s="889"/>
    </row>
    <row r="25144" spans="7:7" ht="10.5" customHeight="1" x14ac:dyDescent="0.2">
      <c r="G25144" s="889"/>
    </row>
    <row r="25145" spans="7:7" ht="10.5" customHeight="1" x14ac:dyDescent="0.2">
      <c r="G25145" s="889"/>
    </row>
    <row r="25146" spans="7:7" ht="10.5" customHeight="1" x14ac:dyDescent="0.2">
      <c r="G25146" s="889"/>
    </row>
    <row r="25147" spans="7:7" ht="10.5" customHeight="1" x14ac:dyDescent="0.2">
      <c r="G25147" s="889"/>
    </row>
    <row r="25148" spans="7:7" ht="10.5" customHeight="1" x14ac:dyDescent="0.2">
      <c r="G25148" s="889"/>
    </row>
    <row r="25149" spans="7:7" ht="10.5" customHeight="1" x14ac:dyDescent="0.2">
      <c r="G25149" s="889"/>
    </row>
    <row r="25150" spans="7:7" ht="10.5" customHeight="1" x14ac:dyDescent="0.2">
      <c r="G25150" s="889"/>
    </row>
    <row r="25151" spans="7:7" ht="10.5" customHeight="1" x14ac:dyDescent="0.2">
      <c r="G25151" s="889"/>
    </row>
    <row r="25152" spans="7:7" ht="10.5" customHeight="1" x14ac:dyDescent="0.2">
      <c r="G25152" s="889"/>
    </row>
    <row r="25153" spans="7:7" ht="10.5" customHeight="1" x14ac:dyDescent="0.2">
      <c r="G25153" s="889"/>
    </row>
    <row r="25154" spans="7:7" ht="10.5" customHeight="1" x14ac:dyDescent="0.2">
      <c r="G25154" s="889"/>
    </row>
    <row r="25155" spans="7:7" ht="10.5" customHeight="1" x14ac:dyDescent="0.2">
      <c r="G25155" s="889"/>
    </row>
    <row r="25156" spans="7:7" ht="10.5" customHeight="1" x14ac:dyDescent="0.2">
      <c r="G25156" s="889"/>
    </row>
    <row r="25157" spans="7:7" ht="10.5" customHeight="1" x14ac:dyDescent="0.2">
      <c r="G25157" s="889"/>
    </row>
    <row r="25158" spans="7:7" ht="10.5" customHeight="1" x14ac:dyDescent="0.2">
      <c r="G25158" s="889"/>
    </row>
    <row r="25159" spans="7:7" ht="10.5" customHeight="1" x14ac:dyDescent="0.2">
      <c r="G25159" s="889"/>
    </row>
    <row r="25160" spans="7:7" ht="10.5" customHeight="1" x14ac:dyDescent="0.2">
      <c r="G25160" s="889"/>
    </row>
    <row r="25161" spans="7:7" ht="10.5" customHeight="1" x14ac:dyDescent="0.2">
      <c r="G25161" s="889"/>
    </row>
    <row r="25162" spans="7:7" ht="10.5" customHeight="1" x14ac:dyDescent="0.2">
      <c r="G25162" s="889"/>
    </row>
    <row r="25163" spans="7:7" ht="10.5" customHeight="1" x14ac:dyDescent="0.2">
      <c r="G25163" s="889"/>
    </row>
    <row r="25164" spans="7:7" ht="10.5" customHeight="1" x14ac:dyDescent="0.2">
      <c r="G25164" s="889"/>
    </row>
    <row r="25165" spans="7:7" ht="10.5" customHeight="1" x14ac:dyDescent="0.2">
      <c r="G25165" s="889"/>
    </row>
    <row r="25166" spans="7:7" ht="10.5" customHeight="1" x14ac:dyDescent="0.2">
      <c r="G25166" s="889"/>
    </row>
    <row r="25167" spans="7:7" ht="10.5" customHeight="1" x14ac:dyDescent="0.2">
      <c r="G25167" s="889"/>
    </row>
    <row r="25168" spans="7:7" ht="10.5" customHeight="1" x14ac:dyDescent="0.2">
      <c r="G25168" s="889"/>
    </row>
    <row r="25169" spans="7:7" ht="10.5" customHeight="1" x14ac:dyDescent="0.2">
      <c r="G25169" s="889"/>
    </row>
    <row r="25170" spans="7:7" ht="10.5" customHeight="1" x14ac:dyDescent="0.2">
      <c r="G25170" s="889"/>
    </row>
    <row r="25171" spans="7:7" ht="10.5" customHeight="1" x14ac:dyDescent="0.2">
      <c r="G25171" s="889"/>
    </row>
    <row r="25172" spans="7:7" ht="10.5" customHeight="1" x14ac:dyDescent="0.2">
      <c r="G25172" s="889"/>
    </row>
    <row r="25173" spans="7:7" ht="10.5" customHeight="1" x14ac:dyDescent="0.2">
      <c r="G25173" s="889"/>
    </row>
    <row r="25174" spans="7:7" ht="10.5" customHeight="1" x14ac:dyDescent="0.2">
      <c r="G25174" s="889"/>
    </row>
    <row r="25175" spans="7:7" ht="10.5" customHeight="1" x14ac:dyDescent="0.2">
      <c r="G25175" s="889"/>
    </row>
    <row r="25176" spans="7:7" ht="10.5" customHeight="1" x14ac:dyDescent="0.2">
      <c r="G25176" s="889"/>
    </row>
    <row r="25177" spans="7:7" ht="10.5" customHeight="1" x14ac:dyDescent="0.2">
      <c r="G25177" s="889"/>
    </row>
    <row r="25178" spans="7:7" ht="10.5" customHeight="1" x14ac:dyDescent="0.2">
      <c r="G25178" s="889"/>
    </row>
    <row r="25179" spans="7:7" ht="10.5" customHeight="1" x14ac:dyDescent="0.2">
      <c r="G25179" s="889"/>
    </row>
    <row r="25180" spans="7:7" ht="10.5" customHeight="1" x14ac:dyDescent="0.2">
      <c r="G25180" s="889"/>
    </row>
    <row r="25181" spans="7:7" ht="10.5" customHeight="1" x14ac:dyDescent="0.2">
      <c r="G25181" s="889"/>
    </row>
    <row r="25182" spans="7:7" ht="10.5" customHeight="1" x14ac:dyDescent="0.2">
      <c r="G25182" s="889"/>
    </row>
    <row r="25183" spans="7:7" ht="10.5" customHeight="1" x14ac:dyDescent="0.2">
      <c r="G25183" s="889"/>
    </row>
    <row r="25184" spans="7:7" ht="10.5" customHeight="1" x14ac:dyDescent="0.2">
      <c r="G25184" s="889"/>
    </row>
    <row r="25185" spans="7:7" ht="10.5" customHeight="1" x14ac:dyDescent="0.2">
      <c r="G25185" s="889"/>
    </row>
    <row r="25186" spans="7:7" ht="10.5" customHeight="1" x14ac:dyDescent="0.2">
      <c r="G25186" s="889"/>
    </row>
    <row r="25187" spans="7:7" ht="10.5" customHeight="1" x14ac:dyDescent="0.2">
      <c r="G25187" s="889"/>
    </row>
    <row r="25188" spans="7:7" ht="10.5" customHeight="1" x14ac:dyDescent="0.2">
      <c r="G25188" s="889"/>
    </row>
    <row r="25189" spans="7:7" ht="10.5" customHeight="1" x14ac:dyDescent="0.2">
      <c r="G25189" s="889"/>
    </row>
    <row r="25190" spans="7:7" ht="10.5" customHeight="1" x14ac:dyDescent="0.2">
      <c r="G25190" s="889"/>
    </row>
    <row r="25191" spans="7:7" ht="10.5" customHeight="1" x14ac:dyDescent="0.2">
      <c r="G25191" s="889"/>
    </row>
    <row r="25192" spans="7:7" ht="10.5" customHeight="1" x14ac:dyDescent="0.2">
      <c r="G25192" s="889"/>
    </row>
    <row r="25193" spans="7:7" ht="10.5" customHeight="1" x14ac:dyDescent="0.2">
      <c r="G25193" s="889"/>
    </row>
    <row r="25194" spans="7:7" ht="10.5" customHeight="1" x14ac:dyDescent="0.2">
      <c r="G25194" s="889"/>
    </row>
    <row r="25195" spans="7:7" ht="10.5" customHeight="1" x14ac:dyDescent="0.2">
      <c r="G25195" s="889"/>
    </row>
    <row r="25196" spans="7:7" ht="10.5" customHeight="1" x14ac:dyDescent="0.2">
      <c r="G25196" s="889"/>
    </row>
    <row r="25197" spans="7:7" ht="10.5" customHeight="1" x14ac:dyDescent="0.2">
      <c r="G25197" s="889"/>
    </row>
    <row r="25198" spans="7:7" ht="10.5" customHeight="1" x14ac:dyDescent="0.2">
      <c r="G25198" s="889"/>
    </row>
    <row r="25199" spans="7:7" ht="10.5" customHeight="1" x14ac:dyDescent="0.2">
      <c r="G25199" s="889"/>
    </row>
    <row r="25200" spans="7:7" ht="10.5" customHeight="1" x14ac:dyDescent="0.2">
      <c r="G25200" s="889"/>
    </row>
    <row r="25201" spans="7:7" ht="10.5" customHeight="1" x14ac:dyDescent="0.2">
      <c r="G25201" s="889"/>
    </row>
    <row r="25202" spans="7:7" ht="10.5" customHeight="1" x14ac:dyDescent="0.2">
      <c r="G25202" s="889"/>
    </row>
    <row r="25203" spans="7:7" ht="10.5" customHeight="1" x14ac:dyDescent="0.2">
      <c r="G25203" s="889"/>
    </row>
    <row r="25204" spans="7:7" ht="10.5" customHeight="1" x14ac:dyDescent="0.2">
      <c r="G25204" s="889"/>
    </row>
    <row r="25205" spans="7:7" ht="10.5" customHeight="1" x14ac:dyDescent="0.2">
      <c r="G25205" s="889"/>
    </row>
    <row r="25206" spans="7:7" ht="10.5" customHeight="1" x14ac:dyDescent="0.2">
      <c r="G25206" s="889"/>
    </row>
    <row r="25207" spans="7:7" ht="10.5" customHeight="1" x14ac:dyDescent="0.2">
      <c r="G25207" s="889"/>
    </row>
    <row r="25208" spans="7:7" ht="10.5" customHeight="1" x14ac:dyDescent="0.2">
      <c r="G25208" s="889"/>
    </row>
    <row r="25209" spans="7:7" ht="10.5" customHeight="1" x14ac:dyDescent="0.2">
      <c r="G25209" s="889"/>
    </row>
    <row r="25210" spans="7:7" ht="10.5" customHeight="1" x14ac:dyDescent="0.2">
      <c r="G25210" s="889"/>
    </row>
    <row r="25211" spans="7:7" ht="10.5" customHeight="1" x14ac:dyDescent="0.2">
      <c r="G25211" s="889"/>
    </row>
    <row r="25212" spans="7:7" ht="10.5" customHeight="1" x14ac:dyDescent="0.2">
      <c r="G25212" s="889"/>
    </row>
    <row r="25213" spans="7:7" ht="10.5" customHeight="1" x14ac:dyDescent="0.2">
      <c r="G25213" s="889"/>
    </row>
    <row r="25214" spans="7:7" ht="10.5" customHeight="1" x14ac:dyDescent="0.2">
      <c r="G25214" s="889"/>
    </row>
    <row r="25215" spans="7:7" ht="10.5" customHeight="1" x14ac:dyDescent="0.2">
      <c r="G25215" s="889"/>
    </row>
    <row r="25216" spans="7:7" ht="10.5" customHeight="1" x14ac:dyDescent="0.2">
      <c r="G25216" s="889"/>
    </row>
    <row r="25217" spans="7:7" ht="10.5" customHeight="1" x14ac:dyDescent="0.2">
      <c r="G25217" s="889"/>
    </row>
    <row r="25218" spans="7:7" ht="10.5" customHeight="1" x14ac:dyDescent="0.2">
      <c r="G25218" s="889"/>
    </row>
    <row r="25219" spans="7:7" ht="10.5" customHeight="1" x14ac:dyDescent="0.2">
      <c r="G25219" s="889"/>
    </row>
    <row r="25220" spans="7:7" ht="10.5" customHeight="1" x14ac:dyDescent="0.2">
      <c r="G25220" s="889"/>
    </row>
    <row r="25221" spans="7:7" ht="10.5" customHeight="1" x14ac:dyDescent="0.2">
      <c r="G25221" s="889"/>
    </row>
    <row r="25222" spans="7:7" ht="10.5" customHeight="1" x14ac:dyDescent="0.2">
      <c r="G25222" s="889"/>
    </row>
    <row r="25223" spans="7:7" ht="10.5" customHeight="1" x14ac:dyDescent="0.2">
      <c r="G25223" s="889"/>
    </row>
    <row r="25224" spans="7:7" ht="10.5" customHeight="1" x14ac:dyDescent="0.2">
      <c r="G25224" s="889"/>
    </row>
    <row r="25225" spans="7:7" ht="10.5" customHeight="1" x14ac:dyDescent="0.2">
      <c r="G25225" s="889"/>
    </row>
    <row r="25226" spans="7:7" ht="10.5" customHeight="1" x14ac:dyDescent="0.2">
      <c r="G25226" s="889"/>
    </row>
    <row r="25227" spans="7:7" ht="10.5" customHeight="1" x14ac:dyDescent="0.2">
      <c r="G25227" s="889"/>
    </row>
    <row r="25228" spans="7:7" ht="10.5" customHeight="1" x14ac:dyDescent="0.2">
      <c r="G25228" s="889"/>
    </row>
    <row r="25229" spans="7:7" ht="10.5" customHeight="1" x14ac:dyDescent="0.2">
      <c r="G25229" s="889"/>
    </row>
    <row r="25230" spans="7:7" ht="10.5" customHeight="1" x14ac:dyDescent="0.2">
      <c r="G25230" s="889"/>
    </row>
    <row r="25231" spans="7:7" ht="10.5" customHeight="1" x14ac:dyDescent="0.2">
      <c r="G25231" s="889"/>
    </row>
    <row r="25232" spans="7:7" ht="10.5" customHeight="1" x14ac:dyDescent="0.2">
      <c r="G25232" s="889"/>
    </row>
    <row r="25233" spans="7:7" ht="10.5" customHeight="1" x14ac:dyDescent="0.2">
      <c r="G25233" s="889"/>
    </row>
    <row r="25234" spans="7:7" ht="10.5" customHeight="1" x14ac:dyDescent="0.2">
      <c r="G25234" s="889"/>
    </row>
    <row r="25235" spans="7:7" ht="10.5" customHeight="1" x14ac:dyDescent="0.2">
      <c r="G25235" s="889"/>
    </row>
    <row r="25236" spans="7:7" ht="10.5" customHeight="1" x14ac:dyDescent="0.2">
      <c r="G25236" s="889"/>
    </row>
    <row r="25237" spans="7:7" ht="10.5" customHeight="1" x14ac:dyDescent="0.2">
      <c r="G25237" s="889"/>
    </row>
    <row r="25238" spans="7:7" ht="10.5" customHeight="1" x14ac:dyDescent="0.2">
      <c r="G25238" s="889"/>
    </row>
    <row r="25239" spans="7:7" ht="10.5" customHeight="1" x14ac:dyDescent="0.2">
      <c r="G25239" s="889"/>
    </row>
    <row r="25240" spans="7:7" ht="10.5" customHeight="1" x14ac:dyDescent="0.2">
      <c r="G25240" s="889"/>
    </row>
    <row r="25241" spans="7:7" ht="10.5" customHeight="1" x14ac:dyDescent="0.2">
      <c r="G25241" s="889"/>
    </row>
    <row r="25242" spans="7:7" ht="10.5" customHeight="1" x14ac:dyDescent="0.2">
      <c r="G25242" s="889"/>
    </row>
    <row r="25243" spans="7:7" ht="10.5" customHeight="1" x14ac:dyDescent="0.2">
      <c r="G25243" s="889"/>
    </row>
    <row r="25244" spans="7:7" ht="10.5" customHeight="1" x14ac:dyDescent="0.2">
      <c r="G25244" s="889"/>
    </row>
    <row r="25245" spans="7:7" ht="10.5" customHeight="1" x14ac:dyDescent="0.2">
      <c r="G25245" s="889"/>
    </row>
    <row r="25246" spans="7:7" ht="10.5" customHeight="1" x14ac:dyDescent="0.2">
      <c r="G25246" s="889"/>
    </row>
    <row r="25247" spans="7:7" ht="10.5" customHeight="1" x14ac:dyDescent="0.2">
      <c r="G25247" s="889"/>
    </row>
    <row r="25248" spans="7:7" ht="10.5" customHeight="1" x14ac:dyDescent="0.2">
      <c r="G25248" s="889"/>
    </row>
    <row r="25249" spans="7:7" ht="10.5" customHeight="1" x14ac:dyDescent="0.2">
      <c r="G25249" s="889"/>
    </row>
    <row r="25250" spans="7:7" ht="10.5" customHeight="1" x14ac:dyDescent="0.2">
      <c r="G25250" s="889"/>
    </row>
    <row r="25251" spans="7:7" ht="10.5" customHeight="1" x14ac:dyDescent="0.2">
      <c r="G25251" s="889"/>
    </row>
    <row r="25252" spans="7:7" ht="10.5" customHeight="1" x14ac:dyDescent="0.2">
      <c r="G25252" s="889"/>
    </row>
    <row r="25253" spans="7:7" ht="10.5" customHeight="1" x14ac:dyDescent="0.2">
      <c r="G25253" s="889"/>
    </row>
    <row r="25254" spans="7:7" ht="10.5" customHeight="1" x14ac:dyDescent="0.2">
      <c r="G25254" s="889"/>
    </row>
    <row r="25255" spans="7:7" ht="10.5" customHeight="1" x14ac:dyDescent="0.2">
      <c r="G25255" s="889"/>
    </row>
    <row r="25256" spans="7:7" ht="10.5" customHeight="1" x14ac:dyDescent="0.2">
      <c r="G25256" s="889"/>
    </row>
    <row r="25257" spans="7:7" ht="10.5" customHeight="1" x14ac:dyDescent="0.2">
      <c r="G25257" s="889"/>
    </row>
    <row r="25258" spans="7:7" ht="10.5" customHeight="1" x14ac:dyDescent="0.2">
      <c r="G25258" s="889"/>
    </row>
    <row r="25259" spans="7:7" ht="10.5" customHeight="1" x14ac:dyDescent="0.2">
      <c r="G25259" s="889"/>
    </row>
    <row r="25260" spans="7:7" ht="10.5" customHeight="1" x14ac:dyDescent="0.2">
      <c r="G25260" s="889"/>
    </row>
    <row r="25261" spans="7:7" ht="10.5" customHeight="1" x14ac:dyDescent="0.2">
      <c r="G25261" s="889"/>
    </row>
    <row r="25262" spans="7:7" ht="10.5" customHeight="1" x14ac:dyDescent="0.2">
      <c r="G25262" s="889"/>
    </row>
    <row r="25263" spans="7:7" ht="10.5" customHeight="1" x14ac:dyDescent="0.2">
      <c r="G25263" s="889"/>
    </row>
    <row r="25264" spans="7:7" ht="10.5" customHeight="1" x14ac:dyDescent="0.2">
      <c r="G25264" s="889"/>
    </row>
    <row r="25265" spans="7:7" ht="10.5" customHeight="1" x14ac:dyDescent="0.2">
      <c r="G25265" s="889"/>
    </row>
    <row r="25266" spans="7:7" ht="10.5" customHeight="1" x14ac:dyDescent="0.2">
      <c r="G25266" s="889"/>
    </row>
    <row r="25267" spans="7:7" ht="10.5" customHeight="1" x14ac:dyDescent="0.2">
      <c r="G25267" s="889"/>
    </row>
    <row r="25268" spans="7:7" ht="10.5" customHeight="1" x14ac:dyDescent="0.2">
      <c r="G25268" s="889"/>
    </row>
    <row r="25269" spans="7:7" ht="10.5" customHeight="1" x14ac:dyDescent="0.2">
      <c r="G25269" s="889"/>
    </row>
    <row r="25270" spans="7:7" ht="10.5" customHeight="1" x14ac:dyDescent="0.2">
      <c r="G25270" s="889"/>
    </row>
    <row r="25271" spans="7:7" ht="10.5" customHeight="1" x14ac:dyDescent="0.2">
      <c r="G25271" s="889"/>
    </row>
    <row r="25272" spans="7:7" ht="10.5" customHeight="1" x14ac:dyDescent="0.2">
      <c r="G25272" s="889"/>
    </row>
    <row r="25273" spans="7:7" ht="10.5" customHeight="1" x14ac:dyDescent="0.2">
      <c r="G25273" s="889"/>
    </row>
    <row r="25274" spans="7:7" ht="10.5" customHeight="1" x14ac:dyDescent="0.2">
      <c r="G25274" s="889"/>
    </row>
    <row r="25275" spans="7:7" ht="10.5" customHeight="1" x14ac:dyDescent="0.2">
      <c r="G25275" s="889"/>
    </row>
    <row r="25276" spans="7:7" ht="10.5" customHeight="1" x14ac:dyDescent="0.2">
      <c r="G25276" s="889"/>
    </row>
    <row r="25277" spans="7:7" ht="10.5" customHeight="1" x14ac:dyDescent="0.2">
      <c r="G25277" s="889"/>
    </row>
    <row r="25278" spans="7:7" ht="10.5" customHeight="1" x14ac:dyDescent="0.2">
      <c r="G25278" s="889"/>
    </row>
    <row r="25279" spans="7:7" ht="10.5" customHeight="1" x14ac:dyDescent="0.2">
      <c r="G25279" s="889"/>
    </row>
    <row r="25280" spans="7:7" ht="10.5" customHeight="1" x14ac:dyDescent="0.2">
      <c r="G25280" s="889"/>
    </row>
    <row r="25281" spans="7:7" ht="10.5" customHeight="1" x14ac:dyDescent="0.2">
      <c r="G25281" s="889"/>
    </row>
    <row r="25282" spans="7:7" ht="10.5" customHeight="1" x14ac:dyDescent="0.2">
      <c r="G25282" s="889"/>
    </row>
    <row r="25283" spans="7:7" ht="10.5" customHeight="1" x14ac:dyDescent="0.2">
      <c r="G25283" s="889"/>
    </row>
    <row r="25284" spans="7:7" ht="10.5" customHeight="1" x14ac:dyDescent="0.2">
      <c r="G25284" s="889"/>
    </row>
    <row r="25285" spans="7:7" ht="10.5" customHeight="1" x14ac:dyDescent="0.2">
      <c r="G25285" s="889"/>
    </row>
    <row r="25286" spans="7:7" ht="10.5" customHeight="1" x14ac:dyDescent="0.2">
      <c r="G25286" s="889"/>
    </row>
    <row r="25287" spans="7:7" ht="10.5" customHeight="1" x14ac:dyDescent="0.2">
      <c r="G25287" s="889"/>
    </row>
    <row r="25288" spans="7:7" ht="10.5" customHeight="1" x14ac:dyDescent="0.2">
      <c r="G25288" s="889"/>
    </row>
    <row r="25289" spans="7:7" ht="10.5" customHeight="1" x14ac:dyDescent="0.2">
      <c r="G25289" s="889"/>
    </row>
    <row r="25290" spans="7:7" ht="10.5" customHeight="1" x14ac:dyDescent="0.2">
      <c r="G25290" s="889"/>
    </row>
    <row r="25291" spans="7:7" ht="10.5" customHeight="1" x14ac:dyDescent="0.2">
      <c r="G25291" s="889"/>
    </row>
    <row r="25292" spans="7:7" ht="10.5" customHeight="1" x14ac:dyDescent="0.2">
      <c r="G25292" s="889"/>
    </row>
    <row r="25293" spans="7:7" ht="10.5" customHeight="1" x14ac:dyDescent="0.2">
      <c r="G25293" s="889"/>
    </row>
    <row r="25294" spans="7:7" ht="10.5" customHeight="1" x14ac:dyDescent="0.2">
      <c r="G25294" s="889"/>
    </row>
    <row r="25295" spans="7:7" ht="10.5" customHeight="1" x14ac:dyDescent="0.2">
      <c r="G25295" s="889"/>
    </row>
    <row r="25296" spans="7:7" ht="10.5" customHeight="1" x14ac:dyDescent="0.2">
      <c r="G25296" s="889"/>
    </row>
    <row r="25297" spans="7:7" ht="10.5" customHeight="1" x14ac:dyDescent="0.2">
      <c r="G25297" s="889"/>
    </row>
    <row r="25298" spans="7:7" ht="10.5" customHeight="1" x14ac:dyDescent="0.2">
      <c r="G25298" s="889"/>
    </row>
    <row r="25299" spans="7:7" ht="10.5" customHeight="1" x14ac:dyDescent="0.2">
      <c r="G25299" s="889"/>
    </row>
    <row r="25300" spans="7:7" ht="10.5" customHeight="1" x14ac:dyDescent="0.2">
      <c r="G25300" s="889"/>
    </row>
    <row r="25301" spans="7:7" ht="10.5" customHeight="1" x14ac:dyDescent="0.2">
      <c r="G25301" s="889"/>
    </row>
    <row r="25302" spans="7:7" ht="10.5" customHeight="1" x14ac:dyDescent="0.2">
      <c r="G25302" s="889"/>
    </row>
    <row r="25303" spans="7:7" ht="10.5" customHeight="1" x14ac:dyDescent="0.2">
      <c r="G25303" s="889"/>
    </row>
    <row r="25304" spans="7:7" ht="10.5" customHeight="1" x14ac:dyDescent="0.2">
      <c r="G25304" s="889"/>
    </row>
    <row r="25305" spans="7:7" ht="10.5" customHeight="1" x14ac:dyDescent="0.2">
      <c r="G25305" s="889"/>
    </row>
    <row r="25306" spans="7:7" ht="10.5" customHeight="1" x14ac:dyDescent="0.2">
      <c r="G25306" s="889"/>
    </row>
    <row r="25307" spans="7:7" ht="10.5" customHeight="1" x14ac:dyDescent="0.2">
      <c r="G25307" s="889"/>
    </row>
    <row r="25308" spans="7:7" ht="10.5" customHeight="1" x14ac:dyDescent="0.2">
      <c r="G25308" s="889"/>
    </row>
    <row r="25309" spans="7:7" ht="10.5" customHeight="1" x14ac:dyDescent="0.2">
      <c r="G25309" s="889"/>
    </row>
    <row r="25310" spans="7:7" ht="10.5" customHeight="1" x14ac:dyDescent="0.2">
      <c r="G25310" s="889"/>
    </row>
    <row r="25311" spans="7:7" ht="10.5" customHeight="1" x14ac:dyDescent="0.2">
      <c r="G25311" s="889"/>
    </row>
    <row r="25312" spans="7:7" ht="10.5" customHeight="1" x14ac:dyDescent="0.2">
      <c r="G25312" s="889"/>
    </row>
    <row r="25313" spans="7:7" ht="10.5" customHeight="1" x14ac:dyDescent="0.2">
      <c r="G25313" s="889"/>
    </row>
    <row r="25314" spans="7:7" ht="10.5" customHeight="1" x14ac:dyDescent="0.2">
      <c r="G25314" s="889"/>
    </row>
    <row r="25315" spans="7:7" ht="10.5" customHeight="1" x14ac:dyDescent="0.2">
      <c r="G25315" s="889"/>
    </row>
    <row r="25316" spans="7:7" ht="10.5" customHeight="1" x14ac:dyDescent="0.2">
      <c r="G25316" s="889"/>
    </row>
    <row r="25317" spans="7:7" ht="10.5" customHeight="1" x14ac:dyDescent="0.2">
      <c r="G25317" s="889"/>
    </row>
    <row r="25318" spans="7:7" ht="10.5" customHeight="1" x14ac:dyDescent="0.2">
      <c r="G25318" s="889"/>
    </row>
    <row r="25319" spans="7:7" ht="10.5" customHeight="1" x14ac:dyDescent="0.2">
      <c r="G25319" s="889"/>
    </row>
    <row r="25320" spans="7:7" ht="10.5" customHeight="1" x14ac:dyDescent="0.2">
      <c r="G25320" s="889"/>
    </row>
    <row r="25321" spans="7:7" ht="10.5" customHeight="1" x14ac:dyDescent="0.2">
      <c r="G25321" s="889"/>
    </row>
    <row r="25322" spans="7:7" ht="10.5" customHeight="1" x14ac:dyDescent="0.2">
      <c r="G25322" s="889"/>
    </row>
    <row r="25323" spans="7:7" ht="10.5" customHeight="1" x14ac:dyDescent="0.2">
      <c r="G25323" s="889"/>
    </row>
    <row r="25324" spans="7:7" ht="10.5" customHeight="1" x14ac:dyDescent="0.2">
      <c r="G25324" s="889"/>
    </row>
    <row r="25325" spans="7:7" ht="10.5" customHeight="1" x14ac:dyDescent="0.2">
      <c r="G25325" s="889"/>
    </row>
    <row r="25326" spans="7:7" ht="10.5" customHeight="1" x14ac:dyDescent="0.2">
      <c r="G25326" s="889"/>
    </row>
    <row r="25327" spans="7:7" ht="10.5" customHeight="1" x14ac:dyDescent="0.2">
      <c r="G25327" s="889"/>
    </row>
    <row r="25328" spans="7:7" ht="10.5" customHeight="1" x14ac:dyDescent="0.2">
      <c r="G25328" s="889"/>
    </row>
    <row r="25329" spans="7:7" ht="10.5" customHeight="1" x14ac:dyDescent="0.2">
      <c r="G25329" s="889"/>
    </row>
    <row r="25330" spans="7:7" ht="10.5" customHeight="1" x14ac:dyDescent="0.2">
      <c r="G25330" s="889"/>
    </row>
    <row r="25331" spans="7:7" ht="10.5" customHeight="1" x14ac:dyDescent="0.2">
      <c r="G25331" s="889"/>
    </row>
    <row r="25332" spans="7:7" ht="10.5" customHeight="1" x14ac:dyDescent="0.2">
      <c r="G25332" s="889"/>
    </row>
    <row r="25333" spans="7:7" ht="10.5" customHeight="1" x14ac:dyDescent="0.2">
      <c r="G25333" s="889"/>
    </row>
    <row r="25334" spans="7:7" ht="10.5" customHeight="1" x14ac:dyDescent="0.2">
      <c r="G25334" s="889"/>
    </row>
    <row r="25335" spans="7:7" ht="10.5" customHeight="1" x14ac:dyDescent="0.2">
      <c r="G25335" s="889"/>
    </row>
    <row r="25336" spans="7:7" ht="10.5" customHeight="1" x14ac:dyDescent="0.2">
      <c r="G25336" s="889"/>
    </row>
    <row r="25337" spans="7:7" ht="10.5" customHeight="1" x14ac:dyDescent="0.2">
      <c r="G25337" s="889"/>
    </row>
    <row r="25338" spans="7:7" ht="10.5" customHeight="1" x14ac:dyDescent="0.2">
      <c r="G25338" s="889"/>
    </row>
    <row r="25339" spans="7:7" ht="10.5" customHeight="1" x14ac:dyDescent="0.2">
      <c r="G25339" s="889"/>
    </row>
    <row r="25340" spans="7:7" ht="10.5" customHeight="1" x14ac:dyDescent="0.2">
      <c r="G25340" s="889"/>
    </row>
    <row r="25341" spans="7:7" ht="10.5" customHeight="1" x14ac:dyDescent="0.2">
      <c r="G25341" s="889"/>
    </row>
    <row r="25342" spans="7:7" ht="10.5" customHeight="1" x14ac:dyDescent="0.2">
      <c r="G25342" s="889"/>
    </row>
    <row r="25343" spans="7:7" ht="10.5" customHeight="1" x14ac:dyDescent="0.2">
      <c r="G25343" s="889"/>
    </row>
    <row r="25344" spans="7:7" ht="10.5" customHeight="1" x14ac:dyDescent="0.2">
      <c r="G25344" s="889"/>
    </row>
    <row r="25345" spans="7:7" ht="10.5" customHeight="1" x14ac:dyDescent="0.2">
      <c r="G25345" s="889"/>
    </row>
    <row r="25346" spans="7:7" ht="10.5" customHeight="1" x14ac:dyDescent="0.2">
      <c r="G25346" s="889"/>
    </row>
    <row r="25347" spans="7:7" ht="10.5" customHeight="1" x14ac:dyDescent="0.2">
      <c r="G25347" s="889"/>
    </row>
    <row r="25348" spans="7:7" ht="10.5" customHeight="1" x14ac:dyDescent="0.2">
      <c r="G25348" s="889"/>
    </row>
    <row r="25349" spans="7:7" ht="10.5" customHeight="1" x14ac:dyDescent="0.2">
      <c r="G25349" s="889"/>
    </row>
    <row r="25350" spans="7:7" ht="10.5" customHeight="1" x14ac:dyDescent="0.2">
      <c r="G25350" s="889"/>
    </row>
    <row r="25351" spans="7:7" ht="10.5" customHeight="1" x14ac:dyDescent="0.2">
      <c r="G25351" s="889"/>
    </row>
    <row r="25352" spans="7:7" ht="10.5" customHeight="1" x14ac:dyDescent="0.2">
      <c r="G25352" s="889"/>
    </row>
    <row r="25353" spans="7:7" ht="10.5" customHeight="1" x14ac:dyDescent="0.2">
      <c r="G25353" s="889"/>
    </row>
    <row r="25354" spans="7:7" ht="10.5" customHeight="1" x14ac:dyDescent="0.2">
      <c r="G25354" s="889"/>
    </row>
    <row r="25355" spans="7:7" ht="10.5" customHeight="1" x14ac:dyDescent="0.2">
      <c r="G25355" s="889"/>
    </row>
    <row r="25356" spans="7:7" ht="10.5" customHeight="1" x14ac:dyDescent="0.2">
      <c r="G25356" s="889"/>
    </row>
    <row r="25357" spans="7:7" ht="10.5" customHeight="1" x14ac:dyDescent="0.2">
      <c r="G25357" s="889"/>
    </row>
    <row r="25358" spans="7:7" ht="10.5" customHeight="1" x14ac:dyDescent="0.2">
      <c r="G25358" s="889"/>
    </row>
    <row r="25359" spans="7:7" ht="10.5" customHeight="1" x14ac:dyDescent="0.2">
      <c r="G25359" s="889"/>
    </row>
    <row r="25360" spans="7:7" ht="10.5" customHeight="1" x14ac:dyDescent="0.2">
      <c r="G25360" s="889"/>
    </row>
    <row r="25361" spans="7:7" ht="10.5" customHeight="1" x14ac:dyDescent="0.2">
      <c r="G25361" s="889"/>
    </row>
    <row r="25362" spans="7:7" ht="10.5" customHeight="1" x14ac:dyDescent="0.2">
      <c r="G25362" s="889"/>
    </row>
    <row r="25363" spans="7:7" ht="10.5" customHeight="1" x14ac:dyDescent="0.2">
      <c r="G25363" s="889"/>
    </row>
    <row r="25364" spans="7:7" ht="10.5" customHeight="1" x14ac:dyDescent="0.2">
      <c r="G25364" s="889"/>
    </row>
    <row r="25365" spans="7:7" ht="10.5" customHeight="1" x14ac:dyDescent="0.2">
      <c r="G25365" s="889"/>
    </row>
    <row r="25366" spans="7:7" ht="10.5" customHeight="1" x14ac:dyDescent="0.2">
      <c r="G25366" s="889"/>
    </row>
    <row r="25367" spans="7:7" ht="10.5" customHeight="1" x14ac:dyDescent="0.2">
      <c r="G25367" s="889"/>
    </row>
    <row r="25368" spans="7:7" ht="10.5" customHeight="1" x14ac:dyDescent="0.2">
      <c r="G25368" s="889"/>
    </row>
    <row r="25369" spans="7:7" ht="10.5" customHeight="1" x14ac:dyDescent="0.2">
      <c r="G25369" s="889"/>
    </row>
    <row r="25370" spans="7:7" ht="10.5" customHeight="1" x14ac:dyDescent="0.2">
      <c r="G25370" s="889"/>
    </row>
    <row r="25371" spans="7:7" ht="10.5" customHeight="1" x14ac:dyDescent="0.2">
      <c r="G25371" s="889"/>
    </row>
    <row r="25372" spans="7:7" ht="10.5" customHeight="1" x14ac:dyDescent="0.2">
      <c r="G25372" s="889"/>
    </row>
    <row r="25373" spans="7:7" ht="10.5" customHeight="1" x14ac:dyDescent="0.2">
      <c r="G25373" s="889"/>
    </row>
    <row r="25374" spans="7:7" ht="10.5" customHeight="1" x14ac:dyDescent="0.2">
      <c r="G25374" s="889"/>
    </row>
    <row r="25375" spans="7:7" ht="10.5" customHeight="1" x14ac:dyDescent="0.2">
      <c r="G25375" s="889"/>
    </row>
    <row r="25376" spans="7:7" ht="10.5" customHeight="1" x14ac:dyDescent="0.2">
      <c r="G25376" s="889"/>
    </row>
    <row r="25377" spans="7:7" ht="10.5" customHeight="1" x14ac:dyDescent="0.2">
      <c r="G25377" s="889"/>
    </row>
    <row r="25378" spans="7:7" ht="10.5" customHeight="1" x14ac:dyDescent="0.2">
      <c r="G25378" s="889"/>
    </row>
    <row r="25379" spans="7:7" ht="10.5" customHeight="1" x14ac:dyDescent="0.2">
      <c r="G25379" s="889"/>
    </row>
    <row r="25380" spans="7:7" ht="10.5" customHeight="1" x14ac:dyDescent="0.2">
      <c r="G25380" s="889"/>
    </row>
    <row r="25381" spans="7:7" ht="10.5" customHeight="1" x14ac:dyDescent="0.2">
      <c r="G25381" s="889"/>
    </row>
    <row r="25382" spans="7:7" ht="10.5" customHeight="1" x14ac:dyDescent="0.2">
      <c r="G25382" s="889"/>
    </row>
    <row r="25383" spans="7:7" ht="10.5" customHeight="1" x14ac:dyDescent="0.2">
      <c r="G25383" s="889"/>
    </row>
    <row r="25384" spans="7:7" ht="10.5" customHeight="1" x14ac:dyDescent="0.2">
      <c r="G25384" s="889"/>
    </row>
    <row r="25385" spans="7:7" ht="10.5" customHeight="1" x14ac:dyDescent="0.2">
      <c r="G25385" s="889"/>
    </row>
    <row r="25386" spans="7:7" ht="10.5" customHeight="1" x14ac:dyDescent="0.2">
      <c r="G25386" s="889"/>
    </row>
    <row r="25387" spans="7:7" ht="10.5" customHeight="1" x14ac:dyDescent="0.2">
      <c r="G25387" s="889"/>
    </row>
    <row r="25388" spans="7:7" ht="10.5" customHeight="1" x14ac:dyDescent="0.2">
      <c r="G25388" s="889"/>
    </row>
    <row r="25389" spans="7:7" ht="10.5" customHeight="1" x14ac:dyDescent="0.2">
      <c r="G25389" s="889"/>
    </row>
    <row r="25390" spans="7:7" ht="10.5" customHeight="1" x14ac:dyDescent="0.2">
      <c r="G25390" s="889"/>
    </row>
    <row r="25391" spans="7:7" ht="10.5" customHeight="1" x14ac:dyDescent="0.2">
      <c r="G25391" s="889"/>
    </row>
    <row r="25392" spans="7:7" ht="10.5" customHeight="1" x14ac:dyDescent="0.2">
      <c r="G25392" s="889"/>
    </row>
    <row r="25393" spans="7:7" ht="10.5" customHeight="1" x14ac:dyDescent="0.2">
      <c r="G25393" s="889"/>
    </row>
    <row r="25394" spans="7:7" ht="10.5" customHeight="1" x14ac:dyDescent="0.2">
      <c r="G25394" s="889"/>
    </row>
    <row r="25395" spans="7:7" ht="10.5" customHeight="1" x14ac:dyDescent="0.2">
      <c r="G25395" s="889"/>
    </row>
    <row r="25396" spans="7:7" ht="10.5" customHeight="1" x14ac:dyDescent="0.2">
      <c r="G25396" s="889"/>
    </row>
    <row r="25397" spans="7:7" ht="10.5" customHeight="1" x14ac:dyDescent="0.2">
      <c r="G25397" s="889"/>
    </row>
    <row r="25398" spans="7:7" ht="10.5" customHeight="1" x14ac:dyDescent="0.2">
      <c r="G25398" s="889"/>
    </row>
    <row r="25399" spans="7:7" ht="10.5" customHeight="1" x14ac:dyDescent="0.2">
      <c r="G25399" s="889"/>
    </row>
    <row r="25400" spans="7:7" ht="10.5" customHeight="1" x14ac:dyDescent="0.2">
      <c r="G25400" s="889"/>
    </row>
    <row r="25401" spans="7:7" ht="10.5" customHeight="1" x14ac:dyDescent="0.2">
      <c r="G25401" s="889"/>
    </row>
    <row r="25402" spans="7:7" ht="10.5" customHeight="1" x14ac:dyDescent="0.2">
      <c r="G25402" s="889"/>
    </row>
    <row r="25403" spans="7:7" ht="10.5" customHeight="1" x14ac:dyDescent="0.2">
      <c r="G25403" s="889"/>
    </row>
    <row r="25404" spans="7:7" ht="10.5" customHeight="1" x14ac:dyDescent="0.2">
      <c r="G25404" s="889"/>
    </row>
    <row r="25405" spans="7:7" ht="10.5" customHeight="1" x14ac:dyDescent="0.2">
      <c r="G25405" s="889"/>
    </row>
    <row r="25406" spans="7:7" ht="10.5" customHeight="1" x14ac:dyDescent="0.2">
      <c r="G25406" s="889"/>
    </row>
    <row r="25407" spans="7:7" ht="10.5" customHeight="1" x14ac:dyDescent="0.2">
      <c r="G25407" s="889"/>
    </row>
    <row r="25408" spans="7:7" ht="10.5" customHeight="1" x14ac:dyDescent="0.2">
      <c r="G25408" s="889"/>
    </row>
    <row r="25409" spans="7:7" ht="10.5" customHeight="1" x14ac:dyDescent="0.2">
      <c r="G25409" s="889"/>
    </row>
    <row r="25410" spans="7:7" ht="10.5" customHeight="1" x14ac:dyDescent="0.2">
      <c r="G25410" s="889"/>
    </row>
    <row r="25411" spans="7:7" ht="10.5" customHeight="1" x14ac:dyDescent="0.2">
      <c r="G25411" s="889"/>
    </row>
    <row r="25412" spans="7:7" ht="10.5" customHeight="1" x14ac:dyDescent="0.2">
      <c r="G25412" s="889"/>
    </row>
    <row r="25413" spans="7:7" ht="10.5" customHeight="1" x14ac:dyDescent="0.2">
      <c r="G25413" s="889"/>
    </row>
    <row r="25414" spans="7:7" ht="10.5" customHeight="1" x14ac:dyDescent="0.2">
      <c r="G25414" s="889"/>
    </row>
    <row r="25415" spans="7:7" ht="10.5" customHeight="1" x14ac:dyDescent="0.2">
      <c r="G25415" s="889"/>
    </row>
    <row r="25416" spans="7:7" ht="10.5" customHeight="1" x14ac:dyDescent="0.2">
      <c r="G25416" s="889"/>
    </row>
    <row r="25417" spans="7:7" ht="10.5" customHeight="1" x14ac:dyDescent="0.2">
      <c r="G25417" s="889"/>
    </row>
    <row r="25418" spans="7:7" ht="10.5" customHeight="1" x14ac:dyDescent="0.2">
      <c r="G25418" s="889"/>
    </row>
    <row r="25419" spans="7:7" ht="10.5" customHeight="1" x14ac:dyDescent="0.2">
      <c r="G25419" s="889"/>
    </row>
    <row r="25420" spans="7:7" ht="10.5" customHeight="1" x14ac:dyDescent="0.2">
      <c r="G25420" s="889"/>
    </row>
    <row r="25421" spans="7:7" ht="10.5" customHeight="1" x14ac:dyDescent="0.2">
      <c r="G25421" s="889"/>
    </row>
    <row r="25422" spans="7:7" ht="10.5" customHeight="1" x14ac:dyDescent="0.2">
      <c r="G25422" s="889"/>
    </row>
    <row r="25423" spans="7:7" ht="10.5" customHeight="1" x14ac:dyDescent="0.2">
      <c r="G25423" s="889"/>
    </row>
    <row r="25424" spans="7:7" ht="10.5" customHeight="1" x14ac:dyDescent="0.2">
      <c r="G25424" s="889"/>
    </row>
    <row r="25425" spans="7:7" ht="10.5" customHeight="1" x14ac:dyDescent="0.2">
      <c r="G25425" s="889"/>
    </row>
    <row r="25426" spans="7:7" ht="10.5" customHeight="1" x14ac:dyDescent="0.2">
      <c r="G25426" s="889"/>
    </row>
    <row r="25427" spans="7:7" ht="10.5" customHeight="1" x14ac:dyDescent="0.2">
      <c r="G25427" s="889"/>
    </row>
    <row r="25428" spans="7:7" ht="10.5" customHeight="1" x14ac:dyDescent="0.2">
      <c r="G25428" s="889"/>
    </row>
    <row r="25429" spans="7:7" ht="10.5" customHeight="1" x14ac:dyDescent="0.2">
      <c r="G25429" s="889"/>
    </row>
    <row r="25430" spans="7:7" ht="10.5" customHeight="1" x14ac:dyDescent="0.2">
      <c r="G25430" s="889"/>
    </row>
    <row r="25431" spans="7:7" ht="10.5" customHeight="1" x14ac:dyDescent="0.2">
      <c r="G25431" s="889"/>
    </row>
    <row r="25432" spans="7:7" ht="10.5" customHeight="1" x14ac:dyDescent="0.2">
      <c r="G25432" s="889"/>
    </row>
    <row r="25433" spans="7:7" ht="10.5" customHeight="1" x14ac:dyDescent="0.2">
      <c r="G25433" s="889"/>
    </row>
    <row r="25434" spans="7:7" ht="10.5" customHeight="1" x14ac:dyDescent="0.2">
      <c r="G25434" s="889"/>
    </row>
    <row r="25435" spans="7:7" ht="10.5" customHeight="1" x14ac:dyDescent="0.2">
      <c r="G25435" s="889"/>
    </row>
    <row r="25436" spans="7:7" ht="10.5" customHeight="1" x14ac:dyDescent="0.2">
      <c r="G25436" s="889"/>
    </row>
    <row r="25437" spans="7:7" ht="10.5" customHeight="1" x14ac:dyDescent="0.2">
      <c r="G25437" s="889"/>
    </row>
    <row r="25438" spans="7:7" ht="10.5" customHeight="1" x14ac:dyDescent="0.2">
      <c r="G25438" s="889"/>
    </row>
    <row r="25439" spans="7:7" ht="10.5" customHeight="1" x14ac:dyDescent="0.2">
      <c r="G25439" s="889"/>
    </row>
    <row r="25440" spans="7:7" ht="10.5" customHeight="1" x14ac:dyDescent="0.2">
      <c r="G25440" s="889"/>
    </row>
    <row r="25441" spans="7:7" ht="10.5" customHeight="1" x14ac:dyDescent="0.2">
      <c r="G25441" s="889"/>
    </row>
    <row r="25442" spans="7:7" ht="10.5" customHeight="1" x14ac:dyDescent="0.2">
      <c r="G25442" s="889"/>
    </row>
    <row r="25443" spans="7:7" ht="10.5" customHeight="1" x14ac:dyDescent="0.2">
      <c r="G25443" s="889"/>
    </row>
    <row r="25444" spans="7:7" ht="10.5" customHeight="1" x14ac:dyDescent="0.2">
      <c r="G25444" s="889"/>
    </row>
    <row r="25445" spans="7:7" ht="10.5" customHeight="1" x14ac:dyDescent="0.2">
      <c r="G25445" s="889"/>
    </row>
    <row r="25446" spans="7:7" ht="10.5" customHeight="1" x14ac:dyDescent="0.2">
      <c r="G25446" s="889"/>
    </row>
    <row r="25447" spans="7:7" ht="10.5" customHeight="1" x14ac:dyDescent="0.2">
      <c r="G25447" s="889"/>
    </row>
    <row r="25448" spans="7:7" ht="10.5" customHeight="1" x14ac:dyDescent="0.2">
      <c r="G25448" s="889"/>
    </row>
    <row r="25449" spans="7:7" ht="10.5" customHeight="1" x14ac:dyDescent="0.2">
      <c r="G25449" s="889"/>
    </row>
    <row r="25450" spans="7:7" ht="10.5" customHeight="1" x14ac:dyDescent="0.2">
      <c r="G25450" s="889"/>
    </row>
    <row r="25451" spans="7:7" ht="10.5" customHeight="1" x14ac:dyDescent="0.2">
      <c r="G25451" s="889"/>
    </row>
    <row r="25452" spans="7:7" ht="10.5" customHeight="1" x14ac:dyDescent="0.2">
      <c r="G25452" s="889"/>
    </row>
    <row r="25453" spans="7:7" ht="10.5" customHeight="1" x14ac:dyDescent="0.2">
      <c r="G25453" s="889"/>
    </row>
    <row r="25454" spans="7:7" ht="10.5" customHeight="1" x14ac:dyDescent="0.2">
      <c r="G25454" s="889"/>
    </row>
    <row r="25455" spans="7:7" ht="10.5" customHeight="1" x14ac:dyDescent="0.2">
      <c r="G25455" s="889"/>
    </row>
    <row r="25456" spans="7:7" ht="10.5" customHeight="1" x14ac:dyDescent="0.2">
      <c r="G25456" s="889"/>
    </row>
    <row r="25457" spans="7:7" ht="10.5" customHeight="1" x14ac:dyDescent="0.2">
      <c r="G25457" s="889"/>
    </row>
    <row r="25458" spans="7:7" ht="10.5" customHeight="1" x14ac:dyDescent="0.2">
      <c r="G25458" s="889"/>
    </row>
    <row r="25459" spans="7:7" ht="10.5" customHeight="1" x14ac:dyDescent="0.2">
      <c r="G25459" s="889"/>
    </row>
    <row r="25460" spans="7:7" ht="10.5" customHeight="1" x14ac:dyDescent="0.2">
      <c r="G25460" s="889"/>
    </row>
    <row r="25461" spans="7:7" ht="10.5" customHeight="1" x14ac:dyDescent="0.2">
      <c r="G25461" s="889"/>
    </row>
    <row r="25462" spans="7:7" ht="10.5" customHeight="1" x14ac:dyDescent="0.2">
      <c r="G25462" s="889"/>
    </row>
    <row r="25463" spans="7:7" ht="10.5" customHeight="1" x14ac:dyDescent="0.2">
      <c r="G25463" s="889"/>
    </row>
    <row r="25464" spans="7:7" ht="10.5" customHeight="1" x14ac:dyDescent="0.2">
      <c r="G25464" s="889"/>
    </row>
    <row r="25465" spans="7:7" ht="10.5" customHeight="1" x14ac:dyDescent="0.2">
      <c r="G25465" s="889"/>
    </row>
    <row r="25466" spans="7:7" ht="10.5" customHeight="1" x14ac:dyDescent="0.2">
      <c r="G25466" s="889"/>
    </row>
    <row r="25467" spans="7:7" ht="10.5" customHeight="1" x14ac:dyDescent="0.2">
      <c r="G25467" s="889"/>
    </row>
    <row r="25468" spans="7:7" ht="10.5" customHeight="1" x14ac:dyDescent="0.2">
      <c r="G25468" s="889"/>
    </row>
    <row r="25469" spans="7:7" ht="10.5" customHeight="1" x14ac:dyDescent="0.2">
      <c r="G25469" s="889"/>
    </row>
    <row r="25470" spans="7:7" ht="10.5" customHeight="1" x14ac:dyDescent="0.2">
      <c r="G25470" s="889"/>
    </row>
    <row r="25471" spans="7:7" ht="10.5" customHeight="1" x14ac:dyDescent="0.2">
      <c r="G25471" s="889"/>
    </row>
    <row r="25472" spans="7:7" ht="10.5" customHeight="1" x14ac:dyDescent="0.2">
      <c r="G25472" s="889"/>
    </row>
    <row r="25473" spans="7:7" ht="10.5" customHeight="1" x14ac:dyDescent="0.2">
      <c r="G25473" s="889"/>
    </row>
    <row r="25474" spans="7:7" ht="10.5" customHeight="1" x14ac:dyDescent="0.2">
      <c r="G25474" s="889"/>
    </row>
    <row r="25475" spans="7:7" ht="10.5" customHeight="1" x14ac:dyDescent="0.2">
      <c r="G25475" s="889"/>
    </row>
    <row r="25476" spans="7:7" ht="10.5" customHeight="1" x14ac:dyDescent="0.2">
      <c r="G25476" s="889"/>
    </row>
    <row r="25477" spans="7:7" ht="10.5" customHeight="1" x14ac:dyDescent="0.2">
      <c r="G25477" s="889"/>
    </row>
    <row r="25478" spans="7:7" ht="10.5" customHeight="1" x14ac:dyDescent="0.2">
      <c r="G25478" s="889"/>
    </row>
    <row r="25479" spans="7:7" ht="10.5" customHeight="1" x14ac:dyDescent="0.2">
      <c r="G25479" s="889"/>
    </row>
    <row r="25480" spans="7:7" ht="10.5" customHeight="1" x14ac:dyDescent="0.2">
      <c r="G25480" s="889"/>
    </row>
    <row r="25481" spans="7:7" ht="10.5" customHeight="1" x14ac:dyDescent="0.2">
      <c r="G25481" s="889"/>
    </row>
    <row r="25482" spans="7:7" ht="10.5" customHeight="1" x14ac:dyDescent="0.2">
      <c r="G25482" s="889"/>
    </row>
    <row r="25483" spans="7:7" ht="10.5" customHeight="1" x14ac:dyDescent="0.2">
      <c r="G25483" s="889"/>
    </row>
    <row r="25484" spans="7:7" ht="10.5" customHeight="1" x14ac:dyDescent="0.2">
      <c r="G25484" s="889"/>
    </row>
    <row r="25485" spans="7:7" ht="10.5" customHeight="1" x14ac:dyDescent="0.2">
      <c r="G25485" s="889"/>
    </row>
    <row r="25486" spans="7:7" ht="10.5" customHeight="1" x14ac:dyDescent="0.2">
      <c r="G25486" s="889"/>
    </row>
    <row r="25487" spans="7:7" ht="10.5" customHeight="1" x14ac:dyDescent="0.2">
      <c r="G25487" s="889"/>
    </row>
    <row r="25488" spans="7:7" ht="10.5" customHeight="1" x14ac:dyDescent="0.2">
      <c r="G25488" s="889"/>
    </row>
    <row r="25489" spans="7:7" ht="10.5" customHeight="1" x14ac:dyDescent="0.2">
      <c r="G25489" s="889"/>
    </row>
    <row r="25490" spans="7:7" ht="10.5" customHeight="1" x14ac:dyDescent="0.2">
      <c r="G25490" s="889"/>
    </row>
    <row r="25491" spans="7:7" ht="10.5" customHeight="1" x14ac:dyDescent="0.2">
      <c r="G25491" s="889"/>
    </row>
    <row r="25492" spans="7:7" ht="10.5" customHeight="1" x14ac:dyDescent="0.2">
      <c r="G25492" s="889"/>
    </row>
    <row r="25493" spans="7:7" ht="10.5" customHeight="1" x14ac:dyDescent="0.2">
      <c r="G25493" s="889"/>
    </row>
    <row r="25494" spans="7:7" ht="10.5" customHeight="1" x14ac:dyDescent="0.2">
      <c r="G25494" s="889"/>
    </row>
    <row r="25495" spans="7:7" ht="10.5" customHeight="1" x14ac:dyDescent="0.2">
      <c r="G25495" s="889"/>
    </row>
    <row r="25496" spans="7:7" ht="10.5" customHeight="1" x14ac:dyDescent="0.2">
      <c r="G25496" s="889"/>
    </row>
    <row r="25497" spans="7:7" ht="10.5" customHeight="1" x14ac:dyDescent="0.2">
      <c r="G25497" s="889"/>
    </row>
    <row r="25498" spans="7:7" ht="10.5" customHeight="1" x14ac:dyDescent="0.2">
      <c r="G25498" s="889"/>
    </row>
    <row r="25499" spans="7:7" ht="10.5" customHeight="1" x14ac:dyDescent="0.2">
      <c r="G25499" s="889"/>
    </row>
    <row r="25500" spans="7:7" ht="10.5" customHeight="1" x14ac:dyDescent="0.2">
      <c r="G25500" s="889"/>
    </row>
    <row r="25501" spans="7:7" ht="10.5" customHeight="1" x14ac:dyDescent="0.2">
      <c r="G25501" s="889"/>
    </row>
    <row r="25502" spans="7:7" ht="10.5" customHeight="1" x14ac:dyDescent="0.2">
      <c r="G25502" s="889"/>
    </row>
    <row r="25503" spans="7:7" ht="10.5" customHeight="1" x14ac:dyDescent="0.2">
      <c r="G25503" s="889"/>
    </row>
    <row r="25504" spans="7:7" ht="10.5" customHeight="1" x14ac:dyDescent="0.2">
      <c r="G25504" s="889"/>
    </row>
    <row r="25505" spans="7:7" ht="10.5" customHeight="1" x14ac:dyDescent="0.2">
      <c r="G25505" s="889"/>
    </row>
    <row r="25506" spans="7:7" ht="10.5" customHeight="1" x14ac:dyDescent="0.2">
      <c r="G25506" s="889"/>
    </row>
    <row r="25507" spans="7:7" ht="10.5" customHeight="1" x14ac:dyDescent="0.2">
      <c r="G25507" s="889"/>
    </row>
    <row r="25508" spans="7:7" ht="10.5" customHeight="1" x14ac:dyDescent="0.2">
      <c r="G25508" s="889"/>
    </row>
    <row r="25509" spans="7:7" ht="10.5" customHeight="1" x14ac:dyDescent="0.2">
      <c r="G25509" s="889"/>
    </row>
    <row r="25510" spans="7:7" ht="10.5" customHeight="1" x14ac:dyDescent="0.2">
      <c r="G25510" s="889"/>
    </row>
    <row r="25511" spans="7:7" ht="10.5" customHeight="1" x14ac:dyDescent="0.2">
      <c r="G25511" s="889"/>
    </row>
    <row r="25512" spans="7:7" ht="10.5" customHeight="1" x14ac:dyDescent="0.2">
      <c r="G25512" s="889"/>
    </row>
    <row r="25513" spans="7:7" ht="10.5" customHeight="1" x14ac:dyDescent="0.2">
      <c r="G25513" s="889"/>
    </row>
    <row r="25514" spans="7:7" ht="10.5" customHeight="1" x14ac:dyDescent="0.2">
      <c r="G25514" s="889"/>
    </row>
    <row r="25515" spans="7:7" ht="10.5" customHeight="1" x14ac:dyDescent="0.2">
      <c r="G25515" s="889"/>
    </row>
    <row r="25516" spans="7:7" ht="10.5" customHeight="1" x14ac:dyDescent="0.2">
      <c r="G25516" s="889"/>
    </row>
    <row r="25517" spans="7:7" ht="10.5" customHeight="1" x14ac:dyDescent="0.2">
      <c r="G25517" s="889"/>
    </row>
    <row r="25518" spans="7:7" ht="10.5" customHeight="1" x14ac:dyDescent="0.2">
      <c r="G25518" s="889"/>
    </row>
    <row r="25519" spans="7:7" ht="10.5" customHeight="1" x14ac:dyDescent="0.2">
      <c r="G25519" s="889"/>
    </row>
    <row r="25520" spans="7:7" ht="10.5" customHeight="1" x14ac:dyDescent="0.2">
      <c r="G25520" s="889"/>
    </row>
    <row r="25521" spans="7:7" ht="10.5" customHeight="1" x14ac:dyDescent="0.2">
      <c r="G25521" s="889"/>
    </row>
    <row r="25522" spans="7:7" ht="10.5" customHeight="1" x14ac:dyDescent="0.2">
      <c r="G25522" s="889"/>
    </row>
    <row r="25523" spans="7:7" ht="10.5" customHeight="1" x14ac:dyDescent="0.2">
      <c r="G25523" s="889"/>
    </row>
    <row r="25524" spans="7:7" ht="10.5" customHeight="1" x14ac:dyDescent="0.2">
      <c r="G25524" s="889"/>
    </row>
    <row r="25525" spans="7:7" ht="10.5" customHeight="1" x14ac:dyDescent="0.2">
      <c r="G25525" s="889"/>
    </row>
    <row r="25526" spans="7:7" ht="10.5" customHeight="1" x14ac:dyDescent="0.2">
      <c r="G25526" s="889"/>
    </row>
    <row r="25527" spans="7:7" ht="10.5" customHeight="1" x14ac:dyDescent="0.2">
      <c r="G25527" s="889"/>
    </row>
    <row r="25528" spans="7:7" ht="10.5" customHeight="1" x14ac:dyDescent="0.2">
      <c r="G25528" s="889"/>
    </row>
    <row r="25529" spans="7:7" ht="10.5" customHeight="1" x14ac:dyDescent="0.2">
      <c r="G25529" s="889"/>
    </row>
    <row r="25530" spans="7:7" ht="10.5" customHeight="1" x14ac:dyDescent="0.2">
      <c r="G25530" s="889"/>
    </row>
    <row r="25531" spans="7:7" ht="10.5" customHeight="1" x14ac:dyDescent="0.2">
      <c r="G25531" s="889"/>
    </row>
    <row r="25532" spans="7:7" ht="10.5" customHeight="1" x14ac:dyDescent="0.2">
      <c r="G25532" s="889"/>
    </row>
    <row r="25533" spans="7:7" ht="10.5" customHeight="1" x14ac:dyDescent="0.2">
      <c r="G25533" s="889"/>
    </row>
    <row r="25534" spans="7:7" ht="10.5" customHeight="1" x14ac:dyDescent="0.2">
      <c r="G25534" s="889"/>
    </row>
    <row r="25535" spans="7:7" ht="10.5" customHeight="1" x14ac:dyDescent="0.2">
      <c r="G25535" s="889"/>
    </row>
    <row r="25536" spans="7:7" ht="10.5" customHeight="1" x14ac:dyDescent="0.2">
      <c r="G25536" s="889"/>
    </row>
    <row r="25537" spans="7:7" ht="10.5" customHeight="1" x14ac:dyDescent="0.2">
      <c r="G25537" s="889"/>
    </row>
    <row r="25538" spans="7:7" ht="10.5" customHeight="1" x14ac:dyDescent="0.2">
      <c r="G25538" s="889"/>
    </row>
    <row r="25539" spans="7:7" ht="10.5" customHeight="1" x14ac:dyDescent="0.2">
      <c r="G25539" s="889"/>
    </row>
    <row r="25540" spans="7:7" ht="10.5" customHeight="1" x14ac:dyDescent="0.2">
      <c r="G25540" s="889"/>
    </row>
    <row r="25541" spans="7:7" ht="10.5" customHeight="1" x14ac:dyDescent="0.2">
      <c r="G25541" s="889"/>
    </row>
    <row r="25542" spans="7:7" ht="10.5" customHeight="1" x14ac:dyDescent="0.2">
      <c r="G25542" s="889"/>
    </row>
    <row r="25543" spans="7:7" ht="10.5" customHeight="1" x14ac:dyDescent="0.2">
      <c r="G25543" s="889"/>
    </row>
    <row r="25544" spans="7:7" ht="10.5" customHeight="1" x14ac:dyDescent="0.2">
      <c r="G25544" s="889"/>
    </row>
    <row r="25545" spans="7:7" ht="10.5" customHeight="1" x14ac:dyDescent="0.2">
      <c r="G25545" s="889"/>
    </row>
    <row r="25546" spans="7:7" ht="10.5" customHeight="1" x14ac:dyDescent="0.2">
      <c r="G25546" s="889"/>
    </row>
    <row r="25547" spans="7:7" ht="10.5" customHeight="1" x14ac:dyDescent="0.2">
      <c r="G25547" s="889"/>
    </row>
    <row r="25548" spans="7:7" ht="10.5" customHeight="1" x14ac:dyDescent="0.2">
      <c r="G25548" s="889"/>
    </row>
    <row r="25549" spans="7:7" ht="10.5" customHeight="1" x14ac:dyDescent="0.2">
      <c r="G25549" s="889"/>
    </row>
    <row r="25550" spans="7:7" ht="10.5" customHeight="1" x14ac:dyDescent="0.2">
      <c r="G25550" s="889"/>
    </row>
    <row r="25551" spans="7:7" ht="10.5" customHeight="1" x14ac:dyDescent="0.2">
      <c r="G25551" s="889"/>
    </row>
    <row r="25552" spans="7:7" ht="10.5" customHeight="1" x14ac:dyDescent="0.2">
      <c r="G25552" s="889"/>
    </row>
    <row r="25553" spans="7:7" ht="10.5" customHeight="1" x14ac:dyDescent="0.2">
      <c r="G25553" s="889"/>
    </row>
    <row r="25554" spans="7:7" ht="10.5" customHeight="1" x14ac:dyDescent="0.2">
      <c r="G25554" s="889"/>
    </row>
    <row r="25555" spans="7:7" ht="10.5" customHeight="1" x14ac:dyDescent="0.2">
      <c r="G25555" s="889"/>
    </row>
    <row r="25556" spans="7:7" ht="10.5" customHeight="1" x14ac:dyDescent="0.2">
      <c r="G25556" s="889"/>
    </row>
    <row r="25557" spans="7:7" ht="10.5" customHeight="1" x14ac:dyDescent="0.2">
      <c r="G25557" s="889"/>
    </row>
    <row r="25558" spans="7:7" ht="10.5" customHeight="1" x14ac:dyDescent="0.2">
      <c r="G25558" s="889"/>
    </row>
    <row r="25559" spans="7:7" ht="10.5" customHeight="1" x14ac:dyDescent="0.2">
      <c r="G25559" s="889"/>
    </row>
    <row r="25560" spans="7:7" ht="10.5" customHeight="1" x14ac:dyDescent="0.2">
      <c r="G25560" s="889"/>
    </row>
    <row r="25561" spans="7:7" ht="10.5" customHeight="1" x14ac:dyDescent="0.2">
      <c r="G25561" s="889"/>
    </row>
    <row r="25562" spans="7:7" ht="10.5" customHeight="1" x14ac:dyDescent="0.2">
      <c r="G25562" s="889"/>
    </row>
    <row r="25563" spans="7:7" ht="10.5" customHeight="1" x14ac:dyDescent="0.2">
      <c r="G25563" s="889"/>
    </row>
    <row r="25564" spans="7:7" ht="10.5" customHeight="1" x14ac:dyDescent="0.2">
      <c r="G25564" s="889"/>
    </row>
    <row r="25565" spans="7:7" ht="10.5" customHeight="1" x14ac:dyDescent="0.2">
      <c r="G25565" s="889"/>
    </row>
    <row r="25566" spans="7:7" ht="10.5" customHeight="1" x14ac:dyDescent="0.2">
      <c r="G25566" s="889"/>
    </row>
    <row r="25567" spans="7:7" ht="10.5" customHeight="1" x14ac:dyDescent="0.2">
      <c r="G25567" s="889"/>
    </row>
    <row r="25568" spans="7:7" ht="10.5" customHeight="1" x14ac:dyDescent="0.2">
      <c r="G25568" s="889"/>
    </row>
    <row r="25569" spans="7:7" ht="10.5" customHeight="1" x14ac:dyDescent="0.2">
      <c r="G25569" s="889"/>
    </row>
    <row r="25570" spans="7:7" ht="10.5" customHeight="1" x14ac:dyDescent="0.2">
      <c r="G25570" s="889"/>
    </row>
    <row r="25571" spans="7:7" ht="10.5" customHeight="1" x14ac:dyDescent="0.2">
      <c r="G25571" s="889"/>
    </row>
    <row r="25572" spans="7:7" ht="10.5" customHeight="1" x14ac:dyDescent="0.2">
      <c r="G25572" s="889"/>
    </row>
    <row r="25573" spans="7:7" ht="10.5" customHeight="1" x14ac:dyDescent="0.2">
      <c r="G25573" s="889"/>
    </row>
    <row r="25574" spans="7:7" ht="10.5" customHeight="1" x14ac:dyDescent="0.2">
      <c r="G25574" s="889"/>
    </row>
    <row r="25575" spans="7:7" ht="10.5" customHeight="1" x14ac:dyDescent="0.2">
      <c r="G25575" s="889"/>
    </row>
    <row r="25576" spans="7:7" ht="10.5" customHeight="1" x14ac:dyDescent="0.2">
      <c r="G25576" s="889"/>
    </row>
    <row r="25577" spans="7:7" ht="10.5" customHeight="1" x14ac:dyDescent="0.2">
      <c r="G25577" s="889"/>
    </row>
    <row r="25578" spans="7:7" ht="10.5" customHeight="1" x14ac:dyDescent="0.2">
      <c r="G25578" s="889"/>
    </row>
    <row r="25579" spans="7:7" ht="10.5" customHeight="1" x14ac:dyDescent="0.2">
      <c r="G25579" s="889"/>
    </row>
    <row r="25580" spans="7:7" ht="10.5" customHeight="1" x14ac:dyDescent="0.2">
      <c r="G25580" s="889"/>
    </row>
    <row r="25581" spans="7:7" ht="10.5" customHeight="1" x14ac:dyDescent="0.2">
      <c r="G25581" s="889"/>
    </row>
    <row r="25582" spans="7:7" ht="10.5" customHeight="1" x14ac:dyDescent="0.2">
      <c r="G25582" s="889"/>
    </row>
    <row r="25583" spans="7:7" ht="10.5" customHeight="1" x14ac:dyDescent="0.2">
      <c r="G25583" s="889"/>
    </row>
    <row r="25584" spans="7:7" ht="10.5" customHeight="1" x14ac:dyDescent="0.2">
      <c r="G25584" s="889"/>
    </row>
    <row r="25585" spans="7:7" ht="10.5" customHeight="1" x14ac:dyDescent="0.2">
      <c r="G25585" s="889"/>
    </row>
    <row r="25586" spans="7:7" ht="10.5" customHeight="1" x14ac:dyDescent="0.2">
      <c r="G25586" s="889"/>
    </row>
    <row r="25587" spans="7:7" ht="10.5" customHeight="1" x14ac:dyDescent="0.2">
      <c r="G25587" s="889"/>
    </row>
    <row r="25588" spans="7:7" ht="10.5" customHeight="1" x14ac:dyDescent="0.2">
      <c r="G25588" s="889"/>
    </row>
    <row r="25589" spans="7:7" ht="10.5" customHeight="1" x14ac:dyDescent="0.2">
      <c r="G25589" s="889"/>
    </row>
    <row r="25590" spans="7:7" ht="10.5" customHeight="1" x14ac:dyDescent="0.2">
      <c r="G25590" s="889"/>
    </row>
    <row r="25591" spans="7:7" ht="10.5" customHeight="1" x14ac:dyDescent="0.2">
      <c r="G25591" s="889"/>
    </row>
    <row r="25592" spans="7:7" ht="10.5" customHeight="1" x14ac:dyDescent="0.2">
      <c r="G25592" s="889"/>
    </row>
    <row r="25593" spans="7:7" ht="10.5" customHeight="1" x14ac:dyDescent="0.2">
      <c r="G25593" s="889"/>
    </row>
    <row r="25594" spans="7:7" ht="10.5" customHeight="1" x14ac:dyDescent="0.2">
      <c r="G25594" s="889"/>
    </row>
    <row r="25595" spans="7:7" ht="10.5" customHeight="1" x14ac:dyDescent="0.2">
      <c r="G25595" s="889"/>
    </row>
    <row r="25596" spans="7:7" ht="10.5" customHeight="1" x14ac:dyDescent="0.2">
      <c r="G25596" s="889"/>
    </row>
    <row r="25597" spans="7:7" ht="10.5" customHeight="1" x14ac:dyDescent="0.2">
      <c r="G25597" s="889"/>
    </row>
    <row r="25598" spans="7:7" ht="10.5" customHeight="1" x14ac:dyDescent="0.2">
      <c r="G25598" s="889"/>
    </row>
    <row r="25599" spans="7:7" ht="10.5" customHeight="1" x14ac:dyDescent="0.2">
      <c r="G25599" s="889"/>
    </row>
    <row r="25600" spans="7:7" ht="10.5" customHeight="1" x14ac:dyDescent="0.2">
      <c r="G25600" s="889"/>
    </row>
    <row r="25601" spans="7:7" ht="10.5" customHeight="1" x14ac:dyDescent="0.2">
      <c r="G25601" s="889"/>
    </row>
    <row r="25602" spans="7:7" ht="10.5" customHeight="1" x14ac:dyDescent="0.2">
      <c r="G25602" s="889"/>
    </row>
    <row r="25603" spans="7:7" ht="10.5" customHeight="1" x14ac:dyDescent="0.2">
      <c r="G25603" s="889"/>
    </row>
    <row r="25604" spans="7:7" ht="10.5" customHeight="1" x14ac:dyDescent="0.2">
      <c r="G25604" s="889"/>
    </row>
    <row r="25605" spans="7:7" ht="10.5" customHeight="1" x14ac:dyDescent="0.2">
      <c r="G25605" s="889"/>
    </row>
    <row r="25606" spans="7:7" ht="10.5" customHeight="1" x14ac:dyDescent="0.2">
      <c r="G25606" s="889"/>
    </row>
    <row r="25607" spans="7:7" ht="10.5" customHeight="1" x14ac:dyDescent="0.2">
      <c r="G25607" s="889"/>
    </row>
    <row r="25608" spans="7:7" ht="10.5" customHeight="1" x14ac:dyDescent="0.2">
      <c r="G25608" s="889"/>
    </row>
    <row r="25609" spans="7:7" ht="10.5" customHeight="1" x14ac:dyDescent="0.2">
      <c r="G25609" s="889"/>
    </row>
    <row r="25610" spans="7:7" ht="10.5" customHeight="1" x14ac:dyDescent="0.2">
      <c r="G25610" s="889"/>
    </row>
    <row r="25611" spans="7:7" ht="10.5" customHeight="1" x14ac:dyDescent="0.2">
      <c r="G25611" s="889"/>
    </row>
    <row r="25612" spans="7:7" ht="10.5" customHeight="1" x14ac:dyDescent="0.2">
      <c r="G25612" s="889"/>
    </row>
    <row r="25613" spans="7:7" ht="10.5" customHeight="1" x14ac:dyDescent="0.2">
      <c r="G25613" s="889"/>
    </row>
    <row r="25614" spans="7:7" ht="10.5" customHeight="1" x14ac:dyDescent="0.2">
      <c r="G25614" s="889"/>
    </row>
    <row r="25615" spans="7:7" ht="10.5" customHeight="1" x14ac:dyDescent="0.2">
      <c r="G25615" s="889"/>
    </row>
    <row r="25616" spans="7:7" ht="10.5" customHeight="1" x14ac:dyDescent="0.2">
      <c r="G25616" s="889"/>
    </row>
    <row r="25617" spans="7:7" ht="10.5" customHeight="1" x14ac:dyDescent="0.2">
      <c r="G25617" s="889"/>
    </row>
    <row r="25618" spans="7:7" ht="10.5" customHeight="1" x14ac:dyDescent="0.2">
      <c r="G25618" s="889"/>
    </row>
    <row r="25619" spans="7:7" ht="10.5" customHeight="1" x14ac:dyDescent="0.2">
      <c r="G25619" s="889"/>
    </row>
    <row r="25620" spans="7:7" ht="10.5" customHeight="1" x14ac:dyDescent="0.2">
      <c r="G25620" s="889"/>
    </row>
    <row r="25621" spans="7:7" ht="10.5" customHeight="1" x14ac:dyDescent="0.2">
      <c r="G25621" s="889"/>
    </row>
    <row r="25622" spans="7:7" ht="10.5" customHeight="1" x14ac:dyDescent="0.2">
      <c r="G25622" s="889"/>
    </row>
    <row r="25623" spans="7:7" ht="10.5" customHeight="1" x14ac:dyDescent="0.2">
      <c r="G25623" s="889"/>
    </row>
    <row r="25624" spans="7:7" ht="10.5" customHeight="1" x14ac:dyDescent="0.2">
      <c r="G25624" s="889"/>
    </row>
    <row r="25625" spans="7:7" ht="10.5" customHeight="1" x14ac:dyDescent="0.2">
      <c r="G25625" s="889"/>
    </row>
    <row r="25626" spans="7:7" ht="10.5" customHeight="1" x14ac:dyDescent="0.2">
      <c r="G25626" s="889"/>
    </row>
    <row r="25627" spans="7:7" ht="10.5" customHeight="1" x14ac:dyDescent="0.2">
      <c r="G25627" s="889"/>
    </row>
    <row r="25628" spans="7:7" ht="10.5" customHeight="1" x14ac:dyDescent="0.2">
      <c r="G25628" s="889"/>
    </row>
    <row r="25629" spans="7:7" ht="10.5" customHeight="1" x14ac:dyDescent="0.2">
      <c r="G25629" s="889"/>
    </row>
    <row r="25630" spans="7:7" ht="10.5" customHeight="1" x14ac:dyDescent="0.2">
      <c r="G25630" s="889"/>
    </row>
    <row r="25631" spans="7:7" ht="10.5" customHeight="1" x14ac:dyDescent="0.2">
      <c r="G25631" s="889"/>
    </row>
    <row r="25632" spans="7:7" ht="10.5" customHeight="1" x14ac:dyDescent="0.2">
      <c r="G25632" s="889"/>
    </row>
    <row r="25633" spans="7:7" ht="10.5" customHeight="1" x14ac:dyDescent="0.2">
      <c r="G25633" s="889"/>
    </row>
    <row r="25634" spans="7:7" ht="10.5" customHeight="1" x14ac:dyDescent="0.2">
      <c r="G25634" s="889"/>
    </row>
    <row r="25635" spans="7:7" ht="10.5" customHeight="1" x14ac:dyDescent="0.2">
      <c r="G25635" s="889"/>
    </row>
    <row r="25636" spans="7:7" ht="10.5" customHeight="1" x14ac:dyDescent="0.2">
      <c r="G25636" s="889"/>
    </row>
    <row r="25637" spans="7:7" ht="10.5" customHeight="1" x14ac:dyDescent="0.2">
      <c r="G25637" s="889"/>
    </row>
    <row r="25638" spans="7:7" ht="10.5" customHeight="1" x14ac:dyDescent="0.2">
      <c r="G25638" s="889"/>
    </row>
    <row r="25639" spans="7:7" ht="10.5" customHeight="1" x14ac:dyDescent="0.2">
      <c r="G25639" s="889"/>
    </row>
    <row r="25640" spans="7:7" ht="10.5" customHeight="1" x14ac:dyDescent="0.2">
      <c r="G25640" s="889"/>
    </row>
    <row r="25641" spans="7:7" ht="10.5" customHeight="1" x14ac:dyDescent="0.2">
      <c r="G25641" s="889"/>
    </row>
    <row r="25642" spans="7:7" ht="10.5" customHeight="1" x14ac:dyDescent="0.2">
      <c r="G25642" s="889"/>
    </row>
    <row r="25643" spans="7:7" ht="10.5" customHeight="1" x14ac:dyDescent="0.2">
      <c r="G25643" s="889"/>
    </row>
    <row r="25644" spans="7:7" ht="10.5" customHeight="1" x14ac:dyDescent="0.2">
      <c r="G25644" s="889"/>
    </row>
    <row r="25645" spans="7:7" ht="10.5" customHeight="1" x14ac:dyDescent="0.2">
      <c r="G25645" s="889"/>
    </row>
    <row r="25646" spans="7:7" ht="10.5" customHeight="1" x14ac:dyDescent="0.2">
      <c r="G25646" s="889"/>
    </row>
    <row r="25647" spans="7:7" ht="10.5" customHeight="1" x14ac:dyDescent="0.2">
      <c r="G25647" s="889"/>
    </row>
    <row r="25648" spans="7:7" ht="10.5" customHeight="1" x14ac:dyDescent="0.2">
      <c r="G25648" s="889"/>
    </row>
    <row r="25649" spans="7:7" ht="10.5" customHeight="1" x14ac:dyDescent="0.2">
      <c r="G25649" s="889"/>
    </row>
    <row r="25650" spans="7:7" ht="10.5" customHeight="1" x14ac:dyDescent="0.2">
      <c r="G25650" s="889"/>
    </row>
    <row r="25651" spans="7:7" ht="10.5" customHeight="1" x14ac:dyDescent="0.2">
      <c r="G25651" s="889"/>
    </row>
    <row r="25652" spans="7:7" ht="10.5" customHeight="1" x14ac:dyDescent="0.2">
      <c r="G25652" s="889"/>
    </row>
    <row r="25653" spans="7:7" ht="10.5" customHeight="1" x14ac:dyDescent="0.2">
      <c r="G25653" s="889"/>
    </row>
    <row r="25654" spans="7:7" ht="10.5" customHeight="1" x14ac:dyDescent="0.2">
      <c r="G25654" s="889"/>
    </row>
    <row r="25655" spans="7:7" ht="10.5" customHeight="1" x14ac:dyDescent="0.2">
      <c r="G25655" s="889"/>
    </row>
    <row r="25656" spans="7:7" ht="10.5" customHeight="1" x14ac:dyDescent="0.2">
      <c r="G25656" s="889"/>
    </row>
    <row r="25657" spans="7:7" ht="10.5" customHeight="1" x14ac:dyDescent="0.2">
      <c r="G25657" s="889"/>
    </row>
    <row r="25658" spans="7:7" ht="10.5" customHeight="1" x14ac:dyDescent="0.2">
      <c r="G25658" s="889"/>
    </row>
    <row r="25659" spans="7:7" ht="10.5" customHeight="1" x14ac:dyDescent="0.2">
      <c r="G25659" s="889"/>
    </row>
    <row r="25660" spans="7:7" ht="10.5" customHeight="1" x14ac:dyDescent="0.2">
      <c r="G25660" s="889"/>
    </row>
    <row r="25661" spans="7:7" ht="10.5" customHeight="1" x14ac:dyDescent="0.2">
      <c r="G25661" s="889"/>
    </row>
    <row r="25662" spans="7:7" ht="10.5" customHeight="1" x14ac:dyDescent="0.2">
      <c r="G25662" s="889"/>
    </row>
    <row r="25663" spans="7:7" ht="10.5" customHeight="1" x14ac:dyDescent="0.2">
      <c r="G25663" s="889"/>
    </row>
    <row r="25664" spans="7:7" ht="10.5" customHeight="1" x14ac:dyDescent="0.2">
      <c r="G25664" s="889"/>
    </row>
    <row r="25665" spans="7:7" ht="10.5" customHeight="1" x14ac:dyDescent="0.2">
      <c r="G25665" s="889"/>
    </row>
    <row r="25666" spans="7:7" ht="10.5" customHeight="1" x14ac:dyDescent="0.2">
      <c r="G25666" s="889"/>
    </row>
    <row r="25667" spans="7:7" ht="10.5" customHeight="1" x14ac:dyDescent="0.2">
      <c r="G25667" s="889"/>
    </row>
    <row r="25668" spans="7:7" ht="10.5" customHeight="1" x14ac:dyDescent="0.2">
      <c r="G25668" s="889"/>
    </row>
    <row r="25669" spans="7:7" ht="10.5" customHeight="1" x14ac:dyDescent="0.2">
      <c r="G25669" s="889"/>
    </row>
    <row r="25670" spans="7:7" ht="10.5" customHeight="1" x14ac:dyDescent="0.2">
      <c r="G25670" s="889"/>
    </row>
    <row r="25671" spans="7:7" ht="10.5" customHeight="1" x14ac:dyDescent="0.2">
      <c r="G25671" s="889"/>
    </row>
    <row r="25672" spans="7:7" ht="10.5" customHeight="1" x14ac:dyDescent="0.2">
      <c r="G25672" s="889"/>
    </row>
    <row r="25673" spans="7:7" ht="10.5" customHeight="1" x14ac:dyDescent="0.2">
      <c r="G25673" s="889"/>
    </row>
    <row r="25674" spans="7:7" ht="10.5" customHeight="1" x14ac:dyDescent="0.2">
      <c r="G25674" s="889"/>
    </row>
    <row r="25675" spans="7:7" ht="10.5" customHeight="1" x14ac:dyDescent="0.2">
      <c r="G25675" s="889"/>
    </row>
    <row r="25676" spans="7:7" ht="10.5" customHeight="1" x14ac:dyDescent="0.2">
      <c r="G25676" s="889"/>
    </row>
    <row r="25677" spans="7:7" ht="10.5" customHeight="1" x14ac:dyDescent="0.2">
      <c r="G25677" s="889"/>
    </row>
    <row r="25678" spans="7:7" ht="10.5" customHeight="1" x14ac:dyDescent="0.2">
      <c r="G25678" s="889"/>
    </row>
    <row r="25679" spans="7:7" ht="10.5" customHeight="1" x14ac:dyDescent="0.2">
      <c r="G25679" s="889"/>
    </row>
    <row r="25680" spans="7:7" ht="10.5" customHeight="1" x14ac:dyDescent="0.2">
      <c r="G25680" s="889"/>
    </row>
    <row r="25681" spans="7:7" ht="10.5" customHeight="1" x14ac:dyDescent="0.2">
      <c r="G25681" s="889"/>
    </row>
    <row r="25682" spans="7:7" ht="10.5" customHeight="1" x14ac:dyDescent="0.2">
      <c r="G25682" s="889"/>
    </row>
    <row r="25683" spans="7:7" ht="10.5" customHeight="1" x14ac:dyDescent="0.2">
      <c r="G25683" s="889"/>
    </row>
    <row r="25684" spans="7:7" ht="10.5" customHeight="1" x14ac:dyDescent="0.2">
      <c r="G25684" s="889"/>
    </row>
    <row r="25685" spans="7:7" ht="10.5" customHeight="1" x14ac:dyDescent="0.2">
      <c r="G25685" s="889"/>
    </row>
    <row r="25686" spans="7:7" ht="10.5" customHeight="1" x14ac:dyDescent="0.2">
      <c r="G25686" s="889"/>
    </row>
    <row r="25687" spans="7:7" ht="10.5" customHeight="1" x14ac:dyDescent="0.2">
      <c r="G25687" s="889"/>
    </row>
    <row r="25688" spans="7:7" ht="10.5" customHeight="1" x14ac:dyDescent="0.2">
      <c r="G25688" s="889"/>
    </row>
    <row r="25689" spans="7:7" ht="10.5" customHeight="1" x14ac:dyDescent="0.2">
      <c r="G25689" s="889"/>
    </row>
    <row r="25690" spans="7:7" ht="10.5" customHeight="1" x14ac:dyDescent="0.2">
      <c r="G25690" s="889"/>
    </row>
    <row r="25691" spans="7:7" ht="10.5" customHeight="1" x14ac:dyDescent="0.2">
      <c r="G25691" s="889"/>
    </row>
    <row r="25692" spans="7:7" ht="10.5" customHeight="1" x14ac:dyDescent="0.2">
      <c r="G25692" s="889"/>
    </row>
    <row r="25693" spans="7:7" ht="10.5" customHeight="1" x14ac:dyDescent="0.2">
      <c r="G25693" s="889"/>
    </row>
    <row r="25694" spans="7:7" ht="10.5" customHeight="1" x14ac:dyDescent="0.2">
      <c r="G25694" s="889"/>
    </row>
    <row r="25695" spans="7:7" ht="10.5" customHeight="1" x14ac:dyDescent="0.2">
      <c r="G25695" s="889"/>
    </row>
    <row r="25696" spans="7:7" ht="10.5" customHeight="1" x14ac:dyDescent="0.2">
      <c r="G25696" s="889"/>
    </row>
    <row r="25697" spans="7:7" ht="10.5" customHeight="1" x14ac:dyDescent="0.2">
      <c r="G25697" s="889"/>
    </row>
    <row r="25698" spans="7:7" ht="10.5" customHeight="1" x14ac:dyDescent="0.2">
      <c r="G25698" s="889"/>
    </row>
    <row r="25699" spans="7:7" ht="10.5" customHeight="1" x14ac:dyDescent="0.2">
      <c r="G25699" s="889"/>
    </row>
    <row r="25700" spans="7:7" ht="10.5" customHeight="1" x14ac:dyDescent="0.2">
      <c r="G25700" s="889"/>
    </row>
    <row r="25701" spans="7:7" ht="10.5" customHeight="1" x14ac:dyDescent="0.2">
      <c r="G25701" s="889"/>
    </row>
    <row r="25702" spans="7:7" ht="10.5" customHeight="1" x14ac:dyDescent="0.2">
      <c r="G25702" s="889"/>
    </row>
    <row r="25703" spans="7:7" ht="10.5" customHeight="1" x14ac:dyDescent="0.2">
      <c r="G25703" s="889"/>
    </row>
    <row r="25704" spans="7:7" ht="10.5" customHeight="1" x14ac:dyDescent="0.2">
      <c r="G25704" s="889"/>
    </row>
    <row r="25705" spans="7:7" ht="10.5" customHeight="1" x14ac:dyDescent="0.2">
      <c r="G25705" s="889"/>
    </row>
    <row r="25706" spans="7:7" ht="10.5" customHeight="1" x14ac:dyDescent="0.2">
      <c r="G25706" s="889"/>
    </row>
    <row r="25707" spans="7:7" ht="10.5" customHeight="1" x14ac:dyDescent="0.2">
      <c r="G25707" s="889"/>
    </row>
    <row r="25708" spans="7:7" ht="10.5" customHeight="1" x14ac:dyDescent="0.2">
      <c r="G25708" s="889"/>
    </row>
    <row r="25709" spans="7:7" ht="10.5" customHeight="1" x14ac:dyDescent="0.2">
      <c r="G25709" s="889"/>
    </row>
    <row r="25710" spans="7:7" ht="10.5" customHeight="1" x14ac:dyDescent="0.2">
      <c r="G25710" s="889"/>
    </row>
    <row r="25711" spans="7:7" ht="10.5" customHeight="1" x14ac:dyDescent="0.2">
      <c r="G25711" s="889"/>
    </row>
    <row r="25712" spans="7:7" ht="10.5" customHeight="1" x14ac:dyDescent="0.2">
      <c r="G25712" s="889"/>
    </row>
    <row r="25713" spans="7:7" ht="10.5" customHeight="1" x14ac:dyDescent="0.2">
      <c r="G25713" s="889"/>
    </row>
    <row r="25714" spans="7:7" ht="10.5" customHeight="1" x14ac:dyDescent="0.2">
      <c r="G25714" s="889"/>
    </row>
    <row r="25715" spans="7:7" ht="10.5" customHeight="1" x14ac:dyDescent="0.2">
      <c r="G25715" s="889"/>
    </row>
    <row r="25716" spans="7:7" ht="10.5" customHeight="1" x14ac:dyDescent="0.2">
      <c r="G25716" s="889"/>
    </row>
    <row r="25717" spans="7:7" ht="10.5" customHeight="1" x14ac:dyDescent="0.2">
      <c r="G25717" s="889"/>
    </row>
    <row r="25718" spans="7:7" ht="10.5" customHeight="1" x14ac:dyDescent="0.2">
      <c r="G25718" s="889"/>
    </row>
    <row r="25719" spans="7:7" ht="10.5" customHeight="1" x14ac:dyDescent="0.2">
      <c r="G25719" s="889"/>
    </row>
    <row r="25720" spans="7:7" ht="10.5" customHeight="1" x14ac:dyDescent="0.2">
      <c r="G25720" s="889"/>
    </row>
    <row r="25721" spans="7:7" ht="10.5" customHeight="1" x14ac:dyDescent="0.2">
      <c r="G25721" s="889"/>
    </row>
    <row r="25722" spans="7:7" ht="10.5" customHeight="1" x14ac:dyDescent="0.2">
      <c r="G25722" s="889"/>
    </row>
    <row r="25723" spans="7:7" ht="10.5" customHeight="1" x14ac:dyDescent="0.2">
      <c r="G25723" s="889"/>
    </row>
    <row r="25724" spans="7:7" ht="10.5" customHeight="1" x14ac:dyDescent="0.2">
      <c r="G25724" s="889"/>
    </row>
    <row r="25725" spans="7:7" ht="10.5" customHeight="1" x14ac:dyDescent="0.2">
      <c r="G25725" s="889"/>
    </row>
    <row r="25726" spans="7:7" ht="10.5" customHeight="1" x14ac:dyDescent="0.2">
      <c r="G25726" s="889"/>
    </row>
    <row r="25727" spans="7:7" ht="10.5" customHeight="1" x14ac:dyDescent="0.2">
      <c r="G25727" s="889"/>
    </row>
    <row r="25728" spans="7:7" ht="10.5" customHeight="1" x14ac:dyDescent="0.2">
      <c r="G25728" s="889"/>
    </row>
    <row r="25729" spans="7:7" ht="10.5" customHeight="1" x14ac:dyDescent="0.2">
      <c r="G25729" s="889"/>
    </row>
    <row r="25730" spans="7:7" ht="10.5" customHeight="1" x14ac:dyDescent="0.2">
      <c r="G25730" s="889"/>
    </row>
    <row r="25731" spans="7:7" ht="10.5" customHeight="1" x14ac:dyDescent="0.2">
      <c r="G25731" s="889"/>
    </row>
    <row r="25732" spans="7:7" ht="10.5" customHeight="1" x14ac:dyDescent="0.2">
      <c r="G25732" s="889"/>
    </row>
    <row r="25733" spans="7:7" ht="10.5" customHeight="1" x14ac:dyDescent="0.2">
      <c r="G25733" s="889"/>
    </row>
    <row r="25734" spans="7:7" ht="10.5" customHeight="1" x14ac:dyDescent="0.2">
      <c r="G25734" s="889"/>
    </row>
    <row r="25735" spans="7:7" ht="10.5" customHeight="1" x14ac:dyDescent="0.2">
      <c r="G25735" s="889"/>
    </row>
    <row r="25736" spans="7:7" ht="10.5" customHeight="1" x14ac:dyDescent="0.2">
      <c r="G25736" s="889"/>
    </row>
    <row r="25737" spans="7:7" ht="10.5" customHeight="1" x14ac:dyDescent="0.2">
      <c r="G25737" s="889"/>
    </row>
    <row r="25738" spans="7:7" ht="10.5" customHeight="1" x14ac:dyDescent="0.2">
      <c r="G25738" s="889"/>
    </row>
    <row r="25739" spans="7:7" ht="10.5" customHeight="1" x14ac:dyDescent="0.2">
      <c r="G25739" s="889"/>
    </row>
    <row r="25740" spans="7:7" ht="10.5" customHeight="1" x14ac:dyDescent="0.2">
      <c r="G25740" s="889"/>
    </row>
    <row r="25741" spans="7:7" ht="10.5" customHeight="1" x14ac:dyDescent="0.2">
      <c r="G25741" s="889"/>
    </row>
    <row r="25742" spans="7:7" ht="10.5" customHeight="1" x14ac:dyDescent="0.2">
      <c r="G25742" s="889"/>
    </row>
    <row r="25743" spans="7:7" ht="10.5" customHeight="1" x14ac:dyDescent="0.2">
      <c r="G25743" s="889"/>
    </row>
    <row r="25744" spans="7:7" ht="10.5" customHeight="1" x14ac:dyDescent="0.2">
      <c r="G25744" s="889"/>
    </row>
    <row r="25745" spans="7:7" ht="10.5" customHeight="1" x14ac:dyDescent="0.2">
      <c r="G25745" s="889"/>
    </row>
    <row r="25746" spans="7:7" ht="10.5" customHeight="1" x14ac:dyDescent="0.2">
      <c r="G25746" s="889"/>
    </row>
    <row r="25747" spans="7:7" ht="10.5" customHeight="1" x14ac:dyDescent="0.2">
      <c r="G25747" s="889"/>
    </row>
    <row r="25748" spans="7:7" ht="10.5" customHeight="1" x14ac:dyDescent="0.2">
      <c r="G25748" s="889"/>
    </row>
    <row r="25749" spans="7:7" ht="10.5" customHeight="1" x14ac:dyDescent="0.2">
      <c r="G25749" s="889"/>
    </row>
    <row r="25750" spans="7:7" ht="10.5" customHeight="1" x14ac:dyDescent="0.2">
      <c r="G25750" s="889"/>
    </row>
    <row r="25751" spans="7:7" ht="10.5" customHeight="1" x14ac:dyDescent="0.2">
      <c r="G25751" s="889"/>
    </row>
    <row r="25752" spans="7:7" ht="10.5" customHeight="1" x14ac:dyDescent="0.2">
      <c r="G25752" s="889"/>
    </row>
    <row r="25753" spans="7:7" ht="10.5" customHeight="1" x14ac:dyDescent="0.2">
      <c r="G25753" s="889"/>
    </row>
    <row r="25754" spans="7:7" ht="10.5" customHeight="1" x14ac:dyDescent="0.2">
      <c r="G25754" s="889"/>
    </row>
    <row r="25755" spans="7:7" ht="10.5" customHeight="1" x14ac:dyDescent="0.2">
      <c r="G25755" s="889"/>
    </row>
    <row r="25756" spans="7:7" ht="10.5" customHeight="1" x14ac:dyDescent="0.2">
      <c r="G25756" s="889"/>
    </row>
    <row r="25757" spans="7:7" ht="10.5" customHeight="1" x14ac:dyDescent="0.2">
      <c r="G25757" s="889"/>
    </row>
    <row r="25758" spans="7:7" ht="10.5" customHeight="1" x14ac:dyDescent="0.2">
      <c r="G25758" s="889"/>
    </row>
    <row r="25759" spans="7:7" ht="10.5" customHeight="1" x14ac:dyDescent="0.2">
      <c r="G25759" s="889"/>
    </row>
    <row r="25760" spans="7:7" ht="10.5" customHeight="1" x14ac:dyDescent="0.2">
      <c r="G25760" s="889"/>
    </row>
    <row r="25761" spans="7:7" ht="10.5" customHeight="1" x14ac:dyDescent="0.2">
      <c r="G25761" s="889"/>
    </row>
    <row r="25762" spans="7:7" ht="10.5" customHeight="1" x14ac:dyDescent="0.2">
      <c r="G25762" s="889"/>
    </row>
    <row r="25763" spans="7:7" ht="10.5" customHeight="1" x14ac:dyDescent="0.2">
      <c r="G25763" s="889"/>
    </row>
    <row r="25764" spans="7:7" ht="10.5" customHeight="1" x14ac:dyDescent="0.2">
      <c r="G25764" s="889"/>
    </row>
    <row r="25765" spans="7:7" ht="10.5" customHeight="1" x14ac:dyDescent="0.2">
      <c r="G25765" s="889"/>
    </row>
    <row r="25766" spans="7:7" ht="10.5" customHeight="1" x14ac:dyDescent="0.2">
      <c r="G25766" s="889"/>
    </row>
    <row r="25767" spans="7:7" ht="10.5" customHeight="1" x14ac:dyDescent="0.2">
      <c r="G25767" s="889"/>
    </row>
    <row r="25768" spans="7:7" ht="10.5" customHeight="1" x14ac:dyDescent="0.2">
      <c r="G25768" s="889"/>
    </row>
    <row r="25769" spans="7:7" ht="10.5" customHeight="1" x14ac:dyDescent="0.2">
      <c r="G25769" s="889"/>
    </row>
    <row r="25770" spans="7:7" ht="10.5" customHeight="1" x14ac:dyDescent="0.2">
      <c r="G25770" s="889"/>
    </row>
    <row r="25771" spans="7:7" ht="10.5" customHeight="1" x14ac:dyDescent="0.2">
      <c r="G25771" s="889"/>
    </row>
    <row r="25772" spans="7:7" ht="10.5" customHeight="1" x14ac:dyDescent="0.2">
      <c r="G25772" s="889"/>
    </row>
    <row r="25773" spans="7:7" ht="10.5" customHeight="1" x14ac:dyDescent="0.2">
      <c r="G25773" s="889"/>
    </row>
    <row r="25774" spans="7:7" ht="10.5" customHeight="1" x14ac:dyDescent="0.2">
      <c r="G25774" s="889"/>
    </row>
    <row r="25775" spans="7:7" ht="10.5" customHeight="1" x14ac:dyDescent="0.2">
      <c r="G25775" s="889"/>
    </row>
    <row r="25776" spans="7:7" ht="10.5" customHeight="1" x14ac:dyDescent="0.2">
      <c r="G25776" s="889"/>
    </row>
    <row r="25777" spans="7:7" ht="10.5" customHeight="1" x14ac:dyDescent="0.2">
      <c r="G25777" s="889"/>
    </row>
    <row r="25778" spans="7:7" ht="10.5" customHeight="1" x14ac:dyDescent="0.2">
      <c r="G25778" s="889"/>
    </row>
    <row r="25779" spans="7:7" ht="10.5" customHeight="1" x14ac:dyDescent="0.2">
      <c r="G25779" s="889"/>
    </row>
    <row r="25780" spans="7:7" ht="10.5" customHeight="1" x14ac:dyDescent="0.2">
      <c r="G25780" s="889"/>
    </row>
    <row r="25781" spans="7:7" ht="10.5" customHeight="1" x14ac:dyDescent="0.2">
      <c r="G25781" s="889"/>
    </row>
    <row r="25782" spans="7:7" ht="10.5" customHeight="1" x14ac:dyDescent="0.2">
      <c r="G25782" s="889"/>
    </row>
    <row r="25783" spans="7:7" ht="10.5" customHeight="1" x14ac:dyDescent="0.2">
      <c r="G25783" s="889"/>
    </row>
    <row r="25784" spans="7:7" ht="10.5" customHeight="1" x14ac:dyDescent="0.2">
      <c r="G25784" s="889"/>
    </row>
    <row r="25785" spans="7:7" ht="10.5" customHeight="1" x14ac:dyDescent="0.2">
      <c r="G25785" s="889"/>
    </row>
    <row r="25786" spans="7:7" ht="10.5" customHeight="1" x14ac:dyDescent="0.2">
      <c r="G25786" s="889"/>
    </row>
    <row r="25787" spans="7:7" ht="10.5" customHeight="1" x14ac:dyDescent="0.2">
      <c r="G25787" s="889"/>
    </row>
    <row r="25788" spans="7:7" ht="10.5" customHeight="1" x14ac:dyDescent="0.2">
      <c r="G25788" s="889"/>
    </row>
    <row r="25789" spans="7:7" ht="10.5" customHeight="1" x14ac:dyDescent="0.2">
      <c r="G25789" s="889"/>
    </row>
    <row r="25790" spans="7:7" ht="10.5" customHeight="1" x14ac:dyDescent="0.2">
      <c r="G25790" s="889"/>
    </row>
    <row r="25791" spans="7:7" ht="10.5" customHeight="1" x14ac:dyDescent="0.2">
      <c r="G25791" s="889"/>
    </row>
    <row r="25792" spans="7:7" ht="10.5" customHeight="1" x14ac:dyDescent="0.2">
      <c r="G25792" s="889"/>
    </row>
    <row r="25793" spans="7:7" ht="10.5" customHeight="1" x14ac:dyDescent="0.2">
      <c r="G25793" s="889"/>
    </row>
    <row r="25794" spans="7:7" ht="10.5" customHeight="1" x14ac:dyDescent="0.2">
      <c r="G25794" s="889"/>
    </row>
    <row r="25795" spans="7:7" ht="10.5" customHeight="1" x14ac:dyDescent="0.2">
      <c r="G25795" s="889"/>
    </row>
    <row r="25796" spans="7:7" ht="10.5" customHeight="1" x14ac:dyDescent="0.2">
      <c r="G25796" s="889"/>
    </row>
    <row r="25797" spans="7:7" ht="10.5" customHeight="1" x14ac:dyDescent="0.2">
      <c r="G25797" s="889"/>
    </row>
    <row r="25798" spans="7:7" ht="10.5" customHeight="1" x14ac:dyDescent="0.2">
      <c r="G25798" s="889"/>
    </row>
    <row r="25799" spans="7:7" ht="10.5" customHeight="1" x14ac:dyDescent="0.2">
      <c r="G25799" s="889"/>
    </row>
    <row r="25800" spans="7:7" ht="10.5" customHeight="1" x14ac:dyDescent="0.2">
      <c r="G25800" s="889"/>
    </row>
    <row r="25801" spans="7:7" ht="10.5" customHeight="1" x14ac:dyDescent="0.2">
      <c r="G25801" s="889"/>
    </row>
    <row r="25802" spans="7:7" ht="10.5" customHeight="1" x14ac:dyDescent="0.2">
      <c r="G25802" s="889"/>
    </row>
    <row r="25803" spans="7:7" ht="10.5" customHeight="1" x14ac:dyDescent="0.2">
      <c r="G25803" s="889"/>
    </row>
    <row r="25804" spans="7:7" ht="10.5" customHeight="1" x14ac:dyDescent="0.2">
      <c r="G25804" s="889"/>
    </row>
    <row r="25805" spans="7:7" ht="10.5" customHeight="1" x14ac:dyDescent="0.2">
      <c r="G25805" s="889"/>
    </row>
    <row r="25806" spans="7:7" ht="10.5" customHeight="1" x14ac:dyDescent="0.2">
      <c r="G25806" s="889"/>
    </row>
    <row r="25807" spans="7:7" ht="10.5" customHeight="1" x14ac:dyDescent="0.2">
      <c r="G25807" s="889"/>
    </row>
    <row r="25808" spans="7:7" ht="10.5" customHeight="1" x14ac:dyDescent="0.2">
      <c r="G25808" s="889"/>
    </row>
    <row r="25809" spans="7:7" ht="10.5" customHeight="1" x14ac:dyDescent="0.2">
      <c r="G25809" s="889"/>
    </row>
    <row r="25810" spans="7:7" ht="10.5" customHeight="1" x14ac:dyDescent="0.2">
      <c r="G25810" s="889"/>
    </row>
    <row r="25811" spans="7:7" ht="10.5" customHeight="1" x14ac:dyDescent="0.2">
      <c r="G25811" s="889"/>
    </row>
    <row r="25812" spans="7:7" ht="10.5" customHeight="1" x14ac:dyDescent="0.2">
      <c r="G25812" s="889"/>
    </row>
    <row r="25813" spans="7:7" ht="10.5" customHeight="1" x14ac:dyDescent="0.2">
      <c r="G25813" s="889"/>
    </row>
    <row r="25814" spans="7:7" ht="10.5" customHeight="1" x14ac:dyDescent="0.2">
      <c r="G25814" s="889"/>
    </row>
    <row r="25815" spans="7:7" ht="10.5" customHeight="1" x14ac:dyDescent="0.2">
      <c r="G25815" s="889"/>
    </row>
    <row r="25816" spans="7:7" ht="10.5" customHeight="1" x14ac:dyDescent="0.2">
      <c r="G25816" s="889"/>
    </row>
    <row r="25817" spans="7:7" ht="10.5" customHeight="1" x14ac:dyDescent="0.2">
      <c r="G25817" s="889"/>
    </row>
    <row r="25818" spans="7:7" ht="10.5" customHeight="1" x14ac:dyDescent="0.2">
      <c r="G25818" s="889"/>
    </row>
    <row r="25819" spans="7:7" ht="10.5" customHeight="1" x14ac:dyDescent="0.2">
      <c r="G25819" s="889"/>
    </row>
    <row r="25820" spans="7:7" ht="10.5" customHeight="1" x14ac:dyDescent="0.2">
      <c r="G25820" s="889"/>
    </row>
    <row r="25821" spans="7:7" ht="10.5" customHeight="1" x14ac:dyDescent="0.2">
      <c r="G25821" s="889"/>
    </row>
    <row r="25822" spans="7:7" ht="10.5" customHeight="1" x14ac:dyDescent="0.2">
      <c r="G25822" s="889"/>
    </row>
    <row r="25823" spans="7:7" ht="10.5" customHeight="1" x14ac:dyDescent="0.2">
      <c r="G25823" s="889"/>
    </row>
    <row r="25824" spans="7:7" ht="10.5" customHeight="1" x14ac:dyDescent="0.2">
      <c r="G25824" s="889"/>
    </row>
    <row r="25825" spans="7:7" ht="10.5" customHeight="1" x14ac:dyDescent="0.2">
      <c r="G25825" s="889"/>
    </row>
    <row r="25826" spans="7:7" ht="10.5" customHeight="1" x14ac:dyDescent="0.2">
      <c r="G25826" s="889"/>
    </row>
    <row r="25827" spans="7:7" ht="10.5" customHeight="1" x14ac:dyDescent="0.2">
      <c r="G25827" s="889"/>
    </row>
    <row r="25828" spans="7:7" ht="10.5" customHeight="1" x14ac:dyDescent="0.2">
      <c r="G25828" s="889"/>
    </row>
    <row r="25829" spans="7:7" ht="10.5" customHeight="1" x14ac:dyDescent="0.2">
      <c r="G25829" s="889"/>
    </row>
    <row r="25830" spans="7:7" ht="10.5" customHeight="1" x14ac:dyDescent="0.2">
      <c r="G25830" s="889"/>
    </row>
    <row r="25831" spans="7:7" ht="10.5" customHeight="1" x14ac:dyDescent="0.2">
      <c r="G25831" s="889"/>
    </row>
    <row r="25832" spans="7:7" ht="10.5" customHeight="1" x14ac:dyDescent="0.2">
      <c r="G25832" s="889"/>
    </row>
    <row r="25833" spans="7:7" ht="10.5" customHeight="1" x14ac:dyDescent="0.2">
      <c r="G25833" s="889"/>
    </row>
    <row r="25834" spans="7:7" ht="10.5" customHeight="1" x14ac:dyDescent="0.2">
      <c r="G25834" s="889"/>
    </row>
    <row r="25835" spans="7:7" ht="10.5" customHeight="1" x14ac:dyDescent="0.2">
      <c r="G25835" s="889"/>
    </row>
    <row r="25836" spans="7:7" ht="10.5" customHeight="1" x14ac:dyDescent="0.2">
      <c r="G25836" s="889"/>
    </row>
    <row r="25837" spans="7:7" ht="10.5" customHeight="1" x14ac:dyDescent="0.2">
      <c r="G25837" s="889"/>
    </row>
    <row r="25838" spans="7:7" ht="10.5" customHeight="1" x14ac:dyDescent="0.2">
      <c r="G25838" s="889"/>
    </row>
    <row r="25839" spans="7:7" ht="10.5" customHeight="1" x14ac:dyDescent="0.2">
      <c r="G25839" s="889"/>
    </row>
    <row r="25840" spans="7:7" ht="10.5" customHeight="1" x14ac:dyDescent="0.2">
      <c r="G25840" s="889"/>
    </row>
    <row r="25841" spans="7:7" ht="10.5" customHeight="1" x14ac:dyDescent="0.2">
      <c r="G25841" s="889"/>
    </row>
    <row r="25842" spans="7:7" ht="10.5" customHeight="1" x14ac:dyDescent="0.2">
      <c r="G25842" s="889"/>
    </row>
    <row r="25843" spans="7:7" ht="10.5" customHeight="1" x14ac:dyDescent="0.2">
      <c r="G25843" s="889"/>
    </row>
    <row r="25844" spans="7:7" ht="10.5" customHeight="1" x14ac:dyDescent="0.2">
      <c r="G25844" s="889"/>
    </row>
    <row r="25845" spans="7:7" ht="10.5" customHeight="1" x14ac:dyDescent="0.2">
      <c r="G25845" s="889"/>
    </row>
    <row r="25846" spans="7:7" ht="10.5" customHeight="1" x14ac:dyDescent="0.2">
      <c r="G25846" s="889"/>
    </row>
    <row r="25847" spans="7:7" ht="10.5" customHeight="1" x14ac:dyDescent="0.2">
      <c r="G25847" s="889"/>
    </row>
    <row r="25848" spans="7:7" ht="10.5" customHeight="1" x14ac:dyDescent="0.2">
      <c r="G25848" s="889"/>
    </row>
    <row r="25849" spans="7:7" ht="10.5" customHeight="1" x14ac:dyDescent="0.2">
      <c r="G25849" s="889"/>
    </row>
    <row r="25850" spans="7:7" ht="10.5" customHeight="1" x14ac:dyDescent="0.2">
      <c r="G25850" s="889"/>
    </row>
    <row r="25851" spans="7:7" ht="10.5" customHeight="1" x14ac:dyDescent="0.2">
      <c r="G25851" s="889"/>
    </row>
    <row r="25852" spans="7:7" ht="10.5" customHeight="1" x14ac:dyDescent="0.2">
      <c r="G25852" s="889"/>
    </row>
    <row r="25853" spans="7:7" ht="10.5" customHeight="1" x14ac:dyDescent="0.2">
      <c r="G25853" s="889"/>
    </row>
    <row r="25854" spans="7:7" ht="10.5" customHeight="1" x14ac:dyDescent="0.2">
      <c r="G25854" s="889"/>
    </row>
    <row r="25855" spans="7:7" ht="10.5" customHeight="1" x14ac:dyDescent="0.2">
      <c r="G25855" s="889"/>
    </row>
    <row r="25856" spans="7:7" ht="10.5" customHeight="1" x14ac:dyDescent="0.2">
      <c r="G25856" s="889"/>
    </row>
    <row r="25857" spans="7:7" ht="10.5" customHeight="1" x14ac:dyDescent="0.2">
      <c r="G25857" s="889"/>
    </row>
    <row r="25858" spans="7:7" ht="10.5" customHeight="1" x14ac:dyDescent="0.2">
      <c r="G25858" s="889"/>
    </row>
    <row r="25859" spans="7:7" ht="10.5" customHeight="1" x14ac:dyDescent="0.2">
      <c r="G25859" s="889"/>
    </row>
    <row r="25860" spans="7:7" ht="10.5" customHeight="1" x14ac:dyDescent="0.2">
      <c r="G25860" s="889"/>
    </row>
    <row r="25861" spans="7:7" ht="10.5" customHeight="1" x14ac:dyDescent="0.2">
      <c r="G25861" s="889"/>
    </row>
    <row r="25862" spans="7:7" ht="10.5" customHeight="1" x14ac:dyDescent="0.2">
      <c r="G25862" s="889"/>
    </row>
    <row r="25863" spans="7:7" ht="10.5" customHeight="1" x14ac:dyDescent="0.2">
      <c r="G25863" s="889"/>
    </row>
    <row r="25864" spans="7:7" ht="10.5" customHeight="1" x14ac:dyDescent="0.2">
      <c r="G25864" s="889"/>
    </row>
    <row r="25865" spans="7:7" ht="10.5" customHeight="1" x14ac:dyDescent="0.2">
      <c r="G25865" s="889"/>
    </row>
    <row r="25866" spans="7:7" ht="10.5" customHeight="1" x14ac:dyDescent="0.2">
      <c r="G25866" s="889"/>
    </row>
    <row r="25867" spans="7:7" ht="10.5" customHeight="1" x14ac:dyDescent="0.2">
      <c r="G25867" s="889"/>
    </row>
    <row r="25868" spans="7:7" ht="10.5" customHeight="1" x14ac:dyDescent="0.2">
      <c r="G25868" s="889"/>
    </row>
    <row r="25869" spans="7:7" ht="10.5" customHeight="1" x14ac:dyDescent="0.2">
      <c r="G25869" s="889"/>
    </row>
    <row r="25870" spans="7:7" ht="10.5" customHeight="1" x14ac:dyDescent="0.2">
      <c r="G25870" s="889"/>
    </row>
    <row r="25871" spans="7:7" ht="10.5" customHeight="1" x14ac:dyDescent="0.2">
      <c r="G25871" s="889"/>
    </row>
    <row r="25872" spans="7:7" ht="10.5" customHeight="1" x14ac:dyDescent="0.2">
      <c r="G25872" s="889"/>
    </row>
    <row r="25873" spans="7:7" ht="10.5" customHeight="1" x14ac:dyDescent="0.2">
      <c r="G25873" s="889"/>
    </row>
    <row r="25874" spans="7:7" ht="10.5" customHeight="1" x14ac:dyDescent="0.2">
      <c r="G25874" s="889"/>
    </row>
    <row r="25875" spans="7:7" ht="10.5" customHeight="1" x14ac:dyDescent="0.2">
      <c r="G25875" s="889"/>
    </row>
    <row r="25876" spans="7:7" ht="10.5" customHeight="1" x14ac:dyDescent="0.2">
      <c r="G25876" s="889"/>
    </row>
    <row r="25877" spans="7:7" ht="10.5" customHeight="1" x14ac:dyDescent="0.2">
      <c r="G25877" s="889"/>
    </row>
    <row r="25878" spans="7:7" ht="10.5" customHeight="1" x14ac:dyDescent="0.2">
      <c r="G25878" s="889"/>
    </row>
    <row r="25879" spans="7:7" ht="10.5" customHeight="1" x14ac:dyDescent="0.2">
      <c r="G25879" s="889"/>
    </row>
    <row r="25880" spans="7:7" ht="10.5" customHeight="1" x14ac:dyDescent="0.2">
      <c r="G25880" s="889"/>
    </row>
    <row r="25881" spans="7:7" ht="10.5" customHeight="1" x14ac:dyDescent="0.2">
      <c r="G25881" s="889"/>
    </row>
    <row r="25882" spans="7:7" ht="10.5" customHeight="1" x14ac:dyDescent="0.2">
      <c r="G25882" s="889"/>
    </row>
    <row r="25883" spans="7:7" ht="10.5" customHeight="1" x14ac:dyDescent="0.2">
      <c r="G25883" s="889"/>
    </row>
    <row r="25884" spans="7:7" ht="10.5" customHeight="1" x14ac:dyDescent="0.2">
      <c r="G25884" s="889"/>
    </row>
    <row r="25885" spans="7:7" ht="10.5" customHeight="1" x14ac:dyDescent="0.2">
      <c r="G25885" s="889"/>
    </row>
    <row r="25886" spans="7:7" ht="10.5" customHeight="1" x14ac:dyDescent="0.2">
      <c r="G25886" s="889"/>
    </row>
    <row r="25887" spans="7:7" ht="10.5" customHeight="1" x14ac:dyDescent="0.2">
      <c r="G25887" s="889"/>
    </row>
    <row r="25888" spans="7:7" ht="10.5" customHeight="1" x14ac:dyDescent="0.2">
      <c r="G25888" s="889"/>
    </row>
    <row r="25889" spans="7:7" ht="10.5" customHeight="1" x14ac:dyDescent="0.2">
      <c r="G25889" s="889"/>
    </row>
    <row r="25890" spans="7:7" ht="10.5" customHeight="1" x14ac:dyDescent="0.2">
      <c r="G25890" s="889"/>
    </row>
    <row r="25891" spans="7:7" ht="10.5" customHeight="1" x14ac:dyDescent="0.2">
      <c r="G25891" s="889"/>
    </row>
    <row r="25892" spans="7:7" ht="10.5" customHeight="1" x14ac:dyDescent="0.2">
      <c r="G25892" s="889"/>
    </row>
    <row r="25893" spans="7:7" ht="10.5" customHeight="1" x14ac:dyDescent="0.2">
      <c r="G25893" s="889"/>
    </row>
    <row r="25894" spans="7:7" ht="10.5" customHeight="1" x14ac:dyDescent="0.2">
      <c r="G25894" s="889"/>
    </row>
    <row r="25895" spans="7:7" ht="10.5" customHeight="1" x14ac:dyDescent="0.2">
      <c r="G25895" s="889"/>
    </row>
    <row r="25896" spans="7:7" ht="10.5" customHeight="1" x14ac:dyDescent="0.2">
      <c r="G25896" s="889"/>
    </row>
    <row r="25897" spans="7:7" ht="10.5" customHeight="1" x14ac:dyDescent="0.2">
      <c r="G25897" s="889"/>
    </row>
    <row r="25898" spans="7:7" ht="10.5" customHeight="1" x14ac:dyDescent="0.2">
      <c r="G25898" s="889"/>
    </row>
    <row r="25899" spans="7:7" ht="10.5" customHeight="1" x14ac:dyDescent="0.2">
      <c r="G25899" s="889"/>
    </row>
    <row r="25900" spans="7:7" ht="10.5" customHeight="1" x14ac:dyDescent="0.2">
      <c r="G25900" s="889"/>
    </row>
    <row r="25901" spans="7:7" ht="10.5" customHeight="1" x14ac:dyDescent="0.2">
      <c r="G25901" s="889"/>
    </row>
    <row r="25902" spans="7:7" ht="10.5" customHeight="1" x14ac:dyDescent="0.2">
      <c r="G25902" s="889"/>
    </row>
    <row r="25903" spans="7:7" ht="10.5" customHeight="1" x14ac:dyDescent="0.2">
      <c r="G25903" s="889"/>
    </row>
    <row r="25904" spans="7:7" ht="10.5" customHeight="1" x14ac:dyDescent="0.2">
      <c r="G25904" s="889"/>
    </row>
    <row r="25905" spans="7:7" ht="10.5" customHeight="1" x14ac:dyDescent="0.2">
      <c r="G25905" s="889"/>
    </row>
    <row r="25906" spans="7:7" ht="10.5" customHeight="1" x14ac:dyDescent="0.2">
      <c r="G25906" s="889"/>
    </row>
    <row r="25907" spans="7:7" ht="10.5" customHeight="1" x14ac:dyDescent="0.2">
      <c r="G25907" s="889"/>
    </row>
    <row r="25908" spans="7:7" ht="10.5" customHeight="1" x14ac:dyDescent="0.2">
      <c r="G25908" s="889"/>
    </row>
    <row r="25909" spans="7:7" ht="10.5" customHeight="1" x14ac:dyDescent="0.2">
      <c r="G25909" s="889"/>
    </row>
    <row r="25910" spans="7:7" ht="10.5" customHeight="1" x14ac:dyDescent="0.2">
      <c r="G25910" s="889"/>
    </row>
    <row r="25911" spans="7:7" ht="10.5" customHeight="1" x14ac:dyDescent="0.2">
      <c r="G25911" s="889"/>
    </row>
    <row r="25912" spans="7:7" ht="10.5" customHeight="1" x14ac:dyDescent="0.2">
      <c r="G25912" s="889"/>
    </row>
    <row r="25913" spans="7:7" ht="10.5" customHeight="1" x14ac:dyDescent="0.2">
      <c r="G25913" s="889"/>
    </row>
    <row r="25914" spans="7:7" ht="10.5" customHeight="1" x14ac:dyDescent="0.2">
      <c r="G25914" s="889"/>
    </row>
    <row r="25915" spans="7:7" ht="10.5" customHeight="1" x14ac:dyDescent="0.2">
      <c r="G25915" s="889"/>
    </row>
    <row r="25916" spans="7:7" ht="10.5" customHeight="1" x14ac:dyDescent="0.2">
      <c r="G25916" s="889"/>
    </row>
    <row r="25917" spans="7:7" ht="10.5" customHeight="1" x14ac:dyDescent="0.2">
      <c r="G25917" s="889"/>
    </row>
    <row r="25918" spans="7:7" ht="10.5" customHeight="1" x14ac:dyDescent="0.2">
      <c r="G25918" s="889"/>
    </row>
    <row r="25919" spans="7:7" ht="10.5" customHeight="1" x14ac:dyDescent="0.2">
      <c r="G25919" s="889"/>
    </row>
    <row r="25920" spans="7:7" ht="10.5" customHeight="1" x14ac:dyDescent="0.2">
      <c r="G25920" s="889"/>
    </row>
    <row r="25921" spans="7:7" ht="10.5" customHeight="1" x14ac:dyDescent="0.2">
      <c r="G25921" s="889"/>
    </row>
    <row r="25922" spans="7:7" ht="10.5" customHeight="1" x14ac:dyDescent="0.2">
      <c r="G25922" s="889"/>
    </row>
    <row r="25923" spans="7:7" ht="10.5" customHeight="1" x14ac:dyDescent="0.2">
      <c r="G25923" s="889"/>
    </row>
    <row r="25924" spans="7:7" ht="10.5" customHeight="1" x14ac:dyDescent="0.2">
      <c r="G25924" s="889"/>
    </row>
    <row r="25925" spans="7:7" ht="10.5" customHeight="1" x14ac:dyDescent="0.2">
      <c r="G25925" s="889"/>
    </row>
    <row r="25926" spans="7:7" ht="10.5" customHeight="1" x14ac:dyDescent="0.2">
      <c r="G25926" s="889"/>
    </row>
    <row r="25927" spans="7:7" ht="10.5" customHeight="1" x14ac:dyDescent="0.2">
      <c r="G25927" s="889"/>
    </row>
    <row r="25928" spans="7:7" ht="10.5" customHeight="1" x14ac:dyDescent="0.2">
      <c r="G25928" s="889"/>
    </row>
    <row r="25929" spans="7:7" ht="10.5" customHeight="1" x14ac:dyDescent="0.2">
      <c r="G25929" s="889"/>
    </row>
    <row r="25930" spans="7:7" ht="10.5" customHeight="1" x14ac:dyDescent="0.2">
      <c r="G25930" s="889"/>
    </row>
    <row r="25931" spans="7:7" ht="10.5" customHeight="1" x14ac:dyDescent="0.2">
      <c r="G25931" s="889"/>
    </row>
    <row r="25932" spans="7:7" ht="10.5" customHeight="1" x14ac:dyDescent="0.2">
      <c r="G25932" s="889"/>
    </row>
    <row r="25933" spans="7:7" ht="10.5" customHeight="1" x14ac:dyDescent="0.2">
      <c r="G25933" s="889"/>
    </row>
    <row r="25934" spans="7:7" ht="10.5" customHeight="1" x14ac:dyDescent="0.2">
      <c r="G25934" s="889"/>
    </row>
    <row r="25935" spans="7:7" ht="10.5" customHeight="1" x14ac:dyDescent="0.2">
      <c r="G25935" s="889"/>
    </row>
    <row r="25936" spans="7:7" ht="10.5" customHeight="1" x14ac:dyDescent="0.2">
      <c r="G25936" s="889"/>
    </row>
    <row r="25937" spans="7:7" ht="10.5" customHeight="1" x14ac:dyDescent="0.2">
      <c r="G25937" s="889"/>
    </row>
    <row r="25938" spans="7:7" ht="10.5" customHeight="1" x14ac:dyDescent="0.2">
      <c r="G25938" s="889"/>
    </row>
    <row r="25939" spans="7:7" ht="10.5" customHeight="1" x14ac:dyDescent="0.2">
      <c r="G25939" s="889"/>
    </row>
    <row r="25940" spans="7:7" ht="10.5" customHeight="1" x14ac:dyDescent="0.2">
      <c r="G25940" s="889"/>
    </row>
    <row r="25941" spans="7:7" ht="10.5" customHeight="1" x14ac:dyDescent="0.2">
      <c r="G25941" s="889"/>
    </row>
    <row r="25942" spans="7:7" ht="10.5" customHeight="1" x14ac:dyDescent="0.2">
      <c r="G25942" s="889"/>
    </row>
    <row r="25943" spans="7:7" ht="10.5" customHeight="1" x14ac:dyDescent="0.2">
      <c r="G25943" s="889"/>
    </row>
    <row r="25944" spans="7:7" ht="10.5" customHeight="1" x14ac:dyDescent="0.2">
      <c r="G25944" s="889"/>
    </row>
    <row r="25945" spans="7:7" ht="10.5" customHeight="1" x14ac:dyDescent="0.2">
      <c r="G25945" s="889"/>
    </row>
    <row r="25946" spans="7:7" ht="10.5" customHeight="1" x14ac:dyDescent="0.2">
      <c r="G25946" s="889"/>
    </row>
    <row r="25947" spans="7:7" ht="10.5" customHeight="1" x14ac:dyDescent="0.2">
      <c r="G25947" s="889"/>
    </row>
    <row r="25948" spans="7:7" ht="10.5" customHeight="1" x14ac:dyDescent="0.2">
      <c r="G25948" s="889"/>
    </row>
    <row r="25949" spans="7:7" ht="10.5" customHeight="1" x14ac:dyDescent="0.2">
      <c r="G25949" s="889"/>
    </row>
    <row r="25950" spans="7:7" ht="10.5" customHeight="1" x14ac:dyDescent="0.2">
      <c r="G25950" s="889"/>
    </row>
    <row r="25951" spans="7:7" ht="10.5" customHeight="1" x14ac:dyDescent="0.2">
      <c r="G25951" s="889"/>
    </row>
    <row r="25952" spans="7:7" ht="10.5" customHeight="1" x14ac:dyDescent="0.2">
      <c r="G25952" s="889"/>
    </row>
    <row r="25953" spans="7:7" ht="10.5" customHeight="1" x14ac:dyDescent="0.2">
      <c r="G25953" s="889"/>
    </row>
    <row r="25954" spans="7:7" ht="10.5" customHeight="1" x14ac:dyDescent="0.2">
      <c r="G25954" s="889"/>
    </row>
    <row r="25955" spans="7:7" ht="10.5" customHeight="1" x14ac:dyDescent="0.2">
      <c r="G25955" s="889"/>
    </row>
    <row r="25956" spans="7:7" ht="10.5" customHeight="1" x14ac:dyDescent="0.2">
      <c r="G25956" s="889"/>
    </row>
    <row r="25957" spans="7:7" ht="10.5" customHeight="1" x14ac:dyDescent="0.2">
      <c r="G25957" s="889"/>
    </row>
    <row r="25958" spans="7:7" ht="10.5" customHeight="1" x14ac:dyDescent="0.2">
      <c r="G25958" s="889"/>
    </row>
    <row r="25959" spans="7:7" ht="10.5" customHeight="1" x14ac:dyDescent="0.2">
      <c r="G25959" s="889"/>
    </row>
    <row r="25960" spans="7:7" ht="10.5" customHeight="1" x14ac:dyDescent="0.2">
      <c r="G25960" s="889"/>
    </row>
    <row r="25961" spans="7:7" ht="10.5" customHeight="1" x14ac:dyDescent="0.2">
      <c r="G25961" s="889"/>
    </row>
    <row r="25962" spans="7:7" ht="10.5" customHeight="1" x14ac:dyDescent="0.2">
      <c r="G25962" s="889"/>
    </row>
    <row r="25963" spans="7:7" ht="10.5" customHeight="1" x14ac:dyDescent="0.2">
      <c r="G25963" s="889"/>
    </row>
    <row r="25964" spans="7:7" ht="10.5" customHeight="1" x14ac:dyDescent="0.2">
      <c r="G25964" s="889"/>
    </row>
    <row r="25965" spans="7:7" ht="10.5" customHeight="1" x14ac:dyDescent="0.2">
      <c r="G25965" s="889"/>
    </row>
    <row r="25966" spans="7:7" ht="10.5" customHeight="1" x14ac:dyDescent="0.2">
      <c r="G25966" s="889"/>
    </row>
    <row r="25967" spans="7:7" ht="10.5" customHeight="1" x14ac:dyDescent="0.2">
      <c r="G25967" s="889"/>
    </row>
    <row r="25968" spans="7:7" ht="10.5" customHeight="1" x14ac:dyDescent="0.2">
      <c r="G25968" s="889"/>
    </row>
    <row r="25969" spans="7:7" ht="10.5" customHeight="1" x14ac:dyDescent="0.2">
      <c r="G25969" s="889"/>
    </row>
    <row r="25970" spans="7:7" ht="10.5" customHeight="1" x14ac:dyDescent="0.2">
      <c r="G25970" s="889"/>
    </row>
    <row r="25971" spans="7:7" ht="10.5" customHeight="1" x14ac:dyDescent="0.2">
      <c r="G25971" s="889"/>
    </row>
    <row r="25972" spans="7:7" ht="10.5" customHeight="1" x14ac:dyDescent="0.2">
      <c r="G25972" s="889"/>
    </row>
    <row r="25973" spans="7:7" ht="10.5" customHeight="1" x14ac:dyDescent="0.2">
      <c r="G25973" s="889"/>
    </row>
    <row r="25974" spans="7:7" ht="10.5" customHeight="1" x14ac:dyDescent="0.2">
      <c r="G25974" s="889"/>
    </row>
    <row r="25975" spans="7:7" ht="10.5" customHeight="1" x14ac:dyDescent="0.2">
      <c r="G25975" s="889"/>
    </row>
    <row r="25976" spans="7:7" ht="10.5" customHeight="1" x14ac:dyDescent="0.2">
      <c r="G25976" s="889"/>
    </row>
    <row r="25977" spans="7:7" ht="10.5" customHeight="1" x14ac:dyDescent="0.2">
      <c r="G25977" s="889"/>
    </row>
    <row r="25978" spans="7:7" ht="10.5" customHeight="1" x14ac:dyDescent="0.2">
      <c r="G25978" s="889"/>
    </row>
    <row r="25979" spans="7:7" ht="10.5" customHeight="1" x14ac:dyDescent="0.2">
      <c r="G25979" s="889"/>
    </row>
    <row r="25980" spans="7:7" ht="10.5" customHeight="1" x14ac:dyDescent="0.2">
      <c r="G25980" s="889"/>
    </row>
    <row r="25981" spans="7:7" ht="10.5" customHeight="1" x14ac:dyDescent="0.2">
      <c r="G25981" s="889"/>
    </row>
    <row r="25982" spans="7:7" ht="10.5" customHeight="1" x14ac:dyDescent="0.2">
      <c r="G25982" s="889"/>
    </row>
    <row r="25983" spans="7:7" ht="10.5" customHeight="1" x14ac:dyDescent="0.2">
      <c r="G25983" s="889"/>
    </row>
    <row r="25984" spans="7:7" ht="10.5" customHeight="1" x14ac:dyDescent="0.2">
      <c r="G25984" s="889"/>
    </row>
    <row r="25985" spans="7:7" ht="10.5" customHeight="1" x14ac:dyDescent="0.2">
      <c r="G25985" s="889"/>
    </row>
    <row r="25986" spans="7:7" ht="10.5" customHeight="1" x14ac:dyDescent="0.2">
      <c r="G25986" s="889"/>
    </row>
    <row r="25987" spans="7:7" ht="10.5" customHeight="1" x14ac:dyDescent="0.2">
      <c r="G25987" s="889"/>
    </row>
    <row r="25988" spans="7:7" ht="10.5" customHeight="1" x14ac:dyDescent="0.2">
      <c r="G25988" s="889"/>
    </row>
    <row r="25989" spans="7:7" ht="10.5" customHeight="1" x14ac:dyDescent="0.2">
      <c r="G25989" s="889"/>
    </row>
    <row r="25990" spans="7:7" ht="10.5" customHeight="1" x14ac:dyDescent="0.2">
      <c r="G25990" s="889"/>
    </row>
    <row r="25991" spans="7:7" ht="10.5" customHeight="1" x14ac:dyDescent="0.2">
      <c r="G25991" s="889"/>
    </row>
    <row r="25992" spans="7:7" ht="10.5" customHeight="1" x14ac:dyDescent="0.2">
      <c r="G25992" s="889"/>
    </row>
    <row r="25993" spans="7:7" ht="10.5" customHeight="1" x14ac:dyDescent="0.2">
      <c r="G25993" s="889"/>
    </row>
    <row r="25994" spans="7:7" ht="10.5" customHeight="1" x14ac:dyDescent="0.2">
      <c r="G25994" s="889"/>
    </row>
    <row r="25995" spans="7:7" ht="10.5" customHeight="1" x14ac:dyDescent="0.2">
      <c r="G25995" s="889"/>
    </row>
    <row r="25996" spans="7:7" ht="10.5" customHeight="1" x14ac:dyDescent="0.2">
      <c r="G25996" s="889"/>
    </row>
    <row r="25997" spans="7:7" ht="10.5" customHeight="1" x14ac:dyDescent="0.2">
      <c r="G25997" s="889"/>
    </row>
    <row r="25998" spans="7:7" ht="10.5" customHeight="1" x14ac:dyDescent="0.2">
      <c r="G25998" s="889"/>
    </row>
    <row r="25999" spans="7:7" ht="10.5" customHeight="1" x14ac:dyDescent="0.2">
      <c r="G25999" s="889"/>
    </row>
    <row r="26000" spans="7:7" ht="10.5" customHeight="1" x14ac:dyDescent="0.2">
      <c r="G26000" s="889"/>
    </row>
    <row r="26001" spans="7:7" ht="10.5" customHeight="1" x14ac:dyDescent="0.2">
      <c r="G26001" s="889"/>
    </row>
    <row r="26002" spans="7:7" ht="10.5" customHeight="1" x14ac:dyDescent="0.2">
      <c r="G26002" s="889"/>
    </row>
    <row r="26003" spans="7:7" ht="10.5" customHeight="1" x14ac:dyDescent="0.2">
      <c r="G26003" s="889"/>
    </row>
    <row r="26004" spans="7:7" ht="10.5" customHeight="1" x14ac:dyDescent="0.2">
      <c r="G26004" s="889"/>
    </row>
    <row r="26005" spans="7:7" ht="10.5" customHeight="1" x14ac:dyDescent="0.2">
      <c r="G26005" s="889"/>
    </row>
    <row r="26006" spans="7:7" ht="10.5" customHeight="1" x14ac:dyDescent="0.2">
      <c r="G26006" s="889"/>
    </row>
    <row r="26007" spans="7:7" ht="10.5" customHeight="1" x14ac:dyDescent="0.2">
      <c r="G26007" s="889"/>
    </row>
    <row r="26008" spans="7:7" ht="10.5" customHeight="1" x14ac:dyDescent="0.2">
      <c r="G26008" s="889"/>
    </row>
    <row r="26009" spans="7:7" ht="10.5" customHeight="1" x14ac:dyDescent="0.2">
      <c r="G26009" s="889"/>
    </row>
    <row r="26010" spans="7:7" ht="10.5" customHeight="1" x14ac:dyDescent="0.2">
      <c r="G26010" s="889"/>
    </row>
    <row r="26011" spans="7:7" ht="10.5" customHeight="1" x14ac:dyDescent="0.2">
      <c r="G26011" s="889"/>
    </row>
    <row r="26012" spans="7:7" ht="10.5" customHeight="1" x14ac:dyDescent="0.2">
      <c r="G26012" s="889"/>
    </row>
    <row r="26013" spans="7:7" ht="10.5" customHeight="1" x14ac:dyDescent="0.2">
      <c r="G26013" s="889"/>
    </row>
    <row r="26014" spans="7:7" ht="10.5" customHeight="1" x14ac:dyDescent="0.2">
      <c r="G26014" s="889"/>
    </row>
    <row r="26015" spans="7:7" ht="10.5" customHeight="1" x14ac:dyDescent="0.2">
      <c r="G26015" s="889"/>
    </row>
    <row r="26016" spans="7:7" ht="10.5" customHeight="1" x14ac:dyDescent="0.2">
      <c r="G26016" s="889"/>
    </row>
    <row r="26017" spans="7:7" ht="10.5" customHeight="1" x14ac:dyDescent="0.2">
      <c r="G26017" s="889"/>
    </row>
    <row r="26018" spans="7:7" ht="10.5" customHeight="1" x14ac:dyDescent="0.2">
      <c r="G26018" s="889"/>
    </row>
    <row r="26019" spans="7:7" ht="10.5" customHeight="1" x14ac:dyDescent="0.2">
      <c r="G26019" s="889"/>
    </row>
    <row r="26020" spans="7:7" ht="10.5" customHeight="1" x14ac:dyDescent="0.2">
      <c r="G26020" s="889"/>
    </row>
    <row r="26021" spans="7:7" ht="10.5" customHeight="1" x14ac:dyDescent="0.2">
      <c r="G26021" s="889"/>
    </row>
    <row r="26022" spans="7:7" ht="10.5" customHeight="1" x14ac:dyDescent="0.2">
      <c r="G26022" s="889"/>
    </row>
    <row r="26023" spans="7:7" ht="10.5" customHeight="1" x14ac:dyDescent="0.2">
      <c r="G26023" s="889"/>
    </row>
    <row r="26024" spans="7:7" ht="10.5" customHeight="1" x14ac:dyDescent="0.2">
      <c r="G26024" s="889"/>
    </row>
    <row r="26025" spans="7:7" ht="10.5" customHeight="1" x14ac:dyDescent="0.2">
      <c r="G26025" s="889"/>
    </row>
    <row r="26026" spans="7:7" ht="10.5" customHeight="1" x14ac:dyDescent="0.2">
      <c r="G26026" s="889"/>
    </row>
    <row r="26027" spans="7:7" ht="10.5" customHeight="1" x14ac:dyDescent="0.2">
      <c r="G26027" s="889"/>
    </row>
    <row r="26028" spans="7:7" ht="10.5" customHeight="1" x14ac:dyDescent="0.2">
      <c r="G26028" s="889"/>
    </row>
    <row r="26029" spans="7:7" ht="10.5" customHeight="1" x14ac:dyDescent="0.2">
      <c r="G26029" s="889"/>
    </row>
    <row r="26030" spans="7:7" ht="10.5" customHeight="1" x14ac:dyDescent="0.2">
      <c r="G26030" s="889"/>
    </row>
    <row r="26031" spans="7:7" ht="10.5" customHeight="1" x14ac:dyDescent="0.2">
      <c r="G26031" s="889"/>
    </row>
    <row r="26032" spans="7:7" ht="10.5" customHeight="1" x14ac:dyDescent="0.2">
      <c r="G26032" s="889"/>
    </row>
    <row r="26033" spans="7:7" ht="10.5" customHeight="1" x14ac:dyDescent="0.2">
      <c r="G26033" s="889"/>
    </row>
    <row r="26034" spans="7:7" ht="10.5" customHeight="1" x14ac:dyDescent="0.2">
      <c r="G26034" s="889"/>
    </row>
    <row r="26035" spans="7:7" ht="10.5" customHeight="1" x14ac:dyDescent="0.2">
      <c r="G26035" s="889"/>
    </row>
    <row r="26036" spans="7:7" ht="10.5" customHeight="1" x14ac:dyDescent="0.2">
      <c r="G26036" s="889"/>
    </row>
    <row r="26037" spans="7:7" ht="10.5" customHeight="1" x14ac:dyDescent="0.2">
      <c r="G26037" s="889"/>
    </row>
    <row r="26038" spans="7:7" ht="10.5" customHeight="1" x14ac:dyDescent="0.2">
      <c r="G26038" s="889"/>
    </row>
    <row r="26039" spans="7:7" ht="10.5" customHeight="1" x14ac:dyDescent="0.2">
      <c r="G26039" s="889"/>
    </row>
    <row r="26040" spans="7:7" ht="10.5" customHeight="1" x14ac:dyDescent="0.2">
      <c r="G26040" s="889"/>
    </row>
    <row r="26041" spans="7:7" ht="10.5" customHeight="1" x14ac:dyDescent="0.2">
      <c r="G26041" s="889"/>
    </row>
    <row r="26042" spans="7:7" ht="10.5" customHeight="1" x14ac:dyDescent="0.2">
      <c r="G26042" s="889"/>
    </row>
    <row r="26043" spans="7:7" ht="10.5" customHeight="1" x14ac:dyDescent="0.2">
      <c r="G26043" s="889"/>
    </row>
    <row r="26044" spans="7:7" ht="10.5" customHeight="1" x14ac:dyDescent="0.2">
      <c r="G26044" s="889"/>
    </row>
    <row r="26045" spans="7:7" ht="10.5" customHeight="1" x14ac:dyDescent="0.2">
      <c r="G26045" s="889"/>
    </row>
    <row r="26046" spans="7:7" ht="10.5" customHeight="1" x14ac:dyDescent="0.2">
      <c r="G26046" s="889"/>
    </row>
    <row r="26047" spans="7:7" ht="10.5" customHeight="1" x14ac:dyDescent="0.2">
      <c r="G26047" s="889"/>
    </row>
    <row r="26048" spans="7:7" ht="10.5" customHeight="1" x14ac:dyDescent="0.2">
      <c r="G26048" s="889"/>
    </row>
    <row r="26049" spans="7:7" ht="10.5" customHeight="1" x14ac:dyDescent="0.2">
      <c r="G26049" s="889"/>
    </row>
    <row r="26050" spans="7:7" ht="10.5" customHeight="1" x14ac:dyDescent="0.2">
      <c r="G26050" s="889"/>
    </row>
    <row r="26051" spans="7:7" ht="10.5" customHeight="1" x14ac:dyDescent="0.2">
      <c r="G26051" s="889"/>
    </row>
    <row r="26052" spans="7:7" ht="10.5" customHeight="1" x14ac:dyDescent="0.2">
      <c r="G26052" s="889"/>
    </row>
    <row r="26053" spans="7:7" ht="10.5" customHeight="1" x14ac:dyDescent="0.2">
      <c r="G26053" s="889"/>
    </row>
    <row r="26054" spans="7:7" ht="10.5" customHeight="1" x14ac:dyDescent="0.2">
      <c r="G26054" s="889"/>
    </row>
    <row r="26055" spans="7:7" ht="10.5" customHeight="1" x14ac:dyDescent="0.2">
      <c r="G26055" s="889"/>
    </row>
    <row r="26056" spans="7:7" ht="10.5" customHeight="1" x14ac:dyDescent="0.2">
      <c r="G26056" s="889"/>
    </row>
    <row r="26057" spans="7:7" ht="10.5" customHeight="1" x14ac:dyDescent="0.2">
      <c r="G26057" s="889"/>
    </row>
    <row r="26058" spans="7:7" ht="10.5" customHeight="1" x14ac:dyDescent="0.2">
      <c r="G26058" s="889"/>
    </row>
    <row r="26059" spans="7:7" ht="10.5" customHeight="1" x14ac:dyDescent="0.2">
      <c r="G26059" s="889"/>
    </row>
    <row r="26060" spans="7:7" ht="10.5" customHeight="1" x14ac:dyDescent="0.2">
      <c r="G26060" s="889"/>
    </row>
    <row r="26061" spans="7:7" ht="10.5" customHeight="1" x14ac:dyDescent="0.2">
      <c r="G26061" s="889"/>
    </row>
    <row r="26062" spans="7:7" ht="10.5" customHeight="1" x14ac:dyDescent="0.2">
      <c r="G26062" s="889"/>
    </row>
    <row r="26063" spans="7:7" ht="10.5" customHeight="1" x14ac:dyDescent="0.2">
      <c r="G26063" s="889"/>
    </row>
    <row r="26064" spans="7:7" ht="10.5" customHeight="1" x14ac:dyDescent="0.2">
      <c r="G26064" s="889"/>
    </row>
    <row r="26065" spans="7:7" ht="10.5" customHeight="1" x14ac:dyDescent="0.2">
      <c r="G26065" s="889"/>
    </row>
    <row r="26066" spans="7:7" ht="10.5" customHeight="1" x14ac:dyDescent="0.2">
      <c r="G26066" s="889"/>
    </row>
    <row r="26067" spans="7:7" ht="10.5" customHeight="1" x14ac:dyDescent="0.2">
      <c r="G26067" s="889"/>
    </row>
    <row r="26068" spans="7:7" ht="10.5" customHeight="1" x14ac:dyDescent="0.2">
      <c r="G26068" s="889"/>
    </row>
    <row r="26069" spans="7:7" ht="10.5" customHeight="1" x14ac:dyDescent="0.2">
      <c r="G26069" s="889"/>
    </row>
    <row r="26070" spans="7:7" ht="10.5" customHeight="1" x14ac:dyDescent="0.2">
      <c r="G26070" s="889"/>
    </row>
    <row r="26071" spans="7:7" ht="10.5" customHeight="1" x14ac:dyDescent="0.2">
      <c r="G26071" s="889"/>
    </row>
    <row r="26072" spans="7:7" ht="10.5" customHeight="1" x14ac:dyDescent="0.2">
      <c r="G26072" s="889"/>
    </row>
    <row r="26073" spans="7:7" ht="10.5" customHeight="1" x14ac:dyDescent="0.2">
      <c r="G26073" s="889"/>
    </row>
    <row r="26074" spans="7:7" ht="10.5" customHeight="1" x14ac:dyDescent="0.2">
      <c r="G26074" s="889"/>
    </row>
    <row r="26075" spans="7:7" ht="10.5" customHeight="1" x14ac:dyDescent="0.2">
      <c r="G26075" s="889"/>
    </row>
    <row r="26076" spans="7:7" ht="10.5" customHeight="1" x14ac:dyDescent="0.2">
      <c r="G26076" s="889"/>
    </row>
    <row r="26077" spans="7:7" ht="10.5" customHeight="1" x14ac:dyDescent="0.2">
      <c r="G26077" s="889"/>
    </row>
    <row r="26078" spans="7:7" ht="10.5" customHeight="1" x14ac:dyDescent="0.2">
      <c r="G26078" s="889"/>
    </row>
    <row r="26079" spans="7:7" ht="10.5" customHeight="1" x14ac:dyDescent="0.2">
      <c r="G26079" s="889"/>
    </row>
    <row r="26080" spans="7:7" ht="10.5" customHeight="1" x14ac:dyDescent="0.2">
      <c r="G26080" s="889"/>
    </row>
    <row r="26081" spans="7:7" ht="10.5" customHeight="1" x14ac:dyDescent="0.2">
      <c r="G26081" s="889"/>
    </row>
    <row r="26082" spans="7:7" ht="10.5" customHeight="1" x14ac:dyDescent="0.2">
      <c r="G26082" s="889"/>
    </row>
    <row r="26083" spans="7:7" ht="10.5" customHeight="1" x14ac:dyDescent="0.2">
      <c r="G26083" s="889"/>
    </row>
    <row r="26084" spans="7:7" ht="10.5" customHeight="1" x14ac:dyDescent="0.2">
      <c r="G26084" s="889"/>
    </row>
    <row r="26085" spans="7:7" ht="10.5" customHeight="1" x14ac:dyDescent="0.2">
      <c r="G26085" s="889"/>
    </row>
    <row r="26086" spans="7:7" ht="10.5" customHeight="1" x14ac:dyDescent="0.2">
      <c r="G26086" s="889"/>
    </row>
    <row r="26087" spans="7:7" ht="10.5" customHeight="1" x14ac:dyDescent="0.2">
      <c r="G26087" s="889"/>
    </row>
    <row r="26088" spans="7:7" ht="10.5" customHeight="1" x14ac:dyDescent="0.2">
      <c r="G26088" s="889"/>
    </row>
    <row r="26089" spans="7:7" ht="10.5" customHeight="1" x14ac:dyDescent="0.2">
      <c r="G26089" s="889"/>
    </row>
    <row r="26090" spans="7:7" ht="10.5" customHeight="1" x14ac:dyDescent="0.2">
      <c r="G26090" s="889"/>
    </row>
    <row r="26091" spans="7:7" ht="10.5" customHeight="1" x14ac:dyDescent="0.2">
      <c r="G26091" s="889"/>
    </row>
    <row r="26092" spans="7:7" ht="10.5" customHeight="1" x14ac:dyDescent="0.2">
      <c r="G26092" s="889"/>
    </row>
    <row r="26093" spans="7:7" ht="10.5" customHeight="1" x14ac:dyDescent="0.2">
      <c r="G26093" s="889"/>
    </row>
    <row r="26094" spans="7:7" ht="10.5" customHeight="1" x14ac:dyDescent="0.2">
      <c r="G26094" s="889"/>
    </row>
    <row r="26095" spans="7:7" ht="10.5" customHeight="1" x14ac:dyDescent="0.2">
      <c r="G26095" s="889"/>
    </row>
    <row r="26096" spans="7:7" ht="10.5" customHeight="1" x14ac:dyDescent="0.2">
      <c r="G26096" s="889"/>
    </row>
    <row r="26097" spans="7:7" ht="10.5" customHeight="1" x14ac:dyDescent="0.2">
      <c r="G26097" s="889"/>
    </row>
    <row r="26098" spans="7:7" ht="10.5" customHeight="1" x14ac:dyDescent="0.2">
      <c r="G26098" s="889"/>
    </row>
    <row r="26099" spans="7:7" ht="10.5" customHeight="1" x14ac:dyDescent="0.2">
      <c r="G26099" s="889"/>
    </row>
    <row r="26100" spans="7:7" ht="10.5" customHeight="1" x14ac:dyDescent="0.2">
      <c r="G26100" s="889"/>
    </row>
    <row r="26101" spans="7:7" ht="10.5" customHeight="1" x14ac:dyDescent="0.2">
      <c r="G26101" s="889"/>
    </row>
    <row r="26102" spans="7:7" ht="10.5" customHeight="1" x14ac:dyDescent="0.2">
      <c r="G26102" s="889"/>
    </row>
    <row r="26103" spans="7:7" ht="10.5" customHeight="1" x14ac:dyDescent="0.2">
      <c r="G26103" s="889"/>
    </row>
    <row r="26104" spans="7:7" ht="10.5" customHeight="1" x14ac:dyDescent="0.2">
      <c r="G26104" s="889"/>
    </row>
    <row r="26105" spans="7:7" ht="10.5" customHeight="1" x14ac:dyDescent="0.2">
      <c r="G26105" s="889"/>
    </row>
    <row r="26106" spans="7:7" ht="10.5" customHeight="1" x14ac:dyDescent="0.2">
      <c r="G26106" s="889"/>
    </row>
    <row r="26107" spans="7:7" ht="10.5" customHeight="1" x14ac:dyDescent="0.2">
      <c r="G26107" s="889"/>
    </row>
    <row r="26108" spans="7:7" ht="10.5" customHeight="1" x14ac:dyDescent="0.2">
      <c r="G26108" s="889"/>
    </row>
    <row r="26109" spans="7:7" ht="10.5" customHeight="1" x14ac:dyDescent="0.2">
      <c r="G26109" s="889"/>
    </row>
    <row r="26110" spans="7:7" ht="10.5" customHeight="1" x14ac:dyDescent="0.2">
      <c r="G26110" s="889"/>
    </row>
    <row r="26111" spans="7:7" ht="10.5" customHeight="1" x14ac:dyDescent="0.2">
      <c r="G26111" s="889"/>
    </row>
    <row r="26112" spans="7:7" ht="10.5" customHeight="1" x14ac:dyDescent="0.2">
      <c r="G26112" s="889"/>
    </row>
    <row r="26113" spans="7:7" ht="10.5" customHeight="1" x14ac:dyDescent="0.2">
      <c r="G26113" s="889"/>
    </row>
    <row r="26114" spans="7:7" ht="10.5" customHeight="1" x14ac:dyDescent="0.2">
      <c r="G26114" s="889"/>
    </row>
    <row r="26115" spans="7:7" ht="10.5" customHeight="1" x14ac:dyDescent="0.2">
      <c r="G26115" s="889"/>
    </row>
    <row r="26116" spans="7:7" ht="10.5" customHeight="1" x14ac:dyDescent="0.2">
      <c r="G26116" s="889"/>
    </row>
    <row r="26117" spans="7:7" ht="10.5" customHeight="1" x14ac:dyDescent="0.2">
      <c r="G26117" s="889"/>
    </row>
    <row r="26118" spans="7:7" ht="10.5" customHeight="1" x14ac:dyDescent="0.2">
      <c r="G26118" s="889"/>
    </row>
    <row r="26119" spans="7:7" ht="10.5" customHeight="1" x14ac:dyDescent="0.2">
      <c r="G26119" s="889"/>
    </row>
    <row r="26120" spans="7:7" ht="10.5" customHeight="1" x14ac:dyDescent="0.2">
      <c r="G26120" s="889"/>
    </row>
    <row r="26121" spans="7:7" ht="10.5" customHeight="1" x14ac:dyDescent="0.2">
      <c r="G26121" s="889"/>
    </row>
    <row r="26122" spans="7:7" ht="10.5" customHeight="1" x14ac:dyDescent="0.2">
      <c r="G26122" s="889"/>
    </row>
    <row r="26123" spans="7:7" ht="10.5" customHeight="1" x14ac:dyDescent="0.2">
      <c r="G26123" s="889"/>
    </row>
    <row r="26124" spans="7:7" ht="10.5" customHeight="1" x14ac:dyDescent="0.2">
      <c r="G26124" s="889"/>
    </row>
    <row r="26125" spans="7:7" ht="10.5" customHeight="1" x14ac:dyDescent="0.2">
      <c r="G26125" s="889"/>
    </row>
    <row r="26126" spans="7:7" ht="10.5" customHeight="1" x14ac:dyDescent="0.2">
      <c r="G26126" s="889"/>
    </row>
    <row r="26127" spans="7:7" ht="10.5" customHeight="1" x14ac:dyDescent="0.2">
      <c r="G26127" s="889"/>
    </row>
    <row r="26128" spans="7:7" ht="10.5" customHeight="1" x14ac:dyDescent="0.2">
      <c r="G26128" s="889"/>
    </row>
    <row r="26129" spans="7:7" ht="10.5" customHeight="1" x14ac:dyDescent="0.2">
      <c r="G26129" s="889"/>
    </row>
    <row r="26130" spans="7:7" ht="10.5" customHeight="1" x14ac:dyDescent="0.2">
      <c r="G26130" s="889"/>
    </row>
    <row r="26131" spans="7:7" ht="10.5" customHeight="1" x14ac:dyDescent="0.2">
      <c r="G26131" s="889"/>
    </row>
    <row r="26132" spans="7:7" ht="10.5" customHeight="1" x14ac:dyDescent="0.2">
      <c r="G26132" s="889"/>
    </row>
    <row r="26133" spans="7:7" ht="10.5" customHeight="1" x14ac:dyDescent="0.2">
      <c r="G26133" s="889"/>
    </row>
    <row r="26134" spans="7:7" ht="10.5" customHeight="1" x14ac:dyDescent="0.2">
      <c r="G26134" s="889"/>
    </row>
    <row r="26135" spans="7:7" ht="10.5" customHeight="1" x14ac:dyDescent="0.2">
      <c r="G26135" s="889"/>
    </row>
    <row r="26136" spans="7:7" ht="10.5" customHeight="1" x14ac:dyDescent="0.2">
      <c r="G26136" s="889"/>
    </row>
    <row r="26137" spans="7:7" ht="10.5" customHeight="1" x14ac:dyDescent="0.2">
      <c r="G26137" s="889"/>
    </row>
    <row r="26138" spans="7:7" ht="10.5" customHeight="1" x14ac:dyDescent="0.2">
      <c r="G26138" s="889"/>
    </row>
    <row r="26139" spans="7:7" ht="10.5" customHeight="1" x14ac:dyDescent="0.2">
      <c r="G26139" s="889"/>
    </row>
    <row r="26140" spans="7:7" ht="10.5" customHeight="1" x14ac:dyDescent="0.2">
      <c r="G26140" s="889"/>
    </row>
    <row r="26141" spans="7:7" ht="10.5" customHeight="1" x14ac:dyDescent="0.2">
      <c r="G26141" s="889"/>
    </row>
    <row r="26142" spans="7:7" ht="10.5" customHeight="1" x14ac:dyDescent="0.2">
      <c r="G26142" s="889"/>
    </row>
    <row r="26143" spans="7:7" ht="10.5" customHeight="1" x14ac:dyDescent="0.2">
      <c r="G26143" s="889"/>
    </row>
    <row r="26144" spans="7:7" ht="10.5" customHeight="1" x14ac:dyDescent="0.2">
      <c r="G26144" s="889"/>
    </row>
    <row r="26145" spans="7:7" ht="10.5" customHeight="1" x14ac:dyDescent="0.2">
      <c r="G26145" s="889"/>
    </row>
    <row r="26146" spans="7:7" ht="10.5" customHeight="1" x14ac:dyDescent="0.2">
      <c r="G26146" s="889"/>
    </row>
    <row r="26147" spans="7:7" ht="10.5" customHeight="1" x14ac:dyDescent="0.2">
      <c r="G26147" s="889"/>
    </row>
    <row r="26148" spans="7:7" ht="10.5" customHeight="1" x14ac:dyDescent="0.2">
      <c r="G26148" s="889"/>
    </row>
    <row r="26149" spans="7:7" ht="10.5" customHeight="1" x14ac:dyDescent="0.2">
      <c r="G26149" s="889"/>
    </row>
    <row r="26150" spans="7:7" ht="10.5" customHeight="1" x14ac:dyDescent="0.2">
      <c r="G26150" s="889"/>
    </row>
    <row r="26151" spans="7:7" ht="10.5" customHeight="1" x14ac:dyDescent="0.2">
      <c r="G26151" s="889"/>
    </row>
    <row r="26152" spans="7:7" ht="10.5" customHeight="1" x14ac:dyDescent="0.2">
      <c r="G26152" s="889"/>
    </row>
    <row r="26153" spans="7:7" ht="10.5" customHeight="1" x14ac:dyDescent="0.2">
      <c r="G26153" s="889"/>
    </row>
    <row r="26154" spans="7:7" ht="10.5" customHeight="1" x14ac:dyDescent="0.2">
      <c r="G26154" s="889"/>
    </row>
    <row r="26155" spans="7:7" ht="10.5" customHeight="1" x14ac:dyDescent="0.2">
      <c r="G26155" s="889"/>
    </row>
    <row r="26156" spans="7:7" ht="10.5" customHeight="1" x14ac:dyDescent="0.2">
      <c r="G26156" s="889"/>
    </row>
    <row r="26157" spans="7:7" ht="10.5" customHeight="1" x14ac:dyDescent="0.2">
      <c r="G26157" s="889"/>
    </row>
    <row r="26158" spans="7:7" ht="10.5" customHeight="1" x14ac:dyDescent="0.2">
      <c r="G26158" s="889"/>
    </row>
    <row r="26159" spans="7:7" ht="10.5" customHeight="1" x14ac:dyDescent="0.2">
      <c r="G26159" s="889"/>
    </row>
    <row r="26160" spans="7:7" ht="10.5" customHeight="1" x14ac:dyDescent="0.2">
      <c r="G26160" s="889"/>
    </row>
    <row r="26161" spans="7:7" ht="10.5" customHeight="1" x14ac:dyDescent="0.2">
      <c r="G26161" s="889"/>
    </row>
    <row r="26162" spans="7:7" ht="10.5" customHeight="1" x14ac:dyDescent="0.2">
      <c r="G26162" s="889"/>
    </row>
    <row r="26163" spans="7:7" ht="10.5" customHeight="1" x14ac:dyDescent="0.2">
      <c r="G26163" s="889"/>
    </row>
    <row r="26164" spans="7:7" ht="10.5" customHeight="1" x14ac:dyDescent="0.2">
      <c r="G26164" s="889"/>
    </row>
    <row r="26165" spans="7:7" ht="10.5" customHeight="1" x14ac:dyDescent="0.2">
      <c r="G26165" s="889"/>
    </row>
    <row r="26166" spans="7:7" ht="10.5" customHeight="1" x14ac:dyDescent="0.2">
      <c r="G26166" s="889"/>
    </row>
    <row r="26167" spans="7:7" ht="10.5" customHeight="1" x14ac:dyDescent="0.2">
      <c r="G26167" s="889"/>
    </row>
    <row r="26168" spans="7:7" ht="10.5" customHeight="1" x14ac:dyDescent="0.2">
      <c r="G26168" s="889"/>
    </row>
    <row r="26169" spans="7:7" ht="10.5" customHeight="1" x14ac:dyDescent="0.2">
      <c r="G26169" s="889"/>
    </row>
    <row r="26170" spans="7:7" ht="10.5" customHeight="1" x14ac:dyDescent="0.2">
      <c r="G26170" s="889"/>
    </row>
    <row r="26171" spans="7:7" ht="10.5" customHeight="1" x14ac:dyDescent="0.2">
      <c r="G26171" s="889"/>
    </row>
    <row r="26172" spans="7:7" ht="10.5" customHeight="1" x14ac:dyDescent="0.2">
      <c r="G26172" s="889"/>
    </row>
    <row r="26173" spans="7:7" ht="10.5" customHeight="1" x14ac:dyDescent="0.2">
      <c r="G26173" s="889"/>
    </row>
    <row r="26174" spans="7:7" ht="10.5" customHeight="1" x14ac:dyDescent="0.2">
      <c r="G26174" s="889"/>
    </row>
    <row r="26175" spans="7:7" ht="10.5" customHeight="1" x14ac:dyDescent="0.2">
      <c r="G26175" s="889"/>
    </row>
    <row r="26176" spans="7:7" ht="10.5" customHeight="1" x14ac:dyDescent="0.2">
      <c r="G26176" s="889"/>
    </row>
    <row r="26177" spans="7:7" ht="10.5" customHeight="1" x14ac:dyDescent="0.2">
      <c r="G26177" s="889"/>
    </row>
    <row r="26178" spans="7:7" ht="10.5" customHeight="1" x14ac:dyDescent="0.2">
      <c r="G26178" s="889"/>
    </row>
    <row r="26179" spans="7:7" ht="10.5" customHeight="1" x14ac:dyDescent="0.2">
      <c r="G26179" s="889"/>
    </row>
    <row r="26180" spans="7:7" ht="10.5" customHeight="1" x14ac:dyDescent="0.2">
      <c r="G26180" s="889"/>
    </row>
    <row r="26181" spans="7:7" ht="10.5" customHeight="1" x14ac:dyDescent="0.2">
      <c r="G26181" s="889"/>
    </row>
    <row r="26182" spans="7:7" ht="10.5" customHeight="1" x14ac:dyDescent="0.2">
      <c r="G26182" s="889"/>
    </row>
    <row r="26183" spans="7:7" ht="10.5" customHeight="1" x14ac:dyDescent="0.2">
      <c r="G26183" s="889"/>
    </row>
    <row r="26184" spans="7:7" ht="10.5" customHeight="1" x14ac:dyDescent="0.2">
      <c r="G26184" s="889"/>
    </row>
    <row r="26185" spans="7:7" ht="10.5" customHeight="1" x14ac:dyDescent="0.2">
      <c r="G26185" s="889"/>
    </row>
    <row r="26186" spans="7:7" ht="10.5" customHeight="1" x14ac:dyDescent="0.2">
      <c r="G26186" s="889"/>
    </row>
    <row r="26187" spans="7:7" ht="10.5" customHeight="1" x14ac:dyDescent="0.2">
      <c r="G26187" s="889"/>
    </row>
    <row r="26188" spans="7:7" ht="10.5" customHeight="1" x14ac:dyDescent="0.2">
      <c r="G26188" s="889"/>
    </row>
    <row r="26189" spans="7:7" ht="10.5" customHeight="1" x14ac:dyDescent="0.2">
      <c r="G26189" s="889"/>
    </row>
    <row r="26190" spans="7:7" ht="10.5" customHeight="1" x14ac:dyDescent="0.2">
      <c r="G26190" s="889"/>
    </row>
    <row r="26191" spans="7:7" ht="10.5" customHeight="1" x14ac:dyDescent="0.2">
      <c r="G26191" s="889"/>
    </row>
    <row r="26192" spans="7:7" ht="10.5" customHeight="1" x14ac:dyDescent="0.2">
      <c r="G26192" s="889"/>
    </row>
    <row r="26193" spans="7:7" ht="10.5" customHeight="1" x14ac:dyDescent="0.2">
      <c r="G26193" s="889"/>
    </row>
    <row r="26194" spans="7:7" ht="10.5" customHeight="1" x14ac:dyDescent="0.2">
      <c r="G26194" s="889"/>
    </row>
    <row r="26195" spans="7:7" ht="10.5" customHeight="1" x14ac:dyDescent="0.2">
      <c r="G26195" s="889"/>
    </row>
    <row r="26196" spans="7:7" ht="10.5" customHeight="1" x14ac:dyDescent="0.2">
      <c r="G26196" s="889"/>
    </row>
    <row r="26197" spans="7:7" ht="10.5" customHeight="1" x14ac:dyDescent="0.2">
      <c r="G26197" s="889"/>
    </row>
    <row r="26198" spans="7:7" ht="10.5" customHeight="1" x14ac:dyDescent="0.2">
      <c r="G26198" s="889"/>
    </row>
    <row r="26199" spans="7:7" ht="10.5" customHeight="1" x14ac:dyDescent="0.2">
      <c r="G26199" s="889"/>
    </row>
    <row r="26200" spans="7:7" ht="10.5" customHeight="1" x14ac:dyDescent="0.2">
      <c r="G26200" s="889"/>
    </row>
    <row r="26201" spans="7:7" ht="10.5" customHeight="1" x14ac:dyDescent="0.2">
      <c r="G26201" s="889"/>
    </row>
    <row r="26202" spans="7:7" ht="10.5" customHeight="1" x14ac:dyDescent="0.2">
      <c r="G26202" s="889"/>
    </row>
    <row r="26203" spans="7:7" ht="10.5" customHeight="1" x14ac:dyDescent="0.2">
      <c r="G26203" s="889"/>
    </row>
    <row r="26204" spans="7:7" ht="10.5" customHeight="1" x14ac:dyDescent="0.2">
      <c r="G26204" s="889"/>
    </row>
    <row r="26205" spans="7:7" ht="10.5" customHeight="1" x14ac:dyDescent="0.2">
      <c r="G26205" s="889"/>
    </row>
    <row r="26206" spans="7:7" ht="10.5" customHeight="1" x14ac:dyDescent="0.2">
      <c r="G26206" s="889"/>
    </row>
    <row r="26207" spans="7:7" ht="10.5" customHeight="1" x14ac:dyDescent="0.2">
      <c r="G26207" s="889"/>
    </row>
    <row r="26208" spans="7:7" ht="10.5" customHeight="1" x14ac:dyDescent="0.2">
      <c r="G26208" s="889"/>
    </row>
    <row r="26209" spans="7:7" ht="10.5" customHeight="1" x14ac:dyDescent="0.2">
      <c r="G26209" s="889"/>
    </row>
    <row r="26210" spans="7:7" ht="10.5" customHeight="1" x14ac:dyDescent="0.2">
      <c r="G26210" s="889"/>
    </row>
    <row r="26211" spans="7:7" ht="10.5" customHeight="1" x14ac:dyDescent="0.2">
      <c r="G26211" s="889"/>
    </row>
    <row r="26212" spans="7:7" ht="10.5" customHeight="1" x14ac:dyDescent="0.2">
      <c r="G26212" s="889"/>
    </row>
    <row r="26213" spans="7:7" ht="10.5" customHeight="1" x14ac:dyDescent="0.2">
      <c r="G26213" s="889"/>
    </row>
    <row r="26214" spans="7:7" ht="10.5" customHeight="1" x14ac:dyDescent="0.2">
      <c r="G26214" s="889"/>
    </row>
    <row r="26215" spans="7:7" ht="10.5" customHeight="1" x14ac:dyDescent="0.2">
      <c r="G26215" s="889"/>
    </row>
    <row r="26216" spans="7:7" ht="10.5" customHeight="1" x14ac:dyDescent="0.2">
      <c r="G26216" s="889"/>
    </row>
    <row r="26217" spans="7:7" ht="10.5" customHeight="1" x14ac:dyDescent="0.2">
      <c r="G26217" s="889"/>
    </row>
    <row r="26218" spans="7:7" ht="10.5" customHeight="1" x14ac:dyDescent="0.2">
      <c r="G26218" s="889"/>
    </row>
    <row r="26219" spans="7:7" ht="10.5" customHeight="1" x14ac:dyDescent="0.2">
      <c r="G26219" s="889"/>
    </row>
    <row r="26220" spans="7:7" ht="10.5" customHeight="1" x14ac:dyDescent="0.2">
      <c r="G26220" s="889"/>
    </row>
    <row r="26221" spans="7:7" ht="10.5" customHeight="1" x14ac:dyDescent="0.2">
      <c r="G26221" s="889"/>
    </row>
    <row r="26222" spans="7:7" ht="10.5" customHeight="1" x14ac:dyDescent="0.2">
      <c r="G26222" s="889"/>
    </row>
    <row r="26223" spans="7:7" ht="10.5" customHeight="1" x14ac:dyDescent="0.2">
      <c r="G26223" s="889"/>
    </row>
    <row r="26224" spans="7:7" ht="10.5" customHeight="1" x14ac:dyDescent="0.2">
      <c r="G26224" s="889"/>
    </row>
    <row r="26225" spans="7:7" ht="10.5" customHeight="1" x14ac:dyDescent="0.2">
      <c r="G26225" s="889"/>
    </row>
    <row r="26226" spans="7:7" ht="10.5" customHeight="1" x14ac:dyDescent="0.2">
      <c r="G26226" s="889"/>
    </row>
    <row r="26227" spans="7:7" ht="10.5" customHeight="1" x14ac:dyDescent="0.2">
      <c r="G26227" s="889"/>
    </row>
    <row r="26228" spans="7:7" ht="10.5" customHeight="1" x14ac:dyDescent="0.2">
      <c r="G26228" s="889"/>
    </row>
    <row r="26229" spans="7:7" ht="10.5" customHeight="1" x14ac:dyDescent="0.2">
      <c r="G26229" s="889"/>
    </row>
    <row r="26230" spans="7:7" ht="10.5" customHeight="1" x14ac:dyDescent="0.2">
      <c r="G26230" s="889"/>
    </row>
    <row r="26231" spans="7:7" ht="10.5" customHeight="1" x14ac:dyDescent="0.2">
      <c r="G26231" s="889"/>
    </row>
    <row r="26232" spans="7:7" ht="10.5" customHeight="1" x14ac:dyDescent="0.2">
      <c r="G26232" s="889"/>
    </row>
    <row r="26233" spans="7:7" ht="10.5" customHeight="1" x14ac:dyDescent="0.2">
      <c r="G26233" s="889"/>
    </row>
    <row r="26234" spans="7:7" ht="10.5" customHeight="1" x14ac:dyDescent="0.2">
      <c r="G26234" s="889"/>
    </row>
    <row r="26235" spans="7:7" ht="10.5" customHeight="1" x14ac:dyDescent="0.2">
      <c r="G26235" s="889"/>
    </row>
    <row r="26236" spans="7:7" ht="10.5" customHeight="1" x14ac:dyDescent="0.2">
      <c r="G26236" s="889"/>
    </row>
    <row r="26237" spans="7:7" ht="10.5" customHeight="1" x14ac:dyDescent="0.2">
      <c r="G26237" s="889"/>
    </row>
    <row r="26238" spans="7:7" ht="10.5" customHeight="1" x14ac:dyDescent="0.2">
      <c r="G26238" s="889"/>
    </row>
    <row r="26239" spans="7:7" ht="10.5" customHeight="1" x14ac:dyDescent="0.2">
      <c r="G26239" s="889"/>
    </row>
    <row r="26240" spans="7:7" ht="10.5" customHeight="1" x14ac:dyDescent="0.2">
      <c r="G26240" s="889"/>
    </row>
    <row r="26241" spans="7:7" ht="10.5" customHeight="1" x14ac:dyDescent="0.2">
      <c r="G26241" s="889"/>
    </row>
    <row r="26242" spans="7:7" ht="10.5" customHeight="1" x14ac:dyDescent="0.2">
      <c r="G26242" s="889"/>
    </row>
    <row r="26243" spans="7:7" ht="10.5" customHeight="1" x14ac:dyDescent="0.2">
      <c r="G26243" s="889"/>
    </row>
    <row r="26244" spans="7:7" ht="10.5" customHeight="1" x14ac:dyDescent="0.2">
      <c r="G26244" s="889"/>
    </row>
    <row r="26245" spans="7:7" ht="10.5" customHeight="1" x14ac:dyDescent="0.2">
      <c r="G26245" s="889"/>
    </row>
    <row r="26246" spans="7:7" ht="10.5" customHeight="1" x14ac:dyDescent="0.2">
      <c r="G26246" s="889"/>
    </row>
    <row r="26247" spans="7:7" ht="10.5" customHeight="1" x14ac:dyDescent="0.2">
      <c r="G26247" s="889"/>
    </row>
    <row r="26248" spans="7:7" ht="10.5" customHeight="1" x14ac:dyDescent="0.2">
      <c r="G26248" s="889"/>
    </row>
    <row r="26249" spans="7:7" ht="10.5" customHeight="1" x14ac:dyDescent="0.2">
      <c r="G26249" s="889"/>
    </row>
    <row r="26250" spans="7:7" ht="10.5" customHeight="1" x14ac:dyDescent="0.2">
      <c r="G26250" s="889"/>
    </row>
    <row r="26251" spans="7:7" ht="10.5" customHeight="1" x14ac:dyDescent="0.2">
      <c r="G26251" s="889"/>
    </row>
    <row r="26252" spans="7:7" ht="10.5" customHeight="1" x14ac:dyDescent="0.2">
      <c r="G26252" s="889"/>
    </row>
    <row r="26253" spans="7:7" ht="10.5" customHeight="1" x14ac:dyDescent="0.2">
      <c r="G26253" s="889"/>
    </row>
    <row r="26254" spans="7:7" ht="10.5" customHeight="1" x14ac:dyDescent="0.2">
      <c r="G26254" s="889"/>
    </row>
    <row r="26255" spans="7:7" ht="10.5" customHeight="1" x14ac:dyDescent="0.2">
      <c r="G26255" s="889"/>
    </row>
    <row r="26256" spans="7:7" ht="10.5" customHeight="1" x14ac:dyDescent="0.2">
      <c r="G26256" s="889"/>
    </row>
    <row r="26257" spans="7:7" ht="10.5" customHeight="1" x14ac:dyDescent="0.2">
      <c r="G26257" s="889"/>
    </row>
    <row r="26258" spans="7:7" ht="10.5" customHeight="1" x14ac:dyDescent="0.2">
      <c r="G26258" s="889"/>
    </row>
    <row r="26259" spans="7:7" ht="10.5" customHeight="1" x14ac:dyDescent="0.2">
      <c r="G26259" s="889"/>
    </row>
    <row r="26260" spans="7:7" ht="10.5" customHeight="1" x14ac:dyDescent="0.2">
      <c r="G26260" s="889"/>
    </row>
    <row r="26261" spans="7:7" ht="10.5" customHeight="1" x14ac:dyDescent="0.2">
      <c r="G26261" s="889"/>
    </row>
    <row r="26262" spans="7:7" ht="10.5" customHeight="1" x14ac:dyDescent="0.2">
      <c r="G26262" s="889"/>
    </row>
    <row r="26263" spans="7:7" ht="10.5" customHeight="1" x14ac:dyDescent="0.2">
      <c r="G26263" s="889"/>
    </row>
    <row r="26264" spans="7:7" ht="10.5" customHeight="1" x14ac:dyDescent="0.2">
      <c r="G26264" s="889"/>
    </row>
    <row r="26265" spans="7:7" ht="10.5" customHeight="1" x14ac:dyDescent="0.2">
      <c r="G26265" s="889"/>
    </row>
    <row r="26266" spans="7:7" ht="10.5" customHeight="1" x14ac:dyDescent="0.2">
      <c r="G26266" s="889"/>
    </row>
    <row r="26267" spans="7:7" ht="10.5" customHeight="1" x14ac:dyDescent="0.2">
      <c r="G26267" s="889"/>
    </row>
    <row r="26268" spans="7:7" ht="10.5" customHeight="1" x14ac:dyDescent="0.2">
      <c r="G26268" s="889"/>
    </row>
    <row r="26269" spans="7:7" ht="10.5" customHeight="1" x14ac:dyDescent="0.2">
      <c r="G26269" s="889"/>
    </row>
    <row r="26270" spans="7:7" ht="10.5" customHeight="1" x14ac:dyDescent="0.2">
      <c r="G26270" s="889"/>
    </row>
    <row r="26271" spans="7:7" ht="10.5" customHeight="1" x14ac:dyDescent="0.2">
      <c r="G26271" s="889"/>
    </row>
    <row r="26272" spans="7:7" ht="10.5" customHeight="1" x14ac:dyDescent="0.2">
      <c r="G26272" s="889"/>
    </row>
    <row r="26273" spans="7:7" ht="10.5" customHeight="1" x14ac:dyDescent="0.2">
      <c r="G26273" s="889"/>
    </row>
    <row r="26274" spans="7:7" ht="10.5" customHeight="1" x14ac:dyDescent="0.2">
      <c r="G26274" s="889"/>
    </row>
    <row r="26275" spans="7:7" ht="10.5" customHeight="1" x14ac:dyDescent="0.2">
      <c r="G26275" s="889"/>
    </row>
    <row r="26276" spans="7:7" ht="10.5" customHeight="1" x14ac:dyDescent="0.2">
      <c r="G26276" s="889"/>
    </row>
    <row r="26277" spans="7:7" ht="10.5" customHeight="1" x14ac:dyDescent="0.2">
      <c r="G26277" s="889"/>
    </row>
    <row r="26278" spans="7:7" ht="10.5" customHeight="1" x14ac:dyDescent="0.2">
      <c r="G26278" s="889"/>
    </row>
    <row r="26279" spans="7:7" ht="10.5" customHeight="1" x14ac:dyDescent="0.2">
      <c r="G26279" s="889"/>
    </row>
    <row r="26280" spans="7:7" ht="10.5" customHeight="1" x14ac:dyDescent="0.2">
      <c r="G26280" s="889"/>
    </row>
    <row r="26281" spans="7:7" ht="10.5" customHeight="1" x14ac:dyDescent="0.2">
      <c r="G26281" s="889"/>
    </row>
    <row r="26282" spans="7:7" ht="10.5" customHeight="1" x14ac:dyDescent="0.2">
      <c r="G26282" s="889"/>
    </row>
    <row r="26283" spans="7:7" ht="10.5" customHeight="1" x14ac:dyDescent="0.2">
      <c r="G26283" s="889"/>
    </row>
    <row r="26284" spans="7:7" ht="10.5" customHeight="1" x14ac:dyDescent="0.2">
      <c r="G26284" s="889"/>
    </row>
    <row r="26285" spans="7:7" ht="10.5" customHeight="1" x14ac:dyDescent="0.2">
      <c r="G26285" s="889"/>
    </row>
    <row r="26286" spans="7:7" ht="10.5" customHeight="1" x14ac:dyDescent="0.2">
      <c r="G26286" s="889"/>
    </row>
    <row r="26287" spans="7:7" ht="10.5" customHeight="1" x14ac:dyDescent="0.2">
      <c r="G26287" s="889"/>
    </row>
    <row r="26288" spans="7:7" ht="10.5" customHeight="1" x14ac:dyDescent="0.2">
      <c r="G26288" s="889"/>
    </row>
    <row r="26289" spans="7:7" ht="10.5" customHeight="1" x14ac:dyDescent="0.2">
      <c r="G26289" s="889"/>
    </row>
    <row r="26290" spans="7:7" ht="10.5" customHeight="1" x14ac:dyDescent="0.2">
      <c r="G26290" s="889"/>
    </row>
    <row r="26291" spans="7:7" ht="10.5" customHeight="1" x14ac:dyDescent="0.2">
      <c r="G26291" s="889"/>
    </row>
    <row r="26292" spans="7:7" ht="10.5" customHeight="1" x14ac:dyDescent="0.2">
      <c r="G26292" s="889"/>
    </row>
    <row r="26293" spans="7:7" ht="10.5" customHeight="1" x14ac:dyDescent="0.2">
      <c r="G26293" s="889"/>
    </row>
    <row r="26294" spans="7:7" ht="10.5" customHeight="1" x14ac:dyDescent="0.2">
      <c r="G26294" s="889"/>
    </row>
    <row r="26295" spans="7:7" ht="10.5" customHeight="1" x14ac:dyDescent="0.2">
      <c r="G26295" s="889"/>
    </row>
    <row r="26296" spans="7:7" ht="10.5" customHeight="1" x14ac:dyDescent="0.2">
      <c r="G26296" s="889"/>
    </row>
    <row r="26297" spans="7:7" ht="10.5" customHeight="1" x14ac:dyDescent="0.2">
      <c r="G26297" s="889"/>
    </row>
    <row r="26298" spans="7:7" ht="10.5" customHeight="1" x14ac:dyDescent="0.2">
      <c r="G26298" s="889"/>
    </row>
    <row r="26299" spans="7:7" ht="10.5" customHeight="1" x14ac:dyDescent="0.2">
      <c r="G26299" s="889"/>
    </row>
    <row r="26300" spans="7:7" ht="10.5" customHeight="1" x14ac:dyDescent="0.2">
      <c r="G26300" s="889"/>
    </row>
    <row r="26301" spans="7:7" ht="10.5" customHeight="1" x14ac:dyDescent="0.2">
      <c r="G26301" s="889"/>
    </row>
    <row r="26302" spans="7:7" ht="10.5" customHeight="1" x14ac:dyDescent="0.2">
      <c r="G26302" s="889"/>
    </row>
    <row r="26303" spans="7:7" ht="10.5" customHeight="1" x14ac:dyDescent="0.2">
      <c r="G26303" s="889"/>
    </row>
    <row r="26304" spans="7:7" ht="10.5" customHeight="1" x14ac:dyDescent="0.2">
      <c r="G26304" s="889"/>
    </row>
    <row r="26305" spans="7:7" ht="10.5" customHeight="1" x14ac:dyDescent="0.2">
      <c r="G26305" s="889"/>
    </row>
    <row r="26306" spans="7:7" ht="10.5" customHeight="1" x14ac:dyDescent="0.2">
      <c r="G26306" s="889"/>
    </row>
    <row r="26307" spans="7:7" ht="10.5" customHeight="1" x14ac:dyDescent="0.2">
      <c r="G26307" s="889"/>
    </row>
    <row r="26308" spans="7:7" ht="10.5" customHeight="1" x14ac:dyDescent="0.2">
      <c r="G26308" s="889"/>
    </row>
    <row r="26309" spans="7:7" ht="10.5" customHeight="1" x14ac:dyDescent="0.2">
      <c r="G26309" s="889"/>
    </row>
    <row r="26310" spans="7:7" ht="10.5" customHeight="1" x14ac:dyDescent="0.2">
      <c r="G26310" s="889"/>
    </row>
    <row r="26311" spans="7:7" ht="10.5" customHeight="1" x14ac:dyDescent="0.2">
      <c r="G26311" s="889"/>
    </row>
    <row r="26312" spans="7:7" ht="10.5" customHeight="1" x14ac:dyDescent="0.2">
      <c r="G26312" s="889"/>
    </row>
    <row r="26313" spans="7:7" ht="10.5" customHeight="1" x14ac:dyDescent="0.2">
      <c r="G26313" s="889"/>
    </row>
    <row r="26314" spans="7:7" ht="10.5" customHeight="1" x14ac:dyDescent="0.2">
      <c r="G26314" s="889"/>
    </row>
    <row r="26315" spans="7:7" ht="10.5" customHeight="1" x14ac:dyDescent="0.2">
      <c r="G26315" s="889"/>
    </row>
    <row r="26316" spans="7:7" ht="10.5" customHeight="1" x14ac:dyDescent="0.2">
      <c r="G26316" s="889"/>
    </row>
    <row r="26317" spans="7:7" ht="10.5" customHeight="1" x14ac:dyDescent="0.2">
      <c r="G26317" s="889"/>
    </row>
    <row r="26318" spans="7:7" ht="10.5" customHeight="1" x14ac:dyDescent="0.2">
      <c r="G26318" s="889"/>
    </row>
    <row r="26319" spans="7:7" ht="10.5" customHeight="1" x14ac:dyDescent="0.2">
      <c r="G26319" s="889"/>
    </row>
    <row r="26320" spans="7:7" ht="10.5" customHeight="1" x14ac:dyDescent="0.2">
      <c r="G26320" s="889"/>
    </row>
    <row r="26321" spans="7:7" ht="10.5" customHeight="1" x14ac:dyDescent="0.2">
      <c r="G26321" s="889"/>
    </row>
    <row r="26322" spans="7:7" ht="10.5" customHeight="1" x14ac:dyDescent="0.2">
      <c r="G26322" s="889"/>
    </row>
    <row r="26323" spans="7:7" ht="10.5" customHeight="1" x14ac:dyDescent="0.2">
      <c r="G26323" s="889"/>
    </row>
    <row r="26324" spans="7:7" ht="10.5" customHeight="1" x14ac:dyDescent="0.2">
      <c r="G26324" s="889"/>
    </row>
    <row r="26325" spans="7:7" ht="10.5" customHeight="1" x14ac:dyDescent="0.2">
      <c r="G26325" s="889"/>
    </row>
    <row r="26326" spans="7:7" ht="10.5" customHeight="1" x14ac:dyDescent="0.2">
      <c r="G26326" s="889"/>
    </row>
    <row r="26327" spans="7:7" ht="10.5" customHeight="1" x14ac:dyDescent="0.2">
      <c r="G26327" s="889"/>
    </row>
    <row r="26328" spans="7:7" ht="10.5" customHeight="1" x14ac:dyDescent="0.2">
      <c r="G26328" s="889"/>
    </row>
    <row r="26329" spans="7:7" ht="10.5" customHeight="1" x14ac:dyDescent="0.2">
      <c r="G26329" s="889"/>
    </row>
    <row r="26330" spans="7:7" ht="10.5" customHeight="1" x14ac:dyDescent="0.2">
      <c r="G26330" s="889"/>
    </row>
    <row r="26331" spans="7:7" ht="10.5" customHeight="1" x14ac:dyDescent="0.2">
      <c r="G26331" s="889"/>
    </row>
    <row r="26332" spans="7:7" ht="10.5" customHeight="1" x14ac:dyDescent="0.2">
      <c r="G26332" s="889"/>
    </row>
    <row r="26333" spans="7:7" ht="10.5" customHeight="1" x14ac:dyDescent="0.2">
      <c r="G26333" s="889"/>
    </row>
    <row r="26334" spans="7:7" ht="10.5" customHeight="1" x14ac:dyDescent="0.2">
      <c r="G26334" s="889"/>
    </row>
    <row r="26335" spans="7:7" ht="10.5" customHeight="1" x14ac:dyDescent="0.2">
      <c r="G26335" s="889"/>
    </row>
    <row r="26336" spans="7:7" ht="10.5" customHeight="1" x14ac:dyDescent="0.2">
      <c r="G26336" s="889"/>
    </row>
    <row r="26337" spans="7:7" ht="10.5" customHeight="1" x14ac:dyDescent="0.2">
      <c r="G26337" s="889"/>
    </row>
    <row r="26338" spans="7:7" ht="10.5" customHeight="1" x14ac:dyDescent="0.2">
      <c r="G26338" s="889"/>
    </row>
    <row r="26339" spans="7:7" ht="10.5" customHeight="1" x14ac:dyDescent="0.2">
      <c r="G26339" s="889"/>
    </row>
    <row r="26340" spans="7:7" ht="10.5" customHeight="1" x14ac:dyDescent="0.2">
      <c r="G26340" s="889"/>
    </row>
    <row r="26341" spans="7:7" ht="10.5" customHeight="1" x14ac:dyDescent="0.2">
      <c r="G26341" s="889"/>
    </row>
    <row r="26342" spans="7:7" ht="10.5" customHeight="1" x14ac:dyDescent="0.2">
      <c r="G26342" s="889"/>
    </row>
    <row r="26343" spans="7:7" ht="10.5" customHeight="1" x14ac:dyDescent="0.2">
      <c r="G26343" s="889"/>
    </row>
    <row r="26344" spans="7:7" ht="10.5" customHeight="1" x14ac:dyDescent="0.2">
      <c r="G26344" s="889"/>
    </row>
    <row r="26345" spans="7:7" ht="10.5" customHeight="1" x14ac:dyDescent="0.2">
      <c r="G26345" s="889"/>
    </row>
    <row r="26346" spans="7:7" ht="10.5" customHeight="1" x14ac:dyDescent="0.2">
      <c r="G26346" s="889"/>
    </row>
    <row r="26347" spans="7:7" ht="10.5" customHeight="1" x14ac:dyDescent="0.2">
      <c r="G26347" s="889"/>
    </row>
    <row r="26348" spans="7:7" ht="10.5" customHeight="1" x14ac:dyDescent="0.2">
      <c r="G26348" s="889"/>
    </row>
    <row r="26349" spans="7:7" ht="10.5" customHeight="1" x14ac:dyDescent="0.2">
      <c r="G26349" s="889"/>
    </row>
    <row r="26350" spans="7:7" ht="10.5" customHeight="1" x14ac:dyDescent="0.2">
      <c r="G26350" s="889"/>
    </row>
    <row r="26351" spans="7:7" ht="10.5" customHeight="1" x14ac:dyDescent="0.2">
      <c r="G26351" s="889"/>
    </row>
    <row r="26352" spans="7:7" ht="10.5" customHeight="1" x14ac:dyDescent="0.2">
      <c r="G26352" s="889"/>
    </row>
    <row r="26353" spans="7:7" ht="10.5" customHeight="1" x14ac:dyDescent="0.2">
      <c r="G26353" s="889"/>
    </row>
    <row r="26354" spans="7:7" ht="10.5" customHeight="1" x14ac:dyDescent="0.2">
      <c r="G26354" s="889"/>
    </row>
    <row r="26355" spans="7:7" ht="10.5" customHeight="1" x14ac:dyDescent="0.2">
      <c r="G26355" s="889"/>
    </row>
    <row r="26356" spans="7:7" ht="10.5" customHeight="1" x14ac:dyDescent="0.2">
      <c r="G26356" s="889"/>
    </row>
    <row r="26357" spans="7:7" ht="10.5" customHeight="1" x14ac:dyDescent="0.2">
      <c r="G26357" s="889"/>
    </row>
    <row r="26358" spans="7:7" ht="10.5" customHeight="1" x14ac:dyDescent="0.2">
      <c r="G26358" s="889"/>
    </row>
    <row r="26359" spans="7:7" ht="10.5" customHeight="1" x14ac:dyDescent="0.2">
      <c r="G26359" s="889"/>
    </row>
    <row r="26360" spans="7:7" ht="10.5" customHeight="1" x14ac:dyDescent="0.2">
      <c r="G26360" s="889"/>
    </row>
    <row r="26361" spans="7:7" ht="10.5" customHeight="1" x14ac:dyDescent="0.2">
      <c r="G26361" s="889"/>
    </row>
    <row r="26362" spans="7:7" ht="10.5" customHeight="1" x14ac:dyDescent="0.2">
      <c r="G26362" s="889"/>
    </row>
    <row r="26363" spans="7:7" ht="10.5" customHeight="1" x14ac:dyDescent="0.2">
      <c r="G26363" s="889"/>
    </row>
    <row r="26364" spans="7:7" ht="10.5" customHeight="1" x14ac:dyDescent="0.2">
      <c r="G26364" s="889"/>
    </row>
    <row r="26365" spans="7:7" ht="10.5" customHeight="1" x14ac:dyDescent="0.2">
      <c r="G26365" s="889"/>
    </row>
    <row r="26366" spans="7:7" ht="10.5" customHeight="1" x14ac:dyDescent="0.2">
      <c r="G26366" s="889"/>
    </row>
    <row r="26367" spans="7:7" ht="10.5" customHeight="1" x14ac:dyDescent="0.2">
      <c r="G26367" s="889"/>
    </row>
    <row r="26368" spans="7:7" ht="10.5" customHeight="1" x14ac:dyDescent="0.2">
      <c r="G26368" s="889"/>
    </row>
    <row r="26369" spans="7:7" ht="10.5" customHeight="1" x14ac:dyDescent="0.2">
      <c r="G26369" s="889"/>
    </row>
    <row r="26370" spans="7:7" ht="10.5" customHeight="1" x14ac:dyDescent="0.2">
      <c r="G26370" s="889"/>
    </row>
    <row r="26371" spans="7:7" ht="10.5" customHeight="1" x14ac:dyDescent="0.2">
      <c r="G26371" s="889"/>
    </row>
    <row r="26372" spans="7:7" ht="10.5" customHeight="1" x14ac:dyDescent="0.2">
      <c r="G26372" s="889"/>
    </row>
    <row r="26373" spans="7:7" ht="10.5" customHeight="1" x14ac:dyDescent="0.2">
      <c r="G26373" s="889"/>
    </row>
    <row r="26374" spans="7:7" ht="10.5" customHeight="1" x14ac:dyDescent="0.2">
      <c r="G26374" s="889"/>
    </row>
    <row r="26375" spans="7:7" ht="10.5" customHeight="1" x14ac:dyDescent="0.2">
      <c r="G26375" s="889"/>
    </row>
    <row r="26376" spans="7:7" ht="10.5" customHeight="1" x14ac:dyDescent="0.2">
      <c r="G26376" s="889"/>
    </row>
    <row r="26377" spans="7:7" ht="10.5" customHeight="1" x14ac:dyDescent="0.2">
      <c r="G26377" s="889"/>
    </row>
    <row r="26378" spans="7:7" ht="10.5" customHeight="1" x14ac:dyDescent="0.2">
      <c r="G26378" s="889"/>
    </row>
    <row r="26379" spans="7:7" ht="10.5" customHeight="1" x14ac:dyDescent="0.2">
      <c r="G26379" s="889"/>
    </row>
    <row r="26380" spans="7:7" ht="10.5" customHeight="1" x14ac:dyDescent="0.2">
      <c r="G26380" s="889"/>
    </row>
    <row r="26381" spans="7:7" ht="10.5" customHeight="1" x14ac:dyDescent="0.2">
      <c r="G26381" s="889"/>
    </row>
    <row r="26382" spans="7:7" ht="10.5" customHeight="1" x14ac:dyDescent="0.2">
      <c r="G26382" s="889"/>
    </row>
    <row r="26383" spans="7:7" ht="10.5" customHeight="1" x14ac:dyDescent="0.2">
      <c r="G26383" s="889"/>
    </row>
    <row r="26384" spans="7:7" ht="10.5" customHeight="1" x14ac:dyDescent="0.2">
      <c r="G26384" s="889"/>
    </row>
    <row r="26385" spans="7:7" ht="10.5" customHeight="1" x14ac:dyDescent="0.2">
      <c r="G26385" s="889"/>
    </row>
    <row r="26386" spans="7:7" ht="10.5" customHeight="1" x14ac:dyDescent="0.2">
      <c r="G26386" s="889"/>
    </row>
    <row r="26387" spans="7:7" ht="10.5" customHeight="1" x14ac:dyDescent="0.2">
      <c r="G26387" s="889"/>
    </row>
    <row r="26388" spans="7:7" ht="10.5" customHeight="1" x14ac:dyDescent="0.2">
      <c r="G26388" s="889"/>
    </row>
    <row r="26389" spans="7:7" ht="10.5" customHeight="1" x14ac:dyDescent="0.2">
      <c r="G26389" s="889"/>
    </row>
    <row r="26390" spans="7:7" ht="10.5" customHeight="1" x14ac:dyDescent="0.2">
      <c r="G26390" s="889"/>
    </row>
    <row r="26391" spans="7:7" ht="10.5" customHeight="1" x14ac:dyDescent="0.2">
      <c r="G26391" s="889"/>
    </row>
    <row r="26392" spans="7:7" ht="10.5" customHeight="1" x14ac:dyDescent="0.2">
      <c r="G26392" s="889"/>
    </row>
    <row r="26393" spans="7:7" ht="10.5" customHeight="1" x14ac:dyDescent="0.2">
      <c r="G26393" s="889"/>
    </row>
    <row r="26394" spans="7:7" ht="10.5" customHeight="1" x14ac:dyDescent="0.2">
      <c r="G26394" s="889"/>
    </row>
    <row r="26395" spans="7:7" ht="10.5" customHeight="1" x14ac:dyDescent="0.2">
      <c r="G26395" s="889"/>
    </row>
    <row r="26396" spans="7:7" ht="10.5" customHeight="1" x14ac:dyDescent="0.2">
      <c r="G26396" s="889"/>
    </row>
    <row r="26397" spans="7:7" ht="10.5" customHeight="1" x14ac:dyDescent="0.2">
      <c r="G26397" s="889"/>
    </row>
    <row r="26398" spans="7:7" ht="10.5" customHeight="1" x14ac:dyDescent="0.2">
      <c r="G26398" s="889"/>
    </row>
    <row r="26399" spans="7:7" ht="10.5" customHeight="1" x14ac:dyDescent="0.2">
      <c r="G26399" s="889"/>
    </row>
    <row r="26400" spans="7:7" ht="10.5" customHeight="1" x14ac:dyDescent="0.2">
      <c r="G26400" s="889"/>
    </row>
    <row r="26401" spans="7:7" ht="10.5" customHeight="1" x14ac:dyDescent="0.2">
      <c r="G26401" s="889"/>
    </row>
    <row r="26402" spans="7:7" ht="10.5" customHeight="1" x14ac:dyDescent="0.2">
      <c r="G26402" s="889"/>
    </row>
    <row r="26403" spans="7:7" ht="10.5" customHeight="1" x14ac:dyDescent="0.2">
      <c r="G26403" s="889"/>
    </row>
    <row r="26404" spans="7:7" ht="10.5" customHeight="1" x14ac:dyDescent="0.2">
      <c r="G26404" s="889"/>
    </row>
    <row r="26405" spans="7:7" ht="10.5" customHeight="1" x14ac:dyDescent="0.2">
      <c r="G26405" s="889"/>
    </row>
    <row r="26406" spans="7:7" ht="10.5" customHeight="1" x14ac:dyDescent="0.2">
      <c r="G26406" s="889"/>
    </row>
    <row r="26407" spans="7:7" ht="10.5" customHeight="1" x14ac:dyDescent="0.2">
      <c r="G26407" s="889"/>
    </row>
    <row r="26408" spans="7:7" ht="10.5" customHeight="1" x14ac:dyDescent="0.2">
      <c r="G26408" s="889"/>
    </row>
    <row r="26409" spans="7:7" ht="10.5" customHeight="1" x14ac:dyDescent="0.2">
      <c r="G26409" s="889"/>
    </row>
    <row r="26410" spans="7:7" ht="10.5" customHeight="1" x14ac:dyDescent="0.2">
      <c r="G26410" s="889"/>
    </row>
    <row r="26411" spans="7:7" ht="10.5" customHeight="1" x14ac:dyDescent="0.2">
      <c r="G26411" s="889"/>
    </row>
    <row r="26412" spans="7:7" ht="10.5" customHeight="1" x14ac:dyDescent="0.2">
      <c r="G26412" s="889"/>
    </row>
    <row r="26413" spans="7:7" ht="10.5" customHeight="1" x14ac:dyDescent="0.2">
      <c r="G26413" s="889"/>
    </row>
    <row r="26414" spans="7:7" ht="10.5" customHeight="1" x14ac:dyDescent="0.2">
      <c r="G26414" s="889"/>
    </row>
    <row r="26415" spans="7:7" ht="10.5" customHeight="1" x14ac:dyDescent="0.2">
      <c r="G26415" s="889"/>
    </row>
    <row r="26416" spans="7:7" ht="10.5" customHeight="1" x14ac:dyDescent="0.2">
      <c r="G26416" s="889"/>
    </row>
    <row r="26417" spans="7:7" ht="10.5" customHeight="1" x14ac:dyDescent="0.2">
      <c r="G26417" s="889"/>
    </row>
    <row r="26418" spans="7:7" ht="10.5" customHeight="1" x14ac:dyDescent="0.2">
      <c r="G26418" s="889"/>
    </row>
    <row r="26419" spans="7:7" ht="10.5" customHeight="1" x14ac:dyDescent="0.2">
      <c r="G26419" s="889"/>
    </row>
    <row r="26420" spans="7:7" ht="10.5" customHeight="1" x14ac:dyDescent="0.2">
      <c r="G26420" s="889"/>
    </row>
    <row r="26421" spans="7:7" ht="10.5" customHeight="1" x14ac:dyDescent="0.2">
      <c r="G26421" s="889"/>
    </row>
    <row r="26422" spans="7:7" ht="10.5" customHeight="1" x14ac:dyDescent="0.2">
      <c r="G26422" s="889"/>
    </row>
    <row r="26423" spans="7:7" ht="10.5" customHeight="1" x14ac:dyDescent="0.2">
      <c r="G26423" s="889"/>
    </row>
    <row r="26424" spans="7:7" ht="10.5" customHeight="1" x14ac:dyDescent="0.2">
      <c r="G26424" s="889"/>
    </row>
    <row r="26425" spans="7:7" ht="10.5" customHeight="1" x14ac:dyDescent="0.2">
      <c r="G26425" s="889"/>
    </row>
    <row r="26426" spans="7:7" ht="10.5" customHeight="1" x14ac:dyDescent="0.2">
      <c r="G26426" s="889"/>
    </row>
    <row r="26427" spans="7:7" ht="10.5" customHeight="1" x14ac:dyDescent="0.2">
      <c r="G26427" s="889"/>
    </row>
    <row r="26428" spans="7:7" ht="10.5" customHeight="1" x14ac:dyDescent="0.2">
      <c r="G26428" s="889"/>
    </row>
    <row r="26429" spans="7:7" ht="10.5" customHeight="1" x14ac:dyDescent="0.2">
      <c r="G26429" s="889"/>
    </row>
    <row r="26430" spans="7:7" ht="10.5" customHeight="1" x14ac:dyDescent="0.2">
      <c r="G26430" s="889"/>
    </row>
    <row r="26431" spans="7:7" ht="10.5" customHeight="1" x14ac:dyDescent="0.2">
      <c r="G26431" s="889"/>
    </row>
    <row r="26432" spans="7:7" ht="10.5" customHeight="1" x14ac:dyDescent="0.2">
      <c r="G26432" s="889"/>
    </row>
    <row r="26433" spans="7:7" ht="10.5" customHeight="1" x14ac:dyDescent="0.2">
      <c r="G26433" s="889"/>
    </row>
    <row r="26434" spans="7:7" ht="10.5" customHeight="1" x14ac:dyDescent="0.2">
      <c r="G26434" s="889"/>
    </row>
    <row r="26435" spans="7:7" ht="10.5" customHeight="1" x14ac:dyDescent="0.2">
      <c r="G26435" s="889"/>
    </row>
    <row r="26436" spans="7:7" ht="10.5" customHeight="1" x14ac:dyDescent="0.2">
      <c r="G26436" s="889"/>
    </row>
    <row r="26437" spans="7:7" ht="10.5" customHeight="1" x14ac:dyDescent="0.2">
      <c r="G26437" s="889"/>
    </row>
    <row r="26438" spans="7:7" ht="10.5" customHeight="1" x14ac:dyDescent="0.2">
      <c r="G26438" s="889"/>
    </row>
    <row r="26439" spans="7:7" ht="10.5" customHeight="1" x14ac:dyDescent="0.2">
      <c r="G26439" s="889"/>
    </row>
    <row r="26440" spans="7:7" ht="10.5" customHeight="1" x14ac:dyDescent="0.2">
      <c r="G26440" s="889"/>
    </row>
    <row r="26441" spans="7:7" ht="10.5" customHeight="1" x14ac:dyDescent="0.2">
      <c r="G26441" s="889"/>
    </row>
    <row r="26442" spans="7:7" ht="10.5" customHeight="1" x14ac:dyDescent="0.2">
      <c r="G26442" s="889"/>
    </row>
    <row r="26443" spans="7:7" ht="10.5" customHeight="1" x14ac:dyDescent="0.2">
      <c r="G26443" s="889"/>
    </row>
    <row r="26444" spans="7:7" ht="10.5" customHeight="1" x14ac:dyDescent="0.2">
      <c r="G26444" s="889"/>
    </row>
    <row r="26445" spans="7:7" ht="10.5" customHeight="1" x14ac:dyDescent="0.2">
      <c r="G26445" s="889"/>
    </row>
    <row r="26446" spans="7:7" ht="10.5" customHeight="1" x14ac:dyDescent="0.2">
      <c r="G26446" s="889"/>
    </row>
    <row r="26447" spans="7:7" ht="10.5" customHeight="1" x14ac:dyDescent="0.2">
      <c r="G26447" s="889"/>
    </row>
    <row r="26448" spans="7:7" ht="10.5" customHeight="1" x14ac:dyDescent="0.2">
      <c r="G26448" s="889"/>
    </row>
    <row r="26449" spans="7:7" ht="10.5" customHeight="1" x14ac:dyDescent="0.2">
      <c r="G26449" s="889"/>
    </row>
    <row r="26450" spans="7:7" ht="10.5" customHeight="1" x14ac:dyDescent="0.2">
      <c r="G26450" s="889"/>
    </row>
    <row r="26451" spans="7:7" ht="10.5" customHeight="1" x14ac:dyDescent="0.2">
      <c r="G26451" s="889"/>
    </row>
    <row r="26452" spans="7:7" ht="10.5" customHeight="1" x14ac:dyDescent="0.2">
      <c r="G26452" s="889"/>
    </row>
    <row r="26453" spans="7:7" ht="10.5" customHeight="1" x14ac:dyDescent="0.2">
      <c r="G26453" s="889"/>
    </row>
    <row r="26454" spans="7:7" ht="10.5" customHeight="1" x14ac:dyDescent="0.2">
      <c r="G26454" s="889"/>
    </row>
    <row r="26455" spans="7:7" ht="10.5" customHeight="1" x14ac:dyDescent="0.2">
      <c r="G26455" s="889"/>
    </row>
    <row r="26456" spans="7:7" ht="10.5" customHeight="1" x14ac:dyDescent="0.2">
      <c r="G26456" s="889"/>
    </row>
    <row r="26457" spans="7:7" ht="10.5" customHeight="1" x14ac:dyDescent="0.2">
      <c r="G26457" s="889"/>
    </row>
    <row r="26458" spans="7:7" ht="10.5" customHeight="1" x14ac:dyDescent="0.2">
      <c r="G26458" s="889"/>
    </row>
    <row r="26459" spans="7:7" ht="10.5" customHeight="1" x14ac:dyDescent="0.2">
      <c r="G26459" s="889"/>
    </row>
    <row r="26460" spans="7:7" ht="10.5" customHeight="1" x14ac:dyDescent="0.2">
      <c r="G26460" s="889"/>
    </row>
    <row r="26461" spans="7:7" ht="10.5" customHeight="1" x14ac:dyDescent="0.2">
      <c r="G26461" s="889"/>
    </row>
    <row r="26462" spans="7:7" ht="10.5" customHeight="1" x14ac:dyDescent="0.2">
      <c r="G26462" s="889"/>
    </row>
    <row r="26463" spans="7:7" ht="10.5" customHeight="1" x14ac:dyDescent="0.2">
      <c r="G26463" s="889"/>
    </row>
    <row r="26464" spans="7:7" ht="10.5" customHeight="1" x14ac:dyDescent="0.2">
      <c r="G26464" s="889"/>
    </row>
    <row r="26465" spans="7:7" ht="10.5" customHeight="1" x14ac:dyDescent="0.2">
      <c r="G26465" s="889"/>
    </row>
    <row r="26466" spans="7:7" ht="10.5" customHeight="1" x14ac:dyDescent="0.2">
      <c r="G26466" s="889"/>
    </row>
    <row r="26467" spans="7:7" ht="10.5" customHeight="1" x14ac:dyDescent="0.2">
      <c r="G26467" s="889"/>
    </row>
    <row r="26468" spans="7:7" ht="10.5" customHeight="1" x14ac:dyDescent="0.2">
      <c r="G26468" s="889"/>
    </row>
    <row r="26469" spans="7:7" ht="10.5" customHeight="1" x14ac:dyDescent="0.2">
      <c r="G26469" s="889"/>
    </row>
    <row r="26470" spans="7:7" ht="10.5" customHeight="1" x14ac:dyDescent="0.2">
      <c r="G26470" s="889"/>
    </row>
    <row r="26471" spans="7:7" ht="10.5" customHeight="1" x14ac:dyDescent="0.2">
      <c r="G26471" s="889"/>
    </row>
    <row r="26472" spans="7:7" ht="10.5" customHeight="1" x14ac:dyDescent="0.2">
      <c r="G26472" s="889"/>
    </row>
    <row r="26473" spans="7:7" ht="10.5" customHeight="1" x14ac:dyDescent="0.2">
      <c r="G26473" s="889"/>
    </row>
    <row r="26474" spans="7:7" ht="10.5" customHeight="1" x14ac:dyDescent="0.2">
      <c r="G26474" s="889"/>
    </row>
    <row r="26475" spans="7:7" ht="10.5" customHeight="1" x14ac:dyDescent="0.2">
      <c r="G26475" s="889"/>
    </row>
    <row r="26476" spans="7:7" ht="10.5" customHeight="1" x14ac:dyDescent="0.2">
      <c r="G26476" s="889"/>
    </row>
    <row r="26477" spans="7:7" ht="10.5" customHeight="1" x14ac:dyDescent="0.2">
      <c r="G26477" s="889"/>
    </row>
    <row r="26478" spans="7:7" ht="10.5" customHeight="1" x14ac:dyDescent="0.2">
      <c r="G26478" s="889"/>
    </row>
    <row r="26479" spans="7:7" ht="10.5" customHeight="1" x14ac:dyDescent="0.2">
      <c r="G26479" s="889"/>
    </row>
    <row r="26480" spans="7:7" ht="10.5" customHeight="1" x14ac:dyDescent="0.2">
      <c r="G26480" s="889"/>
    </row>
    <row r="26481" spans="7:7" ht="10.5" customHeight="1" x14ac:dyDescent="0.2">
      <c r="G26481" s="889"/>
    </row>
    <row r="26482" spans="7:7" ht="10.5" customHeight="1" x14ac:dyDescent="0.2">
      <c r="G26482" s="889"/>
    </row>
    <row r="26483" spans="7:7" ht="10.5" customHeight="1" x14ac:dyDescent="0.2">
      <c r="G26483" s="889"/>
    </row>
    <row r="26484" spans="7:7" ht="10.5" customHeight="1" x14ac:dyDescent="0.2">
      <c r="G26484" s="889"/>
    </row>
    <row r="26485" spans="7:7" ht="10.5" customHeight="1" x14ac:dyDescent="0.2">
      <c r="G26485" s="889"/>
    </row>
    <row r="26486" spans="7:7" ht="10.5" customHeight="1" x14ac:dyDescent="0.2">
      <c r="G26486" s="889"/>
    </row>
    <row r="26487" spans="7:7" ht="10.5" customHeight="1" x14ac:dyDescent="0.2">
      <c r="G26487" s="889"/>
    </row>
    <row r="26488" spans="7:7" ht="10.5" customHeight="1" x14ac:dyDescent="0.2">
      <c r="G26488" s="889"/>
    </row>
    <row r="26489" spans="7:7" ht="10.5" customHeight="1" x14ac:dyDescent="0.2">
      <c r="G26489" s="889"/>
    </row>
    <row r="26490" spans="7:7" ht="10.5" customHeight="1" x14ac:dyDescent="0.2">
      <c r="G26490" s="889"/>
    </row>
    <row r="26491" spans="7:7" ht="10.5" customHeight="1" x14ac:dyDescent="0.2">
      <c r="G26491" s="889"/>
    </row>
    <row r="26492" spans="7:7" ht="10.5" customHeight="1" x14ac:dyDescent="0.2">
      <c r="G26492" s="889"/>
    </row>
    <row r="26493" spans="7:7" ht="10.5" customHeight="1" x14ac:dyDescent="0.2">
      <c r="G26493" s="889"/>
    </row>
    <row r="26494" spans="7:7" ht="10.5" customHeight="1" x14ac:dyDescent="0.2">
      <c r="G26494" s="889"/>
    </row>
    <row r="26495" spans="7:7" ht="10.5" customHeight="1" x14ac:dyDescent="0.2">
      <c r="G26495" s="889"/>
    </row>
    <row r="26496" spans="7:7" ht="10.5" customHeight="1" x14ac:dyDescent="0.2">
      <c r="G26496" s="889"/>
    </row>
    <row r="26497" spans="7:7" ht="10.5" customHeight="1" x14ac:dyDescent="0.2">
      <c r="G26497" s="889"/>
    </row>
    <row r="26498" spans="7:7" ht="10.5" customHeight="1" x14ac:dyDescent="0.2">
      <c r="G26498" s="889"/>
    </row>
    <row r="26499" spans="7:7" ht="10.5" customHeight="1" x14ac:dyDescent="0.2">
      <c r="G26499" s="889"/>
    </row>
    <row r="26500" spans="7:7" ht="10.5" customHeight="1" x14ac:dyDescent="0.2">
      <c r="G26500" s="889"/>
    </row>
    <row r="26501" spans="7:7" ht="10.5" customHeight="1" x14ac:dyDescent="0.2">
      <c r="G26501" s="889"/>
    </row>
    <row r="26502" spans="7:7" ht="10.5" customHeight="1" x14ac:dyDescent="0.2">
      <c r="G26502" s="889"/>
    </row>
    <row r="26503" spans="7:7" ht="10.5" customHeight="1" x14ac:dyDescent="0.2">
      <c r="G26503" s="889"/>
    </row>
    <row r="26504" spans="7:7" ht="10.5" customHeight="1" x14ac:dyDescent="0.2">
      <c r="G26504" s="889"/>
    </row>
    <row r="26505" spans="7:7" ht="10.5" customHeight="1" x14ac:dyDescent="0.2">
      <c r="G26505" s="889"/>
    </row>
    <row r="26506" spans="7:7" ht="10.5" customHeight="1" x14ac:dyDescent="0.2">
      <c r="G26506" s="889"/>
    </row>
    <row r="26507" spans="7:7" ht="10.5" customHeight="1" x14ac:dyDescent="0.2">
      <c r="G26507" s="889"/>
    </row>
    <row r="26508" spans="7:7" ht="10.5" customHeight="1" x14ac:dyDescent="0.2">
      <c r="G26508" s="889"/>
    </row>
    <row r="26509" spans="7:7" ht="10.5" customHeight="1" x14ac:dyDescent="0.2">
      <c r="G26509" s="889"/>
    </row>
    <row r="26510" spans="7:7" ht="10.5" customHeight="1" x14ac:dyDescent="0.2">
      <c r="G26510" s="889"/>
    </row>
    <row r="26511" spans="7:7" ht="10.5" customHeight="1" x14ac:dyDescent="0.2">
      <c r="G26511" s="889"/>
    </row>
    <row r="26512" spans="7:7" ht="10.5" customHeight="1" x14ac:dyDescent="0.2">
      <c r="G26512" s="889"/>
    </row>
    <row r="26513" spans="7:7" ht="10.5" customHeight="1" x14ac:dyDescent="0.2">
      <c r="G26513" s="889"/>
    </row>
    <row r="26514" spans="7:7" ht="10.5" customHeight="1" x14ac:dyDescent="0.2">
      <c r="G26514" s="889"/>
    </row>
    <row r="26515" spans="7:7" ht="10.5" customHeight="1" x14ac:dyDescent="0.2">
      <c r="G26515" s="889"/>
    </row>
    <row r="26516" spans="7:7" ht="10.5" customHeight="1" x14ac:dyDescent="0.2">
      <c r="G26516" s="889"/>
    </row>
    <row r="26517" spans="7:7" ht="10.5" customHeight="1" x14ac:dyDescent="0.2">
      <c r="G26517" s="889"/>
    </row>
    <row r="26518" spans="7:7" ht="10.5" customHeight="1" x14ac:dyDescent="0.2">
      <c r="G26518" s="889"/>
    </row>
    <row r="26519" spans="7:7" ht="10.5" customHeight="1" x14ac:dyDescent="0.2">
      <c r="G26519" s="889"/>
    </row>
    <row r="26520" spans="7:7" ht="10.5" customHeight="1" x14ac:dyDescent="0.2">
      <c r="G26520" s="889"/>
    </row>
    <row r="26521" spans="7:7" ht="10.5" customHeight="1" x14ac:dyDescent="0.2">
      <c r="G26521" s="889"/>
    </row>
    <row r="26522" spans="7:7" ht="10.5" customHeight="1" x14ac:dyDescent="0.2">
      <c r="G26522" s="889"/>
    </row>
    <row r="26523" spans="7:7" ht="10.5" customHeight="1" x14ac:dyDescent="0.2">
      <c r="G26523" s="889"/>
    </row>
    <row r="26524" spans="7:7" ht="10.5" customHeight="1" x14ac:dyDescent="0.2">
      <c r="G26524" s="889"/>
    </row>
    <row r="26525" spans="7:7" ht="10.5" customHeight="1" x14ac:dyDescent="0.2">
      <c r="G26525" s="889"/>
    </row>
    <row r="26526" spans="7:7" ht="10.5" customHeight="1" x14ac:dyDescent="0.2">
      <c r="G26526" s="889"/>
    </row>
    <row r="26527" spans="7:7" ht="10.5" customHeight="1" x14ac:dyDescent="0.2">
      <c r="G26527" s="889"/>
    </row>
    <row r="26528" spans="7:7" ht="10.5" customHeight="1" x14ac:dyDescent="0.2">
      <c r="G26528" s="889"/>
    </row>
    <row r="26529" spans="7:7" ht="10.5" customHeight="1" x14ac:dyDescent="0.2">
      <c r="G26529" s="889"/>
    </row>
    <row r="26530" spans="7:7" ht="10.5" customHeight="1" x14ac:dyDescent="0.2">
      <c r="G26530" s="889"/>
    </row>
    <row r="26531" spans="7:7" ht="10.5" customHeight="1" x14ac:dyDescent="0.2">
      <c r="G26531" s="889"/>
    </row>
    <row r="26532" spans="7:7" ht="10.5" customHeight="1" x14ac:dyDescent="0.2">
      <c r="G26532" s="889"/>
    </row>
    <row r="26533" spans="7:7" ht="10.5" customHeight="1" x14ac:dyDescent="0.2">
      <c r="G26533" s="889"/>
    </row>
    <row r="26534" spans="7:7" ht="10.5" customHeight="1" x14ac:dyDescent="0.2">
      <c r="G26534" s="889"/>
    </row>
    <row r="26535" spans="7:7" ht="10.5" customHeight="1" x14ac:dyDescent="0.2">
      <c r="G26535" s="889"/>
    </row>
    <row r="26536" spans="7:7" ht="10.5" customHeight="1" x14ac:dyDescent="0.2">
      <c r="G26536" s="889"/>
    </row>
    <row r="26537" spans="7:7" ht="10.5" customHeight="1" x14ac:dyDescent="0.2">
      <c r="G26537" s="889"/>
    </row>
    <row r="26538" spans="7:7" ht="10.5" customHeight="1" x14ac:dyDescent="0.2">
      <c r="G26538" s="889"/>
    </row>
    <row r="26539" spans="7:7" ht="10.5" customHeight="1" x14ac:dyDescent="0.2">
      <c r="G26539" s="889"/>
    </row>
    <row r="26540" spans="7:7" ht="10.5" customHeight="1" x14ac:dyDescent="0.2">
      <c r="G26540" s="889"/>
    </row>
    <row r="26541" spans="7:7" ht="10.5" customHeight="1" x14ac:dyDescent="0.2">
      <c r="G26541" s="889"/>
    </row>
    <row r="26542" spans="7:7" ht="10.5" customHeight="1" x14ac:dyDescent="0.2">
      <c r="G26542" s="889"/>
    </row>
    <row r="26543" spans="7:7" ht="10.5" customHeight="1" x14ac:dyDescent="0.2">
      <c r="G26543" s="889"/>
    </row>
    <row r="26544" spans="7:7" ht="10.5" customHeight="1" x14ac:dyDescent="0.2">
      <c r="G26544" s="889"/>
    </row>
    <row r="26545" spans="7:7" ht="10.5" customHeight="1" x14ac:dyDescent="0.2">
      <c r="G26545" s="889"/>
    </row>
    <row r="26546" spans="7:7" ht="10.5" customHeight="1" x14ac:dyDescent="0.2">
      <c r="G26546" s="889"/>
    </row>
    <row r="26547" spans="7:7" ht="10.5" customHeight="1" x14ac:dyDescent="0.2">
      <c r="G26547" s="889"/>
    </row>
    <row r="26548" spans="7:7" ht="10.5" customHeight="1" x14ac:dyDescent="0.2">
      <c r="G26548" s="889"/>
    </row>
    <row r="26549" spans="7:7" ht="10.5" customHeight="1" x14ac:dyDescent="0.2">
      <c r="G26549" s="889"/>
    </row>
    <row r="26550" spans="7:7" ht="10.5" customHeight="1" x14ac:dyDescent="0.2">
      <c r="G26550" s="889"/>
    </row>
    <row r="26551" spans="7:7" ht="10.5" customHeight="1" x14ac:dyDescent="0.2">
      <c r="G26551" s="889"/>
    </row>
    <row r="26552" spans="7:7" ht="10.5" customHeight="1" x14ac:dyDescent="0.2">
      <c r="G26552" s="889"/>
    </row>
    <row r="26553" spans="7:7" ht="10.5" customHeight="1" x14ac:dyDescent="0.2">
      <c r="G26553" s="889"/>
    </row>
    <row r="26554" spans="7:7" ht="10.5" customHeight="1" x14ac:dyDescent="0.2">
      <c r="G26554" s="889"/>
    </row>
    <row r="26555" spans="7:7" ht="10.5" customHeight="1" x14ac:dyDescent="0.2">
      <c r="G26555" s="889"/>
    </row>
    <row r="26556" spans="7:7" ht="10.5" customHeight="1" x14ac:dyDescent="0.2">
      <c r="G26556" s="889"/>
    </row>
    <row r="26557" spans="7:7" ht="10.5" customHeight="1" x14ac:dyDescent="0.2">
      <c r="G26557" s="889"/>
    </row>
    <row r="26558" spans="7:7" ht="10.5" customHeight="1" x14ac:dyDescent="0.2">
      <c r="G26558" s="889"/>
    </row>
    <row r="26559" spans="7:7" ht="10.5" customHeight="1" x14ac:dyDescent="0.2">
      <c r="G26559" s="889"/>
    </row>
    <row r="26560" spans="7:7" ht="10.5" customHeight="1" x14ac:dyDescent="0.2">
      <c r="G26560" s="889"/>
    </row>
    <row r="26561" spans="7:7" ht="10.5" customHeight="1" x14ac:dyDescent="0.2">
      <c r="G26561" s="889"/>
    </row>
    <row r="26562" spans="7:7" ht="10.5" customHeight="1" x14ac:dyDescent="0.2">
      <c r="G26562" s="889"/>
    </row>
    <row r="26563" spans="7:7" ht="10.5" customHeight="1" x14ac:dyDescent="0.2">
      <c r="G26563" s="889"/>
    </row>
    <row r="26564" spans="7:7" ht="10.5" customHeight="1" x14ac:dyDescent="0.2">
      <c r="G26564" s="889"/>
    </row>
    <row r="26565" spans="7:7" ht="10.5" customHeight="1" x14ac:dyDescent="0.2">
      <c r="G26565" s="889"/>
    </row>
    <row r="26566" spans="7:7" ht="10.5" customHeight="1" x14ac:dyDescent="0.2">
      <c r="G26566" s="889"/>
    </row>
    <row r="26567" spans="7:7" ht="10.5" customHeight="1" x14ac:dyDescent="0.2">
      <c r="G26567" s="889"/>
    </row>
    <row r="26568" spans="7:7" ht="10.5" customHeight="1" x14ac:dyDescent="0.2">
      <c r="G26568" s="889"/>
    </row>
    <row r="26569" spans="7:7" ht="10.5" customHeight="1" x14ac:dyDescent="0.2">
      <c r="G26569" s="889"/>
    </row>
    <row r="26570" spans="7:7" ht="10.5" customHeight="1" x14ac:dyDescent="0.2">
      <c r="G26570" s="889"/>
    </row>
    <row r="26571" spans="7:7" ht="10.5" customHeight="1" x14ac:dyDescent="0.2">
      <c r="G26571" s="889"/>
    </row>
    <row r="26572" spans="7:7" ht="10.5" customHeight="1" x14ac:dyDescent="0.2">
      <c r="G26572" s="889"/>
    </row>
    <row r="26573" spans="7:7" ht="10.5" customHeight="1" x14ac:dyDescent="0.2">
      <c r="G26573" s="889"/>
    </row>
    <row r="26574" spans="7:7" ht="10.5" customHeight="1" x14ac:dyDescent="0.2">
      <c r="G26574" s="889"/>
    </row>
    <row r="26575" spans="7:7" ht="10.5" customHeight="1" x14ac:dyDescent="0.2">
      <c r="G26575" s="889"/>
    </row>
    <row r="26576" spans="7:7" ht="10.5" customHeight="1" x14ac:dyDescent="0.2">
      <c r="G26576" s="889"/>
    </row>
    <row r="26577" spans="7:7" ht="10.5" customHeight="1" x14ac:dyDescent="0.2">
      <c r="G26577" s="889"/>
    </row>
    <row r="26578" spans="7:7" ht="10.5" customHeight="1" x14ac:dyDescent="0.2">
      <c r="G26578" s="889"/>
    </row>
    <row r="26579" spans="7:7" ht="10.5" customHeight="1" x14ac:dyDescent="0.2">
      <c r="G26579" s="889"/>
    </row>
    <row r="26580" spans="7:7" ht="10.5" customHeight="1" x14ac:dyDescent="0.2">
      <c r="G26580" s="889"/>
    </row>
    <row r="26581" spans="7:7" ht="10.5" customHeight="1" x14ac:dyDescent="0.2">
      <c r="G26581" s="889"/>
    </row>
    <row r="26582" spans="7:7" ht="10.5" customHeight="1" x14ac:dyDescent="0.2">
      <c r="G26582" s="889"/>
    </row>
    <row r="26583" spans="7:7" ht="10.5" customHeight="1" x14ac:dyDescent="0.2">
      <c r="G26583" s="889"/>
    </row>
    <row r="26584" spans="7:7" ht="10.5" customHeight="1" x14ac:dyDescent="0.2">
      <c r="G26584" s="889"/>
    </row>
    <row r="26585" spans="7:7" ht="10.5" customHeight="1" x14ac:dyDescent="0.2">
      <c r="G26585" s="889"/>
    </row>
    <row r="26586" spans="7:7" ht="10.5" customHeight="1" x14ac:dyDescent="0.2">
      <c r="G26586" s="889"/>
    </row>
    <row r="26587" spans="7:7" ht="10.5" customHeight="1" x14ac:dyDescent="0.2">
      <c r="G26587" s="889"/>
    </row>
    <row r="26588" spans="7:7" ht="10.5" customHeight="1" x14ac:dyDescent="0.2">
      <c r="G26588" s="889"/>
    </row>
    <row r="26589" spans="7:7" ht="10.5" customHeight="1" x14ac:dyDescent="0.2">
      <c r="G26589" s="889"/>
    </row>
    <row r="26590" spans="7:7" ht="10.5" customHeight="1" x14ac:dyDescent="0.2">
      <c r="G26590" s="889"/>
    </row>
    <row r="26591" spans="7:7" ht="10.5" customHeight="1" x14ac:dyDescent="0.2">
      <c r="G26591" s="889"/>
    </row>
    <row r="26592" spans="7:7" ht="10.5" customHeight="1" x14ac:dyDescent="0.2">
      <c r="G26592" s="889"/>
    </row>
    <row r="26593" spans="7:7" ht="10.5" customHeight="1" x14ac:dyDescent="0.2">
      <c r="G26593" s="889"/>
    </row>
    <row r="26594" spans="7:7" ht="10.5" customHeight="1" x14ac:dyDescent="0.2">
      <c r="G26594" s="889"/>
    </row>
    <row r="26595" spans="7:7" ht="10.5" customHeight="1" x14ac:dyDescent="0.2">
      <c r="G26595" s="889"/>
    </row>
    <row r="26596" spans="7:7" ht="10.5" customHeight="1" x14ac:dyDescent="0.2">
      <c r="G26596" s="889"/>
    </row>
    <row r="26597" spans="7:7" ht="10.5" customHeight="1" x14ac:dyDescent="0.2">
      <c r="G26597" s="889"/>
    </row>
    <row r="26598" spans="7:7" ht="10.5" customHeight="1" x14ac:dyDescent="0.2">
      <c r="G26598" s="889"/>
    </row>
    <row r="26599" spans="7:7" ht="10.5" customHeight="1" x14ac:dyDescent="0.2">
      <c r="G26599" s="889"/>
    </row>
    <row r="26600" spans="7:7" ht="10.5" customHeight="1" x14ac:dyDescent="0.2">
      <c r="G26600" s="889"/>
    </row>
    <row r="26601" spans="7:7" ht="10.5" customHeight="1" x14ac:dyDescent="0.2">
      <c r="G26601" s="889"/>
    </row>
    <row r="26602" spans="7:7" ht="10.5" customHeight="1" x14ac:dyDescent="0.2">
      <c r="G26602" s="889"/>
    </row>
    <row r="26603" spans="7:7" ht="10.5" customHeight="1" x14ac:dyDescent="0.2">
      <c r="G26603" s="889"/>
    </row>
    <row r="26604" spans="7:7" ht="10.5" customHeight="1" x14ac:dyDescent="0.2">
      <c r="G26604" s="889"/>
    </row>
    <row r="26605" spans="7:7" ht="10.5" customHeight="1" x14ac:dyDescent="0.2">
      <c r="G26605" s="889"/>
    </row>
    <row r="26606" spans="7:7" ht="10.5" customHeight="1" x14ac:dyDescent="0.2">
      <c r="G26606" s="889"/>
    </row>
    <row r="26607" spans="7:7" ht="10.5" customHeight="1" x14ac:dyDescent="0.2">
      <c r="G26607" s="889"/>
    </row>
    <row r="26608" spans="7:7" ht="10.5" customHeight="1" x14ac:dyDescent="0.2">
      <c r="G26608" s="889"/>
    </row>
    <row r="26609" spans="7:7" ht="10.5" customHeight="1" x14ac:dyDescent="0.2">
      <c r="G26609" s="889"/>
    </row>
    <row r="26610" spans="7:7" ht="10.5" customHeight="1" x14ac:dyDescent="0.2">
      <c r="G26610" s="889"/>
    </row>
    <row r="26611" spans="7:7" ht="10.5" customHeight="1" x14ac:dyDescent="0.2">
      <c r="G26611" s="889"/>
    </row>
    <row r="26612" spans="7:7" ht="10.5" customHeight="1" x14ac:dyDescent="0.2">
      <c r="G26612" s="889"/>
    </row>
    <row r="26613" spans="7:7" ht="10.5" customHeight="1" x14ac:dyDescent="0.2">
      <c r="G26613" s="889"/>
    </row>
    <row r="26614" spans="7:7" ht="10.5" customHeight="1" x14ac:dyDescent="0.2">
      <c r="G26614" s="889"/>
    </row>
    <row r="26615" spans="7:7" ht="10.5" customHeight="1" x14ac:dyDescent="0.2">
      <c r="G26615" s="889"/>
    </row>
    <row r="26616" spans="7:7" ht="10.5" customHeight="1" x14ac:dyDescent="0.2">
      <c r="G26616" s="889"/>
    </row>
    <row r="26617" spans="7:7" ht="10.5" customHeight="1" x14ac:dyDescent="0.2">
      <c r="G26617" s="889"/>
    </row>
    <row r="26618" spans="7:7" ht="10.5" customHeight="1" x14ac:dyDescent="0.2">
      <c r="G26618" s="889"/>
    </row>
    <row r="26619" spans="7:7" ht="10.5" customHeight="1" x14ac:dyDescent="0.2">
      <c r="G26619" s="889"/>
    </row>
    <row r="26620" spans="7:7" ht="10.5" customHeight="1" x14ac:dyDescent="0.2">
      <c r="G26620" s="889"/>
    </row>
    <row r="26621" spans="7:7" ht="10.5" customHeight="1" x14ac:dyDescent="0.2">
      <c r="G26621" s="889"/>
    </row>
    <row r="26622" spans="7:7" ht="10.5" customHeight="1" x14ac:dyDescent="0.2">
      <c r="G26622" s="889"/>
    </row>
    <row r="26623" spans="7:7" ht="10.5" customHeight="1" x14ac:dyDescent="0.2">
      <c r="G26623" s="889"/>
    </row>
    <row r="26624" spans="7:7" ht="10.5" customHeight="1" x14ac:dyDescent="0.2">
      <c r="G26624" s="889"/>
    </row>
    <row r="26625" spans="7:7" ht="10.5" customHeight="1" x14ac:dyDescent="0.2">
      <c r="G26625" s="889"/>
    </row>
    <row r="26626" spans="7:7" ht="10.5" customHeight="1" x14ac:dyDescent="0.2">
      <c r="G26626" s="889"/>
    </row>
    <row r="26627" spans="7:7" ht="10.5" customHeight="1" x14ac:dyDescent="0.2">
      <c r="G26627" s="889"/>
    </row>
    <row r="26628" spans="7:7" ht="10.5" customHeight="1" x14ac:dyDescent="0.2">
      <c r="G26628" s="889"/>
    </row>
    <row r="26629" spans="7:7" ht="10.5" customHeight="1" x14ac:dyDescent="0.2">
      <c r="G26629" s="889"/>
    </row>
    <row r="26630" spans="7:7" ht="10.5" customHeight="1" x14ac:dyDescent="0.2">
      <c r="G26630" s="889"/>
    </row>
    <row r="26631" spans="7:7" ht="10.5" customHeight="1" x14ac:dyDescent="0.2">
      <c r="G26631" s="889"/>
    </row>
    <row r="26632" spans="7:7" ht="10.5" customHeight="1" x14ac:dyDescent="0.2">
      <c r="G26632" s="889"/>
    </row>
    <row r="26633" spans="7:7" ht="10.5" customHeight="1" x14ac:dyDescent="0.2">
      <c r="G26633" s="889"/>
    </row>
    <row r="26634" spans="7:7" ht="10.5" customHeight="1" x14ac:dyDescent="0.2">
      <c r="G26634" s="889"/>
    </row>
    <row r="26635" spans="7:7" ht="10.5" customHeight="1" x14ac:dyDescent="0.2">
      <c r="G26635" s="889"/>
    </row>
    <row r="26636" spans="7:7" ht="10.5" customHeight="1" x14ac:dyDescent="0.2">
      <c r="G26636" s="889"/>
    </row>
    <row r="26637" spans="7:7" ht="10.5" customHeight="1" x14ac:dyDescent="0.2">
      <c r="G26637" s="889"/>
    </row>
    <row r="26638" spans="7:7" ht="10.5" customHeight="1" x14ac:dyDescent="0.2">
      <c r="G26638" s="889"/>
    </row>
    <row r="26639" spans="7:7" ht="10.5" customHeight="1" x14ac:dyDescent="0.2">
      <c r="G26639" s="889"/>
    </row>
    <row r="26640" spans="7:7" ht="10.5" customHeight="1" x14ac:dyDescent="0.2">
      <c r="G26640" s="889"/>
    </row>
    <row r="26641" spans="7:7" ht="10.5" customHeight="1" x14ac:dyDescent="0.2">
      <c r="G26641" s="889"/>
    </row>
    <row r="26642" spans="7:7" ht="10.5" customHeight="1" x14ac:dyDescent="0.2">
      <c r="G26642" s="889"/>
    </row>
    <row r="26643" spans="7:7" ht="10.5" customHeight="1" x14ac:dyDescent="0.2">
      <c r="G26643" s="889"/>
    </row>
    <row r="26644" spans="7:7" ht="10.5" customHeight="1" x14ac:dyDescent="0.2">
      <c r="G26644" s="889"/>
    </row>
    <row r="26645" spans="7:7" ht="10.5" customHeight="1" x14ac:dyDescent="0.2">
      <c r="G26645" s="889"/>
    </row>
    <row r="26646" spans="7:7" ht="10.5" customHeight="1" x14ac:dyDescent="0.2">
      <c r="G26646" s="889"/>
    </row>
    <row r="26647" spans="7:7" ht="10.5" customHeight="1" x14ac:dyDescent="0.2">
      <c r="G26647" s="889"/>
    </row>
    <row r="26648" spans="7:7" ht="10.5" customHeight="1" x14ac:dyDescent="0.2">
      <c r="G26648" s="889"/>
    </row>
    <row r="26649" spans="7:7" ht="10.5" customHeight="1" x14ac:dyDescent="0.2">
      <c r="G26649" s="889"/>
    </row>
    <row r="26650" spans="7:7" ht="10.5" customHeight="1" x14ac:dyDescent="0.2">
      <c r="G26650" s="889"/>
    </row>
    <row r="26651" spans="7:7" ht="10.5" customHeight="1" x14ac:dyDescent="0.2">
      <c r="G26651" s="889"/>
    </row>
    <row r="26652" spans="7:7" ht="10.5" customHeight="1" x14ac:dyDescent="0.2">
      <c r="G26652" s="889"/>
    </row>
    <row r="26653" spans="7:7" ht="10.5" customHeight="1" x14ac:dyDescent="0.2">
      <c r="G26653" s="889"/>
    </row>
    <row r="26654" spans="7:7" ht="10.5" customHeight="1" x14ac:dyDescent="0.2">
      <c r="G26654" s="889"/>
    </row>
    <row r="26655" spans="7:7" ht="10.5" customHeight="1" x14ac:dyDescent="0.2">
      <c r="G26655" s="889"/>
    </row>
    <row r="26656" spans="7:7" ht="10.5" customHeight="1" x14ac:dyDescent="0.2">
      <c r="G26656" s="889"/>
    </row>
    <row r="26657" spans="7:7" ht="10.5" customHeight="1" x14ac:dyDescent="0.2">
      <c r="G26657" s="889"/>
    </row>
    <row r="26658" spans="7:7" ht="10.5" customHeight="1" x14ac:dyDescent="0.2">
      <c r="G26658" s="889"/>
    </row>
    <row r="26659" spans="7:7" ht="10.5" customHeight="1" x14ac:dyDescent="0.2">
      <c r="G26659" s="889"/>
    </row>
    <row r="26660" spans="7:7" ht="10.5" customHeight="1" x14ac:dyDescent="0.2">
      <c r="G26660" s="889"/>
    </row>
    <row r="26661" spans="7:7" ht="10.5" customHeight="1" x14ac:dyDescent="0.2">
      <c r="G26661" s="889"/>
    </row>
    <row r="26662" spans="7:7" ht="10.5" customHeight="1" x14ac:dyDescent="0.2">
      <c r="G26662" s="889"/>
    </row>
    <row r="26663" spans="7:7" ht="10.5" customHeight="1" x14ac:dyDescent="0.2">
      <c r="G26663" s="889"/>
    </row>
    <row r="26664" spans="7:7" ht="10.5" customHeight="1" x14ac:dyDescent="0.2">
      <c r="G26664" s="889"/>
    </row>
    <row r="26665" spans="7:7" ht="10.5" customHeight="1" x14ac:dyDescent="0.2">
      <c r="G26665" s="889"/>
    </row>
    <row r="26666" spans="7:7" ht="10.5" customHeight="1" x14ac:dyDescent="0.2">
      <c r="G26666" s="889"/>
    </row>
    <row r="26667" spans="7:7" ht="10.5" customHeight="1" x14ac:dyDescent="0.2">
      <c r="G26667" s="889"/>
    </row>
    <row r="26668" spans="7:7" ht="10.5" customHeight="1" x14ac:dyDescent="0.2">
      <c r="G26668" s="889"/>
    </row>
    <row r="26669" spans="7:7" ht="10.5" customHeight="1" x14ac:dyDescent="0.2">
      <c r="G26669" s="889"/>
    </row>
    <row r="26670" spans="7:7" ht="10.5" customHeight="1" x14ac:dyDescent="0.2">
      <c r="G26670" s="889"/>
    </row>
    <row r="26671" spans="7:7" ht="10.5" customHeight="1" x14ac:dyDescent="0.2">
      <c r="G26671" s="889"/>
    </row>
    <row r="26672" spans="7:7" ht="10.5" customHeight="1" x14ac:dyDescent="0.2">
      <c r="G26672" s="889"/>
    </row>
    <row r="26673" spans="7:7" ht="10.5" customHeight="1" x14ac:dyDescent="0.2">
      <c r="G26673" s="889"/>
    </row>
    <row r="26674" spans="7:7" ht="10.5" customHeight="1" x14ac:dyDescent="0.2">
      <c r="G26674" s="889"/>
    </row>
    <row r="26675" spans="7:7" ht="10.5" customHeight="1" x14ac:dyDescent="0.2">
      <c r="G26675" s="889"/>
    </row>
    <row r="26676" spans="7:7" ht="10.5" customHeight="1" x14ac:dyDescent="0.2">
      <c r="G26676" s="889"/>
    </row>
    <row r="26677" spans="7:7" ht="10.5" customHeight="1" x14ac:dyDescent="0.2">
      <c r="G26677" s="889"/>
    </row>
    <row r="26678" spans="7:7" ht="10.5" customHeight="1" x14ac:dyDescent="0.2">
      <c r="G26678" s="889"/>
    </row>
    <row r="26679" spans="7:7" ht="10.5" customHeight="1" x14ac:dyDescent="0.2">
      <c r="G26679" s="889"/>
    </row>
    <row r="26680" spans="7:7" ht="10.5" customHeight="1" x14ac:dyDescent="0.2">
      <c r="G26680" s="889"/>
    </row>
    <row r="26681" spans="7:7" ht="10.5" customHeight="1" x14ac:dyDescent="0.2">
      <c r="G26681" s="889"/>
    </row>
    <row r="26682" spans="7:7" ht="10.5" customHeight="1" x14ac:dyDescent="0.2">
      <c r="G26682" s="889"/>
    </row>
    <row r="26683" spans="7:7" ht="10.5" customHeight="1" x14ac:dyDescent="0.2">
      <c r="G26683" s="889"/>
    </row>
    <row r="26684" spans="7:7" ht="10.5" customHeight="1" x14ac:dyDescent="0.2">
      <c r="G26684" s="889"/>
    </row>
    <row r="26685" spans="7:7" ht="10.5" customHeight="1" x14ac:dyDescent="0.2">
      <c r="G26685" s="889"/>
    </row>
    <row r="26686" spans="7:7" ht="10.5" customHeight="1" x14ac:dyDescent="0.2">
      <c r="G26686" s="889"/>
    </row>
    <row r="26687" spans="7:7" ht="10.5" customHeight="1" x14ac:dyDescent="0.2">
      <c r="G26687" s="889"/>
    </row>
    <row r="26688" spans="7:7" ht="10.5" customHeight="1" x14ac:dyDescent="0.2">
      <c r="G26688" s="889"/>
    </row>
    <row r="26689" spans="7:7" ht="10.5" customHeight="1" x14ac:dyDescent="0.2">
      <c r="G26689" s="889"/>
    </row>
    <row r="26690" spans="7:7" ht="10.5" customHeight="1" x14ac:dyDescent="0.2">
      <c r="G26690" s="889"/>
    </row>
    <row r="26691" spans="7:7" ht="10.5" customHeight="1" x14ac:dyDescent="0.2">
      <c r="G26691" s="889"/>
    </row>
    <row r="26692" spans="7:7" ht="10.5" customHeight="1" x14ac:dyDescent="0.2">
      <c r="G26692" s="889"/>
    </row>
    <row r="26693" spans="7:7" ht="10.5" customHeight="1" x14ac:dyDescent="0.2">
      <c r="G26693" s="889"/>
    </row>
    <row r="26694" spans="7:7" ht="10.5" customHeight="1" x14ac:dyDescent="0.2">
      <c r="G26694" s="889"/>
    </row>
    <row r="26695" spans="7:7" ht="10.5" customHeight="1" x14ac:dyDescent="0.2">
      <c r="G26695" s="889"/>
    </row>
    <row r="26696" spans="7:7" ht="10.5" customHeight="1" x14ac:dyDescent="0.2">
      <c r="G26696" s="889"/>
    </row>
    <row r="26697" spans="7:7" ht="10.5" customHeight="1" x14ac:dyDescent="0.2">
      <c r="G26697" s="889"/>
    </row>
    <row r="26698" spans="7:7" ht="10.5" customHeight="1" x14ac:dyDescent="0.2">
      <c r="G26698" s="889"/>
    </row>
    <row r="26699" spans="7:7" ht="10.5" customHeight="1" x14ac:dyDescent="0.2">
      <c r="G26699" s="889"/>
    </row>
    <row r="26700" spans="7:7" ht="10.5" customHeight="1" x14ac:dyDescent="0.2">
      <c r="G26700" s="889"/>
    </row>
    <row r="26701" spans="7:7" ht="10.5" customHeight="1" x14ac:dyDescent="0.2">
      <c r="G26701" s="889"/>
    </row>
    <row r="26702" spans="7:7" ht="10.5" customHeight="1" x14ac:dyDescent="0.2">
      <c r="G26702" s="889"/>
    </row>
    <row r="26703" spans="7:7" ht="10.5" customHeight="1" x14ac:dyDescent="0.2">
      <c r="G26703" s="889"/>
    </row>
    <row r="26704" spans="7:7" ht="10.5" customHeight="1" x14ac:dyDescent="0.2">
      <c r="G26704" s="889"/>
    </row>
    <row r="26705" spans="7:7" ht="10.5" customHeight="1" x14ac:dyDescent="0.2">
      <c r="G26705" s="889"/>
    </row>
    <row r="26706" spans="7:7" ht="10.5" customHeight="1" x14ac:dyDescent="0.2">
      <c r="G26706" s="889"/>
    </row>
    <row r="26707" spans="7:7" ht="10.5" customHeight="1" x14ac:dyDescent="0.2">
      <c r="G26707" s="889"/>
    </row>
    <row r="26708" spans="7:7" ht="10.5" customHeight="1" x14ac:dyDescent="0.2">
      <c r="G26708" s="889"/>
    </row>
    <row r="26709" spans="7:7" ht="10.5" customHeight="1" x14ac:dyDescent="0.2">
      <c r="G26709" s="889"/>
    </row>
    <row r="26710" spans="7:7" ht="10.5" customHeight="1" x14ac:dyDescent="0.2">
      <c r="G26710" s="889"/>
    </row>
    <row r="26711" spans="7:7" ht="10.5" customHeight="1" x14ac:dyDescent="0.2">
      <c r="G26711" s="889"/>
    </row>
    <row r="26712" spans="7:7" ht="10.5" customHeight="1" x14ac:dyDescent="0.2">
      <c r="G26712" s="889"/>
    </row>
    <row r="26713" spans="7:7" ht="10.5" customHeight="1" x14ac:dyDescent="0.2">
      <c r="G26713" s="889"/>
    </row>
    <row r="26714" spans="7:7" ht="10.5" customHeight="1" x14ac:dyDescent="0.2">
      <c r="G26714" s="889"/>
    </row>
    <row r="26715" spans="7:7" ht="10.5" customHeight="1" x14ac:dyDescent="0.2">
      <c r="G26715" s="889"/>
    </row>
    <row r="26716" spans="7:7" ht="10.5" customHeight="1" x14ac:dyDescent="0.2">
      <c r="G26716" s="889"/>
    </row>
    <row r="26717" spans="7:7" ht="10.5" customHeight="1" x14ac:dyDescent="0.2">
      <c r="G26717" s="889"/>
    </row>
    <row r="26718" spans="7:7" ht="10.5" customHeight="1" x14ac:dyDescent="0.2">
      <c r="G26718" s="889"/>
    </row>
    <row r="26719" spans="7:7" ht="10.5" customHeight="1" x14ac:dyDescent="0.2">
      <c r="G26719" s="889"/>
    </row>
    <row r="26720" spans="7:7" ht="10.5" customHeight="1" x14ac:dyDescent="0.2">
      <c r="G26720" s="889"/>
    </row>
    <row r="26721" spans="7:7" ht="10.5" customHeight="1" x14ac:dyDescent="0.2">
      <c r="G26721" s="889"/>
    </row>
    <row r="26722" spans="7:7" ht="10.5" customHeight="1" x14ac:dyDescent="0.2">
      <c r="G26722" s="889"/>
    </row>
    <row r="26723" spans="7:7" ht="10.5" customHeight="1" x14ac:dyDescent="0.2">
      <c r="G26723" s="889"/>
    </row>
    <row r="26724" spans="7:7" ht="10.5" customHeight="1" x14ac:dyDescent="0.2">
      <c r="G26724" s="889"/>
    </row>
    <row r="26725" spans="7:7" ht="10.5" customHeight="1" x14ac:dyDescent="0.2">
      <c r="G26725" s="889"/>
    </row>
    <row r="26726" spans="7:7" ht="10.5" customHeight="1" x14ac:dyDescent="0.2">
      <c r="G26726" s="889"/>
    </row>
    <row r="26727" spans="7:7" ht="10.5" customHeight="1" x14ac:dyDescent="0.2">
      <c r="G26727" s="889"/>
    </row>
    <row r="26728" spans="7:7" ht="10.5" customHeight="1" x14ac:dyDescent="0.2">
      <c r="G26728" s="889"/>
    </row>
    <row r="26729" spans="7:7" ht="10.5" customHeight="1" x14ac:dyDescent="0.2">
      <c r="G26729" s="889"/>
    </row>
    <row r="26730" spans="7:7" ht="10.5" customHeight="1" x14ac:dyDescent="0.2">
      <c r="G26730" s="889"/>
    </row>
    <row r="26731" spans="7:7" ht="10.5" customHeight="1" x14ac:dyDescent="0.2">
      <c r="G26731" s="889"/>
    </row>
    <row r="26732" spans="7:7" ht="10.5" customHeight="1" x14ac:dyDescent="0.2">
      <c r="G26732" s="889"/>
    </row>
    <row r="26733" spans="7:7" ht="10.5" customHeight="1" x14ac:dyDescent="0.2">
      <c r="G26733" s="889"/>
    </row>
    <row r="26734" spans="7:7" ht="10.5" customHeight="1" x14ac:dyDescent="0.2">
      <c r="G26734" s="889"/>
    </row>
    <row r="26735" spans="7:7" ht="10.5" customHeight="1" x14ac:dyDescent="0.2">
      <c r="G26735" s="889"/>
    </row>
    <row r="26736" spans="7:7" ht="10.5" customHeight="1" x14ac:dyDescent="0.2">
      <c r="G26736" s="889"/>
    </row>
    <row r="26737" spans="7:7" ht="10.5" customHeight="1" x14ac:dyDescent="0.2">
      <c r="G26737" s="889"/>
    </row>
    <row r="26738" spans="7:7" ht="10.5" customHeight="1" x14ac:dyDescent="0.2">
      <c r="G26738" s="889"/>
    </row>
    <row r="26739" spans="7:7" ht="10.5" customHeight="1" x14ac:dyDescent="0.2">
      <c r="G26739" s="889"/>
    </row>
    <row r="26740" spans="7:7" ht="10.5" customHeight="1" x14ac:dyDescent="0.2">
      <c r="G26740" s="889"/>
    </row>
    <row r="26741" spans="7:7" ht="10.5" customHeight="1" x14ac:dyDescent="0.2">
      <c r="G26741" s="889"/>
    </row>
    <row r="26742" spans="7:7" ht="10.5" customHeight="1" x14ac:dyDescent="0.2">
      <c r="G26742" s="889"/>
    </row>
    <row r="26743" spans="7:7" ht="10.5" customHeight="1" x14ac:dyDescent="0.2">
      <c r="G26743" s="889"/>
    </row>
    <row r="26744" spans="7:7" ht="10.5" customHeight="1" x14ac:dyDescent="0.2">
      <c r="G26744" s="889"/>
    </row>
    <row r="26745" spans="7:7" ht="10.5" customHeight="1" x14ac:dyDescent="0.2">
      <c r="G26745" s="889"/>
    </row>
    <row r="26746" spans="7:7" ht="10.5" customHeight="1" x14ac:dyDescent="0.2">
      <c r="G26746" s="889"/>
    </row>
    <row r="26747" spans="7:7" ht="10.5" customHeight="1" x14ac:dyDescent="0.2">
      <c r="G26747" s="889"/>
    </row>
    <row r="26748" spans="7:7" ht="10.5" customHeight="1" x14ac:dyDescent="0.2">
      <c r="G26748" s="889"/>
    </row>
    <row r="26749" spans="7:7" ht="10.5" customHeight="1" x14ac:dyDescent="0.2">
      <c r="G26749" s="889"/>
    </row>
    <row r="26750" spans="7:7" ht="10.5" customHeight="1" x14ac:dyDescent="0.2">
      <c r="G26750" s="889"/>
    </row>
    <row r="26751" spans="7:7" ht="10.5" customHeight="1" x14ac:dyDescent="0.2">
      <c r="G26751" s="889"/>
    </row>
    <row r="26752" spans="7:7" ht="10.5" customHeight="1" x14ac:dyDescent="0.2">
      <c r="G26752" s="889"/>
    </row>
    <row r="26753" spans="7:7" ht="10.5" customHeight="1" x14ac:dyDescent="0.2">
      <c r="G26753" s="889"/>
    </row>
    <row r="26754" spans="7:7" ht="10.5" customHeight="1" x14ac:dyDescent="0.2">
      <c r="G26754" s="889"/>
    </row>
    <row r="26755" spans="7:7" ht="10.5" customHeight="1" x14ac:dyDescent="0.2">
      <c r="G26755" s="889"/>
    </row>
    <row r="26756" spans="7:7" ht="10.5" customHeight="1" x14ac:dyDescent="0.2">
      <c r="G26756" s="889"/>
    </row>
    <row r="26757" spans="7:7" ht="10.5" customHeight="1" x14ac:dyDescent="0.2">
      <c r="G26757" s="889"/>
    </row>
    <row r="26758" spans="7:7" ht="10.5" customHeight="1" x14ac:dyDescent="0.2">
      <c r="G26758" s="889"/>
    </row>
    <row r="26759" spans="7:7" ht="10.5" customHeight="1" x14ac:dyDescent="0.2">
      <c r="G26759" s="889"/>
    </row>
    <row r="26760" spans="7:7" ht="10.5" customHeight="1" x14ac:dyDescent="0.2">
      <c r="G26760" s="889"/>
    </row>
    <row r="26761" spans="7:7" ht="10.5" customHeight="1" x14ac:dyDescent="0.2">
      <c r="G26761" s="889"/>
    </row>
    <row r="26762" spans="7:7" ht="10.5" customHeight="1" x14ac:dyDescent="0.2">
      <c r="G26762" s="889"/>
    </row>
    <row r="26763" spans="7:7" ht="10.5" customHeight="1" x14ac:dyDescent="0.2">
      <c r="G26763" s="889"/>
    </row>
    <row r="26764" spans="7:7" ht="10.5" customHeight="1" x14ac:dyDescent="0.2">
      <c r="G26764" s="889"/>
    </row>
    <row r="26765" spans="7:7" ht="10.5" customHeight="1" x14ac:dyDescent="0.2">
      <c r="G26765" s="889"/>
    </row>
    <row r="26766" spans="7:7" ht="10.5" customHeight="1" x14ac:dyDescent="0.2">
      <c r="G26766" s="889"/>
    </row>
    <row r="26767" spans="7:7" ht="10.5" customHeight="1" x14ac:dyDescent="0.2">
      <c r="G26767" s="889"/>
    </row>
    <row r="26768" spans="7:7" ht="10.5" customHeight="1" x14ac:dyDescent="0.2">
      <c r="G26768" s="889"/>
    </row>
    <row r="26769" spans="7:7" ht="10.5" customHeight="1" x14ac:dyDescent="0.2">
      <c r="G26769" s="889"/>
    </row>
    <row r="26770" spans="7:7" ht="10.5" customHeight="1" x14ac:dyDescent="0.2">
      <c r="G26770" s="889"/>
    </row>
    <row r="26771" spans="7:7" ht="10.5" customHeight="1" x14ac:dyDescent="0.2">
      <c r="G26771" s="889"/>
    </row>
    <row r="26772" spans="7:7" ht="10.5" customHeight="1" x14ac:dyDescent="0.2">
      <c r="G26772" s="889"/>
    </row>
    <row r="26773" spans="7:7" ht="10.5" customHeight="1" x14ac:dyDescent="0.2">
      <c r="G26773" s="889"/>
    </row>
    <row r="26774" spans="7:7" ht="10.5" customHeight="1" x14ac:dyDescent="0.2">
      <c r="G26774" s="889"/>
    </row>
    <row r="26775" spans="7:7" ht="10.5" customHeight="1" x14ac:dyDescent="0.2">
      <c r="G26775" s="889"/>
    </row>
    <row r="26776" spans="7:7" ht="10.5" customHeight="1" x14ac:dyDescent="0.2">
      <c r="G26776" s="889"/>
    </row>
    <row r="26777" spans="7:7" ht="10.5" customHeight="1" x14ac:dyDescent="0.2">
      <c r="G26777" s="889"/>
    </row>
    <row r="26778" spans="7:7" ht="10.5" customHeight="1" x14ac:dyDescent="0.2">
      <c r="G26778" s="889"/>
    </row>
    <row r="26779" spans="7:7" ht="10.5" customHeight="1" x14ac:dyDescent="0.2">
      <c r="G26779" s="889"/>
    </row>
    <row r="26780" spans="7:7" ht="10.5" customHeight="1" x14ac:dyDescent="0.2">
      <c r="G26780" s="889"/>
    </row>
    <row r="26781" spans="7:7" ht="10.5" customHeight="1" x14ac:dyDescent="0.2">
      <c r="G26781" s="889"/>
    </row>
    <row r="26782" spans="7:7" ht="10.5" customHeight="1" x14ac:dyDescent="0.2">
      <c r="G26782" s="889"/>
    </row>
    <row r="26783" spans="7:7" ht="10.5" customHeight="1" x14ac:dyDescent="0.2">
      <c r="G26783" s="889"/>
    </row>
    <row r="26784" spans="7:7" ht="10.5" customHeight="1" x14ac:dyDescent="0.2">
      <c r="G26784" s="889"/>
    </row>
    <row r="26785" spans="7:7" ht="10.5" customHeight="1" x14ac:dyDescent="0.2">
      <c r="G26785" s="889"/>
    </row>
    <row r="26786" spans="7:7" ht="10.5" customHeight="1" x14ac:dyDescent="0.2">
      <c r="G26786" s="889"/>
    </row>
    <row r="26787" spans="7:7" ht="10.5" customHeight="1" x14ac:dyDescent="0.2">
      <c r="G26787" s="889"/>
    </row>
    <row r="26788" spans="7:7" ht="10.5" customHeight="1" x14ac:dyDescent="0.2">
      <c r="G26788" s="889"/>
    </row>
    <row r="26789" spans="7:7" ht="10.5" customHeight="1" x14ac:dyDescent="0.2">
      <c r="G26789" s="889"/>
    </row>
    <row r="26790" spans="7:7" ht="10.5" customHeight="1" x14ac:dyDescent="0.2">
      <c r="G26790" s="889"/>
    </row>
    <row r="26791" spans="7:7" ht="10.5" customHeight="1" x14ac:dyDescent="0.2">
      <c r="G26791" s="889"/>
    </row>
    <row r="26792" spans="7:7" ht="10.5" customHeight="1" x14ac:dyDescent="0.2">
      <c r="G26792" s="889"/>
    </row>
    <row r="26793" spans="7:7" ht="10.5" customHeight="1" x14ac:dyDescent="0.2">
      <c r="G26793" s="889"/>
    </row>
    <row r="26794" spans="7:7" ht="10.5" customHeight="1" x14ac:dyDescent="0.2">
      <c r="G26794" s="889"/>
    </row>
    <row r="26795" spans="7:7" ht="10.5" customHeight="1" x14ac:dyDescent="0.2">
      <c r="G26795" s="889"/>
    </row>
    <row r="26796" spans="7:7" ht="10.5" customHeight="1" x14ac:dyDescent="0.2">
      <c r="G26796" s="889"/>
    </row>
    <row r="26797" spans="7:7" ht="10.5" customHeight="1" x14ac:dyDescent="0.2">
      <c r="G26797" s="889"/>
    </row>
    <row r="26798" spans="7:7" ht="10.5" customHeight="1" x14ac:dyDescent="0.2">
      <c r="G26798" s="889"/>
    </row>
    <row r="26799" spans="7:7" ht="10.5" customHeight="1" x14ac:dyDescent="0.2">
      <c r="G26799" s="889"/>
    </row>
    <row r="26800" spans="7:7" ht="10.5" customHeight="1" x14ac:dyDescent="0.2">
      <c r="G26800" s="889"/>
    </row>
    <row r="26801" spans="7:7" ht="10.5" customHeight="1" x14ac:dyDescent="0.2">
      <c r="G26801" s="889"/>
    </row>
    <row r="26802" spans="7:7" ht="10.5" customHeight="1" x14ac:dyDescent="0.2">
      <c r="G26802" s="889"/>
    </row>
    <row r="26803" spans="7:7" ht="10.5" customHeight="1" x14ac:dyDescent="0.2">
      <c r="G26803" s="889"/>
    </row>
    <row r="26804" spans="7:7" ht="10.5" customHeight="1" x14ac:dyDescent="0.2">
      <c r="G26804" s="889"/>
    </row>
    <row r="26805" spans="7:7" ht="10.5" customHeight="1" x14ac:dyDescent="0.2">
      <c r="G26805" s="889"/>
    </row>
    <row r="26806" spans="7:7" ht="10.5" customHeight="1" x14ac:dyDescent="0.2">
      <c r="G26806" s="889"/>
    </row>
    <row r="26807" spans="7:7" ht="10.5" customHeight="1" x14ac:dyDescent="0.2">
      <c r="G26807" s="889"/>
    </row>
    <row r="26808" spans="7:7" ht="10.5" customHeight="1" x14ac:dyDescent="0.2">
      <c r="G26808" s="889"/>
    </row>
    <row r="26809" spans="7:7" ht="10.5" customHeight="1" x14ac:dyDescent="0.2">
      <c r="G26809" s="889"/>
    </row>
    <row r="26810" spans="7:7" ht="10.5" customHeight="1" x14ac:dyDescent="0.2">
      <c r="G26810" s="889"/>
    </row>
    <row r="26811" spans="7:7" ht="10.5" customHeight="1" x14ac:dyDescent="0.2">
      <c r="G26811" s="889"/>
    </row>
    <row r="26812" spans="7:7" ht="10.5" customHeight="1" x14ac:dyDescent="0.2">
      <c r="G26812" s="889"/>
    </row>
    <row r="26813" spans="7:7" ht="10.5" customHeight="1" x14ac:dyDescent="0.2">
      <c r="G26813" s="889"/>
    </row>
    <row r="26814" spans="7:7" ht="10.5" customHeight="1" x14ac:dyDescent="0.2">
      <c r="G26814" s="889"/>
    </row>
    <row r="26815" spans="7:7" ht="10.5" customHeight="1" x14ac:dyDescent="0.2">
      <c r="G26815" s="889"/>
    </row>
    <row r="26816" spans="7:7" ht="10.5" customHeight="1" x14ac:dyDescent="0.2">
      <c r="G26816" s="889"/>
    </row>
    <row r="26817" spans="7:7" ht="10.5" customHeight="1" x14ac:dyDescent="0.2">
      <c r="G26817" s="889"/>
    </row>
    <row r="26818" spans="7:7" ht="10.5" customHeight="1" x14ac:dyDescent="0.2">
      <c r="G26818" s="889"/>
    </row>
    <row r="26819" spans="7:7" ht="10.5" customHeight="1" x14ac:dyDescent="0.2">
      <c r="G26819" s="889"/>
    </row>
    <row r="26820" spans="7:7" ht="10.5" customHeight="1" x14ac:dyDescent="0.2">
      <c r="G26820" s="889"/>
    </row>
    <row r="26821" spans="7:7" ht="10.5" customHeight="1" x14ac:dyDescent="0.2">
      <c r="G26821" s="889"/>
    </row>
    <row r="26822" spans="7:7" ht="10.5" customHeight="1" x14ac:dyDescent="0.2">
      <c r="G26822" s="889"/>
    </row>
    <row r="26823" spans="7:7" ht="10.5" customHeight="1" x14ac:dyDescent="0.2">
      <c r="G26823" s="889"/>
    </row>
    <row r="26824" spans="7:7" ht="10.5" customHeight="1" x14ac:dyDescent="0.2">
      <c r="G26824" s="889"/>
    </row>
    <row r="26825" spans="7:7" ht="10.5" customHeight="1" x14ac:dyDescent="0.2">
      <c r="G26825" s="889"/>
    </row>
    <row r="26826" spans="7:7" ht="10.5" customHeight="1" x14ac:dyDescent="0.2">
      <c r="G26826" s="889"/>
    </row>
    <row r="26827" spans="7:7" ht="10.5" customHeight="1" x14ac:dyDescent="0.2">
      <c r="G26827" s="889"/>
    </row>
    <row r="26828" spans="7:7" ht="10.5" customHeight="1" x14ac:dyDescent="0.2">
      <c r="G26828" s="889"/>
    </row>
    <row r="26829" spans="7:7" ht="10.5" customHeight="1" x14ac:dyDescent="0.2">
      <c r="G26829" s="889"/>
    </row>
    <row r="26830" spans="7:7" ht="10.5" customHeight="1" x14ac:dyDescent="0.2">
      <c r="G26830" s="889"/>
    </row>
    <row r="26831" spans="7:7" ht="10.5" customHeight="1" x14ac:dyDescent="0.2">
      <c r="G26831" s="889"/>
    </row>
    <row r="26832" spans="7:7" ht="10.5" customHeight="1" x14ac:dyDescent="0.2">
      <c r="G26832" s="889"/>
    </row>
    <row r="26833" spans="7:7" ht="10.5" customHeight="1" x14ac:dyDescent="0.2">
      <c r="G26833" s="889"/>
    </row>
    <row r="26834" spans="7:7" ht="10.5" customHeight="1" x14ac:dyDescent="0.2">
      <c r="G26834" s="889"/>
    </row>
    <row r="26835" spans="7:7" ht="10.5" customHeight="1" x14ac:dyDescent="0.2">
      <c r="G26835" s="889"/>
    </row>
    <row r="26836" spans="7:7" ht="10.5" customHeight="1" x14ac:dyDescent="0.2">
      <c r="G26836" s="889"/>
    </row>
    <row r="26837" spans="7:7" ht="10.5" customHeight="1" x14ac:dyDescent="0.2">
      <c r="G26837" s="889"/>
    </row>
    <row r="26838" spans="7:7" ht="10.5" customHeight="1" x14ac:dyDescent="0.2">
      <c r="G26838" s="889"/>
    </row>
    <row r="26839" spans="7:7" ht="10.5" customHeight="1" x14ac:dyDescent="0.2">
      <c r="G26839" s="889"/>
    </row>
    <row r="26840" spans="7:7" ht="10.5" customHeight="1" x14ac:dyDescent="0.2">
      <c r="G26840" s="889"/>
    </row>
    <row r="26841" spans="7:7" ht="10.5" customHeight="1" x14ac:dyDescent="0.2">
      <c r="G26841" s="889"/>
    </row>
    <row r="26842" spans="7:7" ht="10.5" customHeight="1" x14ac:dyDescent="0.2">
      <c r="G26842" s="889"/>
    </row>
    <row r="26843" spans="7:7" ht="10.5" customHeight="1" x14ac:dyDescent="0.2">
      <c r="G26843" s="889"/>
    </row>
    <row r="26844" spans="7:7" ht="10.5" customHeight="1" x14ac:dyDescent="0.2">
      <c r="G26844" s="889"/>
    </row>
    <row r="26845" spans="7:7" ht="10.5" customHeight="1" x14ac:dyDescent="0.2">
      <c r="G26845" s="889"/>
    </row>
    <row r="26846" spans="7:7" ht="10.5" customHeight="1" x14ac:dyDescent="0.2">
      <c r="G26846" s="889"/>
    </row>
    <row r="26847" spans="7:7" ht="10.5" customHeight="1" x14ac:dyDescent="0.2">
      <c r="G26847" s="889"/>
    </row>
    <row r="26848" spans="7:7" ht="10.5" customHeight="1" x14ac:dyDescent="0.2">
      <c r="G26848" s="889"/>
    </row>
    <row r="26849" spans="7:7" ht="10.5" customHeight="1" x14ac:dyDescent="0.2">
      <c r="G26849" s="889"/>
    </row>
    <row r="26850" spans="7:7" ht="10.5" customHeight="1" x14ac:dyDescent="0.2">
      <c r="G26850" s="889"/>
    </row>
    <row r="26851" spans="7:7" ht="10.5" customHeight="1" x14ac:dyDescent="0.2">
      <c r="G26851" s="889"/>
    </row>
    <row r="26852" spans="7:7" ht="10.5" customHeight="1" x14ac:dyDescent="0.2">
      <c r="G26852" s="889"/>
    </row>
    <row r="26853" spans="7:7" ht="10.5" customHeight="1" x14ac:dyDescent="0.2">
      <c r="G26853" s="889"/>
    </row>
    <row r="26854" spans="7:7" ht="10.5" customHeight="1" x14ac:dyDescent="0.2">
      <c r="G26854" s="889"/>
    </row>
    <row r="26855" spans="7:7" ht="10.5" customHeight="1" x14ac:dyDescent="0.2">
      <c r="G26855" s="889"/>
    </row>
    <row r="26856" spans="7:7" ht="10.5" customHeight="1" x14ac:dyDescent="0.2">
      <c r="G26856" s="889"/>
    </row>
    <row r="26857" spans="7:7" ht="10.5" customHeight="1" x14ac:dyDescent="0.2">
      <c r="G26857" s="889"/>
    </row>
    <row r="26858" spans="7:7" ht="10.5" customHeight="1" x14ac:dyDescent="0.2">
      <c r="G26858" s="889"/>
    </row>
    <row r="26859" spans="7:7" ht="10.5" customHeight="1" x14ac:dyDescent="0.2">
      <c r="G26859" s="889"/>
    </row>
    <row r="26860" spans="7:7" ht="10.5" customHeight="1" x14ac:dyDescent="0.2">
      <c r="G26860" s="889"/>
    </row>
    <row r="26861" spans="7:7" ht="10.5" customHeight="1" x14ac:dyDescent="0.2">
      <c r="G26861" s="889"/>
    </row>
    <row r="26862" spans="7:7" ht="10.5" customHeight="1" x14ac:dyDescent="0.2">
      <c r="G26862" s="889"/>
    </row>
    <row r="26863" spans="7:7" ht="10.5" customHeight="1" x14ac:dyDescent="0.2">
      <c r="G26863" s="889"/>
    </row>
    <row r="26864" spans="7:7" ht="10.5" customHeight="1" x14ac:dyDescent="0.2">
      <c r="G26864" s="889"/>
    </row>
    <row r="26865" spans="7:7" ht="10.5" customHeight="1" x14ac:dyDescent="0.2">
      <c r="G26865" s="889"/>
    </row>
    <row r="26866" spans="7:7" ht="10.5" customHeight="1" x14ac:dyDescent="0.2">
      <c r="G26866" s="889"/>
    </row>
    <row r="26867" spans="7:7" ht="10.5" customHeight="1" x14ac:dyDescent="0.2">
      <c r="G26867" s="889"/>
    </row>
    <row r="26868" spans="7:7" ht="10.5" customHeight="1" x14ac:dyDescent="0.2">
      <c r="G26868" s="889"/>
    </row>
    <row r="26869" spans="7:7" ht="10.5" customHeight="1" x14ac:dyDescent="0.2">
      <c r="G26869" s="889"/>
    </row>
    <row r="26870" spans="7:7" ht="10.5" customHeight="1" x14ac:dyDescent="0.2">
      <c r="G26870" s="889"/>
    </row>
    <row r="26871" spans="7:7" ht="10.5" customHeight="1" x14ac:dyDescent="0.2">
      <c r="G26871" s="889"/>
    </row>
    <row r="26872" spans="7:7" ht="10.5" customHeight="1" x14ac:dyDescent="0.2">
      <c r="G26872" s="889"/>
    </row>
    <row r="26873" spans="7:7" ht="10.5" customHeight="1" x14ac:dyDescent="0.2">
      <c r="G26873" s="889"/>
    </row>
    <row r="26874" spans="7:7" ht="10.5" customHeight="1" x14ac:dyDescent="0.2">
      <c r="G26874" s="889"/>
    </row>
    <row r="26875" spans="7:7" ht="10.5" customHeight="1" x14ac:dyDescent="0.2">
      <c r="G26875" s="889"/>
    </row>
    <row r="26876" spans="7:7" ht="10.5" customHeight="1" x14ac:dyDescent="0.2">
      <c r="G26876" s="889"/>
    </row>
    <row r="26877" spans="7:7" ht="10.5" customHeight="1" x14ac:dyDescent="0.2">
      <c r="G26877" s="889"/>
    </row>
    <row r="26878" spans="7:7" ht="10.5" customHeight="1" x14ac:dyDescent="0.2">
      <c r="G26878" s="889"/>
    </row>
    <row r="26879" spans="7:7" ht="10.5" customHeight="1" x14ac:dyDescent="0.2">
      <c r="G26879" s="889"/>
    </row>
    <row r="26880" spans="7:7" ht="10.5" customHeight="1" x14ac:dyDescent="0.2">
      <c r="G26880" s="889"/>
    </row>
    <row r="26881" spans="7:7" ht="10.5" customHeight="1" x14ac:dyDescent="0.2">
      <c r="G26881" s="889"/>
    </row>
    <row r="26882" spans="7:7" ht="10.5" customHeight="1" x14ac:dyDescent="0.2">
      <c r="G26882" s="889"/>
    </row>
    <row r="26883" spans="7:7" ht="10.5" customHeight="1" x14ac:dyDescent="0.2">
      <c r="G26883" s="889"/>
    </row>
    <row r="26884" spans="7:7" ht="10.5" customHeight="1" x14ac:dyDescent="0.2">
      <c r="G26884" s="889"/>
    </row>
    <row r="26885" spans="7:7" ht="10.5" customHeight="1" x14ac:dyDescent="0.2">
      <c r="G26885" s="889"/>
    </row>
    <row r="26886" spans="7:7" ht="10.5" customHeight="1" x14ac:dyDescent="0.2">
      <c r="G26886" s="889"/>
    </row>
    <row r="26887" spans="7:7" ht="10.5" customHeight="1" x14ac:dyDescent="0.2">
      <c r="G26887" s="889"/>
    </row>
    <row r="26888" spans="7:7" ht="10.5" customHeight="1" x14ac:dyDescent="0.2">
      <c r="G26888" s="889"/>
    </row>
    <row r="26889" spans="7:7" ht="10.5" customHeight="1" x14ac:dyDescent="0.2">
      <c r="G26889" s="889"/>
    </row>
    <row r="26890" spans="7:7" ht="10.5" customHeight="1" x14ac:dyDescent="0.2">
      <c r="G26890" s="889"/>
    </row>
    <row r="26891" spans="7:7" ht="10.5" customHeight="1" x14ac:dyDescent="0.2">
      <c r="G26891" s="889"/>
    </row>
    <row r="26892" spans="7:7" ht="10.5" customHeight="1" x14ac:dyDescent="0.2">
      <c r="G26892" s="889"/>
    </row>
    <row r="26893" spans="7:7" ht="10.5" customHeight="1" x14ac:dyDescent="0.2">
      <c r="G26893" s="889"/>
    </row>
    <row r="26894" spans="7:7" ht="10.5" customHeight="1" x14ac:dyDescent="0.2">
      <c r="G26894" s="889"/>
    </row>
    <row r="26895" spans="7:7" ht="10.5" customHeight="1" x14ac:dyDescent="0.2">
      <c r="G26895" s="889"/>
    </row>
    <row r="26896" spans="7:7" ht="10.5" customHeight="1" x14ac:dyDescent="0.2">
      <c r="G26896" s="889"/>
    </row>
    <row r="26897" spans="7:7" ht="10.5" customHeight="1" x14ac:dyDescent="0.2">
      <c r="G26897" s="889"/>
    </row>
    <row r="26898" spans="7:7" ht="10.5" customHeight="1" x14ac:dyDescent="0.2">
      <c r="G26898" s="889"/>
    </row>
    <row r="26899" spans="7:7" ht="10.5" customHeight="1" x14ac:dyDescent="0.2">
      <c r="G26899" s="889"/>
    </row>
    <row r="26900" spans="7:7" ht="10.5" customHeight="1" x14ac:dyDescent="0.2">
      <c r="G26900" s="889"/>
    </row>
    <row r="26901" spans="7:7" ht="10.5" customHeight="1" x14ac:dyDescent="0.2">
      <c r="G26901" s="889"/>
    </row>
    <row r="26902" spans="7:7" ht="10.5" customHeight="1" x14ac:dyDescent="0.2">
      <c r="G26902" s="889"/>
    </row>
    <row r="26903" spans="7:7" ht="10.5" customHeight="1" x14ac:dyDescent="0.2">
      <c r="G26903" s="889"/>
    </row>
    <row r="26904" spans="7:7" ht="10.5" customHeight="1" x14ac:dyDescent="0.2">
      <c r="G26904" s="889"/>
    </row>
    <row r="26905" spans="7:7" ht="10.5" customHeight="1" x14ac:dyDescent="0.2">
      <c r="G26905" s="889"/>
    </row>
    <row r="26906" spans="7:7" ht="10.5" customHeight="1" x14ac:dyDescent="0.2">
      <c r="G26906" s="889"/>
    </row>
    <row r="26907" spans="7:7" ht="10.5" customHeight="1" x14ac:dyDescent="0.2">
      <c r="G26907" s="889"/>
    </row>
    <row r="26908" spans="7:7" ht="10.5" customHeight="1" x14ac:dyDescent="0.2">
      <c r="G26908" s="889"/>
    </row>
    <row r="26909" spans="7:7" ht="10.5" customHeight="1" x14ac:dyDescent="0.2">
      <c r="G26909" s="889"/>
    </row>
    <row r="26910" spans="7:7" ht="10.5" customHeight="1" x14ac:dyDescent="0.2">
      <c r="G26910" s="889"/>
    </row>
    <row r="26911" spans="7:7" ht="10.5" customHeight="1" x14ac:dyDescent="0.2">
      <c r="G26911" s="889"/>
    </row>
    <row r="26912" spans="7:7" ht="10.5" customHeight="1" x14ac:dyDescent="0.2">
      <c r="G26912" s="889"/>
    </row>
    <row r="26913" spans="7:7" ht="10.5" customHeight="1" x14ac:dyDescent="0.2">
      <c r="G26913" s="889"/>
    </row>
    <row r="26914" spans="7:7" ht="10.5" customHeight="1" x14ac:dyDescent="0.2">
      <c r="G26914" s="889"/>
    </row>
    <row r="26915" spans="7:7" ht="10.5" customHeight="1" x14ac:dyDescent="0.2">
      <c r="G26915" s="889"/>
    </row>
    <row r="26916" spans="7:7" ht="10.5" customHeight="1" x14ac:dyDescent="0.2">
      <c r="G26916" s="889"/>
    </row>
    <row r="26917" spans="7:7" ht="10.5" customHeight="1" x14ac:dyDescent="0.2">
      <c r="G26917" s="889"/>
    </row>
    <row r="26918" spans="7:7" ht="10.5" customHeight="1" x14ac:dyDescent="0.2">
      <c r="G26918" s="889"/>
    </row>
    <row r="26919" spans="7:7" ht="10.5" customHeight="1" x14ac:dyDescent="0.2">
      <c r="G26919" s="889"/>
    </row>
    <row r="26920" spans="7:7" ht="10.5" customHeight="1" x14ac:dyDescent="0.2">
      <c r="G26920" s="889"/>
    </row>
    <row r="26921" spans="7:7" ht="10.5" customHeight="1" x14ac:dyDescent="0.2">
      <c r="G26921" s="889"/>
    </row>
    <row r="26922" spans="7:7" ht="10.5" customHeight="1" x14ac:dyDescent="0.2">
      <c r="G26922" s="889"/>
    </row>
    <row r="26923" spans="7:7" ht="10.5" customHeight="1" x14ac:dyDescent="0.2">
      <c r="G26923" s="889"/>
    </row>
    <row r="26924" spans="7:7" ht="10.5" customHeight="1" x14ac:dyDescent="0.2">
      <c r="G26924" s="889"/>
    </row>
    <row r="26925" spans="7:7" ht="10.5" customHeight="1" x14ac:dyDescent="0.2">
      <c r="G26925" s="889"/>
    </row>
    <row r="26926" spans="7:7" ht="10.5" customHeight="1" x14ac:dyDescent="0.2">
      <c r="G26926" s="889"/>
    </row>
    <row r="26927" spans="7:7" ht="10.5" customHeight="1" x14ac:dyDescent="0.2">
      <c r="G26927" s="889"/>
    </row>
    <row r="26928" spans="7:7" ht="10.5" customHeight="1" x14ac:dyDescent="0.2">
      <c r="G26928" s="889"/>
    </row>
    <row r="26929" spans="7:7" ht="10.5" customHeight="1" x14ac:dyDescent="0.2">
      <c r="G26929" s="889"/>
    </row>
    <row r="26930" spans="7:7" ht="10.5" customHeight="1" x14ac:dyDescent="0.2">
      <c r="G26930" s="889"/>
    </row>
    <row r="26931" spans="7:7" ht="10.5" customHeight="1" x14ac:dyDescent="0.2">
      <c r="G26931" s="889"/>
    </row>
    <row r="26932" spans="7:7" ht="10.5" customHeight="1" x14ac:dyDescent="0.2">
      <c r="G26932" s="889"/>
    </row>
    <row r="26933" spans="7:7" ht="10.5" customHeight="1" x14ac:dyDescent="0.2">
      <c r="G26933" s="889"/>
    </row>
    <row r="26934" spans="7:7" ht="10.5" customHeight="1" x14ac:dyDescent="0.2">
      <c r="G26934" s="889"/>
    </row>
    <row r="26935" spans="7:7" ht="10.5" customHeight="1" x14ac:dyDescent="0.2">
      <c r="G26935" s="889"/>
    </row>
    <row r="26936" spans="7:7" ht="10.5" customHeight="1" x14ac:dyDescent="0.2">
      <c r="G26936" s="889"/>
    </row>
    <row r="26937" spans="7:7" ht="10.5" customHeight="1" x14ac:dyDescent="0.2">
      <c r="G26937" s="889"/>
    </row>
    <row r="26938" spans="7:7" ht="10.5" customHeight="1" x14ac:dyDescent="0.2">
      <c r="G26938" s="889"/>
    </row>
    <row r="26939" spans="7:7" ht="10.5" customHeight="1" x14ac:dyDescent="0.2">
      <c r="G26939" s="889"/>
    </row>
    <row r="26940" spans="7:7" ht="10.5" customHeight="1" x14ac:dyDescent="0.2">
      <c r="G26940" s="889"/>
    </row>
    <row r="26941" spans="7:7" ht="10.5" customHeight="1" x14ac:dyDescent="0.2">
      <c r="G26941" s="889"/>
    </row>
    <row r="26942" spans="7:7" ht="10.5" customHeight="1" x14ac:dyDescent="0.2">
      <c r="G26942" s="889"/>
    </row>
    <row r="26943" spans="7:7" ht="10.5" customHeight="1" x14ac:dyDescent="0.2">
      <c r="G26943" s="889"/>
    </row>
    <row r="26944" spans="7:7" ht="10.5" customHeight="1" x14ac:dyDescent="0.2">
      <c r="G26944" s="889"/>
    </row>
    <row r="26945" spans="7:7" ht="10.5" customHeight="1" x14ac:dyDescent="0.2">
      <c r="G26945" s="889"/>
    </row>
    <row r="26946" spans="7:7" ht="10.5" customHeight="1" x14ac:dyDescent="0.2">
      <c r="G26946" s="889"/>
    </row>
    <row r="26947" spans="7:7" ht="10.5" customHeight="1" x14ac:dyDescent="0.2">
      <c r="G26947" s="889"/>
    </row>
    <row r="26948" spans="7:7" ht="10.5" customHeight="1" x14ac:dyDescent="0.2">
      <c r="G26948" s="889"/>
    </row>
    <row r="26949" spans="7:7" ht="10.5" customHeight="1" x14ac:dyDescent="0.2">
      <c r="G26949" s="889"/>
    </row>
    <row r="26950" spans="7:7" ht="10.5" customHeight="1" x14ac:dyDescent="0.2">
      <c r="G26950" s="889"/>
    </row>
    <row r="26951" spans="7:7" ht="10.5" customHeight="1" x14ac:dyDescent="0.2">
      <c r="G26951" s="889"/>
    </row>
    <row r="26952" spans="7:7" ht="10.5" customHeight="1" x14ac:dyDescent="0.2">
      <c r="G26952" s="889"/>
    </row>
    <row r="26953" spans="7:7" ht="10.5" customHeight="1" x14ac:dyDescent="0.2">
      <c r="G26953" s="889"/>
    </row>
    <row r="26954" spans="7:7" ht="10.5" customHeight="1" x14ac:dyDescent="0.2">
      <c r="G26954" s="889"/>
    </row>
    <row r="26955" spans="7:7" ht="10.5" customHeight="1" x14ac:dyDescent="0.2">
      <c r="G26955" s="889"/>
    </row>
    <row r="26956" spans="7:7" ht="10.5" customHeight="1" x14ac:dyDescent="0.2">
      <c r="G26956" s="889"/>
    </row>
    <row r="26957" spans="7:7" ht="10.5" customHeight="1" x14ac:dyDescent="0.2">
      <c r="G26957" s="889"/>
    </row>
    <row r="26958" spans="7:7" ht="10.5" customHeight="1" x14ac:dyDescent="0.2">
      <c r="G26958" s="889"/>
    </row>
    <row r="26959" spans="7:7" ht="10.5" customHeight="1" x14ac:dyDescent="0.2">
      <c r="G26959" s="889"/>
    </row>
    <row r="26960" spans="7:7" ht="10.5" customHeight="1" x14ac:dyDescent="0.2">
      <c r="G26960" s="889"/>
    </row>
    <row r="26961" spans="7:7" ht="10.5" customHeight="1" x14ac:dyDescent="0.2">
      <c r="G26961" s="889"/>
    </row>
    <row r="26962" spans="7:7" ht="10.5" customHeight="1" x14ac:dyDescent="0.2">
      <c r="G26962" s="889"/>
    </row>
    <row r="26963" spans="7:7" ht="10.5" customHeight="1" x14ac:dyDescent="0.2">
      <c r="G26963" s="889"/>
    </row>
    <row r="26964" spans="7:7" ht="10.5" customHeight="1" x14ac:dyDescent="0.2">
      <c r="G26964" s="889"/>
    </row>
    <row r="26965" spans="7:7" ht="10.5" customHeight="1" x14ac:dyDescent="0.2">
      <c r="G26965" s="889"/>
    </row>
    <row r="26966" spans="7:7" ht="10.5" customHeight="1" x14ac:dyDescent="0.2">
      <c r="G26966" s="889"/>
    </row>
    <row r="26967" spans="7:7" ht="10.5" customHeight="1" x14ac:dyDescent="0.2">
      <c r="G26967" s="889"/>
    </row>
    <row r="26968" spans="7:7" ht="10.5" customHeight="1" x14ac:dyDescent="0.2">
      <c r="G26968" s="889"/>
    </row>
    <row r="26969" spans="7:7" ht="10.5" customHeight="1" x14ac:dyDescent="0.2">
      <c r="G26969" s="889"/>
    </row>
    <row r="26970" spans="7:7" ht="10.5" customHeight="1" x14ac:dyDescent="0.2">
      <c r="G26970" s="889"/>
    </row>
    <row r="26971" spans="7:7" ht="10.5" customHeight="1" x14ac:dyDescent="0.2">
      <c r="G26971" s="889"/>
    </row>
    <row r="26972" spans="7:7" ht="10.5" customHeight="1" x14ac:dyDescent="0.2">
      <c r="G26972" s="889"/>
    </row>
    <row r="26973" spans="7:7" ht="10.5" customHeight="1" x14ac:dyDescent="0.2">
      <c r="G26973" s="889"/>
    </row>
    <row r="26974" spans="7:7" ht="10.5" customHeight="1" x14ac:dyDescent="0.2">
      <c r="G26974" s="889"/>
    </row>
    <row r="26975" spans="7:7" ht="10.5" customHeight="1" x14ac:dyDescent="0.2">
      <c r="G26975" s="889"/>
    </row>
    <row r="26976" spans="7:7" ht="10.5" customHeight="1" x14ac:dyDescent="0.2">
      <c r="G26976" s="889"/>
    </row>
    <row r="26977" spans="7:7" ht="10.5" customHeight="1" x14ac:dyDescent="0.2">
      <c r="G26977" s="889"/>
    </row>
    <row r="26978" spans="7:7" ht="10.5" customHeight="1" x14ac:dyDescent="0.2">
      <c r="G26978" s="889"/>
    </row>
    <row r="26979" spans="7:7" ht="10.5" customHeight="1" x14ac:dyDescent="0.2">
      <c r="G26979" s="889"/>
    </row>
    <row r="26980" spans="7:7" ht="10.5" customHeight="1" x14ac:dyDescent="0.2">
      <c r="G26980" s="889"/>
    </row>
    <row r="26981" spans="7:7" ht="10.5" customHeight="1" x14ac:dyDescent="0.2">
      <c r="G26981" s="889"/>
    </row>
    <row r="26982" spans="7:7" ht="10.5" customHeight="1" x14ac:dyDescent="0.2">
      <c r="G26982" s="889"/>
    </row>
    <row r="26983" spans="7:7" ht="10.5" customHeight="1" x14ac:dyDescent="0.2">
      <c r="G26983" s="889"/>
    </row>
    <row r="26984" spans="7:7" ht="10.5" customHeight="1" x14ac:dyDescent="0.2">
      <c r="G26984" s="889"/>
    </row>
    <row r="26985" spans="7:7" ht="10.5" customHeight="1" x14ac:dyDescent="0.2">
      <c r="G26985" s="889"/>
    </row>
    <row r="26986" spans="7:7" ht="10.5" customHeight="1" x14ac:dyDescent="0.2">
      <c r="G26986" s="889"/>
    </row>
    <row r="26987" spans="7:7" ht="10.5" customHeight="1" x14ac:dyDescent="0.2">
      <c r="G26987" s="889"/>
    </row>
    <row r="26988" spans="7:7" ht="10.5" customHeight="1" x14ac:dyDescent="0.2">
      <c r="G26988" s="889"/>
    </row>
    <row r="26989" spans="7:7" ht="10.5" customHeight="1" x14ac:dyDescent="0.2">
      <c r="G26989" s="889"/>
    </row>
    <row r="26990" spans="7:7" ht="10.5" customHeight="1" x14ac:dyDescent="0.2">
      <c r="G26990" s="889"/>
    </row>
    <row r="26991" spans="7:7" ht="10.5" customHeight="1" x14ac:dyDescent="0.2">
      <c r="G26991" s="889"/>
    </row>
    <row r="26992" spans="7:7" ht="10.5" customHeight="1" x14ac:dyDescent="0.2">
      <c r="G26992" s="889"/>
    </row>
    <row r="26993" spans="7:7" ht="10.5" customHeight="1" x14ac:dyDescent="0.2">
      <c r="G26993" s="889"/>
    </row>
    <row r="26994" spans="7:7" ht="10.5" customHeight="1" x14ac:dyDescent="0.2">
      <c r="G26994" s="889"/>
    </row>
    <row r="26995" spans="7:7" ht="10.5" customHeight="1" x14ac:dyDescent="0.2">
      <c r="G26995" s="889"/>
    </row>
    <row r="26996" spans="7:7" ht="10.5" customHeight="1" x14ac:dyDescent="0.2">
      <c r="G26996" s="889"/>
    </row>
    <row r="26997" spans="7:7" ht="10.5" customHeight="1" x14ac:dyDescent="0.2">
      <c r="G26997" s="889"/>
    </row>
    <row r="26998" spans="7:7" ht="10.5" customHeight="1" x14ac:dyDescent="0.2">
      <c r="G26998" s="889"/>
    </row>
    <row r="26999" spans="7:7" ht="10.5" customHeight="1" x14ac:dyDescent="0.2">
      <c r="G26999" s="889"/>
    </row>
    <row r="27000" spans="7:7" ht="10.5" customHeight="1" x14ac:dyDescent="0.2">
      <c r="G27000" s="889"/>
    </row>
    <row r="27001" spans="7:7" ht="10.5" customHeight="1" x14ac:dyDescent="0.2">
      <c r="G27001" s="889"/>
    </row>
    <row r="27002" spans="7:7" ht="10.5" customHeight="1" x14ac:dyDescent="0.2">
      <c r="G27002" s="889"/>
    </row>
    <row r="27003" spans="7:7" ht="10.5" customHeight="1" x14ac:dyDescent="0.2">
      <c r="G27003" s="889"/>
    </row>
    <row r="27004" spans="7:7" ht="10.5" customHeight="1" x14ac:dyDescent="0.2">
      <c r="G27004" s="889"/>
    </row>
    <row r="27005" spans="7:7" ht="10.5" customHeight="1" x14ac:dyDescent="0.2">
      <c r="G27005" s="889"/>
    </row>
    <row r="27006" spans="7:7" ht="10.5" customHeight="1" x14ac:dyDescent="0.2">
      <c r="G27006" s="889"/>
    </row>
    <row r="27007" spans="7:7" ht="10.5" customHeight="1" x14ac:dyDescent="0.2">
      <c r="G27007" s="889"/>
    </row>
    <row r="27008" spans="7:7" ht="10.5" customHeight="1" x14ac:dyDescent="0.2">
      <c r="G27008" s="889"/>
    </row>
    <row r="27009" spans="7:7" ht="10.5" customHeight="1" x14ac:dyDescent="0.2">
      <c r="G27009" s="889"/>
    </row>
    <row r="27010" spans="7:7" ht="10.5" customHeight="1" x14ac:dyDescent="0.2">
      <c r="G27010" s="889"/>
    </row>
    <row r="27011" spans="7:7" ht="10.5" customHeight="1" x14ac:dyDescent="0.2">
      <c r="G27011" s="889"/>
    </row>
    <row r="27012" spans="7:7" ht="10.5" customHeight="1" x14ac:dyDescent="0.2">
      <c r="G27012" s="889"/>
    </row>
    <row r="27013" spans="7:7" ht="10.5" customHeight="1" x14ac:dyDescent="0.2">
      <c r="G27013" s="889"/>
    </row>
    <row r="27014" spans="7:7" ht="10.5" customHeight="1" x14ac:dyDescent="0.2">
      <c r="G27014" s="889"/>
    </row>
    <row r="27015" spans="7:7" ht="10.5" customHeight="1" x14ac:dyDescent="0.2">
      <c r="G27015" s="889"/>
    </row>
    <row r="27016" spans="7:7" ht="10.5" customHeight="1" x14ac:dyDescent="0.2">
      <c r="G27016" s="889"/>
    </row>
    <row r="27017" spans="7:7" ht="10.5" customHeight="1" x14ac:dyDescent="0.2">
      <c r="G27017" s="889"/>
    </row>
    <row r="27018" spans="7:7" ht="10.5" customHeight="1" x14ac:dyDescent="0.2">
      <c r="G27018" s="889"/>
    </row>
    <row r="27019" spans="7:7" ht="10.5" customHeight="1" x14ac:dyDescent="0.2">
      <c r="G27019" s="889"/>
    </row>
    <row r="27020" spans="7:7" ht="10.5" customHeight="1" x14ac:dyDescent="0.2">
      <c r="G27020" s="889"/>
    </row>
    <row r="27021" spans="7:7" ht="10.5" customHeight="1" x14ac:dyDescent="0.2">
      <c r="G27021" s="889"/>
    </row>
    <row r="27022" spans="7:7" ht="10.5" customHeight="1" x14ac:dyDescent="0.2">
      <c r="G27022" s="889"/>
    </row>
    <row r="27023" spans="7:7" ht="10.5" customHeight="1" x14ac:dyDescent="0.2">
      <c r="G27023" s="889"/>
    </row>
    <row r="27024" spans="7:7" ht="10.5" customHeight="1" x14ac:dyDescent="0.2">
      <c r="G27024" s="889"/>
    </row>
    <row r="27025" spans="7:7" ht="10.5" customHeight="1" x14ac:dyDescent="0.2">
      <c r="G27025" s="889"/>
    </row>
    <row r="27026" spans="7:7" ht="10.5" customHeight="1" x14ac:dyDescent="0.2">
      <c r="G27026" s="889"/>
    </row>
    <row r="27027" spans="7:7" ht="10.5" customHeight="1" x14ac:dyDescent="0.2">
      <c r="G27027" s="889"/>
    </row>
    <row r="27028" spans="7:7" ht="10.5" customHeight="1" x14ac:dyDescent="0.2">
      <c r="G27028" s="889"/>
    </row>
    <row r="27029" spans="7:7" ht="10.5" customHeight="1" x14ac:dyDescent="0.2">
      <c r="G27029" s="889"/>
    </row>
    <row r="27030" spans="7:7" ht="10.5" customHeight="1" x14ac:dyDescent="0.2">
      <c r="G27030" s="889"/>
    </row>
    <row r="27031" spans="7:7" ht="10.5" customHeight="1" x14ac:dyDescent="0.2">
      <c r="G27031" s="889"/>
    </row>
    <row r="27032" spans="7:7" ht="10.5" customHeight="1" x14ac:dyDescent="0.2">
      <c r="G27032" s="889"/>
    </row>
    <row r="27033" spans="7:7" ht="10.5" customHeight="1" x14ac:dyDescent="0.2">
      <c r="G27033" s="889"/>
    </row>
    <row r="27034" spans="7:7" ht="10.5" customHeight="1" x14ac:dyDescent="0.2">
      <c r="G27034" s="889"/>
    </row>
    <row r="27035" spans="7:7" ht="10.5" customHeight="1" x14ac:dyDescent="0.2">
      <c r="G27035" s="889"/>
    </row>
    <row r="27036" spans="7:7" ht="10.5" customHeight="1" x14ac:dyDescent="0.2">
      <c r="G27036" s="889"/>
    </row>
    <row r="27037" spans="7:7" ht="10.5" customHeight="1" x14ac:dyDescent="0.2">
      <c r="G27037" s="889"/>
    </row>
    <row r="27038" spans="7:7" ht="10.5" customHeight="1" x14ac:dyDescent="0.2">
      <c r="G27038" s="889"/>
    </row>
    <row r="27039" spans="7:7" ht="10.5" customHeight="1" x14ac:dyDescent="0.2">
      <c r="G27039" s="889"/>
    </row>
    <row r="27040" spans="7:7" ht="10.5" customHeight="1" x14ac:dyDescent="0.2">
      <c r="G27040" s="889"/>
    </row>
    <row r="27041" spans="7:7" ht="10.5" customHeight="1" x14ac:dyDescent="0.2">
      <c r="G27041" s="889"/>
    </row>
    <row r="27042" spans="7:7" ht="10.5" customHeight="1" x14ac:dyDescent="0.2">
      <c r="G27042" s="889"/>
    </row>
    <row r="27043" spans="7:7" ht="10.5" customHeight="1" x14ac:dyDescent="0.2">
      <c r="G27043" s="889"/>
    </row>
    <row r="27044" spans="7:7" ht="10.5" customHeight="1" x14ac:dyDescent="0.2">
      <c r="G27044" s="889"/>
    </row>
    <row r="27045" spans="7:7" ht="10.5" customHeight="1" x14ac:dyDescent="0.2">
      <c r="G27045" s="889"/>
    </row>
    <row r="27046" spans="7:7" ht="10.5" customHeight="1" x14ac:dyDescent="0.2">
      <c r="G27046" s="889"/>
    </row>
    <row r="27047" spans="7:7" ht="10.5" customHeight="1" x14ac:dyDescent="0.2">
      <c r="G27047" s="889"/>
    </row>
    <row r="27048" spans="7:7" ht="10.5" customHeight="1" x14ac:dyDescent="0.2">
      <c r="G27048" s="889"/>
    </row>
    <row r="27049" spans="7:7" ht="10.5" customHeight="1" x14ac:dyDescent="0.2">
      <c r="G27049" s="889"/>
    </row>
    <row r="27050" spans="7:7" ht="10.5" customHeight="1" x14ac:dyDescent="0.2">
      <c r="G27050" s="889"/>
    </row>
    <row r="27051" spans="7:7" ht="10.5" customHeight="1" x14ac:dyDescent="0.2">
      <c r="G27051" s="889"/>
    </row>
    <row r="27052" spans="7:7" ht="10.5" customHeight="1" x14ac:dyDescent="0.2">
      <c r="G27052" s="889"/>
    </row>
    <row r="27053" spans="7:7" ht="10.5" customHeight="1" x14ac:dyDescent="0.2">
      <c r="G27053" s="889"/>
    </row>
    <row r="27054" spans="7:7" ht="10.5" customHeight="1" x14ac:dyDescent="0.2">
      <c r="G27054" s="889"/>
    </row>
    <row r="27055" spans="7:7" ht="10.5" customHeight="1" x14ac:dyDescent="0.2">
      <c r="G27055" s="889"/>
    </row>
    <row r="27056" spans="7:7" ht="10.5" customHeight="1" x14ac:dyDescent="0.2">
      <c r="G27056" s="889"/>
    </row>
    <row r="27057" spans="7:7" ht="10.5" customHeight="1" x14ac:dyDescent="0.2">
      <c r="G27057" s="889"/>
    </row>
    <row r="27058" spans="7:7" ht="10.5" customHeight="1" x14ac:dyDescent="0.2">
      <c r="G27058" s="889"/>
    </row>
    <row r="27059" spans="7:7" ht="10.5" customHeight="1" x14ac:dyDescent="0.2">
      <c r="G27059" s="889"/>
    </row>
    <row r="27060" spans="7:7" ht="10.5" customHeight="1" x14ac:dyDescent="0.2">
      <c r="G27060" s="889"/>
    </row>
    <row r="27061" spans="7:7" ht="10.5" customHeight="1" x14ac:dyDescent="0.2">
      <c r="G27061" s="889"/>
    </row>
    <row r="27062" spans="7:7" ht="10.5" customHeight="1" x14ac:dyDescent="0.2">
      <c r="G27062" s="889"/>
    </row>
    <row r="27063" spans="7:7" ht="10.5" customHeight="1" x14ac:dyDescent="0.2">
      <c r="G27063" s="889"/>
    </row>
    <row r="27064" spans="7:7" ht="10.5" customHeight="1" x14ac:dyDescent="0.2">
      <c r="G27064" s="889"/>
    </row>
    <row r="27065" spans="7:7" ht="10.5" customHeight="1" x14ac:dyDescent="0.2">
      <c r="G27065" s="889"/>
    </row>
    <row r="27066" spans="7:7" ht="10.5" customHeight="1" x14ac:dyDescent="0.2">
      <c r="G27066" s="889"/>
    </row>
    <row r="27067" spans="7:7" ht="10.5" customHeight="1" x14ac:dyDescent="0.2">
      <c r="G27067" s="889"/>
    </row>
    <row r="27068" spans="7:7" ht="10.5" customHeight="1" x14ac:dyDescent="0.2">
      <c r="G27068" s="889"/>
    </row>
    <row r="27069" spans="7:7" ht="10.5" customHeight="1" x14ac:dyDescent="0.2">
      <c r="G27069" s="889"/>
    </row>
    <row r="27070" spans="7:7" ht="10.5" customHeight="1" x14ac:dyDescent="0.2">
      <c r="G27070" s="889"/>
    </row>
    <row r="27071" spans="7:7" ht="10.5" customHeight="1" x14ac:dyDescent="0.2">
      <c r="G27071" s="889"/>
    </row>
    <row r="27072" spans="7:7" ht="10.5" customHeight="1" x14ac:dyDescent="0.2">
      <c r="G27072" s="889"/>
    </row>
    <row r="27073" spans="7:7" ht="10.5" customHeight="1" x14ac:dyDescent="0.2">
      <c r="G27073" s="889"/>
    </row>
    <row r="27074" spans="7:7" ht="10.5" customHeight="1" x14ac:dyDescent="0.2">
      <c r="G27074" s="889"/>
    </row>
    <row r="27075" spans="7:7" ht="10.5" customHeight="1" x14ac:dyDescent="0.2">
      <c r="G27075" s="889"/>
    </row>
    <row r="27076" spans="7:7" ht="10.5" customHeight="1" x14ac:dyDescent="0.2">
      <c r="G27076" s="889"/>
    </row>
    <row r="27077" spans="7:7" ht="10.5" customHeight="1" x14ac:dyDescent="0.2">
      <c r="G27077" s="889"/>
    </row>
    <row r="27078" spans="7:7" ht="10.5" customHeight="1" x14ac:dyDescent="0.2">
      <c r="G27078" s="889"/>
    </row>
    <row r="27079" spans="7:7" ht="10.5" customHeight="1" x14ac:dyDescent="0.2">
      <c r="G27079" s="889"/>
    </row>
    <row r="27080" spans="7:7" ht="10.5" customHeight="1" x14ac:dyDescent="0.2">
      <c r="G27080" s="889"/>
    </row>
    <row r="27081" spans="7:7" ht="10.5" customHeight="1" x14ac:dyDescent="0.2">
      <c r="G27081" s="889"/>
    </row>
    <row r="27082" spans="7:7" ht="10.5" customHeight="1" x14ac:dyDescent="0.2">
      <c r="G27082" s="889"/>
    </row>
    <row r="27083" spans="7:7" ht="10.5" customHeight="1" x14ac:dyDescent="0.2">
      <c r="G27083" s="889"/>
    </row>
    <row r="27084" spans="7:7" ht="10.5" customHeight="1" x14ac:dyDescent="0.2">
      <c r="G27084" s="889"/>
    </row>
    <row r="27085" spans="7:7" ht="10.5" customHeight="1" x14ac:dyDescent="0.2">
      <c r="G27085" s="889"/>
    </row>
    <row r="27086" spans="7:7" ht="10.5" customHeight="1" x14ac:dyDescent="0.2">
      <c r="G27086" s="889"/>
    </row>
    <row r="27087" spans="7:7" ht="10.5" customHeight="1" x14ac:dyDescent="0.2">
      <c r="G27087" s="889"/>
    </row>
    <row r="27088" spans="7:7" ht="10.5" customHeight="1" x14ac:dyDescent="0.2">
      <c r="G27088" s="889"/>
    </row>
    <row r="27089" spans="7:7" ht="10.5" customHeight="1" x14ac:dyDescent="0.2">
      <c r="G27089" s="889"/>
    </row>
    <row r="27090" spans="7:7" ht="10.5" customHeight="1" x14ac:dyDescent="0.2">
      <c r="G27090" s="889"/>
    </row>
    <row r="27091" spans="7:7" ht="10.5" customHeight="1" x14ac:dyDescent="0.2">
      <c r="G27091" s="889"/>
    </row>
    <row r="27092" spans="7:7" ht="10.5" customHeight="1" x14ac:dyDescent="0.2">
      <c r="G27092" s="889"/>
    </row>
    <row r="27093" spans="7:7" ht="10.5" customHeight="1" x14ac:dyDescent="0.2">
      <c r="G27093" s="889"/>
    </row>
    <row r="27094" spans="7:7" ht="10.5" customHeight="1" x14ac:dyDescent="0.2">
      <c r="G27094" s="889"/>
    </row>
    <row r="27095" spans="7:7" ht="10.5" customHeight="1" x14ac:dyDescent="0.2">
      <c r="G27095" s="889"/>
    </row>
    <row r="27096" spans="7:7" ht="10.5" customHeight="1" x14ac:dyDescent="0.2">
      <c r="G27096" s="889"/>
    </row>
    <row r="27097" spans="7:7" ht="10.5" customHeight="1" x14ac:dyDescent="0.2">
      <c r="G27097" s="889"/>
    </row>
    <row r="27098" spans="7:7" ht="10.5" customHeight="1" x14ac:dyDescent="0.2">
      <c r="G27098" s="889"/>
    </row>
    <row r="27099" spans="7:7" ht="10.5" customHeight="1" x14ac:dyDescent="0.2">
      <c r="G27099" s="889"/>
    </row>
    <row r="27100" spans="7:7" ht="10.5" customHeight="1" x14ac:dyDescent="0.2">
      <c r="G27100" s="889"/>
    </row>
    <row r="27101" spans="7:7" ht="10.5" customHeight="1" x14ac:dyDescent="0.2">
      <c r="G27101" s="889"/>
    </row>
    <row r="27102" spans="7:7" ht="10.5" customHeight="1" x14ac:dyDescent="0.2">
      <c r="G27102" s="889"/>
    </row>
    <row r="27103" spans="7:7" ht="10.5" customHeight="1" x14ac:dyDescent="0.2">
      <c r="G27103" s="889"/>
    </row>
    <row r="27104" spans="7:7" ht="10.5" customHeight="1" x14ac:dyDescent="0.2">
      <c r="G27104" s="889"/>
    </row>
    <row r="27105" spans="7:7" ht="10.5" customHeight="1" x14ac:dyDescent="0.2">
      <c r="G27105" s="889"/>
    </row>
    <row r="27106" spans="7:7" ht="10.5" customHeight="1" x14ac:dyDescent="0.2">
      <c r="G27106" s="889"/>
    </row>
    <row r="27107" spans="7:7" ht="10.5" customHeight="1" x14ac:dyDescent="0.2">
      <c r="G27107" s="889"/>
    </row>
    <row r="27108" spans="7:7" ht="10.5" customHeight="1" x14ac:dyDescent="0.2">
      <c r="G27108" s="889"/>
    </row>
    <row r="27109" spans="7:7" ht="10.5" customHeight="1" x14ac:dyDescent="0.2">
      <c r="G27109" s="889"/>
    </row>
    <row r="27110" spans="7:7" ht="10.5" customHeight="1" x14ac:dyDescent="0.2">
      <c r="G27110" s="889"/>
    </row>
    <row r="27111" spans="7:7" ht="10.5" customHeight="1" x14ac:dyDescent="0.2">
      <c r="G27111" s="889"/>
    </row>
    <row r="27112" spans="7:7" ht="10.5" customHeight="1" x14ac:dyDescent="0.2">
      <c r="G27112" s="889"/>
    </row>
    <row r="27113" spans="7:7" ht="10.5" customHeight="1" x14ac:dyDescent="0.2">
      <c r="G27113" s="889"/>
    </row>
    <row r="27114" spans="7:7" ht="10.5" customHeight="1" x14ac:dyDescent="0.2">
      <c r="G27114" s="889"/>
    </row>
    <row r="27115" spans="7:7" ht="10.5" customHeight="1" x14ac:dyDescent="0.2">
      <c r="G27115" s="889"/>
    </row>
    <row r="27116" spans="7:7" ht="10.5" customHeight="1" x14ac:dyDescent="0.2">
      <c r="G27116" s="889"/>
    </row>
    <row r="27117" spans="7:7" ht="10.5" customHeight="1" x14ac:dyDescent="0.2">
      <c r="G27117" s="889"/>
    </row>
    <row r="27118" spans="7:7" ht="10.5" customHeight="1" x14ac:dyDescent="0.2">
      <c r="G27118" s="889"/>
    </row>
    <row r="27119" spans="7:7" ht="10.5" customHeight="1" x14ac:dyDescent="0.2">
      <c r="G27119" s="889"/>
    </row>
    <row r="27120" spans="7:7" ht="10.5" customHeight="1" x14ac:dyDescent="0.2">
      <c r="G27120" s="889"/>
    </row>
    <row r="27121" spans="7:7" ht="10.5" customHeight="1" x14ac:dyDescent="0.2">
      <c r="G27121" s="889"/>
    </row>
    <row r="27122" spans="7:7" ht="10.5" customHeight="1" x14ac:dyDescent="0.2">
      <c r="G27122" s="889"/>
    </row>
    <row r="27123" spans="7:7" ht="10.5" customHeight="1" x14ac:dyDescent="0.2">
      <c r="G27123" s="889"/>
    </row>
    <row r="27124" spans="7:7" ht="10.5" customHeight="1" x14ac:dyDescent="0.2">
      <c r="G27124" s="889"/>
    </row>
    <row r="27125" spans="7:7" ht="10.5" customHeight="1" x14ac:dyDescent="0.2">
      <c r="G27125" s="889"/>
    </row>
    <row r="27126" spans="7:7" ht="10.5" customHeight="1" x14ac:dyDescent="0.2">
      <c r="G27126" s="889"/>
    </row>
    <row r="27127" spans="7:7" ht="10.5" customHeight="1" x14ac:dyDescent="0.2">
      <c r="G27127" s="889"/>
    </row>
    <row r="27128" spans="7:7" ht="10.5" customHeight="1" x14ac:dyDescent="0.2">
      <c r="G27128" s="889"/>
    </row>
    <row r="27129" spans="7:7" ht="10.5" customHeight="1" x14ac:dyDescent="0.2">
      <c r="G27129" s="889"/>
    </row>
    <row r="27130" spans="7:7" ht="10.5" customHeight="1" x14ac:dyDescent="0.2">
      <c r="G27130" s="889"/>
    </row>
    <row r="27131" spans="7:7" ht="10.5" customHeight="1" x14ac:dyDescent="0.2">
      <c r="G27131" s="889"/>
    </row>
    <row r="27132" spans="7:7" ht="10.5" customHeight="1" x14ac:dyDescent="0.2">
      <c r="G27132" s="889"/>
    </row>
    <row r="27133" spans="7:7" ht="10.5" customHeight="1" x14ac:dyDescent="0.2">
      <c r="G27133" s="889"/>
    </row>
    <row r="27134" spans="7:7" ht="10.5" customHeight="1" x14ac:dyDescent="0.2">
      <c r="G27134" s="889"/>
    </row>
    <row r="27135" spans="7:7" ht="10.5" customHeight="1" x14ac:dyDescent="0.2">
      <c r="G27135" s="889"/>
    </row>
    <row r="27136" spans="7:7" ht="10.5" customHeight="1" x14ac:dyDescent="0.2">
      <c r="G27136" s="889"/>
    </row>
    <row r="27137" spans="7:7" ht="10.5" customHeight="1" x14ac:dyDescent="0.2">
      <c r="G27137" s="889"/>
    </row>
    <row r="27138" spans="7:7" ht="10.5" customHeight="1" x14ac:dyDescent="0.2">
      <c r="G27138" s="889"/>
    </row>
    <row r="27139" spans="7:7" ht="10.5" customHeight="1" x14ac:dyDescent="0.2">
      <c r="G27139" s="889"/>
    </row>
    <row r="27140" spans="7:7" ht="10.5" customHeight="1" x14ac:dyDescent="0.2">
      <c r="G27140" s="889"/>
    </row>
    <row r="27141" spans="7:7" ht="10.5" customHeight="1" x14ac:dyDescent="0.2">
      <c r="G27141" s="889"/>
    </row>
    <row r="27142" spans="7:7" ht="10.5" customHeight="1" x14ac:dyDescent="0.2">
      <c r="G27142" s="889"/>
    </row>
    <row r="27143" spans="7:7" ht="10.5" customHeight="1" x14ac:dyDescent="0.2">
      <c r="G27143" s="889"/>
    </row>
    <row r="27144" spans="7:7" ht="10.5" customHeight="1" x14ac:dyDescent="0.2">
      <c r="G27144" s="889"/>
    </row>
    <row r="27145" spans="7:7" ht="10.5" customHeight="1" x14ac:dyDescent="0.2">
      <c r="G27145" s="889"/>
    </row>
    <row r="27146" spans="7:7" ht="10.5" customHeight="1" x14ac:dyDescent="0.2">
      <c r="G27146" s="889"/>
    </row>
    <row r="27147" spans="7:7" ht="10.5" customHeight="1" x14ac:dyDescent="0.2">
      <c r="G27147" s="889"/>
    </row>
    <row r="27148" spans="7:7" ht="10.5" customHeight="1" x14ac:dyDescent="0.2">
      <c r="G27148" s="889"/>
    </row>
    <row r="27149" spans="7:7" ht="10.5" customHeight="1" x14ac:dyDescent="0.2">
      <c r="G27149" s="889"/>
    </row>
    <row r="27150" spans="7:7" ht="10.5" customHeight="1" x14ac:dyDescent="0.2">
      <c r="G27150" s="889"/>
    </row>
    <row r="27151" spans="7:7" ht="10.5" customHeight="1" x14ac:dyDescent="0.2">
      <c r="G27151" s="889"/>
    </row>
    <row r="27152" spans="7:7" ht="10.5" customHeight="1" x14ac:dyDescent="0.2">
      <c r="G27152" s="889"/>
    </row>
    <row r="27153" spans="7:7" ht="10.5" customHeight="1" x14ac:dyDescent="0.2">
      <c r="G27153" s="889"/>
    </row>
    <row r="27154" spans="7:7" ht="10.5" customHeight="1" x14ac:dyDescent="0.2">
      <c r="G27154" s="889"/>
    </row>
    <row r="27155" spans="7:7" ht="10.5" customHeight="1" x14ac:dyDescent="0.2">
      <c r="G27155" s="889"/>
    </row>
    <row r="27156" spans="7:7" ht="10.5" customHeight="1" x14ac:dyDescent="0.2">
      <c r="G27156" s="889"/>
    </row>
    <row r="27157" spans="7:7" ht="10.5" customHeight="1" x14ac:dyDescent="0.2">
      <c r="G27157" s="889"/>
    </row>
    <row r="27158" spans="7:7" ht="10.5" customHeight="1" x14ac:dyDescent="0.2">
      <c r="G27158" s="889"/>
    </row>
    <row r="27159" spans="7:7" ht="10.5" customHeight="1" x14ac:dyDescent="0.2">
      <c r="G27159" s="889"/>
    </row>
    <row r="27160" spans="7:7" ht="10.5" customHeight="1" x14ac:dyDescent="0.2">
      <c r="G27160" s="889"/>
    </row>
    <row r="27161" spans="7:7" ht="10.5" customHeight="1" x14ac:dyDescent="0.2">
      <c r="G27161" s="889"/>
    </row>
    <row r="27162" spans="7:7" ht="10.5" customHeight="1" x14ac:dyDescent="0.2">
      <c r="G27162" s="889"/>
    </row>
    <row r="27163" spans="7:7" ht="10.5" customHeight="1" x14ac:dyDescent="0.2">
      <c r="G27163" s="889"/>
    </row>
    <row r="27164" spans="7:7" ht="10.5" customHeight="1" x14ac:dyDescent="0.2">
      <c r="G27164" s="889"/>
    </row>
    <row r="27165" spans="7:7" ht="10.5" customHeight="1" x14ac:dyDescent="0.2">
      <c r="G27165" s="889"/>
    </row>
    <row r="27166" spans="7:7" ht="10.5" customHeight="1" x14ac:dyDescent="0.2">
      <c r="G27166" s="889"/>
    </row>
    <row r="27167" spans="7:7" ht="10.5" customHeight="1" x14ac:dyDescent="0.2">
      <c r="G27167" s="889"/>
    </row>
    <row r="27168" spans="7:7" ht="10.5" customHeight="1" x14ac:dyDescent="0.2">
      <c r="G27168" s="889"/>
    </row>
    <row r="27169" spans="7:7" ht="10.5" customHeight="1" x14ac:dyDescent="0.2">
      <c r="G27169" s="889"/>
    </row>
    <row r="27170" spans="7:7" ht="10.5" customHeight="1" x14ac:dyDescent="0.2">
      <c r="G27170" s="889"/>
    </row>
    <row r="27171" spans="7:7" ht="10.5" customHeight="1" x14ac:dyDescent="0.2">
      <c r="G27171" s="889"/>
    </row>
    <row r="27172" spans="7:7" ht="10.5" customHeight="1" x14ac:dyDescent="0.2">
      <c r="G27172" s="889"/>
    </row>
    <row r="27173" spans="7:7" ht="10.5" customHeight="1" x14ac:dyDescent="0.2">
      <c r="G27173" s="889"/>
    </row>
    <row r="27174" spans="7:7" ht="10.5" customHeight="1" x14ac:dyDescent="0.2">
      <c r="G27174" s="889"/>
    </row>
    <row r="27175" spans="7:7" ht="10.5" customHeight="1" x14ac:dyDescent="0.2">
      <c r="G27175" s="889"/>
    </row>
    <row r="27176" spans="7:7" ht="10.5" customHeight="1" x14ac:dyDescent="0.2">
      <c r="G27176" s="889"/>
    </row>
    <row r="27177" spans="7:7" ht="10.5" customHeight="1" x14ac:dyDescent="0.2">
      <c r="G27177" s="889"/>
    </row>
    <row r="27178" spans="7:7" ht="10.5" customHeight="1" x14ac:dyDescent="0.2">
      <c r="G27178" s="889"/>
    </row>
    <row r="27179" spans="7:7" ht="10.5" customHeight="1" x14ac:dyDescent="0.2">
      <c r="G27179" s="889"/>
    </row>
    <row r="27180" spans="7:7" ht="10.5" customHeight="1" x14ac:dyDescent="0.2">
      <c r="G27180" s="889"/>
    </row>
    <row r="27181" spans="7:7" ht="10.5" customHeight="1" x14ac:dyDescent="0.2">
      <c r="G27181" s="889"/>
    </row>
    <row r="27182" spans="7:7" ht="10.5" customHeight="1" x14ac:dyDescent="0.2">
      <c r="G27182" s="889"/>
    </row>
    <row r="27183" spans="7:7" ht="10.5" customHeight="1" x14ac:dyDescent="0.2">
      <c r="G27183" s="889"/>
    </row>
    <row r="27184" spans="7:7" ht="10.5" customHeight="1" x14ac:dyDescent="0.2">
      <c r="G27184" s="889"/>
    </row>
    <row r="27185" spans="7:7" ht="10.5" customHeight="1" x14ac:dyDescent="0.2">
      <c r="G27185" s="889"/>
    </row>
    <row r="27186" spans="7:7" ht="10.5" customHeight="1" x14ac:dyDescent="0.2">
      <c r="G27186" s="889"/>
    </row>
    <row r="27187" spans="7:7" ht="10.5" customHeight="1" x14ac:dyDescent="0.2">
      <c r="G27187" s="889"/>
    </row>
    <row r="27188" spans="7:7" ht="10.5" customHeight="1" x14ac:dyDescent="0.2">
      <c r="G27188" s="889"/>
    </row>
    <row r="27189" spans="7:7" ht="10.5" customHeight="1" x14ac:dyDescent="0.2">
      <c r="G27189" s="889"/>
    </row>
    <row r="27190" spans="7:7" ht="10.5" customHeight="1" x14ac:dyDescent="0.2">
      <c r="G27190" s="889"/>
    </row>
    <row r="27191" spans="7:7" ht="10.5" customHeight="1" x14ac:dyDescent="0.2">
      <c r="G27191" s="889"/>
    </row>
    <row r="27192" spans="7:7" ht="10.5" customHeight="1" x14ac:dyDescent="0.2">
      <c r="G27192" s="889"/>
    </row>
    <row r="27193" spans="7:7" ht="10.5" customHeight="1" x14ac:dyDescent="0.2">
      <c r="G27193" s="889"/>
    </row>
    <row r="27194" spans="7:7" ht="10.5" customHeight="1" x14ac:dyDescent="0.2">
      <c r="G27194" s="889"/>
    </row>
    <row r="27195" spans="7:7" ht="10.5" customHeight="1" x14ac:dyDescent="0.2">
      <c r="G27195" s="889"/>
    </row>
    <row r="27196" spans="7:7" ht="10.5" customHeight="1" x14ac:dyDescent="0.2">
      <c r="G27196" s="889"/>
    </row>
    <row r="27197" spans="7:7" ht="10.5" customHeight="1" x14ac:dyDescent="0.2">
      <c r="G27197" s="889"/>
    </row>
    <row r="27198" spans="7:7" ht="10.5" customHeight="1" x14ac:dyDescent="0.2">
      <c r="G27198" s="889"/>
    </row>
    <row r="27199" spans="7:7" ht="10.5" customHeight="1" x14ac:dyDescent="0.2">
      <c r="G27199" s="889"/>
    </row>
    <row r="27200" spans="7:7" ht="10.5" customHeight="1" x14ac:dyDescent="0.2">
      <c r="G27200" s="889"/>
    </row>
    <row r="27201" spans="7:7" ht="10.5" customHeight="1" x14ac:dyDescent="0.2">
      <c r="G27201" s="889"/>
    </row>
    <row r="27202" spans="7:7" ht="10.5" customHeight="1" x14ac:dyDescent="0.2">
      <c r="G27202" s="889"/>
    </row>
    <row r="27203" spans="7:7" ht="10.5" customHeight="1" x14ac:dyDescent="0.2">
      <c r="G27203" s="889"/>
    </row>
    <row r="27204" spans="7:7" ht="10.5" customHeight="1" x14ac:dyDescent="0.2">
      <c r="G27204" s="889"/>
    </row>
    <row r="27205" spans="7:7" ht="10.5" customHeight="1" x14ac:dyDescent="0.2">
      <c r="G27205" s="889"/>
    </row>
    <row r="27206" spans="7:7" ht="10.5" customHeight="1" x14ac:dyDescent="0.2">
      <c r="G27206" s="889"/>
    </row>
    <row r="27207" spans="7:7" ht="10.5" customHeight="1" x14ac:dyDescent="0.2">
      <c r="G27207" s="889"/>
    </row>
    <row r="27208" spans="7:7" ht="10.5" customHeight="1" x14ac:dyDescent="0.2">
      <c r="G27208" s="889"/>
    </row>
    <row r="27209" spans="7:7" ht="10.5" customHeight="1" x14ac:dyDescent="0.2">
      <c r="G27209" s="889"/>
    </row>
    <row r="27210" spans="7:7" ht="10.5" customHeight="1" x14ac:dyDescent="0.2">
      <c r="G27210" s="889"/>
    </row>
    <row r="27211" spans="7:7" ht="10.5" customHeight="1" x14ac:dyDescent="0.2">
      <c r="G27211" s="889"/>
    </row>
    <row r="27212" spans="7:7" ht="10.5" customHeight="1" x14ac:dyDescent="0.2">
      <c r="G27212" s="889"/>
    </row>
    <row r="27213" spans="7:7" ht="10.5" customHeight="1" x14ac:dyDescent="0.2">
      <c r="G27213" s="889"/>
    </row>
    <row r="27214" spans="7:7" ht="10.5" customHeight="1" x14ac:dyDescent="0.2">
      <c r="G27214" s="889"/>
    </row>
    <row r="27215" spans="7:7" ht="10.5" customHeight="1" x14ac:dyDescent="0.2">
      <c r="G27215" s="889"/>
    </row>
    <row r="27216" spans="7:7" ht="10.5" customHeight="1" x14ac:dyDescent="0.2">
      <c r="G27216" s="889"/>
    </row>
    <row r="27217" spans="7:7" ht="10.5" customHeight="1" x14ac:dyDescent="0.2">
      <c r="G27217" s="889"/>
    </row>
    <row r="27218" spans="7:7" ht="10.5" customHeight="1" x14ac:dyDescent="0.2">
      <c r="G27218" s="889"/>
    </row>
    <row r="27219" spans="7:7" ht="10.5" customHeight="1" x14ac:dyDescent="0.2">
      <c r="G27219" s="889"/>
    </row>
    <row r="27220" spans="7:7" ht="10.5" customHeight="1" x14ac:dyDescent="0.2">
      <c r="G27220" s="889"/>
    </row>
    <row r="27221" spans="7:7" ht="10.5" customHeight="1" x14ac:dyDescent="0.2">
      <c r="G27221" s="889"/>
    </row>
    <row r="27222" spans="7:7" ht="10.5" customHeight="1" x14ac:dyDescent="0.2">
      <c r="G27222" s="889"/>
    </row>
    <row r="27223" spans="7:7" ht="10.5" customHeight="1" x14ac:dyDescent="0.2">
      <c r="G27223" s="889"/>
    </row>
    <row r="27224" spans="7:7" ht="10.5" customHeight="1" x14ac:dyDescent="0.2">
      <c r="G27224" s="889"/>
    </row>
    <row r="27225" spans="7:7" ht="10.5" customHeight="1" x14ac:dyDescent="0.2">
      <c r="G27225" s="889"/>
    </row>
    <row r="27226" spans="7:7" ht="10.5" customHeight="1" x14ac:dyDescent="0.2">
      <c r="G27226" s="889"/>
    </row>
    <row r="27227" spans="7:7" ht="10.5" customHeight="1" x14ac:dyDescent="0.2">
      <c r="G27227" s="889"/>
    </row>
    <row r="27228" spans="7:7" ht="10.5" customHeight="1" x14ac:dyDescent="0.2">
      <c r="G27228" s="889"/>
    </row>
    <row r="27229" spans="7:7" ht="10.5" customHeight="1" x14ac:dyDescent="0.2">
      <c r="G27229" s="889"/>
    </row>
    <row r="27230" spans="7:7" ht="10.5" customHeight="1" x14ac:dyDescent="0.2">
      <c r="G27230" s="889"/>
    </row>
    <row r="27231" spans="7:7" ht="10.5" customHeight="1" x14ac:dyDescent="0.2">
      <c r="G27231" s="889"/>
    </row>
    <row r="27232" spans="7:7" ht="10.5" customHeight="1" x14ac:dyDescent="0.2">
      <c r="G27232" s="889"/>
    </row>
    <row r="27233" spans="7:7" ht="10.5" customHeight="1" x14ac:dyDescent="0.2">
      <c r="G27233" s="889"/>
    </row>
    <row r="27234" spans="7:7" ht="10.5" customHeight="1" x14ac:dyDescent="0.2">
      <c r="G27234" s="889"/>
    </row>
    <row r="27235" spans="7:7" ht="10.5" customHeight="1" x14ac:dyDescent="0.2">
      <c r="G27235" s="889"/>
    </row>
    <row r="27236" spans="7:7" ht="10.5" customHeight="1" x14ac:dyDescent="0.2">
      <c r="G27236" s="889"/>
    </row>
    <row r="27237" spans="7:7" ht="10.5" customHeight="1" x14ac:dyDescent="0.2">
      <c r="G27237" s="889"/>
    </row>
    <row r="27238" spans="7:7" ht="10.5" customHeight="1" x14ac:dyDescent="0.2">
      <c r="G27238" s="889"/>
    </row>
    <row r="27239" spans="7:7" ht="10.5" customHeight="1" x14ac:dyDescent="0.2">
      <c r="G27239" s="889"/>
    </row>
    <row r="27240" spans="7:7" ht="10.5" customHeight="1" x14ac:dyDescent="0.2">
      <c r="G27240" s="889"/>
    </row>
    <row r="27241" spans="7:7" ht="10.5" customHeight="1" x14ac:dyDescent="0.2">
      <c r="G27241" s="889"/>
    </row>
    <row r="27242" spans="7:7" ht="10.5" customHeight="1" x14ac:dyDescent="0.2">
      <c r="G27242" s="889"/>
    </row>
    <row r="27243" spans="7:7" ht="10.5" customHeight="1" x14ac:dyDescent="0.2">
      <c r="G27243" s="889"/>
    </row>
    <row r="27244" spans="7:7" ht="10.5" customHeight="1" x14ac:dyDescent="0.2">
      <c r="G27244" s="889"/>
    </row>
    <row r="27245" spans="7:7" ht="10.5" customHeight="1" x14ac:dyDescent="0.2">
      <c r="G27245" s="889"/>
    </row>
    <row r="27246" spans="7:7" ht="10.5" customHeight="1" x14ac:dyDescent="0.2">
      <c r="G27246" s="889"/>
    </row>
    <row r="27247" spans="7:7" ht="10.5" customHeight="1" x14ac:dyDescent="0.2">
      <c r="G27247" s="889"/>
    </row>
    <row r="27248" spans="7:7" ht="10.5" customHeight="1" x14ac:dyDescent="0.2">
      <c r="G27248" s="889"/>
    </row>
    <row r="27249" spans="7:7" ht="10.5" customHeight="1" x14ac:dyDescent="0.2">
      <c r="G27249" s="889"/>
    </row>
    <row r="27250" spans="7:7" ht="10.5" customHeight="1" x14ac:dyDescent="0.2">
      <c r="G27250" s="889"/>
    </row>
    <row r="27251" spans="7:7" ht="10.5" customHeight="1" x14ac:dyDescent="0.2">
      <c r="G27251" s="889"/>
    </row>
    <row r="27252" spans="7:7" ht="10.5" customHeight="1" x14ac:dyDescent="0.2">
      <c r="G27252" s="889"/>
    </row>
    <row r="27253" spans="7:7" ht="10.5" customHeight="1" x14ac:dyDescent="0.2">
      <c r="G27253" s="889"/>
    </row>
    <row r="27254" spans="7:7" ht="10.5" customHeight="1" x14ac:dyDescent="0.2">
      <c r="G27254" s="889"/>
    </row>
    <row r="27255" spans="7:7" ht="10.5" customHeight="1" x14ac:dyDescent="0.2">
      <c r="G27255" s="889"/>
    </row>
    <row r="27256" spans="7:7" ht="10.5" customHeight="1" x14ac:dyDescent="0.2">
      <c r="G27256" s="889"/>
    </row>
    <row r="27257" spans="7:7" ht="10.5" customHeight="1" x14ac:dyDescent="0.2">
      <c r="G27257" s="889"/>
    </row>
    <row r="27258" spans="7:7" ht="10.5" customHeight="1" x14ac:dyDescent="0.2">
      <c r="G27258" s="889"/>
    </row>
    <row r="27259" spans="7:7" ht="10.5" customHeight="1" x14ac:dyDescent="0.2">
      <c r="G27259" s="889"/>
    </row>
    <row r="27260" spans="7:7" ht="10.5" customHeight="1" x14ac:dyDescent="0.2">
      <c r="G27260" s="889"/>
    </row>
    <row r="27261" spans="7:7" ht="10.5" customHeight="1" x14ac:dyDescent="0.2">
      <c r="G27261" s="889"/>
    </row>
    <row r="27262" spans="7:7" ht="10.5" customHeight="1" x14ac:dyDescent="0.2">
      <c r="G27262" s="889"/>
    </row>
    <row r="27263" spans="7:7" ht="10.5" customHeight="1" x14ac:dyDescent="0.2">
      <c r="G27263" s="889"/>
    </row>
    <row r="27264" spans="7:7" ht="10.5" customHeight="1" x14ac:dyDescent="0.2">
      <c r="G27264" s="889"/>
    </row>
    <row r="27265" spans="7:7" ht="10.5" customHeight="1" x14ac:dyDescent="0.2">
      <c r="G27265" s="889"/>
    </row>
    <row r="27266" spans="7:7" ht="10.5" customHeight="1" x14ac:dyDescent="0.2">
      <c r="G27266" s="889"/>
    </row>
    <row r="27267" spans="7:7" ht="10.5" customHeight="1" x14ac:dyDescent="0.2">
      <c r="G27267" s="889"/>
    </row>
    <row r="27268" spans="7:7" ht="10.5" customHeight="1" x14ac:dyDescent="0.2">
      <c r="G27268" s="889"/>
    </row>
    <row r="27269" spans="7:7" ht="10.5" customHeight="1" x14ac:dyDescent="0.2">
      <c r="G27269" s="889"/>
    </row>
    <row r="27270" spans="7:7" ht="10.5" customHeight="1" x14ac:dyDescent="0.2">
      <c r="G27270" s="889"/>
    </row>
    <row r="27271" spans="7:7" ht="10.5" customHeight="1" x14ac:dyDescent="0.2">
      <c r="G27271" s="889"/>
    </row>
    <row r="27272" spans="7:7" ht="10.5" customHeight="1" x14ac:dyDescent="0.2">
      <c r="G27272" s="889"/>
    </row>
    <row r="27273" spans="7:7" ht="10.5" customHeight="1" x14ac:dyDescent="0.2">
      <c r="G27273" s="889"/>
    </row>
    <row r="27274" spans="7:7" ht="10.5" customHeight="1" x14ac:dyDescent="0.2">
      <c r="G27274" s="889"/>
    </row>
    <row r="27275" spans="7:7" ht="10.5" customHeight="1" x14ac:dyDescent="0.2">
      <c r="G27275" s="889"/>
    </row>
    <row r="27276" spans="7:7" ht="10.5" customHeight="1" x14ac:dyDescent="0.2">
      <c r="G27276" s="889"/>
    </row>
    <row r="27277" spans="7:7" ht="10.5" customHeight="1" x14ac:dyDescent="0.2">
      <c r="G27277" s="889"/>
    </row>
    <row r="27278" spans="7:7" ht="10.5" customHeight="1" x14ac:dyDescent="0.2">
      <c r="G27278" s="889"/>
    </row>
    <row r="27279" spans="7:7" ht="10.5" customHeight="1" x14ac:dyDescent="0.2">
      <c r="G27279" s="889"/>
    </row>
    <row r="27280" spans="7:7" ht="10.5" customHeight="1" x14ac:dyDescent="0.2">
      <c r="G27280" s="889"/>
    </row>
    <row r="27281" spans="7:7" ht="10.5" customHeight="1" x14ac:dyDescent="0.2">
      <c r="G27281" s="889"/>
    </row>
    <row r="27282" spans="7:7" ht="10.5" customHeight="1" x14ac:dyDescent="0.2">
      <c r="G27282" s="889"/>
    </row>
    <row r="27283" spans="7:7" ht="10.5" customHeight="1" x14ac:dyDescent="0.2">
      <c r="G27283" s="889"/>
    </row>
    <row r="27284" spans="7:7" ht="10.5" customHeight="1" x14ac:dyDescent="0.2">
      <c r="G27284" s="889"/>
    </row>
    <row r="27285" spans="7:7" ht="10.5" customHeight="1" x14ac:dyDescent="0.2">
      <c r="G27285" s="889"/>
    </row>
    <row r="27286" spans="7:7" ht="10.5" customHeight="1" x14ac:dyDescent="0.2">
      <c r="G27286" s="889"/>
    </row>
    <row r="27287" spans="7:7" ht="10.5" customHeight="1" x14ac:dyDescent="0.2">
      <c r="G27287" s="889"/>
    </row>
    <row r="27288" spans="7:7" ht="10.5" customHeight="1" x14ac:dyDescent="0.2">
      <c r="G27288" s="889"/>
    </row>
    <row r="27289" spans="7:7" ht="10.5" customHeight="1" x14ac:dyDescent="0.2">
      <c r="G27289" s="889"/>
    </row>
    <row r="27290" spans="7:7" ht="10.5" customHeight="1" x14ac:dyDescent="0.2">
      <c r="G27290" s="889"/>
    </row>
    <row r="27291" spans="7:7" ht="10.5" customHeight="1" x14ac:dyDescent="0.2">
      <c r="G27291" s="889"/>
    </row>
    <row r="27292" spans="7:7" ht="10.5" customHeight="1" x14ac:dyDescent="0.2">
      <c r="G27292" s="889"/>
    </row>
    <row r="27293" spans="7:7" ht="10.5" customHeight="1" x14ac:dyDescent="0.2">
      <c r="G27293" s="889"/>
    </row>
    <row r="27294" spans="7:7" ht="10.5" customHeight="1" x14ac:dyDescent="0.2">
      <c r="G27294" s="889"/>
    </row>
    <row r="27295" spans="7:7" ht="10.5" customHeight="1" x14ac:dyDescent="0.2">
      <c r="G27295" s="889"/>
    </row>
    <row r="27296" spans="7:7" ht="10.5" customHeight="1" x14ac:dyDescent="0.2">
      <c r="G27296" s="889"/>
    </row>
    <row r="27297" spans="7:7" ht="10.5" customHeight="1" x14ac:dyDescent="0.2">
      <c r="G27297" s="889"/>
    </row>
    <row r="27298" spans="7:7" ht="10.5" customHeight="1" x14ac:dyDescent="0.2">
      <c r="G27298" s="889"/>
    </row>
    <row r="27299" spans="7:7" ht="10.5" customHeight="1" x14ac:dyDescent="0.2">
      <c r="G27299" s="889"/>
    </row>
    <row r="27300" spans="7:7" ht="10.5" customHeight="1" x14ac:dyDescent="0.2">
      <c r="G27300" s="889"/>
    </row>
    <row r="27301" spans="7:7" ht="10.5" customHeight="1" x14ac:dyDescent="0.2">
      <c r="G27301" s="889"/>
    </row>
    <row r="27302" spans="7:7" ht="10.5" customHeight="1" x14ac:dyDescent="0.2">
      <c r="G27302" s="889"/>
    </row>
    <row r="27303" spans="7:7" ht="10.5" customHeight="1" x14ac:dyDescent="0.2">
      <c r="G27303" s="889"/>
    </row>
    <row r="27304" spans="7:7" ht="10.5" customHeight="1" x14ac:dyDescent="0.2">
      <c r="G27304" s="889"/>
    </row>
    <row r="27305" spans="7:7" ht="10.5" customHeight="1" x14ac:dyDescent="0.2">
      <c r="G27305" s="889"/>
    </row>
    <row r="27306" spans="7:7" ht="10.5" customHeight="1" x14ac:dyDescent="0.2">
      <c r="G27306" s="889"/>
    </row>
    <row r="27307" spans="7:7" ht="10.5" customHeight="1" x14ac:dyDescent="0.2">
      <c r="G27307" s="889"/>
    </row>
    <row r="27308" spans="7:7" ht="10.5" customHeight="1" x14ac:dyDescent="0.2">
      <c r="G27308" s="889"/>
    </row>
    <row r="27309" spans="7:7" ht="10.5" customHeight="1" x14ac:dyDescent="0.2">
      <c r="G27309" s="889"/>
    </row>
    <row r="27310" spans="7:7" ht="10.5" customHeight="1" x14ac:dyDescent="0.2">
      <c r="G27310" s="889"/>
    </row>
    <row r="27311" spans="7:7" ht="10.5" customHeight="1" x14ac:dyDescent="0.2">
      <c r="G27311" s="889"/>
    </row>
    <row r="27312" spans="7:7" ht="10.5" customHeight="1" x14ac:dyDescent="0.2">
      <c r="G27312" s="889"/>
    </row>
    <row r="27313" spans="7:7" ht="10.5" customHeight="1" x14ac:dyDescent="0.2">
      <c r="G27313" s="889"/>
    </row>
    <row r="27314" spans="7:7" ht="10.5" customHeight="1" x14ac:dyDescent="0.2">
      <c r="G27314" s="889"/>
    </row>
    <row r="27315" spans="7:7" ht="10.5" customHeight="1" x14ac:dyDescent="0.2">
      <c r="G27315" s="889"/>
    </row>
    <row r="27316" spans="7:7" ht="10.5" customHeight="1" x14ac:dyDescent="0.2">
      <c r="G27316" s="889"/>
    </row>
    <row r="27317" spans="7:7" ht="10.5" customHeight="1" x14ac:dyDescent="0.2">
      <c r="G27317" s="889"/>
    </row>
    <row r="27318" spans="7:7" ht="10.5" customHeight="1" x14ac:dyDescent="0.2">
      <c r="G27318" s="889"/>
    </row>
    <row r="27319" spans="7:7" ht="10.5" customHeight="1" x14ac:dyDescent="0.2">
      <c r="G27319" s="889"/>
    </row>
    <row r="27320" spans="7:7" ht="10.5" customHeight="1" x14ac:dyDescent="0.2">
      <c r="G27320" s="889"/>
    </row>
    <row r="27321" spans="7:7" ht="10.5" customHeight="1" x14ac:dyDescent="0.2">
      <c r="G27321" s="889"/>
    </row>
    <row r="27322" spans="7:7" ht="10.5" customHeight="1" x14ac:dyDescent="0.2">
      <c r="G27322" s="889"/>
    </row>
    <row r="27323" spans="7:7" ht="10.5" customHeight="1" x14ac:dyDescent="0.2">
      <c r="G27323" s="889"/>
    </row>
    <row r="27324" spans="7:7" ht="10.5" customHeight="1" x14ac:dyDescent="0.2">
      <c r="G27324" s="889"/>
    </row>
    <row r="27325" spans="7:7" ht="10.5" customHeight="1" x14ac:dyDescent="0.2">
      <c r="G27325" s="889"/>
    </row>
    <row r="27326" spans="7:7" ht="10.5" customHeight="1" x14ac:dyDescent="0.2">
      <c r="G27326" s="889"/>
    </row>
    <row r="27327" spans="7:7" ht="10.5" customHeight="1" x14ac:dyDescent="0.2">
      <c r="G27327" s="889"/>
    </row>
    <row r="27328" spans="7:7" ht="10.5" customHeight="1" x14ac:dyDescent="0.2">
      <c r="G27328" s="889"/>
    </row>
    <row r="27329" spans="7:7" ht="10.5" customHeight="1" x14ac:dyDescent="0.2">
      <c r="G27329" s="889"/>
    </row>
    <row r="27330" spans="7:7" ht="10.5" customHeight="1" x14ac:dyDescent="0.2">
      <c r="G27330" s="889"/>
    </row>
    <row r="27331" spans="7:7" ht="10.5" customHeight="1" x14ac:dyDescent="0.2">
      <c r="G27331" s="889"/>
    </row>
    <row r="27332" spans="7:7" ht="10.5" customHeight="1" x14ac:dyDescent="0.2">
      <c r="G27332" s="889"/>
    </row>
    <row r="27333" spans="7:7" ht="10.5" customHeight="1" x14ac:dyDescent="0.2">
      <c r="G27333" s="889"/>
    </row>
    <row r="27334" spans="7:7" ht="10.5" customHeight="1" x14ac:dyDescent="0.2">
      <c r="G27334" s="889"/>
    </row>
    <row r="27335" spans="7:7" ht="10.5" customHeight="1" x14ac:dyDescent="0.2">
      <c r="G27335" s="889"/>
    </row>
    <row r="27336" spans="7:7" ht="10.5" customHeight="1" x14ac:dyDescent="0.2">
      <c r="G27336" s="889"/>
    </row>
    <row r="27337" spans="7:7" ht="10.5" customHeight="1" x14ac:dyDescent="0.2">
      <c r="G27337" s="889"/>
    </row>
    <row r="27338" spans="7:7" ht="10.5" customHeight="1" x14ac:dyDescent="0.2">
      <c r="G27338" s="889"/>
    </row>
    <row r="27339" spans="7:7" ht="10.5" customHeight="1" x14ac:dyDescent="0.2">
      <c r="G27339" s="889"/>
    </row>
    <row r="27340" spans="7:7" ht="10.5" customHeight="1" x14ac:dyDescent="0.2">
      <c r="G27340" s="889"/>
    </row>
    <row r="27341" spans="7:7" ht="10.5" customHeight="1" x14ac:dyDescent="0.2">
      <c r="G27341" s="889"/>
    </row>
    <row r="27342" spans="7:7" ht="10.5" customHeight="1" x14ac:dyDescent="0.2">
      <c r="G27342" s="889"/>
    </row>
    <row r="27343" spans="7:7" ht="10.5" customHeight="1" x14ac:dyDescent="0.2">
      <c r="G27343" s="889"/>
    </row>
    <row r="27344" spans="7:7" ht="10.5" customHeight="1" x14ac:dyDescent="0.2">
      <c r="G27344" s="889"/>
    </row>
    <row r="27345" spans="7:7" ht="10.5" customHeight="1" x14ac:dyDescent="0.2">
      <c r="G27345" s="889"/>
    </row>
    <row r="27346" spans="7:7" ht="10.5" customHeight="1" x14ac:dyDescent="0.2">
      <c r="G27346" s="889"/>
    </row>
    <row r="27347" spans="7:7" ht="10.5" customHeight="1" x14ac:dyDescent="0.2">
      <c r="G27347" s="889"/>
    </row>
    <row r="27348" spans="7:7" ht="10.5" customHeight="1" x14ac:dyDescent="0.2">
      <c r="G27348" s="889"/>
    </row>
    <row r="27349" spans="7:7" ht="10.5" customHeight="1" x14ac:dyDescent="0.2">
      <c r="G27349" s="889"/>
    </row>
    <row r="27350" spans="7:7" ht="10.5" customHeight="1" x14ac:dyDescent="0.2">
      <c r="G27350" s="889"/>
    </row>
    <row r="27351" spans="7:7" ht="10.5" customHeight="1" x14ac:dyDescent="0.2">
      <c r="G27351" s="889"/>
    </row>
    <row r="27352" spans="7:7" ht="10.5" customHeight="1" x14ac:dyDescent="0.2">
      <c r="G27352" s="889"/>
    </row>
    <row r="27353" spans="7:7" ht="10.5" customHeight="1" x14ac:dyDescent="0.2">
      <c r="G27353" s="889"/>
    </row>
    <row r="27354" spans="7:7" ht="10.5" customHeight="1" x14ac:dyDescent="0.2">
      <c r="G27354" s="889"/>
    </row>
    <row r="27355" spans="7:7" ht="10.5" customHeight="1" x14ac:dyDescent="0.2">
      <c r="G27355" s="889"/>
    </row>
    <row r="27356" spans="7:7" ht="10.5" customHeight="1" x14ac:dyDescent="0.2">
      <c r="G27356" s="889"/>
    </row>
    <row r="27357" spans="7:7" ht="10.5" customHeight="1" x14ac:dyDescent="0.2">
      <c r="G27357" s="889"/>
    </row>
    <row r="27358" spans="7:7" ht="10.5" customHeight="1" x14ac:dyDescent="0.2">
      <c r="G27358" s="889"/>
    </row>
    <row r="27359" spans="7:7" ht="10.5" customHeight="1" x14ac:dyDescent="0.2">
      <c r="G27359" s="889"/>
    </row>
    <row r="27360" spans="7:7" ht="10.5" customHeight="1" x14ac:dyDescent="0.2">
      <c r="G27360" s="889"/>
    </row>
    <row r="27361" spans="7:7" ht="10.5" customHeight="1" x14ac:dyDescent="0.2">
      <c r="G27361" s="889"/>
    </row>
    <row r="27362" spans="7:7" ht="10.5" customHeight="1" x14ac:dyDescent="0.2">
      <c r="G27362" s="889"/>
    </row>
    <row r="27363" spans="7:7" ht="10.5" customHeight="1" x14ac:dyDescent="0.2">
      <c r="G27363" s="889"/>
    </row>
    <row r="27364" spans="7:7" ht="10.5" customHeight="1" x14ac:dyDescent="0.2">
      <c r="G27364" s="889"/>
    </row>
    <row r="27365" spans="7:7" ht="10.5" customHeight="1" x14ac:dyDescent="0.2">
      <c r="G27365" s="889"/>
    </row>
    <row r="27366" spans="7:7" ht="10.5" customHeight="1" x14ac:dyDescent="0.2">
      <c r="G27366" s="889"/>
    </row>
    <row r="27367" spans="7:7" ht="10.5" customHeight="1" x14ac:dyDescent="0.2">
      <c r="G27367" s="889"/>
    </row>
    <row r="27368" spans="7:7" ht="10.5" customHeight="1" x14ac:dyDescent="0.2">
      <c r="G27368" s="889"/>
    </row>
    <row r="27369" spans="7:7" ht="10.5" customHeight="1" x14ac:dyDescent="0.2">
      <c r="G27369" s="889"/>
    </row>
    <row r="27370" spans="7:7" ht="10.5" customHeight="1" x14ac:dyDescent="0.2">
      <c r="G27370" s="889"/>
    </row>
    <row r="27371" spans="7:7" ht="10.5" customHeight="1" x14ac:dyDescent="0.2">
      <c r="G27371" s="889"/>
    </row>
    <row r="27372" spans="7:7" ht="10.5" customHeight="1" x14ac:dyDescent="0.2">
      <c r="G27372" s="889"/>
    </row>
    <row r="27373" spans="7:7" ht="10.5" customHeight="1" x14ac:dyDescent="0.2">
      <c r="G27373" s="889"/>
    </row>
    <row r="27374" spans="7:7" ht="10.5" customHeight="1" x14ac:dyDescent="0.2">
      <c r="G27374" s="889"/>
    </row>
    <row r="27375" spans="7:7" ht="10.5" customHeight="1" x14ac:dyDescent="0.2">
      <c r="G27375" s="889"/>
    </row>
    <row r="27376" spans="7:7" ht="10.5" customHeight="1" x14ac:dyDescent="0.2">
      <c r="G27376" s="889"/>
    </row>
    <row r="27377" spans="7:7" ht="10.5" customHeight="1" x14ac:dyDescent="0.2">
      <c r="G27377" s="889"/>
    </row>
    <row r="27378" spans="7:7" ht="10.5" customHeight="1" x14ac:dyDescent="0.2">
      <c r="G27378" s="889"/>
    </row>
    <row r="27379" spans="7:7" ht="10.5" customHeight="1" x14ac:dyDescent="0.2">
      <c r="G27379" s="889"/>
    </row>
    <row r="27380" spans="7:7" ht="10.5" customHeight="1" x14ac:dyDescent="0.2">
      <c r="G27380" s="889"/>
    </row>
    <row r="27381" spans="7:7" ht="10.5" customHeight="1" x14ac:dyDescent="0.2">
      <c r="G27381" s="889"/>
    </row>
    <row r="27382" spans="7:7" ht="10.5" customHeight="1" x14ac:dyDescent="0.2">
      <c r="G27382" s="889"/>
    </row>
    <row r="27383" spans="7:7" ht="10.5" customHeight="1" x14ac:dyDescent="0.2">
      <c r="G27383" s="889"/>
    </row>
    <row r="27384" spans="7:7" ht="10.5" customHeight="1" x14ac:dyDescent="0.2">
      <c r="G27384" s="889"/>
    </row>
    <row r="27385" spans="7:7" ht="10.5" customHeight="1" x14ac:dyDescent="0.2">
      <c r="G27385" s="889"/>
    </row>
    <row r="27386" spans="7:7" ht="10.5" customHeight="1" x14ac:dyDescent="0.2">
      <c r="G27386" s="889"/>
    </row>
    <row r="27387" spans="7:7" ht="10.5" customHeight="1" x14ac:dyDescent="0.2">
      <c r="G27387" s="889"/>
    </row>
    <row r="27388" spans="7:7" ht="10.5" customHeight="1" x14ac:dyDescent="0.2">
      <c r="G27388" s="889"/>
    </row>
    <row r="27389" spans="7:7" ht="10.5" customHeight="1" x14ac:dyDescent="0.2">
      <c r="G27389" s="889"/>
    </row>
    <row r="27390" spans="7:7" ht="10.5" customHeight="1" x14ac:dyDescent="0.2">
      <c r="G27390" s="889"/>
    </row>
    <row r="27391" spans="7:7" ht="10.5" customHeight="1" x14ac:dyDescent="0.2">
      <c r="G27391" s="889"/>
    </row>
    <row r="27392" spans="7:7" ht="10.5" customHeight="1" x14ac:dyDescent="0.2">
      <c r="G27392" s="889"/>
    </row>
    <row r="27393" spans="7:7" ht="10.5" customHeight="1" x14ac:dyDescent="0.2">
      <c r="G27393" s="889"/>
    </row>
    <row r="27394" spans="7:7" ht="10.5" customHeight="1" x14ac:dyDescent="0.2">
      <c r="G27394" s="889"/>
    </row>
    <row r="27395" spans="7:7" ht="10.5" customHeight="1" x14ac:dyDescent="0.2">
      <c r="G27395" s="889"/>
    </row>
    <row r="27396" spans="7:7" ht="10.5" customHeight="1" x14ac:dyDescent="0.2">
      <c r="G27396" s="889"/>
    </row>
    <row r="27397" spans="7:7" ht="10.5" customHeight="1" x14ac:dyDescent="0.2">
      <c r="G27397" s="889"/>
    </row>
    <row r="27398" spans="7:7" ht="10.5" customHeight="1" x14ac:dyDescent="0.2">
      <c r="G27398" s="889"/>
    </row>
    <row r="27399" spans="7:7" ht="10.5" customHeight="1" x14ac:dyDescent="0.2">
      <c r="G27399" s="889"/>
    </row>
    <row r="27400" spans="7:7" ht="10.5" customHeight="1" x14ac:dyDescent="0.2">
      <c r="G27400" s="889"/>
    </row>
    <row r="27401" spans="7:7" ht="10.5" customHeight="1" x14ac:dyDescent="0.2">
      <c r="G27401" s="889"/>
    </row>
    <row r="27402" spans="7:7" ht="10.5" customHeight="1" x14ac:dyDescent="0.2">
      <c r="G27402" s="889"/>
    </row>
    <row r="27403" spans="7:7" ht="10.5" customHeight="1" x14ac:dyDescent="0.2">
      <c r="G27403" s="889"/>
    </row>
    <row r="27404" spans="7:7" ht="10.5" customHeight="1" x14ac:dyDescent="0.2">
      <c r="G27404" s="889"/>
    </row>
    <row r="27405" spans="7:7" ht="10.5" customHeight="1" x14ac:dyDescent="0.2">
      <c r="G27405" s="889"/>
    </row>
    <row r="27406" spans="7:7" ht="10.5" customHeight="1" x14ac:dyDescent="0.2">
      <c r="G27406" s="889"/>
    </row>
    <row r="27407" spans="7:7" ht="10.5" customHeight="1" x14ac:dyDescent="0.2">
      <c r="G27407" s="889"/>
    </row>
    <row r="27408" spans="7:7" ht="10.5" customHeight="1" x14ac:dyDescent="0.2">
      <c r="G27408" s="889"/>
    </row>
    <row r="27409" spans="7:7" ht="10.5" customHeight="1" x14ac:dyDescent="0.2">
      <c r="G27409" s="889"/>
    </row>
    <row r="27410" spans="7:7" ht="10.5" customHeight="1" x14ac:dyDescent="0.2">
      <c r="G27410" s="889"/>
    </row>
    <row r="27411" spans="7:7" ht="10.5" customHeight="1" x14ac:dyDescent="0.2">
      <c r="G27411" s="889"/>
    </row>
    <row r="27412" spans="7:7" ht="10.5" customHeight="1" x14ac:dyDescent="0.2">
      <c r="G27412" s="889"/>
    </row>
    <row r="27413" spans="7:7" ht="10.5" customHeight="1" x14ac:dyDescent="0.2">
      <c r="G27413" s="889"/>
    </row>
    <row r="27414" spans="7:7" ht="10.5" customHeight="1" x14ac:dyDescent="0.2">
      <c r="G27414" s="889"/>
    </row>
    <row r="27415" spans="7:7" ht="10.5" customHeight="1" x14ac:dyDescent="0.2">
      <c r="G27415" s="889"/>
    </row>
    <row r="27416" spans="7:7" ht="10.5" customHeight="1" x14ac:dyDescent="0.2">
      <c r="G27416" s="889"/>
    </row>
    <row r="27417" spans="7:7" ht="10.5" customHeight="1" x14ac:dyDescent="0.2">
      <c r="G27417" s="889"/>
    </row>
    <row r="27418" spans="7:7" ht="10.5" customHeight="1" x14ac:dyDescent="0.2">
      <c r="G27418" s="889"/>
    </row>
    <row r="27419" spans="7:7" ht="10.5" customHeight="1" x14ac:dyDescent="0.2">
      <c r="G27419" s="889"/>
    </row>
    <row r="27420" spans="7:7" ht="10.5" customHeight="1" x14ac:dyDescent="0.2">
      <c r="G27420" s="889"/>
    </row>
    <row r="27421" spans="7:7" ht="10.5" customHeight="1" x14ac:dyDescent="0.2">
      <c r="G27421" s="889"/>
    </row>
    <row r="27422" spans="7:7" ht="10.5" customHeight="1" x14ac:dyDescent="0.2">
      <c r="G27422" s="889"/>
    </row>
    <row r="27423" spans="7:7" ht="10.5" customHeight="1" x14ac:dyDescent="0.2">
      <c r="G27423" s="889"/>
    </row>
    <row r="27424" spans="7:7" ht="10.5" customHeight="1" x14ac:dyDescent="0.2">
      <c r="G27424" s="889"/>
    </row>
    <row r="27425" spans="7:7" ht="10.5" customHeight="1" x14ac:dyDescent="0.2">
      <c r="G27425" s="889"/>
    </row>
    <row r="27426" spans="7:7" ht="10.5" customHeight="1" x14ac:dyDescent="0.2">
      <c r="G27426" s="889"/>
    </row>
    <row r="27427" spans="7:7" ht="10.5" customHeight="1" x14ac:dyDescent="0.2">
      <c r="G27427" s="889"/>
    </row>
    <row r="27428" spans="7:7" ht="10.5" customHeight="1" x14ac:dyDescent="0.2">
      <c r="G27428" s="889"/>
    </row>
    <row r="27429" spans="7:7" ht="10.5" customHeight="1" x14ac:dyDescent="0.2">
      <c r="G27429" s="889"/>
    </row>
    <row r="27430" spans="7:7" ht="10.5" customHeight="1" x14ac:dyDescent="0.2">
      <c r="G27430" s="889"/>
    </row>
    <row r="27431" spans="7:7" ht="10.5" customHeight="1" x14ac:dyDescent="0.2">
      <c r="G27431" s="889"/>
    </row>
    <row r="27432" spans="7:7" ht="10.5" customHeight="1" x14ac:dyDescent="0.2">
      <c r="G27432" s="889"/>
    </row>
    <row r="27433" spans="7:7" ht="10.5" customHeight="1" x14ac:dyDescent="0.2">
      <c r="G27433" s="889"/>
    </row>
    <row r="27434" spans="7:7" ht="10.5" customHeight="1" x14ac:dyDescent="0.2">
      <c r="G27434" s="889"/>
    </row>
    <row r="27435" spans="7:7" ht="10.5" customHeight="1" x14ac:dyDescent="0.2">
      <c r="G27435" s="889"/>
    </row>
    <row r="27436" spans="7:7" ht="10.5" customHeight="1" x14ac:dyDescent="0.2">
      <c r="G27436" s="889"/>
    </row>
    <row r="27437" spans="7:7" ht="10.5" customHeight="1" x14ac:dyDescent="0.2">
      <c r="G27437" s="889"/>
    </row>
    <row r="27438" spans="7:7" ht="10.5" customHeight="1" x14ac:dyDescent="0.2">
      <c r="G27438" s="889"/>
    </row>
    <row r="27439" spans="7:7" ht="10.5" customHeight="1" x14ac:dyDescent="0.2">
      <c r="G27439" s="889"/>
    </row>
    <row r="27440" spans="7:7" ht="10.5" customHeight="1" x14ac:dyDescent="0.2">
      <c r="G27440" s="889"/>
    </row>
    <row r="27441" spans="7:7" ht="10.5" customHeight="1" x14ac:dyDescent="0.2">
      <c r="G27441" s="889"/>
    </row>
    <row r="27442" spans="7:7" ht="10.5" customHeight="1" x14ac:dyDescent="0.2">
      <c r="G27442" s="889"/>
    </row>
    <row r="27443" spans="7:7" ht="10.5" customHeight="1" x14ac:dyDescent="0.2">
      <c r="G27443" s="889"/>
    </row>
    <row r="27444" spans="7:7" ht="10.5" customHeight="1" x14ac:dyDescent="0.2">
      <c r="G27444" s="889"/>
    </row>
    <row r="27445" spans="7:7" ht="10.5" customHeight="1" x14ac:dyDescent="0.2">
      <c r="G27445" s="889"/>
    </row>
    <row r="27446" spans="7:7" ht="10.5" customHeight="1" x14ac:dyDescent="0.2">
      <c r="G27446" s="889"/>
    </row>
    <row r="27447" spans="7:7" ht="10.5" customHeight="1" x14ac:dyDescent="0.2">
      <c r="G27447" s="889"/>
    </row>
    <row r="27448" spans="7:7" ht="10.5" customHeight="1" x14ac:dyDescent="0.2">
      <c r="G27448" s="889"/>
    </row>
    <row r="27449" spans="7:7" ht="10.5" customHeight="1" x14ac:dyDescent="0.2">
      <c r="G27449" s="889"/>
    </row>
    <row r="27450" spans="7:7" ht="10.5" customHeight="1" x14ac:dyDescent="0.2">
      <c r="G27450" s="889"/>
    </row>
    <row r="27451" spans="7:7" ht="10.5" customHeight="1" x14ac:dyDescent="0.2">
      <c r="G27451" s="889"/>
    </row>
    <row r="27452" spans="7:7" ht="10.5" customHeight="1" x14ac:dyDescent="0.2">
      <c r="G27452" s="889"/>
    </row>
    <row r="27453" spans="7:7" ht="10.5" customHeight="1" x14ac:dyDescent="0.2">
      <c r="G27453" s="889"/>
    </row>
    <row r="27454" spans="7:7" ht="10.5" customHeight="1" x14ac:dyDescent="0.2">
      <c r="G27454" s="889"/>
    </row>
    <row r="27455" spans="7:7" ht="10.5" customHeight="1" x14ac:dyDescent="0.2">
      <c r="G27455" s="889"/>
    </row>
    <row r="27456" spans="7:7" ht="10.5" customHeight="1" x14ac:dyDescent="0.2">
      <c r="G27456" s="889"/>
    </row>
    <row r="27457" spans="7:7" ht="10.5" customHeight="1" x14ac:dyDescent="0.2">
      <c r="G27457" s="889"/>
    </row>
    <row r="27458" spans="7:7" ht="10.5" customHeight="1" x14ac:dyDescent="0.2">
      <c r="G27458" s="889"/>
    </row>
    <row r="27459" spans="7:7" ht="10.5" customHeight="1" x14ac:dyDescent="0.2">
      <c r="G27459" s="889"/>
    </row>
    <row r="27460" spans="7:7" ht="10.5" customHeight="1" x14ac:dyDescent="0.2">
      <c r="G27460" s="889"/>
    </row>
    <row r="27461" spans="7:7" ht="10.5" customHeight="1" x14ac:dyDescent="0.2">
      <c r="G27461" s="889"/>
    </row>
    <row r="27462" spans="7:7" ht="10.5" customHeight="1" x14ac:dyDescent="0.2">
      <c r="G27462" s="889"/>
    </row>
    <row r="27463" spans="7:7" ht="10.5" customHeight="1" x14ac:dyDescent="0.2">
      <c r="G27463" s="889"/>
    </row>
    <row r="27464" spans="7:7" ht="10.5" customHeight="1" x14ac:dyDescent="0.2">
      <c r="G27464" s="889"/>
    </row>
    <row r="27465" spans="7:7" ht="10.5" customHeight="1" x14ac:dyDescent="0.2">
      <c r="G27465" s="889"/>
    </row>
    <row r="27466" spans="7:7" ht="10.5" customHeight="1" x14ac:dyDescent="0.2">
      <c r="G27466" s="889"/>
    </row>
    <row r="27467" spans="7:7" ht="10.5" customHeight="1" x14ac:dyDescent="0.2">
      <c r="G27467" s="889"/>
    </row>
    <row r="27468" spans="7:7" ht="10.5" customHeight="1" x14ac:dyDescent="0.2">
      <c r="G27468" s="889"/>
    </row>
    <row r="27469" spans="7:7" ht="10.5" customHeight="1" x14ac:dyDescent="0.2">
      <c r="G27469" s="889"/>
    </row>
    <row r="27470" spans="7:7" ht="10.5" customHeight="1" x14ac:dyDescent="0.2">
      <c r="G27470" s="889"/>
    </row>
    <row r="27471" spans="7:7" ht="10.5" customHeight="1" x14ac:dyDescent="0.2">
      <c r="G27471" s="889"/>
    </row>
    <row r="27472" spans="7:7" ht="10.5" customHeight="1" x14ac:dyDescent="0.2">
      <c r="G27472" s="889"/>
    </row>
    <row r="27473" spans="7:7" ht="10.5" customHeight="1" x14ac:dyDescent="0.2">
      <c r="G27473" s="889"/>
    </row>
    <row r="27474" spans="7:7" ht="10.5" customHeight="1" x14ac:dyDescent="0.2">
      <c r="G27474" s="889"/>
    </row>
    <row r="27475" spans="7:7" ht="10.5" customHeight="1" x14ac:dyDescent="0.2">
      <c r="G27475" s="889"/>
    </row>
    <row r="27476" spans="7:7" ht="10.5" customHeight="1" x14ac:dyDescent="0.2">
      <c r="G27476" s="889"/>
    </row>
    <row r="27477" spans="7:7" ht="10.5" customHeight="1" x14ac:dyDescent="0.2">
      <c r="G27477" s="889"/>
    </row>
    <row r="27478" spans="7:7" ht="10.5" customHeight="1" x14ac:dyDescent="0.2">
      <c r="G27478" s="889"/>
    </row>
    <row r="27479" spans="7:7" ht="10.5" customHeight="1" x14ac:dyDescent="0.2">
      <c r="G27479" s="889"/>
    </row>
    <row r="27480" spans="7:7" ht="10.5" customHeight="1" x14ac:dyDescent="0.2">
      <c r="G27480" s="889"/>
    </row>
    <row r="27481" spans="7:7" ht="10.5" customHeight="1" x14ac:dyDescent="0.2">
      <c r="G27481" s="889"/>
    </row>
    <row r="27482" spans="7:7" ht="10.5" customHeight="1" x14ac:dyDescent="0.2">
      <c r="G27482" s="889"/>
    </row>
    <row r="27483" spans="7:7" ht="10.5" customHeight="1" x14ac:dyDescent="0.2">
      <c r="G27483" s="889"/>
    </row>
    <row r="27484" spans="7:7" ht="10.5" customHeight="1" x14ac:dyDescent="0.2">
      <c r="G27484" s="889"/>
    </row>
    <row r="27485" spans="7:7" ht="10.5" customHeight="1" x14ac:dyDescent="0.2">
      <c r="G27485" s="889"/>
    </row>
    <row r="27486" spans="7:7" ht="10.5" customHeight="1" x14ac:dyDescent="0.2">
      <c r="G27486" s="889"/>
    </row>
    <row r="27487" spans="7:7" ht="10.5" customHeight="1" x14ac:dyDescent="0.2">
      <c r="G27487" s="889"/>
    </row>
    <row r="27488" spans="7:7" ht="10.5" customHeight="1" x14ac:dyDescent="0.2">
      <c r="G27488" s="889"/>
    </row>
    <row r="27489" spans="7:7" ht="10.5" customHeight="1" x14ac:dyDescent="0.2">
      <c r="G27489" s="889"/>
    </row>
    <row r="27490" spans="7:7" ht="10.5" customHeight="1" x14ac:dyDescent="0.2">
      <c r="G27490" s="889"/>
    </row>
    <row r="27491" spans="7:7" ht="10.5" customHeight="1" x14ac:dyDescent="0.2">
      <c r="G27491" s="889"/>
    </row>
    <row r="27492" spans="7:7" ht="10.5" customHeight="1" x14ac:dyDescent="0.2">
      <c r="G27492" s="889"/>
    </row>
    <row r="27493" spans="7:7" ht="10.5" customHeight="1" x14ac:dyDescent="0.2">
      <c r="G27493" s="889"/>
    </row>
    <row r="27494" spans="7:7" ht="10.5" customHeight="1" x14ac:dyDescent="0.2">
      <c r="G27494" s="889"/>
    </row>
    <row r="27495" spans="7:7" ht="10.5" customHeight="1" x14ac:dyDescent="0.2">
      <c r="G27495" s="889"/>
    </row>
    <row r="27496" spans="7:7" ht="10.5" customHeight="1" x14ac:dyDescent="0.2">
      <c r="G27496" s="889"/>
    </row>
    <row r="27497" spans="7:7" ht="10.5" customHeight="1" x14ac:dyDescent="0.2">
      <c r="G27497" s="889"/>
    </row>
    <row r="27498" spans="7:7" ht="10.5" customHeight="1" x14ac:dyDescent="0.2">
      <c r="G27498" s="889"/>
    </row>
    <row r="27499" spans="7:7" ht="10.5" customHeight="1" x14ac:dyDescent="0.2">
      <c r="G27499" s="889"/>
    </row>
    <row r="27500" spans="7:7" ht="10.5" customHeight="1" x14ac:dyDescent="0.2">
      <c r="G27500" s="889"/>
    </row>
    <row r="27501" spans="7:7" ht="10.5" customHeight="1" x14ac:dyDescent="0.2">
      <c r="G27501" s="889"/>
    </row>
    <row r="27502" spans="7:7" ht="10.5" customHeight="1" x14ac:dyDescent="0.2">
      <c r="G27502" s="889"/>
    </row>
    <row r="27503" spans="7:7" ht="10.5" customHeight="1" x14ac:dyDescent="0.2">
      <c r="G27503" s="889"/>
    </row>
    <row r="27504" spans="7:7" ht="10.5" customHeight="1" x14ac:dyDescent="0.2">
      <c r="G27504" s="889"/>
    </row>
    <row r="27505" spans="7:7" ht="10.5" customHeight="1" x14ac:dyDescent="0.2">
      <c r="G27505" s="889"/>
    </row>
    <row r="27506" spans="7:7" ht="10.5" customHeight="1" x14ac:dyDescent="0.2">
      <c r="G27506" s="889"/>
    </row>
    <row r="27507" spans="7:7" ht="10.5" customHeight="1" x14ac:dyDescent="0.2">
      <c r="G27507" s="889"/>
    </row>
    <row r="27508" spans="7:7" ht="10.5" customHeight="1" x14ac:dyDescent="0.2">
      <c r="G27508" s="889"/>
    </row>
    <row r="27509" spans="7:7" ht="10.5" customHeight="1" x14ac:dyDescent="0.2">
      <c r="G27509" s="889"/>
    </row>
    <row r="27510" spans="7:7" ht="10.5" customHeight="1" x14ac:dyDescent="0.2">
      <c r="G27510" s="889"/>
    </row>
    <row r="27511" spans="7:7" ht="10.5" customHeight="1" x14ac:dyDescent="0.2">
      <c r="G27511" s="889"/>
    </row>
    <row r="27512" spans="7:7" ht="10.5" customHeight="1" x14ac:dyDescent="0.2">
      <c r="G27512" s="889"/>
    </row>
    <row r="27513" spans="7:7" ht="10.5" customHeight="1" x14ac:dyDescent="0.2">
      <c r="G27513" s="889"/>
    </row>
    <row r="27514" spans="7:7" ht="10.5" customHeight="1" x14ac:dyDescent="0.2">
      <c r="G27514" s="889"/>
    </row>
    <row r="27515" spans="7:7" ht="10.5" customHeight="1" x14ac:dyDescent="0.2">
      <c r="G27515" s="889"/>
    </row>
    <row r="27516" spans="7:7" ht="10.5" customHeight="1" x14ac:dyDescent="0.2">
      <c r="G27516" s="889"/>
    </row>
    <row r="27517" spans="7:7" ht="10.5" customHeight="1" x14ac:dyDescent="0.2">
      <c r="G27517" s="889"/>
    </row>
    <row r="27518" spans="7:7" ht="10.5" customHeight="1" x14ac:dyDescent="0.2">
      <c r="G27518" s="889"/>
    </row>
    <row r="27519" spans="7:7" ht="10.5" customHeight="1" x14ac:dyDescent="0.2">
      <c r="G27519" s="889"/>
    </row>
    <row r="27520" spans="7:7" ht="10.5" customHeight="1" x14ac:dyDescent="0.2">
      <c r="G27520" s="889"/>
    </row>
    <row r="27521" spans="7:7" ht="10.5" customHeight="1" x14ac:dyDescent="0.2">
      <c r="G27521" s="889"/>
    </row>
    <row r="27522" spans="7:7" ht="10.5" customHeight="1" x14ac:dyDescent="0.2">
      <c r="G27522" s="889"/>
    </row>
    <row r="27523" spans="7:7" ht="10.5" customHeight="1" x14ac:dyDescent="0.2">
      <c r="G27523" s="889"/>
    </row>
    <row r="27524" spans="7:7" ht="10.5" customHeight="1" x14ac:dyDescent="0.2">
      <c r="G27524" s="889"/>
    </row>
    <row r="27525" spans="7:7" ht="10.5" customHeight="1" x14ac:dyDescent="0.2">
      <c r="G27525" s="889"/>
    </row>
    <row r="27526" spans="7:7" ht="10.5" customHeight="1" x14ac:dyDescent="0.2">
      <c r="G27526" s="889"/>
    </row>
    <row r="27527" spans="7:7" ht="10.5" customHeight="1" x14ac:dyDescent="0.2">
      <c r="G27527" s="889"/>
    </row>
    <row r="27528" spans="7:7" ht="10.5" customHeight="1" x14ac:dyDescent="0.2">
      <c r="G27528" s="889"/>
    </row>
    <row r="27529" spans="7:7" ht="10.5" customHeight="1" x14ac:dyDescent="0.2">
      <c r="G27529" s="889"/>
    </row>
    <row r="27530" spans="7:7" ht="10.5" customHeight="1" x14ac:dyDescent="0.2">
      <c r="G27530" s="889"/>
    </row>
    <row r="27531" spans="7:7" ht="10.5" customHeight="1" x14ac:dyDescent="0.2">
      <c r="G27531" s="889"/>
    </row>
    <row r="27532" spans="7:7" ht="10.5" customHeight="1" x14ac:dyDescent="0.2">
      <c r="G27532" s="889"/>
    </row>
    <row r="27533" spans="7:7" ht="10.5" customHeight="1" x14ac:dyDescent="0.2">
      <c r="G27533" s="889"/>
    </row>
    <row r="27534" spans="7:7" ht="10.5" customHeight="1" x14ac:dyDescent="0.2">
      <c r="G27534" s="889"/>
    </row>
    <row r="27535" spans="7:7" ht="10.5" customHeight="1" x14ac:dyDescent="0.2">
      <c r="G27535" s="889"/>
    </row>
    <row r="27536" spans="7:7" ht="10.5" customHeight="1" x14ac:dyDescent="0.2">
      <c r="G27536" s="889"/>
    </row>
    <row r="27537" spans="7:7" ht="10.5" customHeight="1" x14ac:dyDescent="0.2">
      <c r="G27537" s="889"/>
    </row>
    <row r="27538" spans="7:7" ht="10.5" customHeight="1" x14ac:dyDescent="0.2">
      <c r="G27538" s="889"/>
    </row>
    <row r="27539" spans="7:7" ht="10.5" customHeight="1" x14ac:dyDescent="0.2">
      <c r="G27539" s="889"/>
    </row>
    <row r="27540" spans="7:7" ht="10.5" customHeight="1" x14ac:dyDescent="0.2">
      <c r="G27540" s="889"/>
    </row>
    <row r="27541" spans="7:7" ht="10.5" customHeight="1" x14ac:dyDescent="0.2">
      <c r="G27541" s="889"/>
    </row>
    <row r="27542" spans="7:7" ht="10.5" customHeight="1" x14ac:dyDescent="0.2">
      <c r="G27542" s="889"/>
    </row>
    <row r="27543" spans="7:7" ht="10.5" customHeight="1" x14ac:dyDescent="0.2">
      <c r="G27543" s="889"/>
    </row>
    <row r="27544" spans="7:7" ht="10.5" customHeight="1" x14ac:dyDescent="0.2">
      <c r="G27544" s="889"/>
    </row>
    <row r="27545" spans="7:7" ht="10.5" customHeight="1" x14ac:dyDescent="0.2">
      <c r="G27545" s="889"/>
    </row>
    <row r="27546" spans="7:7" ht="10.5" customHeight="1" x14ac:dyDescent="0.2">
      <c r="G27546" s="889"/>
    </row>
    <row r="27547" spans="7:7" ht="10.5" customHeight="1" x14ac:dyDescent="0.2">
      <c r="G27547" s="889"/>
    </row>
    <row r="27548" spans="7:7" ht="10.5" customHeight="1" x14ac:dyDescent="0.2">
      <c r="G27548" s="889"/>
    </row>
    <row r="27549" spans="7:7" ht="10.5" customHeight="1" x14ac:dyDescent="0.2">
      <c r="G27549" s="889"/>
    </row>
    <row r="27550" spans="7:7" ht="10.5" customHeight="1" x14ac:dyDescent="0.2">
      <c r="G27550" s="889"/>
    </row>
    <row r="27551" spans="7:7" ht="10.5" customHeight="1" x14ac:dyDescent="0.2">
      <c r="G27551" s="889"/>
    </row>
    <row r="27552" spans="7:7" ht="10.5" customHeight="1" x14ac:dyDescent="0.2">
      <c r="G27552" s="889"/>
    </row>
    <row r="27553" spans="7:7" ht="10.5" customHeight="1" x14ac:dyDescent="0.2">
      <c r="G27553" s="889"/>
    </row>
    <row r="27554" spans="7:7" ht="10.5" customHeight="1" x14ac:dyDescent="0.2">
      <c r="G27554" s="889"/>
    </row>
    <row r="27555" spans="7:7" ht="10.5" customHeight="1" x14ac:dyDescent="0.2">
      <c r="G27555" s="889"/>
    </row>
    <row r="27556" spans="7:7" ht="10.5" customHeight="1" x14ac:dyDescent="0.2">
      <c r="G27556" s="889"/>
    </row>
    <row r="27557" spans="7:7" ht="10.5" customHeight="1" x14ac:dyDescent="0.2">
      <c r="G27557" s="889"/>
    </row>
    <row r="27558" spans="7:7" ht="10.5" customHeight="1" x14ac:dyDescent="0.2">
      <c r="G27558" s="889"/>
    </row>
    <row r="27559" spans="7:7" ht="10.5" customHeight="1" x14ac:dyDescent="0.2">
      <c r="G27559" s="889"/>
    </row>
    <row r="27560" spans="7:7" ht="10.5" customHeight="1" x14ac:dyDescent="0.2">
      <c r="G27560" s="889"/>
    </row>
    <row r="27561" spans="7:7" ht="10.5" customHeight="1" x14ac:dyDescent="0.2">
      <c r="G27561" s="889"/>
    </row>
    <row r="27562" spans="7:7" ht="10.5" customHeight="1" x14ac:dyDescent="0.2">
      <c r="G27562" s="889"/>
    </row>
    <row r="27563" spans="7:7" ht="10.5" customHeight="1" x14ac:dyDescent="0.2">
      <c r="G27563" s="889"/>
    </row>
    <row r="27564" spans="7:7" ht="10.5" customHeight="1" x14ac:dyDescent="0.2">
      <c r="G27564" s="889"/>
    </row>
    <row r="27565" spans="7:7" ht="10.5" customHeight="1" x14ac:dyDescent="0.2">
      <c r="G27565" s="889"/>
    </row>
    <row r="27566" spans="7:7" ht="10.5" customHeight="1" x14ac:dyDescent="0.2">
      <c r="G27566" s="889"/>
    </row>
    <row r="27567" spans="7:7" ht="10.5" customHeight="1" x14ac:dyDescent="0.2">
      <c r="G27567" s="889"/>
    </row>
    <row r="27568" spans="7:7" ht="10.5" customHeight="1" x14ac:dyDescent="0.2">
      <c r="G27568" s="889"/>
    </row>
    <row r="27569" spans="7:7" ht="10.5" customHeight="1" x14ac:dyDescent="0.2">
      <c r="G27569" s="889"/>
    </row>
    <row r="27570" spans="7:7" ht="10.5" customHeight="1" x14ac:dyDescent="0.2">
      <c r="G27570" s="889"/>
    </row>
    <row r="27571" spans="7:7" ht="10.5" customHeight="1" x14ac:dyDescent="0.2">
      <c r="G27571" s="889"/>
    </row>
    <row r="27572" spans="7:7" ht="10.5" customHeight="1" x14ac:dyDescent="0.2">
      <c r="G27572" s="889"/>
    </row>
    <row r="27573" spans="7:7" ht="10.5" customHeight="1" x14ac:dyDescent="0.2">
      <c r="G27573" s="889"/>
    </row>
    <row r="27574" spans="7:7" ht="10.5" customHeight="1" x14ac:dyDescent="0.2">
      <c r="G27574" s="889"/>
    </row>
    <row r="27575" spans="7:7" ht="10.5" customHeight="1" x14ac:dyDescent="0.2">
      <c r="G27575" s="889"/>
    </row>
    <row r="27576" spans="7:7" ht="10.5" customHeight="1" x14ac:dyDescent="0.2">
      <c r="G27576" s="889"/>
    </row>
    <row r="27577" spans="7:7" ht="10.5" customHeight="1" x14ac:dyDescent="0.2">
      <c r="G27577" s="889"/>
    </row>
    <row r="27578" spans="7:7" ht="10.5" customHeight="1" x14ac:dyDescent="0.2">
      <c r="G27578" s="889"/>
    </row>
    <row r="27579" spans="7:7" ht="10.5" customHeight="1" x14ac:dyDescent="0.2">
      <c r="G27579" s="889"/>
    </row>
    <row r="27580" spans="7:7" ht="10.5" customHeight="1" x14ac:dyDescent="0.2">
      <c r="G27580" s="889"/>
    </row>
    <row r="27581" spans="7:7" ht="10.5" customHeight="1" x14ac:dyDescent="0.2">
      <c r="G27581" s="889"/>
    </row>
    <row r="27582" spans="7:7" ht="10.5" customHeight="1" x14ac:dyDescent="0.2">
      <c r="G27582" s="889"/>
    </row>
    <row r="27583" spans="7:7" ht="10.5" customHeight="1" x14ac:dyDescent="0.2">
      <c r="G27583" s="889"/>
    </row>
    <row r="27584" spans="7:7" ht="10.5" customHeight="1" x14ac:dyDescent="0.2">
      <c r="G27584" s="889"/>
    </row>
    <row r="27585" spans="7:7" ht="10.5" customHeight="1" x14ac:dyDescent="0.2">
      <c r="G27585" s="889"/>
    </row>
    <row r="27586" spans="7:7" ht="10.5" customHeight="1" x14ac:dyDescent="0.2">
      <c r="G27586" s="889"/>
    </row>
    <row r="27587" spans="7:7" ht="10.5" customHeight="1" x14ac:dyDescent="0.2">
      <c r="G27587" s="889"/>
    </row>
    <row r="27588" spans="7:7" ht="10.5" customHeight="1" x14ac:dyDescent="0.2">
      <c r="G27588" s="889"/>
    </row>
    <row r="27589" spans="7:7" ht="10.5" customHeight="1" x14ac:dyDescent="0.2">
      <c r="G27589" s="889"/>
    </row>
    <row r="27590" spans="7:7" ht="10.5" customHeight="1" x14ac:dyDescent="0.2">
      <c r="G27590" s="889"/>
    </row>
    <row r="27591" spans="7:7" ht="10.5" customHeight="1" x14ac:dyDescent="0.2">
      <c r="G27591" s="889"/>
    </row>
    <row r="27592" spans="7:7" ht="10.5" customHeight="1" x14ac:dyDescent="0.2">
      <c r="G27592" s="889"/>
    </row>
    <row r="27593" spans="7:7" ht="10.5" customHeight="1" x14ac:dyDescent="0.2">
      <c r="G27593" s="889"/>
    </row>
    <row r="27594" spans="7:7" ht="10.5" customHeight="1" x14ac:dyDescent="0.2">
      <c r="G27594" s="889"/>
    </row>
    <row r="27595" spans="7:7" ht="10.5" customHeight="1" x14ac:dyDescent="0.2">
      <c r="G27595" s="889"/>
    </row>
    <row r="27596" spans="7:7" ht="10.5" customHeight="1" x14ac:dyDescent="0.2">
      <c r="G27596" s="889"/>
    </row>
    <row r="27597" spans="7:7" ht="10.5" customHeight="1" x14ac:dyDescent="0.2">
      <c r="G27597" s="889"/>
    </row>
    <row r="27598" spans="7:7" ht="10.5" customHeight="1" x14ac:dyDescent="0.2">
      <c r="G27598" s="889"/>
    </row>
    <row r="27599" spans="7:7" ht="10.5" customHeight="1" x14ac:dyDescent="0.2">
      <c r="G27599" s="889"/>
    </row>
    <row r="27600" spans="7:7" ht="10.5" customHeight="1" x14ac:dyDescent="0.2">
      <c r="G27600" s="889"/>
    </row>
    <row r="27601" spans="7:7" ht="10.5" customHeight="1" x14ac:dyDescent="0.2">
      <c r="G27601" s="889"/>
    </row>
    <row r="27602" spans="7:7" ht="10.5" customHeight="1" x14ac:dyDescent="0.2">
      <c r="G27602" s="889"/>
    </row>
    <row r="27603" spans="7:7" ht="10.5" customHeight="1" x14ac:dyDescent="0.2">
      <c r="G27603" s="889"/>
    </row>
    <row r="27604" spans="7:7" ht="10.5" customHeight="1" x14ac:dyDescent="0.2">
      <c r="G27604" s="889"/>
    </row>
    <row r="27605" spans="7:7" ht="10.5" customHeight="1" x14ac:dyDescent="0.2">
      <c r="G27605" s="889"/>
    </row>
    <row r="27606" spans="7:7" ht="10.5" customHeight="1" x14ac:dyDescent="0.2">
      <c r="G27606" s="889"/>
    </row>
    <row r="27607" spans="7:7" ht="10.5" customHeight="1" x14ac:dyDescent="0.2">
      <c r="G27607" s="889"/>
    </row>
    <row r="27608" spans="7:7" ht="10.5" customHeight="1" x14ac:dyDescent="0.2">
      <c r="G27608" s="889"/>
    </row>
    <row r="27609" spans="7:7" ht="10.5" customHeight="1" x14ac:dyDescent="0.2">
      <c r="G27609" s="889"/>
    </row>
    <row r="27610" spans="7:7" ht="10.5" customHeight="1" x14ac:dyDescent="0.2">
      <c r="G27610" s="889"/>
    </row>
    <row r="27611" spans="7:7" ht="10.5" customHeight="1" x14ac:dyDescent="0.2">
      <c r="G27611" s="889"/>
    </row>
    <row r="27612" spans="7:7" ht="10.5" customHeight="1" x14ac:dyDescent="0.2">
      <c r="G27612" s="889"/>
    </row>
    <row r="27613" spans="7:7" ht="10.5" customHeight="1" x14ac:dyDescent="0.2">
      <c r="G27613" s="889"/>
    </row>
    <row r="27614" spans="7:7" ht="10.5" customHeight="1" x14ac:dyDescent="0.2">
      <c r="G27614" s="889"/>
    </row>
    <row r="27615" spans="7:7" ht="10.5" customHeight="1" x14ac:dyDescent="0.2">
      <c r="G27615" s="889"/>
    </row>
    <row r="27616" spans="7:7" ht="10.5" customHeight="1" x14ac:dyDescent="0.2">
      <c r="G27616" s="889"/>
    </row>
    <row r="27617" spans="7:7" ht="10.5" customHeight="1" x14ac:dyDescent="0.2">
      <c r="G27617" s="889"/>
    </row>
    <row r="27618" spans="7:7" ht="10.5" customHeight="1" x14ac:dyDescent="0.2">
      <c r="G27618" s="889"/>
    </row>
    <row r="27619" spans="7:7" ht="10.5" customHeight="1" x14ac:dyDescent="0.2">
      <c r="G27619" s="889"/>
    </row>
    <row r="27620" spans="7:7" ht="10.5" customHeight="1" x14ac:dyDescent="0.2">
      <c r="G27620" s="889"/>
    </row>
    <row r="27621" spans="7:7" ht="10.5" customHeight="1" x14ac:dyDescent="0.2">
      <c r="G27621" s="889"/>
    </row>
    <row r="27622" spans="7:7" ht="10.5" customHeight="1" x14ac:dyDescent="0.2">
      <c r="G27622" s="889"/>
    </row>
    <row r="27623" spans="7:7" ht="10.5" customHeight="1" x14ac:dyDescent="0.2">
      <c r="G27623" s="889"/>
    </row>
    <row r="27624" spans="7:7" ht="10.5" customHeight="1" x14ac:dyDescent="0.2">
      <c r="G27624" s="889"/>
    </row>
    <row r="27625" spans="7:7" ht="10.5" customHeight="1" x14ac:dyDescent="0.2">
      <c r="G27625" s="889"/>
    </row>
    <row r="27626" spans="7:7" ht="10.5" customHeight="1" x14ac:dyDescent="0.2">
      <c r="G27626" s="889"/>
    </row>
    <row r="27627" spans="7:7" ht="10.5" customHeight="1" x14ac:dyDescent="0.2">
      <c r="G27627" s="889"/>
    </row>
    <row r="27628" spans="7:7" ht="10.5" customHeight="1" x14ac:dyDescent="0.2">
      <c r="G27628" s="889"/>
    </row>
    <row r="27629" spans="7:7" ht="10.5" customHeight="1" x14ac:dyDescent="0.2">
      <c r="G27629" s="889"/>
    </row>
    <row r="27630" spans="7:7" ht="10.5" customHeight="1" x14ac:dyDescent="0.2">
      <c r="G27630" s="889"/>
    </row>
    <row r="27631" spans="7:7" ht="10.5" customHeight="1" x14ac:dyDescent="0.2">
      <c r="G27631" s="889"/>
    </row>
    <row r="27632" spans="7:7" ht="10.5" customHeight="1" x14ac:dyDescent="0.2">
      <c r="G27632" s="889"/>
    </row>
    <row r="27633" spans="7:7" ht="10.5" customHeight="1" x14ac:dyDescent="0.2">
      <c r="G27633" s="889"/>
    </row>
    <row r="27634" spans="7:7" ht="10.5" customHeight="1" x14ac:dyDescent="0.2">
      <c r="G27634" s="889"/>
    </row>
    <row r="27635" spans="7:7" ht="10.5" customHeight="1" x14ac:dyDescent="0.2">
      <c r="G27635" s="889"/>
    </row>
    <row r="27636" spans="7:7" ht="10.5" customHeight="1" x14ac:dyDescent="0.2">
      <c r="G27636" s="889"/>
    </row>
    <row r="27637" spans="7:7" ht="10.5" customHeight="1" x14ac:dyDescent="0.2">
      <c r="G27637" s="889"/>
    </row>
    <row r="27638" spans="7:7" ht="10.5" customHeight="1" x14ac:dyDescent="0.2">
      <c r="G27638" s="889"/>
    </row>
    <row r="27639" spans="7:7" ht="10.5" customHeight="1" x14ac:dyDescent="0.2">
      <c r="G27639" s="889"/>
    </row>
    <row r="27640" spans="7:7" ht="10.5" customHeight="1" x14ac:dyDescent="0.2">
      <c r="G27640" s="889"/>
    </row>
    <row r="27641" spans="7:7" ht="10.5" customHeight="1" x14ac:dyDescent="0.2">
      <c r="G27641" s="889"/>
    </row>
    <row r="27642" spans="7:7" ht="10.5" customHeight="1" x14ac:dyDescent="0.2">
      <c r="G27642" s="889"/>
    </row>
    <row r="27643" spans="7:7" ht="10.5" customHeight="1" x14ac:dyDescent="0.2">
      <c r="G27643" s="889"/>
    </row>
    <row r="27644" spans="7:7" ht="10.5" customHeight="1" x14ac:dyDescent="0.2">
      <c r="G27644" s="889"/>
    </row>
    <row r="27645" spans="7:7" ht="10.5" customHeight="1" x14ac:dyDescent="0.2">
      <c r="G27645" s="889"/>
    </row>
    <row r="27646" spans="7:7" ht="10.5" customHeight="1" x14ac:dyDescent="0.2">
      <c r="G27646" s="889"/>
    </row>
    <row r="27647" spans="7:7" ht="10.5" customHeight="1" x14ac:dyDescent="0.2">
      <c r="G27647" s="889"/>
    </row>
    <row r="27648" spans="7:7" ht="10.5" customHeight="1" x14ac:dyDescent="0.2">
      <c r="G27648" s="889"/>
    </row>
    <row r="27649" spans="7:7" ht="10.5" customHeight="1" x14ac:dyDescent="0.2">
      <c r="G27649" s="889"/>
    </row>
    <row r="27650" spans="7:7" ht="10.5" customHeight="1" x14ac:dyDescent="0.2">
      <c r="G27650" s="889"/>
    </row>
    <row r="27651" spans="7:7" ht="10.5" customHeight="1" x14ac:dyDescent="0.2">
      <c r="G27651" s="889"/>
    </row>
    <row r="27652" spans="7:7" ht="10.5" customHeight="1" x14ac:dyDescent="0.2">
      <c r="G27652" s="889"/>
    </row>
    <row r="27653" spans="7:7" ht="10.5" customHeight="1" x14ac:dyDescent="0.2">
      <c r="G27653" s="889"/>
    </row>
    <row r="27654" spans="7:7" ht="10.5" customHeight="1" x14ac:dyDescent="0.2">
      <c r="G27654" s="889"/>
    </row>
    <row r="27655" spans="7:7" ht="10.5" customHeight="1" x14ac:dyDescent="0.2">
      <c r="G27655" s="889"/>
    </row>
    <row r="27656" spans="7:7" ht="10.5" customHeight="1" x14ac:dyDescent="0.2">
      <c r="G27656" s="889"/>
    </row>
    <row r="27657" spans="7:7" ht="10.5" customHeight="1" x14ac:dyDescent="0.2">
      <c r="G27657" s="889"/>
    </row>
    <row r="27658" spans="7:7" ht="10.5" customHeight="1" x14ac:dyDescent="0.2">
      <c r="G27658" s="889"/>
    </row>
    <row r="27659" spans="7:7" ht="10.5" customHeight="1" x14ac:dyDescent="0.2">
      <c r="G27659" s="889"/>
    </row>
    <row r="27660" spans="7:7" ht="10.5" customHeight="1" x14ac:dyDescent="0.2">
      <c r="G27660" s="889"/>
    </row>
    <row r="27661" spans="7:7" ht="10.5" customHeight="1" x14ac:dyDescent="0.2">
      <c r="G27661" s="889"/>
    </row>
    <row r="27662" spans="7:7" ht="10.5" customHeight="1" x14ac:dyDescent="0.2">
      <c r="G27662" s="889"/>
    </row>
    <row r="27663" spans="7:7" ht="10.5" customHeight="1" x14ac:dyDescent="0.2">
      <c r="G27663" s="889"/>
    </row>
    <row r="27664" spans="7:7" ht="10.5" customHeight="1" x14ac:dyDescent="0.2">
      <c r="G27664" s="889"/>
    </row>
    <row r="27665" spans="7:7" ht="10.5" customHeight="1" x14ac:dyDescent="0.2">
      <c r="G27665" s="889"/>
    </row>
    <row r="27666" spans="7:7" ht="10.5" customHeight="1" x14ac:dyDescent="0.2">
      <c r="G27666" s="889"/>
    </row>
    <row r="27667" spans="7:7" ht="10.5" customHeight="1" x14ac:dyDescent="0.2">
      <c r="G27667" s="889"/>
    </row>
    <row r="27668" spans="7:7" ht="10.5" customHeight="1" x14ac:dyDescent="0.2">
      <c r="G27668" s="889"/>
    </row>
    <row r="27669" spans="7:7" ht="10.5" customHeight="1" x14ac:dyDescent="0.2">
      <c r="G27669" s="889"/>
    </row>
    <row r="27670" spans="7:7" ht="10.5" customHeight="1" x14ac:dyDescent="0.2">
      <c r="G27670" s="889"/>
    </row>
    <row r="27671" spans="7:7" ht="10.5" customHeight="1" x14ac:dyDescent="0.2">
      <c r="G27671" s="889"/>
    </row>
    <row r="27672" spans="7:7" ht="10.5" customHeight="1" x14ac:dyDescent="0.2">
      <c r="G27672" s="889"/>
    </row>
    <row r="27673" spans="7:7" ht="10.5" customHeight="1" x14ac:dyDescent="0.2">
      <c r="G27673" s="889"/>
    </row>
    <row r="27674" spans="7:7" ht="10.5" customHeight="1" x14ac:dyDescent="0.2">
      <c r="G27674" s="889"/>
    </row>
    <row r="27675" spans="7:7" ht="10.5" customHeight="1" x14ac:dyDescent="0.2">
      <c r="G27675" s="889"/>
    </row>
    <row r="27676" spans="7:7" ht="10.5" customHeight="1" x14ac:dyDescent="0.2">
      <c r="G27676" s="889"/>
    </row>
    <row r="27677" spans="7:7" ht="10.5" customHeight="1" x14ac:dyDescent="0.2">
      <c r="G27677" s="889"/>
    </row>
    <row r="27678" spans="7:7" ht="10.5" customHeight="1" x14ac:dyDescent="0.2">
      <c r="G27678" s="889"/>
    </row>
    <row r="27679" spans="7:7" ht="10.5" customHeight="1" x14ac:dyDescent="0.2">
      <c r="G27679" s="889"/>
    </row>
    <row r="27680" spans="7:7" ht="10.5" customHeight="1" x14ac:dyDescent="0.2">
      <c r="G27680" s="889"/>
    </row>
    <row r="27681" spans="7:7" ht="10.5" customHeight="1" x14ac:dyDescent="0.2">
      <c r="G27681" s="889"/>
    </row>
    <row r="27682" spans="7:7" ht="10.5" customHeight="1" x14ac:dyDescent="0.2">
      <c r="G27682" s="889"/>
    </row>
    <row r="27683" spans="7:7" ht="10.5" customHeight="1" x14ac:dyDescent="0.2">
      <c r="G27683" s="889"/>
    </row>
    <row r="27684" spans="7:7" ht="10.5" customHeight="1" x14ac:dyDescent="0.2">
      <c r="G27684" s="889"/>
    </row>
    <row r="27685" spans="7:7" ht="10.5" customHeight="1" x14ac:dyDescent="0.2">
      <c r="G27685" s="889"/>
    </row>
    <row r="27686" spans="7:7" ht="10.5" customHeight="1" x14ac:dyDescent="0.2">
      <c r="G27686" s="889"/>
    </row>
    <row r="27687" spans="7:7" ht="10.5" customHeight="1" x14ac:dyDescent="0.2">
      <c r="G27687" s="889"/>
    </row>
    <row r="27688" spans="7:7" ht="10.5" customHeight="1" x14ac:dyDescent="0.2">
      <c r="G27688" s="889"/>
    </row>
    <row r="27689" spans="7:7" ht="10.5" customHeight="1" x14ac:dyDescent="0.2">
      <c r="G27689" s="889"/>
    </row>
    <row r="27690" spans="7:7" ht="10.5" customHeight="1" x14ac:dyDescent="0.2">
      <c r="G27690" s="889"/>
    </row>
    <row r="27691" spans="7:7" ht="10.5" customHeight="1" x14ac:dyDescent="0.2">
      <c r="G27691" s="889"/>
    </row>
    <row r="27692" spans="7:7" ht="10.5" customHeight="1" x14ac:dyDescent="0.2">
      <c r="G27692" s="889"/>
    </row>
    <row r="27693" spans="7:7" ht="10.5" customHeight="1" x14ac:dyDescent="0.2">
      <c r="G27693" s="889"/>
    </row>
    <row r="27694" spans="7:7" ht="10.5" customHeight="1" x14ac:dyDescent="0.2">
      <c r="G27694" s="889"/>
    </row>
    <row r="27695" spans="7:7" ht="10.5" customHeight="1" x14ac:dyDescent="0.2">
      <c r="G27695" s="889"/>
    </row>
    <row r="27696" spans="7:7" ht="10.5" customHeight="1" x14ac:dyDescent="0.2">
      <c r="G27696" s="889"/>
    </row>
    <row r="27697" spans="7:7" ht="10.5" customHeight="1" x14ac:dyDescent="0.2">
      <c r="G27697" s="889"/>
    </row>
    <row r="27698" spans="7:7" ht="10.5" customHeight="1" x14ac:dyDescent="0.2">
      <c r="G27698" s="889"/>
    </row>
    <row r="27699" spans="7:7" ht="10.5" customHeight="1" x14ac:dyDescent="0.2">
      <c r="G27699" s="889"/>
    </row>
    <row r="27700" spans="7:7" ht="10.5" customHeight="1" x14ac:dyDescent="0.2">
      <c r="G27700" s="889"/>
    </row>
    <row r="27701" spans="7:7" ht="10.5" customHeight="1" x14ac:dyDescent="0.2">
      <c r="G27701" s="889"/>
    </row>
    <row r="27702" spans="7:7" ht="10.5" customHeight="1" x14ac:dyDescent="0.2">
      <c r="G27702" s="889"/>
    </row>
    <row r="27703" spans="7:7" ht="10.5" customHeight="1" x14ac:dyDescent="0.2">
      <c r="G27703" s="889"/>
    </row>
    <row r="27704" spans="7:7" ht="10.5" customHeight="1" x14ac:dyDescent="0.2">
      <c r="G27704" s="889"/>
    </row>
    <row r="27705" spans="7:7" ht="10.5" customHeight="1" x14ac:dyDescent="0.2">
      <c r="G27705" s="889"/>
    </row>
    <row r="27706" spans="7:7" ht="10.5" customHeight="1" x14ac:dyDescent="0.2">
      <c r="G27706" s="889"/>
    </row>
    <row r="27707" spans="7:7" ht="10.5" customHeight="1" x14ac:dyDescent="0.2">
      <c r="G27707" s="889"/>
    </row>
    <row r="27708" spans="7:7" ht="10.5" customHeight="1" x14ac:dyDescent="0.2">
      <c r="G27708" s="889"/>
    </row>
    <row r="27709" spans="7:7" ht="10.5" customHeight="1" x14ac:dyDescent="0.2">
      <c r="G27709" s="889"/>
    </row>
    <row r="27710" spans="7:7" ht="10.5" customHeight="1" x14ac:dyDescent="0.2">
      <c r="G27710" s="889"/>
    </row>
    <row r="27711" spans="7:7" ht="10.5" customHeight="1" x14ac:dyDescent="0.2">
      <c r="G27711" s="889"/>
    </row>
    <row r="27712" spans="7:7" ht="10.5" customHeight="1" x14ac:dyDescent="0.2">
      <c r="G27712" s="889"/>
    </row>
    <row r="27713" spans="7:7" ht="10.5" customHeight="1" x14ac:dyDescent="0.2">
      <c r="G27713" s="889"/>
    </row>
    <row r="27714" spans="7:7" ht="10.5" customHeight="1" x14ac:dyDescent="0.2">
      <c r="G27714" s="889"/>
    </row>
    <row r="27715" spans="7:7" ht="10.5" customHeight="1" x14ac:dyDescent="0.2">
      <c r="G27715" s="889"/>
    </row>
    <row r="27716" spans="7:7" ht="10.5" customHeight="1" x14ac:dyDescent="0.2">
      <c r="G27716" s="889"/>
    </row>
    <row r="27717" spans="7:7" ht="10.5" customHeight="1" x14ac:dyDescent="0.2">
      <c r="G27717" s="889"/>
    </row>
    <row r="27718" spans="7:7" ht="10.5" customHeight="1" x14ac:dyDescent="0.2">
      <c r="G27718" s="889"/>
    </row>
    <row r="27719" spans="7:7" ht="10.5" customHeight="1" x14ac:dyDescent="0.2">
      <c r="G27719" s="889"/>
    </row>
    <row r="27720" spans="7:7" ht="10.5" customHeight="1" x14ac:dyDescent="0.2">
      <c r="G27720" s="889"/>
    </row>
    <row r="27721" spans="7:7" ht="10.5" customHeight="1" x14ac:dyDescent="0.2">
      <c r="G27721" s="889"/>
    </row>
    <row r="27722" spans="7:7" ht="10.5" customHeight="1" x14ac:dyDescent="0.2">
      <c r="G27722" s="889"/>
    </row>
    <row r="27723" spans="7:7" ht="10.5" customHeight="1" x14ac:dyDescent="0.2">
      <c r="G27723" s="889"/>
    </row>
    <row r="27724" spans="7:7" ht="10.5" customHeight="1" x14ac:dyDescent="0.2">
      <c r="G27724" s="889"/>
    </row>
    <row r="27725" spans="7:7" ht="10.5" customHeight="1" x14ac:dyDescent="0.2">
      <c r="G27725" s="889"/>
    </row>
    <row r="27726" spans="7:7" ht="10.5" customHeight="1" x14ac:dyDescent="0.2">
      <c r="G27726" s="889"/>
    </row>
    <row r="27727" spans="7:7" ht="10.5" customHeight="1" x14ac:dyDescent="0.2">
      <c r="G27727" s="889"/>
    </row>
    <row r="27728" spans="7:7" ht="10.5" customHeight="1" x14ac:dyDescent="0.2">
      <c r="G27728" s="889"/>
    </row>
    <row r="27729" spans="7:7" ht="10.5" customHeight="1" x14ac:dyDescent="0.2">
      <c r="G27729" s="889"/>
    </row>
    <row r="27730" spans="7:7" ht="10.5" customHeight="1" x14ac:dyDescent="0.2">
      <c r="G27730" s="889"/>
    </row>
    <row r="27731" spans="7:7" ht="10.5" customHeight="1" x14ac:dyDescent="0.2">
      <c r="G27731" s="889"/>
    </row>
    <row r="27732" spans="7:7" ht="10.5" customHeight="1" x14ac:dyDescent="0.2">
      <c r="G27732" s="889"/>
    </row>
    <row r="27733" spans="7:7" ht="10.5" customHeight="1" x14ac:dyDescent="0.2">
      <c r="G27733" s="889"/>
    </row>
    <row r="27734" spans="7:7" ht="10.5" customHeight="1" x14ac:dyDescent="0.2">
      <c r="G27734" s="889"/>
    </row>
    <row r="27735" spans="7:7" ht="10.5" customHeight="1" x14ac:dyDescent="0.2">
      <c r="G27735" s="889"/>
    </row>
    <row r="27736" spans="7:7" ht="10.5" customHeight="1" x14ac:dyDescent="0.2">
      <c r="G27736" s="889"/>
    </row>
    <row r="27737" spans="7:7" ht="10.5" customHeight="1" x14ac:dyDescent="0.2">
      <c r="G27737" s="889"/>
    </row>
    <row r="27738" spans="7:7" ht="10.5" customHeight="1" x14ac:dyDescent="0.2">
      <c r="G27738" s="889"/>
    </row>
    <row r="27739" spans="7:7" ht="10.5" customHeight="1" x14ac:dyDescent="0.2">
      <c r="G27739" s="889"/>
    </row>
    <row r="27740" spans="7:7" ht="10.5" customHeight="1" x14ac:dyDescent="0.2">
      <c r="G27740" s="889"/>
    </row>
    <row r="27741" spans="7:7" ht="10.5" customHeight="1" x14ac:dyDescent="0.2">
      <c r="G27741" s="889"/>
    </row>
    <row r="27742" spans="7:7" ht="10.5" customHeight="1" x14ac:dyDescent="0.2">
      <c r="G27742" s="889"/>
    </row>
    <row r="27743" spans="7:7" ht="10.5" customHeight="1" x14ac:dyDescent="0.2">
      <c r="G27743" s="889"/>
    </row>
    <row r="27744" spans="7:7" ht="10.5" customHeight="1" x14ac:dyDescent="0.2">
      <c r="G27744" s="889"/>
    </row>
    <row r="27745" spans="7:7" ht="10.5" customHeight="1" x14ac:dyDescent="0.2">
      <c r="G27745" s="889"/>
    </row>
    <row r="27746" spans="7:7" ht="10.5" customHeight="1" x14ac:dyDescent="0.2">
      <c r="G27746" s="889"/>
    </row>
    <row r="27747" spans="7:7" ht="10.5" customHeight="1" x14ac:dyDescent="0.2">
      <c r="G27747" s="889"/>
    </row>
    <row r="27748" spans="7:7" ht="10.5" customHeight="1" x14ac:dyDescent="0.2">
      <c r="G27748" s="889"/>
    </row>
    <row r="27749" spans="7:7" ht="10.5" customHeight="1" x14ac:dyDescent="0.2">
      <c r="G27749" s="889"/>
    </row>
    <row r="27750" spans="7:7" ht="10.5" customHeight="1" x14ac:dyDescent="0.2">
      <c r="G27750" s="889"/>
    </row>
    <row r="27751" spans="7:7" ht="10.5" customHeight="1" x14ac:dyDescent="0.2">
      <c r="G27751" s="889"/>
    </row>
    <row r="27752" spans="7:7" ht="10.5" customHeight="1" x14ac:dyDescent="0.2">
      <c r="G27752" s="889"/>
    </row>
    <row r="27753" spans="7:7" ht="10.5" customHeight="1" x14ac:dyDescent="0.2">
      <c r="G27753" s="889"/>
    </row>
    <row r="27754" spans="7:7" ht="10.5" customHeight="1" x14ac:dyDescent="0.2">
      <c r="G27754" s="889"/>
    </row>
    <row r="27755" spans="7:7" ht="10.5" customHeight="1" x14ac:dyDescent="0.2">
      <c r="G27755" s="889"/>
    </row>
    <row r="27756" spans="7:7" ht="10.5" customHeight="1" x14ac:dyDescent="0.2">
      <c r="G27756" s="889"/>
    </row>
    <row r="27757" spans="7:7" ht="10.5" customHeight="1" x14ac:dyDescent="0.2">
      <c r="G27757" s="889"/>
    </row>
    <row r="27758" spans="7:7" ht="10.5" customHeight="1" x14ac:dyDescent="0.2">
      <c r="G27758" s="889"/>
    </row>
    <row r="27759" spans="7:7" ht="10.5" customHeight="1" x14ac:dyDescent="0.2">
      <c r="G27759" s="889"/>
    </row>
    <row r="27760" spans="7:7" ht="10.5" customHeight="1" x14ac:dyDescent="0.2">
      <c r="G27760" s="889"/>
    </row>
    <row r="27761" spans="7:7" ht="10.5" customHeight="1" x14ac:dyDescent="0.2">
      <c r="G27761" s="889"/>
    </row>
    <row r="27762" spans="7:7" ht="10.5" customHeight="1" x14ac:dyDescent="0.2">
      <c r="G27762" s="889"/>
    </row>
    <row r="27763" spans="7:7" ht="10.5" customHeight="1" x14ac:dyDescent="0.2">
      <c r="G27763" s="889"/>
    </row>
    <row r="27764" spans="7:7" ht="10.5" customHeight="1" x14ac:dyDescent="0.2">
      <c r="G27764" s="889"/>
    </row>
    <row r="27765" spans="7:7" ht="10.5" customHeight="1" x14ac:dyDescent="0.2">
      <c r="G27765" s="889"/>
    </row>
    <row r="27766" spans="7:7" ht="10.5" customHeight="1" x14ac:dyDescent="0.2">
      <c r="G27766" s="889"/>
    </row>
    <row r="27767" spans="7:7" ht="10.5" customHeight="1" x14ac:dyDescent="0.2">
      <c r="G27767" s="889"/>
    </row>
    <row r="27768" spans="7:7" ht="10.5" customHeight="1" x14ac:dyDescent="0.2">
      <c r="G27768" s="889"/>
    </row>
    <row r="27769" spans="7:7" ht="10.5" customHeight="1" x14ac:dyDescent="0.2">
      <c r="G27769" s="889"/>
    </row>
    <row r="27770" spans="7:7" ht="10.5" customHeight="1" x14ac:dyDescent="0.2">
      <c r="G27770" s="889"/>
    </row>
    <row r="27771" spans="7:7" ht="10.5" customHeight="1" x14ac:dyDescent="0.2">
      <c r="G27771" s="889"/>
    </row>
    <row r="27772" spans="7:7" ht="10.5" customHeight="1" x14ac:dyDescent="0.2">
      <c r="G27772" s="889"/>
    </row>
    <row r="27773" spans="7:7" ht="10.5" customHeight="1" x14ac:dyDescent="0.2">
      <c r="G27773" s="889"/>
    </row>
    <row r="27774" spans="7:7" ht="10.5" customHeight="1" x14ac:dyDescent="0.2">
      <c r="G27774" s="889"/>
    </row>
    <row r="27775" spans="7:7" ht="10.5" customHeight="1" x14ac:dyDescent="0.2">
      <c r="G27775" s="889"/>
    </row>
    <row r="27776" spans="7:7" ht="10.5" customHeight="1" x14ac:dyDescent="0.2">
      <c r="G27776" s="889"/>
    </row>
    <row r="27777" spans="7:7" ht="10.5" customHeight="1" x14ac:dyDescent="0.2">
      <c r="G27777" s="889"/>
    </row>
    <row r="27778" spans="7:7" ht="10.5" customHeight="1" x14ac:dyDescent="0.2">
      <c r="G27778" s="889"/>
    </row>
    <row r="27779" spans="7:7" ht="10.5" customHeight="1" x14ac:dyDescent="0.2">
      <c r="G27779" s="889"/>
    </row>
    <row r="27780" spans="7:7" ht="10.5" customHeight="1" x14ac:dyDescent="0.2">
      <c r="G27780" s="889"/>
    </row>
    <row r="27781" spans="7:7" ht="10.5" customHeight="1" x14ac:dyDescent="0.2">
      <c r="G27781" s="889"/>
    </row>
    <row r="27782" spans="7:7" ht="10.5" customHeight="1" x14ac:dyDescent="0.2">
      <c r="G27782" s="889"/>
    </row>
    <row r="27783" spans="7:7" ht="10.5" customHeight="1" x14ac:dyDescent="0.2">
      <c r="G27783" s="889"/>
    </row>
    <row r="27784" spans="7:7" ht="10.5" customHeight="1" x14ac:dyDescent="0.2">
      <c r="G27784" s="889"/>
    </row>
    <row r="27785" spans="7:7" ht="10.5" customHeight="1" x14ac:dyDescent="0.2">
      <c r="G27785" s="889"/>
    </row>
    <row r="27786" spans="7:7" ht="10.5" customHeight="1" x14ac:dyDescent="0.2">
      <c r="G27786" s="889"/>
    </row>
    <row r="27787" spans="7:7" ht="10.5" customHeight="1" x14ac:dyDescent="0.2">
      <c r="G27787" s="889"/>
    </row>
    <row r="27788" spans="7:7" ht="10.5" customHeight="1" x14ac:dyDescent="0.2">
      <c r="G27788" s="889"/>
    </row>
    <row r="27789" spans="7:7" ht="10.5" customHeight="1" x14ac:dyDescent="0.2">
      <c r="G27789" s="889"/>
    </row>
    <row r="27790" spans="7:7" ht="10.5" customHeight="1" x14ac:dyDescent="0.2">
      <c r="G27790" s="889"/>
    </row>
    <row r="27791" spans="7:7" ht="10.5" customHeight="1" x14ac:dyDescent="0.2">
      <c r="G27791" s="889"/>
    </row>
    <row r="27792" spans="7:7" ht="10.5" customHeight="1" x14ac:dyDescent="0.2">
      <c r="G27792" s="889"/>
    </row>
    <row r="27793" spans="7:7" ht="10.5" customHeight="1" x14ac:dyDescent="0.2">
      <c r="G27793" s="889"/>
    </row>
    <row r="27794" spans="7:7" ht="10.5" customHeight="1" x14ac:dyDescent="0.2">
      <c r="G27794" s="889"/>
    </row>
    <row r="27795" spans="7:7" ht="10.5" customHeight="1" x14ac:dyDescent="0.2">
      <c r="G27795" s="889"/>
    </row>
    <row r="27796" spans="7:7" ht="10.5" customHeight="1" x14ac:dyDescent="0.2">
      <c r="G27796" s="889"/>
    </row>
    <row r="27797" spans="7:7" ht="10.5" customHeight="1" x14ac:dyDescent="0.2">
      <c r="G27797" s="889"/>
    </row>
    <row r="27798" spans="7:7" ht="10.5" customHeight="1" x14ac:dyDescent="0.2">
      <c r="G27798" s="889"/>
    </row>
    <row r="27799" spans="7:7" ht="10.5" customHeight="1" x14ac:dyDescent="0.2">
      <c r="G27799" s="889"/>
    </row>
    <row r="27800" spans="7:7" ht="10.5" customHeight="1" x14ac:dyDescent="0.2">
      <c r="G27800" s="889"/>
    </row>
    <row r="27801" spans="7:7" ht="10.5" customHeight="1" x14ac:dyDescent="0.2">
      <c r="G27801" s="889"/>
    </row>
    <row r="27802" spans="7:7" ht="10.5" customHeight="1" x14ac:dyDescent="0.2">
      <c r="G27802" s="889"/>
    </row>
    <row r="27803" spans="7:7" ht="10.5" customHeight="1" x14ac:dyDescent="0.2">
      <c r="G27803" s="889"/>
    </row>
    <row r="27804" spans="7:7" ht="10.5" customHeight="1" x14ac:dyDescent="0.2">
      <c r="G27804" s="889"/>
    </row>
    <row r="27805" spans="7:7" ht="10.5" customHeight="1" x14ac:dyDescent="0.2">
      <c r="G27805" s="889"/>
    </row>
    <row r="27806" spans="7:7" ht="10.5" customHeight="1" x14ac:dyDescent="0.2">
      <c r="G27806" s="889"/>
    </row>
    <row r="27807" spans="7:7" ht="10.5" customHeight="1" x14ac:dyDescent="0.2">
      <c r="G27807" s="889"/>
    </row>
    <row r="27808" spans="7:7" ht="10.5" customHeight="1" x14ac:dyDescent="0.2">
      <c r="G27808" s="889"/>
    </row>
    <row r="27809" spans="7:7" ht="10.5" customHeight="1" x14ac:dyDescent="0.2">
      <c r="G27809" s="889"/>
    </row>
    <row r="27810" spans="7:7" ht="10.5" customHeight="1" x14ac:dyDescent="0.2">
      <c r="G27810" s="889"/>
    </row>
    <row r="27811" spans="7:7" ht="10.5" customHeight="1" x14ac:dyDescent="0.2">
      <c r="G27811" s="889"/>
    </row>
    <row r="27812" spans="7:7" ht="10.5" customHeight="1" x14ac:dyDescent="0.2">
      <c r="G27812" s="889"/>
    </row>
    <row r="27813" spans="7:7" ht="10.5" customHeight="1" x14ac:dyDescent="0.2">
      <c r="G27813" s="889"/>
    </row>
    <row r="27814" spans="7:7" ht="10.5" customHeight="1" x14ac:dyDescent="0.2">
      <c r="G27814" s="889"/>
    </row>
    <row r="27815" spans="7:7" ht="10.5" customHeight="1" x14ac:dyDescent="0.2">
      <c r="G27815" s="889"/>
    </row>
    <row r="27816" spans="7:7" ht="10.5" customHeight="1" x14ac:dyDescent="0.2">
      <c r="G27816" s="889"/>
    </row>
    <row r="27817" spans="7:7" ht="10.5" customHeight="1" x14ac:dyDescent="0.2">
      <c r="G27817" s="889"/>
    </row>
    <row r="27818" spans="7:7" ht="10.5" customHeight="1" x14ac:dyDescent="0.2">
      <c r="G27818" s="889"/>
    </row>
    <row r="27819" spans="7:7" ht="10.5" customHeight="1" x14ac:dyDescent="0.2">
      <c r="G27819" s="889"/>
    </row>
    <row r="27820" spans="7:7" ht="10.5" customHeight="1" x14ac:dyDescent="0.2">
      <c r="G27820" s="889"/>
    </row>
    <row r="27821" spans="7:7" ht="10.5" customHeight="1" x14ac:dyDescent="0.2">
      <c r="G27821" s="889"/>
    </row>
    <row r="27822" spans="7:7" ht="10.5" customHeight="1" x14ac:dyDescent="0.2">
      <c r="G27822" s="889"/>
    </row>
    <row r="27823" spans="7:7" ht="10.5" customHeight="1" x14ac:dyDescent="0.2">
      <c r="G27823" s="889"/>
    </row>
    <row r="27824" spans="7:7" ht="10.5" customHeight="1" x14ac:dyDescent="0.2">
      <c r="G27824" s="889"/>
    </row>
    <row r="27825" spans="7:7" ht="10.5" customHeight="1" x14ac:dyDescent="0.2">
      <c r="G27825" s="889"/>
    </row>
    <row r="27826" spans="7:7" ht="10.5" customHeight="1" x14ac:dyDescent="0.2">
      <c r="G27826" s="889"/>
    </row>
    <row r="27827" spans="7:7" ht="10.5" customHeight="1" x14ac:dyDescent="0.2">
      <c r="G27827" s="889"/>
    </row>
    <row r="27828" spans="7:7" ht="10.5" customHeight="1" x14ac:dyDescent="0.2">
      <c r="G27828" s="889"/>
    </row>
    <row r="27829" spans="7:7" ht="10.5" customHeight="1" x14ac:dyDescent="0.2">
      <c r="G27829" s="889"/>
    </row>
    <row r="27830" spans="7:7" ht="10.5" customHeight="1" x14ac:dyDescent="0.2">
      <c r="G27830" s="889"/>
    </row>
    <row r="27831" spans="7:7" ht="10.5" customHeight="1" x14ac:dyDescent="0.2">
      <c r="G27831" s="889"/>
    </row>
    <row r="27832" spans="7:7" ht="10.5" customHeight="1" x14ac:dyDescent="0.2">
      <c r="G27832" s="889"/>
    </row>
    <row r="27833" spans="7:7" ht="10.5" customHeight="1" x14ac:dyDescent="0.2">
      <c r="G27833" s="889"/>
    </row>
    <row r="27834" spans="7:7" ht="10.5" customHeight="1" x14ac:dyDescent="0.2">
      <c r="G27834" s="889"/>
    </row>
    <row r="27835" spans="7:7" ht="10.5" customHeight="1" x14ac:dyDescent="0.2">
      <c r="G27835" s="889"/>
    </row>
    <row r="27836" spans="7:7" ht="10.5" customHeight="1" x14ac:dyDescent="0.2">
      <c r="G27836" s="889"/>
    </row>
    <row r="27837" spans="7:7" ht="10.5" customHeight="1" x14ac:dyDescent="0.2">
      <c r="G27837" s="889"/>
    </row>
    <row r="27838" spans="7:7" ht="10.5" customHeight="1" x14ac:dyDescent="0.2">
      <c r="G27838" s="889"/>
    </row>
    <row r="27839" spans="7:7" ht="10.5" customHeight="1" x14ac:dyDescent="0.2">
      <c r="G27839" s="889"/>
    </row>
    <row r="27840" spans="7:7" ht="10.5" customHeight="1" x14ac:dyDescent="0.2">
      <c r="G27840" s="889"/>
    </row>
    <row r="27841" spans="7:7" ht="10.5" customHeight="1" x14ac:dyDescent="0.2">
      <c r="G27841" s="889"/>
    </row>
    <row r="27842" spans="7:7" ht="10.5" customHeight="1" x14ac:dyDescent="0.2">
      <c r="G27842" s="889"/>
    </row>
    <row r="27843" spans="7:7" ht="10.5" customHeight="1" x14ac:dyDescent="0.2">
      <c r="G27843" s="889"/>
    </row>
    <row r="27844" spans="7:7" ht="10.5" customHeight="1" x14ac:dyDescent="0.2">
      <c r="G27844" s="889"/>
    </row>
    <row r="27845" spans="7:7" ht="10.5" customHeight="1" x14ac:dyDescent="0.2">
      <c r="G27845" s="889"/>
    </row>
    <row r="27846" spans="7:7" ht="10.5" customHeight="1" x14ac:dyDescent="0.2">
      <c r="G27846" s="889"/>
    </row>
    <row r="27847" spans="7:7" ht="10.5" customHeight="1" x14ac:dyDescent="0.2">
      <c r="G27847" s="889"/>
    </row>
    <row r="27848" spans="7:7" ht="10.5" customHeight="1" x14ac:dyDescent="0.2">
      <c r="G27848" s="889"/>
    </row>
    <row r="27849" spans="7:7" ht="10.5" customHeight="1" x14ac:dyDescent="0.2">
      <c r="G27849" s="889"/>
    </row>
    <row r="27850" spans="7:7" ht="10.5" customHeight="1" x14ac:dyDescent="0.2">
      <c r="G27850" s="889"/>
    </row>
    <row r="27851" spans="7:7" ht="10.5" customHeight="1" x14ac:dyDescent="0.2">
      <c r="G27851" s="889"/>
    </row>
    <row r="27852" spans="7:7" ht="10.5" customHeight="1" x14ac:dyDescent="0.2">
      <c r="G27852" s="889"/>
    </row>
    <row r="27853" spans="7:7" ht="10.5" customHeight="1" x14ac:dyDescent="0.2">
      <c r="G27853" s="889"/>
    </row>
    <row r="27854" spans="7:7" ht="10.5" customHeight="1" x14ac:dyDescent="0.2">
      <c r="G27854" s="889"/>
    </row>
    <row r="27855" spans="7:7" ht="10.5" customHeight="1" x14ac:dyDescent="0.2">
      <c r="G27855" s="889"/>
    </row>
    <row r="27856" spans="7:7" ht="10.5" customHeight="1" x14ac:dyDescent="0.2">
      <c r="G27856" s="889"/>
    </row>
    <row r="27857" spans="7:7" ht="10.5" customHeight="1" x14ac:dyDescent="0.2">
      <c r="G27857" s="889"/>
    </row>
    <row r="27858" spans="7:7" ht="10.5" customHeight="1" x14ac:dyDescent="0.2">
      <c r="G27858" s="889"/>
    </row>
    <row r="27859" spans="7:7" ht="10.5" customHeight="1" x14ac:dyDescent="0.2">
      <c r="G27859" s="889"/>
    </row>
    <row r="27860" spans="7:7" ht="10.5" customHeight="1" x14ac:dyDescent="0.2">
      <c r="G27860" s="889"/>
    </row>
    <row r="27861" spans="7:7" ht="10.5" customHeight="1" x14ac:dyDescent="0.2">
      <c r="G27861" s="889"/>
    </row>
    <row r="27862" spans="7:7" ht="10.5" customHeight="1" x14ac:dyDescent="0.2">
      <c r="G27862" s="889"/>
    </row>
    <row r="27863" spans="7:7" ht="10.5" customHeight="1" x14ac:dyDescent="0.2">
      <c r="G27863" s="889"/>
    </row>
    <row r="27864" spans="7:7" ht="10.5" customHeight="1" x14ac:dyDescent="0.2">
      <c r="G27864" s="889"/>
    </row>
    <row r="27865" spans="7:7" ht="10.5" customHeight="1" x14ac:dyDescent="0.2">
      <c r="G27865" s="889"/>
    </row>
    <row r="27866" spans="7:7" ht="10.5" customHeight="1" x14ac:dyDescent="0.2">
      <c r="G27866" s="889"/>
    </row>
    <row r="27867" spans="7:7" ht="10.5" customHeight="1" x14ac:dyDescent="0.2">
      <c r="G27867" s="889"/>
    </row>
    <row r="27868" spans="7:7" ht="10.5" customHeight="1" x14ac:dyDescent="0.2">
      <c r="G27868" s="889"/>
    </row>
    <row r="27869" spans="7:7" ht="10.5" customHeight="1" x14ac:dyDescent="0.2">
      <c r="G27869" s="889"/>
    </row>
    <row r="27870" spans="7:7" ht="10.5" customHeight="1" x14ac:dyDescent="0.2">
      <c r="G27870" s="889"/>
    </row>
    <row r="27871" spans="7:7" ht="10.5" customHeight="1" x14ac:dyDescent="0.2">
      <c r="G27871" s="889"/>
    </row>
    <row r="27872" spans="7:7" ht="10.5" customHeight="1" x14ac:dyDescent="0.2">
      <c r="G27872" s="889"/>
    </row>
    <row r="27873" spans="7:7" ht="10.5" customHeight="1" x14ac:dyDescent="0.2">
      <c r="G27873" s="889"/>
    </row>
    <row r="27874" spans="7:7" ht="10.5" customHeight="1" x14ac:dyDescent="0.2">
      <c r="G27874" s="889"/>
    </row>
    <row r="27875" spans="7:7" ht="10.5" customHeight="1" x14ac:dyDescent="0.2">
      <c r="G27875" s="889"/>
    </row>
    <row r="27876" spans="7:7" ht="10.5" customHeight="1" x14ac:dyDescent="0.2">
      <c r="G27876" s="889"/>
    </row>
    <row r="27877" spans="7:7" ht="10.5" customHeight="1" x14ac:dyDescent="0.2">
      <c r="G27877" s="889"/>
    </row>
    <row r="27878" spans="7:7" ht="10.5" customHeight="1" x14ac:dyDescent="0.2">
      <c r="G27878" s="889"/>
    </row>
    <row r="27879" spans="7:7" ht="10.5" customHeight="1" x14ac:dyDescent="0.2">
      <c r="G27879" s="889"/>
    </row>
    <row r="27880" spans="7:7" ht="10.5" customHeight="1" x14ac:dyDescent="0.2">
      <c r="G27880" s="889"/>
    </row>
    <row r="27881" spans="7:7" ht="10.5" customHeight="1" x14ac:dyDescent="0.2">
      <c r="G27881" s="889"/>
    </row>
    <row r="27882" spans="7:7" ht="10.5" customHeight="1" x14ac:dyDescent="0.2">
      <c r="G27882" s="889"/>
    </row>
    <row r="27883" spans="7:7" ht="10.5" customHeight="1" x14ac:dyDescent="0.2">
      <c r="G27883" s="889"/>
    </row>
    <row r="27884" spans="7:7" ht="10.5" customHeight="1" x14ac:dyDescent="0.2">
      <c r="G27884" s="889"/>
    </row>
    <row r="27885" spans="7:7" ht="10.5" customHeight="1" x14ac:dyDescent="0.2">
      <c r="G27885" s="889"/>
    </row>
    <row r="27886" spans="7:7" ht="10.5" customHeight="1" x14ac:dyDescent="0.2">
      <c r="G27886" s="889"/>
    </row>
    <row r="27887" spans="7:7" ht="10.5" customHeight="1" x14ac:dyDescent="0.2">
      <c r="G27887" s="889"/>
    </row>
    <row r="27888" spans="7:7" ht="10.5" customHeight="1" x14ac:dyDescent="0.2">
      <c r="G27888" s="889"/>
    </row>
    <row r="27889" spans="7:7" ht="10.5" customHeight="1" x14ac:dyDescent="0.2">
      <c r="G27889" s="889"/>
    </row>
    <row r="27890" spans="7:7" ht="10.5" customHeight="1" x14ac:dyDescent="0.2">
      <c r="G27890" s="889"/>
    </row>
    <row r="27891" spans="7:7" ht="10.5" customHeight="1" x14ac:dyDescent="0.2">
      <c r="G27891" s="889"/>
    </row>
    <row r="27892" spans="7:7" ht="10.5" customHeight="1" x14ac:dyDescent="0.2">
      <c r="G27892" s="889"/>
    </row>
    <row r="27893" spans="7:7" ht="10.5" customHeight="1" x14ac:dyDescent="0.2">
      <c r="G27893" s="889"/>
    </row>
    <row r="27894" spans="7:7" ht="10.5" customHeight="1" x14ac:dyDescent="0.2">
      <c r="G27894" s="889"/>
    </row>
    <row r="27895" spans="7:7" ht="10.5" customHeight="1" x14ac:dyDescent="0.2">
      <c r="G27895" s="889"/>
    </row>
    <row r="27896" spans="7:7" ht="10.5" customHeight="1" x14ac:dyDescent="0.2">
      <c r="G27896" s="889"/>
    </row>
    <row r="27897" spans="7:7" ht="10.5" customHeight="1" x14ac:dyDescent="0.2">
      <c r="G27897" s="889"/>
    </row>
    <row r="27898" spans="7:7" ht="10.5" customHeight="1" x14ac:dyDescent="0.2">
      <c r="G27898" s="889"/>
    </row>
    <row r="27899" spans="7:7" ht="10.5" customHeight="1" x14ac:dyDescent="0.2">
      <c r="G27899" s="889"/>
    </row>
    <row r="27900" spans="7:7" ht="10.5" customHeight="1" x14ac:dyDescent="0.2">
      <c r="G27900" s="889"/>
    </row>
    <row r="27901" spans="7:7" ht="10.5" customHeight="1" x14ac:dyDescent="0.2">
      <c r="G27901" s="889"/>
    </row>
    <row r="27902" spans="7:7" ht="10.5" customHeight="1" x14ac:dyDescent="0.2">
      <c r="G27902" s="889"/>
    </row>
    <row r="27903" spans="7:7" ht="10.5" customHeight="1" x14ac:dyDescent="0.2">
      <c r="G27903" s="889"/>
    </row>
    <row r="27904" spans="7:7" ht="10.5" customHeight="1" x14ac:dyDescent="0.2">
      <c r="G27904" s="889"/>
    </row>
    <row r="27905" spans="7:7" ht="10.5" customHeight="1" x14ac:dyDescent="0.2">
      <c r="G27905" s="889"/>
    </row>
    <row r="27906" spans="7:7" ht="10.5" customHeight="1" x14ac:dyDescent="0.2">
      <c r="G27906" s="889"/>
    </row>
    <row r="27907" spans="7:7" ht="10.5" customHeight="1" x14ac:dyDescent="0.2">
      <c r="G27907" s="889"/>
    </row>
    <row r="27908" spans="7:7" ht="10.5" customHeight="1" x14ac:dyDescent="0.2">
      <c r="G27908" s="889"/>
    </row>
    <row r="27909" spans="7:7" ht="10.5" customHeight="1" x14ac:dyDescent="0.2">
      <c r="G27909" s="889"/>
    </row>
    <row r="27910" spans="7:7" ht="10.5" customHeight="1" x14ac:dyDescent="0.2">
      <c r="G27910" s="889"/>
    </row>
    <row r="27911" spans="7:7" ht="10.5" customHeight="1" x14ac:dyDescent="0.2">
      <c r="G27911" s="889"/>
    </row>
    <row r="27912" spans="7:7" ht="10.5" customHeight="1" x14ac:dyDescent="0.2">
      <c r="G27912" s="889"/>
    </row>
    <row r="27913" spans="7:7" ht="10.5" customHeight="1" x14ac:dyDescent="0.2">
      <c r="G27913" s="889"/>
    </row>
    <row r="27914" spans="7:7" ht="10.5" customHeight="1" x14ac:dyDescent="0.2">
      <c r="G27914" s="889"/>
    </row>
    <row r="27915" spans="7:7" ht="10.5" customHeight="1" x14ac:dyDescent="0.2">
      <c r="G27915" s="889"/>
    </row>
    <row r="27916" spans="7:7" ht="10.5" customHeight="1" x14ac:dyDescent="0.2">
      <c r="G27916" s="889"/>
    </row>
    <row r="27917" spans="7:7" ht="10.5" customHeight="1" x14ac:dyDescent="0.2">
      <c r="G27917" s="889"/>
    </row>
    <row r="27918" spans="7:7" ht="10.5" customHeight="1" x14ac:dyDescent="0.2">
      <c r="G27918" s="889"/>
    </row>
    <row r="27919" spans="7:7" ht="10.5" customHeight="1" x14ac:dyDescent="0.2">
      <c r="G27919" s="889"/>
    </row>
    <row r="27920" spans="7:7" ht="10.5" customHeight="1" x14ac:dyDescent="0.2">
      <c r="G27920" s="889"/>
    </row>
    <row r="27921" spans="7:7" ht="10.5" customHeight="1" x14ac:dyDescent="0.2">
      <c r="G27921" s="889"/>
    </row>
    <row r="27922" spans="7:7" ht="10.5" customHeight="1" x14ac:dyDescent="0.2">
      <c r="G27922" s="889"/>
    </row>
    <row r="27923" spans="7:7" ht="10.5" customHeight="1" x14ac:dyDescent="0.2">
      <c r="G27923" s="889"/>
    </row>
    <row r="27924" spans="7:7" ht="10.5" customHeight="1" x14ac:dyDescent="0.2">
      <c r="G27924" s="889"/>
    </row>
    <row r="27925" spans="7:7" ht="10.5" customHeight="1" x14ac:dyDescent="0.2">
      <c r="G27925" s="889"/>
    </row>
    <row r="27926" spans="7:7" ht="10.5" customHeight="1" x14ac:dyDescent="0.2">
      <c r="G27926" s="889"/>
    </row>
    <row r="27927" spans="7:7" ht="10.5" customHeight="1" x14ac:dyDescent="0.2">
      <c r="G27927" s="889"/>
    </row>
    <row r="27928" spans="7:7" ht="10.5" customHeight="1" x14ac:dyDescent="0.2">
      <c r="G27928" s="889"/>
    </row>
    <row r="27929" spans="7:7" ht="10.5" customHeight="1" x14ac:dyDescent="0.2">
      <c r="G27929" s="889"/>
    </row>
    <row r="27930" spans="7:7" ht="10.5" customHeight="1" x14ac:dyDescent="0.2">
      <c r="G27930" s="889"/>
    </row>
    <row r="27931" spans="7:7" ht="10.5" customHeight="1" x14ac:dyDescent="0.2">
      <c r="G27931" s="889"/>
    </row>
    <row r="27932" spans="7:7" ht="10.5" customHeight="1" x14ac:dyDescent="0.2">
      <c r="G27932" s="889"/>
    </row>
    <row r="27933" spans="7:7" ht="10.5" customHeight="1" x14ac:dyDescent="0.2">
      <c r="G27933" s="889"/>
    </row>
    <row r="27934" spans="7:7" ht="10.5" customHeight="1" x14ac:dyDescent="0.2">
      <c r="G27934" s="889"/>
    </row>
    <row r="27935" spans="7:7" ht="10.5" customHeight="1" x14ac:dyDescent="0.2">
      <c r="G27935" s="889"/>
    </row>
    <row r="27936" spans="7:7" ht="10.5" customHeight="1" x14ac:dyDescent="0.2">
      <c r="G27936" s="889"/>
    </row>
    <row r="27937" spans="7:7" ht="10.5" customHeight="1" x14ac:dyDescent="0.2">
      <c r="G27937" s="889"/>
    </row>
    <row r="27938" spans="7:7" ht="10.5" customHeight="1" x14ac:dyDescent="0.2">
      <c r="G27938" s="889"/>
    </row>
    <row r="27939" spans="7:7" ht="10.5" customHeight="1" x14ac:dyDescent="0.2">
      <c r="G27939" s="889"/>
    </row>
    <row r="27940" spans="7:7" ht="10.5" customHeight="1" x14ac:dyDescent="0.2">
      <c r="G27940" s="889"/>
    </row>
    <row r="27941" spans="7:7" ht="10.5" customHeight="1" x14ac:dyDescent="0.2">
      <c r="G27941" s="889"/>
    </row>
    <row r="27942" spans="7:7" ht="10.5" customHeight="1" x14ac:dyDescent="0.2">
      <c r="G27942" s="889"/>
    </row>
    <row r="27943" spans="7:7" ht="10.5" customHeight="1" x14ac:dyDescent="0.2">
      <c r="G27943" s="889"/>
    </row>
    <row r="27944" spans="7:7" ht="10.5" customHeight="1" x14ac:dyDescent="0.2">
      <c r="G27944" s="889"/>
    </row>
    <row r="27945" spans="7:7" ht="10.5" customHeight="1" x14ac:dyDescent="0.2">
      <c r="G27945" s="889"/>
    </row>
    <row r="27946" spans="7:7" ht="10.5" customHeight="1" x14ac:dyDescent="0.2">
      <c r="G27946" s="889"/>
    </row>
    <row r="27947" spans="7:7" ht="10.5" customHeight="1" x14ac:dyDescent="0.2">
      <c r="G27947" s="889"/>
    </row>
    <row r="27948" spans="7:7" ht="10.5" customHeight="1" x14ac:dyDescent="0.2">
      <c r="G27948" s="889"/>
    </row>
    <row r="27949" spans="7:7" ht="10.5" customHeight="1" x14ac:dyDescent="0.2">
      <c r="G27949" s="889"/>
    </row>
    <row r="27950" spans="7:7" ht="10.5" customHeight="1" x14ac:dyDescent="0.2">
      <c r="G27950" s="889"/>
    </row>
    <row r="27951" spans="7:7" ht="10.5" customHeight="1" x14ac:dyDescent="0.2">
      <c r="G27951" s="889"/>
    </row>
    <row r="27952" spans="7:7" ht="10.5" customHeight="1" x14ac:dyDescent="0.2">
      <c r="G27952" s="889"/>
    </row>
    <row r="27953" spans="7:7" ht="10.5" customHeight="1" x14ac:dyDescent="0.2">
      <c r="G27953" s="889"/>
    </row>
    <row r="27954" spans="7:7" ht="10.5" customHeight="1" x14ac:dyDescent="0.2">
      <c r="G27954" s="889"/>
    </row>
    <row r="27955" spans="7:7" ht="10.5" customHeight="1" x14ac:dyDescent="0.2">
      <c r="G27955" s="889"/>
    </row>
    <row r="27956" spans="7:7" ht="10.5" customHeight="1" x14ac:dyDescent="0.2">
      <c r="G27956" s="889"/>
    </row>
    <row r="27957" spans="7:7" ht="10.5" customHeight="1" x14ac:dyDescent="0.2">
      <c r="G27957" s="889"/>
    </row>
    <row r="27958" spans="7:7" ht="10.5" customHeight="1" x14ac:dyDescent="0.2">
      <c r="G27958" s="889"/>
    </row>
    <row r="27959" spans="7:7" ht="10.5" customHeight="1" x14ac:dyDescent="0.2">
      <c r="G27959" s="889"/>
    </row>
    <row r="27960" spans="7:7" ht="10.5" customHeight="1" x14ac:dyDescent="0.2">
      <c r="G27960" s="889"/>
    </row>
    <row r="27961" spans="7:7" ht="10.5" customHeight="1" x14ac:dyDescent="0.2">
      <c r="G27961" s="889"/>
    </row>
    <row r="27962" spans="7:7" ht="10.5" customHeight="1" x14ac:dyDescent="0.2">
      <c r="G27962" s="889"/>
    </row>
    <row r="27963" spans="7:7" ht="10.5" customHeight="1" x14ac:dyDescent="0.2">
      <c r="G27963" s="889"/>
    </row>
    <row r="27964" spans="7:7" ht="10.5" customHeight="1" x14ac:dyDescent="0.2">
      <c r="G27964" s="889"/>
    </row>
    <row r="27965" spans="7:7" ht="10.5" customHeight="1" x14ac:dyDescent="0.2">
      <c r="G27965" s="889"/>
    </row>
    <row r="27966" spans="7:7" ht="10.5" customHeight="1" x14ac:dyDescent="0.2">
      <c r="G27966" s="889"/>
    </row>
    <row r="27967" spans="7:7" ht="10.5" customHeight="1" x14ac:dyDescent="0.2">
      <c r="G27967" s="889"/>
    </row>
    <row r="27968" spans="7:7" ht="10.5" customHeight="1" x14ac:dyDescent="0.2">
      <c r="G27968" s="889"/>
    </row>
    <row r="27969" spans="7:7" ht="10.5" customHeight="1" x14ac:dyDescent="0.2">
      <c r="G27969" s="889"/>
    </row>
    <row r="27970" spans="7:7" ht="10.5" customHeight="1" x14ac:dyDescent="0.2">
      <c r="G27970" s="889"/>
    </row>
    <row r="27971" spans="7:7" ht="10.5" customHeight="1" x14ac:dyDescent="0.2">
      <c r="G27971" s="889"/>
    </row>
    <row r="27972" spans="7:7" ht="10.5" customHeight="1" x14ac:dyDescent="0.2">
      <c r="G27972" s="889"/>
    </row>
    <row r="27973" spans="7:7" ht="10.5" customHeight="1" x14ac:dyDescent="0.2">
      <c r="G27973" s="889"/>
    </row>
    <row r="27974" spans="7:7" ht="10.5" customHeight="1" x14ac:dyDescent="0.2">
      <c r="G27974" s="889"/>
    </row>
    <row r="27975" spans="7:7" ht="10.5" customHeight="1" x14ac:dyDescent="0.2">
      <c r="G27975" s="889"/>
    </row>
    <row r="27976" spans="7:7" ht="10.5" customHeight="1" x14ac:dyDescent="0.2">
      <c r="G27976" s="889"/>
    </row>
    <row r="27977" spans="7:7" ht="10.5" customHeight="1" x14ac:dyDescent="0.2">
      <c r="G27977" s="889"/>
    </row>
    <row r="27978" spans="7:7" ht="10.5" customHeight="1" x14ac:dyDescent="0.2">
      <c r="G27978" s="889"/>
    </row>
    <row r="27979" spans="7:7" ht="10.5" customHeight="1" x14ac:dyDescent="0.2">
      <c r="G27979" s="889"/>
    </row>
    <row r="27980" spans="7:7" ht="10.5" customHeight="1" x14ac:dyDescent="0.2">
      <c r="G27980" s="889"/>
    </row>
    <row r="27981" spans="7:7" ht="10.5" customHeight="1" x14ac:dyDescent="0.2">
      <c r="G27981" s="889"/>
    </row>
    <row r="27982" spans="7:7" ht="10.5" customHeight="1" x14ac:dyDescent="0.2">
      <c r="G27982" s="889"/>
    </row>
    <row r="27983" spans="7:7" ht="10.5" customHeight="1" x14ac:dyDescent="0.2">
      <c r="G27983" s="889"/>
    </row>
    <row r="27984" spans="7:7" ht="10.5" customHeight="1" x14ac:dyDescent="0.2">
      <c r="G27984" s="889"/>
    </row>
    <row r="27985" spans="7:7" ht="10.5" customHeight="1" x14ac:dyDescent="0.2">
      <c r="G27985" s="889"/>
    </row>
    <row r="27986" spans="7:7" ht="10.5" customHeight="1" x14ac:dyDescent="0.2">
      <c r="G27986" s="889"/>
    </row>
    <row r="27987" spans="7:7" ht="10.5" customHeight="1" x14ac:dyDescent="0.2">
      <c r="G27987" s="889"/>
    </row>
    <row r="27988" spans="7:7" ht="10.5" customHeight="1" x14ac:dyDescent="0.2">
      <c r="G27988" s="889"/>
    </row>
    <row r="27989" spans="7:7" ht="10.5" customHeight="1" x14ac:dyDescent="0.2">
      <c r="G27989" s="889"/>
    </row>
    <row r="27990" spans="7:7" ht="10.5" customHeight="1" x14ac:dyDescent="0.2">
      <c r="G27990" s="889"/>
    </row>
    <row r="27991" spans="7:7" ht="10.5" customHeight="1" x14ac:dyDescent="0.2">
      <c r="G27991" s="889"/>
    </row>
    <row r="27992" spans="7:7" ht="10.5" customHeight="1" x14ac:dyDescent="0.2">
      <c r="G27992" s="889"/>
    </row>
    <row r="27993" spans="7:7" ht="10.5" customHeight="1" x14ac:dyDescent="0.2">
      <c r="G27993" s="889"/>
    </row>
    <row r="27994" spans="7:7" ht="10.5" customHeight="1" x14ac:dyDescent="0.2">
      <c r="G27994" s="889"/>
    </row>
    <row r="27995" spans="7:7" ht="10.5" customHeight="1" x14ac:dyDescent="0.2">
      <c r="G27995" s="889"/>
    </row>
    <row r="27996" spans="7:7" ht="10.5" customHeight="1" x14ac:dyDescent="0.2">
      <c r="G27996" s="889"/>
    </row>
    <row r="27997" spans="7:7" ht="10.5" customHeight="1" x14ac:dyDescent="0.2">
      <c r="G27997" s="889"/>
    </row>
    <row r="27998" spans="7:7" ht="10.5" customHeight="1" x14ac:dyDescent="0.2">
      <c r="G27998" s="889"/>
    </row>
    <row r="27999" spans="7:7" ht="10.5" customHeight="1" x14ac:dyDescent="0.2">
      <c r="G27999" s="889"/>
    </row>
    <row r="28000" spans="7:7" ht="10.5" customHeight="1" x14ac:dyDescent="0.2">
      <c r="G28000" s="889"/>
    </row>
    <row r="28001" spans="7:7" ht="10.5" customHeight="1" x14ac:dyDescent="0.2">
      <c r="G28001" s="889"/>
    </row>
    <row r="28002" spans="7:7" ht="10.5" customHeight="1" x14ac:dyDescent="0.2">
      <c r="G28002" s="889"/>
    </row>
    <row r="28003" spans="7:7" ht="10.5" customHeight="1" x14ac:dyDescent="0.2">
      <c r="G28003" s="889"/>
    </row>
    <row r="28004" spans="7:7" ht="10.5" customHeight="1" x14ac:dyDescent="0.2">
      <c r="G28004" s="889"/>
    </row>
    <row r="28005" spans="7:7" ht="10.5" customHeight="1" x14ac:dyDescent="0.2">
      <c r="G28005" s="889"/>
    </row>
    <row r="28006" spans="7:7" ht="10.5" customHeight="1" x14ac:dyDescent="0.2">
      <c r="G28006" s="889"/>
    </row>
    <row r="28007" spans="7:7" ht="10.5" customHeight="1" x14ac:dyDescent="0.2">
      <c r="G28007" s="889"/>
    </row>
    <row r="28008" spans="7:7" ht="10.5" customHeight="1" x14ac:dyDescent="0.2">
      <c r="G28008" s="889"/>
    </row>
    <row r="28009" spans="7:7" ht="10.5" customHeight="1" x14ac:dyDescent="0.2">
      <c r="G28009" s="889"/>
    </row>
    <row r="28010" spans="7:7" ht="10.5" customHeight="1" x14ac:dyDescent="0.2">
      <c r="G28010" s="889"/>
    </row>
    <row r="28011" spans="7:7" ht="10.5" customHeight="1" x14ac:dyDescent="0.2">
      <c r="G28011" s="889"/>
    </row>
    <row r="28012" spans="7:7" ht="10.5" customHeight="1" x14ac:dyDescent="0.2">
      <c r="G28012" s="889"/>
    </row>
    <row r="28013" spans="7:7" ht="10.5" customHeight="1" x14ac:dyDescent="0.2">
      <c r="G28013" s="889"/>
    </row>
    <row r="28014" spans="7:7" ht="10.5" customHeight="1" x14ac:dyDescent="0.2">
      <c r="G28014" s="889"/>
    </row>
    <row r="28015" spans="7:7" ht="10.5" customHeight="1" x14ac:dyDescent="0.2">
      <c r="G28015" s="889"/>
    </row>
    <row r="28016" spans="7:7" ht="10.5" customHeight="1" x14ac:dyDescent="0.2">
      <c r="G28016" s="889"/>
    </row>
    <row r="28017" spans="7:7" ht="10.5" customHeight="1" x14ac:dyDescent="0.2">
      <c r="G28017" s="889"/>
    </row>
    <row r="28018" spans="7:7" ht="10.5" customHeight="1" x14ac:dyDescent="0.2">
      <c r="G28018" s="889"/>
    </row>
    <row r="28019" spans="7:7" ht="10.5" customHeight="1" x14ac:dyDescent="0.2">
      <c r="G28019" s="889"/>
    </row>
    <row r="28020" spans="7:7" ht="10.5" customHeight="1" x14ac:dyDescent="0.2">
      <c r="G28020" s="889"/>
    </row>
    <row r="28021" spans="7:7" ht="10.5" customHeight="1" x14ac:dyDescent="0.2">
      <c r="G28021" s="889"/>
    </row>
    <row r="28022" spans="7:7" ht="10.5" customHeight="1" x14ac:dyDescent="0.2">
      <c r="G28022" s="889"/>
    </row>
    <row r="28023" spans="7:7" ht="10.5" customHeight="1" x14ac:dyDescent="0.2">
      <c r="G28023" s="889"/>
    </row>
    <row r="28024" spans="7:7" ht="10.5" customHeight="1" x14ac:dyDescent="0.2">
      <c r="G28024" s="889"/>
    </row>
    <row r="28025" spans="7:7" ht="10.5" customHeight="1" x14ac:dyDescent="0.2">
      <c r="G28025" s="889"/>
    </row>
    <row r="28026" spans="7:7" ht="10.5" customHeight="1" x14ac:dyDescent="0.2">
      <c r="G28026" s="889"/>
    </row>
    <row r="28027" spans="7:7" ht="10.5" customHeight="1" x14ac:dyDescent="0.2">
      <c r="G28027" s="889"/>
    </row>
    <row r="28028" spans="7:7" ht="10.5" customHeight="1" x14ac:dyDescent="0.2">
      <c r="G28028" s="889"/>
    </row>
    <row r="28029" spans="7:7" ht="10.5" customHeight="1" x14ac:dyDescent="0.2">
      <c r="G28029" s="889"/>
    </row>
    <row r="28030" spans="7:7" ht="10.5" customHeight="1" x14ac:dyDescent="0.2">
      <c r="G28030" s="889"/>
    </row>
    <row r="28031" spans="7:7" ht="10.5" customHeight="1" x14ac:dyDescent="0.2">
      <c r="G28031" s="889"/>
    </row>
    <row r="28032" spans="7:7" ht="10.5" customHeight="1" x14ac:dyDescent="0.2">
      <c r="G28032" s="889"/>
    </row>
    <row r="28033" spans="7:7" ht="10.5" customHeight="1" x14ac:dyDescent="0.2">
      <c r="G28033" s="889"/>
    </row>
    <row r="28034" spans="7:7" ht="10.5" customHeight="1" x14ac:dyDescent="0.2">
      <c r="G28034" s="889"/>
    </row>
    <row r="28035" spans="7:7" ht="10.5" customHeight="1" x14ac:dyDescent="0.2">
      <c r="G28035" s="889"/>
    </row>
    <row r="28036" spans="7:7" ht="10.5" customHeight="1" x14ac:dyDescent="0.2">
      <c r="G28036" s="889"/>
    </row>
    <row r="28037" spans="7:7" ht="10.5" customHeight="1" x14ac:dyDescent="0.2">
      <c r="G28037" s="889"/>
    </row>
    <row r="28038" spans="7:7" ht="10.5" customHeight="1" x14ac:dyDescent="0.2">
      <c r="G28038" s="889"/>
    </row>
    <row r="28039" spans="7:7" ht="10.5" customHeight="1" x14ac:dyDescent="0.2">
      <c r="G28039" s="889"/>
    </row>
    <row r="28040" spans="7:7" ht="10.5" customHeight="1" x14ac:dyDescent="0.2">
      <c r="G28040" s="889"/>
    </row>
    <row r="28041" spans="7:7" ht="10.5" customHeight="1" x14ac:dyDescent="0.2">
      <c r="G28041" s="889"/>
    </row>
    <row r="28042" spans="7:7" ht="10.5" customHeight="1" x14ac:dyDescent="0.2">
      <c r="G28042" s="889"/>
    </row>
    <row r="28043" spans="7:7" ht="10.5" customHeight="1" x14ac:dyDescent="0.2">
      <c r="G28043" s="889"/>
    </row>
    <row r="28044" spans="7:7" ht="10.5" customHeight="1" x14ac:dyDescent="0.2">
      <c r="G28044" s="889"/>
    </row>
    <row r="28045" spans="7:7" ht="10.5" customHeight="1" x14ac:dyDescent="0.2">
      <c r="G28045" s="889"/>
    </row>
    <row r="28046" spans="7:7" ht="10.5" customHeight="1" x14ac:dyDescent="0.2">
      <c r="G28046" s="889"/>
    </row>
    <row r="28047" spans="7:7" ht="10.5" customHeight="1" x14ac:dyDescent="0.2">
      <c r="G28047" s="889"/>
    </row>
    <row r="28048" spans="7:7" ht="10.5" customHeight="1" x14ac:dyDescent="0.2">
      <c r="G28048" s="889"/>
    </row>
    <row r="28049" spans="7:7" ht="10.5" customHeight="1" x14ac:dyDescent="0.2">
      <c r="G28049" s="889"/>
    </row>
    <row r="28050" spans="7:7" ht="10.5" customHeight="1" x14ac:dyDescent="0.2">
      <c r="G28050" s="889"/>
    </row>
    <row r="28051" spans="7:7" ht="10.5" customHeight="1" x14ac:dyDescent="0.2">
      <c r="G28051" s="889"/>
    </row>
    <row r="28052" spans="7:7" ht="10.5" customHeight="1" x14ac:dyDescent="0.2">
      <c r="G28052" s="889"/>
    </row>
    <row r="28053" spans="7:7" ht="10.5" customHeight="1" x14ac:dyDescent="0.2">
      <c r="G28053" s="889"/>
    </row>
    <row r="28054" spans="7:7" ht="10.5" customHeight="1" x14ac:dyDescent="0.2">
      <c r="G28054" s="889"/>
    </row>
    <row r="28055" spans="7:7" ht="10.5" customHeight="1" x14ac:dyDescent="0.2">
      <c r="G28055" s="889"/>
    </row>
    <row r="28056" spans="7:7" ht="10.5" customHeight="1" x14ac:dyDescent="0.2">
      <c r="G28056" s="889"/>
    </row>
    <row r="28057" spans="7:7" ht="10.5" customHeight="1" x14ac:dyDescent="0.2">
      <c r="G28057" s="889"/>
    </row>
    <row r="28058" spans="7:7" ht="10.5" customHeight="1" x14ac:dyDescent="0.2">
      <c r="G28058" s="889"/>
    </row>
    <row r="28059" spans="7:7" ht="10.5" customHeight="1" x14ac:dyDescent="0.2">
      <c r="G28059" s="889"/>
    </row>
    <row r="28060" spans="7:7" ht="10.5" customHeight="1" x14ac:dyDescent="0.2">
      <c r="G28060" s="889"/>
    </row>
    <row r="28061" spans="7:7" ht="10.5" customHeight="1" x14ac:dyDescent="0.2">
      <c r="G28061" s="889"/>
    </row>
    <row r="28062" spans="7:7" ht="10.5" customHeight="1" x14ac:dyDescent="0.2">
      <c r="G28062" s="889"/>
    </row>
    <row r="28063" spans="7:7" ht="10.5" customHeight="1" x14ac:dyDescent="0.2">
      <c r="G28063" s="889"/>
    </row>
    <row r="28064" spans="7:7" ht="10.5" customHeight="1" x14ac:dyDescent="0.2">
      <c r="G28064" s="889"/>
    </row>
    <row r="28065" spans="7:7" ht="10.5" customHeight="1" x14ac:dyDescent="0.2">
      <c r="G28065" s="889"/>
    </row>
    <row r="28066" spans="7:7" ht="10.5" customHeight="1" x14ac:dyDescent="0.2">
      <c r="G28066" s="889"/>
    </row>
    <row r="28067" spans="7:7" ht="10.5" customHeight="1" x14ac:dyDescent="0.2">
      <c r="G28067" s="889"/>
    </row>
    <row r="28068" spans="7:7" ht="10.5" customHeight="1" x14ac:dyDescent="0.2">
      <c r="G28068" s="889"/>
    </row>
    <row r="28069" spans="7:7" ht="10.5" customHeight="1" x14ac:dyDescent="0.2">
      <c r="G28069" s="889"/>
    </row>
    <row r="28070" spans="7:7" ht="10.5" customHeight="1" x14ac:dyDescent="0.2">
      <c r="G28070" s="889"/>
    </row>
    <row r="28071" spans="7:7" ht="10.5" customHeight="1" x14ac:dyDescent="0.2">
      <c r="G28071" s="889"/>
    </row>
    <row r="28072" spans="7:7" ht="10.5" customHeight="1" x14ac:dyDescent="0.2">
      <c r="G28072" s="889"/>
    </row>
    <row r="28073" spans="7:7" ht="10.5" customHeight="1" x14ac:dyDescent="0.2">
      <c r="G28073" s="889"/>
    </row>
    <row r="28074" spans="7:7" ht="10.5" customHeight="1" x14ac:dyDescent="0.2">
      <c r="G28074" s="889"/>
    </row>
    <row r="28075" spans="7:7" ht="10.5" customHeight="1" x14ac:dyDescent="0.2">
      <c r="G28075" s="889"/>
    </row>
    <row r="28076" spans="7:7" ht="10.5" customHeight="1" x14ac:dyDescent="0.2">
      <c r="G28076" s="889"/>
    </row>
    <row r="28077" spans="7:7" ht="10.5" customHeight="1" x14ac:dyDescent="0.2">
      <c r="G28077" s="889"/>
    </row>
    <row r="28078" spans="7:7" ht="10.5" customHeight="1" x14ac:dyDescent="0.2">
      <c r="G28078" s="889"/>
    </row>
    <row r="28079" spans="7:7" ht="10.5" customHeight="1" x14ac:dyDescent="0.2">
      <c r="G28079" s="889"/>
    </row>
    <row r="28080" spans="7:7" ht="10.5" customHeight="1" x14ac:dyDescent="0.2">
      <c r="G28080" s="889"/>
    </row>
    <row r="28081" spans="7:7" ht="10.5" customHeight="1" x14ac:dyDescent="0.2">
      <c r="G28081" s="889"/>
    </row>
    <row r="28082" spans="7:7" ht="10.5" customHeight="1" x14ac:dyDescent="0.2">
      <c r="G28082" s="889"/>
    </row>
    <row r="28083" spans="7:7" ht="10.5" customHeight="1" x14ac:dyDescent="0.2">
      <c r="G28083" s="889"/>
    </row>
    <row r="28084" spans="7:7" ht="10.5" customHeight="1" x14ac:dyDescent="0.2">
      <c r="G28084" s="889"/>
    </row>
    <row r="28085" spans="7:7" ht="10.5" customHeight="1" x14ac:dyDescent="0.2">
      <c r="G28085" s="889"/>
    </row>
    <row r="28086" spans="7:7" ht="10.5" customHeight="1" x14ac:dyDescent="0.2">
      <c r="G28086" s="889"/>
    </row>
    <row r="28087" spans="7:7" ht="10.5" customHeight="1" x14ac:dyDescent="0.2">
      <c r="G28087" s="889"/>
    </row>
    <row r="28088" spans="7:7" ht="10.5" customHeight="1" x14ac:dyDescent="0.2">
      <c r="G28088" s="889"/>
    </row>
    <row r="28089" spans="7:7" ht="10.5" customHeight="1" x14ac:dyDescent="0.2">
      <c r="G28089" s="889"/>
    </row>
    <row r="28090" spans="7:7" ht="10.5" customHeight="1" x14ac:dyDescent="0.2">
      <c r="G28090" s="889"/>
    </row>
    <row r="28091" spans="7:7" ht="10.5" customHeight="1" x14ac:dyDescent="0.2">
      <c r="G28091" s="889"/>
    </row>
    <row r="28092" spans="7:7" ht="10.5" customHeight="1" x14ac:dyDescent="0.2">
      <c r="G28092" s="889"/>
    </row>
    <row r="28093" spans="7:7" ht="10.5" customHeight="1" x14ac:dyDescent="0.2">
      <c r="G28093" s="889"/>
    </row>
    <row r="28094" spans="7:7" ht="10.5" customHeight="1" x14ac:dyDescent="0.2">
      <c r="G28094" s="889"/>
    </row>
    <row r="28095" spans="7:7" ht="10.5" customHeight="1" x14ac:dyDescent="0.2">
      <c r="G28095" s="889"/>
    </row>
    <row r="28096" spans="7:7" ht="10.5" customHeight="1" x14ac:dyDescent="0.2">
      <c r="G28096" s="889"/>
    </row>
    <row r="28097" spans="7:7" ht="10.5" customHeight="1" x14ac:dyDescent="0.2">
      <c r="G28097" s="889"/>
    </row>
    <row r="28098" spans="7:7" ht="10.5" customHeight="1" x14ac:dyDescent="0.2">
      <c r="G28098" s="889"/>
    </row>
    <row r="28099" spans="7:7" ht="10.5" customHeight="1" x14ac:dyDescent="0.2">
      <c r="G28099" s="889"/>
    </row>
    <row r="28100" spans="7:7" ht="10.5" customHeight="1" x14ac:dyDescent="0.2">
      <c r="G28100" s="889"/>
    </row>
    <row r="28101" spans="7:7" ht="10.5" customHeight="1" x14ac:dyDescent="0.2">
      <c r="G28101" s="889"/>
    </row>
    <row r="28102" spans="7:7" ht="10.5" customHeight="1" x14ac:dyDescent="0.2">
      <c r="G28102" s="889"/>
    </row>
    <row r="28103" spans="7:7" ht="10.5" customHeight="1" x14ac:dyDescent="0.2">
      <c r="G28103" s="889"/>
    </row>
    <row r="28104" spans="7:7" ht="10.5" customHeight="1" x14ac:dyDescent="0.2">
      <c r="G28104" s="889"/>
    </row>
    <row r="28105" spans="7:7" ht="10.5" customHeight="1" x14ac:dyDescent="0.2">
      <c r="G28105" s="889"/>
    </row>
    <row r="28106" spans="7:7" ht="10.5" customHeight="1" x14ac:dyDescent="0.2">
      <c r="G28106" s="889"/>
    </row>
    <row r="28107" spans="7:7" ht="10.5" customHeight="1" x14ac:dyDescent="0.2">
      <c r="G28107" s="889"/>
    </row>
    <row r="28108" spans="7:7" ht="10.5" customHeight="1" x14ac:dyDescent="0.2">
      <c r="G28108" s="889"/>
    </row>
    <row r="28109" spans="7:7" ht="10.5" customHeight="1" x14ac:dyDescent="0.2">
      <c r="G28109" s="889"/>
    </row>
    <row r="28110" spans="7:7" ht="10.5" customHeight="1" x14ac:dyDescent="0.2">
      <c r="G28110" s="889"/>
    </row>
    <row r="28111" spans="7:7" ht="10.5" customHeight="1" x14ac:dyDescent="0.2">
      <c r="G28111" s="889"/>
    </row>
    <row r="28112" spans="7:7" ht="10.5" customHeight="1" x14ac:dyDescent="0.2">
      <c r="G28112" s="889"/>
    </row>
    <row r="28113" spans="7:7" ht="10.5" customHeight="1" x14ac:dyDescent="0.2">
      <c r="G28113" s="889"/>
    </row>
    <row r="28114" spans="7:7" ht="10.5" customHeight="1" x14ac:dyDescent="0.2">
      <c r="G28114" s="889"/>
    </row>
    <row r="28115" spans="7:7" ht="10.5" customHeight="1" x14ac:dyDescent="0.2">
      <c r="G28115" s="889"/>
    </row>
    <row r="28116" spans="7:7" ht="10.5" customHeight="1" x14ac:dyDescent="0.2">
      <c r="G28116" s="889"/>
    </row>
    <row r="28117" spans="7:7" ht="10.5" customHeight="1" x14ac:dyDescent="0.2">
      <c r="G28117" s="889"/>
    </row>
    <row r="28118" spans="7:7" ht="10.5" customHeight="1" x14ac:dyDescent="0.2">
      <c r="G28118" s="889"/>
    </row>
    <row r="28119" spans="7:7" ht="10.5" customHeight="1" x14ac:dyDescent="0.2">
      <c r="G28119" s="889"/>
    </row>
    <row r="28120" spans="7:7" ht="10.5" customHeight="1" x14ac:dyDescent="0.2">
      <c r="G28120" s="889"/>
    </row>
    <row r="28121" spans="7:7" ht="10.5" customHeight="1" x14ac:dyDescent="0.2">
      <c r="G28121" s="889"/>
    </row>
    <row r="28122" spans="7:7" ht="10.5" customHeight="1" x14ac:dyDescent="0.2">
      <c r="G28122" s="889"/>
    </row>
    <row r="28123" spans="7:7" ht="10.5" customHeight="1" x14ac:dyDescent="0.2">
      <c r="G28123" s="889"/>
    </row>
    <row r="28124" spans="7:7" ht="10.5" customHeight="1" x14ac:dyDescent="0.2">
      <c r="G28124" s="889"/>
    </row>
    <row r="28125" spans="7:7" ht="10.5" customHeight="1" x14ac:dyDescent="0.2">
      <c r="G28125" s="889"/>
    </row>
    <row r="28126" spans="7:7" ht="10.5" customHeight="1" x14ac:dyDescent="0.2">
      <c r="G28126" s="889"/>
    </row>
    <row r="28127" spans="7:7" ht="10.5" customHeight="1" x14ac:dyDescent="0.2">
      <c r="G28127" s="889"/>
    </row>
    <row r="28128" spans="7:7" ht="10.5" customHeight="1" x14ac:dyDescent="0.2">
      <c r="G28128" s="889"/>
    </row>
    <row r="28129" spans="7:7" ht="10.5" customHeight="1" x14ac:dyDescent="0.2">
      <c r="G28129" s="889"/>
    </row>
    <row r="28130" spans="7:7" ht="10.5" customHeight="1" x14ac:dyDescent="0.2">
      <c r="G28130" s="889"/>
    </row>
    <row r="28131" spans="7:7" ht="10.5" customHeight="1" x14ac:dyDescent="0.2">
      <c r="G28131" s="889"/>
    </row>
    <row r="28132" spans="7:7" ht="10.5" customHeight="1" x14ac:dyDescent="0.2">
      <c r="G28132" s="889"/>
    </row>
    <row r="28133" spans="7:7" ht="10.5" customHeight="1" x14ac:dyDescent="0.2">
      <c r="G28133" s="889"/>
    </row>
    <row r="28134" spans="7:7" ht="10.5" customHeight="1" x14ac:dyDescent="0.2">
      <c r="G28134" s="889"/>
    </row>
    <row r="28135" spans="7:7" ht="10.5" customHeight="1" x14ac:dyDescent="0.2">
      <c r="G28135" s="889"/>
    </row>
    <row r="28136" spans="7:7" ht="10.5" customHeight="1" x14ac:dyDescent="0.2">
      <c r="G28136" s="889"/>
    </row>
    <row r="28137" spans="7:7" ht="10.5" customHeight="1" x14ac:dyDescent="0.2">
      <c r="G28137" s="889"/>
    </row>
    <row r="28138" spans="7:7" ht="10.5" customHeight="1" x14ac:dyDescent="0.2">
      <c r="G28138" s="889"/>
    </row>
    <row r="28139" spans="7:7" ht="10.5" customHeight="1" x14ac:dyDescent="0.2">
      <c r="G28139" s="889"/>
    </row>
    <row r="28140" spans="7:7" ht="10.5" customHeight="1" x14ac:dyDescent="0.2">
      <c r="G28140" s="889"/>
    </row>
    <row r="28141" spans="7:7" ht="10.5" customHeight="1" x14ac:dyDescent="0.2">
      <c r="G28141" s="889"/>
    </row>
    <row r="28142" spans="7:7" ht="10.5" customHeight="1" x14ac:dyDescent="0.2">
      <c r="G28142" s="889"/>
    </row>
    <row r="28143" spans="7:7" ht="10.5" customHeight="1" x14ac:dyDescent="0.2">
      <c r="G28143" s="889"/>
    </row>
    <row r="28144" spans="7:7" ht="10.5" customHeight="1" x14ac:dyDescent="0.2">
      <c r="G28144" s="889"/>
    </row>
    <row r="28145" spans="7:7" ht="10.5" customHeight="1" x14ac:dyDescent="0.2">
      <c r="G28145" s="889"/>
    </row>
    <row r="28146" spans="7:7" ht="10.5" customHeight="1" x14ac:dyDescent="0.2">
      <c r="G28146" s="889"/>
    </row>
    <row r="28147" spans="7:7" ht="10.5" customHeight="1" x14ac:dyDescent="0.2">
      <c r="G28147" s="889"/>
    </row>
    <row r="28148" spans="7:7" ht="10.5" customHeight="1" x14ac:dyDescent="0.2">
      <c r="G28148" s="889"/>
    </row>
    <row r="28149" spans="7:7" ht="10.5" customHeight="1" x14ac:dyDescent="0.2">
      <c r="G28149" s="889"/>
    </row>
    <row r="28150" spans="7:7" ht="10.5" customHeight="1" x14ac:dyDescent="0.2">
      <c r="G28150" s="889"/>
    </row>
    <row r="28151" spans="7:7" ht="10.5" customHeight="1" x14ac:dyDescent="0.2">
      <c r="G28151" s="889"/>
    </row>
    <row r="28152" spans="7:7" ht="10.5" customHeight="1" x14ac:dyDescent="0.2">
      <c r="G28152" s="889"/>
    </row>
    <row r="28153" spans="7:7" ht="10.5" customHeight="1" x14ac:dyDescent="0.2">
      <c r="G28153" s="889"/>
    </row>
    <row r="28154" spans="7:7" ht="10.5" customHeight="1" x14ac:dyDescent="0.2">
      <c r="G28154" s="889"/>
    </row>
    <row r="28155" spans="7:7" ht="10.5" customHeight="1" x14ac:dyDescent="0.2">
      <c r="G28155" s="889"/>
    </row>
    <row r="28156" spans="7:7" ht="10.5" customHeight="1" x14ac:dyDescent="0.2">
      <c r="G28156" s="889"/>
    </row>
    <row r="28157" spans="7:7" ht="10.5" customHeight="1" x14ac:dyDescent="0.2">
      <c r="G28157" s="889"/>
    </row>
    <row r="28158" spans="7:7" ht="10.5" customHeight="1" x14ac:dyDescent="0.2">
      <c r="G28158" s="889"/>
    </row>
    <row r="28159" spans="7:7" ht="10.5" customHeight="1" x14ac:dyDescent="0.2">
      <c r="G28159" s="889"/>
    </row>
    <row r="28160" spans="7:7" ht="10.5" customHeight="1" x14ac:dyDescent="0.2">
      <c r="G28160" s="889"/>
    </row>
    <row r="28161" spans="7:7" ht="10.5" customHeight="1" x14ac:dyDescent="0.2">
      <c r="G28161" s="889"/>
    </row>
    <row r="28162" spans="7:7" ht="10.5" customHeight="1" x14ac:dyDescent="0.2">
      <c r="G28162" s="889"/>
    </row>
    <row r="28163" spans="7:7" ht="10.5" customHeight="1" x14ac:dyDescent="0.2">
      <c r="G28163" s="889"/>
    </row>
    <row r="28164" spans="7:7" ht="10.5" customHeight="1" x14ac:dyDescent="0.2">
      <c r="G28164" s="889"/>
    </row>
    <row r="28165" spans="7:7" ht="10.5" customHeight="1" x14ac:dyDescent="0.2">
      <c r="G28165" s="889"/>
    </row>
    <row r="28166" spans="7:7" ht="10.5" customHeight="1" x14ac:dyDescent="0.2">
      <c r="G28166" s="889"/>
    </row>
    <row r="28167" spans="7:7" ht="10.5" customHeight="1" x14ac:dyDescent="0.2">
      <c r="G28167" s="889"/>
    </row>
    <row r="28168" spans="7:7" ht="10.5" customHeight="1" x14ac:dyDescent="0.2">
      <c r="G28168" s="889"/>
    </row>
    <row r="28169" spans="7:7" ht="10.5" customHeight="1" x14ac:dyDescent="0.2">
      <c r="G28169" s="889"/>
    </row>
    <row r="28170" spans="7:7" ht="10.5" customHeight="1" x14ac:dyDescent="0.2">
      <c r="G28170" s="889"/>
    </row>
    <row r="28171" spans="7:7" ht="10.5" customHeight="1" x14ac:dyDescent="0.2">
      <c r="G28171" s="889"/>
    </row>
    <row r="28172" spans="7:7" ht="10.5" customHeight="1" x14ac:dyDescent="0.2">
      <c r="G28172" s="889"/>
    </row>
    <row r="28173" spans="7:7" ht="10.5" customHeight="1" x14ac:dyDescent="0.2">
      <c r="G28173" s="889"/>
    </row>
    <row r="28174" spans="7:7" ht="10.5" customHeight="1" x14ac:dyDescent="0.2">
      <c r="G28174" s="889"/>
    </row>
    <row r="28175" spans="7:7" ht="10.5" customHeight="1" x14ac:dyDescent="0.2">
      <c r="G28175" s="889"/>
    </row>
    <row r="28176" spans="7:7" ht="10.5" customHeight="1" x14ac:dyDescent="0.2">
      <c r="G28176" s="889"/>
    </row>
    <row r="28177" spans="7:7" ht="10.5" customHeight="1" x14ac:dyDescent="0.2">
      <c r="G28177" s="889"/>
    </row>
    <row r="28178" spans="7:7" ht="10.5" customHeight="1" x14ac:dyDescent="0.2">
      <c r="G28178" s="889"/>
    </row>
    <row r="28179" spans="7:7" ht="10.5" customHeight="1" x14ac:dyDescent="0.2">
      <c r="G28179" s="889"/>
    </row>
    <row r="28180" spans="7:7" ht="10.5" customHeight="1" x14ac:dyDescent="0.2">
      <c r="G28180" s="889"/>
    </row>
    <row r="28181" spans="7:7" ht="10.5" customHeight="1" x14ac:dyDescent="0.2">
      <c r="G28181" s="889"/>
    </row>
    <row r="28182" spans="7:7" ht="10.5" customHeight="1" x14ac:dyDescent="0.2">
      <c r="G28182" s="889"/>
    </row>
    <row r="28183" spans="7:7" ht="10.5" customHeight="1" x14ac:dyDescent="0.2">
      <c r="G28183" s="889"/>
    </row>
    <row r="28184" spans="7:7" ht="10.5" customHeight="1" x14ac:dyDescent="0.2">
      <c r="G28184" s="889"/>
    </row>
    <row r="28185" spans="7:7" ht="10.5" customHeight="1" x14ac:dyDescent="0.2">
      <c r="G28185" s="889"/>
    </row>
    <row r="28186" spans="7:7" ht="10.5" customHeight="1" x14ac:dyDescent="0.2">
      <c r="G28186" s="889"/>
    </row>
    <row r="28187" spans="7:7" ht="10.5" customHeight="1" x14ac:dyDescent="0.2">
      <c r="G28187" s="889"/>
    </row>
    <row r="28188" spans="7:7" ht="10.5" customHeight="1" x14ac:dyDescent="0.2">
      <c r="G28188" s="889"/>
    </row>
    <row r="28189" spans="7:7" ht="10.5" customHeight="1" x14ac:dyDescent="0.2">
      <c r="G28189" s="889"/>
    </row>
    <row r="28190" spans="7:7" ht="10.5" customHeight="1" x14ac:dyDescent="0.2">
      <c r="G28190" s="889"/>
    </row>
    <row r="28191" spans="7:7" ht="10.5" customHeight="1" x14ac:dyDescent="0.2">
      <c r="G28191" s="889"/>
    </row>
    <row r="28192" spans="7:7" ht="10.5" customHeight="1" x14ac:dyDescent="0.2">
      <c r="G28192" s="889"/>
    </row>
    <row r="28193" spans="7:7" ht="10.5" customHeight="1" x14ac:dyDescent="0.2">
      <c r="G28193" s="889"/>
    </row>
    <row r="28194" spans="7:7" ht="10.5" customHeight="1" x14ac:dyDescent="0.2">
      <c r="G28194" s="889"/>
    </row>
    <row r="28195" spans="7:7" ht="10.5" customHeight="1" x14ac:dyDescent="0.2">
      <c r="G28195" s="889"/>
    </row>
    <row r="28196" spans="7:7" ht="10.5" customHeight="1" x14ac:dyDescent="0.2">
      <c r="G28196" s="889"/>
    </row>
    <row r="28197" spans="7:7" ht="10.5" customHeight="1" x14ac:dyDescent="0.2">
      <c r="G28197" s="889"/>
    </row>
    <row r="28198" spans="7:7" ht="10.5" customHeight="1" x14ac:dyDescent="0.2">
      <c r="G28198" s="889"/>
    </row>
    <row r="28199" spans="7:7" ht="10.5" customHeight="1" x14ac:dyDescent="0.2">
      <c r="G28199" s="889"/>
    </row>
    <row r="28200" spans="7:7" ht="10.5" customHeight="1" x14ac:dyDescent="0.2">
      <c r="G28200" s="889"/>
    </row>
    <row r="28201" spans="7:7" ht="10.5" customHeight="1" x14ac:dyDescent="0.2">
      <c r="G28201" s="889"/>
    </row>
    <row r="28202" spans="7:7" ht="10.5" customHeight="1" x14ac:dyDescent="0.2">
      <c r="G28202" s="889"/>
    </row>
    <row r="28203" spans="7:7" ht="10.5" customHeight="1" x14ac:dyDescent="0.2">
      <c r="G28203" s="889"/>
    </row>
    <row r="28204" spans="7:7" ht="10.5" customHeight="1" x14ac:dyDescent="0.2">
      <c r="G28204" s="889"/>
    </row>
    <row r="28205" spans="7:7" ht="10.5" customHeight="1" x14ac:dyDescent="0.2">
      <c r="G28205" s="889"/>
    </row>
    <row r="28206" spans="7:7" ht="10.5" customHeight="1" x14ac:dyDescent="0.2">
      <c r="G28206" s="889"/>
    </row>
    <row r="28207" spans="7:7" ht="10.5" customHeight="1" x14ac:dyDescent="0.2">
      <c r="G28207" s="889"/>
    </row>
    <row r="28208" spans="7:7" ht="10.5" customHeight="1" x14ac:dyDescent="0.2">
      <c r="G28208" s="889"/>
    </row>
    <row r="28209" spans="7:7" ht="10.5" customHeight="1" x14ac:dyDescent="0.2">
      <c r="G28209" s="889"/>
    </row>
    <row r="28210" spans="7:7" ht="10.5" customHeight="1" x14ac:dyDescent="0.2">
      <c r="G28210" s="889"/>
    </row>
    <row r="28211" spans="7:7" ht="10.5" customHeight="1" x14ac:dyDescent="0.2">
      <c r="G28211" s="889"/>
    </row>
    <row r="28212" spans="7:7" ht="10.5" customHeight="1" x14ac:dyDescent="0.2">
      <c r="G28212" s="889"/>
    </row>
    <row r="28213" spans="7:7" ht="10.5" customHeight="1" x14ac:dyDescent="0.2">
      <c r="G28213" s="889"/>
    </row>
    <row r="28214" spans="7:7" ht="10.5" customHeight="1" x14ac:dyDescent="0.2">
      <c r="G28214" s="889"/>
    </row>
    <row r="28215" spans="7:7" ht="10.5" customHeight="1" x14ac:dyDescent="0.2">
      <c r="G28215" s="889"/>
    </row>
    <row r="28216" spans="7:7" ht="10.5" customHeight="1" x14ac:dyDescent="0.2">
      <c r="G28216" s="889"/>
    </row>
    <row r="28217" spans="7:7" ht="10.5" customHeight="1" x14ac:dyDescent="0.2">
      <c r="G28217" s="889"/>
    </row>
    <row r="28218" spans="7:7" ht="10.5" customHeight="1" x14ac:dyDescent="0.2">
      <c r="G28218" s="889"/>
    </row>
    <row r="28219" spans="7:7" ht="10.5" customHeight="1" x14ac:dyDescent="0.2">
      <c r="G28219" s="889"/>
    </row>
    <row r="28220" spans="7:7" ht="10.5" customHeight="1" x14ac:dyDescent="0.2">
      <c r="G28220" s="889"/>
    </row>
    <row r="28221" spans="7:7" ht="10.5" customHeight="1" x14ac:dyDescent="0.2">
      <c r="G28221" s="889"/>
    </row>
    <row r="28222" spans="7:7" ht="10.5" customHeight="1" x14ac:dyDescent="0.2">
      <c r="G28222" s="889"/>
    </row>
    <row r="28223" spans="7:7" ht="10.5" customHeight="1" x14ac:dyDescent="0.2">
      <c r="G28223" s="889"/>
    </row>
    <row r="28224" spans="7:7" ht="10.5" customHeight="1" x14ac:dyDescent="0.2">
      <c r="G28224" s="889"/>
    </row>
    <row r="28225" spans="7:7" ht="10.5" customHeight="1" x14ac:dyDescent="0.2">
      <c r="G28225" s="889"/>
    </row>
    <row r="28226" spans="7:7" ht="10.5" customHeight="1" x14ac:dyDescent="0.2">
      <c r="G28226" s="889"/>
    </row>
    <row r="28227" spans="7:7" ht="10.5" customHeight="1" x14ac:dyDescent="0.2">
      <c r="G28227" s="889"/>
    </row>
    <row r="28228" spans="7:7" ht="10.5" customHeight="1" x14ac:dyDescent="0.2">
      <c r="G28228" s="889"/>
    </row>
    <row r="28229" spans="7:7" ht="10.5" customHeight="1" x14ac:dyDescent="0.2">
      <c r="G28229" s="889"/>
    </row>
    <row r="28230" spans="7:7" ht="10.5" customHeight="1" x14ac:dyDescent="0.2">
      <c r="G28230" s="889"/>
    </row>
    <row r="28231" spans="7:7" ht="10.5" customHeight="1" x14ac:dyDescent="0.2">
      <c r="G28231" s="889"/>
    </row>
    <row r="28232" spans="7:7" ht="10.5" customHeight="1" x14ac:dyDescent="0.2">
      <c r="G28232" s="889"/>
    </row>
    <row r="28233" spans="7:7" ht="10.5" customHeight="1" x14ac:dyDescent="0.2">
      <c r="G28233" s="889"/>
    </row>
    <row r="28234" spans="7:7" ht="10.5" customHeight="1" x14ac:dyDescent="0.2">
      <c r="G28234" s="889"/>
    </row>
    <row r="28235" spans="7:7" ht="10.5" customHeight="1" x14ac:dyDescent="0.2">
      <c r="G28235" s="889"/>
    </row>
    <row r="28236" spans="7:7" ht="10.5" customHeight="1" x14ac:dyDescent="0.2">
      <c r="G28236" s="889"/>
    </row>
    <row r="28237" spans="7:7" ht="10.5" customHeight="1" x14ac:dyDescent="0.2">
      <c r="G28237" s="889"/>
    </row>
    <row r="28238" spans="7:7" ht="10.5" customHeight="1" x14ac:dyDescent="0.2">
      <c r="G28238" s="889"/>
    </row>
    <row r="28239" spans="7:7" ht="10.5" customHeight="1" x14ac:dyDescent="0.2">
      <c r="G28239" s="889"/>
    </row>
    <row r="28240" spans="7:7" ht="10.5" customHeight="1" x14ac:dyDescent="0.2">
      <c r="G28240" s="889"/>
    </row>
    <row r="28241" spans="7:7" ht="10.5" customHeight="1" x14ac:dyDescent="0.2">
      <c r="G28241" s="889"/>
    </row>
    <row r="28242" spans="7:7" ht="10.5" customHeight="1" x14ac:dyDescent="0.2">
      <c r="G28242" s="889"/>
    </row>
    <row r="28243" spans="7:7" ht="10.5" customHeight="1" x14ac:dyDescent="0.2">
      <c r="G28243" s="889"/>
    </row>
    <row r="28244" spans="7:7" ht="10.5" customHeight="1" x14ac:dyDescent="0.2">
      <c r="G28244" s="889"/>
    </row>
    <row r="28245" spans="7:7" ht="10.5" customHeight="1" x14ac:dyDescent="0.2">
      <c r="G28245" s="889"/>
    </row>
    <row r="28246" spans="7:7" ht="10.5" customHeight="1" x14ac:dyDescent="0.2">
      <c r="G28246" s="889"/>
    </row>
    <row r="28247" spans="7:7" ht="10.5" customHeight="1" x14ac:dyDescent="0.2">
      <c r="G28247" s="889"/>
    </row>
    <row r="28248" spans="7:7" ht="10.5" customHeight="1" x14ac:dyDescent="0.2">
      <c r="G28248" s="889"/>
    </row>
    <row r="28249" spans="7:7" ht="10.5" customHeight="1" x14ac:dyDescent="0.2">
      <c r="G28249" s="889"/>
    </row>
    <row r="28250" spans="7:7" ht="10.5" customHeight="1" x14ac:dyDescent="0.2">
      <c r="G28250" s="889"/>
    </row>
    <row r="28251" spans="7:7" ht="10.5" customHeight="1" x14ac:dyDescent="0.2">
      <c r="G28251" s="889"/>
    </row>
    <row r="28252" spans="7:7" ht="10.5" customHeight="1" x14ac:dyDescent="0.2">
      <c r="G28252" s="889"/>
    </row>
    <row r="28253" spans="7:7" ht="10.5" customHeight="1" x14ac:dyDescent="0.2">
      <c r="G28253" s="889"/>
    </row>
    <row r="28254" spans="7:7" ht="10.5" customHeight="1" x14ac:dyDescent="0.2">
      <c r="G28254" s="889"/>
    </row>
    <row r="28255" spans="7:7" ht="10.5" customHeight="1" x14ac:dyDescent="0.2">
      <c r="G28255" s="889"/>
    </row>
    <row r="28256" spans="7:7" ht="10.5" customHeight="1" x14ac:dyDescent="0.2">
      <c r="G28256" s="889"/>
    </row>
    <row r="28257" spans="7:7" ht="10.5" customHeight="1" x14ac:dyDescent="0.2">
      <c r="G28257" s="889"/>
    </row>
    <row r="28258" spans="7:7" ht="10.5" customHeight="1" x14ac:dyDescent="0.2">
      <c r="G28258" s="889"/>
    </row>
    <row r="28259" spans="7:7" ht="10.5" customHeight="1" x14ac:dyDescent="0.2">
      <c r="G28259" s="889"/>
    </row>
    <row r="28260" spans="7:7" ht="10.5" customHeight="1" x14ac:dyDescent="0.2">
      <c r="G28260" s="889"/>
    </row>
    <row r="28261" spans="7:7" ht="10.5" customHeight="1" x14ac:dyDescent="0.2">
      <c r="G28261" s="889"/>
    </row>
    <row r="28262" spans="7:7" ht="10.5" customHeight="1" x14ac:dyDescent="0.2">
      <c r="G28262" s="889"/>
    </row>
    <row r="28263" spans="7:7" ht="10.5" customHeight="1" x14ac:dyDescent="0.2">
      <c r="G28263" s="889"/>
    </row>
    <row r="28264" spans="7:7" ht="10.5" customHeight="1" x14ac:dyDescent="0.2">
      <c r="G28264" s="889"/>
    </row>
    <row r="28265" spans="7:7" ht="10.5" customHeight="1" x14ac:dyDescent="0.2">
      <c r="G28265" s="889"/>
    </row>
    <row r="28266" spans="7:7" ht="10.5" customHeight="1" x14ac:dyDescent="0.2">
      <c r="G28266" s="889"/>
    </row>
    <row r="28267" spans="7:7" ht="10.5" customHeight="1" x14ac:dyDescent="0.2">
      <c r="G28267" s="889"/>
    </row>
    <row r="28268" spans="7:7" ht="10.5" customHeight="1" x14ac:dyDescent="0.2">
      <c r="G28268" s="889"/>
    </row>
    <row r="28269" spans="7:7" ht="10.5" customHeight="1" x14ac:dyDescent="0.2">
      <c r="G28269" s="889"/>
    </row>
    <row r="28270" spans="7:7" ht="10.5" customHeight="1" x14ac:dyDescent="0.2">
      <c r="G28270" s="889"/>
    </row>
    <row r="28271" spans="7:7" ht="10.5" customHeight="1" x14ac:dyDescent="0.2">
      <c r="G28271" s="889"/>
    </row>
    <row r="28272" spans="7:7" ht="10.5" customHeight="1" x14ac:dyDescent="0.2">
      <c r="G28272" s="889"/>
    </row>
    <row r="28273" spans="7:7" ht="10.5" customHeight="1" x14ac:dyDescent="0.2">
      <c r="G28273" s="889"/>
    </row>
    <row r="28274" spans="7:7" ht="10.5" customHeight="1" x14ac:dyDescent="0.2">
      <c r="G28274" s="889"/>
    </row>
    <row r="28275" spans="7:7" ht="10.5" customHeight="1" x14ac:dyDescent="0.2">
      <c r="G28275" s="889"/>
    </row>
    <row r="28276" spans="7:7" ht="10.5" customHeight="1" x14ac:dyDescent="0.2">
      <c r="G28276" s="889"/>
    </row>
    <row r="28277" spans="7:7" ht="10.5" customHeight="1" x14ac:dyDescent="0.2">
      <c r="G28277" s="889"/>
    </row>
    <row r="28278" spans="7:7" ht="10.5" customHeight="1" x14ac:dyDescent="0.2">
      <c r="G28278" s="889"/>
    </row>
    <row r="28279" spans="7:7" ht="10.5" customHeight="1" x14ac:dyDescent="0.2">
      <c r="G28279" s="889"/>
    </row>
    <row r="28280" spans="7:7" ht="10.5" customHeight="1" x14ac:dyDescent="0.2">
      <c r="G28280" s="889"/>
    </row>
    <row r="28281" spans="7:7" ht="10.5" customHeight="1" x14ac:dyDescent="0.2">
      <c r="G28281" s="889"/>
    </row>
    <row r="28282" spans="7:7" ht="10.5" customHeight="1" x14ac:dyDescent="0.2">
      <c r="G28282" s="889"/>
    </row>
    <row r="28283" spans="7:7" ht="10.5" customHeight="1" x14ac:dyDescent="0.2">
      <c r="G28283" s="889"/>
    </row>
    <row r="28284" spans="7:7" ht="10.5" customHeight="1" x14ac:dyDescent="0.2">
      <c r="G28284" s="889"/>
    </row>
    <row r="28285" spans="7:7" ht="10.5" customHeight="1" x14ac:dyDescent="0.2">
      <c r="G28285" s="889"/>
    </row>
    <row r="28286" spans="7:7" ht="10.5" customHeight="1" x14ac:dyDescent="0.2">
      <c r="G28286" s="889"/>
    </row>
    <row r="28287" spans="7:7" ht="10.5" customHeight="1" x14ac:dyDescent="0.2">
      <c r="G28287" s="889"/>
    </row>
    <row r="28288" spans="7:7" ht="10.5" customHeight="1" x14ac:dyDescent="0.2">
      <c r="G28288" s="889"/>
    </row>
    <row r="28289" spans="7:7" ht="10.5" customHeight="1" x14ac:dyDescent="0.2">
      <c r="G28289" s="889"/>
    </row>
    <row r="28290" spans="7:7" ht="10.5" customHeight="1" x14ac:dyDescent="0.2">
      <c r="G28290" s="889"/>
    </row>
    <row r="28291" spans="7:7" ht="10.5" customHeight="1" x14ac:dyDescent="0.2">
      <c r="G28291" s="889"/>
    </row>
    <row r="28292" spans="7:7" ht="10.5" customHeight="1" x14ac:dyDescent="0.2">
      <c r="G28292" s="889"/>
    </row>
    <row r="28293" spans="7:7" ht="10.5" customHeight="1" x14ac:dyDescent="0.2">
      <c r="G28293" s="889"/>
    </row>
    <row r="28294" spans="7:7" ht="10.5" customHeight="1" x14ac:dyDescent="0.2">
      <c r="G28294" s="889"/>
    </row>
    <row r="28295" spans="7:7" ht="10.5" customHeight="1" x14ac:dyDescent="0.2">
      <c r="G28295" s="889"/>
    </row>
    <row r="28296" spans="7:7" ht="10.5" customHeight="1" x14ac:dyDescent="0.2">
      <c r="G28296" s="889"/>
    </row>
    <row r="28297" spans="7:7" ht="10.5" customHeight="1" x14ac:dyDescent="0.2">
      <c r="G28297" s="889"/>
    </row>
    <row r="28298" spans="7:7" ht="10.5" customHeight="1" x14ac:dyDescent="0.2">
      <c r="G28298" s="889"/>
    </row>
    <row r="28299" spans="7:7" ht="10.5" customHeight="1" x14ac:dyDescent="0.2">
      <c r="G28299" s="889"/>
    </row>
    <row r="28300" spans="7:7" ht="10.5" customHeight="1" x14ac:dyDescent="0.2">
      <c r="G28300" s="889"/>
    </row>
    <row r="28301" spans="7:7" ht="10.5" customHeight="1" x14ac:dyDescent="0.2">
      <c r="G28301" s="889"/>
    </row>
    <row r="28302" spans="7:7" ht="10.5" customHeight="1" x14ac:dyDescent="0.2">
      <c r="G28302" s="889"/>
    </row>
    <row r="28303" spans="7:7" ht="10.5" customHeight="1" x14ac:dyDescent="0.2">
      <c r="G28303" s="889"/>
    </row>
    <row r="28304" spans="7:7" ht="10.5" customHeight="1" x14ac:dyDescent="0.2">
      <c r="G28304" s="889"/>
    </row>
    <row r="28305" spans="7:7" ht="10.5" customHeight="1" x14ac:dyDescent="0.2">
      <c r="G28305" s="889"/>
    </row>
    <row r="28306" spans="7:7" ht="10.5" customHeight="1" x14ac:dyDescent="0.2">
      <c r="G28306" s="889"/>
    </row>
    <row r="28307" spans="7:7" ht="10.5" customHeight="1" x14ac:dyDescent="0.2">
      <c r="G28307" s="889"/>
    </row>
    <row r="28308" spans="7:7" ht="10.5" customHeight="1" x14ac:dyDescent="0.2">
      <c r="G28308" s="889"/>
    </row>
    <row r="28309" spans="7:7" ht="10.5" customHeight="1" x14ac:dyDescent="0.2">
      <c r="G28309" s="889"/>
    </row>
    <row r="28310" spans="7:7" ht="10.5" customHeight="1" x14ac:dyDescent="0.2">
      <c r="G28310" s="889"/>
    </row>
    <row r="28311" spans="7:7" ht="10.5" customHeight="1" x14ac:dyDescent="0.2">
      <c r="G28311" s="889"/>
    </row>
    <row r="28312" spans="7:7" ht="10.5" customHeight="1" x14ac:dyDescent="0.2">
      <c r="G28312" s="889"/>
    </row>
    <row r="28313" spans="7:7" ht="10.5" customHeight="1" x14ac:dyDescent="0.2">
      <c r="G28313" s="889"/>
    </row>
    <row r="28314" spans="7:7" ht="10.5" customHeight="1" x14ac:dyDescent="0.2">
      <c r="G28314" s="889"/>
    </row>
    <row r="28315" spans="7:7" ht="10.5" customHeight="1" x14ac:dyDescent="0.2">
      <c r="G28315" s="889"/>
    </row>
    <row r="28316" spans="7:7" ht="10.5" customHeight="1" x14ac:dyDescent="0.2">
      <c r="G28316" s="889"/>
    </row>
    <row r="28317" spans="7:7" ht="10.5" customHeight="1" x14ac:dyDescent="0.2">
      <c r="G28317" s="889"/>
    </row>
    <row r="28318" spans="7:7" ht="10.5" customHeight="1" x14ac:dyDescent="0.2">
      <c r="G28318" s="889"/>
    </row>
    <row r="28319" spans="7:7" ht="10.5" customHeight="1" x14ac:dyDescent="0.2">
      <c r="G28319" s="889"/>
    </row>
    <row r="28320" spans="7:7" ht="10.5" customHeight="1" x14ac:dyDescent="0.2">
      <c r="G28320" s="889"/>
    </row>
    <row r="28321" spans="7:7" ht="10.5" customHeight="1" x14ac:dyDescent="0.2">
      <c r="G28321" s="889"/>
    </row>
    <row r="28322" spans="7:7" ht="10.5" customHeight="1" x14ac:dyDescent="0.2">
      <c r="G28322" s="889"/>
    </row>
    <row r="28323" spans="7:7" ht="10.5" customHeight="1" x14ac:dyDescent="0.2">
      <c r="G28323" s="889"/>
    </row>
    <row r="28324" spans="7:7" ht="10.5" customHeight="1" x14ac:dyDescent="0.2">
      <c r="G28324" s="889"/>
    </row>
    <row r="28325" spans="7:7" ht="10.5" customHeight="1" x14ac:dyDescent="0.2">
      <c r="G28325" s="889"/>
    </row>
    <row r="28326" spans="7:7" ht="10.5" customHeight="1" x14ac:dyDescent="0.2">
      <c r="G28326" s="889"/>
    </row>
    <row r="28327" spans="7:7" ht="10.5" customHeight="1" x14ac:dyDescent="0.2">
      <c r="G28327" s="889"/>
    </row>
    <row r="28328" spans="7:7" ht="10.5" customHeight="1" x14ac:dyDescent="0.2">
      <c r="G28328" s="889"/>
    </row>
    <row r="28329" spans="7:7" ht="10.5" customHeight="1" x14ac:dyDescent="0.2">
      <c r="G28329" s="889"/>
    </row>
    <row r="28330" spans="7:7" ht="10.5" customHeight="1" x14ac:dyDescent="0.2">
      <c r="G28330" s="889"/>
    </row>
    <row r="28331" spans="7:7" ht="10.5" customHeight="1" x14ac:dyDescent="0.2">
      <c r="G28331" s="889"/>
    </row>
    <row r="28332" spans="7:7" ht="10.5" customHeight="1" x14ac:dyDescent="0.2">
      <c r="G28332" s="889"/>
    </row>
    <row r="28333" spans="7:7" ht="10.5" customHeight="1" x14ac:dyDescent="0.2">
      <c r="G28333" s="889"/>
    </row>
    <row r="28334" spans="7:7" ht="10.5" customHeight="1" x14ac:dyDescent="0.2">
      <c r="G28334" s="889"/>
    </row>
    <row r="28335" spans="7:7" ht="10.5" customHeight="1" x14ac:dyDescent="0.2">
      <c r="G28335" s="889"/>
    </row>
    <row r="28336" spans="7:7" ht="10.5" customHeight="1" x14ac:dyDescent="0.2">
      <c r="G28336" s="889"/>
    </row>
    <row r="28337" spans="7:7" ht="10.5" customHeight="1" x14ac:dyDescent="0.2">
      <c r="G28337" s="889"/>
    </row>
    <row r="28338" spans="7:7" ht="10.5" customHeight="1" x14ac:dyDescent="0.2">
      <c r="G28338" s="889"/>
    </row>
    <row r="28339" spans="7:7" ht="10.5" customHeight="1" x14ac:dyDescent="0.2">
      <c r="G28339" s="889"/>
    </row>
    <row r="28340" spans="7:7" ht="10.5" customHeight="1" x14ac:dyDescent="0.2">
      <c r="G28340" s="889"/>
    </row>
    <row r="28341" spans="7:7" ht="10.5" customHeight="1" x14ac:dyDescent="0.2">
      <c r="G28341" s="889"/>
    </row>
    <row r="28342" spans="7:7" ht="10.5" customHeight="1" x14ac:dyDescent="0.2">
      <c r="G28342" s="889"/>
    </row>
    <row r="28343" spans="7:7" ht="10.5" customHeight="1" x14ac:dyDescent="0.2">
      <c r="G28343" s="889"/>
    </row>
    <row r="28344" spans="7:7" ht="10.5" customHeight="1" x14ac:dyDescent="0.2">
      <c r="G28344" s="889"/>
    </row>
    <row r="28345" spans="7:7" ht="10.5" customHeight="1" x14ac:dyDescent="0.2">
      <c r="G28345" s="889"/>
    </row>
    <row r="28346" spans="7:7" ht="10.5" customHeight="1" x14ac:dyDescent="0.2">
      <c r="G28346" s="889"/>
    </row>
    <row r="28347" spans="7:7" ht="10.5" customHeight="1" x14ac:dyDescent="0.2">
      <c r="G28347" s="889"/>
    </row>
    <row r="28348" spans="7:7" ht="10.5" customHeight="1" x14ac:dyDescent="0.2">
      <c r="G28348" s="889"/>
    </row>
    <row r="28349" spans="7:7" ht="10.5" customHeight="1" x14ac:dyDescent="0.2">
      <c r="G28349" s="889"/>
    </row>
    <row r="28350" spans="7:7" ht="10.5" customHeight="1" x14ac:dyDescent="0.2">
      <c r="G28350" s="889"/>
    </row>
    <row r="28351" spans="7:7" ht="10.5" customHeight="1" x14ac:dyDescent="0.2">
      <c r="G28351" s="889"/>
    </row>
    <row r="28352" spans="7:7" ht="10.5" customHeight="1" x14ac:dyDescent="0.2">
      <c r="G28352" s="889"/>
    </row>
    <row r="28353" spans="7:7" ht="10.5" customHeight="1" x14ac:dyDescent="0.2">
      <c r="G28353" s="889"/>
    </row>
    <row r="28354" spans="7:7" ht="10.5" customHeight="1" x14ac:dyDescent="0.2">
      <c r="G28354" s="889"/>
    </row>
    <row r="28355" spans="7:7" ht="10.5" customHeight="1" x14ac:dyDescent="0.2">
      <c r="G28355" s="889"/>
    </row>
    <row r="28356" spans="7:7" ht="10.5" customHeight="1" x14ac:dyDescent="0.2">
      <c r="G28356" s="889"/>
    </row>
    <row r="28357" spans="7:7" ht="10.5" customHeight="1" x14ac:dyDescent="0.2">
      <c r="G28357" s="889"/>
    </row>
    <row r="28358" spans="7:7" ht="10.5" customHeight="1" x14ac:dyDescent="0.2">
      <c r="G28358" s="889"/>
    </row>
    <row r="28359" spans="7:7" ht="10.5" customHeight="1" x14ac:dyDescent="0.2">
      <c r="G28359" s="889"/>
    </row>
    <row r="28360" spans="7:7" ht="10.5" customHeight="1" x14ac:dyDescent="0.2">
      <c r="G28360" s="889"/>
    </row>
    <row r="28361" spans="7:7" ht="10.5" customHeight="1" x14ac:dyDescent="0.2">
      <c r="G28361" s="889"/>
    </row>
    <row r="28362" spans="7:7" ht="10.5" customHeight="1" x14ac:dyDescent="0.2">
      <c r="G28362" s="889"/>
    </row>
    <row r="28363" spans="7:7" ht="10.5" customHeight="1" x14ac:dyDescent="0.2">
      <c r="G28363" s="889"/>
    </row>
    <row r="28364" spans="7:7" ht="10.5" customHeight="1" x14ac:dyDescent="0.2">
      <c r="G28364" s="889"/>
    </row>
    <row r="28365" spans="7:7" ht="10.5" customHeight="1" x14ac:dyDescent="0.2">
      <c r="G28365" s="889"/>
    </row>
    <row r="28366" spans="7:7" ht="10.5" customHeight="1" x14ac:dyDescent="0.2">
      <c r="G28366" s="889"/>
    </row>
    <row r="28367" spans="7:7" ht="10.5" customHeight="1" x14ac:dyDescent="0.2">
      <c r="G28367" s="889"/>
    </row>
    <row r="28368" spans="7:7" ht="10.5" customHeight="1" x14ac:dyDescent="0.2">
      <c r="G28368" s="889"/>
    </row>
    <row r="28369" spans="7:7" ht="10.5" customHeight="1" x14ac:dyDescent="0.2">
      <c r="G28369" s="889"/>
    </row>
    <row r="28370" spans="7:7" ht="10.5" customHeight="1" x14ac:dyDescent="0.2">
      <c r="G28370" s="889"/>
    </row>
    <row r="28371" spans="7:7" ht="10.5" customHeight="1" x14ac:dyDescent="0.2">
      <c r="G28371" s="889"/>
    </row>
    <row r="28372" spans="7:7" ht="10.5" customHeight="1" x14ac:dyDescent="0.2">
      <c r="G28372" s="889"/>
    </row>
    <row r="28373" spans="7:7" ht="10.5" customHeight="1" x14ac:dyDescent="0.2">
      <c r="G28373" s="889"/>
    </row>
    <row r="28374" spans="7:7" ht="10.5" customHeight="1" x14ac:dyDescent="0.2">
      <c r="G28374" s="889"/>
    </row>
    <row r="28375" spans="7:7" ht="10.5" customHeight="1" x14ac:dyDescent="0.2">
      <c r="G28375" s="889"/>
    </row>
    <row r="28376" spans="7:7" ht="10.5" customHeight="1" x14ac:dyDescent="0.2">
      <c r="G28376" s="889"/>
    </row>
    <row r="28377" spans="7:7" ht="10.5" customHeight="1" x14ac:dyDescent="0.2">
      <c r="G28377" s="889"/>
    </row>
    <row r="28378" spans="7:7" ht="10.5" customHeight="1" x14ac:dyDescent="0.2">
      <c r="G28378" s="889"/>
    </row>
    <row r="28379" spans="7:7" ht="10.5" customHeight="1" x14ac:dyDescent="0.2">
      <c r="G28379" s="889"/>
    </row>
    <row r="28380" spans="7:7" ht="10.5" customHeight="1" x14ac:dyDescent="0.2">
      <c r="G28380" s="889"/>
    </row>
    <row r="28381" spans="7:7" ht="10.5" customHeight="1" x14ac:dyDescent="0.2">
      <c r="G28381" s="889"/>
    </row>
    <row r="28382" spans="7:7" ht="10.5" customHeight="1" x14ac:dyDescent="0.2">
      <c r="G28382" s="889"/>
    </row>
    <row r="28383" spans="7:7" ht="10.5" customHeight="1" x14ac:dyDescent="0.2">
      <c r="G28383" s="889"/>
    </row>
    <row r="28384" spans="7:7" ht="10.5" customHeight="1" x14ac:dyDescent="0.2">
      <c r="G28384" s="889"/>
    </row>
    <row r="28385" spans="7:7" ht="10.5" customHeight="1" x14ac:dyDescent="0.2">
      <c r="G28385" s="889"/>
    </row>
    <row r="28386" spans="7:7" ht="10.5" customHeight="1" x14ac:dyDescent="0.2">
      <c r="G28386" s="889"/>
    </row>
    <row r="28387" spans="7:7" ht="10.5" customHeight="1" x14ac:dyDescent="0.2">
      <c r="G28387" s="889"/>
    </row>
    <row r="28388" spans="7:7" ht="10.5" customHeight="1" x14ac:dyDescent="0.2">
      <c r="G28388" s="889"/>
    </row>
    <row r="28389" spans="7:7" ht="10.5" customHeight="1" x14ac:dyDescent="0.2">
      <c r="G28389" s="889"/>
    </row>
    <row r="28390" spans="7:7" ht="10.5" customHeight="1" x14ac:dyDescent="0.2">
      <c r="G28390" s="889"/>
    </row>
    <row r="28391" spans="7:7" ht="10.5" customHeight="1" x14ac:dyDescent="0.2">
      <c r="G28391" s="889"/>
    </row>
    <row r="28392" spans="7:7" ht="10.5" customHeight="1" x14ac:dyDescent="0.2">
      <c r="G28392" s="889"/>
    </row>
    <row r="28393" spans="7:7" ht="10.5" customHeight="1" x14ac:dyDescent="0.2">
      <c r="G28393" s="889"/>
    </row>
    <row r="28394" spans="7:7" ht="10.5" customHeight="1" x14ac:dyDescent="0.2">
      <c r="G28394" s="889"/>
    </row>
    <row r="28395" spans="7:7" ht="10.5" customHeight="1" x14ac:dyDescent="0.2">
      <c r="G28395" s="889"/>
    </row>
    <row r="28396" spans="7:7" ht="10.5" customHeight="1" x14ac:dyDescent="0.2">
      <c r="G28396" s="889"/>
    </row>
    <row r="28397" spans="7:7" ht="10.5" customHeight="1" x14ac:dyDescent="0.2">
      <c r="G28397" s="889"/>
    </row>
    <row r="28398" spans="7:7" ht="10.5" customHeight="1" x14ac:dyDescent="0.2">
      <c r="G28398" s="889"/>
    </row>
    <row r="28399" spans="7:7" ht="10.5" customHeight="1" x14ac:dyDescent="0.2">
      <c r="G28399" s="889"/>
    </row>
    <row r="28400" spans="7:7" ht="10.5" customHeight="1" x14ac:dyDescent="0.2">
      <c r="G28400" s="889"/>
    </row>
    <row r="28401" spans="7:7" ht="10.5" customHeight="1" x14ac:dyDescent="0.2">
      <c r="G28401" s="889"/>
    </row>
    <row r="28402" spans="7:7" ht="10.5" customHeight="1" x14ac:dyDescent="0.2">
      <c r="G28402" s="889"/>
    </row>
    <row r="28403" spans="7:7" ht="10.5" customHeight="1" x14ac:dyDescent="0.2">
      <c r="G28403" s="889"/>
    </row>
    <row r="28404" spans="7:7" ht="10.5" customHeight="1" x14ac:dyDescent="0.2">
      <c r="G28404" s="889"/>
    </row>
    <row r="28405" spans="7:7" ht="10.5" customHeight="1" x14ac:dyDescent="0.2">
      <c r="G28405" s="889"/>
    </row>
    <row r="28406" spans="7:7" ht="10.5" customHeight="1" x14ac:dyDescent="0.2">
      <c r="G28406" s="889"/>
    </row>
    <row r="28407" spans="7:7" ht="10.5" customHeight="1" x14ac:dyDescent="0.2">
      <c r="G28407" s="889"/>
    </row>
    <row r="28408" spans="7:7" ht="10.5" customHeight="1" x14ac:dyDescent="0.2">
      <c r="G28408" s="889"/>
    </row>
    <row r="28409" spans="7:7" ht="10.5" customHeight="1" x14ac:dyDescent="0.2">
      <c r="G28409" s="889"/>
    </row>
    <row r="28410" spans="7:7" ht="10.5" customHeight="1" x14ac:dyDescent="0.2">
      <c r="G28410" s="889"/>
    </row>
    <row r="28411" spans="7:7" ht="10.5" customHeight="1" x14ac:dyDescent="0.2">
      <c r="G28411" s="889"/>
    </row>
    <row r="28412" spans="7:7" ht="10.5" customHeight="1" x14ac:dyDescent="0.2">
      <c r="G28412" s="889"/>
    </row>
    <row r="28413" spans="7:7" ht="10.5" customHeight="1" x14ac:dyDescent="0.2">
      <c r="G28413" s="889"/>
    </row>
    <row r="28414" spans="7:7" ht="10.5" customHeight="1" x14ac:dyDescent="0.2">
      <c r="G28414" s="889"/>
    </row>
    <row r="28415" spans="7:7" ht="10.5" customHeight="1" x14ac:dyDescent="0.2">
      <c r="G28415" s="889"/>
    </row>
    <row r="28416" spans="7:7" ht="10.5" customHeight="1" x14ac:dyDescent="0.2">
      <c r="G28416" s="889"/>
    </row>
    <row r="28417" spans="7:7" ht="10.5" customHeight="1" x14ac:dyDescent="0.2">
      <c r="G28417" s="889"/>
    </row>
    <row r="28418" spans="7:7" ht="10.5" customHeight="1" x14ac:dyDescent="0.2">
      <c r="G28418" s="889"/>
    </row>
    <row r="28419" spans="7:7" ht="10.5" customHeight="1" x14ac:dyDescent="0.2">
      <c r="G28419" s="889"/>
    </row>
    <row r="28420" spans="7:7" ht="10.5" customHeight="1" x14ac:dyDescent="0.2">
      <c r="G28420" s="889"/>
    </row>
    <row r="28421" spans="7:7" ht="10.5" customHeight="1" x14ac:dyDescent="0.2">
      <c r="G28421" s="889"/>
    </row>
    <row r="28422" spans="7:7" ht="10.5" customHeight="1" x14ac:dyDescent="0.2">
      <c r="G28422" s="889"/>
    </row>
    <row r="28423" spans="7:7" ht="10.5" customHeight="1" x14ac:dyDescent="0.2">
      <c r="G28423" s="889"/>
    </row>
    <row r="28424" spans="7:7" ht="10.5" customHeight="1" x14ac:dyDescent="0.2">
      <c r="G28424" s="889"/>
    </row>
    <row r="28425" spans="7:7" ht="10.5" customHeight="1" x14ac:dyDescent="0.2">
      <c r="G28425" s="889"/>
    </row>
    <row r="28426" spans="7:7" ht="10.5" customHeight="1" x14ac:dyDescent="0.2">
      <c r="G28426" s="889"/>
    </row>
    <row r="28427" spans="7:7" ht="10.5" customHeight="1" x14ac:dyDescent="0.2">
      <c r="G28427" s="889"/>
    </row>
    <row r="28428" spans="7:7" ht="10.5" customHeight="1" x14ac:dyDescent="0.2">
      <c r="G28428" s="889"/>
    </row>
    <row r="28429" spans="7:7" ht="10.5" customHeight="1" x14ac:dyDescent="0.2">
      <c r="G28429" s="889"/>
    </row>
    <row r="28430" spans="7:7" ht="10.5" customHeight="1" x14ac:dyDescent="0.2">
      <c r="G28430" s="889"/>
    </row>
    <row r="28431" spans="7:7" ht="10.5" customHeight="1" x14ac:dyDescent="0.2">
      <c r="G28431" s="889"/>
    </row>
    <row r="28432" spans="7:7" ht="10.5" customHeight="1" x14ac:dyDescent="0.2">
      <c r="G28432" s="889"/>
    </row>
    <row r="28433" spans="7:7" ht="10.5" customHeight="1" x14ac:dyDescent="0.2">
      <c r="G28433" s="889"/>
    </row>
    <row r="28434" spans="7:7" ht="10.5" customHeight="1" x14ac:dyDescent="0.2">
      <c r="G28434" s="889"/>
    </row>
    <row r="28435" spans="7:7" ht="10.5" customHeight="1" x14ac:dyDescent="0.2">
      <c r="G28435" s="889"/>
    </row>
    <row r="28436" spans="7:7" ht="10.5" customHeight="1" x14ac:dyDescent="0.2">
      <c r="G28436" s="889"/>
    </row>
    <row r="28437" spans="7:7" ht="10.5" customHeight="1" x14ac:dyDescent="0.2">
      <c r="G28437" s="889"/>
    </row>
    <row r="28438" spans="7:7" ht="10.5" customHeight="1" x14ac:dyDescent="0.2">
      <c r="G28438" s="889"/>
    </row>
    <row r="28439" spans="7:7" ht="10.5" customHeight="1" x14ac:dyDescent="0.2">
      <c r="G28439" s="889"/>
    </row>
    <row r="28440" spans="7:7" ht="10.5" customHeight="1" x14ac:dyDescent="0.2">
      <c r="G28440" s="889"/>
    </row>
    <row r="28441" spans="7:7" ht="10.5" customHeight="1" x14ac:dyDescent="0.2">
      <c r="G28441" s="889"/>
    </row>
    <row r="28442" spans="7:7" ht="10.5" customHeight="1" x14ac:dyDescent="0.2">
      <c r="G28442" s="889"/>
    </row>
    <row r="28443" spans="7:7" ht="10.5" customHeight="1" x14ac:dyDescent="0.2">
      <c r="G28443" s="889"/>
    </row>
    <row r="28444" spans="7:7" ht="10.5" customHeight="1" x14ac:dyDescent="0.2">
      <c r="G28444" s="889"/>
    </row>
    <row r="28445" spans="7:7" ht="10.5" customHeight="1" x14ac:dyDescent="0.2">
      <c r="G28445" s="889"/>
    </row>
    <row r="28446" spans="7:7" ht="10.5" customHeight="1" x14ac:dyDescent="0.2">
      <c r="G28446" s="889"/>
    </row>
    <row r="28447" spans="7:7" ht="10.5" customHeight="1" x14ac:dyDescent="0.2">
      <c r="G28447" s="889"/>
    </row>
    <row r="28448" spans="7:7" ht="10.5" customHeight="1" x14ac:dyDescent="0.2">
      <c r="G28448" s="889"/>
    </row>
    <row r="28449" spans="7:7" ht="10.5" customHeight="1" x14ac:dyDescent="0.2">
      <c r="G28449" s="889"/>
    </row>
    <row r="28450" spans="7:7" ht="10.5" customHeight="1" x14ac:dyDescent="0.2">
      <c r="G28450" s="889"/>
    </row>
    <row r="28451" spans="7:7" ht="10.5" customHeight="1" x14ac:dyDescent="0.2">
      <c r="G28451" s="889"/>
    </row>
    <row r="28452" spans="7:7" ht="10.5" customHeight="1" x14ac:dyDescent="0.2">
      <c r="G28452" s="889"/>
    </row>
    <row r="28453" spans="7:7" ht="10.5" customHeight="1" x14ac:dyDescent="0.2">
      <c r="G28453" s="889"/>
    </row>
    <row r="28454" spans="7:7" ht="10.5" customHeight="1" x14ac:dyDescent="0.2">
      <c r="G28454" s="889"/>
    </row>
    <row r="28455" spans="7:7" ht="10.5" customHeight="1" x14ac:dyDescent="0.2">
      <c r="G28455" s="889"/>
    </row>
    <row r="28456" spans="7:7" ht="10.5" customHeight="1" x14ac:dyDescent="0.2">
      <c r="G28456" s="889"/>
    </row>
    <row r="28457" spans="7:7" ht="10.5" customHeight="1" x14ac:dyDescent="0.2">
      <c r="G28457" s="889"/>
    </row>
    <row r="28458" spans="7:7" ht="10.5" customHeight="1" x14ac:dyDescent="0.2">
      <c r="G28458" s="889"/>
    </row>
    <row r="28459" spans="7:7" ht="10.5" customHeight="1" x14ac:dyDescent="0.2">
      <c r="G28459" s="889"/>
    </row>
    <row r="28460" spans="7:7" ht="10.5" customHeight="1" x14ac:dyDescent="0.2">
      <c r="G28460" s="889"/>
    </row>
    <row r="28461" spans="7:7" ht="10.5" customHeight="1" x14ac:dyDescent="0.2">
      <c r="G28461" s="889"/>
    </row>
    <row r="28462" spans="7:7" ht="10.5" customHeight="1" x14ac:dyDescent="0.2">
      <c r="G28462" s="889"/>
    </row>
    <row r="28463" spans="7:7" ht="10.5" customHeight="1" x14ac:dyDescent="0.2">
      <c r="G28463" s="889"/>
    </row>
    <row r="28464" spans="7:7" ht="10.5" customHeight="1" x14ac:dyDescent="0.2">
      <c r="G28464" s="889"/>
    </row>
    <row r="28465" spans="7:7" ht="10.5" customHeight="1" x14ac:dyDescent="0.2">
      <c r="G28465" s="889"/>
    </row>
    <row r="28466" spans="7:7" ht="10.5" customHeight="1" x14ac:dyDescent="0.2">
      <c r="G28466" s="889"/>
    </row>
    <row r="28467" spans="7:7" ht="10.5" customHeight="1" x14ac:dyDescent="0.2">
      <c r="G28467" s="889"/>
    </row>
    <row r="28468" spans="7:7" ht="10.5" customHeight="1" x14ac:dyDescent="0.2">
      <c r="G28468" s="889"/>
    </row>
    <row r="28469" spans="7:7" ht="10.5" customHeight="1" x14ac:dyDescent="0.2">
      <c r="G28469" s="889"/>
    </row>
    <row r="28470" spans="7:7" ht="10.5" customHeight="1" x14ac:dyDescent="0.2">
      <c r="G28470" s="889"/>
    </row>
    <row r="28471" spans="7:7" ht="10.5" customHeight="1" x14ac:dyDescent="0.2">
      <c r="G28471" s="889"/>
    </row>
    <row r="28472" spans="7:7" ht="10.5" customHeight="1" x14ac:dyDescent="0.2">
      <c r="G28472" s="889"/>
    </row>
    <row r="28473" spans="7:7" ht="10.5" customHeight="1" x14ac:dyDescent="0.2">
      <c r="G28473" s="889"/>
    </row>
    <row r="28474" spans="7:7" ht="10.5" customHeight="1" x14ac:dyDescent="0.2">
      <c r="G28474" s="889"/>
    </row>
    <row r="28475" spans="7:7" ht="10.5" customHeight="1" x14ac:dyDescent="0.2">
      <c r="G28475" s="889"/>
    </row>
    <row r="28476" spans="7:7" ht="10.5" customHeight="1" x14ac:dyDescent="0.2">
      <c r="G28476" s="889"/>
    </row>
    <row r="28477" spans="7:7" ht="10.5" customHeight="1" x14ac:dyDescent="0.2">
      <c r="G28477" s="889"/>
    </row>
    <row r="28478" spans="7:7" ht="10.5" customHeight="1" x14ac:dyDescent="0.2">
      <c r="G28478" s="889"/>
    </row>
    <row r="28479" spans="7:7" ht="10.5" customHeight="1" x14ac:dyDescent="0.2">
      <c r="G28479" s="889"/>
    </row>
    <row r="28480" spans="7:7" ht="10.5" customHeight="1" x14ac:dyDescent="0.2">
      <c r="G28480" s="889"/>
    </row>
    <row r="28481" spans="7:7" ht="10.5" customHeight="1" x14ac:dyDescent="0.2">
      <c r="G28481" s="889"/>
    </row>
    <row r="28482" spans="7:7" ht="10.5" customHeight="1" x14ac:dyDescent="0.2">
      <c r="G28482" s="889"/>
    </row>
    <row r="28483" spans="7:7" ht="10.5" customHeight="1" x14ac:dyDescent="0.2">
      <c r="G28483" s="889"/>
    </row>
    <row r="28484" spans="7:7" ht="10.5" customHeight="1" x14ac:dyDescent="0.2">
      <c r="G28484" s="889"/>
    </row>
    <row r="28485" spans="7:7" ht="10.5" customHeight="1" x14ac:dyDescent="0.2">
      <c r="G28485" s="889"/>
    </row>
    <row r="28486" spans="7:7" ht="10.5" customHeight="1" x14ac:dyDescent="0.2">
      <c r="G28486" s="889"/>
    </row>
    <row r="28487" spans="7:7" ht="10.5" customHeight="1" x14ac:dyDescent="0.2">
      <c r="G28487" s="889"/>
    </row>
    <row r="28488" spans="7:7" ht="10.5" customHeight="1" x14ac:dyDescent="0.2">
      <c r="G28488" s="889"/>
    </row>
    <row r="28489" spans="7:7" ht="10.5" customHeight="1" x14ac:dyDescent="0.2">
      <c r="G28489" s="889"/>
    </row>
    <row r="28490" spans="7:7" ht="10.5" customHeight="1" x14ac:dyDescent="0.2">
      <c r="G28490" s="889"/>
    </row>
    <row r="28491" spans="7:7" ht="10.5" customHeight="1" x14ac:dyDescent="0.2">
      <c r="G28491" s="889"/>
    </row>
    <row r="28492" spans="7:7" ht="10.5" customHeight="1" x14ac:dyDescent="0.2">
      <c r="G28492" s="889"/>
    </row>
    <row r="28493" spans="7:7" ht="10.5" customHeight="1" x14ac:dyDescent="0.2">
      <c r="G28493" s="889"/>
    </row>
    <row r="28494" spans="7:7" ht="10.5" customHeight="1" x14ac:dyDescent="0.2">
      <c r="G28494" s="889"/>
    </row>
    <row r="28495" spans="7:7" ht="10.5" customHeight="1" x14ac:dyDescent="0.2">
      <c r="G28495" s="889"/>
    </row>
    <row r="28496" spans="7:7" ht="10.5" customHeight="1" x14ac:dyDescent="0.2">
      <c r="G28496" s="889"/>
    </row>
    <row r="28497" spans="7:7" ht="10.5" customHeight="1" x14ac:dyDescent="0.2">
      <c r="G28497" s="889"/>
    </row>
    <row r="28498" spans="7:7" ht="10.5" customHeight="1" x14ac:dyDescent="0.2">
      <c r="G28498" s="889"/>
    </row>
    <row r="28499" spans="7:7" ht="10.5" customHeight="1" x14ac:dyDescent="0.2">
      <c r="G28499" s="889"/>
    </row>
    <row r="28500" spans="7:7" ht="10.5" customHeight="1" x14ac:dyDescent="0.2">
      <c r="G28500" s="889"/>
    </row>
    <row r="28501" spans="7:7" ht="10.5" customHeight="1" x14ac:dyDescent="0.2">
      <c r="G28501" s="889"/>
    </row>
    <row r="28502" spans="7:7" ht="10.5" customHeight="1" x14ac:dyDescent="0.2">
      <c r="G28502" s="889"/>
    </row>
    <row r="28503" spans="7:7" ht="10.5" customHeight="1" x14ac:dyDescent="0.2">
      <c r="G28503" s="889"/>
    </row>
    <row r="28504" spans="7:7" ht="10.5" customHeight="1" x14ac:dyDescent="0.2">
      <c r="G28504" s="889"/>
    </row>
    <row r="28505" spans="7:7" ht="10.5" customHeight="1" x14ac:dyDescent="0.2">
      <c r="G28505" s="889"/>
    </row>
    <row r="28506" spans="7:7" ht="10.5" customHeight="1" x14ac:dyDescent="0.2">
      <c r="G28506" s="889"/>
    </row>
    <row r="28507" spans="7:7" ht="10.5" customHeight="1" x14ac:dyDescent="0.2">
      <c r="G28507" s="889"/>
    </row>
    <row r="28508" spans="7:7" ht="10.5" customHeight="1" x14ac:dyDescent="0.2">
      <c r="G28508" s="889"/>
    </row>
    <row r="28509" spans="7:7" ht="10.5" customHeight="1" x14ac:dyDescent="0.2">
      <c r="G28509" s="889"/>
    </row>
    <row r="28510" spans="7:7" ht="10.5" customHeight="1" x14ac:dyDescent="0.2">
      <c r="G28510" s="889"/>
    </row>
    <row r="28511" spans="7:7" ht="10.5" customHeight="1" x14ac:dyDescent="0.2">
      <c r="G28511" s="889"/>
    </row>
    <row r="28512" spans="7:7" ht="10.5" customHeight="1" x14ac:dyDescent="0.2">
      <c r="G28512" s="889"/>
    </row>
    <row r="28513" spans="7:7" ht="10.5" customHeight="1" x14ac:dyDescent="0.2">
      <c r="G28513" s="889"/>
    </row>
    <row r="28514" spans="7:7" ht="10.5" customHeight="1" x14ac:dyDescent="0.2">
      <c r="G28514" s="889"/>
    </row>
    <row r="28515" spans="7:7" ht="10.5" customHeight="1" x14ac:dyDescent="0.2">
      <c r="G28515" s="889"/>
    </row>
    <row r="28516" spans="7:7" ht="10.5" customHeight="1" x14ac:dyDescent="0.2">
      <c r="G28516" s="889"/>
    </row>
    <row r="28517" spans="7:7" ht="10.5" customHeight="1" x14ac:dyDescent="0.2">
      <c r="G28517" s="889"/>
    </row>
    <row r="28518" spans="7:7" ht="10.5" customHeight="1" x14ac:dyDescent="0.2">
      <c r="G28518" s="889"/>
    </row>
    <row r="28519" spans="7:7" ht="10.5" customHeight="1" x14ac:dyDescent="0.2">
      <c r="G28519" s="889"/>
    </row>
    <row r="28520" spans="7:7" ht="10.5" customHeight="1" x14ac:dyDescent="0.2">
      <c r="G28520" s="889"/>
    </row>
    <row r="28521" spans="7:7" ht="10.5" customHeight="1" x14ac:dyDescent="0.2">
      <c r="G28521" s="889"/>
    </row>
    <row r="28522" spans="7:7" ht="10.5" customHeight="1" x14ac:dyDescent="0.2">
      <c r="G28522" s="889"/>
    </row>
    <row r="28523" spans="7:7" ht="10.5" customHeight="1" x14ac:dyDescent="0.2">
      <c r="G28523" s="889"/>
    </row>
    <row r="28524" spans="7:7" ht="10.5" customHeight="1" x14ac:dyDescent="0.2">
      <c r="G28524" s="889"/>
    </row>
    <row r="28525" spans="7:7" ht="10.5" customHeight="1" x14ac:dyDescent="0.2">
      <c r="G28525" s="889"/>
    </row>
    <row r="28526" spans="7:7" ht="10.5" customHeight="1" x14ac:dyDescent="0.2">
      <c r="G28526" s="889"/>
    </row>
    <row r="28527" spans="7:7" ht="10.5" customHeight="1" x14ac:dyDescent="0.2">
      <c r="G28527" s="889"/>
    </row>
    <row r="28528" spans="7:7" ht="10.5" customHeight="1" x14ac:dyDescent="0.2">
      <c r="G28528" s="889"/>
    </row>
    <row r="28529" spans="7:7" ht="10.5" customHeight="1" x14ac:dyDescent="0.2">
      <c r="G28529" s="889"/>
    </row>
    <row r="28530" spans="7:7" ht="10.5" customHeight="1" x14ac:dyDescent="0.2">
      <c r="G28530" s="889"/>
    </row>
    <row r="28531" spans="7:7" ht="10.5" customHeight="1" x14ac:dyDescent="0.2">
      <c r="G28531" s="889"/>
    </row>
    <row r="28532" spans="7:7" ht="10.5" customHeight="1" x14ac:dyDescent="0.2">
      <c r="G28532" s="889"/>
    </row>
    <row r="28533" spans="7:7" ht="10.5" customHeight="1" x14ac:dyDescent="0.2">
      <c r="G28533" s="889"/>
    </row>
    <row r="28534" spans="7:7" ht="10.5" customHeight="1" x14ac:dyDescent="0.2">
      <c r="G28534" s="889"/>
    </row>
    <row r="28535" spans="7:7" ht="10.5" customHeight="1" x14ac:dyDescent="0.2">
      <c r="G28535" s="889"/>
    </row>
    <row r="28536" spans="7:7" ht="10.5" customHeight="1" x14ac:dyDescent="0.2">
      <c r="G28536" s="889"/>
    </row>
    <row r="28537" spans="7:7" ht="10.5" customHeight="1" x14ac:dyDescent="0.2">
      <c r="G28537" s="889"/>
    </row>
    <row r="28538" spans="7:7" ht="10.5" customHeight="1" x14ac:dyDescent="0.2">
      <c r="G28538" s="889"/>
    </row>
    <row r="28539" spans="7:7" ht="10.5" customHeight="1" x14ac:dyDescent="0.2">
      <c r="G28539" s="889"/>
    </row>
    <row r="28540" spans="7:7" ht="10.5" customHeight="1" x14ac:dyDescent="0.2">
      <c r="G28540" s="889"/>
    </row>
    <row r="28541" spans="7:7" ht="10.5" customHeight="1" x14ac:dyDescent="0.2">
      <c r="G28541" s="889"/>
    </row>
    <row r="28542" spans="7:7" ht="10.5" customHeight="1" x14ac:dyDescent="0.2">
      <c r="G28542" s="889"/>
    </row>
    <row r="28543" spans="7:7" ht="10.5" customHeight="1" x14ac:dyDescent="0.2">
      <c r="G28543" s="889"/>
    </row>
    <row r="28544" spans="7:7" ht="10.5" customHeight="1" x14ac:dyDescent="0.2">
      <c r="G28544" s="889"/>
    </row>
    <row r="28545" spans="7:7" ht="10.5" customHeight="1" x14ac:dyDescent="0.2">
      <c r="G28545" s="889"/>
    </row>
    <row r="28546" spans="7:7" ht="10.5" customHeight="1" x14ac:dyDescent="0.2">
      <c r="G28546" s="889"/>
    </row>
    <row r="28547" spans="7:7" ht="10.5" customHeight="1" x14ac:dyDescent="0.2">
      <c r="G28547" s="889"/>
    </row>
    <row r="28548" spans="7:7" ht="10.5" customHeight="1" x14ac:dyDescent="0.2">
      <c r="G28548" s="889"/>
    </row>
    <row r="28549" spans="7:7" ht="10.5" customHeight="1" x14ac:dyDescent="0.2">
      <c r="G28549" s="889"/>
    </row>
    <row r="28550" spans="7:7" ht="10.5" customHeight="1" x14ac:dyDescent="0.2">
      <c r="G28550" s="889"/>
    </row>
    <row r="28551" spans="7:7" ht="10.5" customHeight="1" x14ac:dyDescent="0.2">
      <c r="G28551" s="889"/>
    </row>
    <row r="28552" spans="7:7" ht="10.5" customHeight="1" x14ac:dyDescent="0.2">
      <c r="G28552" s="889"/>
    </row>
    <row r="28553" spans="7:7" ht="10.5" customHeight="1" x14ac:dyDescent="0.2">
      <c r="G28553" s="889"/>
    </row>
    <row r="28554" spans="7:7" ht="10.5" customHeight="1" x14ac:dyDescent="0.2">
      <c r="G28554" s="889"/>
    </row>
    <row r="28555" spans="7:7" ht="10.5" customHeight="1" x14ac:dyDescent="0.2">
      <c r="G28555" s="889"/>
    </row>
    <row r="28556" spans="7:7" ht="10.5" customHeight="1" x14ac:dyDescent="0.2">
      <c r="G28556" s="889"/>
    </row>
    <row r="28557" spans="7:7" ht="10.5" customHeight="1" x14ac:dyDescent="0.2">
      <c r="G28557" s="889"/>
    </row>
    <row r="28558" spans="7:7" ht="10.5" customHeight="1" x14ac:dyDescent="0.2">
      <c r="G28558" s="889"/>
    </row>
    <row r="28559" spans="7:7" ht="10.5" customHeight="1" x14ac:dyDescent="0.2">
      <c r="G28559" s="889"/>
    </row>
    <row r="28560" spans="7:7" ht="10.5" customHeight="1" x14ac:dyDescent="0.2">
      <c r="G28560" s="889"/>
    </row>
    <row r="28561" spans="7:7" ht="10.5" customHeight="1" x14ac:dyDescent="0.2">
      <c r="G28561" s="889"/>
    </row>
    <row r="28562" spans="7:7" ht="10.5" customHeight="1" x14ac:dyDescent="0.2">
      <c r="G28562" s="889"/>
    </row>
    <row r="28563" spans="7:7" ht="10.5" customHeight="1" x14ac:dyDescent="0.2">
      <c r="G28563" s="889"/>
    </row>
    <row r="28564" spans="7:7" ht="10.5" customHeight="1" x14ac:dyDescent="0.2">
      <c r="G28564" s="889"/>
    </row>
    <row r="28565" spans="7:7" ht="10.5" customHeight="1" x14ac:dyDescent="0.2">
      <c r="G28565" s="889"/>
    </row>
    <row r="28566" spans="7:7" ht="10.5" customHeight="1" x14ac:dyDescent="0.2">
      <c r="G28566" s="889"/>
    </row>
    <row r="28567" spans="7:7" ht="10.5" customHeight="1" x14ac:dyDescent="0.2">
      <c r="G28567" s="889"/>
    </row>
    <row r="28568" spans="7:7" ht="10.5" customHeight="1" x14ac:dyDescent="0.2">
      <c r="G28568" s="889"/>
    </row>
    <row r="28569" spans="7:7" ht="10.5" customHeight="1" x14ac:dyDescent="0.2">
      <c r="G28569" s="889"/>
    </row>
    <row r="28570" spans="7:7" ht="10.5" customHeight="1" x14ac:dyDescent="0.2">
      <c r="G28570" s="889"/>
    </row>
    <row r="28571" spans="7:7" ht="10.5" customHeight="1" x14ac:dyDescent="0.2">
      <c r="G28571" s="889"/>
    </row>
    <row r="28572" spans="7:7" ht="10.5" customHeight="1" x14ac:dyDescent="0.2">
      <c r="G28572" s="889"/>
    </row>
    <row r="28573" spans="7:7" ht="10.5" customHeight="1" x14ac:dyDescent="0.2">
      <c r="G28573" s="889"/>
    </row>
    <row r="28574" spans="7:7" ht="10.5" customHeight="1" x14ac:dyDescent="0.2">
      <c r="G28574" s="889"/>
    </row>
    <row r="28575" spans="7:7" ht="10.5" customHeight="1" x14ac:dyDescent="0.2">
      <c r="G28575" s="889"/>
    </row>
    <row r="28576" spans="7:7" ht="10.5" customHeight="1" x14ac:dyDescent="0.2">
      <c r="G28576" s="889"/>
    </row>
    <row r="28577" spans="7:7" ht="10.5" customHeight="1" x14ac:dyDescent="0.2">
      <c r="G28577" s="889"/>
    </row>
    <row r="28578" spans="7:7" ht="10.5" customHeight="1" x14ac:dyDescent="0.2">
      <c r="G28578" s="889"/>
    </row>
    <row r="28579" spans="7:7" ht="10.5" customHeight="1" x14ac:dyDescent="0.2">
      <c r="G28579" s="889"/>
    </row>
    <row r="28580" spans="7:7" ht="10.5" customHeight="1" x14ac:dyDescent="0.2">
      <c r="G28580" s="889"/>
    </row>
    <row r="28581" spans="7:7" ht="10.5" customHeight="1" x14ac:dyDescent="0.2">
      <c r="G28581" s="889"/>
    </row>
    <row r="28582" spans="7:7" ht="10.5" customHeight="1" x14ac:dyDescent="0.2">
      <c r="G28582" s="889"/>
    </row>
    <row r="28583" spans="7:7" ht="10.5" customHeight="1" x14ac:dyDescent="0.2">
      <c r="G28583" s="889"/>
    </row>
    <row r="28584" spans="7:7" ht="10.5" customHeight="1" x14ac:dyDescent="0.2">
      <c r="G28584" s="889"/>
    </row>
    <row r="28585" spans="7:7" ht="10.5" customHeight="1" x14ac:dyDescent="0.2">
      <c r="G28585" s="889"/>
    </row>
    <row r="28586" spans="7:7" ht="10.5" customHeight="1" x14ac:dyDescent="0.2">
      <c r="G28586" s="889"/>
    </row>
    <row r="28587" spans="7:7" ht="10.5" customHeight="1" x14ac:dyDescent="0.2">
      <c r="G28587" s="889"/>
    </row>
    <row r="28588" spans="7:7" ht="10.5" customHeight="1" x14ac:dyDescent="0.2">
      <c r="G28588" s="889"/>
    </row>
    <row r="28589" spans="7:7" ht="10.5" customHeight="1" x14ac:dyDescent="0.2">
      <c r="G28589" s="889"/>
    </row>
    <row r="28590" spans="7:7" ht="10.5" customHeight="1" x14ac:dyDescent="0.2">
      <c r="G28590" s="889"/>
    </row>
    <row r="28591" spans="7:7" ht="10.5" customHeight="1" x14ac:dyDescent="0.2">
      <c r="G28591" s="889"/>
    </row>
    <row r="28592" spans="7:7" ht="10.5" customHeight="1" x14ac:dyDescent="0.2">
      <c r="G28592" s="889"/>
    </row>
    <row r="28593" spans="7:7" ht="10.5" customHeight="1" x14ac:dyDescent="0.2">
      <c r="G28593" s="889"/>
    </row>
    <row r="28594" spans="7:7" ht="10.5" customHeight="1" x14ac:dyDescent="0.2">
      <c r="G28594" s="889"/>
    </row>
    <row r="28595" spans="7:7" ht="10.5" customHeight="1" x14ac:dyDescent="0.2">
      <c r="G28595" s="889"/>
    </row>
    <row r="28596" spans="7:7" ht="10.5" customHeight="1" x14ac:dyDescent="0.2">
      <c r="G28596" s="889"/>
    </row>
    <row r="28597" spans="7:7" ht="10.5" customHeight="1" x14ac:dyDescent="0.2">
      <c r="G28597" s="889"/>
    </row>
    <row r="28598" spans="7:7" ht="10.5" customHeight="1" x14ac:dyDescent="0.2">
      <c r="G28598" s="889"/>
    </row>
    <row r="28599" spans="7:7" ht="10.5" customHeight="1" x14ac:dyDescent="0.2">
      <c r="G28599" s="889"/>
    </row>
    <row r="28600" spans="7:7" ht="10.5" customHeight="1" x14ac:dyDescent="0.2">
      <c r="G28600" s="889"/>
    </row>
    <row r="28601" spans="7:7" ht="10.5" customHeight="1" x14ac:dyDescent="0.2">
      <c r="G28601" s="889"/>
    </row>
    <row r="28602" spans="7:7" ht="10.5" customHeight="1" x14ac:dyDescent="0.2">
      <c r="G28602" s="889"/>
    </row>
    <row r="28603" spans="7:7" ht="10.5" customHeight="1" x14ac:dyDescent="0.2">
      <c r="G28603" s="889"/>
    </row>
    <row r="28604" spans="7:7" ht="10.5" customHeight="1" x14ac:dyDescent="0.2">
      <c r="G28604" s="889"/>
    </row>
    <row r="28605" spans="7:7" ht="10.5" customHeight="1" x14ac:dyDescent="0.2">
      <c r="G28605" s="889"/>
    </row>
    <row r="28606" spans="7:7" ht="10.5" customHeight="1" x14ac:dyDescent="0.2">
      <c r="G28606" s="889"/>
    </row>
    <row r="28607" spans="7:7" ht="10.5" customHeight="1" x14ac:dyDescent="0.2">
      <c r="G28607" s="889"/>
    </row>
    <row r="28608" spans="7:7" ht="10.5" customHeight="1" x14ac:dyDescent="0.2">
      <c r="G28608" s="889"/>
    </row>
    <row r="28609" spans="7:7" ht="10.5" customHeight="1" x14ac:dyDescent="0.2">
      <c r="G28609" s="889"/>
    </row>
    <row r="28610" spans="7:7" ht="10.5" customHeight="1" x14ac:dyDescent="0.2">
      <c r="G28610" s="889"/>
    </row>
    <row r="28611" spans="7:7" ht="10.5" customHeight="1" x14ac:dyDescent="0.2">
      <c r="G28611" s="889"/>
    </row>
    <row r="28612" spans="7:7" ht="10.5" customHeight="1" x14ac:dyDescent="0.2">
      <c r="G28612" s="889"/>
    </row>
    <row r="28613" spans="7:7" ht="10.5" customHeight="1" x14ac:dyDescent="0.2">
      <c r="G28613" s="889"/>
    </row>
    <row r="28614" spans="7:7" ht="10.5" customHeight="1" x14ac:dyDescent="0.2">
      <c r="G28614" s="889"/>
    </row>
    <row r="28615" spans="7:7" ht="10.5" customHeight="1" x14ac:dyDescent="0.2">
      <c r="G28615" s="889"/>
    </row>
    <row r="28616" spans="7:7" ht="10.5" customHeight="1" x14ac:dyDescent="0.2">
      <c r="G28616" s="889"/>
    </row>
    <row r="28617" spans="7:7" ht="10.5" customHeight="1" x14ac:dyDescent="0.2">
      <c r="G28617" s="889"/>
    </row>
    <row r="28618" spans="7:7" ht="10.5" customHeight="1" x14ac:dyDescent="0.2">
      <c r="G28618" s="889"/>
    </row>
    <row r="28619" spans="7:7" ht="10.5" customHeight="1" x14ac:dyDescent="0.2">
      <c r="G28619" s="889"/>
    </row>
    <row r="28620" spans="7:7" ht="10.5" customHeight="1" x14ac:dyDescent="0.2">
      <c r="G28620" s="889"/>
    </row>
    <row r="28621" spans="7:7" ht="10.5" customHeight="1" x14ac:dyDescent="0.2">
      <c r="G28621" s="889"/>
    </row>
    <row r="28622" spans="7:7" ht="10.5" customHeight="1" x14ac:dyDescent="0.2">
      <c r="G28622" s="889"/>
    </row>
    <row r="28623" spans="7:7" ht="10.5" customHeight="1" x14ac:dyDescent="0.2">
      <c r="G28623" s="889"/>
    </row>
    <row r="28624" spans="7:7" ht="10.5" customHeight="1" x14ac:dyDescent="0.2">
      <c r="G28624" s="889"/>
    </row>
    <row r="28625" spans="7:7" ht="10.5" customHeight="1" x14ac:dyDescent="0.2">
      <c r="G28625" s="889"/>
    </row>
    <row r="28626" spans="7:7" ht="10.5" customHeight="1" x14ac:dyDescent="0.2">
      <c r="G28626" s="889"/>
    </row>
    <row r="28627" spans="7:7" ht="10.5" customHeight="1" x14ac:dyDescent="0.2">
      <c r="G28627" s="889"/>
    </row>
    <row r="28628" spans="7:7" ht="10.5" customHeight="1" x14ac:dyDescent="0.2">
      <c r="G28628" s="889"/>
    </row>
    <row r="28629" spans="7:7" ht="10.5" customHeight="1" x14ac:dyDescent="0.2">
      <c r="G28629" s="889"/>
    </row>
    <row r="28630" spans="7:7" ht="10.5" customHeight="1" x14ac:dyDescent="0.2">
      <c r="G28630" s="889"/>
    </row>
    <row r="28631" spans="7:7" ht="10.5" customHeight="1" x14ac:dyDescent="0.2">
      <c r="G28631" s="889"/>
    </row>
    <row r="28632" spans="7:7" ht="10.5" customHeight="1" x14ac:dyDescent="0.2">
      <c r="G28632" s="889"/>
    </row>
    <row r="28633" spans="7:7" ht="10.5" customHeight="1" x14ac:dyDescent="0.2">
      <c r="G28633" s="889"/>
    </row>
    <row r="28634" spans="7:7" ht="10.5" customHeight="1" x14ac:dyDescent="0.2">
      <c r="G28634" s="889"/>
    </row>
    <row r="28635" spans="7:7" ht="10.5" customHeight="1" x14ac:dyDescent="0.2">
      <c r="G28635" s="889"/>
    </row>
    <row r="28636" spans="7:7" ht="10.5" customHeight="1" x14ac:dyDescent="0.2">
      <c r="G28636" s="889"/>
    </row>
    <row r="28637" spans="7:7" ht="10.5" customHeight="1" x14ac:dyDescent="0.2">
      <c r="G28637" s="889"/>
    </row>
    <row r="28638" spans="7:7" ht="10.5" customHeight="1" x14ac:dyDescent="0.2">
      <c r="G28638" s="889"/>
    </row>
    <row r="28639" spans="7:7" ht="10.5" customHeight="1" x14ac:dyDescent="0.2">
      <c r="G28639" s="889"/>
    </row>
    <row r="28640" spans="7:7" ht="10.5" customHeight="1" x14ac:dyDescent="0.2">
      <c r="G28640" s="889"/>
    </row>
    <row r="28641" spans="7:7" ht="10.5" customHeight="1" x14ac:dyDescent="0.2">
      <c r="G28641" s="889"/>
    </row>
    <row r="28642" spans="7:7" ht="10.5" customHeight="1" x14ac:dyDescent="0.2">
      <c r="G28642" s="889"/>
    </row>
    <row r="28643" spans="7:7" ht="10.5" customHeight="1" x14ac:dyDescent="0.2">
      <c r="G28643" s="889"/>
    </row>
    <row r="28644" spans="7:7" ht="10.5" customHeight="1" x14ac:dyDescent="0.2">
      <c r="G28644" s="889"/>
    </row>
    <row r="28645" spans="7:7" ht="10.5" customHeight="1" x14ac:dyDescent="0.2">
      <c r="G28645" s="889"/>
    </row>
    <row r="28646" spans="7:7" ht="10.5" customHeight="1" x14ac:dyDescent="0.2">
      <c r="G28646" s="889"/>
    </row>
    <row r="28647" spans="7:7" ht="10.5" customHeight="1" x14ac:dyDescent="0.2">
      <c r="G28647" s="889"/>
    </row>
    <row r="28648" spans="7:7" ht="10.5" customHeight="1" x14ac:dyDescent="0.2">
      <c r="G28648" s="889"/>
    </row>
    <row r="28649" spans="7:7" ht="10.5" customHeight="1" x14ac:dyDescent="0.2">
      <c r="G28649" s="889"/>
    </row>
    <row r="28650" spans="7:7" ht="10.5" customHeight="1" x14ac:dyDescent="0.2">
      <c r="G28650" s="889"/>
    </row>
    <row r="28651" spans="7:7" ht="10.5" customHeight="1" x14ac:dyDescent="0.2">
      <c r="G28651" s="889"/>
    </row>
    <row r="28652" spans="7:7" ht="10.5" customHeight="1" x14ac:dyDescent="0.2">
      <c r="G28652" s="889"/>
    </row>
    <row r="28653" spans="7:7" ht="10.5" customHeight="1" x14ac:dyDescent="0.2">
      <c r="G28653" s="889"/>
    </row>
    <row r="28654" spans="7:7" ht="10.5" customHeight="1" x14ac:dyDescent="0.2">
      <c r="G28654" s="889"/>
    </row>
    <row r="28655" spans="7:7" ht="10.5" customHeight="1" x14ac:dyDescent="0.2">
      <c r="G28655" s="889"/>
    </row>
    <row r="28656" spans="7:7" ht="10.5" customHeight="1" x14ac:dyDescent="0.2">
      <c r="G28656" s="889"/>
    </row>
    <row r="28657" spans="7:7" ht="10.5" customHeight="1" x14ac:dyDescent="0.2">
      <c r="G28657" s="889"/>
    </row>
    <row r="28658" spans="7:7" ht="10.5" customHeight="1" x14ac:dyDescent="0.2">
      <c r="G28658" s="889"/>
    </row>
    <row r="28659" spans="7:7" ht="10.5" customHeight="1" x14ac:dyDescent="0.2">
      <c r="G28659" s="889"/>
    </row>
    <row r="28660" spans="7:7" ht="10.5" customHeight="1" x14ac:dyDescent="0.2">
      <c r="G28660" s="889"/>
    </row>
    <row r="28661" spans="7:7" ht="10.5" customHeight="1" x14ac:dyDescent="0.2">
      <c r="G28661" s="889"/>
    </row>
    <row r="28662" spans="7:7" ht="10.5" customHeight="1" x14ac:dyDescent="0.2">
      <c r="G28662" s="889"/>
    </row>
    <row r="28663" spans="7:7" ht="10.5" customHeight="1" x14ac:dyDescent="0.2">
      <c r="G28663" s="889"/>
    </row>
    <row r="28664" spans="7:7" ht="10.5" customHeight="1" x14ac:dyDescent="0.2">
      <c r="G28664" s="889"/>
    </row>
    <row r="28665" spans="7:7" ht="10.5" customHeight="1" x14ac:dyDescent="0.2">
      <c r="G28665" s="889"/>
    </row>
    <row r="28666" spans="7:7" ht="10.5" customHeight="1" x14ac:dyDescent="0.2">
      <c r="G28666" s="889"/>
    </row>
    <row r="28667" spans="7:7" ht="10.5" customHeight="1" x14ac:dyDescent="0.2">
      <c r="G28667" s="889"/>
    </row>
    <row r="28668" spans="7:7" ht="10.5" customHeight="1" x14ac:dyDescent="0.2">
      <c r="G28668" s="889"/>
    </row>
    <row r="28669" spans="7:7" ht="10.5" customHeight="1" x14ac:dyDescent="0.2">
      <c r="G28669" s="889"/>
    </row>
    <row r="28670" spans="7:7" ht="10.5" customHeight="1" x14ac:dyDescent="0.2">
      <c r="G28670" s="889"/>
    </row>
    <row r="28671" spans="7:7" ht="10.5" customHeight="1" x14ac:dyDescent="0.2">
      <c r="G28671" s="889"/>
    </row>
    <row r="28672" spans="7:7" ht="10.5" customHeight="1" x14ac:dyDescent="0.2">
      <c r="G28672" s="889"/>
    </row>
    <row r="28673" spans="7:7" ht="10.5" customHeight="1" x14ac:dyDescent="0.2">
      <c r="G28673" s="889"/>
    </row>
    <row r="28674" spans="7:7" ht="10.5" customHeight="1" x14ac:dyDescent="0.2">
      <c r="G28674" s="889"/>
    </row>
    <row r="28675" spans="7:7" ht="10.5" customHeight="1" x14ac:dyDescent="0.2">
      <c r="G28675" s="889"/>
    </row>
    <row r="28676" spans="7:7" ht="10.5" customHeight="1" x14ac:dyDescent="0.2">
      <c r="G28676" s="889"/>
    </row>
    <row r="28677" spans="7:7" ht="10.5" customHeight="1" x14ac:dyDescent="0.2">
      <c r="G28677" s="889"/>
    </row>
    <row r="28678" spans="7:7" ht="10.5" customHeight="1" x14ac:dyDescent="0.2">
      <c r="G28678" s="889"/>
    </row>
    <row r="28679" spans="7:7" ht="10.5" customHeight="1" x14ac:dyDescent="0.2">
      <c r="G28679" s="889"/>
    </row>
    <row r="28680" spans="7:7" ht="10.5" customHeight="1" x14ac:dyDescent="0.2">
      <c r="G28680" s="889"/>
    </row>
    <row r="28681" spans="7:7" ht="10.5" customHeight="1" x14ac:dyDescent="0.2">
      <c r="G28681" s="889"/>
    </row>
    <row r="28682" spans="7:7" ht="10.5" customHeight="1" x14ac:dyDescent="0.2">
      <c r="G28682" s="889"/>
    </row>
    <row r="28683" spans="7:7" ht="10.5" customHeight="1" x14ac:dyDescent="0.2">
      <c r="G28683" s="889"/>
    </row>
    <row r="28684" spans="7:7" ht="10.5" customHeight="1" x14ac:dyDescent="0.2">
      <c r="G28684" s="889"/>
    </row>
    <row r="28685" spans="7:7" ht="10.5" customHeight="1" x14ac:dyDescent="0.2">
      <c r="G28685" s="889"/>
    </row>
    <row r="28686" spans="7:7" ht="10.5" customHeight="1" x14ac:dyDescent="0.2">
      <c r="G28686" s="889"/>
    </row>
    <row r="28687" spans="7:7" ht="10.5" customHeight="1" x14ac:dyDescent="0.2">
      <c r="G28687" s="889"/>
    </row>
    <row r="28688" spans="7:7" ht="10.5" customHeight="1" x14ac:dyDescent="0.2">
      <c r="G28688" s="889"/>
    </row>
    <row r="28689" spans="7:7" ht="10.5" customHeight="1" x14ac:dyDescent="0.2">
      <c r="G28689" s="889"/>
    </row>
    <row r="28690" spans="7:7" ht="10.5" customHeight="1" x14ac:dyDescent="0.2">
      <c r="G28690" s="889"/>
    </row>
    <row r="28691" spans="7:7" ht="10.5" customHeight="1" x14ac:dyDescent="0.2">
      <c r="G28691" s="889"/>
    </row>
    <row r="28692" spans="7:7" ht="10.5" customHeight="1" x14ac:dyDescent="0.2">
      <c r="G28692" s="889"/>
    </row>
    <row r="28693" spans="7:7" ht="10.5" customHeight="1" x14ac:dyDescent="0.2">
      <c r="G28693" s="889"/>
    </row>
    <row r="28694" spans="7:7" ht="10.5" customHeight="1" x14ac:dyDescent="0.2">
      <c r="G28694" s="889"/>
    </row>
    <row r="28695" spans="7:7" ht="10.5" customHeight="1" x14ac:dyDescent="0.2">
      <c r="G28695" s="889"/>
    </row>
    <row r="28696" spans="7:7" ht="10.5" customHeight="1" x14ac:dyDescent="0.2">
      <c r="G28696" s="889"/>
    </row>
    <row r="28697" spans="7:7" ht="10.5" customHeight="1" x14ac:dyDescent="0.2">
      <c r="G28697" s="889"/>
    </row>
    <row r="28698" spans="7:7" ht="10.5" customHeight="1" x14ac:dyDescent="0.2">
      <c r="G28698" s="889"/>
    </row>
    <row r="28699" spans="7:7" ht="10.5" customHeight="1" x14ac:dyDescent="0.2">
      <c r="G28699" s="889"/>
    </row>
    <row r="28700" spans="7:7" ht="10.5" customHeight="1" x14ac:dyDescent="0.2">
      <c r="G28700" s="889"/>
    </row>
    <row r="28701" spans="7:7" ht="10.5" customHeight="1" x14ac:dyDescent="0.2">
      <c r="G28701" s="889"/>
    </row>
    <row r="28702" spans="7:7" ht="10.5" customHeight="1" x14ac:dyDescent="0.2">
      <c r="G28702" s="889"/>
    </row>
    <row r="28703" spans="7:7" ht="10.5" customHeight="1" x14ac:dyDescent="0.2">
      <c r="G28703" s="889"/>
    </row>
    <row r="28704" spans="7:7" ht="10.5" customHeight="1" x14ac:dyDescent="0.2">
      <c r="G28704" s="889"/>
    </row>
    <row r="28705" spans="7:7" ht="10.5" customHeight="1" x14ac:dyDescent="0.2">
      <c r="G28705" s="889"/>
    </row>
    <row r="28706" spans="7:7" ht="10.5" customHeight="1" x14ac:dyDescent="0.2">
      <c r="G28706" s="889"/>
    </row>
    <row r="28707" spans="7:7" ht="10.5" customHeight="1" x14ac:dyDescent="0.2">
      <c r="G28707" s="889"/>
    </row>
    <row r="28708" spans="7:7" ht="10.5" customHeight="1" x14ac:dyDescent="0.2">
      <c r="G28708" s="889"/>
    </row>
    <row r="28709" spans="7:7" ht="10.5" customHeight="1" x14ac:dyDescent="0.2">
      <c r="G28709" s="889"/>
    </row>
    <row r="28710" spans="7:7" ht="10.5" customHeight="1" x14ac:dyDescent="0.2">
      <c r="G28710" s="889"/>
    </row>
    <row r="28711" spans="7:7" ht="10.5" customHeight="1" x14ac:dyDescent="0.2">
      <c r="G28711" s="889"/>
    </row>
    <row r="28712" spans="7:7" ht="10.5" customHeight="1" x14ac:dyDescent="0.2">
      <c r="G28712" s="889"/>
    </row>
    <row r="28713" spans="7:7" ht="10.5" customHeight="1" x14ac:dyDescent="0.2">
      <c r="G28713" s="889"/>
    </row>
    <row r="28714" spans="7:7" ht="10.5" customHeight="1" x14ac:dyDescent="0.2">
      <c r="G28714" s="889"/>
    </row>
    <row r="28715" spans="7:7" ht="10.5" customHeight="1" x14ac:dyDescent="0.2">
      <c r="G28715" s="889"/>
    </row>
    <row r="28716" spans="7:7" ht="10.5" customHeight="1" x14ac:dyDescent="0.2">
      <c r="G28716" s="889"/>
    </row>
    <row r="28717" spans="7:7" ht="10.5" customHeight="1" x14ac:dyDescent="0.2">
      <c r="G28717" s="889"/>
    </row>
    <row r="28718" spans="7:7" ht="10.5" customHeight="1" x14ac:dyDescent="0.2">
      <c r="G28718" s="889"/>
    </row>
    <row r="28719" spans="7:7" ht="10.5" customHeight="1" x14ac:dyDescent="0.2">
      <c r="G28719" s="889"/>
    </row>
    <row r="28720" spans="7:7" ht="10.5" customHeight="1" x14ac:dyDescent="0.2">
      <c r="G28720" s="889"/>
    </row>
    <row r="28721" spans="7:7" ht="10.5" customHeight="1" x14ac:dyDescent="0.2">
      <c r="G28721" s="889"/>
    </row>
    <row r="28722" spans="7:7" ht="10.5" customHeight="1" x14ac:dyDescent="0.2">
      <c r="G28722" s="889"/>
    </row>
    <row r="28723" spans="7:7" ht="10.5" customHeight="1" x14ac:dyDescent="0.2">
      <c r="G28723" s="889"/>
    </row>
    <row r="28724" spans="7:7" ht="10.5" customHeight="1" x14ac:dyDescent="0.2">
      <c r="G28724" s="889"/>
    </row>
    <row r="28725" spans="7:7" ht="10.5" customHeight="1" x14ac:dyDescent="0.2">
      <c r="G28725" s="889"/>
    </row>
    <row r="28726" spans="7:7" ht="10.5" customHeight="1" x14ac:dyDescent="0.2">
      <c r="G28726" s="889"/>
    </row>
    <row r="28727" spans="7:7" ht="10.5" customHeight="1" x14ac:dyDescent="0.2">
      <c r="G28727" s="889"/>
    </row>
    <row r="28728" spans="7:7" ht="10.5" customHeight="1" x14ac:dyDescent="0.2">
      <c r="G28728" s="889"/>
    </row>
    <row r="28729" spans="7:7" ht="10.5" customHeight="1" x14ac:dyDescent="0.2">
      <c r="G28729" s="889"/>
    </row>
    <row r="28730" spans="7:7" ht="10.5" customHeight="1" x14ac:dyDescent="0.2">
      <c r="G28730" s="889"/>
    </row>
    <row r="28731" spans="7:7" ht="10.5" customHeight="1" x14ac:dyDescent="0.2">
      <c r="G28731" s="889"/>
    </row>
    <row r="28732" spans="7:7" ht="10.5" customHeight="1" x14ac:dyDescent="0.2">
      <c r="G28732" s="889"/>
    </row>
    <row r="28733" spans="7:7" ht="10.5" customHeight="1" x14ac:dyDescent="0.2">
      <c r="G28733" s="889"/>
    </row>
    <row r="28734" spans="7:7" ht="10.5" customHeight="1" x14ac:dyDescent="0.2">
      <c r="G28734" s="889"/>
    </row>
    <row r="28735" spans="7:7" ht="10.5" customHeight="1" x14ac:dyDescent="0.2">
      <c r="G28735" s="889"/>
    </row>
    <row r="28736" spans="7:7" ht="10.5" customHeight="1" x14ac:dyDescent="0.2">
      <c r="G28736" s="889"/>
    </row>
    <row r="28737" spans="7:7" ht="10.5" customHeight="1" x14ac:dyDescent="0.2">
      <c r="G28737" s="889"/>
    </row>
    <row r="28738" spans="7:7" ht="10.5" customHeight="1" x14ac:dyDescent="0.2">
      <c r="G28738" s="889"/>
    </row>
    <row r="28739" spans="7:7" ht="10.5" customHeight="1" x14ac:dyDescent="0.2">
      <c r="G28739" s="889"/>
    </row>
    <row r="28740" spans="7:7" ht="10.5" customHeight="1" x14ac:dyDescent="0.2">
      <c r="G28740" s="889"/>
    </row>
    <row r="28741" spans="7:7" ht="10.5" customHeight="1" x14ac:dyDescent="0.2">
      <c r="G28741" s="889"/>
    </row>
    <row r="28742" spans="7:7" ht="10.5" customHeight="1" x14ac:dyDescent="0.2">
      <c r="G28742" s="889"/>
    </row>
    <row r="28743" spans="7:7" ht="10.5" customHeight="1" x14ac:dyDescent="0.2">
      <c r="G28743" s="889"/>
    </row>
    <row r="28744" spans="7:7" ht="10.5" customHeight="1" x14ac:dyDescent="0.2">
      <c r="G28744" s="889"/>
    </row>
    <row r="28745" spans="7:7" ht="10.5" customHeight="1" x14ac:dyDescent="0.2">
      <c r="G28745" s="889"/>
    </row>
    <row r="28746" spans="7:7" ht="10.5" customHeight="1" x14ac:dyDescent="0.2">
      <c r="G28746" s="889"/>
    </row>
    <row r="28747" spans="7:7" ht="10.5" customHeight="1" x14ac:dyDescent="0.2">
      <c r="G28747" s="889"/>
    </row>
    <row r="28748" spans="7:7" ht="10.5" customHeight="1" x14ac:dyDescent="0.2">
      <c r="G28748" s="889"/>
    </row>
    <row r="28749" spans="7:7" ht="10.5" customHeight="1" x14ac:dyDescent="0.2">
      <c r="G28749" s="889"/>
    </row>
    <row r="28750" spans="7:7" ht="10.5" customHeight="1" x14ac:dyDescent="0.2">
      <c r="G28750" s="889"/>
    </row>
    <row r="28751" spans="7:7" ht="10.5" customHeight="1" x14ac:dyDescent="0.2">
      <c r="G28751" s="889"/>
    </row>
    <row r="28752" spans="7:7" ht="10.5" customHeight="1" x14ac:dyDescent="0.2">
      <c r="G28752" s="889"/>
    </row>
    <row r="28753" spans="7:7" ht="10.5" customHeight="1" x14ac:dyDescent="0.2">
      <c r="G28753" s="889"/>
    </row>
    <row r="28754" spans="7:7" ht="10.5" customHeight="1" x14ac:dyDescent="0.2">
      <c r="G28754" s="889"/>
    </row>
    <row r="28755" spans="7:7" ht="10.5" customHeight="1" x14ac:dyDescent="0.2">
      <c r="G28755" s="889"/>
    </row>
    <row r="28756" spans="7:7" ht="10.5" customHeight="1" x14ac:dyDescent="0.2">
      <c r="G28756" s="889"/>
    </row>
    <row r="28757" spans="7:7" ht="10.5" customHeight="1" x14ac:dyDescent="0.2">
      <c r="G28757" s="889"/>
    </row>
    <row r="28758" spans="7:7" ht="10.5" customHeight="1" x14ac:dyDescent="0.2">
      <c r="G28758" s="889"/>
    </row>
    <row r="28759" spans="7:7" ht="10.5" customHeight="1" x14ac:dyDescent="0.2">
      <c r="G28759" s="889"/>
    </row>
    <row r="28760" spans="7:7" ht="10.5" customHeight="1" x14ac:dyDescent="0.2">
      <c r="G28760" s="889"/>
    </row>
    <row r="28761" spans="7:7" ht="10.5" customHeight="1" x14ac:dyDescent="0.2">
      <c r="G28761" s="889"/>
    </row>
    <row r="28762" spans="7:7" ht="10.5" customHeight="1" x14ac:dyDescent="0.2">
      <c r="G28762" s="889"/>
    </row>
    <row r="28763" spans="7:7" ht="10.5" customHeight="1" x14ac:dyDescent="0.2">
      <c r="G28763" s="889"/>
    </row>
    <row r="28764" spans="7:7" ht="10.5" customHeight="1" x14ac:dyDescent="0.2">
      <c r="G28764" s="889"/>
    </row>
    <row r="28765" spans="7:7" ht="10.5" customHeight="1" x14ac:dyDescent="0.2">
      <c r="G28765" s="889"/>
    </row>
    <row r="28766" spans="7:7" ht="10.5" customHeight="1" x14ac:dyDescent="0.2">
      <c r="G28766" s="889"/>
    </row>
    <row r="28767" spans="7:7" ht="10.5" customHeight="1" x14ac:dyDescent="0.2">
      <c r="G28767" s="889"/>
    </row>
    <row r="28768" spans="7:7" ht="10.5" customHeight="1" x14ac:dyDescent="0.2">
      <c r="G28768" s="889"/>
    </row>
    <row r="28769" spans="7:7" ht="10.5" customHeight="1" x14ac:dyDescent="0.2">
      <c r="G28769" s="889"/>
    </row>
    <row r="28770" spans="7:7" ht="10.5" customHeight="1" x14ac:dyDescent="0.2">
      <c r="G28770" s="889"/>
    </row>
    <row r="28771" spans="7:7" ht="10.5" customHeight="1" x14ac:dyDescent="0.2">
      <c r="G28771" s="889"/>
    </row>
    <row r="28772" spans="7:7" ht="10.5" customHeight="1" x14ac:dyDescent="0.2">
      <c r="G28772" s="889"/>
    </row>
    <row r="28773" spans="7:7" ht="10.5" customHeight="1" x14ac:dyDescent="0.2">
      <c r="G28773" s="889"/>
    </row>
    <row r="28774" spans="7:7" ht="10.5" customHeight="1" x14ac:dyDescent="0.2">
      <c r="G28774" s="889"/>
    </row>
    <row r="28775" spans="7:7" ht="10.5" customHeight="1" x14ac:dyDescent="0.2">
      <c r="G28775" s="889"/>
    </row>
    <row r="28776" spans="7:7" ht="10.5" customHeight="1" x14ac:dyDescent="0.2">
      <c r="G28776" s="889"/>
    </row>
    <row r="28777" spans="7:7" ht="10.5" customHeight="1" x14ac:dyDescent="0.2">
      <c r="G28777" s="889"/>
    </row>
    <row r="28778" spans="7:7" ht="10.5" customHeight="1" x14ac:dyDescent="0.2">
      <c r="G28778" s="889"/>
    </row>
    <row r="28779" spans="7:7" ht="10.5" customHeight="1" x14ac:dyDescent="0.2">
      <c r="G28779" s="889"/>
    </row>
    <row r="28780" spans="7:7" ht="10.5" customHeight="1" x14ac:dyDescent="0.2">
      <c r="G28780" s="889"/>
    </row>
    <row r="28781" spans="7:7" ht="10.5" customHeight="1" x14ac:dyDescent="0.2">
      <c r="G28781" s="889"/>
    </row>
    <row r="28782" spans="7:7" ht="10.5" customHeight="1" x14ac:dyDescent="0.2">
      <c r="G28782" s="889"/>
    </row>
    <row r="28783" spans="7:7" ht="10.5" customHeight="1" x14ac:dyDescent="0.2">
      <c r="G28783" s="889"/>
    </row>
    <row r="28784" spans="7:7" ht="10.5" customHeight="1" x14ac:dyDescent="0.2">
      <c r="G28784" s="889"/>
    </row>
    <row r="28785" spans="7:7" ht="10.5" customHeight="1" x14ac:dyDescent="0.2">
      <c r="G28785" s="889"/>
    </row>
    <row r="28786" spans="7:7" ht="10.5" customHeight="1" x14ac:dyDescent="0.2">
      <c r="G28786" s="889"/>
    </row>
    <row r="28787" spans="7:7" ht="10.5" customHeight="1" x14ac:dyDescent="0.2">
      <c r="G28787" s="889"/>
    </row>
    <row r="28788" spans="7:7" ht="10.5" customHeight="1" x14ac:dyDescent="0.2">
      <c r="G28788" s="889"/>
    </row>
    <row r="28789" spans="7:7" ht="10.5" customHeight="1" x14ac:dyDescent="0.2">
      <c r="G28789" s="889"/>
    </row>
    <row r="28790" spans="7:7" ht="10.5" customHeight="1" x14ac:dyDescent="0.2">
      <c r="G28790" s="889"/>
    </row>
    <row r="28791" spans="7:7" ht="10.5" customHeight="1" x14ac:dyDescent="0.2">
      <c r="G28791" s="889"/>
    </row>
    <row r="28792" spans="7:7" ht="10.5" customHeight="1" x14ac:dyDescent="0.2">
      <c r="G28792" s="889"/>
    </row>
    <row r="28793" spans="7:7" ht="10.5" customHeight="1" x14ac:dyDescent="0.2">
      <c r="G28793" s="889"/>
    </row>
    <row r="28794" spans="7:7" ht="10.5" customHeight="1" x14ac:dyDescent="0.2">
      <c r="G28794" s="889"/>
    </row>
    <row r="28795" spans="7:7" ht="10.5" customHeight="1" x14ac:dyDescent="0.2">
      <c r="G28795" s="889"/>
    </row>
    <row r="28796" spans="7:7" ht="10.5" customHeight="1" x14ac:dyDescent="0.2">
      <c r="G28796" s="889"/>
    </row>
    <row r="28797" spans="7:7" ht="10.5" customHeight="1" x14ac:dyDescent="0.2">
      <c r="G28797" s="889"/>
    </row>
    <row r="28798" spans="7:7" ht="10.5" customHeight="1" x14ac:dyDescent="0.2">
      <c r="G28798" s="889"/>
    </row>
    <row r="28799" spans="7:7" ht="10.5" customHeight="1" x14ac:dyDescent="0.2">
      <c r="G28799" s="889"/>
    </row>
    <row r="28800" spans="7:7" ht="10.5" customHeight="1" x14ac:dyDescent="0.2">
      <c r="G28800" s="889"/>
    </row>
    <row r="28801" spans="7:7" ht="10.5" customHeight="1" x14ac:dyDescent="0.2">
      <c r="G28801" s="889"/>
    </row>
    <row r="28802" spans="7:7" ht="10.5" customHeight="1" x14ac:dyDescent="0.2">
      <c r="G28802" s="889"/>
    </row>
    <row r="28803" spans="7:7" ht="10.5" customHeight="1" x14ac:dyDescent="0.2">
      <c r="G28803" s="889"/>
    </row>
    <row r="28804" spans="7:7" ht="10.5" customHeight="1" x14ac:dyDescent="0.2">
      <c r="G28804" s="889"/>
    </row>
    <row r="28805" spans="7:7" ht="10.5" customHeight="1" x14ac:dyDescent="0.2">
      <c r="G28805" s="889"/>
    </row>
    <row r="28806" spans="7:7" ht="10.5" customHeight="1" x14ac:dyDescent="0.2">
      <c r="G28806" s="889"/>
    </row>
    <row r="28807" spans="7:7" ht="10.5" customHeight="1" x14ac:dyDescent="0.2">
      <c r="G28807" s="889"/>
    </row>
    <row r="28808" spans="7:7" ht="10.5" customHeight="1" x14ac:dyDescent="0.2">
      <c r="G28808" s="889"/>
    </row>
    <row r="28809" spans="7:7" ht="10.5" customHeight="1" x14ac:dyDescent="0.2">
      <c r="G28809" s="889"/>
    </row>
    <row r="28810" spans="7:7" ht="10.5" customHeight="1" x14ac:dyDescent="0.2">
      <c r="G28810" s="889"/>
    </row>
    <row r="28811" spans="7:7" ht="10.5" customHeight="1" x14ac:dyDescent="0.2">
      <c r="G28811" s="889"/>
    </row>
    <row r="28812" spans="7:7" ht="10.5" customHeight="1" x14ac:dyDescent="0.2">
      <c r="G28812" s="889"/>
    </row>
    <row r="28813" spans="7:7" ht="10.5" customHeight="1" x14ac:dyDescent="0.2">
      <c r="G28813" s="889"/>
    </row>
    <row r="28814" spans="7:7" ht="10.5" customHeight="1" x14ac:dyDescent="0.2">
      <c r="G28814" s="889"/>
    </row>
    <row r="28815" spans="7:7" ht="10.5" customHeight="1" x14ac:dyDescent="0.2">
      <c r="G28815" s="889"/>
    </row>
    <row r="28816" spans="7:7" ht="10.5" customHeight="1" x14ac:dyDescent="0.2">
      <c r="G28816" s="889"/>
    </row>
    <row r="28817" spans="7:7" ht="10.5" customHeight="1" x14ac:dyDescent="0.2">
      <c r="G28817" s="889"/>
    </row>
    <row r="28818" spans="7:7" ht="10.5" customHeight="1" x14ac:dyDescent="0.2">
      <c r="G28818" s="889"/>
    </row>
    <row r="28819" spans="7:7" ht="10.5" customHeight="1" x14ac:dyDescent="0.2">
      <c r="G28819" s="889"/>
    </row>
    <row r="28820" spans="7:7" ht="10.5" customHeight="1" x14ac:dyDescent="0.2">
      <c r="G28820" s="889"/>
    </row>
    <row r="28821" spans="7:7" ht="10.5" customHeight="1" x14ac:dyDescent="0.2">
      <c r="G28821" s="889"/>
    </row>
    <row r="28822" spans="7:7" ht="10.5" customHeight="1" x14ac:dyDescent="0.2">
      <c r="G28822" s="889"/>
    </row>
    <row r="28823" spans="7:7" ht="10.5" customHeight="1" x14ac:dyDescent="0.2">
      <c r="G28823" s="889"/>
    </row>
    <row r="28824" spans="7:7" ht="10.5" customHeight="1" x14ac:dyDescent="0.2">
      <c r="G28824" s="889"/>
    </row>
    <row r="28825" spans="7:7" ht="10.5" customHeight="1" x14ac:dyDescent="0.2">
      <c r="G28825" s="889"/>
    </row>
    <row r="28826" spans="7:7" ht="10.5" customHeight="1" x14ac:dyDescent="0.2">
      <c r="G28826" s="889"/>
    </row>
    <row r="28827" spans="7:7" ht="10.5" customHeight="1" x14ac:dyDescent="0.2">
      <c r="G28827" s="889"/>
    </row>
    <row r="28828" spans="7:7" ht="10.5" customHeight="1" x14ac:dyDescent="0.2">
      <c r="G28828" s="889"/>
    </row>
    <row r="28829" spans="7:7" ht="10.5" customHeight="1" x14ac:dyDescent="0.2">
      <c r="G28829" s="889"/>
    </row>
    <row r="28830" spans="7:7" ht="10.5" customHeight="1" x14ac:dyDescent="0.2">
      <c r="G28830" s="889"/>
    </row>
    <row r="28831" spans="7:7" ht="10.5" customHeight="1" x14ac:dyDescent="0.2">
      <c r="G28831" s="889"/>
    </row>
    <row r="28832" spans="7:7" ht="10.5" customHeight="1" x14ac:dyDescent="0.2">
      <c r="G28832" s="889"/>
    </row>
    <row r="28833" spans="7:7" ht="10.5" customHeight="1" x14ac:dyDescent="0.2">
      <c r="G28833" s="889"/>
    </row>
    <row r="28834" spans="7:7" ht="10.5" customHeight="1" x14ac:dyDescent="0.2">
      <c r="G28834" s="889"/>
    </row>
    <row r="28835" spans="7:7" ht="10.5" customHeight="1" x14ac:dyDescent="0.2">
      <c r="G28835" s="889"/>
    </row>
    <row r="28836" spans="7:7" ht="10.5" customHeight="1" x14ac:dyDescent="0.2">
      <c r="G28836" s="889"/>
    </row>
    <row r="28837" spans="7:7" ht="10.5" customHeight="1" x14ac:dyDescent="0.2">
      <c r="G28837" s="889"/>
    </row>
    <row r="28838" spans="7:7" ht="10.5" customHeight="1" x14ac:dyDescent="0.2">
      <c r="G28838" s="889"/>
    </row>
    <row r="28839" spans="7:7" ht="10.5" customHeight="1" x14ac:dyDescent="0.2">
      <c r="G28839" s="889"/>
    </row>
    <row r="28840" spans="7:7" ht="10.5" customHeight="1" x14ac:dyDescent="0.2">
      <c r="G28840" s="889"/>
    </row>
    <row r="28841" spans="7:7" ht="10.5" customHeight="1" x14ac:dyDescent="0.2">
      <c r="G28841" s="889"/>
    </row>
    <row r="28842" spans="7:7" ht="10.5" customHeight="1" x14ac:dyDescent="0.2">
      <c r="G28842" s="889"/>
    </row>
    <row r="28843" spans="7:7" ht="10.5" customHeight="1" x14ac:dyDescent="0.2">
      <c r="G28843" s="889"/>
    </row>
    <row r="28844" spans="7:7" ht="10.5" customHeight="1" x14ac:dyDescent="0.2">
      <c r="G28844" s="889"/>
    </row>
    <row r="28845" spans="7:7" ht="10.5" customHeight="1" x14ac:dyDescent="0.2">
      <c r="G28845" s="889"/>
    </row>
    <row r="28846" spans="7:7" ht="10.5" customHeight="1" x14ac:dyDescent="0.2">
      <c r="G28846" s="889"/>
    </row>
    <row r="28847" spans="7:7" ht="10.5" customHeight="1" x14ac:dyDescent="0.2">
      <c r="G28847" s="889"/>
    </row>
    <row r="28848" spans="7:7" ht="10.5" customHeight="1" x14ac:dyDescent="0.2">
      <c r="G28848" s="889"/>
    </row>
    <row r="28849" spans="7:7" ht="10.5" customHeight="1" x14ac:dyDescent="0.2">
      <c r="G28849" s="889"/>
    </row>
    <row r="28850" spans="7:7" ht="10.5" customHeight="1" x14ac:dyDescent="0.2">
      <c r="G28850" s="889"/>
    </row>
    <row r="28851" spans="7:7" ht="10.5" customHeight="1" x14ac:dyDescent="0.2">
      <c r="G28851" s="889"/>
    </row>
    <row r="28852" spans="7:7" ht="10.5" customHeight="1" x14ac:dyDescent="0.2">
      <c r="G28852" s="889"/>
    </row>
    <row r="28853" spans="7:7" ht="10.5" customHeight="1" x14ac:dyDescent="0.2">
      <c r="G28853" s="889"/>
    </row>
    <row r="28854" spans="7:7" ht="10.5" customHeight="1" x14ac:dyDescent="0.2">
      <c r="G28854" s="889"/>
    </row>
    <row r="28855" spans="7:7" ht="10.5" customHeight="1" x14ac:dyDescent="0.2">
      <c r="G28855" s="889"/>
    </row>
    <row r="28856" spans="7:7" ht="10.5" customHeight="1" x14ac:dyDescent="0.2">
      <c r="G28856" s="889"/>
    </row>
    <row r="28857" spans="7:7" ht="10.5" customHeight="1" x14ac:dyDescent="0.2">
      <c r="G28857" s="889"/>
    </row>
    <row r="28858" spans="7:7" ht="10.5" customHeight="1" x14ac:dyDescent="0.2">
      <c r="G28858" s="889"/>
    </row>
    <row r="28859" spans="7:7" ht="10.5" customHeight="1" x14ac:dyDescent="0.2">
      <c r="G28859" s="889"/>
    </row>
    <row r="28860" spans="7:7" ht="10.5" customHeight="1" x14ac:dyDescent="0.2">
      <c r="G28860" s="889"/>
    </row>
    <row r="28861" spans="7:7" ht="10.5" customHeight="1" x14ac:dyDescent="0.2">
      <c r="G28861" s="889"/>
    </row>
    <row r="28862" spans="7:7" ht="10.5" customHeight="1" x14ac:dyDescent="0.2">
      <c r="G28862" s="889"/>
    </row>
    <row r="28863" spans="7:7" ht="10.5" customHeight="1" x14ac:dyDescent="0.2">
      <c r="G28863" s="889"/>
    </row>
    <row r="28864" spans="7:7" ht="10.5" customHeight="1" x14ac:dyDescent="0.2">
      <c r="G28864" s="889"/>
    </row>
    <row r="28865" spans="7:7" ht="10.5" customHeight="1" x14ac:dyDescent="0.2">
      <c r="G28865" s="889"/>
    </row>
    <row r="28866" spans="7:7" ht="10.5" customHeight="1" x14ac:dyDescent="0.2">
      <c r="G28866" s="889"/>
    </row>
    <row r="28867" spans="7:7" ht="10.5" customHeight="1" x14ac:dyDescent="0.2">
      <c r="G28867" s="889"/>
    </row>
    <row r="28868" spans="7:7" ht="10.5" customHeight="1" x14ac:dyDescent="0.2">
      <c r="G28868" s="889"/>
    </row>
    <row r="28869" spans="7:7" ht="10.5" customHeight="1" x14ac:dyDescent="0.2">
      <c r="G28869" s="889"/>
    </row>
    <row r="28870" spans="7:7" ht="10.5" customHeight="1" x14ac:dyDescent="0.2">
      <c r="G28870" s="889"/>
    </row>
    <row r="28871" spans="7:7" ht="10.5" customHeight="1" x14ac:dyDescent="0.2">
      <c r="G28871" s="889"/>
    </row>
    <row r="28872" spans="7:7" ht="10.5" customHeight="1" x14ac:dyDescent="0.2">
      <c r="G28872" s="889"/>
    </row>
    <row r="28873" spans="7:7" ht="10.5" customHeight="1" x14ac:dyDescent="0.2">
      <c r="G28873" s="889"/>
    </row>
    <row r="28874" spans="7:7" ht="10.5" customHeight="1" x14ac:dyDescent="0.2">
      <c r="G28874" s="889"/>
    </row>
    <row r="28875" spans="7:7" ht="10.5" customHeight="1" x14ac:dyDescent="0.2">
      <c r="G28875" s="889"/>
    </row>
    <row r="28876" spans="7:7" ht="10.5" customHeight="1" x14ac:dyDescent="0.2">
      <c r="G28876" s="889"/>
    </row>
    <row r="28877" spans="7:7" ht="10.5" customHeight="1" x14ac:dyDescent="0.2">
      <c r="G28877" s="889"/>
    </row>
    <row r="28878" spans="7:7" ht="10.5" customHeight="1" x14ac:dyDescent="0.2">
      <c r="G28878" s="889"/>
    </row>
    <row r="28879" spans="7:7" ht="10.5" customHeight="1" x14ac:dyDescent="0.2">
      <c r="G28879" s="889"/>
    </row>
    <row r="28880" spans="7:7" ht="10.5" customHeight="1" x14ac:dyDescent="0.2">
      <c r="G28880" s="889"/>
    </row>
    <row r="28881" spans="7:7" ht="10.5" customHeight="1" x14ac:dyDescent="0.2">
      <c r="G28881" s="889"/>
    </row>
    <row r="28882" spans="7:7" ht="10.5" customHeight="1" x14ac:dyDescent="0.2">
      <c r="G28882" s="889"/>
    </row>
    <row r="28883" spans="7:7" ht="10.5" customHeight="1" x14ac:dyDescent="0.2">
      <c r="G28883" s="889"/>
    </row>
    <row r="28884" spans="7:7" ht="10.5" customHeight="1" x14ac:dyDescent="0.2">
      <c r="G28884" s="889"/>
    </row>
    <row r="28885" spans="7:7" ht="10.5" customHeight="1" x14ac:dyDescent="0.2">
      <c r="G28885" s="889"/>
    </row>
    <row r="28886" spans="7:7" ht="10.5" customHeight="1" x14ac:dyDescent="0.2">
      <c r="G28886" s="889"/>
    </row>
    <row r="28887" spans="7:7" ht="10.5" customHeight="1" x14ac:dyDescent="0.2">
      <c r="G28887" s="889"/>
    </row>
    <row r="28888" spans="7:7" ht="10.5" customHeight="1" x14ac:dyDescent="0.2">
      <c r="G28888" s="889"/>
    </row>
    <row r="28889" spans="7:7" ht="10.5" customHeight="1" x14ac:dyDescent="0.2">
      <c r="G28889" s="889"/>
    </row>
    <row r="28890" spans="7:7" ht="10.5" customHeight="1" x14ac:dyDescent="0.2">
      <c r="G28890" s="889"/>
    </row>
    <row r="28891" spans="7:7" ht="10.5" customHeight="1" x14ac:dyDescent="0.2">
      <c r="G28891" s="889"/>
    </row>
    <row r="28892" spans="7:7" ht="10.5" customHeight="1" x14ac:dyDescent="0.2">
      <c r="G28892" s="889"/>
    </row>
    <row r="28893" spans="7:7" ht="10.5" customHeight="1" x14ac:dyDescent="0.2">
      <c r="G28893" s="889"/>
    </row>
    <row r="28894" spans="7:7" ht="10.5" customHeight="1" x14ac:dyDescent="0.2">
      <c r="G28894" s="889"/>
    </row>
    <row r="28895" spans="7:7" ht="10.5" customHeight="1" x14ac:dyDescent="0.2">
      <c r="G28895" s="889"/>
    </row>
    <row r="28896" spans="7:7" ht="10.5" customHeight="1" x14ac:dyDescent="0.2">
      <c r="G28896" s="889"/>
    </row>
    <row r="28897" spans="7:7" ht="10.5" customHeight="1" x14ac:dyDescent="0.2">
      <c r="G28897" s="889"/>
    </row>
    <row r="28898" spans="7:7" ht="10.5" customHeight="1" x14ac:dyDescent="0.2">
      <c r="G28898" s="889"/>
    </row>
    <row r="28899" spans="7:7" ht="10.5" customHeight="1" x14ac:dyDescent="0.2">
      <c r="G28899" s="889"/>
    </row>
    <row r="28900" spans="7:7" ht="10.5" customHeight="1" x14ac:dyDescent="0.2">
      <c r="G28900" s="889"/>
    </row>
    <row r="28901" spans="7:7" ht="10.5" customHeight="1" x14ac:dyDescent="0.2">
      <c r="G28901" s="889"/>
    </row>
    <row r="28902" spans="7:7" ht="10.5" customHeight="1" x14ac:dyDescent="0.2">
      <c r="G28902" s="889"/>
    </row>
    <row r="28903" spans="7:7" ht="10.5" customHeight="1" x14ac:dyDescent="0.2">
      <c r="G28903" s="889"/>
    </row>
    <row r="28904" spans="7:7" ht="10.5" customHeight="1" x14ac:dyDescent="0.2">
      <c r="G28904" s="889"/>
    </row>
    <row r="28905" spans="7:7" ht="10.5" customHeight="1" x14ac:dyDescent="0.2">
      <c r="G28905" s="889"/>
    </row>
    <row r="28906" spans="7:7" ht="10.5" customHeight="1" x14ac:dyDescent="0.2">
      <c r="G28906" s="889"/>
    </row>
    <row r="28907" spans="7:7" ht="10.5" customHeight="1" x14ac:dyDescent="0.2">
      <c r="G28907" s="889"/>
    </row>
    <row r="28908" spans="7:7" ht="10.5" customHeight="1" x14ac:dyDescent="0.2">
      <c r="G28908" s="889"/>
    </row>
    <row r="28909" spans="7:7" ht="10.5" customHeight="1" x14ac:dyDescent="0.2">
      <c r="G28909" s="889"/>
    </row>
    <row r="28910" spans="7:7" ht="10.5" customHeight="1" x14ac:dyDescent="0.2">
      <c r="G28910" s="889"/>
    </row>
    <row r="28911" spans="7:7" ht="10.5" customHeight="1" x14ac:dyDescent="0.2">
      <c r="G28911" s="889"/>
    </row>
    <row r="28912" spans="7:7" ht="10.5" customHeight="1" x14ac:dyDescent="0.2">
      <c r="G28912" s="889"/>
    </row>
    <row r="28913" spans="7:7" ht="10.5" customHeight="1" x14ac:dyDescent="0.2">
      <c r="G28913" s="889"/>
    </row>
    <row r="28914" spans="7:7" ht="10.5" customHeight="1" x14ac:dyDescent="0.2">
      <c r="G28914" s="889"/>
    </row>
    <row r="28915" spans="7:7" ht="10.5" customHeight="1" x14ac:dyDescent="0.2">
      <c r="G28915" s="889"/>
    </row>
    <row r="28916" spans="7:7" ht="10.5" customHeight="1" x14ac:dyDescent="0.2">
      <c r="G28916" s="889"/>
    </row>
    <row r="28917" spans="7:7" ht="10.5" customHeight="1" x14ac:dyDescent="0.2">
      <c r="G28917" s="889"/>
    </row>
    <row r="28918" spans="7:7" ht="10.5" customHeight="1" x14ac:dyDescent="0.2">
      <c r="G28918" s="889"/>
    </row>
    <row r="28919" spans="7:7" ht="10.5" customHeight="1" x14ac:dyDescent="0.2">
      <c r="G28919" s="889"/>
    </row>
    <row r="28920" spans="7:7" ht="10.5" customHeight="1" x14ac:dyDescent="0.2">
      <c r="G28920" s="889"/>
    </row>
    <row r="28921" spans="7:7" ht="10.5" customHeight="1" x14ac:dyDescent="0.2">
      <c r="G28921" s="889"/>
    </row>
    <row r="28922" spans="7:7" ht="10.5" customHeight="1" x14ac:dyDescent="0.2">
      <c r="G28922" s="889"/>
    </row>
    <row r="28923" spans="7:7" ht="10.5" customHeight="1" x14ac:dyDescent="0.2">
      <c r="G28923" s="889"/>
    </row>
    <row r="28924" spans="7:7" ht="10.5" customHeight="1" x14ac:dyDescent="0.2">
      <c r="G28924" s="889"/>
    </row>
    <row r="28925" spans="7:7" ht="10.5" customHeight="1" x14ac:dyDescent="0.2">
      <c r="G28925" s="889"/>
    </row>
    <row r="28926" spans="7:7" ht="10.5" customHeight="1" x14ac:dyDescent="0.2">
      <c r="G28926" s="889"/>
    </row>
    <row r="28927" spans="7:7" ht="10.5" customHeight="1" x14ac:dyDescent="0.2">
      <c r="G28927" s="889"/>
    </row>
    <row r="28928" spans="7:7" ht="10.5" customHeight="1" x14ac:dyDescent="0.2">
      <c r="G28928" s="889"/>
    </row>
    <row r="28929" spans="7:7" ht="10.5" customHeight="1" x14ac:dyDescent="0.2">
      <c r="G28929" s="889"/>
    </row>
    <row r="28930" spans="7:7" ht="10.5" customHeight="1" x14ac:dyDescent="0.2">
      <c r="G28930" s="889"/>
    </row>
    <row r="28931" spans="7:7" ht="10.5" customHeight="1" x14ac:dyDescent="0.2">
      <c r="G28931" s="889"/>
    </row>
    <row r="28932" spans="7:7" ht="10.5" customHeight="1" x14ac:dyDescent="0.2">
      <c r="G28932" s="889"/>
    </row>
    <row r="28933" spans="7:7" ht="10.5" customHeight="1" x14ac:dyDescent="0.2">
      <c r="G28933" s="889"/>
    </row>
    <row r="28934" spans="7:7" ht="10.5" customHeight="1" x14ac:dyDescent="0.2">
      <c r="G28934" s="889"/>
    </row>
    <row r="28935" spans="7:7" ht="10.5" customHeight="1" x14ac:dyDescent="0.2">
      <c r="G28935" s="889"/>
    </row>
    <row r="28936" spans="7:7" ht="10.5" customHeight="1" x14ac:dyDescent="0.2">
      <c r="G28936" s="889"/>
    </row>
    <row r="28937" spans="7:7" ht="10.5" customHeight="1" x14ac:dyDescent="0.2">
      <c r="G28937" s="889"/>
    </row>
    <row r="28938" spans="7:7" ht="10.5" customHeight="1" x14ac:dyDescent="0.2">
      <c r="G28938" s="889"/>
    </row>
    <row r="28939" spans="7:7" ht="10.5" customHeight="1" x14ac:dyDescent="0.2">
      <c r="G28939" s="889"/>
    </row>
    <row r="28940" spans="7:7" ht="10.5" customHeight="1" x14ac:dyDescent="0.2">
      <c r="G28940" s="889"/>
    </row>
    <row r="28941" spans="7:7" ht="10.5" customHeight="1" x14ac:dyDescent="0.2">
      <c r="G28941" s="889"/>
    </row>
    <row r="28942" spans="7:7" ht="10.5" customHeight="1" x14ac:dyDescent="0.2">
      <c r="G28942" s="889"/>
    </row>
    <row r="28943" spans="7:7" ht="10.5" customHeight="1" x14ac:dyDescent="0.2">
      <c r="G28943" s="889"/>
    </row>
    <row r="28944" spans="7:7" ht="10.5" customHeight="1" x14ac:dyDescent="0.2">
      <c r="G28944" s="889"/>
    </row>
    <row r="28945" spans="7:7" ht="10.5" customHeight="1" x14ac:dyDescent="0.2">
      <c r="G28945" s="889"/>
    </row>
    <row r="28946" spans="7:7" ht="10.5" customHeight="1" x14ac:dyDescent="0.2">
      <c r="G28946" s="889"/>
    </row>
    <row r="28947" spans="7:7" ht="10.5" customHeight="1" x14ac:dyDescent="0.2">
      <c r="G28947" s="889"/>
    </row>
    <row r="28948" spans="7:7" ht="10.5" customHeight="1" x14ac:dyDescent="0.2">
      <c r="G28948" s="889"/>
    </row>
    <row r="28949" spans="7:7" ht="10.5" customHeight="1" x14ac:dyDescent="0.2">
      <c r="G28949" s="889"/>
    </row>
    <row r="28950" spans="7:7" ht="10.5" customHeight="1" x14ac:dyDescent="0.2">
      <c r="G28950" s="889"/>
    </row>
    <row r="28951" spans="7:7" ht="10.5" customHeight="1" x14ac:dyDescent="0.2">
      <c r="G28951" s="889"/>
    </row>
    <row r="28952" spans="7:7" ht="10.5" customHeight="1" x14ac:dyDescent="0.2">
      <c r="G28952" s="889"/>
    </row>
    <row r="28953" spans="7:7" ht="10.5" customHeight="1" x14ac:dyDescent="0.2">
      <c r="G28953" s="889"/>
    </row>
    <row r="28954" spans="7:7" ht="10.5" customHeight="1" x14ac:dyDescent="0.2">
      <c r="G28954" s="889"/>
    </row>
    <row r="28955" spans="7:7" ht="10.5" customHeight="1" x14ac:dyDescent="0.2">
      <c r="G28955" s="889"/>
    </row>
    <row r="28956" spans="7:7" ht="10.5" customHeight="1" x14ac:dyDescent="0.2">
      <c r="G28956" s="889"/>
    </row>
    <row r="28957" spans="7:7" ht="10.5" customHeight="1" x14ac:dyDescent="0.2">
      <c r="G28957" s="889"/>
    </row>
    <row r="28958" spans="7:7" ht="10.5" customHeight="1" x14ac:dyDescent="0.2">
      <c r="G28958" s="889"/>
    </row>
    <row r="28959" spans="7:7" ht="10.5" customHeight="1" x14ac:dyDescent="0.2">
      <c r="G28959" s="889"/>
    </row>
    <row r="28960" spans="7:7" ht="10.5" customHeight="1" x14ac:dyDescent="0.2">
      <c r="G28960" s="889"/>
    </row>
    <row r="28961" spans="7:7" ht="10.5" customHeight="1" x14ac:dyDescent="0.2">
      <c r="G28961" s="889"/>
    </row>
    <row r="28962" spans="7:7" ht="10.5" customHeight="1" x14ac:dyDescent="0.2">
      <c r="G28962" s="889"/>
    </row>
    <row r="28963" spans="7:7" ht="10.5" customHeight="1" x14ac:dyDescent="0.2">
      <c r="G28963" s="889"/>
    </row>
    <row r="28964" spans="7:7" ht="10.5" customHeight="1" x14ac:dyDescent="0.2">
      <c r="G28964" s="889"/>
    </row>
    <row r="28965" spans="7:7" ht="10.5" customHeight="1" x14ac:dyDescent="0.2">
      <c r="G28965" s="889"/>
    </row>
    <row r="28966" spans="7:7" ht="10.5" customHeight="1" x14ac:dyDescent="0.2">
      <c r="G28966" s="889"/>
    </row>
    <row r="28967" spans="7:7" ht="10.5" customHeight="1" x14ac:dyDescent="0.2">
      <c r="G28967" s="889"/>
    </row>
    <row r="28968" spans="7:7" ht="10.5" customHeight="1" x14ac:dyDescent="0.2">
      <c r="G28968" s="889"/>
    </row>
    <row r="28969" spans="7:7" ht="10.5" customHeight="1" x14ac:dyDescent="0.2">
      <c r="G28969" s="889"/>
    </row>
    <row r="28970" spans="7:7" ht="10.5" customHeight="1" x14ac:dyDescent="0.2">
      <c r="G28970" s="889"/>
    </row>
    <row r="28971" spans="7:7" ht="10.5" customHeight="1" x14ac:dyDescent="0.2">
      <c r="G28971" s="889"/>
    </row>
    <row r="28972" spans="7:7" ht="10.5" customHeight="1" x14ac:dyDescent="0.2">
      <c r="G28972" s="889"/>
    </row>
    <row r="28973" spans="7:7" ht="10.5" customHeight="1" x14ac:dyDescent="0.2">
      <c r="G28973" s="889"/>
    </row>
    <row r="28974" spans="7:7" ht="10.5" customHeight="1" x14ac:dyDescent="0.2">
      <c r="G28974" s="889"/>
    </row>
    <row r="28975" spans="7:7" ht="10.5" customHeight="1" x14ac:dyDescent="0.2">
      <c r="G28975" s="889"/>
    </row>
    <row r="28976" spans="7:7" ht="10.5" customHeight="1" x14ac:dyDescent="0.2">
      <c r="G28976" s="889"/>
    </row>
    <row r="28977" spans="7:7" ht="10.5" customHeight="1" x14ac:dyDescent="0.2">
      <c r="G28977" s="889"/>
    </row>
    <row r="28978" spans="7:7" ht="10.5" customHeight="1" x14ac:dyDescent="0.2">
      <c r="G28978" s="889"/>
    </row>
    <row r="28979" spans="7:7" ht="10.5" customHeight="1" x14ac:dyDescent="0.2">
      <c r="G28979" s="889"/>
    </row>
    <row r="28980" spans="7:7" ht="10.5" customHeight="1" x14ac:dyDescent="0.2">
      <c r="G28980" s="889"/>
    </row>
    <row r="28981" spans="7:7" ht="10.5" customHeight="1" x14ac:dyDescent="0.2">
      <c r="G28981" s="889"/>
    </row>
    <row r="28982" spans="7:7" ht="10.5" customHeight="1" x14ac:dyDescent="0.2">
      <c r="G28982" s="889"/>
    </row>
    <row r="28983" spans="7:7" ht="10.5" customHeight="1" x14ac:dyDescent="0.2">
      <c r="G28983" s="889"/>
    </row>
    <row r="28984" spans="7:7" ht="10.5" customHeight="1" x14ac:dyDescent="0.2">
      <c r="G28984" s="889"/>
    </row>
    <row r="28985" spans="7:7" ht="10.5" customHeight="1" x14ac:dyDescent="0.2">
      <c r="G28985" s="889"/>
    </row>
    <row r="28986" spans="7:7" ht="10.5" customHeight="1" x14ac:dyDescent="0.2">
      <c r="G28986" s="889"/>
    </row>
    <row r="28987" spans="7:7" ht="10.5" customHeight="1" x14ac:dyDescent="0.2">
      <c r="G28987" s="889"/>
    </row>
    <row r="28988" spans="7:7" ht="10.5" customHeight="1" x14ac:dyDescent="0.2">
      <c r="G28988" s="889"/>
    </row>
    <row r="28989" spans="7:7" ht="10.5" customHeight="1" x14ac:dyDescent="0.2">
      <c r="G28989" s="889"/>
    </row>
    <row r="28990" spans="7:7" ht="10.5" customHeight="1" x14ac:dyDescent="0.2">
      <c r="G28990" s="889"/>
    </row>
    <row r="28991" spans="7:7" ht="10.5" customHeight="1" x14ac:dyDescent="0.2">
      <c r="G28991" s="889"/>
    </row>
    <row r="28992" spans="7:7" ht="10.5" customHeight="1" x14ac:dyDescent="0.2">
      <c r="G28992" s="889"/>
    </row>
    <row r="28993" spans="7:7" ht="10.5" customHeight="1" x14ac:dyDescent="0.2">
      <c r="G28993" s="889"/>
    </row>
    <row r="28994" spans="7:7" ht="10.5" customHeight="1" x14ac:dyDescent="0.2">
      <c r="G28994" s="889"/>
    </row>
    <row r="28995" spans="7:7" ht="10.5" customHeight="1" x14ac:dyDescent="0.2">
      <c r="G28995" s="889"/>
    </row>
    <row r="28996" spans="7:7" ht="10.5" customHeight="1" x14ac:dyDescent="0.2">
      <c r="G28996" s="889"/>
    </row>
    <row r="28997" spans="7:7" ht="10.5" customHeight="1" x14ac:dyDescent="0.2">
      <c r="G28997" s="889"/>
    </row>
    <row r="28998" spans="7:7" ht="10.5" customHeight="1" x14ac:dyDescent="0.2">
      <c r="G28998" s="889"/>
    </row>
    <row r="28999" spans="7:7" ht="10.5" customHeight="1" x14ac:dyDescent="0.2">
      <c r="G28999" s="889"/>
    </row>
    <row r="29000" spans="7:7" ht="10.5" customHeight="1" x14ac:dyDescent="0.2">
      <c r="G29000" s="889"/>
    </row>
    <row r="29001" spans="7:7" ht="10.5" customHeight="1" x14ac:dyDescent="0.2">
      <c r="G29001" s="889"/>
    </row>
    <row r="29002" spans="7:7" ht="10.5" customHeight="1" x14ac:dyDescent="0.2">
      <c r="G29002" s="889"/>
    </row>
    <row r="29003" spans="7:7" ht="10.5" customHeight="1" x14ac:dyDescent="0.2">
      <c r="G29003" s="889"/>
    </row>
    <row r="29004" spans="7:7" ht="10.5" customHeight="1" x14ac:dyDescent="0.2">
      <c r="G29004" s="889"/>
    </row>
    <row r="29005" spans="7:7" ht="10.5" customHeight="1" x14ac:dyDescent="0.2">
      <c r="G29005" s="889"/>
    </row>
    <row r="29006" spans="7:7" ht="10.5" customHeight="1" x14ac:dyDescent="0.2">
      <c r="G29006" s="889"/>
    </row>
    <row r="29007" spans="7:7" ht="10.5" customHeight="1" x14ac:dyDescent="0.2">
      <c r="G29007" s="889"/>
    </row>
    <row r="29008" spans="7:7" ht="10.5" customHeight="1" x14ac:dyDescent="0.2">
      <c r="G29008" s="889"/>
    </row>
    <row r="29009" spans="7:7" ht="10.5" customHeight="1" x14ac:dyDescent="0.2">
      <c r="G29009" s="889"/>
    </row>
    <row r="29010" spans="7:7" ht="10.5" customHeight="1" x14ac:dyDescent="0.2">
      <c r="G29010" s="889"/>
    </row>
    <row r="29011" spans="7:7" ht="10.5" customHeight="1" x14ac:dyDescent="0.2">
      <c r="G29011" s="889"/>
    </row>
    <row r="29012" spans="7:7" ht="10.5" customHeight="1" x14ac:dyDescent="0.2">
      <c r="G29012" s="889"/>
    </row>
    <row r="29013" spans="7:7" ht="10.5" customHeight="1" x14ac:dyDescent="0.2">
      <c r="G29013" s="889"/>
    </row>
    <row r="29014" spans="7:7" ht="10.5" customHeight="1" x14ac:dyDescent="0.2">
      <c r="G29014" s="889"/>
    </row>
    <row r="29015" spans="7:7" ht="10.5" customHeight="1" x14ac:dyDescent="0.2">
      <c r="G29015" s="889"/>
    </row>
    <row r="29016" spans="7:7" ht="10.5" customHeight="1" x14ac:dyDescent="0.2">
      <c r="G29016" s="889"/>
    </row>
    <row r="29017" spans="7:7" ht="10.5" customHeight="1" x14ac:dyDescent="0.2">
      <c r="G29017" s="889"/>
    </row>
    <row r="29018" spans="7:7" ht="10.5" customHeight="1" x14ac:dyDescent="0.2">
      <c r="G29018" s="889"/>
    </row>
    <row r="29019" spans="7:7" ht="10.5" customHeight="1" x14ac:dyDescent="0.2">
      <c r="G29019" s="889"/>
    </row>
    <row r="29020" spans="7:7" ht="10.5" customHeight="1" x14ac:dyDescent="0.2">
      <c r="G29020" s="889"/>
    </row>
    <row r="29021" spans="7:7" ht="10.5" customHeight="1" x14ac:dyDescent="0.2">
      <c r="G29021" s="889"/>
    </row>
    <row r="29022" spans="7:7" ht="10.5" customHeight="1" x14ac:dyDescent="0.2">
      <c r="G29022" s="889"/>
    </row>
    <row r="29023" spans="7:7" ht="10.5" customHeight="1" x14ac:dyDescent="0.2">
      <c r="G29023" s="889"/>
    </row>
    <row r="29024" spans="7:7" ht="10.5" customHeight="1" x14ac:dyDescent="0.2">
      <c r="G29024" s="889"/>
    </row>
    <row r="29025" spans="7:7" ht="10.5" customHeight="1" x14ac:dyDescent="0.2">
      <c r="G29025" s="889"/>
    </row>
    <row r="29026" spans="7:7" ht="10.5" customHeight="1" x14ac:dyDescent="0.2">
      <c r="G29026" s="889"/>
    </row>
    <row r="29027" spans="7:7" ht="10.5" customHeight="1" x14ac:dyDescent="0.2">
      <c r="G29027" s="889"/>
    </row>
    <row r="29028" spans="7:7" ht="10.5" customHeight="1" x14ac:dyDescent="0.2">
      <c r="G29028" s="889"/>
    </row>
    <row r="29029" spans="7:7" ht="10.5" customHeight="1" x14ac:dyDescent="0.2">
      <c r="G29029" s="889"/>
    </row>
    <row r="29030" spans="7:7" ht="10.5" customHeight="1" x14ac:dyDescent="0.2">
      <c r="G29030" s="889"/>
    </row>
    <row r="29031" spans="7:7" ht="10.5" customHeight="1" x14ac:dyDescent="0.2">
      <c r="G29031" s="889"/>
    </row>
    <row r="29032" spans="7:7" ht="10.5" customHeight="1" x14ac:dyDescent="0.2">
      <c r="G29032" s="889"/>
    </row>
    <row r="29033" spans="7:7" ht="10.5" customHeight="1" x14ac:dyDescent="0.2">
      <c r="G29033" s="889"/>
    </row>
    <row r="29034" spans="7:7" ht="10.5" customHeight="1" x14ac:dyDescent="0.2">
      <c r="G29034" s="889"/>
    </row>
    <row r="29035" spans="7:7" ht="10.5" customHeight="1" x14ac:dyDescent="0.2">
      <c r="G29035" s="889"/>
    </row>
    <row r="29036" spans="7:7" ht="10.5" customHeight="1" x14ac:dyDescent="0.2">
      <c r="G29036" s="889"/>
    </row>
    <row r="29037" spans="7:7" ht="10.5" customHeight="1" x14ac:dyDescent="0.2">
      <c r="G29037" s="889"/>
    </row>
    <row r="29038" spans="7:7" ht="10.5" customHeight="1" x14ac:dyDescent="0.2">
      <c r="G29038" s="889"/>
    </row>
    <row r="29039" spans="7:7" ht="10.5" customHeight="1" x14ac:dyDescent="0.2">
      <c r="G29039" s="889"/>
    </row>
    <row r="29040" spans="7:7" ht="10.5" customHeight="1" x14ac:dyDescent="0.2">
      <c r="G29040" s="889"/>
    </row>
    <row r="29041" spans="7:7" ht="10.5" customHeight="1" x14ac:dyDescent="0.2">
      <c r="G29041" s="889"/>
    </row>
    <row r="29042" spans="7:7" ht="10.5" customHeight="1" x14ac:dyDescent="0.2">
      <c r="G29042" s="889"/>
    </row>
    <row r="29043" spans="7:7" ht="10.5" customHeight="1" x14ac:dyDescent="0.2">
      <c r="G29043" s="889"/>
    </row>
    <row r="29044" spans="7:7" ht="10.5" customHeight="1" x14ac:dyDescent="0.2">
      <c r="G29044" s="889"/>
    </row>
    <row r="29045" spans="7:7" ht="10.5" customHeight="1" x14ac:dyDescent="0.2">
      <c r="G29045" s="889"/>
    </row>
    <row r="29046" spans="7:7" ht="10.5" customHeight="1" x14ac:dyDescent="0.2">
      <c r="G29046" s="889"/>
    </row>
    <row r="29047" spans="7:7" ht="10.5" customHeight="1" x14ac:dyDescent="0.2">
      <c r="G29047" s="889"/>
    </row>
    <row r="29048" spans="7:7" ht="10.5" customHeight="1" x14ac:dyDescent="0.2">
      <c r="G29048" s="889"/>
    </row>
    <row r="29049" spans="7:7" ht="10.5" customHeight="1" x14ac:dyDescent="0.2">
      <c r="G29049" s="889"/>
    </row>
    <row r="29050" spans="7:7" ht="10.5" customHeight="1" x14ac:dyDescent="0.2">
      <c r="G29050" s="889"/>
    </row>
    <row r="29051" spans="7:7" ht="10.5" customHeight="1" x14ac:dyDescent="0.2">
      <c r="G29051" s="889"/>
    </row>
    <row r="29052" spans="7:7" ht="10.5" customHeight="1" x14ac:dyDescent="0.2">
      <c r="G29052" s="889"/>
    </row>
    <row r="29053" spans="7:7" ht="10.5" customHeight="1" x14ac:dyDescent="0.2">
      <c r="G29053" s="889"/>
    </row>
    <row r="29054" spans="7:7" ht="10.5" customHeight="1" x14ac:dyDescent="0.2">
      <c r="G29054" s="889"/>
    </row>
    <row r="29055" spans="7:7" ht="10.5" customHeight="1" x14ac:dyDescent="0.2">
      <c r="G29055" s="889"/>
    </row>
    <row r="29056" spans="7:7" ht="10.5" customHeight="1" x14ac:dyDescent="0.2">
      <c r="G29056" s="889"/>
    </row>
    <row r="29057" spans="7:7" ht="10.5" customHeight="1" x14ac:dyDescent="0.2">
      <c r="G29057" s="889"/>
    </row>
    <row r="29058" spans="7:7" ht="10.5" customHeight="1" x14ac:dyDescent="0.2">
      <c r="G29058" s="889"/>
    </row>
    <row r="29059" spans="7:7" ht="10.5" customHeight="1" x14ac:dyDescent="0.2">
      <c r="G29059" s="889"/>
    </row>
    <row r="29060" spans="7:7" ht="10.5" customHeight="1" x14ac:dyDescent="0.2">
      <c r="G29060" s="889"/>
    </row>
    <row r="29061" spans="7:7" ht="10.5" customHeight="1" x14ac:dyDescent="0.2">
      <c r="G29061" s="889"/>
    </row>
    <row r="29062" spans="7:7" ht="10.5" customHeight="1" x14ac:dyDescent="0.2">
      <c r="G29062" s="889"/>
    </row>
    <row r="29063" spans="7:7" ht="10.5" customHeight="1" x14ac:dyDescent="0.2">
      <c r="G29063" s="889"/>
    </row>
    <row r="29064" spans="7:7" ht="10.5" customHeight="1" x14ac:dyDescent="0.2">
      <c r="G29064" s="889"/>
    </row>
    <row r="29065" spans="7:7" ht="10.5" customHeight="1" x14ac:dyDescent="0.2">
      <c r="G29065" s="889"/>
    </row>
    <row r="29066" spans="7:7" ht="10.5" customHeight="1" x14ac:dyDescent="0.2">
      <c r="G29066" s="889"/>
    </row>
    <row r="29067" spans="7:7" ht="10.5" customHeight="1" x14ac:dyDescent="0.2">
      <c r="G29067" s="889"/>
    </row>
    <row r="29068" spans="7:7" ht="10.5" customHeight="1" x14ac:dyDescent="0.2">
      <c r="G29068" s="889"/>
    </row>
    <row r="29069" spans="7:7" ht="10.5" customHeight="1" x14ac:dyDescent="0.2">
      <c r="G29069" s="889"/>
    </row>
    <row r="29070" spans="7:7" ht="10.5" customHeight="1" x14ac:dyDescent="0.2">
      <c r="G29070" s="889"/>
    </row>
    <row r="29071" spans="7:7" ht="10.5" customHeight="1" x14ac:dyDescent="0.2">
      <c r="G29071" s="889"/>
    </row>
    <row r="29072" spans="7:7" ht="10.5" customHeight="1" x14ac:dyDescent="0.2">
      <c r="G29072" s="889"/>
    </row>
    <row r="29073" spans="7:7" ht="10.5" customHeight="1" x14ac:dyDescent="0.2">
      <c r="G29073" s="889"/>
    </row>
    <row r="29074" spans="7:7" ht="10.5" customHeight="1" x14ac:dyDescent="0.2">
      <c r="G29074" s="889"/>
    </row>
    <row r="29075" spans="7:7" ht="10.5" customHeight="1" x14ac:dyDescent="0.2">
      <c r="G29075" s="889"/>
    </row>
    <row r="29076" spans="7:7" ht="10.5" customHeight="1" x14ac:dyDescent="0.2">
      <c r="G29076" s="889"/>
    </row>
    <row r="29077" spans="7:7" ht="10.5" customHeight="1" x14ac:dyDescent="0.2">
      <c r="G29077" s="889"/>
    </row>
    <row r="29078" spans="7:7" ht="10.5" customHeight="1" x14ac:dyDescent="0.2">
      <c r="G29078" s="889"/>
    </row>
    <row r="29079" spans="7:7" ht="10.5" customHeight="1" x14ac:dyDescent="0.2">
      <c r="G29079" s="889"/>
    </row>
    <row r="29080" spans="7:7" ht="10.5" customHeight="1" x14ac:dyDescent="0.2">
      <c r="G29080" s="889"/>
    </row>
    <row r="29081" spans="7:7" ht="10.5" customHeight="1" x14ac:dyDescent="0.2">
      <c r="G29081" s="889"/>
    </row>
    <row r="29082" spans="7:7" ht="10.5" customHeight="1" x14ac:dyDescent="0.2">
      <c r="G29082" s="889"/>
    </row>
    <row r="29083" spans="7:7" ht="10.5" customHeight="1" x14ac:dyDescent="0.2">
      <c r="G29083" s="889"/>
    </row>
    <row r="29084" spans="7:7" ht="10.5" customHeight="1" x14ac:dyDescent="0.2">
      <c r="G29084" s="889"/>
    </row>
    <row r="29085" spans="7:7" ht="10.5" customHeight="1" x14ac:dyDescent="0.2">
      <c r="G29085" s="889"/>
    </row>
    <row r="29086" spans="7:7" ht="10.5" customHeight="1" x14ac:dyDescent="0.2">
      <c r="G29086" s="889"/>
    </row>
    <row r="29087" spans="7:7" ht="10.5" customHeight="1" x14ac:dyDescent="0.2">
      <c r="G29087" s="889"/>
    </row>
    <row r="29088" spans="7:7" ht="10.5" customHeight="1" x14ac:dyDescent="0.2">
      <c r="G29088" s="889"/>
    </row>
    <row r="29089" spans="7:7" ht="10.5" customHeight="1" x14ac:dyDescent="0.2">
      <c r="G29089" s="889"/>
    </row>
    <row r="29090" spans="7:7" ht="10.5" customHeight="1" x14ac:dyDescent="0.2">
      <c r="G29090" s="889"/>
    </row>
    <row r="29091" spans="7:7" ht="10.5" customHeight="1" x14ac:dyDescent="0.2">
      <c r="G29091" s="889"/>
    </row>
    <row r="29092" spans="7:7" ht="10.5" customHeight="1" x14ac:dyDescent="0.2">
      <c r="G29092" s="889"/>
    </row>
    <row r="29093" spans="7:7" ht="10.5" customHeight="1" x14ac:dyDescent="0.2">
      <c r="G29093" s="889"/>
    </row>
    <row r="29094" spans="7:7" ht="10.5" customHeight="1" x14ac:dyDescent="0.2">
      <c r="G29094" s="889"/>
    </row>
    <row r="29095" spans="7:7" ht="10.5" customHeight="1" x14ac:dyDescent="0.2">
      <c r="G29095" s="889"/>
    </row>
    <row r="29096" spans="7:7" ht="10.5" customHeight="1" x14ac:dyDescent="0.2">
      <c r="G29096" s="889"/>
    </row>
    <row r="29097" spans="7:7" ht="10.5" customHeight="1" x14ac:dyDescent="0.2">
      <c r="G29097" s="889"/>
    </row>
    <row r="29098" spans="7:7" ht="10.5" customHeight="1" x14ac:dyDescent="0.2">
      <c r="G29098" s="889"/>
    </row>
    <row r="29099" spans="7:7" ht="10.5" customHeight="1" x14ac:dyDescent="0.2">
      <c r="G29099" s="889"/>
    </row>
    <row r="29100" spans="7:7" ht="10.5" customHeight="1" x14ac:dyDescent="0.2">
      <c r="G29100" s="889"/>
    </row>
    <row r="29101" spans="7:7" ht="10.5" customHeight="1" x14ac:dyDescent="0.2">
      <c r="G29101" s="889"/>
    </row>
    <row r="29102" spans="7:7" ht="10.5" customHeight="1" x14ac:dyDescent="0.2">
      <c r="G29102" s="889"/>
    </row>
    <row r="29103" spans="7:7" ht="10.5" customHeight="1" x14ac:dyDescent="0.2">
      <c r="G29103" s="889"/>
    </row>
    <row r="29104" spans="7:7" ht="10.5" customHeight="1" x14ac:dyDescent="0.2">
      <c r="G29104" s="889"/>
    </row>
    <row r="29105" spans="7:7" ht="10.5" customHeight="1" x14ac:dyDescent="0.2">
      <c r="G29105" s="889"/>
    </row>
    <row r="29106" spans="7:7" ht="10.5" customHeight="1" x14ac:dyDescent="0.2">
      <c r="G29106" s="889"/>
    </row>
    <row r="29107" spans="7:7" ht="10.5" customHeight="1" x14ac:dyDescent="0.2">
      <c r="G29107" s="889"/>
    </row>
    <row r="29108" spans="7:7" ht="10.5" customHeight="1" x14ac:dyDescent="0.2">
      <c r="G29108" s="889"/>
    </row>
    <row r="29109" spans="7:7" ht="10.5" customHeight="1" x14ac:dyDescent="0.2">
      <c r="G29109" s="889"/>
    </row>
    <row r="29110" spans="7:7" ht="10.5" customHeight="1" x14ac:dyDescent="0.2">
      <c r="G29110" s="889"/>
    </row>
    <row r="29111" spans="7:7" ht="10.5" customHeight="1" x14ac:dyDescent="0.2">
      <c r="G29111" s="889"/>
    </row>
    <row r="29112" spans="7:7" ht="10.5" customHeight="1" x14ac:dyDescent="0.2">
      <c r="G29112" s="889"/>
    </row>
    <row r="29113" spans="7:7" ht="10.5" customHeight="1" x14ac:dyDescent="0.2">
      <c r="G29113" s="889"/>
    </row>
    <row r="29114" spans="7:7" ht="10.5" customHeight="1" x14ac:dyDescent="0.2">
      <c r="G29114" s="889"/>
    </row>
    <row r="29115" spans="7:7" ht="10.5" customHeight="1" x14ac:dyDescent="0.2">
      <c r="G29115" s="889"/>
    </row>
    <row r="29116" spans="7:7" ht="10.5" customHeight="1" x14ac:dyDescent="0.2">
      <c r="G29116" s="889"/>
    </row>
    <row r="29117" spans="7:7" ht="10.5" customHeight="1" x14ac:dyDescent="0.2">
      <c r="G29117" s="889"/>
    </row>
    <row r="29118" spans="7:7" ht="10.5" customHeight="1" x14ac:dyDescent="0.2">
      <c r="G29118" s="889"/>
    </row>
    <row r="29119" spans="7:7" ht="10.5" customHeight="1" x14ac:dyDescent="0.2">
      <c r="G29119" s="889"/>
    </row>
    <row r="29120" spans="7:7" ht="10.5" customHeight="1" x14ac:dyDescent="0.2">
      <c r="G29120" s="889"/>
    </row>
    <row r="29121" spans="7:7" ht="10.5" customHeight="1" x14ac:dyDescent="0.2">
      <c r="G29121" s="889"/>
    </row>
    <row r="29122" spans="7:7" ht="10.5" customHeight="1" x14ac:dyDescent="0.2">
      <c r="G29122" s="889"/>
    </row>
    <row r="29123" spans="7:7" ht="10.5" customHeight="1" x14ac:dyDescent="0.2">
      <c r="G29123" s="889"/>
    </row>
    <row r="29124" spans="7:7" ht="10.5" customHeight="1" x14ac:dyDescent="0.2">
      <c r="G29124" s="889"/>
    </row>
    <row r="29125" spans="7:7" ht="10.5" customHeight="1" x14ac:dyDescent="0.2">
      <c r="G29125" s="889"/>
    </row>
    <row r="29126" spans="7:7" ht="10.5" customHeight="1" x14ac:dyDescent="0.2">
      <c r="G29126" s="889"/>
    </row>
    <row r="29127" spans="7:7" ht="10.5" customHeight="1" x14ac:dyDescent="0.2">
      <c r="G29127" s="889"/>
    </row>
    <row r="29128" spans="7:7" ht="10.5" customHeight="1" x14ac:dyDescent="0.2">
      <c r="G29128" s="889"/>
    </row>
    <row r="29129" spans="7:7" ht="10.5" customHeight="1" x14ac:dyDescent="0.2">
      <c r="G29129" s="889"/>
    </row>
    <row r="29130" spans="7:7" ht="10.5" customHeight="1" x14ac:dyDescent="0.2">
      <c r="G29130" s="889"/>
    </row>
    <row r="29131" spans="7:7" ht="10.5" customHeight="1" x14ac:dyDescent="0.2">
      <c r="G29131" s="889"/>
    </row>
    <row r="29132" spans="7:7" ht="10.5" customHeight="1" x14ac:dyDescent="0.2">
      <c r="G29132" s="889"/>
    </row>
    <row r="29133" spans="7:7" ht="10.5" customHeight="1" x14ac:dyDescent="0.2">
      <c r="G29133" s="889"/>
    </row>
    <row r="29134" spans="7:7" ht="10.5" customHeight="1" x14ac:dyDescent="0.2">
      <c r="G29134" s="889"/>
    </row>
    <row r="29135" spans="7:7" ht="10.5" customHeight="1" x14ac:dyDescent="0.2">
      <c r="G29135" s="889"/>
    </row>
    <row r="29136" spans="7:7" ht="10.5" customHeight="1" x14ac:dyDescent="0.2">
      <c r="G29136" s="889"/>
    </row>
    <row r="29137" spans="7:7" ht="10.5" customHeight="1" x14ac:dyDescent="0.2">
      <c r="G29137" s="889"/>
    </row>
    <row r="29138" spans="7:7" ht="10.5" customHeight="1" x14ac:dyDescent="0.2">
      <c r="G29138" s="889"/>
    </row>
    <row r="29139" spans="7:7" ht="10.5" customHeight="1" x14ac:dyDescent="0.2">
      <c r="G29139" s="889"/>
    </row>
    <row r="29140" spans="7:7" ht="10.5" customHeight="1" x14ac:dyDescent="0.2">
      <c r="G29140" s="889"/>
    </row>
    <row r="29141" spans="7:7" ht="10.5" customHeight="1" x14ac:dyDescent="0.2">
      <c r="G29141" s="889"/>
    </row>
    <row r="29142" spans="7:7" ht="10.5" customHeight="1" x14ac:dyDescent="0.2">
      <c r="G29142" s="889"/>
    </row>
    <row r="29143" spans="7:7" ht="10.5" customHeight="1" x14ac:dyDescent="0.2">
      <c r="G29143" s="889"/>
    </row>
    <row r="29144" spans="7:7" ht="10.5" customHeight="1" x14ac:dyDescent="0.2">
      <c r="G29144" s="889"/>
    </row>
    <row r="29145" spans="7:7" ht="10.5" customHeight="1" x14ac:dyDescent="0.2">
      <c r="G29145" s="889"/>
    </row>
    <row r="29146" spans="7:7" ht="10.5" customHeight="1" x14ac:dyDescent="0.2">
      <c r="G29146" s="889"/>
    </row>
    <row r="29147" spans="7:7" ht="10.5" customHeight="1" x14ac:dyDescent="0.2">
      <c r="G29147" s="889"/>
    </row>
    <row r="29148" spans="7:7" ht="10.5" customHeight="1" x14ac:dyDescent="0.2">
      <c r="G29148" s="889"/>
    </row>
    <row r="29149" spans="7:7" ht="10.5" customHeight="1" x14ac:dyDescent="0.2">
      <c r="G29149" s="889"/>
    </row>
    <row r="29150" spans="7:7" ht="10.5" customHeight="1" x14ac:dyDescent="0.2">
      <c r="G29150" s="889"/>
    </row>
    <row r="29151" spans="7:7" ht="10.5" customHeight="1" x14ac:dyDescent="0.2">
      <c r="G29151" s="889"/>
    </row>
    <row r="29152" spans="7:7" ht="10.5" customHeight="1" x14ac:dyDescent="0.2">
      <c r="G29152" s="889"/>
    </row>
    <row r="29153" spans="7:7" ht="10.5" customHeight="1" x14ac:dyDescent="0.2">
      <c r="G29153" s="889"/>
    </row>
    <row r="29154" spans="7:7" ht="10.5" customHeight="1" x14ac:dyDescent="0.2">
      <c r="G29154" s="889"/>
    </row>
    <row r="29155" spans="7:7" ht="10.5" customHeight="1" x14ac:dyDescent="0.2">
      <c r="G29155" s="889"/>
    </row>
    <row r="29156" spans="7:7" ht="10.5" customHeight="1" x14ac:dyDescent="0.2">
      <c r="G29156" s="889"/>
    </row>
    <row r="29157" spans="7:7" ht="10.5" customHeight="1" x14ac:dyDescent="0.2">
      <c r="G29157" s="889"/>
    </row>
    <row r="29158" spans="7:7" ht="10.5" customHeight="1" x14ac:dyDescent="0.2">
      <c r="G29158" s="889"/>
    </row>
    <row r="29159" spans="7:7" ht="10.5" customHeight="1" x14ac:dyDescent="0.2">
      <c r="G29159" s="889"/>
    </row>
    <row r="29160" spans="7:7" ht="10.5" customHeight="1" x14ac:dyDescent="0.2">
      <c r="G29160" s="889"/>
    </row>
    <row r="29161" spans="7:7" ht="10.5" customHeight="1" x14ac:dyDescent="0.2">
      <c r="G29161" s="889"/>
    </row>
    <row r="29162" spans="7:7" ht="10.5" customHeight="1" x14ac:dyDescent="0.2">
      <c r="G29162" s="889"/>
    </row>
    <row r="29163" spans="7:7" ht="10.5" customHeight="1" x14ac:dyDescent="0.2">
      <c r="G29163" s="889"/>
    </row>
    <row r="29164" spans="7:7" ht="10.5" customHeight="1" x14ac:dyDescent="0.2">
      <c r="G29164" s="889"/>
    </row>
    <row r="29165" spans="7:7" ht="10.5" customHeight="1" x14ac:dyDescent="0.2">
      <c r="G29165" s="889"/>
    </row>
    <row r="29166" spans="7:7" ht="10.5" customHeight="1" x14ac:dyDescent="0.2">
      <c r="G29166" s="889"/>
    </row>
    <row r="29167" spans="7:7" ht="10.5" customHeight="1" x14ac:dyDescent="0.2">
      <c r="G29167" s="889"/>
    </row>
    <row r="29168" spans="7:7" ht="10.5" customHeight="1" x14ac:dyDescent="0.2">
      <c r="G29168" s="889"/>
    </row>
    <row r="29169" spans="7:7" ht="10.5" customHeight="1" x14ac:dyDescent="0.2">
      <c r="G29169" s="889"/>
    </row>
    <row r="29170" spans="7:7" ht="10.5" customHeight="1" x14ac:dyDescent="0.2">
      <c r="G29170" s="889"/>
    </row>
    <row r="29171" spans="7:7" ht="10.5" customHeight="1" x14ac:dyDescent="0.2">
      <c r="G29171" s="889"/>
    </row>
    <row r="29172" spans="7:7" ht="10.5" customHeight="1" x14ac:dyDescent="0.2">
      <c r="G29172" s="889"/>
    </row>
    <row r="29173" spans="7:7" ht="10.5" customHeight="1" x14ac:dyDescent="0.2">
      <c r="G29173" s="889"/>
    </row>
    <row r="29174" spans="7:7" ht="10.5" customHeight="1" x14ac:dyDescent="0.2">
      <c r="G29174" s="889"/>
    </row>
    <row r="29175" spans="7:7" ht="10.5" customHeight="1" x14ac:dyDescent="0.2">
      <c r="G29175" s="889"/>
    </row>
    <row r="29176" spans="7:7" ht="10.5" customHeight="1" x14ac:dyDescent="0.2">
      <c r="G29176" s="889"/>
    </row>
    <row r="29177" spans="7:7" ht="10.5" customHeight="1" x14ac:dyDescent="0.2">
      <c r="G29177" s="889"/>
    </row>
    <row r="29178" spans="7:7" ht="10.5" customHeight="1" x14ac:dyDescent="0.2">
      <c r="G29178" s="889"/>
    </row>
    <row r="29179" spans="7:7" ht="10.5" customHeight="1" x14ac:dyDescent="0.2">
      <c r="G29179" s="889"/>
    </row>
    <row r="29180" spans="7:7" ht="10.5" customHeight="1" x14ac:dyDescent="0.2">
      <c r="G29180" s="889"/>
    </row>
    <row r="29181" spans="7:7" ht="10.5" customHeight="1" x14ac:dyDescent="0.2">
      <c r="G29181" s="889"/>
    </row>
    <row r="29182" spans="7:7" ht="10.5" customHeight="1" x14ac:dyDescent="0.2">
      <c r="G29182" s="889"/>
    </row>
    <row r="29183" spans="7:7" ht="10.5" customHeight="1" x14ac:dyDescent="0.2">
      <c r="G29183" s="889"/>
    </row>
    <row r="29184" spans="7:7" ht="10.5" customHeight="1" x14ac:dyDescent="0.2">
      <c r="G29184" s="889"/>
    </row>
    <row r="29185" spans="7:7" ht="10.5" customHeight="1" x14ac:dyDescent="0.2">
      <c r="G29185" s="889"/>
    </row>
    <row r="29186" spans="7:7" ht="10.5" customHeight="1" x14ac:dyDescent="0.2">
      <c r="G29186" s="889"/>
    </row>
    <row r="29187" spans="7:7" ht="10.5" customHeight="1" x14ac:dyDescent="0.2">
      <c r="G29187" s="889"/>
    </row>
    <row r="29188" spans="7:7" ht="10.5" customHeight="1" x14ac:dyDescent="0.2">
      <c r="G29188" s="889"/>
    </row>
    <row r="29189" spans="7:7" ht="10.5" customHeight="1" x14ac:dyDescent="0.2">
      <c r="G29189" s="889"/>
    </row>
    <row r="29190" spans="7:7" ht="10.5" customHeight="1" x14ac:dyDescent="0.2">
      <c r="G29190" s="889"/>
    </row>
    <row r="29191" spans="7:7" ht="10.5" customHeight="1" x14ac:dyDescent="0.2">
      <c r="G29191" s="889"/>
    </row>
    <row r="29192" spans="7:7" ht="10.5" customHeight="1" x14ac:dyDescent="0.2">
      <c r="G29192" s="889"/>
    </row>
    <row r="29193" spans="7:7" ht="10.5" customHeight="1" x14ac:dyDescent="0.2">
      <c r="G29193" s="889"/>
    </row>
    <row r="29194" spans="7:7" ht="10.5" customHeight="1" x14ac:dyDescent="0.2">
      <c r="G29194" s="889"/>
    </row>
    <row r="29195" spans="7:7" ht="10.5" customHeight="1" x14ac:dyDescent="0.2">
      <c r="G29195" s="889"/>
    </row>
    <row r="29196" spans="7:7" ht="10.5" customHeight="1" x14ac:dyDescent="0.2">
      <c r="G29196" s="889"/>
    </row>
    <row r="29197" spans="7:7" ht="10.5" customHeight="1" x14ac:dyDescent="0.2">
      <c r="G29197" s="889"/>
    </row>
    <row r="29198" spans="7:7" ht="10.5" customHeight="1" x14ac:dyDescent="0.2">
      <c r="G29198" s="889"/>
    </row>
    <row r="29199" spans="7:7" ht="10.5" customHeight="1" x14ac:dyDescent="0.2">
      <c r="G29199" s="889"/>
    </row>
    <row r="29200" spans="7:7" ht="10.5" customHeight="1" x14ac:dyDescent="0.2">
      <c r="G29200" s="889"/>
    </row>
    <row r="29201" spans="7:7" ht="10.5" customHeight="1" x14ac:dyDescent="0.2">
      <c r="G29201" s="889"/>
    </row>
    <row r="29202" spans="7:7" ht="10.5" customHeight="1" x14ac:dyDescent="0.2">
      <c r="G29202" s="889"/>
    </row>
    <row r="29203" spans="7:7" ht="10.5" customHeight="1" x14ac:dyDescent="0.2">
      <c r="G29203" s="889"/>
    </row>
    <row r="29204" spans="7:7" ht="10.5" customHeight="1" x14ac:dyDescent="0.2">
      <c r="G29204" s="889"/>
    </row>
    <row r="29205" spans="7:7" ht="10.5" customHeight="1" x14ac:dyDescent="0.2">
      <c r="G29205" s="889"/>
    </row>
    <row r="29206" spans="7:7" ht="10.5" customHeight="1" x14ac:dyDescent="0.2">
      <c r="G29206" s="889"/>
    </row>
    <row r="29207" spans="7:7" ht="10.5" customHeight="1" x14ac:dyDescent="0.2">
      <c r="G29207" s="889"/>
    </row>
    <row r="29208" spans="7:7" ht="10.5" customHeight="1" x14ac:dyDescent="0.2">
      <c r="G29208" s="889"/>
    </row>
    <row r="29209" spans="7:7" ht="10.5" customHeight="1" x14ac:dyDescent="0.2">
      <c r="G29209" s="889"/>
    </row>
    <row r="29210" spans="7:7" ht="10.5" customHeight="1" x14ac:dyDescent="0.2">
      <c r="G29210" s="889"/>
    </row>
    <row r="29211" spans="7:7" ht="10.5" customHeight="1" x14ac:dyDescent="0.2">
      <c r="G29211" s="889"/>
    </row>
    <row r="29212" spans="7:7" ht="10.5" customHeight="1" x14ac:dyDescent="0.2">
      <c r="G29212" s="889"/>
    </row>
    <row r="29213" spans="7:7" ht="10.5" customHeight="1" x14ac:dyDescent="0.2">
      <c r="G29213" s="889"/>
    </row>
    <row r="29214" spans="7:7" ht="10.5" customHeight="1" x14ac:dyDescent="0.2">
      <c r="G29214" s="889"/>
    </row>
    <row r="29215" spans="7:7" ht="10.5" customHeight="1" x14ac:dyDescent="0.2">
      <c r="G29215" s="889"/>
    </row>
    <row r="29216" spans="7:7" ht="10.5" customHeight="1" x14ac:dyDescent="0.2">
      <c r="G29216" s="889"/>
    </row>
    <row r="29217" spans="7:7" ht="10.5" customHeight="1" x14ac:dyDescent="0.2">
      <c r="G29217" s="889"/>
    </row>
    <row r="29218" spans="7:7" ht="10.5" customHeight="1" x14ac:dyDescent="0.2">
      <c r="G29218" s="889"/>
    </row>
    <row r="29219" spans="7:7" ht="10.5" customHeight="1" x14ac:dyDescent="0.2">
      <c r="G29219" s="889"/>
    </row>
    <row r="29220" spans="7:7" ht="10.5" customHeight="1" x14ac:dyDescent="0.2">
      <c r="G29220" s="889"/>
    </row>
    <row r="29221" spans="7:7" ht="10.5" customHeight="1" x14ac:dyDescent="0.2">
      <c r="G29221" s="889"/>
    </row>
    <row r="29222" spans="7:7" ht="10.5" customHeight="1" x14ac:dyDescent="0.2">
      <c r="G29222" s="889"/>
    </row>
    <row r="29223" spans="7:7" ht="10.5" customHeight="1" x14ac:dyDescent="0.2">
      <c r="G29223" s="889"/>
    </row>
    <row r="29224" spans="7:7" ht="10.5" customHeight="1" x14ac:dyDescent="0.2">
      <c r="G29224" s="889"/>
    </row>
    <row r="29225" spans="7:7" ht="10.5" customHeight="1" x14ac:dyDescent="0.2">
      <c r="G29225" s="889"/>
    </row>
    <row r="29226" spans="7:7" ht="10.5" customHeight="1" x14ac:dyDescent="0.2">
      <c r="G29226" s="889"/>
    </row>
    <row r="29227" spans="7:7" ht="10.5" customHeight="1" x14ac:dyDescent="0.2">
      <c r="G29227" s="889"/>
    </row>
    <row r="29228" spans="7:7" ht="10.5" customHeight="1" x14ac:dyDescent="0.2">
      <c r="G29228" s="889"/>
    </row>
    <row r="29229" spans="7:7" ht="10.5" customHeight="1" x14ac:dyDescent="0.2">
      <c r="G29229" s="889"/>
    </row>
    <row r="29230" spans="7:7" ht="10.5" customHeight="1" x14ac:dyDescent="0.2">
      <c r="G29230" s="889"/>
    </row>
    <row r="29231" spans="7:7" ht="10.5" customHeight="1" x14ac:dyDescent="0.2">
      <c r="G29231" s="889"/>
    </row>
    <row r="29232" spans="7:7" ht="10.5" customHeight="1" x14ac:dyDescent="0.2">
      <c r="G29232" s="889"/>
    </row>
    <row r="29233" spans="7:7" ht="10.5" customHeight="1" x14ac:dyDescent="0.2">
      <c r="G29233" s="889"/>
    </row>
    <row r="29234" spans="7:7" ht="10.5" customHeight="1" x14ac:dyDescent="0.2">
      <c r="G29234" s="889"/>
    </row>
    <row r="29235" spans="7:7" ht="10.5" customHeight="1" x14ac:dyDescent="0.2">
      <c r="G29235" s="889"/>
    </row>
    <row r="29236" spans="7:7" ht="10.5" customHeight="1" x14ac:dyDescent="0.2">
      <c r="G29236" s="889"/>
    </row>
    <row r="29237" spans="7:7" ht="10.5" customHeight="1" x14ac:dyDescent="0.2">
      <c r="G29237" s="889"/>
    </row>
    <row r="29238" spans="7:7" ht="10.5" customHeight="1" x14ac:dyDescent="0.2">
      <c r="G29238" s="889"/>
    </row>
    <row r="29239" spans="7:7" ht="10.5" customHeight="1" x14ac:dyDescent="0.2">
      <c r="G29239" s="889"/>
    </row>
    <row r="29240" spans="7:7" ht="10.5" customHeight="1" x14ac:dyDescent="0.2">
      <c r="G29240" s="889"/>
    </row>
    <row r="29241" spans="7:7" ht="10.5" customHeight="1" x14ac:dyDescent="0.2">
      <c r="G29241" s="889"/>
    </row>
    <row r="29242" spans="7:7" ht="10.5" customHeight="1" x14ac:dyDescent="0.2">
      <c r="G29242" s="889"/>
    </row>
    <row r="29243" spans="7:7" ht="10.5" customHeight="1" x14ac:dyDescent="0.2">
      <c r="G29243" s="889"/>
    </row>
    <row r="29244" spans="7:7" ht="10.5" customHeight="1" x14ac:dyDescent="0.2">
      <c r="G29244" s="889"/>
    </row>
    <row r="29245" spans="7:7" ht="10.5" customHeight="1" x14ac:dyDescent="0.2">
      <c r="G29245" s="889"/>
    </row>
    <row r="29246" spans="7:7" ht="10.5" customHeight="1" x14ac:dyDescent="0.2">
      <c r="G29246" s="889"/>
    </row>
    <row r="29247" spans="7:7" ht="10.5" customHeight="1" x14ac:dyDescent="0.2">
      <c r="G29247" s="889"/>
    </row>
    <row r="29248" spans="7:7" ht="10.5" customHeight="1" x14ac:dyDescent="0.2">
      <c r="G29248" s="889"/>
    </row>
    <row r="29249" spans="7:7" ht="10.5" customHeight="1" x14ac:dyDescent="0.2">
      <c r="G29249" s="889"/>
    </row>
    <row r="29250" spans="7:7" ht="10.5" customHeight="1" x14ac:dyDescent="0.2">
      <c r="G29250" s="889"/>
    </row>
    <row r="29251" spans="7:7" ht="10.5" customHeight="1" x14ac:dyDescent="0.2">
      <c r="G29251" s="889"/>
    </row>
    <row r="29252" spans="7:7" ht="10.5" customHeight="1" x14ac:dyDescent="0.2">
      <c r="G29252" s="889"/>
    </row>
    <row r="29253" spans="7:7" ht="10.5" customHeight="1" x14ac:dyDescent="0.2">
      <c r="G29253" s="889"/>
    </row>
    <row r="29254" spans="7:7" ht="10.5" customHeight="1" x14ac:dyDescent="0.2">
      <c r="G29254" s="889"/>
    </row>
    <row r="29255" spans="7:7" ht="10.5" customHeight="1" x14ac:dyDescent="0.2">
      <c r="G29255" s="889"/>
    </row>
    <row r="29256" spans="7:7" ht="10.5" customHeight="1" x14ac:dyDescent="0.2">
      <c r="G29256" s="889"/>
    </row>
    <row r="29257" spans="7:7" ht="10.5" customHeight="1" x14ac:dyDescent="0.2">
      <c r="G29257" s="889"/>
    </row>
    <row r="29258" spans="7:7" ht="10.5" customHeight="1" x14ac:dyDescent="0.2">
      <c r="G29258" s="889"/>
    </row>
    <row r="29259" spans="7:7" ht="10.5" customHeight="1" x14ac:dyDescent="0.2">
      <c r="G29259" s="889"/>
    </row>
    <row r="29260" spans="7:7" ht="10.5" customHeight="1" x14ac:dyDescent="0.2">
      <c r="G29260" s="889"/>
    </row>
    <row r="29261" spans="7:7" ht="10.5" customHeight="1" x14ac:dyDescent="0.2">
      <c r="G29261" s="889"/>
    </row>
    <row r="29262" spans="7:7" ht="10.5" customHeight="1" x14ac:dyDescent="0.2">
      <c r="G29262" s="889"/>
    </row>
    <row r="29263" spans="7:7" ht="10.5" customHeight="1" x14ac:dyDescent="0.2">
      <c r="G29263" s="889"/>
    </row>
    <row r="29264" spans="7:7" ht="10.5" customHeight="1" x14ac:dyDescent="0.2">
      <c r="G29264" s="889"/>
    </row>
    <row r="29265" spans="7:7" ht="10.5" customHeight="1" x14ac:dyDescent="0.2">
      <c r="G29265" s="889"/>
    </row>
    <row r="29266" spans="7:7" ht="10.5" customHeight="1" x14ac:dyDescent="0.2">
      <c r="G29266" s="889"/>
    </row>
    <row r="29267" spans="7:7" ht="10.5" customHeight="1" x14ac:dyDescent="0.2">
      <c r="G29267" s="889"/>
    </row>
    <row r="29268" spans="7:7" ht="10.5" customHeight="1" x14ac:dyDescent="0.2">
      <c r="G29268" s="889"/>
    </row>
    <row r="29269" spans="7:7" ht="10.5" customHeight="1" x14ac:dyDescent="0.2">
      <c r="G29269" s="889"/>
    </row>
    <row r="29270" spans="7:7" ht="10.5" customHeight="1" x14ac:dyDescent="0.2">
      <c r="G29270" s="889"/>
    </row>
    <row r="29271" spans="7:7" ht="10.5" customHeight="1" x14ac:dyDescent="0.2">
      <c r="G29271" s="889"/>
    </row>
    <row r="29272" spans="7:7" ht="10.5" customHeight="1" x14ac:dyDescent="0.2">
      <c r="G29272" s="889"/>
    </row>
    <row r="29273" spans="7:7" ht="10.5" customHeight="1" x14ac:dyDescent="0.2">
      <c r="G29273" s="889"/>
    </row>
    <row r="29274" spans="7:7" ht="10.5" customHeight="1" x14ac:dyDescent="0.2">
      <c r="G29274" s="889"/>
    </row>
    <row r="29275" spans="7:7" ht="10.5" customHeight="1" x14ac:dyDescent="0.2">
      <c r="G29275" s="889"/>
    </row>
    <row r="29276" spans="7:7" ht="10.5" customHeight="1" x14ac:dyDescent="0.2">
      <c r="G29276" s="889"/>
    </row>
    <row r="29277" spans="7:7" ht="10.5" customHeight="1" x14ac:dyDescent="0.2">
      <c r="G29277" s="889"/>
    </row>
    <row r="29278" spans="7:7" ht="10.5" customHeight="1" x14ac:dyDescent="0.2">
      <c r="G29278" s="889"/>
    </row>
    <row r="29279" spans="7:7" ht="10.5" customHeight="1" x14ac:dyDescent="0.2">
      <c r="G29279" s="889"/>
    </row>
    <row r="29280" spans="7:7" ht="10.5" customHeight="1" x14ac:dyDescent="0.2">
      <c r="G29280" s="889"/>
    </row>
    <row r="29281" spans="7:7" ht="10.5" customHeight="1" x14ac:dyDescent="0.2">
      <c r="G29281" s="889"/>
    </row>
    <row r="29282" spans="7:7" ht="10.5" customHeight="1" x14ac:dyDescent="0.2">
      <c r="G29282" s="889"/>
    </row>
    <row r="29283" spans="7:7" ht="10.5" customHeight="1" x14ac:dyDescent="0.2">
      <c r="G29283" s="889"/>
    </row>
    <row r="29284" spans="7:7" ht="10.5" customHeight="1" x14ac:dyDescent="0.2">
      <c r="G29284" s="889"/>
    </row>
    <row r="29285" spans="7:7" ht="10.5" customHeight="1" x14ac:dyDescent="0.2">
      <c r="G29285" s="889"/>
    </row>
    <row r="29286" spans="7:7" ht="10.5" customHeight="1" x14ac:dyDescent="0.2">
      <c r="G29286" s="889"/>
    </row>
    <row r="29287" spans="7:7" ht="10.5" customHeight="1" x14ac:dyDescent="0.2">
      <c r="G29287" s="889"/>
    </row>
    <row r="29288" spans="7:7" ht="10.5" customHeight="1" x14ac:dyDescent="0.2">
      <c r="G29288" s="889"/>
    </row>
    <row r="29289" spans="7:7" ht="10.5" customHeight="1" x14ac:dyDescent="0.2">
      <c r="G29289" s="889"/>
    </row>
    <row r="29290" spans="7:7" ht="10.5" customHeight="1" x14ac:dyDescent="0.2">
      <c r="G29290" s="889"/>
    </row>
    <row r="29291" spans="7:7" ht="10.5" customHeight="1" x14ac:dyDescent="0.2">
      <c r="G29291" s="889"/>
    </row>
    <row r="29292" spans="7:7" ht="10.5" customHeight="1" x14ac:dyDescent="0.2">
      <c r="G29292" s="889"/>
    </row>
    <row r="29293" spans="7:7" ht="10.5" customHeight="1" x14ac:dyDescent="0.2">
      <c r="G29293" s="889"/>
    </row>
    <row r="29294" spans="7:7" ht="10.5" customHeight="1" x14ac:dyDescent="0.2">
      <c r="G29294" s="889"/>
    </row>
    <row r="29295" spans="7:7" ht="10.5" customHeight="1" x14ac:dyDescent="0.2">
      <c r="G29295" s="889"/>
    </row>
    <row r="29296" spans="7:7" ht="10.5" customHeight="1" x14ac:dyDescent="0.2">
      <c r="G29296" s="889"/>
    </row>
    <row r="29297" spans="7:7" ht="10.5" customHeight="1" x14ac:dyDescent="0.2">
      <c r="G29297" s="889"/>
    </row>
    <row r="29298" spans="7:7" ht="10.5" customHeight="1" x14ac:dyDescent="0.2">
      <c r="G29298" s="889"/>
    </row>
    <row r="29299" spans="7:7" ht="10.5" customHeight="1" x14ac:dyDescent="0.2">
      <c r="G29299" s="889"/>
    </row>
    <row r="29300" spans="7:7" ht="10.5" customHeight="1" x14ac:dyDescent="0.2">
      <c r="G29300" s="889"/>
    </row>
    <row r="29301" spans="7:7" ht="10.5" customHeight="1" x14ac:dyDescent="0.2">
      <c r="G29301" s="889"/>
    </row>
    <row r="29302" spans="7:7" ht="10.5" customHeight="1" x14ac:dyDescent="0.2">
      <c r="G29302" s="889"/>
    </row>
    <row r="29303" spans="7:7" ht="10.5" customHeight="1" x14ac:dyDescent="0.2">
      <c r="G29303" s="889"/>
    </row>
    <row r="29304" spans="7:7" ht="10.5" customHeight="1" x14ac:dyDescent="0.2">
      <c r="G29304" s="889"/>
    </row>
    <row r="29305" spans="7:7" ht="10.5" customHeight="1" x14ac:dyDescent="0.2">
      <c r="G29305" s="889"/>
    </row>
    <row r="29306" spans="7:7" ht="10.5" customHeight="1" x14ac:dyDescent="0.2">
      <c r="G29306" s="889"/>
    </row>
    <row r="29307" spans="7:7" ht="10.5" customHeight="1" x14ac:dyDescent="0.2">
      <c r="G29307" s="889"/>
    </row>
    <row r="29308" spans="7:7" ht="10.5" customHeight="1" x14ac:dyDescent="0.2">
      <c r="G29308" s="889"/>
    </row>
    <row r="29309" spans="7:7" ht="10.5" customHeight="1" x14ac:dyDescent="0.2">
      <c r="G29309" s="889"/>
    </row>
    <row r="29310" spans="7:7" ht="10.5" customHeight="1" x14ac:dyDescent="0.2">
      <c r="G29310" s="889"/>
    </row>
    <row r="29311" spans="7:7" ht="10.5" customHeight="1" x14ac:dyDescent="0.2">
      <c r="G29311" s="889"/>
    </row>
    <row r="29312" spans="7:7" ht="10.5" customHeight="1" x14ac:dyDescent="0.2">
      <c r="G29312" s="889"/>
    </row>
    <row r="29313" spans="7:7" ht="10.5" customHeight="1" x14ac:dyDescent="0.2">
      <c r="G29313" s="889"/>
    </row>
    <row r="29314" spans="7:7" ht="10.5" customHeight="1" x14ac:dyDescent="0.2">
      <c r="G29314" s="889"/>
    </row>
    <row r="29315" spans="7:7" ht="10.5" customHeight="1" x14ac:dyDescent="0.2">
      <c r="G29315" s="889"/>
    </row>
    <row r="29316" spans="7:7" ht="10.5" customHeight="1" x14ac:dyDescent="0.2">
      <c r="G29316" s="889"/>
    </row>
    <row r="29317" spans="7:7" ht="10.5" customHeight="1" x14ac:dyDescent="0.2">
      <c r="G29317" s="889"/>
    </row>
    <row r="29318" spans="7:7" ht="10.5" customHeight="1" x14ac:dyDescent="0.2">
      <c r="G29318" s="889"/>
    </row>
    <row r="29319" spans="7:7" ht="10.5" customHeight="1" x14ac:dyDescent="0.2">
      <c r="G29319" s="889"/>
    </row>
    <row r="29320" spans="7:7" ht="10.5" customHeight="1" x14ac:dyDescent="0.2">
      <c r="G29320" s="889"/>
    </row>
    <row r="29321" spans="7:7" ht="10.5" customHeight="1" x14ac:dyDescent="0.2">
      <c r="G29321" s="889"/>
    </row>
    <row r="29322" spans="7:7" ht="10.5" customHeight="1" x14ac:dyDescent="0.2">
      <c r="G29322" s="889"/>
    </row>
    <row r="29323" spans="7:7" ht="10.5" customHeight="1" x14ac:dyDescent="0.2">
      <c r="G29323" s="889"/>
    </row>
    <row r="29324" spans="7:7" ht="10.5" customHeight="1" x14ac:dyDescent="0.2">
      <c r="G29324" s="889"/>
    </row>
    <row r="29325" spans="7:7" ht="10.5" customHeight="1" x14ac:dyDescent="0.2">
      <c r="G29325" s="889"/>
    </row>
    <row r="29326" spans="7:7" ht="10.5" customHeight="1" x14ac:dyDescent="0.2">
      <c r="G29326" s="889"/>
    </row>
    <row r="29327" spans="7:7" ht="10.5" customHeight="1" x14ac:dyDescent="0.2">
      <c r="G29327" s="889"/>
    </row>
    <row r="29328" spans="7:7" ht="10.5" customHeight="1" x14ac:dyDescent="0.2">
      <c r="G29328" s="889"/>
    </row>
    <row r="29329" spans="7:7" ht="10.5" customHeight="1" x14ac:dyDescent="0.2">
      <c r="G29329" s="889"/>
    </row>
    <row r="29330" spans="7:7" ht="10.5" customHeight="1" x14ac:dyDescent="0.2">
      <c r="G29330" s="889"/>
    </row>
    <row r="29331" spans="7:7" ht="10.5" customHeight="1" x14ac:dyDescent="0.2">
      <c r="G29331" s="889"/>
    </row>
    <row r="29332" spans="7:7" ht="10.5" customHeight="1" x14ac:dyDescent="0.2">
      <c r="G29332" s="889"/>
    </row>
    <row r="29333" spans="7:7" ht="10.5" customHeight="1" x14ac:dyDescent="0.2">
      <c r="G29333" s="889"/>
    </row>
    <row r="29334" spans="7:7" ht="10.5" customHeight="1" x14ac:dyDescent="0.2">
      <c r="G29334" s="889"/>
    </row>
    <row r="29335" spans="7:7" ht="10.5" customHeight="1" x14ac:dyDescent="0.2">
      <c r="G29335" s="889"/>
    </row>
    <row r="29336" spans="7:7" ht="10.5" customHeight="1" x14ac:dyDescent="0.2">
      <c r="G29336" s="889"/>
    </row>
    <row r="29337" spans="7:7" ht="10.5" customHeight="1" x14ac:dyDescent="0.2">
      <c r="G29337" s="889"/>
    </row>
    <row r="29338" spans="7:7" ht="10.5" customHeight="1" x14ac:dyDescent="0.2">
      <c r="G29338" s="889"/>
    </row>
    <row r="29339" spans="7:7" ht="10.5" customHeight="1" x14ac:dyDescent="0.2">
      <c r="G29339" s="889"/>
    </row>
    <row r="29340" spans="7:7" ht="10.5" customHeight="1" x14ac:dyDescent="0.2">
      <c r="G29340" s="889"/>
    </row>
    <row r="29341" spans="7:7" ht="10.5" customHeight="1" x14ac:dyDescent="0.2">
      <c r="G29341" s="889"/>
    </row>
    <row r="29342" spans="7:7" ht="10.5" customHeight="1" x14ac:dyDescent="0.2">
      <c r="G29342" s="889"/>
    </row>
    <row r="29343" spans="7:7" ht="10.5" customHeight="1" x14ac:dyDescent="0.2">
      <c r="G29343" s="889"/>
    </row>
    <row r="29344" spans="7:7" ht="10.5" customHeight="1" x14ac:dyDescent="0.2">
      <c r="G29344" s="889"/>
    </row>
    <row r="29345" spans="7:7" ht="10.5" customHeight="1" x14ac:dyDescent="0.2">
      <c r="G29345" s="889"/>
    </row>
    <row r="29346" spans="7:7" ht="10.5" customHeight="1" x14ac:dyDescent="0.2">
      <c r="G29346" s="889"/>
    </row>
    <row r="29347" spans="7:7" ht="10.5" customHeight="1" x14ac:dyDescent="0.2">
      <c r="G29347" s="889"/>
    </row>
    <row r="29348" spans="7:7" ht="10.5" customHeight="1" x14ac:dyDescent="0.2">
      <c r="G29348" s="889"/>
    </row>
    <row r="29349" spans="7:7" ht="10.5" customHeight="1" x14ac:dyDescent="0.2">
      <c r="G29349" s="889"/>
    </row>
    <row r="29350" spans="7:7" ht="10.5" customHeight="1" x14ac:dyDescent="0.2">
      <c r="G29350" s="889"/>
    </row>
    <row r="29351" spans="7:7" ht="10.5" customHeight="1" x14ac:dyDescent="0.2">
      <c r="G29351" s="889"/>
    </row>
    <row r="29352" spans="7:7" ht="10.5" customHeight="1" x14ac:dyDescent="0.2">
      <c r="G29352" s="889"/>
    </row>
    <row r="29353" spans="7:7" ht="10.5" customHeight="1" x14ac:dyDescent="0.2">
      <c r="G29353" s="889"/>
    </row>
    <row r="29354" spans="7:7" ht="10.5" customHeight="1" x14ac:dyDescent="0.2">
      <c r="G29354" s="889"/>
    </row>
    <row r="29355" spans="7:7" ht="10.5" customHeight="1" x14ac:dyDescent="0.2">
      <c r="G29355" s="889"/>
    </row>
    <row r="29356" spans="7:7" ht="10.5" customHeight="1" x14ac:dyDescent="0.2">
      <c r="G29356" s="889"/>
    </row>
    <row r="29357" spans="7:7" ht="10.5" customHeight="1" x14ac:dyDescent="0.2">
      <c r="G29357" s="889"/>
    </row>
    <row r="29358" spans="7:7" ht="10.5" customHeight="1" x14ac:dyDescent="0.2">
      <c r="G29358" s="889"/>
    </row>
    <row r="29359" spans="7:7" ht="10.5" customHeight="1" x14ac:dyDescent="0.2">
      <c r="G29359" s="889"/>
    </row>
    <row r="29360" spans="7:7" ht="10.5" customHeight="1" x14ac:dyDescent="0.2">
      <c r="G29360" s="889"/>
    </row>
    <row r="29361" spans="7:7" ht="10.5" customHeight="1" x14ac:dyDescent="0.2">
      <c r="G29361" s="889"/>
    </row>
    <row r="29362" spans="7:7" ht="10.5" customHeight="1" x14ac:dyDescent="0.2">
      <c r="G29362" s="889"/>
    </row>
    <row r="29363" spans="7:7" ht="10.5" customHeight="1" x14ac:dyDescent="0.2">
      <c r="G29363" s="889"/>
    </row>
    <row r="29364" spans="7:7" ht="10.5" customHeight="1" x14ac:dyDescent="0.2">
      <c r="G29364" s="889"/>
    </row>
    <row r="29365" spans="7:7" ht="10.5" customHeight="1" x14ac:dyDescent="0.2">
      <c r="G29365" s="889"/>
    </row>
    <row r="29366" spans="7:7" ht="10.5" customHeight="1" x14ac:dyDescent="0.2">
      <c r="G29366" s="889"/>
    </row>
    <row r="29367" spans="7:7" ht="10.5" customHeight="1" x14ac:dyDescent="0.2">
      <c r="G29367" s="889"/>
    </row>
    <row r="29368" spans="7:7" ht="10.5" customHeight="1" x14ac:dyDescent="0.2">
      <c r="G29368" s="889"/>
    </row>
    <row r="29369" spans="7:7" ht="10.5" customHeight="1" x14ac:dyDescent="0.2">
      <c r="G29369" s="889"/>
    </row>
    <row r="29370" spans="7:7" ht="10.5" customHeight="1" x14ac:dyDescent="0.2">
      <c r="G29370" s="889"/>
    </row>
    <row r="29371" spans="7:7" ht="10.5" customHeight="1" x14ac:dyDescent="0.2">
      <c r="G29371" s="889"/>
    </row>
    <row r="29372" spans="7:7" ht="10.5" customHeight="1" x14ac:dyDescent="0.2">
      <c r="G29372" s="889"/>
    </row>
    <row r="29373" spans="7:7" ht="10.5" customHeight="1" x14ac:dyDescent="0.2">
      <c r="G29373" s="889"/>
    </row>
    <row r="29374" spans="7:7" ht="10.5" customHeight="1" x14ac:dyDescent="0.2">
      <c r="G29374" s="889"/>
    </row>
    <row r="29375" spans="7:7" ht="10.5" customHeight="1" x14ac:dyDescent="0.2">
      <c r="G29375" s="889"/>
    </row>
    <row r="29376" spans="7:7" ht="10.5" customHeight="1" x14ac:dyDescent="0.2">
      <c r="G29376" s="889"/>
    </row>
    <row r="29377" spans="7:7" ht="10.5" customHeight="1" x14ac:dyDescent="0.2">
      <c r="G29377" s="889"/>
    </row>
    <row r="29378" spans="7:7" ht="10.5" customHeight="1" x14ac:dyDescent="0.2">
      <c r="G29378" s="889"/>
    </row>
    <row r="29379" spans="7:7" ht="10.5" customHeight="1" x14ac:dyDescent="0.2">
      <c r="G29379" s="889"/>
    </row>
    <row r="29380" spans="7:7" ht="10.5" customHeight="1" x14ac:dyDescent="0.2">
      <c r="G29380" s="889"/>
    </row>
    <row r="29381" spans="7:7" ht="10.5" customHeight="1" x14ac:dyDescent="0.2">
      <c r="G29381" s="889"/>
    </row>
    <row r="29382" spans="7:7" ht="10.5" customHeight="1" x14ac:dyDescent="0.2">
      <c r="G29382" s="889"/>
    </row>
    <row r="29383" spans="7:7" ht="10.5" customHeight="1" x14ac:dyDescent="0.2">
      <c r="G29383" s="889"/>
    </row>
    <row r="29384" spans="7:7" ht="10.5" customHeight="1" x14ac:dyDescent="0.2">
      <c r="G29384" s="889"/>
    </row>
    <row r="29385" spans="7:7" ht="10.5" customHeight="1" x14ac:dyDescent="0.2">
      <c r="G29385" s="889"/>
    </row>
    <row r="29386" spans="7:7" ht="10.5" customHeight="1" x14ac:dyDescent="0.2">
      <c r="G29386" s="889"/>
    </row>
    <row r="29387" spans="7:7" ht="10.5" customHeight="1" x14ac:dyDescent="0.2">
      <c r="G29387" s="889"/>
    </row>
    <row r="29388" spans="7:7" ht="10.5" customHeight="1" x14ac:dyDescent="0.2">
      <c r="G29388" s="889"/>
    </row>
    <row r="29389" spans="7:7" ht="10.5" customHeight="1" x14ac:dyDescent="0.2">
      <c r="G29389" s="889"/>
    </row>
    <row r="29390" spans="7:7" ht="10.5" customHeight="1" x14ac:dyDescent="0.2">
      <c r="G29390" s="889"/>
    </row>
    <row r="29391" spans="7:7" ht="10.5" customHeight="1" x14ac:dyDescent="0.2">
      <c r="G29391" s="889"/>
    </row>
    <row r="29392" spans="7:7" ht="10.5" customHeight="1" x14ac:dyDescent="0.2">
      <c r="G29392" s="889"/>
    </row>
    <row r="29393" spans="7:7" ht="10.5" customHeight="1" x14ac:dyDescent="0.2">
      <c r="G29393" s="889"/>
    </row>
    <row r="29394" spans="7:7" ht="10.5" customHeight="1" x14ac:dyDescent="0.2">
      <c r="G29394" s="889"/>
    </row>
    <row r="29395" spans="7:7" ht="10.5" customHeight="1" x14ac:dyDescent="0.2">
      <c r="G29395" s="889"/>
    </row>
    <row r="29396" spans="7:7" ht="10.5" customHeight="1" x14ac:dyDescent="0.2">
      <c r="G29396" s="889"/>
    </row>
    <row r="29397" spans="7:7" ht="10.5" customHeight="1" x14ac:dyDescent="0.2">
      <c r="G29397" s="889"/>
    </row>
    <row r="29398" spans="7:7" ht="10.5" customHeight="1" x14ac:dyDescent="0.2">
      <c r="G29398" s="889"/>
    </row>
    <row r="29399" spans="7:7" ht="10.5" customHeight="1" x14ac:dyDescent="0.2">
      <c r="G29399" s="889"/>
    </row>
    <row r="29400" spans="7:7" ht="10.5" customHeight="1" x14ac:dyDescent="0.2">
      <c r="G29400" s="889"/>
    </row>
    <row r="29401" spans="7:7" ht="10.5" customHeight="1" x14ac:dyDescent="0.2">
      <c r="G29401" s="889"/>
    </row>
    <row r="29402" spans="7:7" ht="10.5" customHeight="1" x14ac:dyDescent="0.2">
      <c r="G29402" s="889"/>
    </row>
    <row r="29403" spans="7:7" ht="10.5" customHeight="1" x14ac:dyDescent="0.2">
      <c r="G29403" s="889"/>
    </row>
    <row r="29404" spans="7:7" ht="10.5" customHeight="1" x14ac:dyDescent="0.2">
      <c r="G29404" s="889"/>
    </row>
    <row r="29405" spans="7:7" ht="10.5" customHeight="1" x14ac:dyDescent="0.2">
      <c r="G29405" s="889"/>
    </row>
    <row r="29406" spans="7:7" ht="10.5" customHeight="1" x14ac:dyDescent="0.2">
      <c r="G29406" s="889"/>
    </row>
    <row r="29407" spans="7:7" ht="10.5" customHeight="1" x14ac:dyDescent="0.2">
      <c r="G29407" s="889"/>
    </row>
    <row r="29408" spans="7:7" ht="10.5" customHeight="1" x14ac:dyDescent="0.2">
      <c r="G29408" s="889"/>
    </row>
    <row r="29409" spans="7:7" ht="10.5" customHeight="1" x14ac:dyDescent="0.2">
      <c r="G29409" s="889"/>
    </row>
    <row r="29410" spans="7:7" ht="10.5" customHeight="1" x14ac:dyDescent="0.2">
      <c r="G29410" s="889"/>
    </row>
    <row r="29411" spans="7:7" ht="10.5" customHeight="1" x14ac:dyDescent="0.2">
      <c r="G29411" s="889"/>
    </row>
    <row r="29412" spans="7:7" ht="10.5" customHeight="1" x14ac:dyDescent="0.2">
      <c r="G29412" s="889"/>
    </row>
    <row r="29413" spans="7:7" ht="10.5" customHeight="1" x14ac:dyDescent="0.2">
      <c r="G29413" s="889"/>
    </row>
    <row r="29414" spans="7:7" ht="10.5" customHeight="1" x14ac:dyDescent="0.2">
      <c r="G29414" s="889"/>
    </row>
    <row r="29415" spans="7:7" ht="10.5" customHeight="1" x14ac:dyDescent="0.2">
      <c r="G29415" s="889"/>
    </row>
    <row r="29416" spans="7:7" ht="10.5" customHeight="1" x14ac:dyDescent="0.2">
      <c r="G29416" s="889"/>
    </row>
    <row r="29417" spans="7:7" ht="10.5" customHeight="1" x14ac:dyDescent="0.2">
      <c r="G29417" s="889"/>
    </row>
    <row r="29418" spans="7:7" ht="10.5" customHeight="1" x14ac:dyDescent="0.2">
      <c r="G29418" s="889"/>
    </row>
    <row r="29419" spans="7:7" ht="10.5" customHeight="1" x14ac:dyDescent="0.2">
      <c r="G29419" s="889"/>
    </row>
    <row r="29420" spans="7:7" ht="10.5" customHeight="1" x14ac:dyDescent="0.2">
      <c r="G29420" s="889"/>
    </row>
    <row r="29421" spans="7:7" ht="10.5" customHeight="1" x14ac:dyDescent="0.2">
      <c r="G29421" s="889"/>
    </row>
    <row r="29422" spans="7:7" ht="10.5" customHeight="1" x14ac:dyDescent="0.2">
      <c r="G29422" s="889"/>
    </row>
    <row r="29423" spans="7:7" ht="10.5" customHeight="1" x14ac:dyDescent="0.2">
      <c r="G29423" s="889"/>
    </row>
    <row r="29424" spans="7:7" ht="10.5" customHeight="1" x14ac:dyDescent="0.2">
      <c r="G29424" s="889"/>
    </row>
    <row r="29425" spans="7:7" ht="10.5" customHeight="1" x14ac:dyDescent="0.2">
      <c r="G29425" s="889"/>
    </row>
    <row r="29426" spans="7:7" ht="10.5" customHeight="1" x14ac:dyDescent="0.2">
      <c r="G29426" s="889"/>
    </row>
    <row r="29427" spans="7:7" ht="10.5" customHeight="1" x14ac:dyDescent="0.2">
      <c r="G29427" s="889"/>
    </row>
    <row r="29428" spans="7:7" ht="10.5" customHeight="1" x14ac:dyDescent="0.2">
      <c r="G29428" s="889"/>
    </row>
    <row r="29429" spans="7:7" ht="10.5" customHeight="1" x14ac:dyDescent="0.2">
      <c r="G29429" s="889"/>
    </row>
    <row r="29430" spans="7:7" ht="10.5" customHeight="1" x14ac:dyDescent="0.2">
      <c r="G29430" s="889"/>
    </row>
    <row r="29431" spans="7:7" ht="10.5" customHeight="1" x14ac:dyDescent="0.2">
      <c r="G29431" s="889"/>
    </row>
    <row r="29432" spans="7:7" ht="10.5" customHeight="1" x14ac:dyDescent="0.2">
      <c r="G29432" s="889"/>
    </row>
    <row r="29433" spans="7:7" ht="10.5" customHeight="1" x14ac:dyDescent="0.2">
      <c r="G29433" s="889"/>
    </row>
    <row r="29434" spans="7:7" ht="10.5" customHeight="1" x14ac:dyDescent="0.2">
      <c r="G29434" s="889"/>
    </row>
    <row r="29435" spans="7:7" ht="10.5" customHeight="1" x14ac:dyDescent="0.2">
      <c r="G29435" s="889"/>
    </row>
    <row r="29436" spans="7:7" ht="10.5" customHeight="1" x14ac:dyDescent="0.2">
      <c r="G29436" s="889"/>
    </row>
    <row r="29437" spans="7:7" ht="10.5" customHeight="1" x14ac:dyDescent="0.2">
      <c r="G29437" s="889"/>
    </row>
    <row r="29438" spans="7:7" ht="10.5" customHeight="1" x14ac:dyDescent="0.2">
      <c r="G29438" s="889"/>
    </row>
    <row r="29439" spans="7:7" ht="10.5" customHeight="1" x14ac:dyDescent="0.2">
      <c r="G29439" s="889"/>
    </row>
    <row r="29440" spans="7:7" ht="10.5" customHeight="1" x14ac:dyDescent="0.2">
      <c r="G29440" s="889"/>
    </row>
    <row r="29441" spans="7:7" ht="10.5" customHeight="1" x14ac:dyDescent="0.2">
      <c r="G29441" s="889"/>
    </row>
    <row r="29442" spans="7:7" ht="10.5" customHeight="1" x14ac:dyDescent="0.2">
      <c r="G29442" s="889"/>
    </row>
    <row r="29443" spans="7:7" ht="10.5" customHeight="1" x14ac:dyDescent="0.2">
      <c r="G29443" s="889"/>
    </row>
    <row r="29444" spans="7:7" ht="10.5" customHeight="1" x14ac:dyDescent="0.2">
      <c r="G29444" s="889"/>
    </row>
    <row r="29445" spans="7:7" ht="10.5" customHeight="1" x14ac:dyDescent="0.2">
      <c r="G29445" s="889"/>
    </row>
    <row r="29446" spans="7:7" ht="10.5" customHeight="1" x14ac:dyDescent="0.2">
      <c r="G29446" s="889"/>
    </row>
    <row r="29447" spans="7:7" ht="10.5" customHeight="1" x14ac:dyDescent="0.2">
      <c r="G29447" s="889"/>
    </row>
    <row r="29448" spans="7:7" ht="10.5" customHeight="1" x14ac:dyDescent="0.2">
      <c r="G29448" s="889"/>
    </row>
    <row r="29449" spans="7:7" ht="10.5" customHeight="1" x14ac:dyDescent="0.2">
      <c r="G29449" s="889"/>
    </row>
    <row r="29450" spans="7:7" ht="10.5" customHeight="1" x14ac:dyDescent="0.2">
      <c r="G29450" s="889"/>
    </row>
    <row r="29451" spans="7:7" ht="10.5" customHeight="1" x14ac:dyDescent="0.2">
      <c r="G29451" s="889"/>
    </row>
    <row r="29452" spans="7:7" ht="10.5" customHeight="1" x14ac:dyDescent="0.2">
      <c r="G29452" s="889"/>
    </row>
    <row r="29453" spans="7:7" ht="10.5" customHeight="1" x14ac:dyDescent="0.2">
      <c r="G29453" s="889"/>
    </row>
    <row r="29454" spans="7:7" ht="10.5" customHeight="1" x14ac:dyDescent="0.2">
      <c r="G29454" s="889"/>
    </row>
    <row r="29455" spans="7:7" ht="10.5" customHeight="1" x14ac:dyDescent="0.2">
      <c r="G29455" s="889"/>
    </row>
    <row r="29456" spans="7:7" ht="10.5" customHeight="1" x14ac:dyDescent="0.2">
      <c r="G29456" s="889"/>
    </row>
    <row r="29457" spans="7:7" ht="10.5" customHeight="1" x14ac:dyDescent="0.2">
      <c r="G29457" s="889"/>
    </row>
    <row r="29458" spans="7:7" ht="10.5" customHeight="1" x14ac:dyDescent="0.2">
      <c r="G29458" s="889"/>
    </row>
    <row r="29459" spans="7:7" ht="10.5" customHeight="1" x14ac:dyDescent="0.2">
      <c r="G29459" s="889"/>
    </row>
    <row r="29460" spans="7:7" ht="10.5" customHeight="1" x14ac:dyDescent="0.2">
      <c r="G29460" s="889"/>
    </row>
    <row r="29461" spans="7:7" ht="10.5" customHeight="1" x14ac:dyDescent="0.2">
      <c r="G29461" s="889"/>
    </row>
    <row r="29462" spans="7:7" ht="10.5" customHeight="1" x14ac:dyDescent="0.2">
      <c r="G29462" s="889"/>
    </row>
    <row r="29463" spans="7:7" ht="10.5" customHeight="1" x14ac:dyDescent="0.2">
      <c r="G29463" s="889"/>
    </row>
    <row r="29464" spans="7:7" ht="10.5" customHeight="1" x14ac:dyDescent="0.2">
      <c r="G29464" s="889"/>
    </row>
    <row r="29465" spans="7:7" ht="10.5" customHeight="1" x14ac:dyDescent="0.2">
      <c r="G29465" s="889"/>
    </row>
    <row r="29466" spans="7:7" ht="10.5" customHeight="1" x14ac:dyDescent="0.2">
      <c r="G29466" s="889"/>
    </row>
    <row r="29467" spans="7:7" ht="10.5" customHeight="1" x14ac:dyDescent="0.2">
      <c r="G29467" s="889"/>
    </row>
    <row r="29468" spans="7:7" ht="10.5" customHeight="1" x14ac:dyDescent="0.2">
      <c r="G29468" s="889"/>
    </row>
    <row r="29469" spans="7:7" ht="10.5" customHeight="1" x14ac:dyDescent="0.2">
      <c r="G29469" s="889"/>
    </row>
    <row r="29470" spans="7:7" ht="10.5" customHeight="1" x14ac:dyDescent="0.2">
      <c r="G29470" s="889"/>
    </row>
    <row r="29471" spans="7:7" ht="10.5" customHeight="1" x14ac:dyDescent="0.2">
      <c r="G29471" s="889"/>
    </row>
    <row r="29472" spans="7:7" ht="10.5" customHeight="1" x14ac:dyDescent="0.2">
      <c r="G29472" s="889"/>
    </row>
    <row r="29473" spans="7:7" ht="10.5" customHeight="1" x14ac:dyDescent="0.2">
      <c r="G29473" s="889"/>
    </row>
    <row r="29474" spans="7:7" ht="10.5" customHeight="1" x14ac:dyDescent="0.2">
      <c r="G29474" s="889"/>
    </row>
    <row r="29475" spans="7:7" ht="10.5" customHeight="1" x14ac:dyDescent="0.2">
      <c r="G29475" s="889"/>
    </row>
    <row r="29476" spans="7:7" ht="10.5" customHeight="1" x14ac:dyDescent="0.2">
      <c r="G29476" s="889"/>
    </row>
    <row r="29477" spans="7:7" ht="10.5" customHeight="1" x14ac:dyDescent="0.2">
      <c r="G29477" s="889"/>
    </row>
    <row r="29478" spans="7:7" ht="10.5" customHeight="1" x14ac:dyDescent="0.2">
      <c r="G29478" s="889"/>
    </row>
    <row r="29479" spans="7:7" ht="10.5" customHeight="1" x14ac:dyDescent="0.2">
      <c r="G29479" s="889"/>
    </row>
    <row r="29480" spans="7:7" ht="10.5" customHeight="1" x14ac:dyDescent="0.2">
      <c r="G29480" s="889"/>
    </row>
    <row r="29481" spans="7:7" ht="10.5" customHeight="1" x14ac:dyDescent="0.2">
      <c r="G29481" s="889"/>
    </row>
    <row r="29482" spans="7:7" ht="10.5" customHeight="1" x14ac:dyDescent="0.2">
      <c r="G29482" s="889"/>
    </row>
    <row r="29483" spans="7:7" ht="10.5" customHeight="1" x14ac:dyDescent="0.2">
      <c r="G29483" s="889"/>
    </row>
    <row r="29484" spans="7:7" ht="10.5" customHeight="1" x14ac:dyDescent="0.2">
      <c r="G29484" s="889"/>
    </row>
    <row r="29485" spans="7:7" ht="10.5" customHeight="1" x14ac:dyDescent="0.2">
      <c r="G29485" s="889"/>
    </row>
    <row r="29486" spans="7:7" ht="10.5" customHeight="1" x14ac:dyDescent="0.2">
      <c r="G29486" s="889"/>
    </row>
    <row r="29487" spans="7:7" ht="10.5" customHeight="1" x14ac:dyDescent="0.2">
      <c r="G29487" s="889"/>
    </row>
    <row r="29488" spans="7:7" ht="10.5" customHeight="1" x14ac:dyDescent="0.2">
      <c r="G29488" s="889"/>
    </row>
    <row r="29489" spans="7:7" ht="10.5" customHeight="1" x14ac:dyDescent="0.2">
      <c r="G29489" s="889"/>
    </row>
    <row r="29490" spans="7:7" ht="10.5" customHeight="1" x14ac:dyDescent="0.2">
      <c r="G29490" s="889"/>
    </row>
    <row r="29491" spans="7:7" ht="10.5" customHeight="1" x14ac:dyDescent="0.2">
      <c r="G29491" s="889"/>
    </row>
    <row r="29492" spans="7:7" ht="10.5" customHeight="1" x14ac:dyDescent="0.2">
      <c r="G29492" s="889"/>
    </row>
    <row r="29493" spans="7:7" ht="10.5" customHeight="1" x14ac:dyDescent="0.2">
      <c r="G29493" s="889"/>
    </row>
    <row r="29494" spans="7:7" ht="10.5" customHeight="1" x14ac:dyDescent="0.2">
      <c r="G29494" s="889"/>
    </row>
    <row r="29495" spans="7:7" ht="10.5" customHeight="1" x14ac:dyDescent="0.2">
      <c r="G29495" s="889"/>
    </row>
    <row r="29496" spans="7:7" ht="10.5" customHeight="1" x14ac:dyDescent="0.2">
      <c r="G29496" s="889"/>
    </row>
    <row r="29497" spans="7:7" ht="10.5" customHeight="1" x14ac:dyDescent="0.2">
      <c r="G29497" s="889"/>
    </row>
    <row r="29498" spans="7:7" ht="10.5" customHeight="1" x14ac:dyDescent="0.2">
      <c r="G29498" s="889"/>
    </row>
    <row r="29499" spans="7:7" ht="10.5" customHeight="1" x14ac:dyDescent="0.2">
      <c r="G29499" s="889"/>
    </row>
    <row r="29500" spans="7:7" ht="10.5" customHeight="1" x14ac:dyDescent="0.2">
      <c r="G29500" s="889"/>
    </row>
    <row r="29501" spans="7:7" ht="10.5" customHeight="1" x14ac:dyDescent="0.2">
      <c r="G29501" s="889"/>
    </row>
    <row r="29502" spans="7:7" ht="10.5" customHeight="1" x14ac:dyDescent="0.2">
      <c r="G29502" s="889"/>
    </row>
    <row r="29503" spans="7:7" ht="10.5" customHeight="1" x14ac:dyDescent="0.2">
      <c r="G29503" s="889"/>
    </row>
    <row r="29504" spans="7:7" ht="10.5" customHeight="1" x14ac:dyDescent="0.2">
      <c r="G29504" s="889"/>
    </row>
    <row r="29505" spans="7:7" ht="10.5" customHeight="1" x14ac:dyDescent="0.2">
      <c r="G29505" s="889"/>
    </row>
    <row r="29506" spans="7:7" ht="10.5" customHeight="1" x14ac:dyDescent="0.2">
      <c r="G29506" s="889"/>
    </row>
    <row r="29507" spans="7:7" ht="10.5" customHeight="1" x14ac:dyDescent="0.2">
      <c r="G29507" s="889"/>
    </row>
    <row r="29508" spans="7:7" ht="10.5" customHeight="1" x14ac:dyDescent="0.2">
      <c r="G29508" s="889"/>
    </row>
    <row r="29509" spans="7:7" ht="10.5" customHeight="1" x14ac:dyDescent="0.2">
      <c r="G29509" s="889"/>
    </row>
    <row r="29510" spans="7:7" ht="10.5" customHeight="1" x14ac:dyDescent="0.2">
      <c r="G29510" s="889"/>
    </row>
    <row r="29511" spans="7:7" ht="10.5" customHeight="1" x14ac:dyDescent="0.2">
      <c r="G29511" s="889"/>
    </row>
    <row r="29512" spans="7:7" ht="10.5" customHeight="1" x14ac:dyDescent="0.2">
      <c r="G29512" s="889"/>
    </row>
    <row r="29513" spans="7:7" ht="10.5" customHeight="1" x14ac:dyDescent="0.2">
      <c r="G29513" s="889"/>
    </row>
    <row r="29514" spans="7:7" ht="10.5" customHeight="1" x14ac:dyDescent="0.2">
      <c r="G29514" s="889"/>
    </row>
    <row r="29515" spans="7:7" ht="10.5" customHeight="1" x14ac:dyDescent="0.2">
      <c r="G29515" s="889"/>
    </row>
    <row r="29516" spans="7:7" ht="10.5" customHeight="1" x14ac:dyDescent="0.2">
      <c r="G29516" s="889"/>
    </row>
    <row r="29517" spans="7:7" ht="10.5" customHeight="1" x14ac:dyDescent="0.2">
      <c r="G29517" s="889"/>
    </row>
    <row r="29518" spans="7:7" ht="10.5" customHeight="1" x14ac:dyDescent="0.2">
      <c r="G29518" s="889"/>
    </row>
    <row r="29519" spans="7:7" ht="10.5" customHeight="1" x14ac:dyDescent="0.2">
      <c r="G29519" s="889"/>
    </row>
    <row r="29520" spans="7:7" ht="10.5" customHeight="1" x14ac:dyDescent="0.2">
      <c r="G29520" s="889"/>
    </row>
    <row r="29521" spans="7:7" ht="10.5" customHeight="1" x14ac:dyDescent="0.2">
      <c r="G29521" s="889"/>
    </row>
    <row r="29522" spans="7:7" ht="10.5" customHeight="1" x14ac:dyDescent="0.2">
      <c r="G29522" s="889"/>
    </row>
    <row r="29523" spans="7:7" ht="10.5" customHeight="1" x14ac:dyDescent="0.2">
      <c r="G29523" s="889"/>
    </row>
    <row r="29524" spans="7:7" ht="10.5" customHeight="1" x14ac:dyDescent="0.2">
      <c r="G29524" s="889"/>
    </row>
    <row r="29525" spans="7:7" ht="10.5" customHeight="1" x14ac:dyDescent="0.2">
      <c r="G29525" s="889"/>
    </row>
    <row r="29526" spans="7:7" ht="10.5" customHeight="1" x14ac:dyDescent="0.2">
      <c r="G29526" s="889"/>
    </row>
    <row r="29527" spans="7:7" ht="10.5" customHeight="1" x14ac:dyDescent="0.2">
      <c r="G29527" s="889"/>
    </row>
    <row r="29528" spans="7:7" ht="10.5" customHeight="1" x14ac:dyDescent="0.2">
      <c r="G29528" s="889"/>
    </row>
    <row r="29529" spans="7:7" ht="10.5" customHeight="1" x14ac:dyDescent="0.2">
      <c r="G29529" s="889"/>
    </row>
    <row r="29530" spans="7:7" ht="10.5" customHeight="1" x14ac:dyDescent="0.2">
      <c r="G29530" s="889"/>
    </row>
    <row r="29531" spans="7:7" ht="10.5" customHeight="1" x14ac:dyDescent="0.2">
      <c r="G29531" s="889"/>
    </row>
    <row r="29532" spans="7:7" ht="10.5" customHeight="1" x14ac:dyDescent="0.2">
      <c r="G29532" s="889"/>
    </row>
    <row r="29533" spans="7:7" ht="10.5" customHeight="1" x14ac:dyDescent="0.2">
      <c r="G29533" s="889"/>
    </row>
    <row r="29534" spans="7:7" ht="10.5" customHeight="1" x14ac:dyDescent="0.2">
      <c r="G29534" s="889"/>
    </row>
    <row r="29535" spans="7:7" ht="10.5" customHeight="1" x14ac:dyDescent="0.2">
      <c r="G29535" s="889"/>
    </row>
    <row r="29536" spans="7:7" ht="10.5" customHeight="1" x14ac:dyDescent="0.2">
      <c r="G29536" s="889"/>
    </row>
    <row r="29537" spans="7:7" ht="10.5" customHeight="1" x14ac:dyDescent="0.2">
      <c r="G29537" s="889"/>
    </row>
    <row r="29538" spans="7:7" ht="10.5" customHeight="1" x14ac:dyDescent="0.2">
      <c r="G29538" s="889"/>
    </row>
    <row r="29539" spans="7:7" ht="10.5" customHeight="1" x14ac:dyDescent="0.2">
      <c r="G29539" s="889"/>
    </row>
    <row r="29540" spans="7:7" ht="10.5" customHeight="1" x14ac:dyDescent="0.2">
      <c r="G29540" s="889"/>
    </row>
    <row r="29541" spans="7:7" ht="10.5" customHeight="1" x14ac:dyDescent="0.2">
      <c r="G29541" s="889"/>
    </row>
    <row r="29542" spans="7:7" ht="10.5" customHeight="1" x14ac:dyDescent="0.2">
      <c r="G29542" s="889"/>
    </row>
    <row r="29543" spans="7:7" ht="10.5" customHeight="1" x14ac:dyDescent="0.2">
      <c r="G29543" s="889"/>
    </row>
    <row r="29544" spans="7:7" ht="10.5" customHeight="1" x14ac:dyDescent="0.2">
      <c r="G29544" s="889"/>
    </row>
    <row r="29545" spans="7:7" ht="10.5" customHeight="1" x14ac:dyDescent="0.2">
      <c r="G29545" s="889"/>
    </row>
    <row r="29546" spans="7:7" ht="10.5" customHeight="1" x14ac:dyDescent="0.2">
      <c r="G29546" s="889"/>
    </row>
    <row r="29547" spans="7:7" ht="10.5" customHeight="1" x14ac:dyDescent="0.2">
      <c r="G29547" s="889"/>
    </row>
    <row r="29548" spans="7:7" ht="10.5" customHeight="1" x14ac:dyDescent="0.2">
      <c r="G29548" s="889"/>
    </row>
    <row r="29549" spans="7:7" ht="10.5" customHeight="1" x14ac:dyDescent="0.2">
      <c r="G29549" s="889"/>
    </row>
    <row r="29550" spans="7:7" ht="10.5" customHeight="1" x14ac:dyDescent="0.2">
      <c r="G29550" s="889"/>
    </row>
    <row r="29551" spans="7:7" ht="10.5" customHeight="1" x14ac:dyDescent="0.2">
      <c r="G29551" s="889"/>
    </row>
    <row r="29552" spans="7:7" ht="10.5" customHeight="1" x14ac:dyDescent="0.2">
      <c r="G29552" s="889"/>
    </row>
    <row r="29553" spans="7:7" ht="10.5" customHeight="1" x14ac:dyDescent="0.2">
      <c r="G29553" s="889"/>
    </row>
    <row r="29554" spans="7:7" ht="10.5" customHeight="1" x14ac:dyDescent="0.2">
      <c r="G29554" s="889"/>
    </row>
    <row r="29555" spans="7:7" ht="10.5" customHeight="1" x14ac:dyDescent="0.2">
      <c r="G29555" s="889"/>
    </row>
    <row r="29556" spans="7:7" ht="10.5" customHeight="1" x14ac:dyDescent="0.2">
      <c r="G29556" s="889"/>
    </row>
    <row r="29557" spans="7:7" ht="10.5" customHeight="1" x14ac:dyDescent="0.2">
      <c r="G29557" s="889"/>
    </row>
    <row r="29558" spans="7:7" ht="10.5" customHeight="1" x14ac:dyDescent="0.2">
      <c r="G29558" s="889"/>
    </row>
    <row r="29559" spans="7:7" ht="10.5" customHeight="1" x14ac:dyDescent="0.2">
      <c r="G29559" s="889"/>
    </row>
    <row r="29560" spans="7:7" ht="10.5" customHeight="1" x14ac:dyDescent="0.2">
      <c r="G29560" s="889"/>
    </row>
    <row r="29561" spans="7:7" ht="10.5" customHeight="1" x14ac:dyDescent="0.2">
      <c r="G29561" s="889"/>
    </row>
    <row r="29562" spans="7:7" ht="10.5" customHeight="1" x14ac:dyDescent="0.2">
      <c r="G29562" s="889"/>
    </row>
    <row r="29563" spans="7:7" ht="10.5" customHeight="1" x14ac:dyDescent="0.2">
      <c r="G29563" s="889"/>
    </row>
    <row r="29564" spans="7:7" ht="10.5" customHeight="1" x14ac:dyDescent="0.2">
      <c r="G29564" s="889"/>
    </row>
    <row r="29565" spans="7:7" ht="10.5" customHeight="1" x14ac:dyDescent="0.2">
      <c r="G29565" s="889"/>
    </row>
    <row r="29566" spans="7:7" ht="10.5" customHeight="1" x14ac:dyDescent="0.2">
      <c r="G29566" s="889"/>
    </row>
    <row r="29567" spans="7:7" ht="10.5" customHeight="1" x14ac:dyDescent="0.2">
      <c r="G29567" s="889"/>
    </row>
    <row r="29568" spans="7:7" ht="10.5" customHeight="1" x14ac:dyDescent="0.2">
      <c r="G29568" s="889"/>
    </row>
    <row r="29569" spans="7:7" ht="10.5" customHeight="1" x14ac:dyDescent="0.2">
      <c r="G29569" s="889"/>
    </row>
    <row r="29570" spans="7:7" ht="10.5" customHeight="1" x14ac:dyDescent="0.2">
      <c r="G29570" s="889"/>
    </row>
    <row r="29571" spans="7:7" ht="10.5" customHeight="1" x14ac:dyDescent="0.2">
      <c r="G29571" s="889"/>
    </row>
    <row r="29572" spans="7:7" ht="10.5" customHeight="1" x14ac:dyDescent="0.2">
      <c r="G29572" s="889"/>
    </row>
    <row r="29573" spans="7:7" ht="10.5" customHeight="1" x14ac:dyDescent="0.2">
      <c r="G29573" s="889"/>
    </row>
    <row r="29574" spans="7:7" ht="10.5" customHeight="1" x14ac:dyDescent="0.2">
      <c r="G29574" s="889"/>
    </row>
    <row r="29575" spans="7:7" ht="10.5" customHeight="1" x14ac:dyDescent="0.2">
      <c r="G29575" s="889"/>
    </row>
    <row r="29576" spans="7:7" ht="10.5" customHeight="1" x14ac:dyDescent="0.2">
      <c r="G29576" s="889"/>
    </row>
    <row r="29577" spans="7:7" ht="10.5" customHeight="1" x14ac:dyDescent="0.2">
      <c r="G29577" s="889"/>
    </row>
    <row r="29578" spans="7:7" ht="10.5" customHeight="1" x14ac:dyDescent="0.2">
      <c r="G29578" s="889"/>
    </row>
    <row r="29579" spans="7:7" ht="10.5" customHeight="1" x14ac:dyDescent="0.2">
      <c r="G29579" s="889"/>
    </row>
    <row r="29580" spans="7:7" ht="10.5" customHeight="1" x14ac:dyDescent="0.2">
      <c r="G29580" s="889"/>
    </row>
    <row r="29581" spans="7:7" ht="10.5" customHeight="1" x14ac:dyDescent="0.2">
      <c r="G29581" s="889"/>
    </row>
    <row r="29582" spans="7:7" ht="10.5" customHeight="1" x14ac:dyDescent="0.2">
      <c r="G29582" s="889"/>
    </row>
    <row r="29583" spans="7:7" ht="10.5" customHeight="1" x14ac:dyDescent="0.2">
      <c r="G29583" s="889"/>
    </row>
    <row r="29584" spans="7:7" ht="10.5" customHeight="1" x14ac:dyDescent="0.2">
      <c r="G29584" s="889"/>
    </row>
    <row r="29585" spans="7:7" ht="10.5" customHeight="1" x14ac:dyDescent="0.2">
      <c r="G29585" s="889"/>
    </row>
    <row r="29586" spans="7:7" ht="10.5" customHeight="1" x14ac:dyDescent="0.2">
      <c r="G29586" s="889"/>
    </row>
    <row r="29587" spans="7:7" ht="10.5" customHeight="1" x14ac:dyDescent="0.2">
      <c r="G29587" s="889"/>
    </row>
    <row r="29588" spans="7:7" ht="10.5" customHeight="1" x14ac:dyDescent="0.2">
      <c r="G29588" s="889"/>
    </row>
    <row r="29589" spans="7:7" ht="10.5" customHeight="1" x14ac:dyDescent="0.2">
      <c r="G29589" s="889"/>
    </row>
    <row r="29590" spans="7:7" ht="10.5" customHeight="1" x14ac:dyDescent="0.2">
      <c r="G29590" s="889"/>
    </row>
    <row r="29591" spans="7:7" ht="10.5" customHeight="1" x14ac:dyDescent="0.2">
      <c r="G29591" s="889"/>
    </row>
    <row r="29592" spans="7:7" ht="10.5" customHeight="1" x14ac:dyDescent="0.2">
      <c r="G29592" s="889"/>
    </row>
    <row r="29593" spans="7:7" ht="10.5" customHeight="1" x14ac:dyDescent="0.2">
      <c r="G29593" s="889"/>
    </row>
    <row r="29594" spans="7:7" ht="10.5" customHeight="1" x14ac:dyDescent="0.2">
      <c r="G29594" s="889"/>
    </row>
    <row r="29595" spans="7:7" ht="10.5" customHeight="1" x14ac:dyDescent="0.2">
      <c r="G29595" s="889"/>
    </row>
    <row r="29596" spans="7:7" ht="10.5" customHeight="1" x14ac:dyDescent="0.2">
      <c r="G29596" s="889"/>
    </row>
    <row r="29597" spans="7:7" ht="10.5" customHeight="1" x14ac:dyDescent="0.2">
      <c r="G29597" s="889"/>
    </row>
    <row r="29598" spans="7:7" ht="10.5" customHeight="1" x14ac:dyDescent="0.2">
      <c r="G29598" s="889"/>
    </row>
    <row r="29599" spans="7:7" ht="10.5" customHeight="1" x14ac:dyDescent="0.2">
      <c r="G29599" s="889"/>
    </row>
    <row r="29600" spans="7:7" ht="10.5" customHeight="1" x14ac:dyDescent="0.2">
      <c r="G29600" s="889"/>
    </row>
    <row r="29601" spans="7:7" ht="10.5" customHeight="1" x14ac:dyDescent="0.2">
      <c r="G29601" s="889"/>
    </row>
    <row r="29602" spans="7:7" ht="10.5" customHeight="1" x14ac:dyDescent="0.2">
      <c r="G29602" s="889"/>
    </row>
    <row r="29603" spans="7:7" ht="10.5" customHeight="1" x14ac:dyDescent="0.2">
      <c r="G29603" s="889"/>
    </row>
    <row r="29604" spans="7:7" ht="10.5" customHeight="1" x14ac:dyDescent="0.2">
      <c r="G29604" s="889"/>
    </row>
    <row r="29605" spans="7:7" ht="10.5" customHeight="1" x14ac:dyDescent="0.2">
      <c r="G29605" s="889"/>
    </row>
    <row r="29606" spans="7:7" ht="10.5" customHeight="1" x14ac:dyDescent="0.2">
      <c r="G29606" s="889"/>
    </row>
    <row r="29607" spans="7:7" ht="10.5" customHeight="1" x14ac:dyDescent="0.2">
      <c r="G29607" s="889"/>
    </row>
    <row r="29608" spans="7:7" ht="10.5" customHeight="1" x14ac:dyDescent="0.2">
      <c r="G29608" s="889"/>
    </row>
    <row r="29609" spans="7:7" ht="10.5" customHeight="1" x14ac:dyDescent="0.2">
      <c r="G29609" s="889"/>
    </row>
    <row r="29610" spans="7:7" ht="10.5" customHeight="1" x14ac:dyDescent="0.2">
      <c r="G29610" s="889"/>
    </row>
    <row r="29611" spans="7:7" ht="10.5" customHeight="1" x14ac:dyDescent="0.2">
      <c r="G29611" s="889"/>
    </row>
    <row r="29612" spans="7:7" ht="10.5" customHeight="1" x14ac:dyDescent="0.2">
      <c r="G29612" s="889"/>
    </row>
    <row r="29613" spans="7:7" ht="10.5" customHeight="1" x14ac:dyDescent="0.2">
      <c r="G29613" s="889"/>
    </row>
    <row r="29614" spans="7:7" ht="10.5" customHeight="1" x14ac:dyDescent="0.2">
      <c r="G29614" s="889"/>
    </row>
    <row r="29615" spans="7:7" ht="10.5" customHeight="1" x14ac:dyDescent="0.2">
      <c r="G29615" s="889"/>
    </row>
    <row r="29616" spans="7:7" ht="10.5" customHeight="1" x14ac:dyDescent="0.2">
      <c r="G29616" s="889"/>
    </row>
    <row r="29617" spans="7:7" ht="10.5" customHeight="1" x14ac:dyDescent="0.2">
      <c r="G29617" s="889"/>
    </row>
    <row r="29618" spans="7:7" ht="10.5" customHeight="1" x14ac:dyDescent="0.2">
      <c r="G29618" s="889"/>
    </row>
    <row r="29619" spans="7:7" ht="10.5" customHeight="1" x14ac:dyDescent="0.2">
      <c r="G29619" s="889"/>
    </row>
    <row r="29620" spans="7:7" ht="10.5" customHeight="1" x14ac:dyDescent="0.2">
      <c r="G29620" s="889"/>
    </row>
    <row r="29621" spans="7:7" ht="10.5" customHeight="1" x14ac:dyDescent="0.2">
      <c r="G29621" s="889"/>
    </row>
    <row r="29622" spans="7:7" ht="10.5" customHeight="1" x14ac:dyDescent="0.2">
      <c r="G29622" s="889"/>
    </row>
    <row r="29623" spans="7:7" ht="10.5" customHeight="1" x14ac:dyDescent="0.2">
      <c r="G29623" s="889"/>
    </row>
    <row r="29624" spans="7:7" ht="10.5" customHeight="1" x14ac:dyDescent="0.2">
      <c r="G29624" s="889"/>
    </row>
    <row r="29625" spans="7:7" ht="10.5" customHeight="1" x14ac:dyDescent="0.2">
      <c r="G29625" s="889"/>
    </row>
    <row r="29626" spans="7:7" ht="10.5" customHeight="1" x14ac:dyDescent="0.2">
      <c r="G29626" s="889"/>
    </row>
    <row r="29627" spans="7:7" ht="10.5" customHeight="1" x14ac:dyDescent="0.2">
      <c r="G29627" s="889"/>
    </row>
    <row r="29628" spans="7:7" ht="10.5" customHeight="1" x14ac:dyDescent="0.2">
      <c r="G29628" s="889"/>
    </row>
    <row r="29629" spans="7:7" ht="10.5" customHeight="1" x14ac:dyDescent="0.2">
      <c r="G29629" s="889"/>
    </row>
    <row r="29630" spans="7:7" ht="10.5" customHeight="1" x14ac:dyDescent="0.2">
      <c r="G29630" s="889"/>
    </row>
    <row r="29631" spans="7:7" ht="10.5" customHeight="1" x14ac:dyDescent="0.2">
      <c r="G29631" s="889"/>
    </row>
    <row r="29632" spans="7:7" ht="10.5" customHeight="1" x14ac:dyDescent="0.2">
      <c r="G29632" s="889"/>
    </row>
    <row r="29633" spans="7:7" ht="10.5" customHeight="1" x14ac:dyDescent="0.2">
      <c r="G29633" s="889"/>
    </row>
    <row r="29634" spans="7:7" ht="10.5" customHeight="1" x14ac:dyDescent="0.2">
      <c r="G29634" s="889"/>
    </row>
    <row r="29635" spans="7:7" ht="10.5" customHeight="1" x14ac:dyDescent="0.2">
      <c r="G29635" s="889"/>
    </row>
    <row r="29636" spans="7:7" ht="10.5" customHeight="1" x14ac:dyDescent="0.2">
      <c r="G29636" s="889"/>
    </row>
    <row r="29637" spans="7:7" ht="10.5" customHeight="1" x14ac:dyDescent="0.2">
      <c r="G29637" s="889"/>
    </row>
    <row r="29638" spans="7:7" ht="10.5" customHeight="1" x14ac:dyDescent="0.2">
      <c r="G29638" s="889"/>
    </row>
    <row r="29639" spans="7:7" ht="10.5" customHeight="1" x14ac:dyDescent="0.2">
      <c r="G29639" s="889"/>
    </row>
    <row r="29640" spans="7:7" ht="10.5" customHeight="1" x14ac:dyDescent="0.2">
      <c r="G29640" s="889"/>
    </row>
    <row r="29641" spans="7:7" ht="10.5" customHeight="1" x14ac:dyDescent="0.2">
      <c r="G29641" s="889"/>
    </row>
    <row r="29642" spans="7:7" ht="10.5" customHeight="1" x14ac:dyDescent="0.2">
      <c r="G29642" s="889"/>
    </row>
    <row r="29643" spans="7:7" ht="10.5" customHeight="1" x14ac:dyDescent="0.2">
      <c r="G29643" s="889"/>
    </row>
    <row r="29644" spans="7:7" ht="10.5" customHeight="1" x14ac:dyDescent="0.2">
      <c r="G29644" s="889"/>
    </row>
    <row r="29645" spans="7:7" ht="10.5" customHeight="1" x14ac:dyDescent="0.2">
      <c r="G29645" s="889"/>
    </row>
    <row r="29646" spans="7:7" ht="10.5" customHeight="1" x14ac:dyDescent="0.2">
      <c r="G29646" s="889"/>
    </row>
    <row r="29647" spans="7:7" ht="10.5" customHeight="1" x14ac:dyDescent="0.2">
      <c r="G29647" s="889"/>
    </row>
    <row r="29648" spans="7:7" ht="10.5" customHeight="1" x14ac:dyDescent="0.2">
      <c r="G29648" s="889"/>
    </row>
    <row r="29649" spans="7:7" ht="10.5" customHeight="1" x14ac:dyDescent="0.2">
      <c r="G29649" s="889"/>
    </row>
    <row r="29650" spans="7:7" ht="10.5" customHeight="1" x14ac:dyDescent="0.2">
      <c r="G29650" s="889"/>
    </row>
    <row r="29651" spans="7:7" ht="10.5" customHeight="1" x14ac:dyDescent="0.2">
      <c r="G29651" s="889"/>
    </row>
    <row r="29652" spans="7:7" ht="10.5" customHeight="1" x14ac:dyDescent="0.2">
      <c r="G29652" s="889"/>
    </row>
    <row r="29653" spans="7:7" ht="10.5" customHeight="1" x14ac:dyDescent="0.2">
      <c r="G29653" s="889"/>
    </row>
    <row r="29654" spans="7:7" ht="10.5" customHeight="1" x14ac:dyDescent="0.2">
      <c r="G29654" s="889"/>
    </row>
    <row r="29655" spans="7:7" ht="10.5" customHeight="1" x14ac:dyDescent="0.2">
      <c r="G29655" s="889"/>
    </row>
    <row r="29656" spans="7:7" ht="10.5" customHeight="1" x14ac:dyDescent="0.2">
      <c r="G29656" s="889"/>
    </row>
    <row r="29657" spans="7:7" ht="10.5" customHeight="1" x14ac:dyDescent="0.2">
      <c r="G29657" s="889"/>
    </row>
    <row r="29658" spans="7:7" ht="10.5" customHeight="1" x14ac:dyDescent="0.2">
      <c r="G29658" s="889"/>
    </row>
    <row r="29659" spans="7:7" ht="10.5" customHeight="1" x14ac:dyDescent="0.2">
      <c r="G29659" s="889"/>
    </row>
    <row r="29660" spans="7:7" ht="10.5" customHeight="1" x14ac:dyDescent="0.2">
      <c r="G29660" s="889"/>
    </row>
    <row r="29661" spans="7:7" ht="10.5" customHeight="1" x14ac:dyDescent="0.2">
      <c r="G29661" s="889"/>
    </row>
    <row r="29662" spans="7:7" ht="10.5" customHeight="1" x14ac:dyDescent="0.2">
      <c r="G29662" s="889"/>
    </row>
    <row r="29663" spans="7:7" ht="10.5" customHeight="1" x14ac:dyDescent="0.2">
      <c r="G29663" s="889"/>
    </row>
    <row r="29664" spans="7:7" ht="10.5" customHeight="1" x14ac:dyDescent="0.2">
      <c r="G29664" s="889"/>
    </row>
    <row r="29665" spans="7:7" ht="10.5" customHeight="1" x14ac:dyDescent="0.2">
      <c r="G29665" s="889"/>
    </row>
    <row r="29666" spans="7:7" ht="10.5" customHeight="1" x14ac:dyDescent="0.2">
      <c r="G29666" s="889"/>
    </row>
    <row r="29667" spans="7:7" ht="10.5" customHeight="1" x14ac:dyDescent="0.2">
      <c r="G29667" s="889"/>
    </row>
    <row r="29668" spans="7:7" ht="10.5" customHeight="1" x14ac:dyDescent="0.2">
      <c r="G29668" s="889"/>
    </row>
    <row r="29669" spans="7:7" ht="10.5" customHeight="1" x14ac:dyDescent="0.2">
      <c r="G29669" s="889"/>
    </row>
    <row r="29670" spans="7:7" ht="10.5" customHeight="1" x14ac:dyDescent="0.2">
      <c r="G29670" s="889"/>
    </row>
    <row r="29671" spans="7:7" ht="10.5" customHeight="1" x14ac:dyDescent="0.2">
      <c r="G29671" s="889"/>
    </row>
    <row r="29672" spans="7:7" ht="10.5" customHeight="1" x14ac:dyDescent="0.2">
      <c r="G29672" s="889"/>
    </row>
    <row r="29673" spans="7:7" ht="10.5" customHeight="1" x14ac:dyDescent="0.2">
      <c r="G29673" s="889"/>
    </row>
    <row r="29674" spans="7:7" ht="10.5" customHeight="1" x14ac:dyDescent="0.2">
      <c r="G29674" s="889"/>
    </row>
    <row r="29675" spans="7:7" ht="10.5" customHeight="1" x14ac:dyDescent="0.2">
      <c r="G29675" s="889"/>
    </row>
    <row r="29676" spans="7:7" ht="10.5" customHeight="1" x14ac:dyDescent="0.2">
      <c r="G29676" s="889"/>
    </row>
    <row r="29677" spans="7:7" ht="10.5" customHeight="1" x14ac:dyDescent="0.2">
      <c r="G29677" s="889"/>
    </row>
    <row r="29678" spans="7:7" ht="10.5" customHeight="1" x14ac:dyDescent="0.2">
      <c r="G29678" s="889"/>
    </row>
    <row r="29679" spans="7:7" ht="10.5" customHeight="1" x14ac:dyDescent="0.2">
      <c r="G29679" s="889"/>
    </row>
    <row r="29680" spans="7:7" ht="10.5" customHeight="1" x14ac:dyDescent="0.2">
      <c r="G29680" s="889"/>
    </row>
    <row r="29681" spans="7:7" ht="10.5" customHeight="1" x14ac:dyDescent="0.2">
      <c r="G29681" s="889"/>
    </row>
    <row r="29682" spans="7:7" ht="10.5" customHeight="1" x14ac:dyDescent="0.2">
      <c r="G29682" s="889"/>
    </row>
    <row r="29683" spans="7:7" ht="10.5" customHeight="1" x14ac:dyDescent="0.2">
      <c r="G29683" s="889"/>
    </row>
    <row r="29684" spans="7:7" ht="10.5" customHeight="1" x14ac:dyDescent="0.2">
      <c r="G29684" s="889"/>
    </row>
    <row r="29685" spans="7:7" ht="10.5" customHeight="1" x14ac:dyDescent="0.2">
      <c r="G29685" s="889"/>
    </row>
    <row r="29686" spans="7:7" ht="10.5" customHeight="1" x14ac:dyDescent="0.2">
      <c r="G29686" s="889"/>
    </row>
    <row r="29687" spans="7:7" ht="10.5" customHeight="1" x14ac:dyDescent="0.2">
      <c r="G29687" s="889"/>
    </row>
    <row r="29688" spans="7:7" ht="10.5" customHeight="1" x14ac:dyDescent="0.2">
      <c r="G29688" s="889"/>
    </row>
    <row r="29689" spans="7:7" ht="10.5" customHeight="1" x14ac:dyDescent="0.2">
      <c r="G29689" s="889"/>
    </row>
    <row r="29690" spans="7:7" ht="10.5" customHeight="1" x14ac:dyDescent="0.2">
      <c r="G29690" s="889"/>
    </row>
    <row r="29691" spans="7:7" ht="10.5" customHeight="1" x14ac:dyDescent="0.2">
      <c r="G29691" s="889"/>
    </row>
    <row r="29692" spans="7:7" ht="10.5" customHeight="1" x14ac:dyDescent="0.2">
      <c r="G29692" s="889"/>
    </row>
    <row r="29693" spans="7:7" ht="10.5" customHeight="1" x14ac:dyDescent="0.2">
      <c r="G29693" s="889"/>
    </row>
    <row r="29694" spans="7:7" ht="10.5" customHeight="1" x14ac:dyDescent="0.2">
      <c r="G29694" s="889"/>
    </row>
    <row r="29695" spans="7:7" ht="10.5" customHeight="1" x14ac:dyDescent="0.2">
      <c r="G29695" s="889"/>
    </row>
    <row r="29696" spans="7:7" ht="10.5" customHeight="1" x14ac:dyDescent="0.2">
      <c r="G29696" s="889"/>
    </row>
    <row r="29697" spans="7:7" ht="10.5" customHeight="1" x14ac:dyDescent="0.2">
      <c r="G29697" s="889"/>
    </row>
    <row r="29698" spans="7:7" ht="10.5" customHeight="1" x14ac:dyDescent="0.2">
      <c r="G29698" s="889"/>
    </row>
    <row r="29699" spans="7:7" ht="10.5" customHeight="1" x14ac:dyDescent="0.2">
      <c r="G29699" s="889"/>
    </row>
    <row r="29700" spans="7:7" ht="10.5" customHeight="1" x14ac:dyDescent="0.2">
      <c r="G29700" s="889"/>
    </row>
    <row r="29701" spans="7:7" ht="10.5" customHeight="1" x14ac:dyDescent="0.2">
      <c r="G29701" s="889"/>
    </row>
    <row r="29702" spans="7:7" ht="10.5" customHeight="1" x14ac:dyDescent="0.2">
      <c r="G29702" s="889"/>
    </row>
    <row r="29703" spans="7:7" ht="10.5" customHeight="1" x14ac:dyDescent="0.2">
      <c r="G29703" s="889"/>
    </row>
    <row r="29704" spans="7:7" ht="10.5" customHeight="1" x14ac:dyDescent="0.2">
      <c r="G29704" s="889"/>
    </row>
    <row r="29705" spans="7:7" ht="10.5" customHeight="1" x14ac:dyDescent="0.2">
      <c r="G29705" s="889"/>
    </row>
    <row r="29706" spans="7:7" ht="10.5" customHeight="1" x14ac:dyDescent="0.2">
      <c r="G29706" s="889"/>
    </row>
    <row r="29707" spans="7:7" ht="10.5" customHeight="1" x14ac:dyDescent="0.2">
      <c r="G29707" s="889"/>
    </row>
    <row r="29708" spans="7:7" ht="10.5" customHeight="1" x14ac:dyDescent="0.2">
      <c r="G29708" s="889"/>
    </row>
    <row r="29709" spans="7:7" ht="10.5" customHeight="1" x14ac:dyDescent="0.2">
      <c r="G29709" s="889"/>
    </row>
    <row r="29710" spans="7:7" ht="10.5" customHeight="1" x14ac:dyDescent="0.2">
      <c r="G29710" s="889"/>
    </row>
    <row r="29711" spans="7:7" ht="10.5" customHeight="1" x14ac:dyDescent="0.2">
      <c r="G29711" s="889"/>
    </row>
    <row r="29712" spans="7:7" ht="10.5" customHeight="1" x14ac:dyDescent="0.2">
      <c r="G29712" s="889"/>
    </row>
    <row r="29713" spans="7:7" ht="10.5" customHeight="1" x14ac:dyDescent="0.2">
      <c r="G29713" s="889"/>
    </row>
    <row r="29714" spans="7:7" ht="10.5" customHeight="1" x14ac:dyDescent="0.2">
      <c r="G29714" s="889"/>
    </row>
    <row r="29715" spans="7:7" ht="10.5" customHeight="1" x14ac:dyDescent="0.2">
      <c r="G29715" s="889"/>
    </row>
    <row r="29716" spans="7:7" ht="10.5" customHeight="1" x14ac:dyDescent="0.2">
      <c r="G29716" s="889"/>
    </row>
    <row r="29717" spans="7:7" ht="10.5" customHeight="1" x14ac:dyDescent="0.2">
      <c r="G29717" s="889"/>
    </row>
    <row r="29718" spans="7:7" ht="10.5" customHeight="1" x14ac:dyDescent="0.2">
      <c r="G29718" s="889"/>
    </row>
    <row r="29719" spans="7:7" ht="10.5" customHeight="1" x14ac:dyDescent="0.2">
      <c r="G29719" s="889"/>
    </row>
    <row r="29720" spans="7:7" ht="10.5" customHeight="1" x14ac:dyDescent="0.2">
      <c r="G29720" s="889"/>
    </row>
    <row r="29721" spans="7:7" ht="10.5" customHeight="1" x14ac:dyDescent="0.2">
      <c r="G29721" s="889"/>
    </row>
    <row r="29722" spans="7:7" ht="10.5" customHeight="1" x14ac:dyDescent="0.2">
      <c r="G29722" s="889"/>
    </row>
    <row r="29723" spans="7:7" ht="10.5" customHeight="1" x14ac:dyDescent="0.2">
      <c r="G29723" s="889"/>
    </row>
    <row r="29724" spans="7:7" ht="10.5" customHeight="1" x14ac:dyDescent="0.2">
      <c r="G29724" s="889"/>
    </row>
    <row r="29725" spans="7:7" ht="10.5" customHeight="1" x14ac:dyDescent="0.2">
      <c r="G29725" s="889"/>
    </row>
    <row r="29726" spans="7:7" ht="10.5" customHeight="1" x14ac:dyDescent="0.2">
      <c r="G29726" s="889"/>
    </row>
    <row r="29727" spans="7:7" ht="10.5" customHeight="1" x14ac:dyDescent="0.2">
      <c r="G29727" s="889"/>
    </row>
    <row r="29728" spans="7:7" ht="10.5" customHeight="1" x14ac:dyDescent="0.2">
      <c r="G29728" s="889"/>
    </row>
    <row r="29729" spans="7:7" ht="10.5" customHeight="1" x14ac:dyDescent="0.2">
      <c r="G29729" s="889"/>
    </row>
    <row r="29730" spans="7:7" ht="10.5" customHeight="1" x14ac:dyDescent="0.2">
      <c r="G29730" s="889"/>
    </row>
    <row r="29731" spans="7:7" ht="10.5" customHeight="1" x14ac:dyDescent="0.2">
      <c r="G29731" s="889"/>
    </row>
    <row r="29732" spans="7:7" ht="10.5" customHeight="1" x14ac:dyDescent="0.2">
      <c r="G29732" s="889"/>
    </row>
    <row r="29733" spans="7:7" ht="10.5" customHeight="1" x14ac:dyDescent="0.2">
      <c r="G29733" s="889"/>
    </row>
    <row r="29734" spans="7:7" ht="10.5" customHeight="1" x14ac:dyDescent="0.2">
      <c r="G29734" s="889"/>
    </row>
    <row r="29735" spans="7:7" ht="10.5" customHeight="1" x14ac:dyDescent="0.2">
      <c r="G29735" s="889"/>
    </row>
    <row r="29736" spans="7:7" ht="10.5" customHeight="1" x14ac:dyDescent="0.2">
      <c r="G29736" s="889"/>
    </row>
    <row r="29737" spans="7:7" ht="10.5" customHeight="1" x14ac:dyDescent="0.2">
      <c r="G29737" s="889"/>
    </row>
    <row r="29738" spans="7:7" ht="10.5" customHeight="1" x14ac:dyDescent="0.2">
      <c r="G29738" s="889"/>
    </row>
    <row r="29739" spans="7:7" ht="10.5" customHeight="1" x14ac:dyDescent="0.2">
      <c r="G29739" s="889"/>
    </row>
    <row r="29740" spans="7:7" ht="10.5" customHeight="1" x14ac:dyDescent="0.2">
      <c r="G29740" s="889"/>
    </row>
    <row r="29741" spans="7:7" ht="10.5" customHeight="1" x14ac:dyDescent="0.2">
      <c r="G29741" s="889"/>
    </row>
    <row r="29742" spans="7:7" ht="10.5" customHeight="1" x14ac:dyDescent="0.2">
      <c r="G29742" s="889"/>
    </row>
    <row r="29743" spans="7:7" ht="10.5" customHeight="1" x14ac:dyDescent="0.2">
      <c r="G29743" s="889"/>
    </row>
    <row r="29744" spans="7:7" ht="10.5" customHeight="1" x14ac:dyDescent="0.2">
      <c r="G29744" s="889"/>
    </row>
    <row r="29745" spans="7:7" ht="10.5" customHeight="1" x14ac:dyDescent="0.2">
      <c r="G29745" s="889"/>
    </row>
    <row r="29746" spans="7:7" ht="10.5" customHeight="1" x14ac:dyDescent="0.2">
      <c r="G29746" s="889"/>
    </row>
    <row r="29747" spans="7:7" ht="10.5" customHeight="1" x14ac:dyDescent="0.2">
      <c r="G29747" s="889"/>
    </row>
    <row r="29748" spans="7:7" ht="10.5" customHeight="1" x14ac:dyDescent="0.2">
      <c r="G29748" s="889"/>
    </row>
    <row r="29749" spans="7:7" ht="10.5" customHeight="1" x14ac:dyDescent="0.2">
      <c r="G29749" s="889"/>
    </row>
    <row r="29750" spans="7:7" ht="10.5" customHeight="1" x14ac:dyDescent="0.2">
      <c r="G29750" s="889"/>
    </row>
    <row r="29751" spans="7:7" ht="10.5" customHeight="1" x14ac:dyDescent="0.2">
      <c r="G29751" s="889"/>
    </row>
    <row r="29752" spans="7:7" ht="10.5" customHeight="1" x14ac:dyDescent="0.2">
      <c r="G29752" s="889"/>
    </row>
    <row r="29753" spans="7:7" ht="10.5" customHeight="1" x14ac:dyDescent="0.2">
      <c r="G29753" s="889"/>
    </row>
    <row r="29754" spans="7:7" ht="10.5" customHeight="1" x14ac:dyDescent="0.2">
      <c r="G29754" s="889"/>
    </row>
    <row r="29755" spans="7:7" ht="10.5" customHeight="1" x14ac:dyDescent="0.2">
      <c r="G29755" s="889"/>
    </row>
    <row r="29756" spans="7:7" ht="10.5" customHeight="1" x14ac:dyDescent="0.2">
      <c r="G29756" s="889"/>
    </row>
    <row r="29757" spans="7:7" ht="10.5" customHeight="1" x14ac:dyDescent="0.2">
      <c r="G29757" s="889"/>
    </row>
    <row r="29758" spans="7:7" ht="10.5" customHeight="1" x14ac:dyDescent="0.2">
      <c r="G29758" s="889"/>
    </row>
    <row r="29759" spans="7:7" ht="10.5" customHeight="1" x14ac:dyDescent="0.2">
      <c r="G29759" s="889"/>
    </row>
    <row r="29760" spans="7:7" ht="10.5" customHeight="1" x14ac:dyDescent="0.2">
      <c r="G29760" s="889"/>
    </row>
    <row r="29761" spans="7:7" ht="10.5" customHeight="1" x14ac:dyDescent="0.2">
      <c r="G29761" s="889"/>
    </row>
    <row r="29762" spans="7:7" ht="10.5" customHeight="1" x14ac:dyDescent="0.2">
      <c r="G29762" s="889"/>
    </row>
    <row r="29763" spans="7:7" ht="10.5" customHeight="1" x14ac:dyDescent="0.2">
      <c r="G29763" s="889"/>
    </row>
    <row r="29764" spans="7:7" ht="10.5" customHeight="1" x14ac:dyDescent="0.2">
      <c r="G29764" s="889"/>
    </row>
    <row r="29765" spans="7:7" ht="10.5" customHeight="1" x14ac:dyDescent="0.2">
      <c r="G29765" s="889"/>
    </row>
    <row r="29766" spans="7:7" ht="10.5" customHeight="1" x14ac:dyDescent="0.2">
      <c r="G29766" s="889"/>
    </row>
    <row r="29767" spans="7:7" ht="10.5" customHeight="1" x14ac:dyDescent="0.2">
      <c r="G29767" s="889"/>
    </row>
    <row r="29768" spans="7:7" ht="10.5" customHeight="1" x14ac:dyDescent="0.2">
      <c r="G29768" s="889"/>
    </row>
    <row r="29769" spans="7:7" ht="10.5" customHeight="1" x14ac:dyDescent="0.2">
      <c r="G29769" s="889"/>
    </row>
    <row r="29770" spans="7:7" ht="10.5" customHeight="1" x14ac:dyDescent="0.2">
      <c r="G29770" s="889"/>
    </row>
    <row r="29771" spans="7:7" ht="10.5" customHeight="1" x14ac:dyDescent="0.2">
      <c r="G29771" s="889"/>
    </row>
    <row r="29772" spans="7:7" ht="10.5" customHeight="1" x14ac:dyDescent="0.2">
      <c r="G29772" s="889"/>
    </row>
    <row r="29773" spans="7:7" ht="10.5" customHeight="1" x14ac:dyDescent="0.2">
      <c r="G29773" s="889"/>
    </row>
    <row r="29774" spans="7:7" ht="10.5" customHeight="1" x14ac:dyDescent="0.2">
      <c r="G29774" s="889"/>
    </row>
    <row r="29775" spans="7:7" ht="10.5" customHeight="1" x14ac:dyDescent="0.2">
      <c r="G29775" s="889"/>
    </row>
    <row r="29776" spans="7:7" ht="10.5" customHeight="1" x14ac:dyDescent="0.2">
      <c r="G29776" s="889"/>
    </row>
    <row r="29777" spans="7:7" ht="10.5" customHeight="1" x14ac:dyDescent="0.2">
      <c r="G29777" s="889"/>
    </row>
    <row r="29778" spans="7:7" ht="10.5" customHeight="1" x14ac:dyDescent="0.2">
      <c r="G29778" s="889"/>
    </row>
    <row r="29779" spans="7:7" ht="10.5" customHeight="1" x14ac:dyDescent="0.2">
      <c r="G29779" s="889"/>
    </row>
    <row r="29780" spans="7:7" ht="10.5" customHeight="1" x14ac:dyDescent="0.2">
      <c r="G29780" s="889"/>
    </row>
    <row r="29781" spans="7:7" ht="10.5" customHeight="1" x14ac:dyDescent="0.2">
      <c r="G29781" s="889"/>
    </row>
    <row r="29782" spans="7:7" ht="10.5" customHeight="1" x14ac:dyDescent="0.2">
      <c r="G29782" s="889"/>
    </row>
    <row r="29783" spans="7:7" ht="10.5" customHeight="1" x14ac:dyDescent="0.2">
      <c r="G29783" s="889"/>
    </row>
    <row r="29784" spans="7:7" ht="10.5" customHeight="1" x14ac:dyDescent="0.2">
      <c r="G29784" s="889"/>
    </row>
    <row r="29785" spans="7:7" ht="10.5" customHeight="1" x14ac:dyDescent="0.2">
      <c r="G29785" s="889"/>
    </row>
    <row r="29786" spans="7:7" ht="10.5" customHeight="1" x14ac:dyDescent="0.2">
      <c r="G29786" s="889"/>
    </row>
    <row r="29787" spans="7:7" ht="10.5" customHeight="1" x14ac:dyDescent="0.2">
      <c r="G29787" s="889"/>
    </row>
    <row r="29788" spans="7:7" ht="10.5" customHeight="1" x14ac:dyDescent="0.2">
      <c r="G29788" s="889"/>
    </row>
    <row r="29789" spans="7:7" ht="10.5" customHeight="1" x14ac:dyDescent="0.2">
      <c r="G29789" s="889"/>
    </row>
    <row r="29790" spans="7:7" ht="10.5" customHeight="1" x14ac:dyDescent="0.2">
      <c r="G29790" s="889"/>
    </row>
    <row r="29791" spans="7:7" ht="10.5" customHeight="1" x14ac:dyDescent="0.2">
      <c r="G29791" s="889"/>
    </row>
    <row r="29792" spans="7:7" ht="10.5" customHeight="1" x14ac:dyDescent="0.2">
      <c r="G29792" s="889"/>
    </row>
    <row r="29793" spans="7:7" ht="10.5" customHeight="1" x14ac:dyDescent="0.2">
      <c r="G29793" s="889"/>
    </row>
    <row r="29794" spans="7:7" ht="10.5" customHeight="1" x14ac:dyDescent="0.2">
      <c r="G29794" s="889"/>
    </row>
    <row r="29795" spans="7:7" ht="10.5" customHeight="1" x14ac:dyDescent="0.2">
      <c r="G29795" s="889"/>
    </row>
    <row r="29796" spans="7:7" ht="10.5" customHeight="1" x14ac:dyDescent="0.2">
      <c r="G29796" s="889"/>
    </row>
    <row r="29797" spans="7:7" ht="10.5" customHeight="1" x14ac:dyDescent="0.2">
      <c r="G29797" s="889"/>
    </row>
    <row r="29798" spans="7:7" ht="10.5" customHeight="1" x14ac:dyDescent="0.2">
      <c r="G29798" s="889"/>
    </row>
    <row r="29799" spans="7:7" ht="10.5" customHeight="1" x14ac:dyDescent="0.2">
      <c r="G29799" s="889"/>
    </row>
    <row r="29800" spans="7:7" ht="10.5" customHeight="1" x14ac:dyDescent="0.2">
      <c r="G29800" s="889"/>
    </row>
    <row r="29801" spans="7:7" ht="10.5" customHeight="1" x14ac:dyDescent="0.2">
      <c r="G29801" s="889"/>
    </row>
    <row r="29802" spans="7:7" ht="10.5" customHeight="1" x14ac:dyDescent="0.2">
      <c r="G29802" s="889"/>
    </row>
    <row r="29803" spans="7:7" ht="10.5" customHeight="1" x14ac:dyDescent="0.2">
      <c r="G29803" s="889"/>
    </row>
    <row r="29804" spans="7:7" ht="10.5" customHeight="1" x14ac:dyDescent="0.2">
      <c r="G29804" s="889"/>
    </row>
    <row r="29805" spans="7:7" ht="10.5" customHeight="1" x14ac:dyDescent="0.2">
      <c r="G29805" s="889"/>
    </row>
    <row r="29806" spans="7:7" ht="10.5" customHeight="1" x14ac:dyDescent="0.2">
      <c r="G29806" s="889"/>
    </row>
    <row r="29807" spans="7:7" ht="10.5" customHeight="1" x14ac:dyDescent="0.2">
      <c r="G29807" s="889"/>
    </row>
    <row r="29808" spans="7:7" ht="10.5" customHeight="1" x14ac:dyDescent="0.2">
      <c r="G29808" s="889"/>
    </row>
    <row r="29809" spans="7:7" ht="10.5" customHeight="1" x14ac:dyDescent="0.2">
      <c r="G29809" s="889"/>
    </row>
    <row r="29810" spans="7:7" ht="10.5" customHeight="1" x14ac:dyDescent="0.2">
      <c r="G29810" s="889"/>
    </row>
    <row r="29811" spans="7:7" ht="10.5" customHeight="1" x14ac:dyDescent="0.2">
      <c r="G29811" s="889"/>
    </row>
    <row r="29812" spans="7:7" ht="10.5" customHeight="1" x14ac:dyDescent="0.2">
      <c r="G29812" s="889"/>
    </row>
    <row r="29813" spans="7:7" ht="10.5" customHeight="1" x14ac:dyDescent="0.2">
      <c r="G29813" s="889"/>
    </row>
    <row r="29814" spans="7:7" ht="10.5" customHeight="1" x14ac:dyDescent="0.2">
      <c r="G29814" s="889"/>
    </row>
    <row r="29815" spans="7:7" ht="10.5" customHeight="1" x14ac:dyDescent="0.2">
      <c r="G29815" s="889"/>
    </row>
    <row r="29816" spans="7:7" ht="10.5" customHeight="1" x14ac:dyDescent="0.2">
      <c r="G29816" s="889"/>
    </row>
    <row r="29817" spans="7:7" ht="10.5" customHeight="1" x14ac:dyDescent="0.2">
      <c r="G29817" s="889"/>
    </row>
    <row r="29818" spans="7:7" ht="10.5" customHeight="1" x14ac:dyDescent="0.2">
      <c r="G29818" s="889"/>
    </row>
    <row r="29819" spans="7:7" ht="10.5" customHeight="1" x14ac:dyDescent="0.2">
      <c r="G29819" s="889"/>
    </row>
    <row r="29820" spans="7:7" ht="10.5" customHeight="1" x14ac:dyDescent="0.2">
      <c r="G29820" s="889"/>
    </row>
    <row r="29821" spans="7:7" ht="10.5" customHeight="1" x14ac:dyDescent="0.2">
      <c r="G29821" s="889"/>
    </row>
    <row r="29822" spans="7:7" ht="10.5" customHeight="1" x14ac:dyDescent="0.2">
      <c r="G29822" s="889"/>
    </row>
    <row r="29823" spans="7:7" ht="10.5" customHeight="1" x14ac:dyDescent="0.2">
      <c r="G29823" s="889"/>
    </row>
    <row r="29824" spans="7:7" ht="10.5" customHeight="1" x14ac:dyDescent="0.2">
      <c r="G29824" s="889"/>
    </row>
    <row r="29825" spans="7:7" ht="10.5" customHeight="1" x14ac:dyDescent="0.2">
      <c r="G29825" s="889"/>
    </row>
    <row r="29826" spans="7:7" ht="10.5" customHeight="1" x14ac:dyDescent="0.2">
      <c r="G29826" s="889"/>
    </row>
    <row r="29827" spans="7:7" ht="10.5" customHeight="1" x14ac:dyDescent="0.2">
      <c r="G29827" s="889"/>
    </row>
    <row r="29828" spans="7:7" ht="10.5" customHeight="1" x14ac:dyDescent="0.2">
      <c r="G29828" s="889"/>
    </row>
    <row r="29829" spans="7:7" ht="10.5" customHeight="1" x14ac:dyDescent="0.2">
      <c r="G29829" s="889"/>
    </row>
    <row r="29830" spans="7:7" ht="10.5" customHeight="1" x14ac:dyDescent="0.2">
      <c r="G29830" s="889"/>
    </row>
    <row r="29831" spans="7:7" ht="10.5" customHeight="1" x14ac:dyDescent="0.2">
      <c r="G29831" s="889"/>
    </row>
    <row r="29832" spans="7:7" ht="10.5" customHeight="1" x14ac:dyDescent="0.2">
      <c r="G29832" s="889"/>
    </row>
    <row r="29833" spans="7:7" ht="10.5" customHeight="1" x14ac:dyDescent="0.2">
      <c r="G29833" s="889"/>
    </row>
    <row r="29834" spans="7:7" ht="10.5" customHeight="1" x14ac:dyDescent="0.2">
      <c r="G29834" s="889"/>
    </row>
    <row r="29835" spans="7:7" ht="10.5" customHeight="1" x14ac:dyDescent="0.2">
      <c r="G29835" s="889"/>
    </row>
    <row r="29836" spans="7:7" ht="10.5" customHeight="1" x14ac:dyDescent="0.2">
      <c r="G29836" s="889"/>
    </row>
    <row r="29837" spans="7:7" ht="10.5" customHeight="1" x14ac:dyDescent="0.2">
      <c r="G29837" s="889"/>
    </row>
    <row r="29838" spans="7:7" ht="10.5" customHeight="1" x14ac:dyDescent="0.2">
      <c r="G29838" s="889"/>
    </row>
    <row r="29839" spans="7:7" ht="10.5" customHeight="1" x14ac:dyDescent="0.2">
      <c r="G29839" s="889"/>
    </row>
    <row r="29840" spans="7:7" ht="10.5" customHeight="1" x14ac:dyDescent="0.2">
      <c r="G29840" s="889"/>
    </row>
    <row r="29841" spans="7:7" ht="10.5" customHeight="1" x14ac:dyDescent="0.2">
      <c r="G29841" s="889"/>
    </row>
    <row r="29842" spans="7:7" ht="10.5" customHeight="1" x14ac:dyDescent="0.2">
      <c r="G29842" s="889"/>
    </row>
    <row r="29843" spans="7:7" ht="10.5" customHeight="1" x14ac:dyDescent="0.2">
      <c r="G29843" s="889"/>
    </row>
    <row r="29844" spans="7:7" ht="10.5" customHeight="1" x14ac:dyDescent="0.2">
      <c r="G29844" s="889"/>
    </row>
    <row r="29845" spans="7:7" ht="10.5" customHeight="1" x14ac:dyDescent="0.2">
      <c r="G29845" s="889"/>
    </row>
    <row r="29846" spans="7:7" ht="10.5" customHeight="1" x14ac:dyDescent="0.2">
      <c r="G29846" s="889"/>
    </row>
    <row r="29847" spans="7:7" ht="10.5" customHeight="1" x14ac:dyDescent="0.2">
      <c r="G29847" s="889"/>
    </row>
    <row r="29848" spans="7:7" ht="10.5" customHeight="1" x14ac:dyDescent="0.2">
      <c r="G29848" s="889"/>
    </row>
    <row r="29849" spans="7:7" ht="10.5" customHeight="1" x14ac:dyDescent="0.2">
      <c r="G29849" s="889"/>
    </row>
    <row r="29850" spans="7:7" ht="10.5" customHeight="1" x14ac:dyDescent="0.2">
      <c r="G29850" s="889"/>
    </row>
    <row r="29851" spans="7:7" ht="10.5" customHeight="1" x14ac:dyDescent="0.2">
      <c r="G29851" s="889"/>
    </row>
    <row r="29852" spans="7:7" ht="10.5" customHeight="1" x14ac:dyDescent="0.2">
      <c r="G29852" s="889"/>
    </row>
    <row r="29853" spans="7:7" ht="10.5" customHeight="1" x14ac:dyDescent="0.2">
      <c r="G29853" s="889"/>
    </row>
    <row r="29854" spans="7:7" ht="10.5" customHeight="1" x14ac:dyDescent="0.2">
      <c r="G29854" s="889"/>
    </row>
    <row r="29855" spans="7:7" ht="10.5" customHeight="1" x14ac:dyDescent="0.2">
      <c r="G29855" s="889"/>
    </row>
    <row r="29856" spans="7:7" ht="10.5" customHeight="1" x14ac:dyDescent="0.2">
      <c r="G29856" s="889"/>
    </row>
    <row r="29857" spans="7:7" ht="10.5" customHeight="1" x14ac:dyDescent="0.2">
      <c r="G29857" s="889"/>
    </row>
    <row r="29858" spans="7:7" ht="10.5" customHeight="1" x14ac:dyDescent="0.2">
      <c r="G29858" s="889"/>
    </row>
    <row r="29859" spans="7:7" ht="10.5" customHeight="1" x14ac:dyDescent="0.2">
      <c r="G29859" s="889"/>
    </row>
    <row r="29860" spans="7:7" ht="10.5" customHeight="1" x14ac:dyDescent="0.2">
      <c r="G29860" s="889"/>
    </row>
    <row r="29861" spans="7:7" ht="10.5" customHeight="1" x14ac:dyDescent="0.2">
      <c r="G29861" s="889"/>
    </row>
    <row r="29862" spans="7:7" ht="10.5" customHeight="1" x14ac:dyDescent="0.2">
      <c r="G29862" s="889"/>
    </row>
    <row r="29863" spans="7:7" ht="10.5" customHeight="1" x14ac:dyDescent="0.2">
      <c r="G29863" s="889"/>
    </row>
    <row r="29864" spans="7:7" ht="10.5" customHeight="1" x14ac:dyDescent="0.2">
      <c r="G29864" s="889"/>
    </row>
    <row r="29865" spans="7:7" ht="10.5" customHeight="1" x14ac:dyDescent="0.2">
      <c r="G29865" s="889"/>
    </row>
    <row r="29866" spans="7:7" ht="10.5" customHeight="1" x14ac:dyDescent="0.2">
      <c r="G29866" s="889"/>
    </row>
    <row r="29867" spans="7:7" ht="10.5" customHeight="1" x14ac:dyDescent="0.2">
      <c r="G29867" s="889"/>
    </row>
    <row r="29868" spans="7:7" ht="10.5" customHeight="1" x14ac:dyDescent="0.2">
      <c r="G29868" s="889"/>
    </row>
    <row r="29869" spans="7:7" ht="10.5" customHeight="1" x14ac:dyDescent="0.2">
      <c r="G29869" s="889"/>
    </row>
    <row r="29870" spans="7:7" ht="10.5" customHeight="1" x14ac:dyDescent="0.2">
      <c r="G29870" s="889"/>
    </row>
    <row r="29871" spans="7:7" ht="10.5" customHeight="1" x14ac:dyDescent="0.2">
      <c r="G29871" s="889"/>
    </row>
    <row r="29872" spans="7:7" ht="10.5" customHeight="1" x14ac:dyDescent="0.2">
      <c r="G29872" s="889"/>
    </row>
    <row r="29873" spans="7:7" ht="10.5" customHeight="1" x14ac:dyDescent="0.2">
      <c r="G29873" s="889"/>
    </row>
    <row r="29874" spans="7:7" ht="10.5" customHeight="1" x14ac:dyDescent="0.2">
      <c r="G29874" s="889"/>
    </row>
    <row r="29875" spans="7:7" ht="10.5" customHeight="1" x14ac:dyDescent="0.2">
      <c r="G29875" s="889"/>
    </row>
    <row r="29876" spans="7:7" ht="10.5" customHeight="1" x14ac:dyDescent="0.2">
      <c r="G29876" s="889"/>
    </row>
    <row r="29877" spans="7:7" ht="10.5" customHeight="1" x14ac:dyDescent="0.2">
      <c r="G29877" s="889"/>
    </row>
    <row r="29878" spans="7:7" ht="10.5" customHeight="1" x14ac:dyDescent="0.2">
      <c r="G29878" s="889"/>
    </row>
    <row r="29879" spans="7:7" ht="10.5" customHeight="1" x14ac:dyDescent="0.2">
      <c r="G29879" s="889"/>
    </row>
    <row r="29880" spans="7:7" ht="10.5" customHeight="1" x14ac:dyDescent="0.2">
      <c r="G29880" s="889"/>
    </row>
    <row r="29881" spans="7:7" ht="10.5" customHeight="1" x14ac:dyDescent="0.2">
      <c r="G29881" s="889"/>
    </row>
    <row r="29882" spans="7:7" ht="10.5" customHeight="1" x14ac:dyDescent="0.2">
      <c r="G29882" s="889"/>
    </row>
    <row r="29883" spans="7:7" ht="10.5" customHeight="1" x14ac:dyDescent="0.2">
      <c r="G29883" s="889"/>
    </row>
    <row r="29884" spans="7:7" ht="10.5" customHeight="1" x14ac:dyDescent="0.2">
      <c r="G29884" s="889"/>
    </row>
    <row r="29885" spans="7:7" ht="10.5" customHeight="1" x14ac:dyDescent="0.2">
      <c r="G29885" s="889"/>
    </row>
    <row r="29886" spans="7:7" ht="10.5" customHeight="1" x14ac:dyDescent="0.2">
      <c r="G29886" s="889"/>
    </row>
    <row r="29887" spans="7:7" ht="10.5" customHeight="1" x14ac:dyDescent="0.2">
      <c r="G29887" s="889"/>
    </row>
    <row r="29888" spans="7:7" ht="10.5" customHeight="1" x14ac:dyDescent="0.2">
      <c r="G29888" s="889"/>
    </row>
    <row r="29889" spans="7:7" ht="10.5" customHeight="1" x14ac:dyDescent="0.2">
      <c r="G29889" s="889"/>
    </row>
    <row r="29890" spans="7:7" ht="10.5" customHeight="1" x14ac:dyDescent="0.2">
      <c r="G29890" s="889"/>
    </row>
    <row r="29891" spans="7:7" ht="10.5" customHeight="1" x14ac:dyDescent="0.2">
      <c r="G29891" s="889"/>
    </row>
    <row r="29892" spans="7:7" ht="10.5" customHeight="1" x14ac:dyDescent="0.2">
      <c r="G29892" s="889"/>
    </row>
    <row r="29893" spans="7:7" ht="10.5" customHeight="1" x14ac:dyDescent="0.2">
      <c r="G29893" s="889"/>
    </row>
    <row r="29894" spans="7:7" ht="10.5" customHeight="1" x14ac:dyDescent="0.2">
      <c r="G29894" s="889"/>
    </row>
    <row r="29895" spans="7:7" ht="10.5" customHeight="1" x14ac:dyDescent="0.2">
      <c r="G29895" s="889"/>
    </row>
    <row r="29896" spans="7:7" ht="10.5" customHeight="1" x14ac:dyDescent="0.2">
      <c r="G29896" s="889"/>
    </row>
    <row r="29897" spans="7:7" ht="10.5" customHeight="1" x14ac:dyDescent="0.2">
      <c r="G29897" s="889"/>
    </row>
    <row r="29898" spans="7:7" ht="10.5" customHeight="1" x14ac:dyDescent="0.2">
      <c r="G29898" s="889"/>
    </row>
    <row r="29899" spans="7:7" ht="10.5" customHeight="1" x14ac:dyDescent="0.2">
      <c r="G29899" s="889"/>
    </row>
    <row r="29900" spans="7:7" ht="10.5" customHeight="1" x14ac:dyDescent="0.2">
      <c r="G29900" s="889"/>
    </row>
    <row r="29901" spans="7:7" ht="10.5" customHeight="1" x14ac:dyDescent="0.2">
      <c r="G29901" s="889"/>
    </row>
    <row r="29902" spans="7:7" ht="10.5" customHeight="1" x14ac:dyDescent="0.2">
      <c r="G29902" s="889"/>
    </row>
    <row r="29903" spans="7:7" ht="10.5" customHeight="1" x14ac:dyDescent="0.2">
      <c r="G29903" s="889"/>
    </row>
    <row r="29904" spans="7:7" ht="10.5" customHeight="1" x14ac:dyDescent="0.2">
      <c r="G29904" s="889"/>
    </row>
    <row r="29905" spans="7:7" ht="10.5" customHeight="1" x14ac:dyDescent="0.2">
      <c r="G29905" s="889"/>
    </row>
    <row r="29906" spans="7:7" ht="10.5" customHeight="1" x14ac:dyDescent="0.2">
      <c r="G29906" s="889"/>
    </row>
    <row r="29907" spans="7:7" ht="10.5" customHeight="1" x14ac:dyDescent="0.2">
      <c r="G29907" s="889"/>
    </row>
    <row r="29908" spans="7:7" ht="10.5" customHeight="1" x14ac:dyDescent="0.2">
      <c r="G29908" s="889"/>
    </row>
    <row r="29909" spans="7:7" ht="10.5" customHeight="1" x14ac:dyDescent="0.2">
      <c r="G29909" s="889"/>
    </row>
    <row r="29910" spans="7:7" ht="10.5" customHeight="1" x14ac:dyDescent="0.2">
      <c r="G29910" s="889"/>
    </row>
    <row r="29911" spans="7:7" ht="10.5" customHeight="1" x14ac:dyDescent="0.2">
      <c r="G29911" s="889"/>
    </row>
    <row r="29912" spans="7:7" ht="10.5" customHeight="1" x14ac:dyDescent="0.2">
      <c r="G29912" s="889"/>
    </row>
    <row r="29913" spans="7:7" ht="10.5" customHeight="1" x14ac:dyDescent="0.2">
      <c r="G29913" s="889"/>
    </row>
    <row r="29914" spans="7:7" ht="10.5" customHeight="1" x14ac:dyDescent="0.2">
      <c r="G29914" s="889"/>
    </row>
    <row r="29915" spans="7:7" ht="10.5" customHeight="1" x14ac:dyDescent="0.2">
      <c r="G29915" s="889"/>
    </row>
    <row r="29916" spans="7:7" ht="10.5" customHeight="1" x14ac:dyDescent="0.2">
      <c r="G29916" s="889"/>
    </row>
    <row r="29917" spans="7:7" ht="10.5" customHeight="1" x14ac:dyDescent="0.2">
      <c r="G29917" s="889"/>
    </row>
    <row r="29918" spans="7:7" ht="10.5" customHeight="1" x14ac:dyDescent="0.2">
      <c r="G29918" s="889"/>
    </row>
    <row r="29919" spans="7:7" ht="10.5" customHeight="1" x14ac:dyDescent="0.2">
      <c r="G29919" s="889"/>
    </row>
    <row r="29920" spans="7:7" ht="10.5" customHeight="1" x14ac:dyDescent="0.2">
      <c r="G29920" s="889"/>
    </row>
    <row r="29921" spans="7:7" ht="10.5" customHeight="1" x14ac:dyDescent="0.2">
      <c r="G29921" s="889"/>
    </row>
    <row r="29922" spans="7:7" ht="10.5" customHeight="1" x14ac:dyDescent="0.2">
      <c r="G29922" s="889"/>
    </row>
    <row r="29923" spans="7:7" ht="10.5" customHeight="1" x14ac:dyDescent="0.2">
      <c r="G29923" s="889"/>
    </row>
    <row r="29924" spans="7:7" ht="10.5" customHeight="1" x14ac:dyDescent="0.2">
      <c r="G29924" s="889"/>
    </row>
    <row r="29925" spans="7:7" ht="10.5" customHeight="1" x14ac:dyDescent="0.2">
      <c r="G29925" s="889"/>
    </row>
    <row r="29926" spans="7:7" ht="10.5" customHeight="1" x14ac:dyDescent="0.2">
      <c r="G29926" s="889"/>
    </row>
    <row r="29927" spans="7:7" ht="10.5" customHeight="1" x14ac:dyDescent="0.2">
      <c r="G29927" s="889"/>
    </row>
    <row r="29928" spans="7:7" ht="10.5" customHeight="1" x14ac:dyDescent="0.2">
      <c r="G29928" s="889"/>
    </row>
    <row r="29929" spans="7:7" ht="10.5" customHeight="1" x14ac:dyDescent="0.2">
      <c r="G29929" s="889"/>
    </row>
    <row r="29930" spans="7:7" ht="10.5" customHeight="1" x14ac:dyDescent="0.2">
      <c r="G29930" s="889"/>
    </row>
    <row r="29931" spans="7:7" ht="10.5" customHeight="1" x14ac:dyDescent="0.2">
      <c r="G29931" s="889"/>
    </row>
    <row r="29932" spans="7:7" ht="10.5" customHeight="1" x14ac:dyDescent="0.2">
      <c r="G29932" s="889"/>
    </row>
    <row r="29933" spans="7:7" ht="10.5" customHeight="1" x14ac:dyDescent="0.2">
      <c r="G29933" s="889"/>
    </row>
    <row r="29934" spans="7:7" ht="10.5" customHeight="1" x14ac:dyDescent="0.2">
      <c r="G29934" s="889"/>
    </row>
    <row r="29935" spans="7:7" ht="10.5" customHeight="1" x14ac:dyDescent="0.2">
      <c r="G29935" s="889"/>
    </row>
    <row r="29936" spans="7:7" ht="10.5" customHeight="1" x14ac:dyDescent="0.2">
      <c r="G29936" s="889"/>
    </row>
    <row r="29937" spans="7:7" ht="10.5" customHeight="1" x14ac:dyDescent="0.2">
      <c r="G29937" s="889"/>
    </row>
    <row r="29938" spans="7:7" ht="10.5" customHeight="1" x14ac:dyDescent="0.2">
      <c r="G29938" s="889"/>
    </row>
    <row r="29939" spans="7:7" ht="10.5" customHeight="1" x14ac:dyDescent="0.2">
      <c r="G29939" s="889"/>
    </row>
    <row r="29940" spans="7:7" ht="10.5" customHeight="1" x14ac:dyDescent="0.2">
      <c r="G29940" s="889"/>
    </row>
    <row r="29941" spans="7:7" ht="10.5" customHeight="1" x14ac:dyDescent="0.2">
      <c r="G29941" s="889"/>
    </row>
    <row r="29942" spans="7:7" ht="10.5" customHeight="1" x14ac:dyDescent="0.2">
      <c r="G29942" s="889"/>
    </row>
    <row r="29943" spans="7:7" ht="10.5" customHeight="1" x14ac:dyDescent="0.2">
      <c r="G29943" s="889"/>
    </row>
    <row r="29944" spans="7:7" ht="10.5" customHeight="1" x14ac:dyDescent="0.2">
      <c r="G29944" s="889"/>
    </row>
    <row r="29945" spans="7:7" ht="10.5" customHeight="1" x14ac:dyDescent="0.2">
      <c r="G29945" s="889"/>
    </row>
    <row r="29946" spans="7:7" ht="10.5" customHeight="1" x14ac:dyDescent="0.2">
      <c r="G29946" s="889"/>
    </row>
    <row r="29947" spans="7:7" ht="10.5" customHeight="1" x14ac:dyDescent="0.2">
      <c r="G29947" s="889"/>
    </row>
    <row r="29948" spans="7:7" ht="10.5" customHeight="1" x14ac:dyDescent="0.2">
      <c r="G29948" s="889"/>
    </row>
    <row r="29949" spans="7:7" ht="10.5" customHeight="1" x14ac:dyDescent="0.2">
      <c r="G29949" s="889"/>
    </row>
    <row r="29950" spans="7:7" ht="10.5" customHeight="1" x14ac:dyDescent="0.2">
      <c r="G29950" s="889"/>
    </row>
    <row r="29951" spans="7:7" ht="10.5" customHeight="1" x14ac:dyDescent="0.2">
      <c r="G29951" s="889"/>
    </row>
    <row r="29952" spans="7:7" ht="10.5" customHeight="1" x14ac:dyDescent="0.2">
      <c r="G29952" s="889"/>
    </row>
    <row r="29953" spans="7:7" ht="10.5" customHeight="1" x14ac:dyDescent="0.2">
      <c r="G29953" s="889"/>
    </row>
    <row r="29954" spans="7:7" ht="10.5" customHeight="1" x14ac:dyDescent="0.2">
      <c r="G29954" s="889"/>
    </row>
    <row r="29955" spans="7:7" ht="10.5" customHeight="1" x14ac:dyDescent="0.2">
      <c r="G29955" s="889"/>
    </row>
    <row r="29956" spans="7:7" ht="10.5" customHeight="1" x14ac:dyDescent="0.2">
      <c r="G29956" s="889"/>
    </row>
    <row r="29957" spans="7:7" ht="10.5" customHeight="1" x14ac:dyDescent="0.2">
      <c r="G29957" s="889"/>
    </row>
    <row r="29958" spans="7:7" ht="10.5" customHeight="1" x14ac:dyDescent="0.2">
      <c r="G29958" s="889"/>
    </row>
    <row r="29959" spans="7:7" ht="10.5" customHeight="1" x14ac:dyDescent="0.2">
      <c r="G29959" s="889"/>
    </row>
    <row r="29960" spans="7:7" ht="10.5" customHeight="1" x14ac:dyDescent="0.2">
      <c r="G29960" s="889"/>
    </row>
    <row r="29961" spans="7:7" ht="10.5" customHeight="1" x14ac:dyDescent="0.2">
      <c r="G29961" s="889"/>
    </row>
    <row r="29962" spans="7:7" ht="10.5" customHeight="1" x14ac:dyDescent="0.2">
      <c r="G29962" s="889"/>
    </row>
    <row r="29963" spans="7:7" ht="10.5" customHeight="1" x14ac:dyDescent="0.2">
      <c r="G29963" s="889"/>
    </row>
    <row r="29964" spans="7:7" ht="10.5" customHeight="1" x14ac:dyDescent="0.2">
      <c r="G29964" s="889"/>
    </row>
    <row r="29965" spans="7:7" ht="10.5" customHeight="1" x14ac:dyDescent="0.2">
      <c r="G29965" s="889"/>
    </row>
    <row r="29966" spans="7:7" ht="10.5" customHeight="1" x14ac:dyDescent="0.2">
      <c r="G29966" s="889"/>
    </row>
    <row r="29967" spans="7:7" ht="10.5" customHeight="1" x14ac:dyDescent="0.2">
      <c r="G29967" s="889"/>
    </row>
    <row r="29968" spans="7:7" ht="10.5" customHeight="1" x14ac:dyDescent="0.2">
      <c r="G29968" s="889"/>
    </row>
    <row r="29969" spans="7:7" ht="10.5" customHeight="1" x14ac:dyDescent="0.2">
      <c r="G29969" s="889"/>
    </row>
    <row r="29970" spans="7:7" ht="10.5" customHeight="1" x14ac:dyDescent="0.2">
      <c r="G29970" s="889"/>
    </row>
    <row r="29971" spans="7:7" ht="10.5" customHeight="1" x14ac:dyDescent="0.2">
      <c r="G29971" s="889"/>
    </row>
    <row r="29972" spans="7:7" ht="10.5" customHeight="1" x14ac:dyDescent="0.2">
      <c r="G29972" s="889"/>
    </row>
    <row r="29973" spans="7:7" ht="10.5" customHeight="1" x14ac:dyDescent="0.2">
      <c r="G29973" s="889"/>
    </row>
    <row r="29974" spans="7:7" ht="10.5" customHeight="1" x14ac:dyDescent="0.2">
      <c r="G29974" s="889"/>
    </row>
    <row r="29975" spans="7:7" ht="10.5" customHeight="1" x14ac:dyDescent="0.2">
      <c r="G29975" s="889"/>
    </row>
    <row r="29976" spans="7:7" ht="10.5" customHeight="1" x14ac:dyDescent="0.2">
      <c r="G29976" s="889"/>
    </row>
    <row r="29977" spans="7:7" ht="10.5" customHeight="1" x14ac:dyDescent="0.2">
      <c r="G29977" s="889"/>
    </row>
    <row r="29978" spans="7:7" ht="10.5" customHeight="1" x14ac:dyDescent="0.2">
      <c r="G29978" s="889"/>
    </row>
    <row r="29979" spans="7:7" ht="10.5" customHeight="1" x14ac:dyDescent="0.2">
      <c r="G29979" s="889"/>
    </row>
    <row r="29980" spans="7:7" ht="10.5" customHeight="1" x14ac:dyDescent="0.2">
      <c r="G29980" s="889"/>
    </row>
    <row r="29981" spans="7:7" ht="10.5" customHeight="1" x14ac:dyDescent="0.2">
      <c r="G29981" s="889"/>
    </row>
    <row r="29982" spans="7:7" ht="10.5" customHeight="1" x14ac:dyDescent="0.2">
      <c r="G29982" s="889"/>
    </row>
    <row r="29983" spans="7:7" ht="10.5" customHeight="1" x14ac:dyDescent="0.2">
      <c r="G29983" s="889"/>
    </row>
    <row r="29984" spans="7:7" ht="10.5" customHeight="1" x14ac:dyDescent="0.2">
      <c r="G29984" s="889"/>
    </row>
    <row r="29985" spans="7:7" ht="10.5" customHeight="1" x14ac:dyDescent="0.2">
      <c r="G29985" s="889"/>
    </row>
    <row r="29986" spans="7:7" ht="10.5" customHeight="1" x14ac:dyDescent="0.2">
      <c r="G29986" s="889"/>
    </row>
    <row r="29987" spans="7:7" ht="10.5" customHeight="1" x14ac:dyDescent="0.2">
      <c r="G29987" s="889"/>
    </row>
    <row r="29988" spans="7:7" ht="10.5" customHeight="1" x14ac:dyDescent="0.2">
      <c r="G29988" s="889"/>
    </row>
    <row r="29989" spans="7:7" ht="10.5" customHeight="1" x14ac:dyDescent="0.2">
      <c r="G29989" s="889"/>
    </row>
    <row r="29990" spans="7:7" ht="10.5" customHeight="1" x14ac:dyDescent="0.2">
      <c r="G29990" s="889"/>
    </row>
    <row r="29991" spans="7:7" ht="10.5" customHeight="1" x14ac:dyDescent="0.2">
      <c r="G29991" s="889"/>
    </row>
    <row r="29992" spans="7:7" ht="10.5" customHeight="1" x14ac:dyDescent="0.2">
      <c r="G29992" s="889"/>
    </row>
    <row r="29993" spans="7:7" ht="10.5" customHeight="1" x14ac:dyDescent="0.2">
      <c r="G29993" s="889"/>
    </row>
    <row r="29994" spans="7:7" ht="10.5" customHeight="1" x14ac:dyDescent="0.2">
      <c r="G29994" s="889"/>
    </row>
    <row r="29995" spans="7:7" ht="10.5" customHeight="1" x14ac:dyDescent="0.2">
      <c r="G29995" s="889"/>
    </row>
    <row r="29996" spans="7:7" ht="10.5" customHeight="1" x14ac:dyDescent="0.2">
      <c r="G29996" s="889"/>
    </row>
    <row r="29997" spans="7:7" ht="10.5" customHeight="1" x14ac:dyDescent="0.2">
      <c r="G29997" s="889"/>
    </row>
    <row r="29998" spans="7:7" ht="10.5" customHeight="1" x14ac:dyDescent="0.2">
      <c r="G29998" s="889"/>
    </row>
    <row r="29999" spans="7:7" ht="10.5" customHeight="1" x14ac:dyDescent="0.2">
      <c r="G29999" s="889"/>
    </row>
    <row r="30000" spans="7:7" ht="10.5" customHeight="1" x14ac:dyDescent="0.2">
      <c r="G30000" s="889"/>
    </row>
    <row r="30001" spans="7:7" ht="10.5" customHeight="1" x14ac:dyDescent="0.2">
      <c r="G30001" s="889"/>
    </row>
    <row r="30002" spans="7:7" ht="10.5" customHeight="1" x14ac:dyDescent="0.2">
      <c r="G30002" s="889"/>
    </row>
    <row r="30003" spans="7:7" ht="10.5" customHeight="1" x14ac:dyDescent="0.2">
      <c r="G30003" s="889"/>
    </row>
    <row r="30004" spans="7:7" ht="10.5" customHeight="1" x14ac:dyDescent="0.2">
      <c r="G30004" s="889"/>
    </row>
    <row r="30005" spans="7:7" ht="10.5" customHeight="1" x14ac:dyDescent="0.2">
      <c r="G30005" s="889"/>
    </row>
    <row r="30006" spans="7:7" ht="10.5" customHeight="1" x14ac:dyDescent="0.2">
      <c r="G30006" s="889"/>
    </row>
    <row r="30007" spans="7:7" ht="10.5" customHeight="1" x14ac:dyDescent="0.2">
      <c r="G30007" s="889"/>
    </row>
    <row r="30008" spans="7:7" ht="10.5" customHeight="1" x14ac:dyDescent="0.2">
      <c r="G30008" s="889"/>
    </row>
    <row r="30009" spans="7:7" ht="10.5" customHeight="1" x14ac:dyDescent="0.2">
      <c r="G30009" s="889"/>
    </row>
    <row r="30010" spans="7:7" ht="10.5" customHeight="1" x14ac:dyDescent="0.2">
      <c r="G30010" s="889"/>
    </row>
    <row r="30011" spans="7:7" ht="10.5" customHeight="1" x14ac:dyDescent="0.2">
      <c r="G30011" s="889"/>
    </row>
    <row r="30012" spans="7:7" ht="10.5" customHeight="1" x14ac:dyDescent="0.2">
      <c r="G30012" s="889"/>
    </row>
    <row r="30013" spans="7:7" ht="10.5" customHeight="1" x14ac:dyDescent="0.2">
      <c r="G30013" s="889"/>
    </row>
    <row r="30014" spans="7:7" ht="10.5" customHeight="1" x14ac:dyDescent="0.2">
      <c r="G30014" s="889"/>
    </row>
    <row r="30015" spans="7:7" ht="10.5" customHeight="1" x14ac:dyDescent="0.2">
      <c r="G30015" s="889"/>
    </row>
    <row r="30016" spans="7:7" ht="10.5" customHeight="1" x14ac:dyDescent="0.2">
      <c r="G30016" s="889"/>
    </row>
    <row r="30017" spans="7:7" ht="10.5" customHeight="1" x14ac:dyDescent="0.2">
      <c r="G30017" s="889"/>
    </row>
    <row r="30018" spans="7:7" ht="10.5" customHeight="1" x14ac:dyDescent="0.2">
      <c r="G30018" s="889"/>
    </row>
    <row r="30019" spans="7:7" ht="10.5" customHeight="1" x14ac:dyDescent="0.2">
      <c r="G30019" s="889"/>
    </row>
    <row r="30020" spans="7:7" ht="10.5" customHeight="1" x14ac:dyDescent="0.2">
      <c r="G30020" s="889"/>
    </row>
    <row r="30021" spans="7:7" ht="10.5" customHeight="1" x14ac:dyDescent="0.2">
      <c r="G30021" s="889"/>
    </row>
    <row r="30022" spans="7:7" ht="10.5" customHeight="1" x14ac:dyDescent="0.2">
      <c r="G30022" s="889"/>
    </row>
    <row r="30023" spans="7:7" ht="10.5" customHeight="1" x14ac:dyDescent="0.2">
      <c r="G30023" s="889"/>
    </row>
    <row r="30024" spans="7:7" ht="10.5" customHeight="1" x14ac:dyDescent="0.2">
      <c r="G30024" s="889"/>
    </row>
    <row r="30025" spans="7:7" ht="10.5" customHeight="1" x14ac:dyDescent="0.2">
      <c r="G30025" s="889"/>
    </row>
    <row r="30026" spans="7:7" ht="10.5" customHeight="1" x14ac:dyDescent="0.2">
      <c r="G30026" s="889"/>
    </row>
    <row r="30027" spans="7:7" ht="10.5" customHeight="1" x14ac:dyDescent="0.2">
      <c r="G30027" s="889"/>
    </row>
    <row r="30028" spans="7:7" ht="10.5" customHeight="1" x14ac:dyDescent="0.2">
      <c r="G30028" s="889"/>
    </row>
    <row r="30029" spans="7:7" ht="10.5" customHeight="1" x14ac:dyDescent="0.2">
      <c r="G30029" s="889"/>
    </row>
    <row r="30030" spans="7:7" ht="10.5" customHeight="1" x14ac:dyDescent="0.2">
      <c r="G30030" s="889"/>
    </row>
    <row r="30031" spans="7:7" ht="10.5" customHeight="1" x14ac:dyDescent="0.2">
      <c r="G30031" s="889"/>
    </row>
    <row r="30032" spans="7:7" ht="10.5" customHeight="1" x14ac:dyDescent="0.2">
      <c r="G30032" s="889"/>
    </row>
    <row r="30033" spans="7:7" ht="10.5" customHeight="1" x14ac:dyDescent="0.2">
      <c r="G30033" s="889"/>
    </row>
    <row r="30034" spans="7:7" ht="10.5" customHeight="1" x14ac:dyDescent="0.2">
      <c r="G30034" s="889"/>
    </row>
    <row r="30035" spans="7:7" ht="10.5" customHeight="1" x14ac:dyDescent="0.2">
      <c r="G30035" s="889"/>
    </row>
    <row r="30036" spans="7:7" ht="10.5" customHeight="1" x14ac:dyDescent="0.2">
      <c r="G30036" s="889"/>
    </row>
    <row r="30037" spans="7:7" ht="10.5" customHeight="1" x14ac:dyDescent="0.2">
      <c r="G30037" s="889"/>
    </row>
    <row r="30038" spans="7:7" ht="10.5" customHeight="1" x14ac:dyDescent="0.2">
      <c r="G30038" s="889"/>
    </row>
    <row r="30039" spans="7:7" ht="10.5" customHeight="1" x14ac:dyDescent="0.2">
      <c r="G30039" s="889"/>
    </row>
    <row r="30040" spans="7:7" ht="10.5" customHeight="1" x14ac:dyDescent="0.2">
      <c r="G30040" s="889"/>
    </row>
    <row r="30041" spans="7:7" ht="10.5" customHeight="1" x14ac:dyDescent="0.2">
      <c r="G30041" s="889"/>
    </row>
    <row r="30042" spans="7:7" ht="10.5" customHeight="1" x14ac:dyDescent="0.2">
      <c r="G30042" s="889"/>
    </row>
    <row r="30043" spans="7:7" ht="10.5" customHeight="1" x14ac:dyDescent="0.2">
      <c r="G30043" s="889"/>
    </row>
    <row r="30044" spans="7:7" ht="10.5" customHeight="1" x14ac:dyDescent="0.2">
      <c r="G30044" s="889"/>
    </row>
    <row r="30045" spans="7:7" ht="10.5" customHeight="1" x14ac:dyDescent="0.2">
      <c r="G30045" s="889"/>
    </row>
    <row r="30046" spans="7:7" ht="10.5" customHeight="1" x14ac:dyDescent="0.2">
      <c r="G30046" s="889"/>
    </row>
    <row r="30047" spans="7:7" ht="10.5" customHeight="1" x14ac:dyDescent="0.2">
      <c r="G30047" s="889"/>
    </row>
    <row r="30048" spans="7:7" ht="10.5" customHeight="1" x14ac:dyDescent="0.2">
      <c r="G30048" s="889"/>
    </row>
    <row r="30049" spans="7:7" ht="10.5" customHeight="1" x14ac:dyDescent="0.2">
      <c r="G30049" s="889"/>
    </row>
    <row r="30050" spans="7:7" ht="10.5" customHeight="1" x14ac:dyDescent="0.2">
      <c r="G30050" s="889"/>
    </row>
    <row r="30051" spans="7:7" ht="10.5" customHeight="1" x14ac:dyDescent="0.2">
      <c r="G30051" s="889"/>
    </row>
    <row r="30052" spans="7:7" ht="10.5" customHeight="1" x14ac:dyDescent="0.2">
      <c r="G30052" s="889"/>
    </row>
    <row r="30053" spans="7:7" ht="10.5" customHeight="1" x14ac:dyDescent="0.2">
      <c r="G30053" s="889"/>
    </row>
    <row r="30054" spans="7:7" ht="10.5" customHeight="1" x14ac:dyDescent="0.2">
      <c r="G30054" s="889"/>
    </row>
    <row r="30055" spans="7:7" ht="10.5" customHeight="1" x14ac:dyDescent="0.2">
      <c r="G30055" s="889"/>
    </row>
    <row r="30056" spans="7:7" ht="10.5" customHeight="1" x14ac:dyDescent="0.2">
      <c r="G30056" s="889"/>
    </row>
    <row r="30057" spans="7:7" ht="10.5" customHeight="1" x14ac:dyDescent="0.2">
      <c r="G30057" s="889"/>
    </row>
    <row r="30058" spans="7:7" ht="10.5" customHeight="1" x14ac:dyDescent="0.2">
      <c r="G30058" s="889"/>
    </row>
    <row r="30059" spans="7:7" ht="10.5" customHeight="1" x14ac:dyDescent="0.2">
      <c r="G30059" s="889"/>
    </row>
    <row r="30060" spans="7:7" ht="10.5" customHeight="1" x14ac:dyDescent="0.2">
      <c r="G30060" s="889"/>
    </row>
    <row r="30061" spans="7:7" ht="10.5" customHeight="1" x14ac:dyDescent="0.2">
      <c r="G30061" s="889"/>
    </row>
    <row r="30062" spans="7:7" ht="10.5" customHeight="1" x14ac:dyDescent="0.2">
      <c r="G30062" s="889"/>
    </row>
    <row r="30063" spans="7:7" ht="10.5" customHeight="1" x14ac:dyDescent="0.2">
      <c r="G30063" s="889"/>
    </row>
    <row r="30064" spans="7:7" ht="10.5" customHeight="1" x14ac:dyDescent="0.2">
      <c r="G30064" s="889"/>
    </row>
    <row r="30065" spans="7:7" ht="10.5" customHeight="1" x14ac:dyDescent="0.2">
      <c r="G30065" s="889"/>
    </row>
    <row r="30066" spans="7:7" ht="10.5" customHeight="1" x14ac:dyDescent="0.2">
      <c r="G30066" s="889"/>
    </row>
    <row r="30067" spans="7:7" ht="10.5" customHeight="1" x14ac:dyDescent="0.2">
      <c r="G30067" s="889"/>
    </row>
    <row r="30068" spans="7:7" ht="10.5" customHeight="1" x14ac:dyDescent="0.2">
      <c r="G30068" s="889"/>
    </row>
    <row r="30069" spans="7:7" ht="10.5" customHeight="1" x14ac:dyDescent="0.2">
      <c r="G30069" s="889"/>
    </row>
    <row r="30070" spans="7:7" ht="10.5" customHeight="1" x14ac:dyDescent="0.2">
      <c r="G30070" s="889"/>
    </row>
    <row r="30071" spans="7:7" ht="10.5" customHeight="1" x14ac:dyDescent="0.2">
      <c r="G30071" s="889"/>
    </row>
    <row r="30072" spans="7:7" ht="10.5" customHeight="1" x14ac:dyDescent="0.2">
      <c r="G30072" s="889"/>
    </row>
    <row r="30073" spans="7:7" ht="10.5" customHeight="1" x14ac:dyDescent="0.2">
      <c r="G30073" s="889"/>
    </row>
    <row r="30074" spans="7:7" ht="10.5" customHeight="1" x14ac:dyDescent="0.2">
      <c r="G30074" s="889"/>
    </row>
    <row r="30075" spans="7:7" ht="10.5" customHeight="1" x14ac:dyDescent="0.2">
      <c r="G30075" s="889"/>
    </row>
    <row r="30076" spans="7:7" ht="10.5" customHeight="1" x14ac:dyDescent="0.2">
      <c r="G30076" s="889"/>
    </row>
    <row r="30077" spans="7:7" ht="10.5" customHeight="1" x14ac:dyDescent="0.2">
      <c r="G30077" s="889"/>
    </row>
    <row r="30078" spans="7:7" ht="10.5" customHeight="1" x14ac:dyDescent="0.2">
      <c r="G30078" s="889"/>
    </row>
    <row r="30079" spans="7:7" ht="10.5" customHeight="1" x14ac:dyDescent="0.2">
      <c r="G30079" s="889"/>
    </row>
    <row r="30080" spans="7:7" ht="10.5" customHeight="1" x14ac:dyDescent="0.2">
      <c r="G30080" s="889"/>
    </row>
    <row r="30081" spans="7:7" ht="10.5" customHeight="1" x14ac:dyDescent="0.2">
      <c r="G30081" s="889"/>
    </row>
    <row r="30082" spans="7:7" ht="10.5" customHeight="1" x14ac:dyDescent="0.2">
      <c r="G30082" s="889"/>
    </row>
    <row r="30083" spans="7:7" ht="10.5" customHeight="1" x14ac:dyDescent="0.2">
      <c r="G30083" s="889"/>
    </row>
    <row r="30084" spans="7:7" ht="10.5" customHeight="1" x14ac:dyDescent="0.2">
      <c r="G30084" s="889"/>
    </row>
    <row r="30085" spans="7:7" ht="10.5" customHeight="1" x14ac:dyDescent="0.2">
      <c r="G30085" s="889"/>
    </row>
    <row r="30086" spans="7:7" ht="10.5" customHeight="1" x14ac:dyDescent="0.2">
      <c r="G30086" s="889"/>
    </row>
    <row r="30087" spans="7:7" ht="10.5" customHeight="1" x14ac:dyDescent="0.2">
      <c r="G30087" s="889"/>
    </row>
    <row r="30088" spans="7:7" ht="10.5" customHeight="1" x14ac:dyDescent="0.2">
      <c r="G30088" s="889"/>
    </row>
    <row r="30089" spans="7:7" ht="10.5" customHeight="1" x14ac:dyDescent="0.2">
      <c r="G30089" s="889"/>
    </row>
    <row r="30090" spans="7:7" ht="10.5" customHeight="1" x14ac:dyDescent="0.2">
      <c r="G30090" s="889"/>
    </row>
    <row r="30091" spans="7:7" ht="10.5" customHeight="1" x14ac:dyDescent="0.2">
      <c r="G30091" s="889"/>
    </row>
    <row r="30092" spans="7:7" ht="10.5" customHeight="1" x14ac:dyDescent="0.2">
      <c r="G30092" s="889"/>
    </row>
    <row r="30093" spans="7:7" ht="10.5" customHeight="1" x14ac:dyDescent="0.2">
      <c r="G30093" s="889"/>
    </row>
    <row r="30094" spans="7:7" ht="10.5" customHeight="1" x14ac:dyDescent="0.2">
      <c r="G30094" s="889"/>
    </row>
    <row r="30095" spans="7:7" ht="10.5" customHeight="1" x14ac:dyDescent="0.2">
      <c r="G30095" s="889"/>
    </row>
    <row r="30096" spans="7:7" ht="10.5" customHeight="1" x14ac:dyDescent="0.2">
      <c r="G30096" s="889"/>
    </row>
    <row r="30097" spans="7:7" ht="10.5" customHeight="1" x14ac:dyDescent="0.2">
      <c r="G30097" s="889"/>
    </row>
    <row r="30098" spans="7:7" ht="10.5" customHeight="1" x14ac:dyDescent="0.2">
      <c r="G30098" s="889"/>
    </row>
    <row r="30099" spans="7:7" ht="10.5" customHeight="1" x14ac:dyDescent="0.2">
      <c r="G30099" s="889"/>
    </row>
    <row r="30100" spans="7:7" ht="10.5" customHeight="1" x14ac:dyDescent="0.2">
      <c r="G30100" s="889"/>
    </row>
    <row r="30101" spans="7:7" ht="10.5" customHeight="1" x14ac:dyDescent="0.2">
      <c r="G30101" s="889"/>
    </row>
    <row r="30102" spans="7:7" ht="10.5" customHeight="1" x14ac:dyDescent="0.2">
      <c r="G30102" s="889"/>
    </row>
    <row r="30103" spans="7:7" ht="10.5" customHeight="1" x14ac:dyDescent="0.2">
      <c r="G30103" s="889"/>
    </row>
    <row r="30104" spans="7:7" ht="10.5" customHeight="1" x14ac:dyDescent="0.2">
      <c r="G30104" s="889"/>
    </row>
    <row r="30105" spans="7:7" ht="10.5" customHeight="1" x14ac:dyDescent="0.2">
      <c r="G30105" s="889"/>
    </row>
    <row r="30106" spans="7:7" ht="10.5" customHeight="1" x14ac:dyDescent="0.2">
      <c r="G30106" s="889"/>
    </row>
    <row r="30107" spans="7:7" ht="10.5" customHeight="1" x14ac:dyDescent="0.2">
      <c r="G30107" s="889"/>
    </row>
    <row r="30108" spans="7:7" ht="10.5" customHeight="1" x14ac:dyDescent="0.2">
      <c r="G30108" s="889"/>
    </row>
    <row r="30109" spans="7:7" ht="10.5" customHeight="1" x14ac:dyDescent="0.2">
      <c r="G30109" s="889"/>
    </row>
    <row r="30110" spans="7:7" ht="10.5" customHeight="1" x14ac:dyDescent="0.2">
      <c r="G30110" s="889"/>
    </row>
    <row r="30111" spans="7:7" ht="10.5" customHeight="1" x14ac:dyDescent="0.2">
      <c r="G30111" s="889"/>
    </row>
    <row r="30112" spans="7:7" ht="10.5" customHeight="1" x14ac:dyDescent="0.2">
      <c r="G30112" s="889"/>
    </row>
    <row r="30113" spans="7:7" ht="10.5" customHeight="1" x14ac:dyDescent="0.2">
      <c r="G30113" s="889"/>
    </row>
    <row r="30114" spans="7:7" ht="10.5" customHeight="1" x14ac:dyDescent="0.2">
      <c r="G30114" s="889"/>
    </row>
    <row r="30115" spans="7:7" ht="10.5" customHeight="1" x14ac:dyDescent="0.2">
      <c r="G30115" s="889"/>
    </row>
    <row r="30116" spans="7:7" ht="10.5" customHeight="1" x14ac:dyDescent="0.2">
      <c r="G30116" s="889"/>
    </row>
    <row r="30117" spans="7:7" ht="10.5" customHeight="1" x14ac:dyDescent="0.2">
      <c r="G30117" s="889"/>
    </row>
    <row r="30118" spans="7:7" ht="10.5" customHeight="1" x14ac:dyDescent="0.2">
      <c r="G30118" s="889"/>
    </row>
    <row r="30119" spans="7:7" ht="10.5" customHeight="1" x14ac:dyDescent="0.2">
      <c r="G30119" s="889"/>
    </row>
    <row r="30120" spans="7:7" ht="10.5" customHeight="1" x14ac:dyDescent="0.2">
      <c r="G30120" s="889"/>
    </row>
    <row r="30121" spans="7:7" ht="10.5" customHeight="1" x14ac:dyDescent="0.2">
      <c r="G30121" s="889"/>
    </row>
    <row r="30122" spans="7:7" ht="10.5" customHeight="1" x14ac:dyDescent="0.2">
      <c r="G30122" s="889"/>
    </row>
    <row r="30123" spans="7:7" ht="10.5" customHeight="1" x14ac:dyDescent="0.2">
      <c r="G30123" s="889"/>
    </row>
    <row r="30124" spans="7:7" ht="10.5" customHeight="1" x14ac:dyDescent="0.2">
      <c r="G30124" s="889"/>
    </row>
    <row r="30125" spans="7:7" ht="10.5" customHeight="1" x14ac:dyDescent="0.2">
      <c r="G30125" s="889"/>
    </row>
    <row r="30126" spans="7:7" ht="10.5" customHeight="1" x14ac:dyDescent="0.2">
      <c r="G30126" s="889"/>
    </row>
    <row r="30127" spans="7:7" ht="10.5" customHeight="1" x14ac:dyDescent="0.2">
      <c r="G30127" s="889"/>
    </row>
    <row r="30128" spans="7:7" ht="10.5" customHeight="1" x14ac:dyDescent="0.2">
      <c r="G30128" s="889"/>
    </row>
    <row r="30129" spans="7:7" ht="10.5" customHeight="1" x14ac:dyDescent="0.2">
      <c r="G30129" s="889"/>
    </row>
    <row r="30130" spans="7:7" ht="10.5" customHeight="1" x14ac:dyDescent="0.2">
      <c r="G30130" s="889"/>
    </row>
    <row r="30131" spans="7:7" ht="10.5" customHeight="1" x14ac:dyDescent="0.2">
      <c r="G30131" s="889"/>
    </row>
    <row r="30132" spans="7:7" ht="10.5" customHeight="1" x14ac:dyDescent="0.2">
      <c r="G30132" s="889"/>
    </row>
    <row r="30133" spans="7:7" ht="10.5" customHeight="1" x14ac:dyDescent="0.2">
      <c r="G30133" s="889"/>
    </row>
    <row r="30134" spans="7:7" ht="10.5" customHeight="1" x14ac:dyDescent="0.2">
      <c r="G30134" s="889"/>
    </row>
    <row r="30135" spans="7:7" ht="10.5" customHeight="1" x14ac:dyDescent="0.2">
      <c r="G30135" s="889"/>
    </row>
    <row r="30136" spans="7:7" ht="10.5" customHeight="1" x14ac:dyDescent="0.2">
      <c r="G30136" s="889"/>
    </row>
    <row r="30137" spans="7:7" ht="10.5" customHeight="1" x14ac:dyDescent="0.2">
      <c r="G30137" s="889"/>
    </row>
    <row r="30138" spans="7:7" ht="10.5" customHeight="1" x14ac:dyDescent="0.2">
      <c r="G30138" s="889"/>
    </row>
    <row r="30139" spans="7:7" ht="10.5" customHeight="1" x14ac:dyDescent="0.2">
      <c r="G30139" s="889"/>
    </row>
    <row r="30140" spans="7:7" ht="10.5" customHeight="1" x14ac:dyDescent="0.2">
      <c r="G30140" s="889"/>
    </row>
    <row r="30141" spans="7:7" ht="10.5" customHeight="1" x14ac:dyDescent="0.2">
      <c r="G30141" s="889"/>
    </row>
    <row r="30142" spans="7:7" ht="10.5" customHeight="1" x14ac:dyDescent="0.2">
      <c r="G30142" s="889"/>
    </row>
    <row r="30143" spans="7:7" ht="10.5" customHeight="1" x14ac:dyDescent="0.2">
      <c r="G30143" s="889"/>
    </row>
    <row r="30144" spans="7:7" ht="10.5" customHeight="1" x14ac:dyDescent="0.2">
      <c r="G30144" s="889"/>
    </row>
    <row r="30145" spans="7:7" ht="10.5" customHeight="1" x14ac:dyDescent="0.2">
      <c r="G30145" s="889"/>
    </row>
    <row r="30146" spans="7:7" ht="10.5" customHeight="1" x14ac:dyDescent="0.2">
      <c r="G30146" s="889"/>
    </row>
    <row r="30147" spans="7:7" ht="10.5" customHeight="1" x14ac:dyDescent="0.2">
      <c r="G30147" s="889"/>
    </row>
    <row r="30148" spans="7:7" ht="10.5" customHeight="1" x14ac:dyDescent="0.2">
      <c r="G30148" s="889"/>
    </row>
    <row r="30149" spans="7:7" ht="10.5" customHeight="1" x14ac:dyDescent="0.2">
      <c r="G30149" s="889"/>
    </row>
    <row r="30150" spans="7:7" ht="10.5" customHeight="1" x14ac:dyDescent="0.2">
      <c r="G30150" s="889"/>
    </row>
    <row r="30151" spans="7:7" ht="10.5" customHeight="1" x14ac:dyDescent="0.2">
      <c r="G30151" s="889"/>
    </row>
    <row r="30152" spans="7:7" ht="10.5" customHeight="1" x14ac:dyDescent="0.2">
      <c r="G30152" s="889"/>
    </row>
    <row r="30153" spans="7:7" ht="10.5" customHeight="1" x14ac:dyDescent="0.2">
      <c r="G30153" s="889"/>
    </row>
    <row r="30154" spans="7:7" ht="10.5" customHeight="1" x14ac:dyDescent="0.2">
      <c r="G30154" s="889"/>
    </row>
    <row r="30155" spans="7:7" ht="10.5" customHeight="1" x14ac:dyDescent="0.2">
      <c r="G30155" s="889"/>
    </row>
    <row r="30156" spans="7:7" ht="10.5" customHeight="1" x14ac:dyDescent="0.2">
      <c r="G30156" s="889"/>
    </row>
    <row r="30157" spans="7:7" ht="10.5" customHeight="1" x14ac:dyDescent="0.2">
      <c r="G30157" s="889"/>
    </row>
    <row r="30158" spans="7:7" ht="10.5" customHeight="1" x14ac:dyDescent="0.2">
      <c r="G30158" s="889"/>
    </row>
    <row r="30159" spans="7:7" ht="10.5" customHeight="1" x14ac:dyDescent="0.2">
      <c r="G30159" s="889"/>
    </row>
    <row r="30160" spans="7:7" ht="10.5" customHeight="1" x14ac:dyDescent="0.2">
      <c r="G30160" s="889"/>
    </row>
    <row r="30161" spans="7:7" ht="10.5" customHeight="1" x14ac:dyDescent="0.2">
      <c r="G30161" s="889"/>
    </row>
    <row r="30162" spans="7:7" ht="10.5" customHeight="1" x14ac:dyDescent="0.2">
      <c r="G30162" s="889"/>
    </row>
    <row r="30163" spans="7:7" ht="10.5" customHeight="1" x14ac:dyDescent="0.2">
      <c r="G30163" s="889"/>
    </row>
    <row r="30164" spans="7:7" ht="10.5" customHeight="1" x14ac:dyDescent="0.2">
      <c r="G30164" s="889"/>
    </row>
    <row r="30165" spans="7:7" ht="10.5" customHeight="1" x14ac:dyDescent="0.2">
      <c r="G30165" s="889"/>
    </row>
    <row r="30166" spans="7:7" ht="10.5" customHeight="1" x14ac:dyDescent="0.2">
      <c r="G30166" s="889"/>
    </row>
    <row r="30167" spans="7:7" ht="10.5" customHeight="1" x14ac:dyDescent="0.2">
      <c r="G30167" s="889"/>
    </row>
    <row r="30168" spans="7:7" ht="10.5" customHeight="1" x14ac:dyDescent="0.2">
      <c r="G30168" s="889"/>
    </row>
    <row r="30169" spans="7:7" ht="10.5" customHeight="1" x14ac:dyDescent="0.2">
      <c r="G30169" s="889"/>
    </row>
    <row r="30170" spans="7:7" ht="10.5" customHeight="1" x14ac:dyDescent="0.2">
      <c r="G30170" s="889"/>
    </row>
    <row r="30171" spans="7:7" ht="10.5" customHeight="1" x14ac:dyDescent="0.2">
      <c r="G30171" s="889"/>
    </row>
    <row r="30172" spans="7:7" ht="10.5" customHeight="1" x14ac:dyDescent="0.2">
      <c r="G30172" s="889"/>
    </row>
    <row r="30173" spans="7:7" ht="10.5" customHeight="1" x14ac:dyDescent="0.2">
      <c r="G30173" s="889"/>
    </row>
    <row r="30174" spans="7:7" ht="10.5" customHeight="1" x14ac:dyDescent="0.2">
      <c r="G30174" s="889"/>
    </row>
    <row r="30175" spans="7:7" ht="10.5" customHeight="1" x14ac:dyDescent="0.2">
      <c r="G30175" s="889"/>
    </row>
    <row r="30176" spans="7:7" ht="10.5" customHeight="1" x14ac:dyDescent="0.2">
      <c r="G30176" s="889"/>
    </row>
    <row r="30177" spans="7:7" ht="10.5" customHeight="1" x14ac:dyDescent="0.2">
      <c r="G30177" s="889"/>
    </row>
    <row r="30178" spans="7:7" ht="10.5" customHeight="1" x14ac:dyDescent="0.2">
      <c r="G30178" s="889"/>
    </row>
    <row r="30179" spans="7:7" ht="10.5" customHeight="1" x14ac:dyDescent="0.2">
      <c r="G30179" s="889"/>
    </row>
    <row r="30180" spans="7:7" ht="10.5" customHeight="1" x14ac:dyDescent="0.2">
      <c r="G30180" s="889"/>
    </row>
    <row r="30181" spans="7:7" ht="10.5" customHeight="1" x14ac:dyDescent="0.2">
      <c r="G30181" s="889"/>
    </row>
    <row r="30182" spans="7:7" ht="10.5" customHeight="1" x14ac:dyDescent="0.2">
      <c r="G30182" s="889"/>
    </row>
    <row r="30183" spans="7:7" ht="10.5" customHeight="1" x14ac:dyDescent="0.2">
      <c r="G30183" s="889"/>
    </row>
    <row r="30184" spans="7:7" ht="10.5" customHeight="1" x14ac:dyDescent="0.2">
      <c r="G30184" s="889"/>
    </row>
    <row r="30185" spans="7:7" ht="10.5" customHeight="1" x14ac:dyDescent="0.2">
      <c r="G30185" s="889"/>
    </row>
    <row r="30186" spans="7:7" ht="10.5" customHeight="1" x14ac:dyDescent="0.2">
      <c r="G30186" s="889"/>
    </row>
    <row r="30187" spans="7:7" ht="10.5" customHeight="1" x14ac:dyDescent="0.2">
      <c r="G30187" s="889"/>
    </row>
    <row r="30188" spans="7:7" ht="10.5" customHeight="1" x14ac:dyDescent="0.2">
      <c r="G30188" s="889"/>
    </row>
    <row r="30189" spans="7:7" ht="10.5" customHeight="1" x14ac:dyDescent="0.2">
      <c r="G30189" s="889"/>
    </row>
    <row r="30190" spans="7:7" ht="10.5" customHeight="1" x14ac:dyDescent="0.2">
      <c r="G30190" s="889"/>
    </row>
    <row r="30191" spans="7:7" ht="10.5" customHeight="1" x14ac:dyDescent="0.2">
      <c r="G30191" s="889"/>
    </row>
    <row r="30192" spans="7:7" ht="10.5" customHeight="1" x14ac:dyDescent="0.2">
      <c r="G30192" s="889"/>
    </row>
    <row r="30193" spans="7:7" ht="10.5" customHeight="1" x14ac:dyDescent="0.2">
      <c r="G30193" s="889"/>
    </row>
    <row r="30194" spans="7:7" ht="10.5" customHeight="1" x14ac:dyDescent="0.2">
      <c r="G30194" s="889"/>
    </row>
    <row r="30195" spans="7:7" ht="10.5" customHeight="1" x14ac:dyDescent="0.2">
      <c r="G30195" s="889"/>
    </row>
    <row r="30196" spans="7:7" ht="10.5" customHeight="1" x14ac:dyDescent="0.2">
      <c r="G30196" s="889"/>
    </row>
    <row r="30197" spans="7:7" ht="10.5" customHeight="1" x14ac:dyDescent="0.2">
      <c r="G30197" s="889"/>
    </row>
    <row r="30198" spans="7:7" ht="10.5" customHeight="1" x14ac:dyDescent="0.2">
      <c r="G30198" s="889"/>
    </row>
    <row r="30199" spans="7:7" ht="10.5" customHeight="1" x14ac:dyDescent="0.2">
      <c r="G30199" s="889"/>
    </row>
    <row r="30200" spans="7:7" ht="10.5" customHeight="1" x14ac:dyDescent="0.2">
      <c r="G30200" s="889"/>
    </row>
    <row r="30201" spans="7:7" ht="10.5" customHeight="1" x14ac:dyDescent="0.2">
      <c r="G30201" s="889"/>
    </row>
    <row r="30202" spans="7:7" ht="10.5" customHeight="1" x14ac:dyDescent="0.2">
      <c r="G30202" s="889"/>
    </row>
    <row r="30203" spans="7:7" ht="10.5" customHeight="1" x14ac:dyDescent="0.2">
      <c r="G30203" s="889"/>
    </row>
    <row r="30204" spans="7:7" ht="10.5" customHeight="1" x14ac:dyDescent="0.2">
      <c r="G30204" s="889"/>
    </row>
    <row r="30205" spans="7:7" ht="10.5" customHeight="1" x14ac:dyDescent="0.2">
      <c r="G30205" s="889"/>
    </row>
    <row r="30206" spans="7:7" ht="10.5" customHeight="1" x14ac:dyDescent="0.2">
      <c r="G30206" s="889"/>
    </row>
    <row r="30207" spans="7:7" ht="10.5" customHeight="1" x14ac:dyDescent="0.2">
      <c r="G30207" s="889"/>
    </row>
    <row r="30208" spans="7:7" ht="10.5" customHeight="1" x14ac:dyDescent="0.2">
      <c r="G30208" s="889"/>
    </row>
    <row r="30209" spans="7:7" ht="10.5" customHeight="1" x14ac:dyDescent="0.2">
      <c r="G30209" s="889"/>
    </row>
    <row r="30210" spans="7:7" ht="10.5" customHeight="1" x14ac:dyDescent="0.2">
      <c r="G30210" s="889"/>
    </row>
    <row r="30211" spans="7:7" ht="10.5" customHeight="1" x14ac:dyDescent="0.2">
      <c r="G30211" s="889"/>
    </row>
    <row r="30212" spans="7:7" ht="10.5" customHeight="1" x14ac:dyDescent="0.2">
      <c r="G30212" s="889"/>
    </row>
    <row r="30213" spans="7:7" ht="10.5" customHeight="1" x14ac:dyDescent="0.2">
      <c r="G30213" s="889"/>
    </row>
    <row r="30214" spans="7:7" ht="10.5" customHeight="1" x14ac:dyDescent="0.2">
      <c r="G30214" s="889"/>
    </row>
    <row r="30215" spans="7:7" ht="10.5" customHeight="1" x14ac:dyDescent="0.2">
      <c r="G30215" s="889"/>
    </row>
    <row r="30216" spans="7:7" ht="10.5" customHeight="1" x14ac:dyDescent="0.2">
      <c r="G30216" s="889"/>
    </row>
    <row r="30217" spans="7:7" ht="10.5" customHeight="1" x14ac:dyDescent="0.2">
      <c r="G30217" s="889"/>
    </row>
    <row r="30218" spans="7:7" ht="10.5" customHeight="1" x14ac:dyDescent="0.2">
      <c r="G30218" s="889"/>
    </row>
    <row r="30219" spans="7:7" ht="10.5" customHeight="1" x14ac:dyDescent="0.2">
      <c r="G30219" s="889"/>
    </row>
    <row r="30220" spans="7:7" ht="10.5" customHeight="1" x14ac:dyDescent="0.2">
      <c r="G30220" s="889"/>
    </row>
    <row r="30221" spans="7:7" ht="10.5" customHeight="1" x14ac:dyDescent="0.2">
      <c r="G30221" s="889"/>
    </row>
    <row r="30222" spans="7:7" ht="10.5" customHeight="1" x14ac:dyDescent="0.2">
      <c r="G30222" s="889"/>
    </row>
    <row r="30223" spans="7:7" ht="10.5" customHeight="1" x14ac:dyDescent="0.2">
      <c r="G30223" s="889"/>
    </row>
    <row r="30224" spans="7:7" ht="10.5" customHeight="1" x14ac:dyDescent="0.2">
      <c r="G30224" s="889"/>
    </row>
    <row r="30225" spans="7:7" ht="10.5" customHeight="1" x14ac:dyDescent="0.2">
      <c r="G30225" s="889"/>
    </row>
    <row r="30226" spans="7:7" ht="10.5" customHeight="1" x14ac:dyDescent="0.2">
      <c r="G30226" s="889"/>
    </row>
    <row r="30227" spans="7:7" ht="10.5" customHeight="1" x14ac:dyDescent="0.2">
      <c r="G30227" s="889"/>
    </row>
    <row r="30228" spans="7:7" ht="10.5" customHeight="1" x14ac:dyDescent="0.2">
      <c r="G30228" s="889"/>
    </row>
    <row r="30229" spans="7:7" ht="10.5" customHeight="1" x14ac:dyDescent="0.2">
      <c r="G30229" s="889"/>
    </row>
    <row r="30230" spans="7:7" ht="10.5" customHeight="1" x14ac:dyDescent="0.2">
      <c r="G30230" s="889"/>
    </row>
    <row r="30231" spans="7:7" ht="10.5" customHeight="1" x14ac:dyDescent="0.2">
      <c r="G30231" s="889"/>
    </row>
    <row r="30232" spans="7:7" ht="10.5" customHeight="1" x14ac:dyDescent="0.2">
      <c r="G30232" s="889"/>
    </row>
    <row r="30233" spans="7:7" ht="10.5" customHeight="1" x14ac:dyDescent="0.2">
      <c r="G30233" s="889"/>
    </row>
    <row r="30234" spans="7:7" ht="10.5" customHeight="1" x14ac:dyDescent="0.2">
      <c r="G30234" s="889"/>
    </row>
    <row r="30235" spans="7:7" ht="10.5" customHeight="1" x14ac:dyDescent="0.2">
      <c r="G30235" s="889"/>
    </row>
    <row r="30236" spans="7:7" ht="10.5" customHeight="1" x14ac:dyDescent="0.2">
      <c r="G30236" s="889"/>
    </row>
    <row r="30237" spans="7:7" ht="10.5" customHeight="1" x14ac:dyDescent="0.2">
      <c r="G30237" s="889"/>
    </row>
    <row r="30238" spans="7:7" ht="10.5" customHeight="1" x14ac:dyDescent="0.2">
      <c r="G30238" s="889"/>
    </row>
    <row r="30239" spans="7:7" ht="10.5" customHeight="1" x14ac:dyDescent="0.2">
      <c r="G30239" s="889"/>
    </row>
    <row r="30240" spans="7:7" ht="10.5" customHeight="1" x14ac:dyDescent="0.2">
      <c r="G30240" s="889"/>
    </row>
    <row r="30241" spans="7:7" ht="10.5" customHeight="1" x14ac:dyDescent="0.2">
      <c r="G30241" s="889"/>
    </row>
    <row r="30242" spans="7:7" ht="10.5" customHeight="1" x14ac:dyDescent="0.2">
      <c r="G30242" s="889"/>
    </row>
    <row r="30243" spans="7:7" ht="10.5" customHeight="1" x14ac:dyDescent="0.2">
      <c r="G30243" s="889"/>
    </row>
    <row r="30244" spans="7:7" ht="10.5" customHeight="1" x14ac:dyDescent="0.2">
      <c r="G30244" s="889"/>
    </row>
    <row r="30245" spans="7:7" ht="10.5" customHeight="1" x14ac:dyDescent="0.2">
      <c r="G30245" s="889"/>
    </row>
    <row r="30246" spans="7:7" ht="10.5" customHeight="1" x14ac:dyDescent="0.2">
      <c r="G30246" s="889"/>
    </row>
    <row r="30247" spans="7:7" ht="10.5" customHeight="1" x14ac:dyDescent="0.2">
      <c r="G30247" s="889"/>
    </row>
    <row r="30248" spans="7:7" ht="10.5" customHeight="1" x14ac:dyDescent="0.2">
      <c r="G30248" s="889"/>
    </row>
    <row r="30249" spans="7:7" ht="10.5" customHeight="1" x14ac:dyDescent="0.2">
      <c r="G30249" s="889"/>
    </row>
    <row r="30250" spans="7:7" ht="10.5" customHeight="1" x14ac:dyDescent="0.2">
      <c r="G30250" s="889"/>
    </row>
    <row r="30251" spans="7:7" ht="10.5" customHeight="1" x14ac:dyDescent="0.2">
      <c r="G30251" s="889"/>
    </row>
    <row r="30252" spans="7:7" ht="10.5" customHeight="1" x14ac:dyDescent="0.2">
      <c r="G30252" s="889"/>
    </row>
    <row r="30253" spans="7:7" ht="10.5" customHeight="1" x14ac:dyDescent="0.2">
      <c r="G30253" s="889"/>
    </row>
    <row r="30254" spans="7:7" ht="10.5" customHeight="1" x14ac:dyDescent="0.2">
      <c r="G30254" s="889"/>
    </row>
    <row r="30255" spans="7:7" ht="10.5" customHeight="1" x14ac:dyDescent="0.2">
      <c r="G30255" s="889"/>
    </row>
    <row r="30256" spans="7:7" ht="10.5" customHeight="1" x14ac:dyDescent="0.2">
      <c r="G30256" s="889"/>
    </row>
    <row r="30257" spans="7:7" ht="10.5" customHeight="1" x14ac:dyDescent="0.2">
      <c r="G30257" s="889"/>
    </row>
    <row r="30258" spans="7:7" ht="10.5" customHeight="1" x14ac:dyDescent="0.2">
      <c r="G30258" s="889"/>
    </row>
    <row r="30259" spans="7:7" ht="10.5" customHeight="1" x14ac:dyDescent="0.2">
      <c r="G30259" s="889"/>
    </row>
    <row r="30260" spans="7:7" ht="10.5" customHeight="1" x14ac:dyDescent="0.2">
      <c r="G30260" s="889"/>
    </row>
    <row r="30261" spans="7:7" ht="10.5" customHeight="1" x14ac:dyDescent="0.2">
      <c r="G30261" s="889"/>
    </row>
    <row r="30262" spans="7:7" ht="10.5" customHeight="1" x14ac:dyDescent="0.2">
      <c r="G30262" s="889"/>
    </row>
    <row r="30263" spans="7:7" ht="10.5" customHeight="1" x14ac:dyDescent="0.2">
      <c r="G30263" s="889"/>
    </row>
    <row r="30264" spans="7:7" ht="10.5" customHeight="1" x14ac:dyDescent="0.2">
      <c r="G30264" s="889"/>
    </row>
    <row r="30265" spans="7:7" ht="10.5" customHeight="1" x14ac:dyDescent="0.2">
      <c r="G30265" s="889"/>
    </row>
    <row r="30266" spans="7:7" ht="10.5" customHeight="1" x14ac:dyDescent="0.2">
      <c r="G30266" s="889"/>
    </row>
    <row r="30267" spans="7:7" ht="10.5" customHeight="1" x14ac:dyDescent="0.2">
      <c r="G30267" s="889"/>
    </row>
    <row r="30268" spans="7:7" ht="10.5" customHeight="1" x14ac:dyDescent="0.2">
      <c r="G30268" s="889"/>
    </row>
    <row r="30269" spans="7:7" ht="10.5" customHeight="1" x14ac:dyDescent="0.2">
      <c r="G30269" s="889"/>
    </row>
    <row r="30270" spans="7:7" ht="10.5" customHeight="1" x14ac:dyDescent="0.2">
      <c r="G30270" s="889"/>
    </row>
    <row r="30271" spans="7:7" ht="10.5" customHeight="1" x14ac:dyDescent="0.2">
      <c r="G30271" s="889"/>
    </row>
    <row r="30272" spans="7:7" ht="10.5" customHeight="1" x14ac:dyDescent="0.2">
      <c r="G30272" s="889"/>
    </row>
    <row r="30273" spans="7:7" ht="10.5" customHeight="1" x14ac:dyDescent="0.2">
      <c r="G30273" s="889"/>
    </row>
    <row r="30274" spans="7:7" ht="10.5" customHeight="1" x14ac:dyDescent="0.2">
      <c r="G30274" s="889"/>
    </row>
    <row r="30275" spans="7:7" ht="10.5" customHeight="1" x14ac:dyDescent="0.2">
      <c r="G30275" s="889"/>
    </row>
    <row r="30276" spans="7:7" ht="10.5" customHeight="1" x14ac:dyDescent="0.2">
      <c r="G30276" s="889"/>
    </row>
    <row r="30277" spans="7:7" ht="10.5" customHeight="1" x14ac:dyDescent="0.2">
      <c r="G30277" s="889"/>
    </row>
    <row r="30278" spans="7:7" ht="10.5" customHeight="1" x14ac:dyDescent="0.2">
      <c r="G30278" s="889"/>
    </row>
    <row r="30279" spans="7:7" ht="10.5" customHeight="1" x14ac:dyDescent="0.2">
      <c r="G30279" s="889"/>
    </row>
    <row r="30280" spans="7:7" ht="10.5" customHeight="1" x14ac:dyDescent="0.2">
      <c r="G30280" s="889"/>
    </row>
    <row r="30281" spans="7:7" ht="10.5" customHeight="1" x14ac:dyDescent="0.2">
      <c r="G30281" s="889"/>
    </row>
    <row r="30282" spans="7:7" ht="10.5" customHeight="1" x14ac:dyDescent="0.2">
      <c r="G30282" s="889"/>
    </row>
    <row r="30283" spans="7:7" ht="10.5" customHeight="1" x14ac:dyDescent="0.2">
      <c r="G30283" s="889"/>
    </row>
    <row r="30284" spans="7:7" ht="10.5" customHeight="1" x14ac:dyDescent="0.2">
      <c r="G30284" s="889"/>
    </row>
    <row r="30285" spans="7:7" ht="10.5" customHeight="1" x14ac:dyDescent="0.2">
      <c r="G30285" s="889"/>
    </row>
    <row r="30286" spans="7:7" ht="10.5" customHeight="1" x14ac:dyDescent="0.2">
      <c r="G30286" s="889"/>
    </row>
    <row r="30287" spans="7:7" ht="10.5" customHeight="1" x14ac:dyDescent="0.2">
      <c r="G30287" s="889"/>
    </row>
    <row r="30288" spans="7:7" ht="10.5" customHeight="1" x14ac:dyDescent="0.2">
      <c r="G30288" s="889"/>
    </row>
    <row r="30289" spans="7:7" ht="10.5" customHeight="1" x14ac:dyDescent="0.2">
      <c r="G30289" s="889"/>
    </row>
    <row r="30290" spans="7:7" ht="10.5" customHeight="1" x14ac:dyDescent="0.2">
      <c r="G30290" s="889"/>
    </row>
    <row r="30291" spans="7:7" ht="10.5" customHeight="1" x14ac:dyDescent="0.2">
      <c r="G30291" s="889"/>
    </row>
    <row r="30292" spans="7:7" ht="10.5" customHeight="1" x14ac:dyDescent="0.2">
      <c r="G30292" s="889"/>
    </row>
    <row r="30293" spans="7:7" ht="10.5" customHeight="1" x14ac:dyDescent="0.2">
      <c r="G30293" s="889"/>
    </row>
    <row r="30294" spans="7:7" ht="10.5" customHeight="1" x14ac:dyDescent="0.2">
      <c r="G30294" s="889"/>
    </row>
    <row r="30295" spans="7:7" ht="10.5" customHeight="1" x14ac:dyDescent="0.2">
      <c r="G30295" s="889"/>
    </row>
    <row r="30296" spans="7:7" ht="10.5" customHeight="1" x14ac:dyDescent="0.2">
      <c r="G30296" s="889"/>
    </row>
    <row r="30297" spans="7:7" ht="10.5" customHeight="1" x14ac:dyDescent="0.2">
      <c r="G30297" s="889"/>
    </row>
    <row r="30298" spans="7:7" ht="10.5" customHeight="1" x14ac:dyDescent="0.2">
      <c r="G30298" s="889"/>
    </row>
    <row r="30299" spans="7:7" ht="10.5" customHeight="1" x14ac:dyDescent="0.2">
      <c r="G30299" s="889"/>
    </row>
    <row r="30300" spans="7:7" ht="10.5" customHeight="1" x14ac:dyDescent="0.2">
      <c r="G30300" s="889"/>
    </row>
    <row r="30301" spans="7:7" ht="10.5" customHeight="1" x14ac:dyDescent="0.2">
      <c r="G30301" s="889"/>
    </row>
    <row r="30302" spans="7:7" ht="10.5" customHeight="1" x14ac:dyDescent="0.2">
      <c r="G30302" s="889"/>
    </row>
    <row r="30303" spans="7:7" ht="10.5" customHeight="1" x14ac:dyDescent="0.2">
      <c r="G30303" s="889"/>
    </row>
    <row r="30304" spans="7:7" ht="10.5" customHeight="1" x14ac:dyDescent="0.2">
      <c r="G30304" s="889"/>
    </row>
    <row r="30305" spans="7:7" ht="10.5" customHeight="1" x14ac:dyDescent="0.2">
      <c r="G30305" s="889"/>
    </row>
    <row r="30306" spans="7:7" ht="10.5" customHeight="1" x14ac:dyDescent="0.2">
      <c r="G30306" s="889"/>
    </row>
    <row r="30307" spans="7:7" ht="10.5" customHeight="1" x14ac:dyDescent="0.2">
      <c r="G30307" s="889"/>
    </row>
    <row r="30308" spans="7:7" ht="10.5" customHeight="1" x14ac:dyDescent="0.2">
      <c r="G30308" s="889"/>
    </row>
    <row r="30309" spans="7:7" ht="10.5" customHeight="1" x14ac:dyDescent="0.2">
      <c r="G30309" s="889"/>
    </row>
    <row r="30310" spans="7:7" ht="10.5" customHeight="1" x14ac:dyDescent="0.2">
      <c r="G30310" s="889"/>
    </row>
    <row r="30311" spans="7:7" ht="10.5" customHeight="1" x14ac:dyDescent="0.2">
      <c r="G30311" s="889"/>
    </row>
    <row r="30312" spans="7:7" ht="10.5" customHeight="1" x14ac:dyDescent="0.2">
      <c r="G30312" s="889"/>
    </row>
    <row r="30313" spans="7:7" ht="10.5" customHeight="1" x14ac:dyDescent="0.2">
      <c r="G30313" s="889"/>
    </row>
    <row r="30314" spans="7:7" ht="10.5" customHeight="1" x14ac:dyDescent="0.2">
      <c r="G30314" s="889"/>
    </row>
    <row r="30315" spans="7:7" ht="10.5" customHeight="1" x14ac:dyDescent="0.2">
      <c r="G30315" s="889"/>
    </row>
    <row r="30316" spans="7:7" ht="10.5" customHeight="1" x14ac:dyDescent="0.2">
      <c r="G30316" s="889"/>
    </row>
    <row r="30317" spans="7:7" ht="10.5" customHeight="1" x14ac:dyDescent="0.2">
      <c r="G30317" s="889"/>
    </row>
    <row r="30318" spans="7:7" ht="10.5" customHeight="1" x14ac:dyDescent="0.2">
      <c r="G30318" s="889"/>
    </row>
    <row r="30319" spans="7:7" ht="10.5" customHeight="1" x14ac:dyDescent="0.2">
      <c r="G30319" s="889"/>
    </row>
    <row r="30320" spans="7:7" ht="10.5" customHeight="1" x14ac:dyDescent="0.2">
      <c r="G30320" s="889"/>
    </row>
    <row r="30321" spans="7:7" ht="10.5" customHeight="1" x14ac:dyDescent="0.2">
      <c r="G30321" s="889"/>
    </row>
    <row r="30322" spans="7:7" ht="10.5" customHeight="1" x14ac:dyDescent="0.2">
      <c r="G30322" s="889"/>
    </row>
    <row r="30323" spans="7:7" ht="10.5" customHeight="1" x14ac:dyDescent="0.2">
      <c r="G30323" s="889"/>
    </row>
    <row r="30324" spans="7:7" ht="10.5" customHeight="1" x14ac:dyDescent="0.2">
      <c r="G30324" s="889"/>
    </row>
    <row r="30325" spans="7:7" ht="10.5" customHeight="1" x14ac:dyDescent="0.2">
      <c r="G30325" s="889"/>
    </row>
    <row r="30326" spans="7:7" ht="10.5" customHeight="1" x14ac:dyDescent="0.2">
      <c r="G30326" s="889"/>
    </row>
    <row r="30327" spans="7:7" ht="10.5" customHeight="1" x14ac:dyDescent="0.2">
      <c r="G30327" s="889"/>
    </row>
    <row r="30328" spans="7:7" ht="10.5" customHeight="1" x14ac:dyDescent="0.2">
      <c r="G30328" s="889"/>
    </row>
    <row r="30329" spans="7:7" ht="10.5" customHeight="1" x14ac:dyDescent="0.2">
      <c r="G30329" s="889"/>
    </row>
    <row r="30330" spans="7:7" ht="10.5" customHeight="1" x14ac:dyDescent="0.2">
      <c r="G30330" s="889"/>
    </row>
    <row r="30331" spans="7:7" ht="10.5" customHeight="1" x14ac:dyDescent="0.2">
      <c r="G30331" s="889"/>
    </row>
    <row r="30332" spans="7:7" ht="10.5" customHeight="1" x14ac:dyDescent="0.2">
      <c r="G30332" s="889"/>
    </row>
    <row r="30333" spans="7:7" ht="10.5" customHeight="1" x14ac:dyDescent="0.2">
      <c r="G30333" s="889"/>
    </row>
    <row r="30334" spans="7:7" ht="10.5" customHeight="1" x14ac:dyDescent="0.2">
      <c r="G30334" s="889"/>
    </row>
    <row r="30335" spans="7:7" ht="10.5" customHeight="1" x14ac:dyDescent="0.2">
      <c r="G30335" s="889"/>
    </row>
    <row r="30336" spans="7:7" ht="10.5" customHeight="1" x14ac:dyDescent="0.2">
      <c r="G30336" s="889"/>
    </row>
    <row r="30337" spans="7:7" ht="10.5" customHeight="1" x14ac:dyDescent="0.2">
      <c r="G30337" s="889"/>
    </row>
    <row r="30338" spans="7:7" ht="10.5" customHeight="1" x14ac:dyDescent="0.2">
      <c r="G30338" s="889"/>
    </row>
    <row r="30339" spans="7:7" ht="10.5" customHeight="1" x14ac:dyDescent="0.2">
      <c r="G30339" s="889"/>
    </row>
    <row r="30340" spans="7:7" ht="10.5" customHeight="1" x14ac:dyDescent="0.2">
      <c r="G30340" s="889"/>
    </row>
    <row r="30341" spans="7:7" ht="10.5" customHeight="1" x14ac:dyDescent="0.2">
      <c r="G30341" s="889"/>
    </row>
    <row r="30342" spans="7:7" ht="10.5" customHeight="1" x14ac:dyDescent="0.2">
      <c r="G30342" s="889"/>
    </row>
    <row r="30343" spans="7:7" ht="10.5" customHeight="1" x14ac:dyDescent="0.2">
      <c r="G30343" s="889"/>
    </row>
    <row r="30344" spans="7:7" ht="10.5" customHeight="1" x14ac:dyDescent="0.2">
      <c r="G30344" s="889"/>
    </row>
    <row r="30345" spans="7:7" ht="10.5" customHeight="1" x14ac:dyDescent="0.2">
      <c r="G30345" s="889"/>
    </row>
    <row r="30346" spans="7:7" ht="10.5" customHeight="1" x14ac:dyDescent="0.2">
      <c r="G30346" s="889"/>
    </row>
    <row r="30347" spans="7:7" ht="10.5" customHeight="1" x14ac:dyDescent="0.2">
      <c r="G30347" s="889"/>
    </row>
    <row r="30348" spans="7:7" ht="10.5" customHeight="1" x14ac:dyDescent="0.2">
      <c r="G30348" s="889"/>
    </row>
    <row r="30349" spans="7:7" ht="10.5" customHeight="1" x14ac:dyDescent="0.2">
      <c r="G30349" s="889"/>
    </row>
    <row r="30350" spans="7:7" ht="10.5" customHeight="1" x14ac:dyDescent="0.2">
      <c r="G30350" s="889"/>
    </row>
    <row r="30351" spans="7:7" ht="10.5" customHeight="1" x14ac:dyDescent="0.2">
      <c r="G30351" s="889"/>
    </row>
    <row r="30352" spans="7:7" ht="10.5" customHeight="1" x14ac:dyDescent="0.2">
      <c r="G30352" s="889"/>
    </row>
    <row r="30353" spans="7:7" ht="10.5" customHeight="1" x14ac:dyDescent="0.2">
      <c r="G30353" s="889"/>
    </row>
    <row r="30354" spans="7:7" ht="10.5" customHeight="1" x14ac:dyDescent="0.2">
      <c r="G30354" s="889"/>
    </row>
    <row r="30355" spans="7:7" ht="10.5" customHeight="1" x14ac:dyDescent="0.2">
      <c r="G30355" s="889"/>
    </row>
    <row r="30356" spans="7:7" ht="10.5" customHeight="1" x14ac:dyDescent="0.2">
      <c r="G30356" s="889"/>
    </row>
    <row r="30357" spans="7:7" ht="10.5" customHeight="1" x14ac:dyDescent="0.2">
      <c r="G30357" s="889"/>
    </row>
    <row r="30358" spans="7:7" ht="10.5" customHeight="1" x14ac:dyDescent="0.2">
      <c r="G30358" s="889"/>
    </row>
    <row r="30359" spans="7:7" ht="10.5" customHeight="1" x14ac:dyDescent="0.2">
      <c r="G30359" s="889"/>
    </row>
    <row r="30360" spans="7:7" ht="10.5" customHeight="1" x14ac:dyDescent="0.2">
      <c r="G30360" s="889"/>
    </row>
    <row r="30361" spans="7:7" ht="10.5" customHeight="1" x14ac:dyDescent="0.2">
      <c r="G30361" s="889"/>
    </row>
    <row r="30362" spans="7:7" ht="10.5" customHeight="1" x14ac:dyDescent="0.2">
      <c r="G30362" s="889"/>
    </row>
    <row r="30363" spans="7:7" ht="10.5" customHeight="1" x14ac:dyDescent="0.2">
      <c r="G30363" s="889"/>
    </row>
    <row r="30364" spans="7:7" ht="10.5" customHeight="1" x14ac:dyDescent="0.2">
      <c r="G30364" s="889"/>
    </row>
    <row r="30365" spans="7:7" ht="10.5" customHeight="1" x14ac:dyDescent="0.2">
      <c r="G30365" s="889"/>
    </row>
    <row r="30366" spans="7:7" ht="10.5" customHeight="1" x14ac:dyDescent="0.2">
      <c r="G30366" s="889"/>
    </row>
    <row r="30367" spans="7:7" ht="10.5" customHeight="1" x14ac:dyDescent="0.2">
      <c r="G30367" s="889"/>
    </row>
    <row r="30368" spans="7:7" ht="10.5" customHeight="1" x14ac:dyDescent="0.2">
      <c r="G30368" s="889"/>
    </row>
    <row r="30369" spans="7:7" ht="10.5" customHeight="1" x14ac:dyDescent="0.2">
      <c r="G30369" s="889"/>
    </row>
    <row r="30370" spans="7:7" ht="10.5" customHeight="1" x14ac:dyDescent="0.2">
      <c r="G30370" s="889"/>
    </row>
    <row r="30371" spans="7:7" ht="10.5" customHeight="1" x14ac:dyDescent="0.2">
      <c r="G30371" s="889"/>
    </row>
    <row r="30372" spans="7:7" ht="10.5" customHeight="1" x14ac:dyDescent="0.2">
      <c r="G30372" s="889"/>
    </row>
    <row r="30373" spans="7:7" ht="10.5" customHeight="1" x14ac:dyDescent="0.2">
      <c r="G30373" s="889"/>
    </row>
    <row r="30374" spans="7:7" ht="10.5" customHeight="1" x14ac:dyDescent="0.2">
      <c r="G30374" s="889"/>
    </row>
    <row r="30375" spans="7:7" ht="10.5" customHeight="1" x14ac:dyDescent="0.2">
      <c r="G30375" s="889"/>
    </row>
    <row r="30376" spans="7:7" ht="10.5" customHeight="1" x14ac:dyDescent="0.2">
      <c r="G30376" s="889"/>
    </row>
    <row r="30377" spans="7:7" ht="10.5" customHeight="1" x14ac:dyDescent="0.2">
      <c r="G30377" s="889"/>
    </row>
    <row r="30378" spans="7:7" ht="10.5" customHeight="1" x14ac:dyDescent="0.2">
      <c r="G30378" s="889"/>
    </row>
    <row r="30379" spans="7:7" ht="10.5" customHeight="1" x14ac:dyDescent="0.2">
      <c r="G30379" s="889"/>
    </row>
    <row r="30380" spans="7:7" ht="10.5" customHeight="1" x14ac:dyDescent="0.2">
      <c r="G30380" s="889"/>
    </row>
    <row r="30381" spans="7:7" ht="10.5" customHeight="1" x14ac:dyDescent="0.2">
      <c r="G30381" s="889"/>
    </row>
    <row r="30382" spans="7:7" ht="10.5" customHeight="1" x14ac:dyDescent="0.2">
      <c r="G30382" s="889"/>
    </row>
    <row r="30383" spans="7:7" ht="10.5" customHeight="1" x14ac:dyDescent="0.2">
      <c r="G30383" s="889"/>
    </row>
    <row r="30384" spans="7:7" ht="10.5" customHeight="1" x14ac:dyDescent="0.2">
      <c r="G30384" s="889"/>
    </row>
    <row r="30385" spans="7:7" ht="10.5" customHeight="1" x14ac:dyDescent="0.2">
      <c r="G30385" s="889"/>
    </row>
    <row r="30386" spans="7:7" ht="10.5" customHeight="1" x14ac:dyDescent="0.2">
      <c r="G30386" s="889"/>
    </row>
    <row r="30387" spans="7:7" ht="10.5" customHeight="1" x14ac:dyDescent="0.2">
      <c r="G30387" s="889"/>
    </row>
    <row r="30388" spans="7:7" ht="10.5" customHeight="1" x14ac:dyDescent="0.2">
      <c r="G30388" s="889"/>
    </row>
    <row r="30389" spans="7:7" ht="10.5" customHeight="1" x14ac:dyDescent="0.2">
      <c r="G30389" s="889"/>
    </row>
    <row r="30390" spans="7:7" ht="10.5" customHeight="1" x14ac:dyDescent="0.2">
      <c r="G30390" s="889"/>
    </row>
    <row r="30391" spans="7:7" ht="10.5" customHeight="1" x14ac:dyDescent="0.2">
      <c r="G30391" s="889"/>
    </row>
    <row r="30392" spans="7:7" ht="10.5" customHeight="1" x14ac:dyDescent="0.2">
      <c r="G30392" s="889"/>
    </row>
    <row r="30393" spans="7:7" ht="10.5" customHeight="1" x14ac:dyDescent="0.2">
      <c r="G30393" s="889"/>
    </row>
    <row r="30394" spans="7:7" ht="10.5" customHeight="1" x14ac:dyDescent="0.2">
      <c r="G30394" s="889"/>
    </row>
    <row r="30395" spans="7:7" ht="10.5" customHeight="1" x14ac:dyDescent="0.2">
      <c r="G30395" s="889"/>
    </row>
    <row r="30396" spans="7:7" ht="10.5" customHeight="1" x14ac:dyDescent="0.2">
      <c r="G30396" s="889"/>
    </row>
    <row r="30397" spans="7:7" ht="10.5" customHeight="1" x14ac:dyDescent="0.2">
      <c r="G30397" s="889"/>
    </row>
    <row r="30398" spans="7:7" ht="10.5" customHeight="1" x14ac:dyDescent="0.2">
      <c r="G30398" s="889"/>
    </row>
    <row r="30399" spans="7:7" ht="10.5" customHeight="1" x14ac:dyDescent="0.2">
      <c r="G30399" s="889"/>
    </row>
    <row r="30400" spans="7:7" ht="10.5" customHeight="1" x14ac:dyDescent="0.2">
      <c r="G30400" s="889"/>
    </row>
    <row r="30401" spans="7:7" ht="10.5" customHeight="1" x14ac:dyDescent="0.2">
      <c r="G30401" s="889"/>
    </row>
    <row r="30402" spans="7:7" ht="10.5" customHeight="1" x14ac:dyDescent="0.2">
      <c r="G30402" s="889"/>
    </row>
    <row r="30403" spans="7:7" ht="10.5" customHeight="1" x14ac:dyDescent="0.2">
      <c r="G30403" s="889"/>
    </row>
    <row r="30404" spans="7:7" ht="10.5" customHeight="1" x14ac:dyDescent="0.2">
      <c r="G30404" s="889"/>
    </row>
    <row r="30405" spans="7:7" ht="10.5" customHeight="1" x14ac:dyDescent="0.2">
      <c r="G30405" s="889"/>
    </row>
    <row r="30406" spans="7:7" ht="10.5" customHeight="1" x14ac:dyDescent="0.2">
      <c r="G30406" s="889"/>
    </row>
    <row r="30407" spans="7:7" ht="10.5" customHeight="1" x14ac:dyDescent="0.2">
      <c r="G30407" s="889"/>
    </row>
    <row r="30408" spans="7:7" ht="10.5" customHeight="1" x14ac:dyDescent="0.2">
      <c r="G30408" s="889"/>
    </row>
    <row r="30409" spans="7:7" ht="10.5" customHeight="1" x14ac:dyDescent="0.2">
      <c r="G30409" s="889"/>
    </row>
    <row r="30410" spans="7:7" ht="10.5" customHeight="1" x14ac:dyDescent="0.2">
      <c r="G30410" s="889"/>
    </row>
    <row r="30411" spans="7:7" ht="10.5" customHeight="1" x14ac:dyDescent="0.2">
      <c r="G30411" s="889"/>
    </row>
    <row r="30412" spans="7:7" ht="10.5" customHeight="1" x14ac:dyDescent="0.2">
      <c r="G30412" s="889"/>
    </row>
    <row r="30413" spans="7:7" ht="10.5" customHeight="1" x14ac:dyDescent="0.2">
      <c r="G30413" s="889"/>
    </row>
    <row r="30414" spans="7:7" ht="10.5" customHeight="1" x14ac:dyDescent="0.2">
      <c r="G30414" s="889"/>
    </row>
    <row r="30415" spans="7:7" ht="10.5" customHeight="1" x14ac:dyDescent="0.2">
      <c r="G30415" s="889"/>
    </row>
    <row r="30416" spans="7:7" ht="10.5" customHeight="1" x14ac:dyDescent="0.2">
      <c r="G30416" s="889"/>
    </row>
    <row r="30417" spans="7:7" ht="10.5" customHeight="1" x14ac:dyDescent="0.2">
      <c r="G30417" s="889"/>
    </row>
    <row r="30418" spans="7:7" ht="10.5" customHeight="1" x14ac:dyDescent="0.2">
      <c r="G30418" s="889"/>
    </row>
    <row r="30419" spans="7:7" ht="10.5" customHeight="1" x14ac:dyDescent="0.2">
      <c r="G30419" s="889"/>
    </row>
    <row r="30420" spans="7:7" ht="10.5" customHeight="1" x14ac:dyDescent="0.2">
      <c r="G30420" s="889"/>
    </row>
    <row r="30421" spans="7:7" ht="10.5" customHeight="1" x14ac:dyDescent="0.2">
      <c r="G30421" s="889"/>
    </row>
    <row r="30422" spans="7:7" ht="10.5" customHeight="1" x14ac:dyDescent="0.2">
      <c r="G30422" s="889"/>
    </row>
    <row r="30423" spans="7:7" ht="10.5" customHeight="1" x14ac:dyDescent="0.2">
      <c r="G30423" s="889"/>
    </row>
    <row r="30424" spans="7:7" ht="10.5" customHeight="1" x14ac:dyDescent="0.2">
      <c r="G30424" s="889"/>
    </row>
    <row r="30425" spans="7:7" ht="10.5" customHeight="1" x14ac:dyDescent="0.2">
      <c r="G30425" s="889"/>
    </row>
    <row r="30426" spans="7:7" ht="10.5" customHeight="1" x14ac:dyDescent="0.2">
      <c r="G30426" s="889"/>
    </row>
    <row r="30427" spans="7:7" ht="10.5" customHeight="1" x14ac:dyDescent="0.2">
      <c r="G30427" s="889"/>
    </row>
    <row r="30428" spans="7:7" ht="10.5" customHeight="1" x14ac:dyDescent="0.2">
      <c r="G30428" s="889"/>
    </row>
    <row r="30429" spans="7:7" ht="10.5" customHeight="1" x14ac:dyDescent="0.2">
      <c r="G30429" s="889"/>
    </row>
    <row r="30430" spans="7:7" ht="10.5" customHeight="1" x14ac:dyDescent="0.2">
      <c r="G30430" s="889"/>
    </row>
    <row r="30431" spans="7:7" ht="10.5" customHeight="1" x14ac:dyDescent="0.2">
      <c r="G30431" s="889"/>
    </row>
    <row r="30432" spans="7:7" ht="10.5" customHeight="1" x14ac:dyDescent="0.2">
      <c r="G30432" s="889"/>
    </row>
    <row r="30433" spans="7:7" ht="10.5" customHeight="1" x14ac:dyDescent="0.2">
      <c r="G30433" s="889"/>
    </row>
    <row r="30434" spans="7:7" ht="10.5" customHeight="1" x14ac:dyDescent="0.2">
      <c r="G30434" s="889"/>
    </row>
    <row r="30435" spans="7:7" ht="10.5" customHeight="1" x14ac:dyDescent="0.2">
      <c r="G30435" s="889"/>
    </row>
    <row r="30436" spans="7:7" ht="10.5" customHeight="1" x14ac:dyDescent="0.2">
      <c r="G30436" s="889"/>
    </row>
    <row r="30437" spans="7:7" ht="10.5" customHeight="1" x14ac:dyDescent="0.2">
      <c r="G30437" s="889"/>
    </row>
    <row r="30438" spans="7:7" ht="10.5" customHeight="1" x14ac:dyDescent="0.2">
      <c r="G30438" s="889"/>
    </row>
    <row r="30439" spans="7:7" ht="10.5" customHeight="1" x14ac:dyDescent="0.2">
      <c r="G30439" s="889"/>
    </row>
    <row r="30440" spans="7:7" ht="10.5" customHeight="1" x14ac:dyDescent="0.2">
      <c r="G30440" s="889"/>
    </row>
    <row r="30441" spans="7:7" ht="10.5" customHeight="1" x14ac:dyDescent="0.2">
      <c r="G30441" s="889"/>
    </row>
    <row r="30442" spans="7:7" ht="10.5" customHeight="1" x14ac:dyDescent="0.2">
      <c r="G30442" s="889"/>
    </row>
    <row r="30443" spans="7:7" ht="10.5" customHeight="1" x14ac:dyDescent="0.2">
      <c r="G30443" s="889"/>
    </row>
    <row r="30444" spans="7:7" ht="10.5" customHeight="1" x14ac:dyDescent="0.2">
      <c r="G30444" s="889"/>
    </row>
    <row r="30445" spans="7:7" ht="10.5" customHeight="1" x14ac:dyDescent="0.2">
      <c r="G30445" s="889"/>
    </row>
    <row r="30446" spans="7:7" ht="10.5" customHeight="1" x14ac:dyDescent="0.2">
      <c r="G30446" s="889"/>
    </row>
    <row r="30447" spans="7:7" ht="10.5" customHeight="1" x14ac:dyDescent="0.2">
      <c r="G30447" s="889"/>
    </row>
    <row r="30448" spans="7:7" ht="10.5" customHeight="1" x14ac:dyDescent="0.2">
      <c r="G30448" s="889"/>
    </row>
    <row r="30449" spans="7:7" ht="10.5" customHeight="1" x14ac:dyDescent="0.2">
      <c r="G30449" s="889"/>
    </row>
    <row r="30450" spans="7:7" ht="10.5" customHeight="1" x14ac:dyDescent="0.2">
      <c r="G30450" s="889"/>
    </row>
    <row r="30451" spans="7:7" ht="10.5" customHeight="1" x14ac:dyDescent="0.2">
      <c r="G30451" s="889"/>
    </row>
    <row r="30452" spans="7:7" ht="10.5" customHeight="1" x14ac:dyDescent="0.2">
      <c r="G30452" s="889"/>
    </row>
    <row r="30453" spans="7:7" ht="10.5" customHeight="1" x14ac:dyDescent="0.2">
      <c r="G30453" s="889"/>
    </row>
    <row r="30454" spans="7:7" ht="10.5" customHeight="1" x14ac:dyDescent="0.2">
      <c r="G30454" s="889"/>
    </row>
    <row r="30455" spans="7:7" ht="10.5" customHeight="1" x14ac:dyDescent="0.2">
      <c r="G30455" s="889"/>
    </row>
    <row r="30456" spans="7:7" ht="10.5" customHeight="1" x14ac:dyDescent="0.2">
      <c r="G30456" s="889"/>
    </row>
    <row r="30457" spans="7:7" ht="10.5" customHeight="1" x14ac:dyDescent="0.2">
      <c r="G30457" s="889"/>
    </row>
    <row r="30458" spans="7:7" ht="10.5" customHeight="1" x14ac:dyDescent="0.2">
      <c r="G30458" s="889"/>
    </row>
    <row r="30459" spans="7:7" ht="10.5" customHeight="1" x14ac:dyDescent="0.2">
      <c r="G30459" s="889"/>
    </row>
    <row r="30460" spans="7:7" ht="10.5" customHeight="1" x14ac:dyDescent="0.2">
      <c r="G30460" s="889"/>
    </row>
    <row r="30461" spans="7:7" ht="10.5" customHeight="1" x14ac:dyDescent="0.2">
      <c r="G30461" s="889"/>
    </row>
    <row r="30462" spans="7:7" ht="10.5" customHeight="1" x14ac:dyDescent="0.2">
      <c r="G30462" s="889"/>
    </row>
    <row r="30463" spans="7:7" ht="10.5" customHeight="1" x14ac:dyDescent="0.2">
      <c r="G30463" s="889"/>
    </row>
    <row r="30464" spans="7:7" ht="10.5" customHeight="1" x14ac:dyDescent="0.2">
      <c r="G30464" s="889"/>
    </row>
    <row r="30465" spans="7:7" ht="10.5" customHeight="1" x14ac:dyDescent="0.2">
      <c r="G30465" s="889"/>
    </row>
    <row r="30466" spans="7:7" ht="10.5" customHeight="1" x14ac:dyDescent="0.2">
      <c r="G30466" s="889"/>
    </row>
    <row r="30467" spans="7:7" ht="10.5" customHeight="1" x14ac:dyDescent="0.2">
      <c r="G30467" s="889"/>
    </row>
    <row r="30468" spans="7:7" ht="10.5" customHeight="1" x14ac:dyDescent="0.2">
      <c r="G30468" s="889"/>
    </row>
    <row r="30469" spans="7:7" ht="10.5" customHeight="1" x14ac:dyDescent="0.2">
      <c r="G30469" s="889"/>
    </row>
    <row r="30470" spans="7:7" ht="10.5" customHeight="1" x14ac:dyDescent="0.2">
      <c r="G30470" s="889"/>
    </row>
    <row r="30471" spans="7:7" ht="10.5" customHeight="1" x14ac:dyDescent="0.2">
      <c r="G30471" s="889"/>
    </row>
    <row r="30472" spans="7:7" ht="10.5" customHeight="1" x14ac:dyDescent="0.2">
      <c r="G30472" s="889"/>
    </row>
    <row r="30473" spans="7:7" ht="10.5" customHeight="1" x14ac:dyDescent="0.2">
      <c r="G30473" s="889"/>
    </row>
    <row r="30474" spans="7:7" ht="10.5" customHeight="1" x14ac:dyDescent="0.2">
      <c r="G30474" s="889"/>
    </row>
    <row r="30475" spans="7:7" ht="10.5" customHeight="1" x14ac:dyDescent="0.2">
      <c r="G30475" s="889"/>
    </row>
    <row r="30476" spans="7:7" ht="10.5" customHeight="1" x14ac:dyDescent="0.2">
      <c r="G30476" s="889"/>
    </row>
    <row r="30477" spans="7:7" ht="10.5" customHeight="1" x14ac:dyDescent="0.2">
      <c r="G30477" s="889"/>
    </row>
    <row r="30478" spans="7:7" ht="10.5" customHeight="1" x14ac:dyDescent="0.2">
      <c r="G30478" s="889"/>
    </row>
    <row r="30479" spans="7:7" ht="10.5" customHeight="1" x14ac:dyDescent="0.2">
      <c r="G30479" s="889"/>
    </row>
    <row r="30480" spans="7:7" ht="10.5" customHeight="1" x14ac:dyDescent="0.2">
      <c r="G30480" s="889"/>
    </row>
    <row r="30481" spans="7:7" ht="10.5" customHeight="1" x14ac:dyDescent="0.2">
      <c r="G30481" s="889"/>
    </row>
    <row r="30482" spans="7:7" ht="10.5" customHeight="1" x14ac:dyDescent="0.2">
      <c r="G30482" s="889"/>
    </row>
    <row r="30483" spans="7:7" ht="10.5" customHeight="1" x14ac:dyDescent="0.2">
      <c r="G30483" s="889"/>
    </row>
    <row r="30484" spans="7:7" ht="10.5" customHeight="1" x14ac:dyDescent="0.2">
      <c r="G30484" s="889"/>
    </row>
    <row r="30485" spans="7:7" ht="10.5" customHeight="1" x14ac:dyDescent="0.2">
      <c r="G30485" s="889"/>
    </row>
    <row r="30486" spans="7:7" ht="10.5" customHeight="1" x14ac:dyDescent="0.2">
      <c r="G30486" s="889"/>
    </row>
    <row r="30487" spans="7:7" ht="10.5" customHeight="1" x14ac:dyDescent="0.2">
      <c r="G30487" s="889"/>
    </row>
    <row r="30488" spans="7:7" ht="10.5" customHeight="1" x14ac:dyDescent="0.2">
      <c r="G30488" s="889"/>
    </row>
    <row r="30489" spans="7:7" ht="10.5" customHeight="1" x14ac:dyDescent="0.2">
      <c r="G30489" s="889"/>
    </row>
    <row r="30490" spans="7:7" ht="10.5" customHeight="1" x14ac:dyDescent="0.2">
      <c r="G30490" s="889"/>
    </row>
    <row r="30491" spans="7:7" ht="10.5" customHeight="1" x14ac:dyDescent="0.2">
      <c r="G30491" s="889"/>
    </row>
    <row r="30492" spans="7:7" ht="10.5" customHeight="1" x14ac:dyDescent="0.2">
      <c r="G30492" s="889"/>
    </row>
    <row r="30493" spans="7:7" ht="10.5" customHeight="1" x14ac:dyDescent="0.2">
      <c r="G30493" s="889"/>
    </row>
    <row r="30494" spans="7:7" ht="10.5" customHeight="1" x14ac:dyDescent="0.2">
      <c r="G30494" s="889"/>
    </row>
    <row r="30495" spans="7:7" ht="10.5" customHeight="1" x14ac:dyDescent="0.2">
      <c r="G30495" s="889"/>
    </row>
    <row r="30496" spans="7:7" ht="10.5" customHeight="1" x14ac:dyDescent="0.2">
      <c r="G30496" s="889"/>
    </row>
    <row r="30497" spans="7:7" ht="10.5" customHeight="1" x14ac:dyDescent="0.2">
      <c r="G30497" s="889"/>
    </row>
    <row r="30498" spans="7:7" ht="10.5" customHeight="1" x14ac:dyDescent="0.2">
      <c r="G30498" s="889"/>
    </row>
    <row r="30499" spans="7:7" ht="10.5" customHeight="1" x14ac:dyDescent="0.2">
      <c r="G30499" s="889"/>
    </row>
    <row r="30500" spans="7:7" ht="10.5" customHeight="1" x14ac:dyDescent="0.2">
      <c r="G30500" s="889"/>
    </row>
    <row r="30501" spans="7:7" ht="10.5" customHeight="1" x14ac:dyDescent="0.2">
      <c r="G30501" s="889"/>
    </row>
    <row r="30502" spans="7:7" ht="10.5" customHeight="1" x14ac:dyDescent="0.2">
      <c r="G30502" s="889"/>
    </row>
    <row r="30503" spans="7:7" ht="10.5" customHeight="1" x14ac:dyDescent="0.2">
      <c r="G30503" s="889"/>
    </row>
    <row r="30504" spans="7:7" ht="10.5" customHeight="1" x14ac:dyDescent="0.2">
      <c r="G30504" s="889"/>
    </row>
    <row r="30505" spans="7:7" ht="10.5" customHeight="1" x14ac:dyDescent="0.2">
      <c r="G30505" s="889"/>
    </row>
    <row r="30506" spans="7:7" ht="10.5" customHeight="1" x14ac:dyDescent="0.2">
      <c r="G30506" s="889"/>
    </row>
    <row r="30507" spans="7:7" ht="10.5" customHeight="1" x14ac:dyDescent="0.2">
      <c r="G30507" s="889"/>
    </row>
    <row r="30508" spans="7:7" ht="10.5" customHeight="1" x14ac:dyDescent="0.2">
      <c r="G30508" s="889"/>
    </row>
    <row r="30509" spans="7:7" ht="10.5" customHeight="1" x14ac:dyDescent="0.2">
      <c r="G30509" s="889"/>
    </row>
    <row r="30510" spans="7:7" ht="10.5" customHeight="1" x14ac:dyDescent="0.2">
      <c r="G30510" s="889"/>
    </row>
    <row r="30511" spans="7:7" ht="10.5" customHeight="1" x14ac:dyDescent="0.2">
      <c r="G30511" s="889"/>
    </row>
    <row r="30512" spans="7:7" ht="10.5" customHeight="1" x14ac:dyDescent="0.2">
      <c r="G30512" s="889"/>
    </row>
    <row r="30513" spans="7:7" ht="10.5" customHeight="1" x14ac:dyDescent="0.2">
      <c r="G30513" s="889"/>
    </row>
    <row r="30514" spans="7:7" ht="10.5" customHeight="1" x14ac:dyDescent="0.2">
      <c r="G30514" s="889"/>
    </row>
    <row r="30515" spans="7:7" ht="10.5" customHeight="1" x14ac:dyDescent="0.2">
      <c r="G30515" s="889"/>
    </row>
    <row r="30516" spans="7:7" ht="10.5" customHeight="1" x14ac:dyDescent="0.2">
      <c r="G30516" s="889"/>
    </row>
    <row r="30517" spans="7:7" ht="10.5" customHeight="1" x14ac:dyDescent="0.2">
      <c r="G30517" s="889"/>
    </row>
    <row r="30518" spans="7:7" ht="10.5" customHeight="1" x14ac:dyDescent="0.2">
      <c r="G30518" s="889"/>
    </row>
    <row r="30519" spans="7:7" ht="10.5" customHeight="1" x14ac:dyDescent="0.2">
      <c r="G30519" s="889"/>
    </row>
    <row r="30520" spans="7:7" ht="10.5" customHeight="1" x14ac:dyDescent="0.2">
      <c r="G30520" s="889"/>
    </row>
    <row r="30521" spans="7:7" ht="10.5" customHeight="1" x14ac:dyDescent="0.2">
      <c r="G30521" s="889"/>
    </row>
    <row r="30522" spans="7:7" ht="10.5" customHeight="1" x14ac:dyDescent="0.2">
      <c r="G30522" s="889"/>
    </row>
    <row r="30523" spans="7:7" ht="10.5" customHeight="1" x14ac:dyDescent="0.2">
      <c r="G30523" s="889"/>
    </row>
    <row r="30524" spans="7:7" ht="10.5" customHeight="1" x14ac:dyDescent="0.2">
      <c r="G30524" s="889"/>
    </row>
    <row r="30525" spans="7:7" ht="10.5" customHeight="1" x14ac:dyDescent="0.2">
      <c r="G30525" s="889"/>
    </row>
    <row r="30526" spans="7:7" ht="10.5" customHeight="1" x14ac:dyDescent="0.2">
      <c r="G30526" s="889"/>
    </row>
    <row r="30527" spans="7:7" ht="10.5" customHeight="1" x14ac:dyDescent="0.2">
      <c r="G30527" s="889"/>
    </row>
    <row r="30528" spans="7:7" ht="10.5" customHeight="1" x14ac:dyDescent="0.2">
      <c r="G30528" s="889"/>
    </row>
    <row r="30529" spans="7:7" ht="10.5" customHeight="1" x14ac:dyDescent="0.2">
      <c r="G30529" s="889"/>
    </row>
    <row r="30530" spans="7:7" ht="10.5" customHeight="1" x14ac:dyDescent="0.2">
      <c r="G30530" s="889"/>
    </row>
    <row r="30531" spans="7:7" ht="10.5" customHeight="1" x14ac:dyDescent="0.2">
      <c r="G30531" s="889"/>
    </row>
    <row r="30532" spans="7:7" ht="10.5" customHeight="1" x14ac:dyDescent="0.2">
      <c r="G30532" s="889"/>
    </row>
    <row r="30533" spans="7:7" ht="10.5" customHeight="1" x14ac:dyDescent="0.2">
      <c r="G30533" s="889"/>
    </row>
    <row r="30534" spans="7:7" ht="10.5" customHeight="1" x14ac:dyDescent="0.2">
      <c r="G30534" s="889"/>
    </row>
    <row r="30535" spans="7:7" ht="10.5" customHeight="1" x14ac:dyDescent="0.2">
      <c r="G30535" s="889"/>
    </row>
    <row r="30536" spans="7:7" ht="10.5" customHeight="1" x14ac:dyDescent="0.2">
      <c r="G30536" s="889"/>
    </row>
    <row r="30537" spans="7:7" ht="10.5" customHeight="1" x14ac:dyDescent="0.2">
      <c r="G30537" s="889"/>
    </row>
    <row r="30538" spans="7:7" ht="10.5" customHeight="1" x14ac:dyDescent="0.2">
      <c r="G30538" s="889"/>
    </row>
    <row r="30539" spans="7:7" ht="10.5" customHeight="1" x14ac:dyDescent="0.2">
      <c r="G30539" s="889"/>
    </row>
    <row r="30540" spans="7:7" ht="10.5" customHeight="1" x14ac:dyDescent="0.2">
      <c r="G30540" s="889"/>
    </row>
    <row r="30541" spans="7:7" ht="10.5" customHeight="1" x14ac:dyDescent="0.2">
      <c r="G30541" s="889"/>
    </row>
    <row r="30542" spans="7:7" ht="10.5" customHeight="1" x14ac:dyDescent="0.2">
      <c r="G30542" s="889"/>
    </row>
    <row r="30543" spans="7:7" ht="10.5" customHeight="1" x14ac:dyDescent="0.2">
      <c r="G30543" s="889"/>
    </row>
    <row r="30544" spans="7:7" ht="10.5" customHeight="1" x14ac:dyDescent="0.2">
      <c r="G30544" s="889"/>
    </row>
    <row r="30545" spans="7:7" ht="10.5" customHeight="1" x14ac:dyDescent="0.2">
      <c r="G30545" s="889"/>
    </row>
    <row r="30546" spans="7:7" ht="10.5" customHeight="1" x14ac:dyDescent="0.2">
      <c r="G30546" s="889"/>
    </row>
    <row r="30547" spans="7:7" ht="10.5" customHeight="1" x14ac:dyDescent="0.2">
      <c r="G30547" s="889"/>
    </row>
    <row r="30548" spans="7:7" ht="10.5" customHeight="1" x14ac:dyDescent="0.2">
      <c r="G30548" s="889"/>
    </row>
    <row r="30549" spans="7:7" ht="10.5" customHeight="1" x14ac:dyDescent="0.2">
      <c r="G30549" s="889"/>
    </row>
    <row r="30550" spans="7:7" ht="10.5" customHeight="1" x14ac:dyDescent="0.2">
      <c r="G30550" s="889"/>
    </row>
    <row r="30551" spans="7:7" ht="10.5" customHeight="1" x14ac:dyDescent="0.2">
      <c r="G30551" s="889"/>
    </row>
    <row r="30552" spans="7:7" ht="10.5" customHeight="1" x14ac:dyDescent="0.2">
      <c r="G30552" s="889"/>
    </row>
    <row r="30553" spans="7:7" ht="10.5" customHeight="1" x14ac:dyDescent="0.2">
      <c r="G30553" s="889"/>
    </row>
    <row r="30554" spans="7:7" ht="10.5" customHeight="1" x14ac:dyDescent="0.2">
      <c r="G30554" s="889"/>
    </row>
    <row r="30555" spans="7:7" ht="10.5" customHeight="1" x14ac:dyDescent="0.2">
      <c r="G30555" s="889"/>
    </row>
    <row r="30556" spans="7:7" ht="10.5" customHeight="1" x14ac:dyDescent="0.2">
      <c r="G30556" s="889"/>
    </row>
    <row r="30557" spans="7:7" ht="10.5" customHeight="1" x14ac:dyDescent="0.2">
      <c r="G30557" s="889"/>
    </row>
    <row r="30558" spans="7:7" ht="10.5" customHeight="1" x14ac:dyDescent="0.2">
      <c r="G30558" s="889"/>
    </row>
    <row r="30559" spans="7:7" ht="10.5" customHeight="1" x14ac:dyDescent="0.2">
      <c r="G30559" s="889"/>
    </row>
    <row r="30560" spans="7:7" ht="10.5" customHeight="1" x14ac:dyDescent="0.2">
      <c r="G30560" s="889"/>
    </row>
    <row r="30561" spans="7:7" ht="10.5" customHeight="1" x14ac:dyDescent="0.2">
      <c r="G30561" s="889"/>
    </row>
    <row r="30562" spans="7:7" ht="10.5" customHeight="1" x14ac:dyDescent="0.2">
      <c r="G30562" s="889"/>
    </row>
    <row r="30563" spans="7:7" ht="10.5" customHeight="1" x14ac:dyDescent="0.2">
      <c r="G30563" s="889"/>
    </row>
    <row r="30564" spans="7:7" ht="10.5" customHeight="1" x14ac:dyDescent="0.2">
      <c r="G30564" s="889"/>
    </row>
    <row r="30565" spans="7:7" ht="10.5" customHeight="1" x14ac:dyDescent="0.2">
      <c r="G30565" s="889"/>
    </row>
    <row r="30566" spans="7:7" ht="10.5" customHeight="1" x14ac:dyDescent="0.2">
      <c r="G30566" s="889"/>
    </row>
    <row r="30567" spans="7:7" ht="10.5" customHeight="1" x14ac:dyDescent="0.2">
      <c r="G30567" s="889"/>
    </row>
    <row r="30568" spans="7:7" ht="10.5" customHeight="1" x14ac:dyDescent="0.2">
      <c r="G30568" s="889"/>
    </row>
    <row r="30569" spans="7:7" ht="10.5" customHeight="1" x14ac:dyDescent="0.2">
      <c r="G30569" s="889"/>
    </row>
    <row r="30570" spans="7:7" ht="10.5" customHeight="1" x14ac:dyDescent="0.2">
      <c r="G30570" s="889"/>
    </row>
    <row r="30571" spans="7:7" ht="10.5" customHeight="1" x14ac:dyDescent="0.2">
      <c r="G30571" s="889"/>
    </row>
    <row r="30572" spans="7:7" ht="10.5" customHeight="1" x14ac:dyDescent="0.2">
      <c r="G30572" s="889"/>
    </row>
    <row r="30573" spans="7:7" ht="10.5" customHeight="1" x14ac:dyDescent="0.2">
      <c r="G30573" s="889"/>
    </row>
    <row r="30574" spans="7:7" ht="10.5" customHeight="1" x14ac:dyDescent="0.2">
      <c r="G30574" s="889"/>
    </row>
    <row r="30575" spans="7:7" ht="10.5" customHeight="1" x14ac:dyDescent="0.2">
      <c r="G30575" s="889"/>
    </row>
    <row r="30576" spans="7:7" ht="10.5" customHeight="1" x14ac:dyDescent="0.2">
      <c r="G30576" s="889"/>
    </row>
    <row r="30577" spans="7:7" ht="10.5" customHeight="1" x14ac:dyDescent="0.2">
      <c r="G30577" s="889"/>
    </row>
    <row r="30578" spans="7:7" ht="10.5" customHeight="1" x14ac:dyDescent="0.2">
      <c r="G30578" s="889"/>
    </row>
    <row r="30579" spans="7:7" ht="10.5" customHeight="1" x14ac:dyDescent="0.2">
      <c r="G30579" s="889"/>
    </row>
    <row r="30580" spans="7:7" ht="10.5" customHeight="1" x14ac:dyDescent="0.2">
      <c r="G30580" s="889"/>
    </row>
    <row r="30581" spans="7:7" ht="10.5" customHeight="1" x14ac:dyDescent="0.2">
      <c r="G30581" s="889"/>
    </row>
    <row r="30582" spans="7:7" ht="10.5" customHeight="1" x14ac:dyDescent="0.2">
      <c r="G30582" s="889"/>
    </row>
    <row r="30583" spans="7:7" ht="10.5" customHeight="1" x14ac:dyDescent="0.2">
      <c r="G30583" s="889"/>
    </row>
    <row r="30584" spans="7:7" ht="10.5" customHeight="1" x14ac:dyDescent="0.2">
      <c r="G30584" s="889"/>
    </row>
    <row r="30585" spans="7:7" ht="10.5" customHeight="1" x14ac:dyDescent="0.2">
      <c r="G30585" s="889"/>
    </row>
    <row r="30586" spans="7:7" ht="10.5" customHeight="1" x14ac:dyDescent="0.2">
      <c r="G30586" s="889"/>
    </row>
    <row r="30587" spans="7:7" ht="10.5" customHeight="1" x14ac:dyDescent="0.2">
      <c r="G30587" s="889"/>
    </row>
    <row r="30588" spans="7:7" ht="10.5" customHeight="1" x14ac:dyDescent="0.2">
      <c r="G30588" s="889"/>
    </row>
    <row r="30589" spans="7:7" ht="10.5" customHeight="1" x14ac:dyDescent="0.2">
      <c r="G30589" s="889"/>
    </row>
    <row r="30590" spans="7:7" ht="10.5" customHeight="1" x14ac:dyDescent="0.2">
      <c r="G30590" s="889"/>
    </row>
    <row r="30591" spans="7:7" ht="10.5" customHeight="1" x14ac:dyDescent="0.2">
      <c r="G30591" s="889"/>
    </row>
    <row r="30592" spans="7:7" ht="10.5" customHeight="1" x14ac:dyDescent="0.2">
      <c r="G30592" s="889"/>
    </row>
    <row r="30593" spans="7:7" ht="10.5" customHeight="1" x14ac:dyDescent="0.2">
      <c r="G30593" s="889"/>
    </row>
    <row r="30594" spans="7:7" ht="10.5" customHeight="1" x14ac:dyDescent="0.2">
      <c r="G30594" s="889"/>
    </row>
    <row r="30595" spans="7:7" ht="10.5" customHeight="1" x14ac:dyDescent="0.2">
      <c r="G30595" s="889"/>
    </row>
    <row r="30596" spans="7:7" ht="10.5" customHeight="1" x14ac:dyDescent="0.2">
      <c r="G30596" s="889"/>
    </row>
    <row r="30597" spans="7:7" ht="10.5" customHeight="1" x14ac:dyDescent="0.2">
      <c r="G30597" s="889"/>
    </row>
    <row r="30598" spans="7:7" ht="10.5" customHeight="1" x14ac:dyDescent="0.2">
      <c r="G30598" s="889"/>
    </row>
    <row r="30599" spans="7:7" ht="10.5" customHeight="1" x14ac:dyDescent="0.2">
      <c r="G30599" s="889"/>
    </row>
    <row r="30600" spans="7:7" ht="10.5" customHeight="1" x14ac:dyDescent="0.2">
      <c r="G30600" s="889"/>
    </row>
    <row r="30601" spans="7:7" ht="10.5" customHeight="1" x14ac:dyDescent="0.2">
      <c r="G30601" s="889"/>
    </row>
    <row r="30602" spans="7:7" ht="10.5" customHeight="1" x14ac:dyDescent="0.2">
      <c r="G30602" s="889"/>
    </row>
    <row r="30603" spans="7:7" ht="10.5" customHeight="1" x14ac:dyDescent="0.2">
      <c r="G30603" s="889"/>
    </row>
    <row r="30604" spans="7:7" ht="10.5" customHeight="1" x14ac:dyDescent="0.2">
      <c r="G30604" s="889"/>
    </row>
    <row r="30605" spans="7:7" ht="10.5" customHeight="1" x14ac:dyDescent="0.2">
      <c r="G30605" s="889"/>
    </row>
    <row r="30606" spans="7:7" ht="10.5" customHeight="1" x14ac:dyDescent="0.2">
      <c r="G30606" s="889"/>
    </row>
    <row r="30607" spans="7:7" ht="10.5" customHeight="1" x14ac:dyDescent="0.2">
      <c r="G30607" s="889"/>
    </row>
    <row r="30608" spans="7:7" ht="10.5" customHeight="1" x14ac:dyDescent="0.2">
      <c r="G30608" s="889"/>
    </row>
    <row r="30609" spans="7:7" ht="10.5" customHeight="1" x14ac:dyDescent="0.2">
      <c r="G30609" s="889"/>
    </row>
    <row r="30610" spans="7:7" ht="10.5" customHeight="1" x14ac:dyDescent="0.2">
      <c r="G30610" s="889"/>
    </row>
    <row r="30611" spans="7:7" ht="10.5" customHeight="1" x14ac:dyDescent="0.2">
      <c r="G30611" s="889"/>
    </row>
    <row r="30612" spans="7:7" ht="10.5" customHeight="1" x14ac:dyDescent="0.2">
      <c r="G30612" s="889"/>
    </row>
    <row r="30613" spans="7:7" ht="10.5" customHeight="1" x14ac:dyDescent="0.2">
      <c r="G30613" s="889"/>
    </row>
    <row r="30614" spans="7:7" ht="10.5" customHeight="1" x14ac:dyDescent="0.2">
      <c r="G30614" s="889"/>
    </row>
    <row r="30615" spans="7:7" ht="10.5" customHeight="1" x14ac:dyDescent="0.2">
      <c r="G30615" s="889"/>
    </row>
    <row r="30616" spans="7:7" ht="10.5" customHeight="1" x14ac:dyDescent="0.2">
      <c r="G30616" s="889"/>
    </row>
    <row r="30617" spans="7:7" ht="10.5" customHeight="1" x14ac:dyDescent="0.2">
      <c r="G30617" s="889"/>
    </row>
    <row r="30618" spans="7:7" ht="10.5" customHeight="1" x14ac:dyDescent="0.2">
      <c r="G30618" s="889"/>
    </row>
    <row r="30619" spans="7:7" ht="10.5" customHeight="1" x14ac:dyDescent="0.2">
      <c r="G30619" s="889"/>
    </row>
    <row r="30620" spans="7:7" ht="10.5" customHeight="1" x14ac:dyDescent="0.2">
      <c r="G30620" s="889"/>
    </row>
    <row r="30621" spans="7:7" ht="10.5" customHeight="1" x14ac:dyDescent="0.2">
      <c r="G30621" s="889"/>
    </row>
    <row r="30622" spans="7:7" ht="10.5" customHeight="1" x14ac:dyDescent="0.2">
      <c r="G30622" s="889"/>
    </row>
    <row r="30623" spans="7:7" ht="10.5" customHeight="1" x14ac:dyDescent="0.2">
      <c r="G30623" s="889"/>
    </row>
    <row r="30624" spans="7:7" ht="10.5" customHeight="1" x14ac:dyDescent="0.2">
      <c r="G30624" s="889"/>
    </row>
    <row r="30625" spans="7:7" ht="10.5" customHeight="1" x14ac:dyDescent="0.2">
      <c r="G30625" s="889"/>
    </row>
    <row r="30626" spans="7:7" ht="10.5" customHeight="1" x14ac:dyDescent="0.2">
      <c r="G30626" s="889"/>
    </row>
    <row r="30627" spans="7:7" ht="10.5" customHeight="1" x14ac:dyDescent="0.2">
      <c r="G30627" s="889"/>
    </row>
    <row r="30628" spans="7:7" ht="10.5" customHeight="1" x14ac:dyDescent="0.2">
      <c r="G30628" s="889"/>
    </row>
    <row r="30629" spans="7:7" ht="10.5" customHeight="1" x14ac:dyDescent="0.2">
      <c r="G30629" s="889"/>
    </row>
    <row r="30630" spans="7:7" ht="10.5" customHeight="1" x14ac:dyDescent="0.2">
      <c r="G30630" s="889"/>
    </row>
    <row r="30631" spans="7:7" ht="10.5" customHeight="1" x14ac:dyDescent="0.2">
      <c r="G30631" s="889"/>
    </row>
    <row r="30632" spans="7:7" ht="10.5" customHeight="1" x14ac:dyDescent="0.2">
      <c r="G30632" s="889"/>
    </row>
    <row r="30633" spans="7:7" ht="10.5" customHeight="1" x14ac:dyDescent="0.2">
      <c r="G30633" s="889"/>
    </row>
    <row r="30634" spans="7:7" ht="10.5" customHeight="1" x14ac:dyDescent="0.2">
      <c r="G30634" s="889"/>
    </row>
    <row r="30635" spans="7:7" ht="10.5" customHeight="1" x14ac:dyDescent="0.2">
      <c r="G30635" s="889"/>
    </row>
    <row r="30636" spans="7:7" ht="10.5" customHeight="1" x14ac:dyDescent="0.2">
      <c r="G30636" s="889"/>
    </row>
    <row r="30637" spans="7:7" ht="10.5" customHeight="1" x14ac:dyDescent="0.2">
      <c r="G30637" s="889"/>
    </row>
    <row r="30638" spans="7:7" ht="10.5" customHeight="1" x14ac:dyDescent="0.2">
      <c r="G30638" s="889"/>
    </row>
    <row r="30639" spans="7:7" ht="10.5" customHeight="1" x14ac:dyDescent="0.2">
      <c r="G30639" s="889"/>
    </row>
    <row r="30640" spans="7:7" ht="10.5" customHeight="1" x14ac:dyDescent="0.2">
      <c r="G30640" s="889"/>
    </row>
    <row r="30641" spans="7:7" ht="10.5" customHeight="1" x14ac:dyDescent="0.2">
      <c r="G30641" s="889"/>
    </row>
    <row r="30642" spans="7:7" ht="10.5" customHeight="1" x14ac:dyDescent="0.2">
      <c r="G30642" s="889"/>
    </row>
    <row r="30643" spans="7:7" ht="10.5" customHeight="1" x14ac:dyDescent="0.2">
      <c r="G30643" s="889"/>
    </row>
    <row r="30644" spans="7:7" ht="10.5" customHeight="1" x14ac:dyDescent="0.2">
      <c r="G30644" s="889"/>
    </row>
    <row r="30645" spans="7:7" ht="10.5" customHeight="1" x14ac:dyDescent="0.2">
      <c r="G30645" s="889"/>
    </row>
    <row r="30646" spans="7:7" ht="10.5" customHeight="1" x14ac:dyDescent="0.2">
      <c r="G30646" s="889"/>
    </row>
    <row r="30647" spans="7:7" ht="10.5" customHeight="1" x14ac:dyDescent="0.2">
      <c r="G30647" s="889"/>
    </row>
    <row r="30648" spans="7:7" ht="10.5" customHeight="1" x14ac:dyDescent="0.2">
      <c r="G30648" s="889"/>
    </row>
    <row r="30649" spans="7:7" ht="10.5" customHeight="1" x14ac:dyDescent="0.2">
      <c r="G30649" s="889"/>
    </row>
    <row r="30650" spans="7:7" ht="10.5" customHeight="1" x14ac:dyDescent="0.2">
      <c r="G30650" s="889"/>
    </row>
    <row r="30651" spans="7:7" ht="10.5" customHeight="1" x14ac:dyDescent="0.2">
      <c r="G30651" s="889"/>
    </row>
    <row r="30652" spans="7:7" ht="10.5" customHeight="1" x14ac:dyDescent="0.2">
      <c r="G30652" s="889"/>
    </row>
    <row r="30653" spans="7:7" ht="10.5" customHeight="1" x14ac:dyDescent="0.2">
      <c r="G30653" s="889"/>
    </row>
    <row r="30654" spans="7:7" ht="10.5" customHeight="1" x14ac:dyDescent="0.2">
      <c r="G30654" s="889"/>
    </row>
    <row r="30655" spans="7:7" ht="10.5" customHeight="1" x14ac:dyDescent="0.2">
      <c r="G30655" s="889"/>
    </row>
    <row r="30656" spans="7:7" ht="10.5" customHeight="1" x14ac:dyDescent="0.2">
      <c r="G30656" s="889"/>
    </row>
    <row r="30657" spans="7:7" ht="10.5" customHeight="1" x14ac:dyDescent="0.2">
      <c r="G30657" s="889"/>
    </row>
    <row r="30658" spans="7:7" ht="10.5" customHeight="1" x14ac:dyDescent="0.2">
      <c r="G30658" s="889"/>
    </row>
    <row r="30659" spans="7:7" ht="10.5" customHeight="1" x14ac:dyDescent="0.2">
      <c r="G30659" s="889"/>
    </row>
    <row r="30660" spans="7:7" ht="10.5" customHeight="1" x14ac:dyDescent="0.2">
      <c r="G30660" s="889"/>
    </row>
    <row r="30661" spans="7:7" ht="10.5" customHeight="1" x14ac:dyDescent="0.2">
      <c r="G30661" s="889"/>
    </row>
    <row r="30662" spans="7:7" ht="10.5" customHeight="1" x14ac:dyDescent="0.2">
      <c r="G30662" s="889"/>
    </row>
    <row r="30663" spans="7:7" ht="10.5" customHeight="1" x14ac:dyDescent="0.2">
      <c r="G30663" s="889"/>
    </row>
    <row r="30664" spans="7:7" ht="10.5" customHeight="1" x14ac:dyDescent="0.2">
      <c r="G30664" s="889"/>
    </row>
    <row r="30665" spans="7:7" ht="10.5" customHeight="1" x14ac:dyDescent="0.2">
      <c r="G30665" s="889"/>
    </row>
    <row r="30666" spans="7:7" ht="10.5" customHeight="1" x14ac:dyDescent="0.2">
      <c r="G30666" s="889"/>
    </row>
    <row r="30667" spans="7:7" ht="10.5" customHeight="1" x14ac:dyDescent="0.2">
      <c r="G30667" s="889"/>
    </row>
    <row r="30668" spans="7:7" ht="10.5" customHeight="1" x14ac:dyDescent="0.2">
      <c r="G30668" s="889"/>
    </row>
    <row r="30669" spans="7:7" ht="10.5" customHeight="1" x14ac:dyDescent="0.2">
      <c r="G30669" s="889"/>
    </row>
    <row r="30670" spans="7:7" ht="10.5" customHeight="1" x14ac:dyDescent="0.2">
      <c r="G30670" s="889"/>
    </row>
    <row r="30671" spans="7:7" ht="10.5" customHeight="1" x14ac:dyDescent="0.2">
      <c r="G30671" s="889"/>
    </row>
    <row r="30672" spans="7:7" ht="10.5" customHeight="1" x14ac:dyDescent="0.2">
      <c r="G30672" s="889"/>
    </row>
    <row r="30673" spans="7:7" ht="10.5" customHeight="1" x14ac:dyDescent="0.2">
      <c r="G30673" s="889"/>
    </row>
    <row r="30674" spans="7:7" ht="10.5" customHeight="1" x14ac:dyDescent="0.2">
      <c r="G30674" s="889"/>
    </row>
    <row r="30675" spans="7:7" ht="10.5" customHeight="1" x14ac:dyDescent="0.2">
      <c r="G30675" s="889"/>
    </row>
    <row r="30676" spans="7:7" ht="10.5" customHeight="1" x14ac:dyDescent="0.2">
      <c r="G30676" s="889"/>
    </row>
    <row r="30677" spans="7:7" ht="10.5" customHeight="1" x14ac:dyDescent="0.2">
      <c r="G30677" s="889"/>
    </row>
    <row r="30678" spans="7:7" ht="10.5" customHeight="1" x14ac:dyDescent="0.2">
      <c r="G30678" s="889"/>
    </row>
    <row r="30679" spans="7:7" ht="10.5" customHeight="1" x14ac:dyDescent="0.2">
      <c r="G30679" s="889"/>
    </row>
    <row r="30680" spans="7:7" ht="10.5" customHeight="1" x14ac:dyDescent="0.2">
      <c r="G30680" s="889"/>
    </row>
    <row r="30681" spans="7:7" ht="10.5" customHeight="1" x14ac:dyDescent="0.2">
      <c r="G30681" s="889"/>
    </row>
    <row r="30682" spans="7:7" ht="10.5" customHeight="1" x14ac:dyDescent="0.2">
      <c r="G30682" s="889"/>
    </row>
    <row r="30683" spans="7:7" ht="10.5" customHeight="1" x14ac:dyDescent="0.2">
      <c r="G30683" s="889"/>
    </row>
    <row r="30684" spans="7:7" ht="10.5" customHeight="1" x14ac:dyDescent="0.2">
      <c r="G30684" s="889"/>
    </row>
    <row r="30685" spans="7:7" ht="10.5" customHeight="1" x14ac:dyDescent="0.2">
      <c r="G30685" s="889"/>
    </row>
    <row r="30686" spans="7:7" ht="10.5" customHeight="1" x14ac:dyDescent="0.2">
      <c r="G30686" s="889"/>
    </row>
    <row r="30687" spans="7:7" ht="10.5" customHeight="1" x14ac:dyDescent="0.2">
      <c r="G30687" s="889"/>
    </row>
    <row r="30688" spans="7:7" ht="10.5" customHeight="1" x14ac:dyDescent="0.2">
      <c r="G30688" s="889"/>
    </row>
    <row r="30689" spans="7:7" ht="10.5" customHeight="1" x14ac:dyDescent="0.2">
      <c r="G30689" s="889"/>
    </row>
    <row r="30690" spans="7:7" ht="10.5" customHeight="1" x14ac:dyDescent="0.2">
      <c r="G30690" s="889"/>
    </row>
    <row r="30691" spans="7:7" ht="10.5" customHeight="1" x14ac:dyDescent="0.2">
      <c r="G30691" s="889"/>
    </row>
    <row r="30692" spans="7:7" ht="10.5" customHeight="1" x14ac:dyDescent="0.2">
      <c r="G30692" s="889"/>
    </row>
    <row r="30693" spans="7:7" ht="10.5" customHeight="1" x14ac:dyDescent="0.2">
      <c r="G30693" s="889"/>
    </row>
    <row r="30694" spans="7:7" ht="10.5" customHeight="1" x14ac:dyDescent="0.2">
      <c r="G30694" s="889"/>
    </row>
    <row r="30695" spans="7:7" ht="10.5" customHeight="1" x14ac:dyDescent="0.2">
      <c r="G30695" s="889"/>
    </row>
    <row r="30696" spans="7:7" ht="10.5" customHeight="1" x14ac:dyDescent="0.2">
      <c r="G30696" s="889"/>
    </row>
    <row r="30697" spans="7:7" ht="10.5" customHeight="1" x14ac:dyDescent="0.2">
      <c r="G30697" s="889"/>
    </row>
    <row r="30698" spans="7:7" ht="10.5" customHeight="1" x14ac:dyDescent="0.2">
      <c r="G30698" s="889"/>
    </row>
    <row r="30699" spans="7:7" ht="10.5" customHeight="1" x14ac:dyDescent="0.2">
      <c r="G30699" s="889"/>
    </row>
    <row r="30700" spans="7:7" ht="10.5" customHeight="1" x14ac:dyDescent="0.2">
      <c r="G30700" s="889"/>
    </row>
    <row r="30701" spans="7:7" ht="10.5" customHeight="1" x14ac:dyDescent="0.2">
      <c r="G30701" s="889"/>
    </row>
    <row r="30702" spans="7:7" ht="10.5" customHeight="1" x14ac:dyDescent="0.2">
      <c r="G30702" s="889"/>
    </row>
    <row r="30703" spans="7:7" ht="10.5" customHeight="1" x14ac:dyDescent="0.2">
      <c r="G30703" s="889"/>
    </row>
    <row r="30704" spans="7:7" ht="10.5" customHeight="1" x14ac:dyDescent="0.2">
      <c r="G30704" s="889"/>
    </row>
    <row r="30705" spans="7:7" ht="10.5" customHeight="1" x14ac:dyDescent="0.2">
      <c r="G30705" s="889"/>
    </row>
    <row r="30706" spans="7:7" ht="10.5" customHeight="1" x14ac:dyDescent="0.2">
      <c r="G30706" s="889"/>
    </row>
    <row r="30707" spans="7:7" ht="10.5" customHeight="1" x14ac:dyDescent="0.2">
      <c r="G30707" s="889"/>
    </row>
    <row r="30708" spans="7:7" ht="10.5" customHeight="1" x14ac:dyDescent="0.2">
      <c r="G30708" s="889"/>
    </row>
    <row r="30709" spans="7:7" ht="10.5" customHeight="1" x14ac:dyDescent="0.2">
      <c r="G30709" s="889"/>
    </row>
    <row r="30710" spans="7:7" ht="10.5" customHeight="1" x14ac:dyDescent="0.2">
      <c r="G30710" s="889"/>
    </row>
    <row r="30711" spans="7:7" ht="10.5" customHeight="1" x14ac:dyDescent="0.2">
      <c r="G30711" s="889"/>
    </row>
    <row r="30712" spans="7:7" ht="10.5" customHeight="1" x14ac:dyDescent="0.2">
      <c r="G30712" s="889"/>
    </row>
    <row r="30713" spans="7:7" ht="10.5" customHeight="1" x14ac:dyDescent="0.2">
      <c r="G30713" s="889"/>
    </row>
    <row r="30714" spans="7:7" ht="10.5" customHeight="1" x14ac:dyDescent="0.2">
      <c r="G30714" s="889"/>
    </row>
    <row r="30715" spans="7:7" ht="10.5" customHeight="1" x14ac:dyDescent="0.2">
      <c r="G30715" s="889"/>
    </row>
    <row r="30716" spans="7:7" ht="10.5" customHeight="1" x14ac:dyDescent="0.2">
      <c r="G30716" s="889"/>
    </row>
    <row r="30717" spans="7:7" ht="10.5" customHeight="1" x14ac:dyDescent="0.2">
      <c r="G30717" s="889"/>
    </row>
    <row r="30718" spans="7:7" ht="10.5" customHeight="1" x14ac:dyDescent="0.2">
      <c r="G30718" s="889"/>
    </row>
    <row r="30719" spans="7:7" ht="10.5" customHeight="1" x14ac:dyDescent="0.2">
      <c r="G30719" s="889"/>
    </row>
    <row r="30720" spans="7:7" ht="10.5" customHeight="1" x14ac:dyDescent="0.2">
      <c r="G30720" s="889"/>
    </row>
    <row r="30721" spans="7:7" ht="10.5" customHeight="1" x14ac:dyDescent="0.2">
      <c r="G30721" s="889"/>
    </row>
    <row r="30722" spans="7:7" ht="10.5" customHeight="1" x14ac:dyDescent="0.2">
      <c r="G30722" s="889"/>
    </row>
    <row r="30723" spans="7:7" ht="10.5" customHeight="1" x14ac:dyDescent="0.2">
      <c r="G30723" s="889"/>
    </row>
    <row r="30724" spans="7:7" ht="10.5" customHeight="1" x14ac:dyDescent="0.2">
      <c r="G30724" s="889"/>
    </row>
    <row r="30725" spans="7:7" ht="10.5" customHeight="1" x14ac:dyDescent="0.2">
      <c r="G30725" s="889"/>
    </row>
    <row r="30726" spans="7:7" ht="10.5" customHeight="1" x14ac:dyDescent="0.2">
      <c r="G30726" s="889"/>
    </row>
    <row r="30727" spans="7:7" ht="10.5" customHeight="1" x14ac:dyDescent="0.2">
      <c r="G30727" s="889"/>
    </row>
    <row r="30728" spans="7:7" ht="10.5" customHeight="1" x14ac:dyDescent="0.2">
      <c r="G30728" s="889"/>
    </row>
    <row r="30729" spans="7:7" ht="10.5" customHeight="1" x14ac:dyDescent="0.2">
      <c r="G30729" s="889"/>
    </row>
    <row r="30730" spans="7:7" ht="10.5" customHeight="1" x14ac:dyDescent="0.2">
      <c r="G30730" s="889"/>
    </row>
    <row r="30731" spans="7:7" ht="10.5" customHeight="1" x14ac:dyDescent="0.2">
      <c r="G30731" s="889"/>
    </row>
    <row r="30732" spans="7:7" ht="10.5" customHeight="1" x14ac:dyDescent="0.2">
      <c r="G30732" s="889"/>
    </row>
    <row r="30733" spans="7:7" ht="10.5" customHeight="1" x14ac:dyDescent="0.2">
      <c r="G30733" s="889"/>
    </row>
    <row r="30734" spans="7:7" ht="10.5" customHeight="1" x14ac:dyDescent="0.2">
      <c r="G30734" s="889"/>
    </row>
    <row r="30735" spans="7:7" ht="10.5" customHeight="1" x14ac:dyDescent="0.2">
      <c r="G30735" s="889"/>
    </row>
    <row r="30736" spans="7:7" ht="10.5" customHeight="1" x14ac:dyDescent="0.2">
      <c r="G30736" s="889"/>
    </row>
    <row r="30737" spans="7:7" ht="10.5" customHeight="1" x14ac:dyDescent="0.2">
      <c r="G30737" s="889"/>
    </row>
    <row r="30738" spans="7:7" ht="10.5" customHeight="1" x14ac:dyDescent="0.2">
      <c r="G30738" s="889"/>
    </row>
    <row r="30739" spans="7:7" ht="10.5" customHeight="1" x14ac:dyDescent="0.2">
      <c r="G30739" s="889"/>
    </row>
    <row r="30740" spans="7:7" ht="10.5" customHeight="1" x14ac:dyDescent="0.2">
      <c r="G30740" s="889"/>
    </row>
    <row r="30741" spans="7:7" ht="10.5" customHeight="1" x14ac:dyDescent="0.2">
      <c r="G30741" s="889"/>
    </row>
    <row r="30742" spans="7:7" ht="10.5" customHeight="1" x14ac:dyDescent="0.2">
      <c r="G30742" s="889"/>
    </row>
    <row r="30743" spans="7:7" ht="10.5" customHeight="1" x14ac:dyDescent="0.2">
      <c r="G30743" s="889"/>
    </row>
    <row r="30744" spans="7:7" ht="10.5" customHeight="1" x14ac:dyDescent="0.2">
      <c r="G30744" s="889"/>
    </row>
    <row r="30745" spans="7:7" ht="10.5" customHeight="1" x14ac:dyDescent="0.2">
      <c r="G30745" s="889"/>
    </row>
    <row r="30746" spans="7:7" ht="10.5" customHeight="1" x14ac:dyDescent="0.2">
      <c r="G30746" s="889"/>
    </row>
    <row r="30747" spans="7:7" ht="10.5" customHeight="1" x14ac:dyDescent="0.2">
      <c r="G30747" s="889"/>
    </row>
    <row r="30748" spans="7:7" ht="10.5" customHeight="1" x14ac:dyDescent="0.2">
      <c r="G30748" s="889"/>
    </row>
    <row r="30749" spans="7:7" ht="10.5" customHeight="1" x14ac:dyDescent="0.2">
      <c r="G30749" s="889"/>
    </row>
    <row r="30750" spans="7:7" ht="10.5" customHeight="1" x14ac:dyDescent="0.2">
      <c r="G30750" s="889"/>
    </row>
    <row r="30751" spans="7:7" ht="10.5" customHeight="1" x14ac:dyDescent="0.2">
      <c r="G30751" s="889"/>
    </row>
    <row r="30752" spans="7:7" ht="10.5" customHeight="1" x14ac:dyDescent="0.2">
      <c r="G30752" s="889"/>
    </row>
    <row r="30753" spans="7:7" ht="10.5" customHeight="1" x14ac:dyDescent="0.2">
      <c r="G30753" s="889"/>
    </row>
    <row r="30754" spans="7:7" ht="10.5" customHeight="1" x14ac:dyDescent="0.2">
      <c r="G30754" s="889"/>
    </row>
    <row r="30755" spans="7:7" ht="10.5" customHeight="1" x14ac:dyDescent="0.2">
      <c r="G30755" s="889"/>
    </row>
    <row r="30756" spans="7:7" ht="10.5" customHeight="1" x14ac:dyDescent="0.2">
      <c r="G30756" s="889"/>
    </row>
    <row r="30757" spans="7:7" ht="10.5" customHeight="1" x14ac:dyDescent="0.2">
      <c r="G30757" s="889"/>
    </row>
    <row r="30758" spans="7:7" ht="10.5" customHeight="1" x14ac:dyDescent="0.2">
      <c r="G30758" s="889"/>
    </row>
    <row r="30759" spans="7:7" ht="10.5" customHeight="1" x14ac:dyDescent="0.2">
      <c r="G30759" s="889"/>
    </row>
    <row r="30760" spans="7:7" ht="10.5" customHeight="1" x14ac:dyDescent="0.2">
      <c r="G30760" s="889"/>
    </row>
    <row r="30761" spans="7:7" ht="10.5" customHeight="1" x14ac:dyDescent="0.2">
      <c r="G30761" s="889"/>
    </row>
    <row r="30762" spans="7:7" ht="10.5" customHeight="1" x14ac:dyDescent="0.2">
      <c r="G30762" s="889"/>
    </row>
    <row r="30763" spans="7:7" ht="10.5" customHeight="1" x14ac:dyDescent="0.2">
      <c r="G30763" s="889"/>
    </row>
    <row r="30764" spans="7:7" ht="10.5" customHeight="1" x14ac:dyDescent="0.2">
      <c r="G30764" s="889"/>
    </row>
    <row r="30765" spans="7:7" ht="10.5" customHeight="1" x14ac:dyDescent="0.2">
      <c r="G30765" s="889"/>
    </row>
    <row r="30766" spans="7:7" ht="10.5" customHeight="1" x14ac:dyDescent="0.2">
      <c r="G30766" s="889"/>
    </row>
    <row r="30767" spans="7:7" ht="10.5" customHeight="1" x14ac:dyDescent="0.2">
      <c r="G30767" s="889"/>
    </row>
    <row r="30768" spans="7:7" ht="10.5" customHeight="1" x14ac:dyDescent="0.2">
      <c r="G30768" s="889"/>
    </row>
    <row r="30769" spans="7:7" ht="10.5" customHeight="1" x14ac:dyDescent="0.2">
      <c r="G30769" s="889"/>
    </row>
    <row r="30770" spans="7:7" ht="10.5" customHeight="1" x14ac:dyDescent="0.2">
      <c r="G30770" s="889"/>
    </row>
    <row r="30771" spans="7:7" ht="10.5" customHeight="1" x14ac:dyDescent="0.2">
      <c r="G30771" s="889"/>
    </row>
    <row r="30772" spans="7:7" ht="10.5" customHeight="1" x14ac:dyDescent="0.2">
      <c r="G30772" s="889"/>
    </row>
    <row r="30773" spans="7:7" ht="10.5" customHeight="1" x14ac:dyDescent="0.2">
      <c r="G30773" s="889"/>
    </row>
    <row r="30774" spans="7:7" ht="10.5" customHeight="1" x14ac:dyDescent="0.2">
      <c r="G30774" s="889"/>
    </row>
    <row r="30775" spans="7:7" ht="10.5" customHeight="1" x14ac:dyDescent="0.2">
      <c r="G30775" s="889"/>
    </row>
    <row r="30776" spans="7:7" ht="10.5" customHeight="1" x14ac:dyDescent="0.2">
      <c r="G30776" s="889"/>
    </row>
    <row r="30777" spans="7:7" ht="10.5" customHeight="1" x14ac:dyDescent="0.2">
      <c r="G30777" s="889"/>
    </row>
    <row r="30778" spans="7:7" ht="10.5" customHeight="1" x14ac:dyDescent="0.2">
      <c r="G30778" s="889"/>
    </row>
    <row r="30779" spans="7:7" ht="10.5" customHeight="1" x14ac:dyDescent="0.2">
      <c r="G30779" s="889"/>
    </row>
    <row r="30780" spans="7:7" ht="10.5" customHeight="1" x14ac:dyDescent="0.2">
      <c r="G30780" s="889"/>
    </row>
    <row r="30781" spans="7:7" ht="10.5" customHeight="1" x14ac:dyDescent="0.2">
      <c r="G30781" s="889"/>
    </row>
    <row r="30782" spans="7:7" ht="10.5" customHeight="1" x14ac:dyDescent="0.2">
      <c r="G30782" s="889"/>
    </row>
    <row r="30783" spans="7:7" ht="10.5" customHeight="1" x14ac:dyDescent="0.2">
      <c r="G30783" s="889"/>
    </row>
    <row r="30784" spans="7:7" ht="10.5" customHeight="1" x14ac:dyDescent="0.2">
      <c r="G30784" s="889"/>
    </row>
    <row r="30785" spans="7:7" ht="10.5" customHeight="1" x14ac:dyDescent="0.2">
      <c r="G30785" s="889"/>
    </row>
    <row r="30786" spans="7:7" ht="10.5" customHeight="1" x14ac:dyDescent="0.2">
      <c r="G30786" s="889"/>
    </row>
    <row r="30787" spans="7:7" ht="10.5" customHeight="1" x14ac:dyDescent="0.2">
      <c r="G30787" s="889"/>
    </row>
    <row r="30788" spans="7:7" ht="10.5" customHeight="1" x14ac:dyDescent="0.2">
      <c r="G30788" s="889"/>
    </row>
    <row r="30789" spans="7:7" ht="10.5" customHeight="1" x14ac:dyDescent="0.2">
      <c r="G30789" s="889"/>
    </row>
    <row r="30790" spans="7:7" ht="10.5" customHeight="1" x14ac:dyDescent="0.2">
      <c r="G30790" s="889"/>
    </row>
    <row r="30791" spans="7:7" ht="10.5" customHeight="1" x14ac:dyDescent="0.2">
      <c r="G30791" s="889"/>
    </row>
    <row r="30792" spans="7:7" ht="10.5" customHeight="1" x14ac:dyDescent="0.2">
      <c r="G30792" s="889"/>
    </row>
    <row r="30793" spans="7:7" ht="10.5" customHeight="1" x14ac:dyDescent="0.2">
      <c r="G30793" s="889"/>
    </row>
    <row r="30794" spans="7:7" ht="10.5" customHeight="1" x14ac:dyDescent="0.2">
      <c r="G30794" s="889"/>
    </row>
    <row r="30795" spans="7:7" ht="10.5" customHeight="1" x14ac:dyDescent="0.2">
      <c r="G30795" s="889"/>
    </row>
    <row r="30796" spans="7:7" ht="10.5" customHeight="1" x14ac:dyDescent="0.2">
      <c r="G30796" s="889"/>
    </row>
    <row r="30797" spans="7:7" ht="10.5" customHeight="1" x14ac:dyDescent="0.2">
      <c r="G30797" s="889"/>
    </row>
    <row r="30798" spans="7:7" ht="10.5" customHeight="1" x14ac:dyDescent="0.2">
      <c r="G30798" s="889"/>
    </row>
    <row r="30799" spans="7:7" ht="10.5" customHeight="1" x14ac:dyDescent="0.2">
      <c r="G30799" s="889"/>
    </row>
    <row r="30800" spans="7:7" ht="10.5" customHeight="1" x14ac:dyDescent="0.2">
      <c r="G30800" s="889"/>
    </row>
    <row r="30801" spans="7:7" ht="10.5" customHeight="1" x14ac:dyDescent="0.2">
      <c r="G30801" s="889"/>
    </row>
    <row r="30802" spans="7:7" ht="10.5" customHeight="1" x14ac:dyDescent="0.2">
      <c r="G30802" s="889"/>
    </row>
    <row r="30803" spans="7:7" ht="10.5" customHeight="1" x14ac:dyDescent="0.2">
      <c r="G30803" s="889"/>
    </row>
    <row r="30804" spans="7:7" ht="10.5" customHeight="1" x14ac:dyDescent="0.2">
      <c r="G30804" s="889"/>
    </row>
    <row r="30805" spans="7:7" ht="10.5" customHeight="1" x14ac:dyDescent="0.2">
      <c r="G30805" s="889"/>
    </row>
    <row r="30806" spans="7:7" ht="10.5" customHeight="1" x14ac:dyDescent="0.2">
      <c r="G30806" s="889"/>
    </row>
    <row r="30807" spans="7:7" ht="10.5" customHeight="1" x14ac:dyDescent="0.2">
      <c r="G30807" s="889"/>
    </row>
    <row r="30808" spans="7:7" ht="10.5" customHeight="1" x14ac:dyDescent="0.2">
      <c r="G30808" s="889"/>
    </row>
    <row r="30809" spans="7:7" ht="10.5" customHeight="1" x14ac:dyDescent="0.2">
      <c r="G30809" s="889"/>
    </row>
    <row r="30810" spans="7:7" ht="10.5" customHeight="1" x14ac:dyDescent="0.2">
      <c r="G30810" s="889"/>
    </row>
    <row r="30811" spans="7:7" ht="10.5" customHeight="1" x14ac:dyDescent="0.2">
      <c r="G30811" s="889"/>
    </row>
    <row r="30812" spans="7:7" ht="10.5" customHeight="1" x14ac:dyDescent="0.2">
      <c r="G30812" s="889"/>
    </row>
    <row r="30813" spans="7:7" ht="10.5" customHeight="1" x14ac:dyDescent="0.2">
      <c r="G30813" s="889"/>
    </row>
    <row r="30814" spans="7:7" ht="10.5" customHeight="1" x14ac:dyDescent="0.2">
      <c r="G30814" s="889"/>
    </row>
    <row r="30815" spans="7:7" ht="10.5" customHeight="1" x14ac:dyDescent="0.2">
      <c r="G30815" s="889"/>
    </row>
    <row r="30816" spans="7:7" ht="10.5" customHeight="1" x14ac:dyDescent="0.2">
      <c r="G30816" s="889"/>
    </row>
    <row r="30817" spans="7:7" ht="10.5" customHeight="1" x14ac:dyDescent="0.2">
      <c r="G30817" s="889"/>
    </row>
    <row r="30818" spans="7:7" ht="10.5" customHeight="1" x14ac:dyDescent="0.2">
      <c r="G30818" s="889"/>
    </row>
    <row r="30819" spans="7:7" ht="10.5" customHeight="1" x14ac:dyDescent="0.2">
      <c r="G30819" s="889"/>
    </row>
    <row r="30820" spans="7:7" ht="10.5" customHeight="1" x14ac:dyDescent="0.2">
      <c r="G30820" s="889"/>
    </row>
    <row r="30821" spans="7:7" ht="10.5" customHeight="1" x14ac:dyDescent="0.2">
      <c r="G30821" s="889"/>
    </row>
    <row r="30822" spans="7:7" ht="10.5" customHeight="1" x14ac:dyDescent="0.2">
      <c r="G30822" s="889"/>
    </row>
    <row r="30823" spans="7:7" ht="10.5" customHeight="1" x14ac:dyDescent="0.2">
      <c r="G30823" s="889"/>
    </row>
    <row r="30824" spans="7:7" ht="10.5" customHeight="1" x14ac:dyDescent="0.2">
      <c r="G30824" s="889"/>
    </row>
    <row r="30825" spans="7:7" ht="10.5" customHeight="1" x14ac:dyDescent="0.2">
      <c r="G30825" s="889"/>
    </row>
    <row r="30826" spans="7:7" ht="10.5" customHeight="1" x14ac:dyDescent="0.2">
      <c r="G30826" s="889"/>
    </row>
    <row r="30827" spans="7:7" ht="10.5" customHeight="1" x14ac:dyDescent="0.2">
      <c r="G30827" s="889"/>
    </row>
    <row r="30828" spans="7:7" ht="10.5" customHeight="1" x14ac:dyDescent="0.2">
      <c r="G30828" s="889"/>
    </row>
    <row r="30829" spans="7:7" ht="10.5" customHeight="1" x14ac:dyDescent="0.2">
      <c r="G30829" s="889"/>
    </row>
    <row r="30830" spans="7:7" ht="10.5" customHeight="1" x14ac:dyDescent="0.2">
      <c r="G30830" s="889"/>
    </row>
    <row r="30831" spans="7:7" ht="10.5" customHeight="1" x14ac:dyDescent="0.2">
      <c r="G30831" s="889"/>
    </row>
    <row r="30832" spans="7:7" ht="10.5" customHeight="1" x14ac:dyDescent="0.2">
      <c r="G30832" s="889"/>
    </row>
    <row r="30833" spans="7:7" ht="10.5" customHeight="1" x14ac:dyDescent="0.2">
      <c r="G30833" s="889"/>
    </row>
    <row r="30834" spans="7:7" ht="10.5" customHeight="1" x14ac:dyDescent="0.2">
      <c r="G30834" s="889"/>
    </row>
    <row r="30835" spans="7:7" ht="10.5" customHeight="1" x14ac:dyDescent="0.2">
      <c r="G30835" s="889"/>
    </row>
    <row r="30836" spans="7:7" ht="10.5" customHeight="1" x14ac:dyDescent="0.2">
      <c r="G30836" s="889"/>
    </row>
    <row r="30837" spans="7:7" ht="10.5" customHeight="1" x14ac:dyDescent="0.2">
      <c r="G30837" s="889"/>
    </row>
    <row r="30838" spans="7:7" ht="10.5" customHeight="1" x14ac:dyDescent="0.2">
      <c r="G30838" s="889"/>
    </row>
    <row r="30839" spans="7:7" ht="10.5" customHeight="1" x14ac:dyDescent="0.2">
      <c r="G30839" s="889"/>
    </row>
    <row r="30840" spans="7:7" ht="10.5" customHeight="1" x14ac:dyDescent="0.2">
      <c r="G30840" s="889"/>
    </row>
    <row r="30841" spans="7:7" ht="10.5" customHeight="1" x14ac:dyDescent="0.2">
      <c r="G30841" s="889"/>
    </row>
    <row r="30842" spans="7:7" ht="10.5" customHeight="1" x14ac:dyDescent="0.2">
      <c r="G30842" s="889"/>
    </row>
    <row r="30843" spans="7:7" ht="10.5" customHeight="1" x14ac:dyDescent="0.2">
      <c r="G30843" s="889"/>
    </row>
    <row r="30844" spans="7:7" ht="10.5" customHeight="1" x14ac:dyDescent="0.2">
      <c r="G30844" s="889"/>
    </row>
    <row r="30845" spans="7:7" ht="10.5" customHeight="1" x14ac:dyDescent="0.2">
      <c r="G30845" s="889"/>
    </row>
    <row r="30846" spans="7:7" ht="10.5" customHeight="1" x14ac:dyDescent="0.2">
      <c r="G30846" s="889"/>
    </row>
    <row r="30847" spans="7:7" ht="10.5" customHeight="1" x14ac:dyDescent="0.2">
      <c r="G30847" s="889"/>
    </row>
    <row r="30848" spans="7:7" ht="10.5" customHeight="1" x14ac:dyDescent="0.2">
      <c r="G30848" s="889"/>
    </row>
    <row r="30849" spans="7:7" ht="10.5" customHeight="1" x14ac:dyDescent="0.2">
      <c r="G30849" s="889"/>
    </row>
    <row r="30850" spans="7:7" ht="10.5" customHeight="1" x14ac:dyDescent="0.2">
      <c r="G30850" s="889"/>
    </row>
    <row r="30851" spans="7:7" ht="10.5" customHeight="1" x14ac:dyDescent="0.2">
      <c r="G30851" s="889"/>
    </row>
    <row r="30852" spans="7:7" ht="10.5" customHeight="1" x14ac:dyDescent="0.2">
      <c r="G30852" s="889"/>
    </row>
    <row r="30853" spans="7:7" ht="10.5" customHeight="1" x14ac:dyDescent="0.2">
      <c r="G30853" s="889"/>
    </row>
    <row r="30854" spans="7:7" ht="10.5" customHeight="1" x14ac:dyDescent="0.2">
      <c r="G30854" s="889"/>
    </row>
    <row r="30855" spans="7:7" ht="10.5" customHeight="1" x14ac:dyDescent="0.2">
      <c r="G30855" s="889"/>
    </row>
    <row r="30856" spans="7:7" ht="10.5" customHeight="1" x14ac:dyDescent="0.2">
      <c r="G30856" s="889"/>
    </row>
    <row r="30857" spans="7:7" ht="10.5" customHeight="1" x14ac:dyDescent="0.2">
      <c r="G30857" s="889"/>
    </row>
    <row r="30858" spans="7:7" ht="10.5" customHeight="1" x14ac:dyDescent="0.2">
      <c r="G30858" s="889"/>
    </row>
    <row r="30859" spans="7:7" ht="10.5" customHeight="1" x14ac:dyDescent="0.2">
      <c r="G30859" s="889"/>
    </row>
    <row r="30860" spans="7:7" ht="10.5" customHeight="1" x14ac:dyDescent="0.2">
      <c r="G30860" s="889"/>
    </row>
    <row r="30861" spans="7:7" ht="10.5" customHeight="1" x14ac:dyDescent="0.2">
      <c r="G30861" s="889"/>
    </row>
    <row r="30862" spans="7:7" ht="10.5" customHeight="1" x14ac:dyDescent="0.2">
      <c r="G30862" s="889"/>
    </row>
    <row r="30863" spans="7:7" ht="10.5" customHeight="1" x14ac:dyDescent="0.2">
      <c r="G30863" s="889"/>
    </row>
    <row r="30864" spans="7:7" ht="10.5" customHeight="1" x14ac:dyDescent="0.2">
      <c r="G30864" s="889"/>
    </row>
    <row r="30865" spans="7:7" ht="10.5" customHeight="1" x14ac:dyDescent="0.2">
      <c r="G30865" s="889"/>
    </row>
    <row r="30866" spans="7:7" ht="10.5" customHeight="1" x14ac:dyDescent="0.2">
      <c r="G30866" s="889"/>
    </row>
    <row r="30867" spans="7:7" ht="10.5" customHeight="1" x14ac:dyDescent="0.2">
      <c r="G30867" s="889"/>
    </row>
    <row r="30868" spans="7:7" ht="10.5" customHeight="1" x14ac:dyDescent="0.2">
      <c r="G30868" s="889"/>
    </row>
    <row r="30869" spans="7:7" ht="10.5" customHeight="1" x14ac:dyDescent="0.2">
      <c r="G30869" s="889"/>
    </row>
    <row r="30870" spans="7:7" ht="10.5" customHeight="1" x14ac:dyDescent="0.2">
      <c r="G30870" s="889"/>
    </row>
    <row r="30871" spans="7:7" ht="10.5" customHeight="1" x14ac:dyDescent="0.2">
      <c r="G30871" s="889"/>
    </row>
    <row r="30872" spans="7:7" ht="10.5" customHeight="1" x14ac:dyDescent="0.2">
      <c r="G30872" s="889"/>
    </row>
    <row r="30873" spans="7:7" ht="10.5" customHeight="1" x14ac:dyDescent="0.2">
      <c r="G30873" s="889"/>
    </row>
    <row r="30874" spans="7:7" ht="10.5" customHeight="1" x14ac:dyDescent="0.2">
      <c r="G30874" s="889"/>
    </row>
    <row r="30875" spans="7:7" ht="10.5" customHeight="1" x14ac:dyDescent="0.2">
      <c r="G30875" s="889"/>
    </row>
    <row r="30876" spans="7:7" ht="10.5" customHeight="1" x14ac:dyDescent="0.2">
      <c r="G30876" s="889"/>
    </row>
    <row r="30877" spans="7:7" ht="10.5" customHeight="1" x14ac:dyDescent="0.2">
      <c r="G30877" s="889"/>
    </row>
    <row r="30878" spans="7:7" ht="10.5" customHeight="1" x14ac:dyDescent="0.2">
      <c r="G30878" s="889"/>
    </row>
    <row r="30879" spans="7:7" ht="10.5" customHeight="1" x14ac:dyDescent="0.2">
      <c r="G30879" s="889"/>
    </row>
    <row r="30880" spans="7:7" ht="10.5" customHeight="1" x14ac:dyDescent="0.2">
      <c r="G30880" s="889"/>
    </row>
    <row r="30881" spans="7:7" ht="10.5" customHeight="1" x14ac:dyDescent="0.2">
      <c r="G30881" s="889"/>
    </row>
    <row r="30882" spans="7:7" ht="10.5" customHeight="1" x14ac:dyDescent="0.2">
      <c r="G30882" s="889"/>
    </row>
    <row r="30883" spans="7:7" ht="10.5" customHeight="1" x14ac:dyDescent="0.2">
      <c r="G30883" s="889"/>
    </row>
    <row r="30884" spans="7:7" ht="10.5" customHeight="1" x14ac:dyDescent="0.2">
      <c r="G30884" s="889"/>
    </row>
    <row r="30885" spans="7:7" ht="10.5" customHeight="1" x14ac:dyDescent="0.2">
      <c r="G30885" s="889"/>
    </row>
    <row r="30886" spans="7:7" ht="10.5" customHeight="1" x14ac:dyDescent="0.2">
      <c r="G30886" s="889"/>
    </row>
    <row r="30887" spans="7:7" ht="10.5" customHeight="1" x14ac:dyDescent="0.2">
      <c r="G30887" s="889"/>
    </row>
    <row r="30888" spans="7:7" ht="10.5" customHeight="1" x14ac:dyDescent="0.2">
      <c r="G30888" s="889"/>
    </row>
    <row r="30889" spans="7:7" ht="10.5" customHeight="1" x14ac:dyDescent="0.2">
      <c r="G30889" s="889"/>
    </row>
    <row r="30890" spans="7:7" ht="10.5" customHeight="1" x14ac:dyDescent="0.2">
      <c r="G30890" s="889"/>
    </row>
    <row r="30891" spans="7:7" ht="10.5" customHeight="1" x14ac:dyDescent="0.2">
      <c r="G30891" s="889"/>
    </row>
    <row r="30892" spans="7:7" ht="10.5" customHeight="1" x14ac:dyDescent="0.2">
      <c r="G30892" s="889"/>
    </row>
    <row r="30893" spans="7:7" ht="10.5" customHeight="1" x14ac:dyDescent="0.2">
      <c r="G30893" s="889"/>
    </row>
    <row r="30894" spans="7:7" ht="10.5" customHeight="1" x14ac:dyDescent="0.2">
      <c r="G30894" s="889"/>
    </row>
    <row r="30895" spans="7:7" ht="10.5" customHeight="1" x14ac:dyDescent="0.2">
      <c r="G30895" s="889"/>
    </row>
    <row r="30896" spans="7:7" ht="10.5" customHeight="1" x14ac:dyDescent="0.2">
      <c r="G30896" s="889"/>
    </row>
    <row r="30897" spans="7:7" ht="10.5" customHeight="1" x14ac:dyDescent="0.2">
      <c r="G30897" s="889"/>
    </row>
    <row r="30898" spans="7:7" ht="10.5" customHeight="1" x14ac:dyDescent="0.2">
      <c r="G30898" s="889"/>
    </row>
    <row r="30899" spans="7:7" ht="10.5" customHeight="1" x14ac:dyDescent="0.2">
      <c r="G30899" s="889"/>
    </row>
    <row r="30900" spans="7:7" ht="10.5" customHeight="1" x14ac:dyDescent="0.2">
      <c r="G30900" s="889"/>
    </row>
    <row r="30901" spans="7:7" ht="10.5" customHeight="1" x14ac:dyDescent="0.2">
      <c r="G30901" s="889"/>
    </row>
    <row r="30902" spans="7:7" ht="10.5" customHeight="1" x14ac:dyDescent="0.2">
      <c r="G30902" s="889"/>
    </row>
    <row r="30903" spans="7:7" ht="10.5" customHeight="1" x14ac:dyDescent="0.2">
      <c r="G30903" s="889"/>
    </row>
    <row r="30904" spans="7:7" ht="10.5" customHeight="1" x14ac:dyDescent="0.2">
      <c r="G30904" s="889"/>
    </row>
    <row r="30905" spans="7:7" ht="10.5" customHeight="1" x14ac:dyDescent="0.2">
      <c r="G30905" s="889"/>
    </row>
    <row r="30906" spans="7:7" ht="10.5" customHeight="1" x14ac:dyDescent="0.2">
      <c r="G30906" s="889"/>
    </row>
    <row r="30907" spans="7:7" ht="10.5" customHeight="1" x14ac:dyDescent="0.2">
      <c r="G30907" s="889"/>
    </row>
    <row r="30908" spans="7:7" ht="10.5" customHeight="1" x14ac:dyDescent="0.2">
      <c r="G30908" s="889"/>
    </row>
    <row r="30909" spans="7:7" ht="10.5" customHeight="1" x14ac:dyDescent="0.2">
      <c r="G30909" s="889"/>
    </row>
    <row r="30910" spans="7:7" ht="10.5" customHeight="1" x14ac:dyDescent="0.2">
      <c r="G30910" s="889"/>
    </row>
    <row r="30911" spans="7:7" ht="10.5" customHeight="1" x14ac:dyDescent="0.2">
      <c r="G30911" s="889"/>
    </row>
    <row r="30912" spans="7:7" ht="10.5" customHeight="1" x14ac:dyDescent="0.2">
      <c r="G30912" s="889"/>
    </row>
    <row r="30913" spans="7:7" ht="10.5" customHeight="1" x14ac:dyDescent="0.2">
      <c r="G30913" s="889"/>
    </row>
    <row r="30914" spans="7:7" ht="10.5" customHeight="1" x14ac:dyDescent="0.2">
      <c r="G30914" s="889"/>
    </row>
    <row r="30915" spans="7:7" ht="10.5" customHeight="1" x14ac:dyDescent="0.2">
      <c r="G30915" s="889"/>
    </row>
    <row r="30916" spans="7:7" ht="10.5" customHeight="1" x14ac:dyDescent="0.2">
      <c r="G30916" s="889"/>
    </row>
    <row r="30917" spans="7:7" ht="10.5" customHeight="1" x14ac:dyDescent="0.2">
      <c r="G30917" s="889"/>
    </row>
    <row r="30918" spans="7:7" ht="10.5" customHeight="1" x14ac:dyDescent="0.2">
      <c r="G30918" s="889"/>
    </row>
    <row r="30919" spans="7:7" ht="10.5" customHeight="1" x14ac:dyDescent="0.2">
      <c r="G30919" s="889"/>
    </row>
    <row r="30920" spans="7:7" ht="10.5" customHeight="1" x14ac:dyDescent="0.2">
      <c r="G30920" s="889"/>
    </row>
    <row r="30921" spans="7:7" ht="10.5" customHeight="1" x14ac:dyDescent="0.2">
      <c r="G30921" s="889"/>
    </row>
    <row r="30922" spans="7:7" ht="10.5" customHeight="1" x14ac:dyDescent="0.2">
      <c r="G30922" s="889"/>
    </row>
    <row r="30923" spans="7:7" ht="10.5" customHeight="1" x14ac:dyDescent="0.2">
      <c r="G30923" s="889"/>
    </row>
    <row r="30924" spans="7:7" ht="10.5" customHeight="1" x14ac:dyDescent="0.2">
      <c r="G30924" s="889"/>
    </row>
    <row r="30925" spans="7:7" ht="10.5" customHeight="1" x14ac:dyDescent="0.2">
      <c r="G30925" s="889"/>
    </row>
    <row r="30926" spans="7:7" ht="10.5" customHeight="1" x14ac:dyDescent="0.2">
      <c r="G30926" s="889"/>
    </row>
    <row r="30927" spans="7:7" ht="10.5" customHeight="1" x14ac:dyDescent="0.2">
      <c r="G30927" s="889"/>
    </row>
    <row r="30928" spans="7:7" ht="10.5" customHeight="1" x14ac:dyDescent="0.2">
      <c r="G30928" s="889"/>
    </row>
    <row r="30929" spans="7:7" ht="10.5" customHeight="1" x14ac:dyDescent="0.2">
      <c r="G30929" s="889"/>
    </row>
    <row r="30930" spans="7:7" ht="10.5" customHeight="1" x14ac:dyDescent="0.2">
      <c r="G30930" s="889"/>
    </row>
    <row r="30931" spans="7:7" ht="10.5" customHeight="1" x14ac:dyDescent="0.2">
      <c r="G30931" s="889"/>
    </row>
    <row r="30932" spans="7:7" ht="10.5" customHeight="1" x14ac:dyDescent="0.2">
      <c r="G30932" s="889"/>
    </row>
    <row r="30933" spans="7:7" ht="10.5" customHeight="1" x14ac:dyDescent="0.2">
      <c r="G30933" s="889"/>
    </row>
    <row r="30934" spans="7:7" ht="10.5" customHeight="1" x14ac:dyDescent="0.2">
      <c r="G30934" s="889"/>
    </row>
    <row r="30935" spans="7:7" ht="10.5" customHeight="1" x14ac:dyDescent="0.2">
      <c r="G30935" s="889"/>
    </row>
    <row r="30936" spans="7:7" ht="10.5" customHeight="1" x14ac:dyDescent="0.2">
      <c r="G30936" s="889"/>
    </row>
    <row r="30937" spans="7:7" ht="10.5" customHeight="1" x14ac:dyDescent="0.2">
      <c r="G30937" s="889"/>
    </row>
    <row r="30938" spans="7:7" ht="10.5" customHeight="1" x14ac:dyDescent="0.2">
      <c r="G30938" s="889"/>
    </row>
    <row r="30939" spans="7:7" ht="10.5" customHeight="1" x14ac:dyDescent="0.2">
      <c r="G30939" s="889"/>
    </row>
    <row r="30940" spans="7:7" ht="10.5" customHeight="1" x14ac:dyDescent="0.2">
      <c r="G30940" s="889"/>
    </row>
    <row r="30941" spans="7:7" ht="10.5" customHeight="1" x14ac:dyDescent="0.2">
      <c r="G30941" s="889"/>
    </row>
    <row r="30942" spans="7:7" ht="10.5" customHeight="1" x14ac:dyDescent="0.2">
      <c r="G30942" s="889"/>
    </row>
    <row r="30943" spans="7:7" ht="10.5" customHeight="1" x14ac:dyDescent="0.2">
      <c r="G30943" s="889"/>
    </row>
    <row r="30944" spans="7:7" ht="10.5" customHeight="1" x14ac:dyDescent="0.2">
      <c r="G30944" s="889"/>
    </row>
    <row r="30945" spans="7:7" ht="10.5" customHeight="1" x14ac:dyDescent="0.2">
      <c r="G30945" s="889"/>
    </row>
    <row r="30946" spans="7:7" ht="10.5" customHeight="1" x14ac:dyDescent="0.2">
      <c r="G30946" s="889"/>
    </row>
    <row r="30947" spans="7:7" ht="10.5" customHeight="1" x14ac:dyDescent="0.2">
      <c r="G30947" s="889"/>
    </row>
    <row r="30948" spans="7:7" ht="10.5" customHeight="1" x14ac:dyDescent="0.2">
      <c r="G30948" s="889"/>
    </row>
    <row r="30949" spans="7:7" ht="10.5" customHeight="1" x14ac:dyDescent="0.2">
      <c r="G30949" s="889"/>
    </row>
    <row r="30950" spans="7:7" ht="10.5" customHeight="1" x14ac:dyDescent="0.2">
      <c r="G30950" s="889"/>
    </row>
    <row r="30951" spans="7:7" ht="10.5" customHeight="1" x14ac:dyDescent="0.2">
      <c r="G30951" s="889"/>
    </row>
    <row r="30952" spans="7:7" ht="10.5" customHeight="1" x14ac:dyDescent="0.2">
      <c r="G30952" s="889"/>
    </row>
    <row r="30953" spans="7:7" ht="10.5" customHeight="1" x14ac:dyDescent="0.2">
      <c r="G30953" s="889"/>
    </row>
    <row r="30954" spans="7:7" ht="10.5" customHeight="1" x14ac:dyDescent="0.2">
      <c r="G30954" s="889"/>
    </row>
    <row r="30955" spans="7:7" ht="10.5" customHeight="1" x14ac:dyDescent="0.2">
      <c r="G30955" s="889"/>
    </row>
    <row r="30956" spans="7:7" ht="10.5" customHeight="1" x14ac:dyDescent="0.2">
      <c r="G30956" s="889"/>
    </row>
    <row r="30957" spans="7:7" ht="10.5" customHeight="1" x14ac:dyDescent="0.2">
      <c r="G30957" s="889"/>
    </row>
    <row r="30958" spans="7:7" ht="10.5" customHeight="1" x14ac:dyDescent="0.2">
      <c r="G30958" s="889"/>
    </row>
    <row r="30959" spans="7:7" ht="10.5" customHeight="1" x14ac:dyDescent="0.2">
      <c r="G30959" s="889"/>
    </row>
    <row r="30960" spans="7:7" ht="10.5" customHeight="1" x14ac:dyDescent="0.2">
      <c r="G30960" s="889"/>
    </row>
    <row r="30961" spans="7:7" ht="10.5" customHeight="1" x14ac:dyDescent="0.2">
      <c r="G30961" s="889"/>
    </row>
    <row r="30962" spans="7:7" ht="10.5" customHeight="1" x14ac:dyDescent="0.2">
      <c r="G30962" s="889"/>
    </row>
    <row r="30963" spans="7:7" ht="10.5" customHeight="1" x14ac:dyDescent="0.2">
      <c r="G30963" s="889"/>
    </row>
    <row r="30964" spans="7:7" ht="10.5" customHeight="1" x14ac:dyDescent="0.2">
      <c r="G30964" s="889"/>
    </row>
    <row r="30965" spans="7:7" ht="10.5" customHeight="1" x14ac:dyDescent="0.2">
      <c r="G30965" s="889"/>
    </row>
    <row r="30966" spans="7:7" ht="10.5" customHeight="1" x14ac:dyDescent="0.2">
      <c r="G30966" s="889"/>
    </row>
    <row r="30967" spans="7:7" ht="10.5" customHeight="1" x14ac:dyDescent="0.2">
      <c r="G30967" s="889"/>
    </row>
    <row r="30968" spans="7:7" ht="10.5" customHeight="1" x14ac:dyDescent="0.2">
      <c r="G30968" s="889"/>
    </row>
    <row r="30969" spans="7:7" ht="10.5" customHeight="1" x14ac:dyDescent="0.2">
      <c r="G30969" s="889"/>
    </row>
    <row r="30970" spans="7:7" ht="10.5" customHeight="1" x14ac:dyDescent="0.2">
      <c r="G30970" s="889"/>
    </row>
    <row r="30971" spans="7:7" ht="10.5" customHeight="1" x14ac:dyDescent="0.2">
      <c r="G30971" s="889"/>
    </row>
    <row r="30972" spans="7:7" ht="10.5" customHeight="1" x14ac:dyDescent="0.2">
      <c r="G30972" s="889"/>
    </row>
    <row r="30973" spans="7:7" ht="10.5" customHeight="1" x14ac:dyDescent="0.2">
      <c r="G30973" s="889"/>
    </row>
    <row r="30974" spans="7:7" ht="10.5" customHeight="1" x14ac:dyDescent="0.2">
      <c r="G30974" s="889"/>
    </row>
    <row r="30975" spans="7:7" ht="10.5" customHeight="1" x14ac:dyDescent="0.2">
      <c r="G30975" s="889"/>
    </row>
    <row r="30976" spans="7:7" ht="10.5" customHeight="1" x14ac:dyDescent="0.2">
      <c r="G30976" s="889"/>
    </row>
    <row r="30977" spans="7:7" ht="10.5" customHeight="1" x14ac:dyDescent="0.2">
      <c r="G30977" s="889"/>
    </row>
    <row r="30978" spans="7:7" ht="10.5" customHeight="1" x14ac:dyDescent="0.2">
      <c r="G30978" s="889"/>
    </row>
    <row r="30979" spans="7:7" ht="10.5" customHeight="1" x14ac:dyDescent="0.2">
      <c r="G30979" s="889"/>
    </row>
    <row r="30980" spans="7:7" ht="10.5" customHeight="1" x14ac:dyDescent="0.2">
      <c r="G30980" s="889"/>
    </row>
    <row r="30981" spans="7:7" ht="10.5" customHeight="1" x14ac:dyDescent="0.2">
      <c r="G30981" s="889"/>
    </row>
    <row r="30982" spans="7:7" ht="10.5" customHeight="1" x14ac:dyDescent="0.2">
      <c r="G30982" s="889"/>
    </row>
    <row r="30983" spans="7:7" ht="10.5" customHeight="1" x14ac:dyDescent="0.2">
      <c r="G30983" s="889"/>
    </row>
    <row r="30984" spans="7:7" ht="10.5" customHeight="1" x14ac:dyDescent="0.2">
      <c r="G30984" s="889"/>
    </row>
    <row r="30985" spans="7:7" ht="10.5" customHeight="1" x14ac:dyDescent="0.2">
      <c r="G30985" s="889"/>
    </row>
    <row r="30986" spans="7:7" ht="10.5" customHeight="1" x14ac:dyDescent="0.2">
      <c r="G30986" s="889"/>
    </row>
    <row r="30987" spans="7:7" ht="10.5" customHeight="1" x14ac:dyDescent="0.2">
      <c r="G30987" s="889"/>
    </row>
    <row r="30988" spans="7:7" ht="10.5" customHeight="1" x14ac:dyDescent="0.2">
      <c r="G30988" s="889"/>
    </row>
    <row r="30989" spans="7:7" ht="10.5" customHeight="1" x14ac:dyDescent="0.2">
      <c r="G30989" s="889"/>
    </row>
    <row r="30990" spans="7:7" ht="10.5" customHeight="1" x14ac:dyDescent="0.2">
      <c r="G30990" s="889"/>
    </row>
    <row r="30991" spans="7:7" ht="10.5" customHeight="1" x14ac:dyDescent="0.2">
      <c r="G30991" s="889"/>
    </row>
    <row r="30992" spans="7:7" ht="10.5" customHeight="1" x14ac:dyDescent="0.2">
      <c r="G30992" s="889"/>
    </row>
    <row r="30993" spans="7:7" ht="10.5" customHeight="1" x14ac:dyDescent="0.2">
      <c r="G30993" s="889"/>
    </row>
    <row r="30994" spans="7:7" ht="10.5" customHeight="1" x14ac:dyDescent="0.2">
      <c r="G30994" s="889"/>
    </row>
    <row r="30995" spans="7:7" ht="10.5" customHeight="1" x14ac:dyDescent="0.2">
      <c r="G30995" s="889"/>
    </row>
    <row r="30996" spans="7:7" ht="10.5" customHeight="1" x14ac:dyDescent="0.2">
      <c r="G30996" s="889"/>
    </row>
    <row r="30997" spans="7:7" ht="10.5" customHeight="1" x14ac:dyDescent="0.2">
      <c r="G30997" s="889"/>
    </row>
    <row r="30998" spans="7:7" ht="10.5" customHeight="1" x14ac:dyDescent="0.2">
      <c r="G30998" s="889"/>
    </row>
    <row r="30999" spans="7:7" ht="10.5" customHeight="1" x14ac:dyDescent="0.2">
      <c r="G30999" s="889"/>
    </row>
    <row r="31000" spans="7:7" ht="10.5" customHeight="1" x14ac:dyDescent="0.2">
      <c r="G31000" s="889"/>
    </row>
    <row r="31001" spans="7:7" ht="10.5" customHeight="1" x14ac:dyDescent="0.2">
      <c r="G31001" s="889"/>
    </row>
    <row r="31002" spans="7:7" ht="10.5" customHeight="1" x14ac:dyDescent="0.2">
      <c r="G31002" s="889"/>
    </row>
    <row r="31003" spans="7:7" ht="10.5" customHeight="1" x14ac:dyDescent="0.2">
      <c r="G31003" s="889"/>
    </row>
    <row r="31004" spans="7:7" ht="10.5" customHeight="1" x14ac:dyDescent="0.2">
      <c r="G31004" s="889"/>
    </row>
    <row r="31005" spans="7:7" ht="10.5" customHeight="1" x14ac:dyDescent="0.2">
      <c r="G31005" s="889"/>
    </row>
    <row r="31006" spans="7:7" ht="10.5" customHeight="1" x14ac:dyDescent="0.2">
      <c r="G31006" s="889"/>
    </row>
    <row r="31007" spans="7:7" ht="10.5" customHeight="1" x14ac:dyDescent="0.2">
      <c r="G31007" s="889"/>
    </row>
    <row r="31008" spans="7:7" ht="10.5" customHeight="1" x14ac:dyDescent="0.2">
      <c r="G31008" s="889"/>
    </row>
    <row r="31009" spans="7:7" ht="10.5" customHeight="1" x14ac:dyDescent="0.2">
      <c r="G31009" s="889"/>
    </row>
    <row r="31010" spans="7:7" ht="10.5" customHeight="1" x14ac:dyDescent="0.2">
      <c r="G31010" s="889"/>
    </row>
    <row r="31011" spans="7:7" ht="10.5" customHeight="1" x14ac:dyDescent="0.2">
      <c r="G31011" s="889"/>
    </row>
    <row r="31012" spans="7:7" ht="10.5" customHeight="1" x14ac:dyDescent="0.2">
      <c r="G31012" s="889"/>
    </row>
    <row r="31013" spans="7:7" ht="10.5" customHeight="1" x14ac:dyDescent="0.2">
      <c r="G31013" s="889"/>
    </row>
    <row r="31014" spans="7:7" ht="10.5" customHeight="1" x14ac:dyDescent="0.2">
      <c r="G31014" s="889"/>
    </row>
    <row r="31015" spans="7:7" ht="10.5" customHeight="1" x14ac:dyDescent="0.2">
      <c r="G31015" s="889"/>
    </row>
    <row r="31016" spans="7:7" ht="10.5" customHeight="1" x14ac:dyDescent="0.2">
      <c r="G31016" s="889"/>
    </row>
    <row r="31017" spans="7:7" ht="10.5" customHeight="1" x14ac:dyDescent="0.2">
      <c r="G31017" s="889"/>
    </row>
    <row r="31018" spans="7:7" ht="10.5" customHeight="1" x14ac:dyDescent="0.2">
      <c r="G31018" s="889"/>
    </row>
    <row r="31019" spans="7:7" ht="10.5" customHeight="1" x14ac:dyDescent="0.2">
      <c r="G31019" s="889"/>
    </row>
    <row r="31020" spans="7:7" ht="10.5" customHeight="1" x14ac:dyDescent="0.2">
      <c r="G31020" s="889"/>
    </row>
    <row r="31021" spans="7:7" ht="10.5" customHeight="1" x14ac:dyDescent="0.2">
      <c r="G31021" s="889"/>
    </row>
    <row r="31022" spans="7:7" ht="10.5" customHeight="1" x14ac:dyDescent="0.2">
      <c r="G31022" s="889"/>
    </row>
    <row r="31023" spans="7:7" ht="10.5" customHeight="1" x14ac:dyDescent="0.2">
      <c r="G31023" s="889"/>
    </row>
    <row r="31024" spans="7:7" ht="10.5" customHeight="1" x14ac:dyDescent="0.2">
      <c r="G31024" s="889"/>
    </row>
    <row r="31025" spans="7:7" ht="10.5" customHeight="1" x14ac:dyDescent="0.2">
      <c r="G31025" s="889"/>
    </row>
    <row r="31026" spans="7:7" ht="10.5" customHeight="1" x14ac:dyDescent="0.2">
      <c r="G31026" s="889"/>
    </row>
    <row r="31027" spans="7:7" ht="10.5" customHeight="1" x14ac:dyDescent="0.2">
      <c r="G31027" s="889"/>
    </row>
    <row r="31028" spans="7:7" ht="10.5" customHeight="1" x14ac:dyDescent="0.2">
      <c r="G31028" s="889"/>
    </row>
    <row r="31029" spans="7:7" ht="10.5" customHeight="1" x14ac:dyDescent="0.2">
      <c r="G31029" s="889"/>
    </row>
    <row r="31030" spans="7:7" ht="10.5" customHeight="1" x14ac:dyDescent="0.2">
      <c r="G31030" s="889"/>
    </row>
    <row r="31031" spans="7:7" ht="10.5" customHeight="1" x14ac:dyDescent="0.2">
      <c r="G31031" s="889"/>
    </row>
    <row r="31032" spans="7:7" ht="10.5" customHeight="1" x14ac:dyDescent="0.2">
      <c r="G31032" s="889"/>
    </row>
    <row r="31033" spans="7:7" ht="10.5" customHeight="1" x14ac:dyDescent="0.2">
      <c r="G31033" s="889"/>
    </row>
    <row r="31034" spans="7:7" ht="10.5" customHeight="1" x14ac:dyDescent="0.2">
      <c r="G31034" s="889"/>
    </row>
    <row r="31035" spans="7:7" ht="10.5" customHeight="1" x14ac:dyDescent="0.2">
      <c r="G31035" s="889"/>
    </row>
    <row r="31036" spans="7:7" ht="10.5" customHeight="1" x14ac:dyDescent="0.2">
      <c r="G31036" s="889"/>
    </row>
    <row r="31037" spans="7:7" ht="10.5" customHeight="1" x14ac:dyDescent="0.2">
      <c r="G31037" s="889"/>
    </row>
    <row r="31038" spans="7:7" ht="10.5" customHeight="1" x14ac:dyDescent="0.2">
      <c r="G31038" s="889"/>
    </row>
    <row r="31039" spans="7:7" ht="10.5" customHeight="1" x14ac:dyDescent="0.2">
      <c r="G31039" s="889"/>
    </row>
    <row r="31040" spans="7:7" ht="10.5" customHeight="1" x14ac:dyDescent="0.2">
      <c r="G31040" s="889"/>
    </row>
    <row r="31041" spans="7:7" ht="10.5" customHeight="1" x14ac:dyDescent="0.2">
      <c r="G31041" s="889"/>
    </row>
    <row r="31042" spans="7:7" ht="10.5" customHeight="1" x14ac:dyDescent="0.2">
      <c r="G31042" s="889"/>
    </row>
    <row r="31043" spans="7:7" ht="10.5" customHeight="1" x14ac:dyDescent="0.2">
      <c r="G31043" s="889"/>
    </row>
    <row r="31044" spans="7:7" ht="10.5" customHeight="1" x14ac:dyDescent="0.2">
      <c r="G31044" s="889"/>
    </row>
    <row r="31045" spans="7:7" ht="10.5" customHeight="1" x14ac:dyDescent="0.2">
      <c r="G31045" s="889"/>
    </row>
    <row r="31046" spans="7:7" ht="10.5" customHeight="1" x14ac:dyDescent="0.2">
      <c r="G31046" s="889"/>
    </row>
    <row r="31047" spans="7:7" ht="10.5" customHeight="1" x14ac:dyDescent="0.2">
      <c r="G31047" s="889"/>
    </row>
    <row r="31048" spans="7:7" ht="10.5" customHeight="1" x14ac:dyDescent="0.2">
      <c r="G31048" s="889"/>
    </row>
    <row r="31049" spans="7:7" ht="10.5" customHeight="1" x14ac:dyDescent="0.2">
      <c r="G31049" s="889"/>
    </row>
    <row r="31050" spans="7:7" ht="10.5" customHeight="1" x14ac:dyDescent="0.2">
      <c r="G31050" s="889"/>
    </row>
    <row r="31051" spans="7:7" ht="10.5" customHeight="1" x14ac:dyDescent="0.2">
      <c r="G31051" s="889"/>
    </row>
    <row r="31052" spans="7:7" ht="10.5" customHeight="1" x14ac:dyDescent="0.2">
      <c r="G31052" s="889"/>
    </row>
    <row r="31053" spans="7:7" ht="10.5" customHeight="1" x14ac:dyDescent="0.2">
      <c r="G31053" s="889"/>
    </row>
    <row r="31054" spans="7:7" ht="10.5" customHeight="1" x14ac:dyDescent="0.2">
      <c r="G31054" s="889"/>
    </row>
    <row r="31055" spans="7:7" ht="10.5" customHeight="1" x14ac:dyDescent="0.2">
      <c r="G31055" s="889"/>
    </row>
    <row r="31056" spans="7:7" ht="10.5" customHeight="1" x14ac:dyDescent="0.2">
      <c r="G31056" s="889"/>
    </row>
    <row r="31057" spans="7:7" ht="10.5" customHeight="1" x14ac:dyDescent="0.2">
      <c r="G31057" s="889"/>
    </row>
    <row r="31058" spans="7:7" ht="10.5" customHeight="1" x14ac:dyDescent="0.2">
      <c r="G31058" s="889"/>
    </row>
    <row r="31059" spans="7:7" ht="10.5" customHeight="1" x14ac:dyDescent="0.2">
      <c r="G31059" s="889"/>
    </row>
    <row r="31060" spans="7:7" ht="10.5" customHeight="1" x14ac:dyDescent="0.2">
      <c r="G31060" s="889"/>
    </row>
    <row r="31061" spans="7:7" ht="10.5" customHeight="1" x14ac:dyDescent="0.2">
      <c r="G31061" s="889"/>
    </row>
    <row r="31062" spans="7:7" ht="10.5" customHeight="1" x14ac:dyDescent="0.2">
      <c r="G31062" s="889"/>
    </row>
    <row r="31063" spans="7:7" ht="10.5" customHeight="1" x14ac:dyDescent="0.2">
      <c r="G31063" s="889"/>
    </row>
    <row r="31064" spans="7:7" ht="10.5" customHeight="1" x14ac:dyDescent="0.2">
      <c r="G31064" s="889"/>
    </row>
    <row r="31065" spans="7:7" ht="10.5" customHeight="1" x14ac:dyDescent="0.2">
      <c r="G31065" s="889"/>
    </row>
    <row r="31066" spans="7:7" ht="10.5" customHeight="1" x14ac:dyDescent="0.2">
      <c r="G31066" s="889"/>
    </row>
    <row r="31067" spans="7:7" ht="10.5" customHeight="1" x14ac:dyDescent="0.2">
      <c r="G31067" s="889"/>
    </row>
    <row r="31068" spans="7:7" ht="10.5" customHeight="1" x14ac:dyDescent="0.2">
      <c r="G31068" s="889"/>
    </row>
    <row r="31069" spans="7:7" ht="10.5" customHeight="1" x14ac:dyDescent="0.2">
      <c r="G31069" s="889"/>
    </row>
    <row r="31070" spans="7:7" ht="10.5" customHeight="1" x14ac:dyDescent="0.2">
      <c r="G31070" s="889"/>
    </row>
    <row r="31071" spans="7:7" ht="10.5" customHeight="1" x14ac:dyDescent="0.2">
      <c r="G31071" s="889"/>
    </row>
    <row r="31072" spans="7:7" ht="10.5" customHeight="1" x14ac:dyDescent="0.2">
      <c r="G31072" s="889"/>
    </row>
    <row r="31073" spans="7:7" ht="10.5" customHeight="1" x14ac:dyDescent="0.2">
      <c r="G31073" s="889"/>
    </row>
    <row r="31074" spans="7:7" ht="10.5" customHeight="1" x14ac:dyDescent="0.2">
      <c r="G31074" s="889"/>
    </row>
    <row r="31075" spans="7:7" ht="10.5" customHeight="1" x14ac:dyDescent="0.2">
      <c r="G31075" s="889"/>
    </row>
    <row r="31076" spans="7:7" ht="10.5" customHeight="1" x14ac:dyDescent="0.2">
      <c r="G31076" s="889"/>
    </row>
    <row r="31077" spans="7:7" ht="10.5" customHeight="1" x14ac:dyDescent="0.2">
      <c r="G31077" s="889"/>
    </row>
    <row r="31078" spans="7:7" ht="10.5" customHeight="1" x14ac:dyDescent="0.2">
      <c r="G31078" s="889"/>
    </row>
    <row r="31079" spans="7:7" ht="10.5" customHeight="1" x14ac:dyDescent="0.2">
      <c r="G31079" s="889"/>
    </row>
    <row r="31080" spans="7:7" ht="10.5" customHeight="1" x14ac:dyDescent="0.2">
      <c r="G31080" s="889"/>
    </row>
    <row r="31081" spans="7:7" ht="10.5" customHeight="1" x14ac:dyDescent="0.2">
      <c r="G31081" s="889"/>
    </row>
    <row r="31082" spans="7:7" ht="10.5" customHeight="1" x14ac:dyDescent="0.2">
      <c r="G31082" s="889"/>
    </row>
    <row r="31083" spans="7:7" ht="10.5" customHeight="1" x14ac:dyDescent="0.2">
      <c r="G31083" s="889"/>
    </row>
    <row r="31084" spans="7:7" ht="10.5" customHeight="1" x14ac:dyDescent="0.2">
      <c r="G31084" s="889"/>
    </row>
    <row r="31085" spans="7:7" ht="10.5" customHeight="1" x14ac:dyDescent="0.2">
      <c r="G31085" s="889"/>
    </row>
    <row r="31086" spans="7:7" ht="10.5" customHeight="1" x14ac:dyDescent="0.2">
      <c r="G31086" s="889"/>
    </row>
    <row r="31087" spans="7:7" ht="10.5" customHeight="1" x14ac:dyDescent="0.2">
      <c r="G31087" s="889"/>
    </row>
    <row r="31088" spans="7:7" ht="10.5" customHeight="1" x14ac:dyDescent="0.2">
      <c r="G31088" s="889"/>
    </row>
    <row r="31089" spans="7:7" ht="10.5" customHeight="1" x14ac:dyDescent="0.2">
      <c r="G31089" s="889"/>
    </row>
    <row r="31090" spans="7:7" ht="10.5" customHeight="1" x14ac:dyDescent="0.2">
      <c r="G31090" s="889"/>
    </row>
    <row r="31091" spans="7:7" ht="10.5" customHeight="1" x14ac:dyDescent="0.2">
      <c r="G31091" s="889"/>
    </row>
    <row r="31092" spans="7:7" ht="10.5" customHeight="1" x14ac:dyDescent="0.2">
      <c r="G31092" s="889"/>
    </row>
    <row r="31093" spans="7:7" ht="10.5" customHeight="1" x14ac:dyDescent="0.2">
      <c r="G31093" s="889"/>
    </row>
    <row r="31094" spans="7:7" ht="10.5" customHeight="1" x14ac:dyDescent="0.2">
      <c r="G31094" s="889"/>
    </row>
    <row r="31095" spans="7:7" ht="10.5" customHeight="1" x14ac:dyDescent="0.2">
      <c r="G31095" s="889"/>
    </row>
    <row r="31096" spans="7:7" ht="10.5" customHeight="1" x14ac:dyDescent="0.2">
      <c r="G31096" s="889"/>
    </row>
    <row r="31097" spans="7:7" ht="10.5" customHeight="1" x14ac:dyDescent="0.2">
      <c r="G31097" s="889"/>
    </row>
    <row r="31098" spans="7:7" ht="10.5" customHeight="1" x14ac:dyDescent="0.2">
      <c r="G31098" s="889"/>
    </row>
    <row r="31099" spans="7:7" ht="10.5" customHeight="1" x14ac:dyDescent="0.2">
      <c r="G31099" s="889"/>
    </row>
    <row r="31100" spans="7:7" ht="10.5" customHeight="1" x14ac:dyDescent="0.2">
      <c r="G31100" s="889"/>
    </row>
    <row r="31101" spans="7:7" ht="10.5" customHeight="1" x14ac:dyDescent="0.2">
      <c r="G31101" s="889"/>
    </row>
    <row r="31102" spans="7:7" ht="10.5" customHeight="1" x14ac:dyDescent="0.2">
      <c r="G31102" s="889"/>
    </row>
    <row r="31103" spans="7:7" ht="10.5" customHeight="1" x14ac:dyDescent="0.2">
      <c r="G31103" s="889"/>
    </row>
    <row r="31104" spans="7:7" ht="10.5" customHeight="1" x14ac:dyDescent="0.2">
      <c r="G31104" s="889"/>
    </row>
    <row r="31105" spans="7:7" ht="10.5" customHeight="1" x14ac:dyDescent="0.2">
      <c r="G31105" s="889"/>
    </row>
    <row r="31106" spans="7:7" ht="10.5" customHeight="1" x14ac:dyDescent="0.2">
      <c r="G31106" s="889"/>
    </row>
    <row r="31107" spans="7:7" ht="10.5" customHeight="1" x14ac:dyDescent="0.2">
      <c r="G31107" s="889"/>
    </row>
    <row r="31108" spans="7:7" ht="10.5" customHeight="1" x14ac:dyDescent="0.2">
      <c r="G31108" s="889"/>
    </row>
    <row r="31109" spans="7:7" ht="10.5" customHeight="1" x14ac:dyDescent="0.2">
      <c r="G31109" s="889"/>
    </row>
    <row r="31110" spans="7:7" ht="10.5" customHeight="1" x14ac:dyDescent="0.2">
      <c r="G31110" s="889"/>
    </row>
    <row r="31111" spans="7:7" ht="10.5" customHeight="1" x14ac:dyDescent="0.2">
      <c r="G31111" s="889"/>
    </row>
    <row r="31112" spans="7:7" ht="10.5" customHeight="1" x14ac:dyDescent="0.2">
      <c r="G31112" s="889"/>
    </row>
    <row r="31113" spans="7:7" ht="10.5" customHeight="1" x14ac:dyDescent="0.2">
      <c r="G31113" s="889"/>
    </row>
    <row r="31114" spans="7:7" ht="10.5" customHeight="1" x14ac:dyDescent="0.2">
      <c r="G31114" s="889"/>
    </row>
    <row r="31115" spans="7:7" ht="10.5" customHeight="1" x14ac:dyDescent="0.2">
      <c r="G31115" s="889"/>
    </row>
    <row r="31116" spans="7:7" ht="10.5" customHeight="1" x14ac:dyDescent="0.2">
      <c r="G31116" s="889"/>
    </row>
    <row r="31117" spans="7:7" ht="10.5" customHeight="1" x14ac:dyDescent="0.2">
      <c r="G31117" s="889"/>
    </row>
    <row r="31118" spans="7:7" ht="10.5" customHeight="1" x14ac:dyDescent="0.2">
      <c r="G31118" s="889"/>
    </row>
    <row r="31119" spans="7:7" ht="10.5" customHeight="1" x14ac:dyDescent="0.2">
      <c r="G31119" s="889"/>
    </row>
    <row r="31120" spans="7:7" ht="10.5" customHeight="1" x14ac:dyDescent="0.2">
      <c r="G31120" s="889"/>
    </row>
    <row r="31121" spans="7:7" ht="10.5" customHeight="1" x14ac:dyDescent="0.2">
      <c r="G31121" s="889"/>
    </row>
    <row r="31122" spans="7:7" ht="10.5" customHeight="1" x14ac:dyDescent="0.2">
      <c r="G31122" s="889"/>
    </row>
    <row r="31123" spans="7:7" ht="10.5" customHeight="1" x14ac:dyDescent="0.2">
      <c r="G31123" s="889"/>
    </row>
    <row r="31124" spans="7:7" ht="10.5" customHeight="1" x14ac:dyDescent="0.2">
      <c r="G31124" s="889"/>
    </row>
    <row r="31125" spans="7:7" ht="10.5" customHeight="1" x14ac:dyDescent="0.2">
      <c r="G31125" s="889"/>
    </row>
    <row r="31126" spans="7:7" ht="10.5" customHeight="1" x14ac:dyDescent="0.2">
      <c r="G31126" s="889"/>
    </row>
    <row r="31127" spans="7:7" ht="10.5" customHeight="1" x14ac:dyDescent="0.2">
      <c r="G31127" s="889"/>
    </row>
    <row r="31128" spans="7:7" ht="10.5" customHeight="1" x14ac:dyDescent="0.2">
      <c r="G31128" s="889"/>
    </row>
    <row r="31129" spans="7:7" ht="10.5" customHeight="1" x14ac:dyDescent="0.2">
      <c r="G31129" s="889"/>
    </row>
    <row r="31130" spans="7:7" ht="10.5" customHeight="1" x14ac:dyDescent="0.2">
      <c r="G31130" s="889"/>
    </row>
    <row r="31131" spans="7:7" ht="10.5" customHeight="1" x14ac:dyDescent="0.2">
      <c r="G31131" s="889"/>
    </row>
    <row r="31132" spans="7:7" ht="10.5" customHeight="1" x14ac:dyDescent="0.2">
      <c r="G31132" s="889"/>
    </row>
    <row r="31133" spans="7:7" ht="10.5" customHeight="1" x14ac:dyDescent="0.2">
      <c r="G31133" s="889"/>
    </row>
    <row r="31134" spans="7:7" ht="10.5" customHeight="1" x14ac:dyDescent="0.2">
      <c r="G31134" s="889"/>
    </row>
    <row r="31135" spans="7:7" ht="10.5" customHeight="1" x14ac:dyDescent="0.2">
      <c r="G31135" s="889"/>
    </row>
    <row r="31136" spans="7:7" ht="10.5" customHeight="1" x14ac:dyDescent="0.2">
      <c r="G31136" s="889"/>
    </row>
    <row r="31137" spans="7:7" ht="10.5" customHeight="1" x14ac:dyDescent="0.2">
      <c r="G31137" s="889"/>
    </row>
    <row r="31138" spans="7:7" ht="10.5" customHeight="1" x14ac:dyDescent="0.2">
      <c r="G31138" s="889"/>
    </row>
    <row r="31139" spans="7:7" ht="10.5" customHeight="1" x14ac:dyDescent="0.2">
      <c r="G31139" s="889"/>
    </row>
    <row r="31140" spans="7:7" ht="10.5" customHeight="1" x14ac:dyDescent="0.2">
      <c r="G31140" s="889"/>
    </row>
    <row r="31141" spans="7:7" ht="10.5" customHeight="1" x14ac:dyDescent="0.2">
      <c r="G31141" s="889"/>
    </row>
    <row r="31142" spans="7:7" ht="10.5" customHeight="1" x14ac:dyDescent="0.2">
      <c r="G31142" s="889"/>
    </row>
    <row r="31143" spans="7:7" ht="10.5" customHeight="1" x14ac:dyDescent="0.2">
      <c r="G31143" s="889"/>
    </row>
    <row r="31144" spans="7:7" ht="10.5" customHeight="1" x14ac:dyDescent="0.2">
      <c r="G31144" s="889"/>
    </row>
    <row r="31145" spans="7:7" ht="10.5" customHeight="1" x14ac:dyDescent="0.2">
      <c r="G31145" s="889"/>
    </row>
    <row r="31146" spans="7:7" ht="10.5" customHeight="1" x14ac:dyDescent="0.2">
      <c r="G31146" s="889"/>
    </row>
    <row r="31147" spans="7:7" ht="10.5" customHeight="1" x14ac:dyDescent="0.2">
      <c r="G31147" s="889"/>
    </row>
    <row r="31148" spans="7:7" ht="10.5" customHeight="1" x14ac:dyDescent="0.2">
      <c r="G31148" s="889"/>
    </row>
    <row r="31149" spans="7:7" ht="10.5" customHeight="1" x14ac:dyDescent="0.2">
      <c r="G31149" s="889"/>
    </row>
    <row r="31150" spans="7:7" ht="10.5" customHeight="1" x14ac:dyDescent="0.2">
      <c r="G31150" s="889"/>
    </row>
    <row r="31151" spans="7:7" ht="10.5" customHeight="1" x14ac:dyDescent="0.2">
      <c r="G31151" s="889"/>
    </row>
    <row r="31152" spans="7:7" ht="10.5" customHeight="1" x14ac:dyDescent="0.2">
      <c r="G31152" s="889"/>
    </row>
    <row r="31153" spans="7:7" ht="10.5" customHeight="1" x14ac:dyDescent="0.2">
      <c r="G31153" s="889"/>
    </row>
    <row r="31154" spans="7:7" ht="10.5" customHeight="1" x14ac:dyDescent="0.2">
      <c r="G31154" s="889"/>
    </row>
    <row r="31155" spans="7:7" ht="10.5" customHeight="1" x14ac:dyDescent="0.2">
      <c r="G31155" s="889"/>
    </row>
    <row r="31156" spans="7:7" ht="10.5" customHeight="1" x14ac:dyDescent="0.2">
      <c r="G31156" s="889"/>
    </row>
    <row r="31157" spans="7:7" ht="10.5" customHeight="1" x14ac:dyDescent="0.2">
      <c r="G31157" s="889"/>
    </row>
    <row r="31158" spans="7:7" ht="10.5" customHeight="1" x14ac:dyDescent="0.2">
      <c r="G31158" s="889"/>
    </row>
    <row r="31159" spans="7:7" ht="10.5" customHeight="1" x14ac:dyDescent="0.2">
      <c r="G31159" s="889"/>
    </row>
    <row r="31160" spans="7:7" ht="10.5" customHeight="1" x14ac:dyDescent="0.2">
      <c r="G31160" s="889"/>
    </row>
    <row r="31161" spans="7:7" ht="10.5" customHeight="1" x14ac:dyDescent="0.2">
      <c r="G31161" s="889"/>
    </row>
    <row r="31162" spans="7:7" ht="10.5" customHeight="1" x14ac:dyDescent="0.2">
      <c r="G31162" s="889"/>
    </row>
    <row r="31163" spans="7:7" ht="10.5" customHeight="1" x14ac:dyDescent="0.2">
      <c r="G31163" s="889"/>
    </row>
    <row r="31164" spans="7:7" ht="10.5" customHeight="1" x14ac:dyDescent="0.2">
      <c r="G31164" s="889"/>
    </row>
    <row r="31165" spans="7:7" ht="10.5" customHeight="1" x14ac:dyDescent="0.2">
      <c r="G31165" s="889"/>
    </row>
    <row r="31166" spans="7:7" ht="10.5" customHeight="1" x14ac:dyDescent="0.2">
      <c r="G31166" s="889"/>
    </row>
    <row r="31167" spans="7:7" ht="10.5" customHeight="1" x14ac:dyDescent="0.2">
      <c r="G31167" s="889"/>
    </row>
    <row r="31168" spans="7:7" ht="10.5" customHeight="1" x14ac:dyDescent="0.2">
      <c r="G31168" s="889"/>
    </row>
    <row r="31169" spans="7:7" ht="10.5" customHeight="1" x14ac:dyDescent="0.2">
      <c r="G31169" s="889"/>
    </row>
    <row r="31170" spans="7:7" ht="10.5" customHeight="1" x14ac:dyDescent="0.2">
      <c r="G31170" s="889"/>
    </row>
    <row r="31171" spans="7:7" ht="10.5" customHeight="1" x14ac:dyDescent="0.2">
      <c r="G31171" s="889"/>
    </row>
    <row r="31172" spans="7:7" ht="10.5" customHeight="1" x14ac:dyDescent="0.2">
      <c r="G31172" s="889"/>
    </row>
    <row r="31173" spans="7:7" ht="10.5" customHeight="1" x14ac:dyDescent="0.2">
      <c r="G31173" s="889"/>
    </row>
    <row r="31174" spans="7:7" ht="10.5" customHeight="1" x14ac:dyDescent="0.2">
      <c r="G31174" s="889"/>
    </row>
    <row r="31175" spans="7:7" ht="10.5" customHeight="1" x14ac:dyDescent="0.2">
      <c r="G31175" s="889"/>
    </row>
    <row r="31176" spans="7:7" ht="10.5" customHeight="1" x14ac:dyDescent="0.2">
      <c r="G31176" s="889"/>
    </row>
    <row r="31177" spans="7:7" ht="10.5" customHeight="1" x14ac:dyDescent="0.2">
      <c r="G31177" s="889"/>
    </row>
    <row r="31178" spans="7:7" ht="10.5" customHeight="1" x14ac:dyDescent="0.2">
      <c r="G31178" s="889"/>
    </row>
    <row r="31179" spans="7:7" ht="10.5" customHeight="1" x14ac:dyDescent="0.2">
      <c r="G31179" s="889"/>
    </row>
    <row r="31180" spans="7:7" ht="10.5" customHeight="1" x14ac:dyDescent="0.2">
      <c r="G31180" s="889"/>
    </row>
    <row r="31181" spans="7:7" ht="10.5" customHeight="1" x14ac:dyDescent="0.2">
      <c r="G31181" s="889"/>
    </row>
    <row r="31182" spans="7:7" ht="10.5" customHeight="1" x14ac:dyDescent="0.2">
      <c r="G31182" s="889"/>
    </row>
    <row r="31183" spans="7:7" ht="10.5" customHeight="1" x14ac:dyDescent="0.2">
      <c r="G31183" s="889"/>
    </row>
    <row r="31184" spans="7:7" ht="10.5" customHeight="1" x14ac:dyDescent="0.2">
      <c r="G31184" s="889"/>
    </row>
    <row r="31185" spans="7:7" ht="10.5" customHeight="1" x14ac:dyDescent="0.2">
      <c r="G31185" s="889"/>
    </row>
    <row r="31186" spans="7:7" ht="10.5" customHeight="1" x14ac:dyDescent="0.2">
      <c r="G31186" s="889"/>
    </row>
    <row r="31187" spans="7:7" ht="10.5" customHeight="1" x14ac:dyDescent="0.2">
      <c r="G31187" s="889"/>
    </row>
    <row r="31188" spans="7:7" ht="10.5" customHeight="1" x14ac:dyDescent="0.2">
      <c r="G31188" s="889"/>
    </row>
    <row r="31189" spans="7:7" ht="10.5" customHeight="1" x14ac:dyDescent="0.2">
      <c r="G31189" s="889"/>
    </row>
    <row r="31190" spans="7:7" ht="10.5" customHeight="1" x14ac:dyDescent="0.2">
      <c r="G31190" s="889"/>
    </row>
    <row r="31191" spans="7:7" ht="10.5" customHeight="1" x14ac:dyDescent="0.2">
      <c r="G31191" s="889"/>
    </row>
    <row r="31192" spans="7:7" ht="10.5" customHeight="1" x14ac:dyDescent="0.2">
      <c r="G31192" s="889"/>
    </row>
    <row r="31193" spans="7:7" ht="10.5" customHeight="1" x14ac:dyDescent="0.2">
      <c r="G31193" s="889"/>
    </row>
    <row r="31194" spans="7:7" ht="10.5" customHeight="1" x14ac:dyDescent="0.2">
      <c r="G31194" s="889"/>
    </row>
    <row r="31195" spans="7:7" ht="10.5" customHeight="1" x14ac:dyDescent="0.2">
      <c r="G31195" s="889"/>
    </row>
    <row r="31196" spans="7:7" ht="10.5" customHeight="1" x14ac:dyDescent="0.2">
      <c r="G31196" s="889"/>
    </row>
    <row r="31197" spans="7:7" ht="10.5" customHeight="1" x14ac:dyDescent="0.2">
      <c r="G31197" s="889"/>
    </row>
    <row r="31198" spans="7:7" ht="10.5" customHeight="1" x14ac:dyDescent="0.2">
      <c r="G31198" s="889"/>
    </row>
    <row r="31199" spans="7:7" ht="10.5" customHeight="1" x14ac:dyDescent="0.2">
      <c r="G31199" s="889"/>
    </row>
    <row r="31200" spans="7:7" ht="10.5" customHeight="1" x14ac:dyDescent="0.2">
      <c r="G31200" s="889"/>
    </row>
    <row r="31201" spans="7:7" ht="10.5" customHeight="1" x14ac:dyDescent="0.2">
      <c r="G31201" s="889"/>
    </row>
    <row r="31202" spans="7:7" ht="10.5" customHeight="1" x14ac:dyDescent="0.2">
      <c r="G31202" s="889"/>
    </row>
    <row r="31203" spans="7:7" ht="10.5" customHeight="1" x14ac:dyDescent="0.2">
      <c r="G31203" s="889"/>
    </row>
    <row r="31204" spans="7:7" ht="10.5" customHeight="1" x14ac:dyDescent="0.2">
      <c r="G31204" s="889"/>
    </row>
    <row r="31205" spans="7:7" ht="10.5" customHeight="1" x14ac:dyDescent="0.2">
      <c r="G31205" s="889"/>
    </row>
    <row r="31206" spans="7:7" ht="10.5" customHeight="1" x14ac:dyDescent="0.2">
      <c r="G31206" s="889"/>
    </row>
    <row r="31207" spans="7:7" ht="10.5" customHeight="1" x14ac:dyDescent="0.2">
      <c r="G31207" s="889"/>
    </row>
    <row r="31208" spans="7:7" ht="10.5" customHeight="1" x14ac:dyDescent="0.2">
      <c r="G31208" s="889"/>
    </row>
    <row r="31209" spans="7:7" ht="10.5" customHeight="1" x14ac:dyDescent="0.2">
      <c r="G31209" s="889"/>
    </row>
    <row r="31210" spans="7:7" ht="10.5" customHeight="1" x14ac:dyDescent="0.2">
      <c r="G31210" s="889"/>
    </row>
    <row r="31211" spans="7:7" ht="10.5" customHeight="1" x14ac:dyDescent="0.2">
      <c r="G31211" s="889"/>
    </row>
    <row r="31212" spans="7:7" ht="10.5" customHeight="1" x14ac:dyDescent="0.2">
      <c r="G31212" s="889"/>
    </row>
    <row r="31213" spans="7:7" ht="10.5" customHeight="1" x14ac:dyDescent="0.2">
      <c r="G31213" s="889"/>
    </row>
    <row r="31214" spans="7:7" ht="10.5" customHeight="1" x14ac:dyDescent="0.2">
      <c r="G31214" s="889"/>
    </row>
    <row r="31215" spans="7:7" ht="10.5" customHeight="1" x14ac:dyDescent="0.2">
      <c r="G31215" s="889"/>
    </row>
    <row r="31216" spans="7:7" ht="10.5" customHeight="1" x14ac:dyDescent="0.2">
      <c r="G31216" s="889"/>
    </row>
    <row r="31217" spans="7:7" ht="10.5" customHeight="1" x14ac:dyDescent="0.2">
      <c r="G31217" s="889"/>
    </row>
    <row r="31218" spans="7:7" ht="10.5" customHeight="1" x14ac:dyDescent="0.2">
      <c r="G31218" s="889"/>
    </row>
    <row r="31219" spans="7:7" ht="10.5" customHeight="1" x14ac:dyDescent="0.2">
      <c r="G31219" s="889"/>
    </row>
    <row r="31220" spans="7:7" ht="10.5" customHeight="1" x14ac:dyDescent="0.2">
      <c r="G31220" s="889"/>
    </row>
    <row r="31221" spans="7:7" ht="10.5" customHeight="1" x14ac:dyDescent="0.2">
      <c r="G31221" s="889"/>
    </row>
    <row r="31222" spans="7:7" ht="10.5" customHeight="1" x14ac:dyDescent="0.2">
      <c r="G31222" s="889"/>
    </row>
    <row r="31223" spans="7:7" ht="10.5" customHeight="1" x14ac:dyDescent="0.2">
      <c r="G31223" s="889"/>
    </row>
    <row r="31224" spans="7:7" ht="10.5" customHeight="1" x14ac:dyDescent="0.2">
      <c r="G31224" s="889"/>
    </row>
    <row r="31225" spans="7:7" ht="10.5" customHeight="1" x14ac:dyDescent="0.2">
      <c r="G31225" s="889"/>
    </row>
    <row r="31226" spans="7:7" ht="10.5" customHeight="1" x14ac:dyDescent="0.2">
      <c r="G31226" s="889"/>
    </row>
    <row r="31227" spans="7:7" ht="10.5" customHeight="1" x14ac:dyDescent="0.2">
      <c r="G31227" s="889"/>
    </row>
    <row r="31228" spans="7:7" ht="10.5" customHeight="1" x14ac:dyDescent="0.2">
      <c r="G31228" s="889"/>
    </row>
    <row r="31229" spans="7:7" ht="10.5" customHeight="1" x14ac:dyDescent="0.2">
      <c r="G31229" s="889"/>
    </row>
    <row r="31230" spans="7:7" ht="10.5" customHeight="1" x14ac:dyDescent="0.2">
      <c r="G31230" s="889"/>
    </row>
    <row r="31231" spans="7:7" ht="10.5" customHeight="1" x14ac:dyDescent="0.2">
      <c r="G31231" s="889"/>
    </row>
    <row r="31232" spans="7:7" ht="10.5" customHeight="1" x14ac:dyDescent="0.2">
      <c r="G31232" s="889"/>
    </row>
    <row r="31233" spans="7:7" ht="10.5" customHeight="1" x14ac:dyDescent="0.2">
      <c r="G31233" s="889"/>
    </row>
    <row r="31234" spans="7:7" ht="10.5" customHeight="1" x14ac:dyDescent="0.2">
      <c r="G31234" s="889"/>
    </row>
    <row r="31235" spans="7:7" ht="10.5" customHeight="1" x14ac:dyDescent="0.2">
      <c r="G31235" s="889"/>
    </row>
    <row r="31236" spans="7:7" ht="10.5" customHeight="1" x14ac:dyDescent="0.2">
      <c r="G31236" s="889"/>
    </row>
    <row r="31237" spans="7:7" ht="10.5" customHeight="1" x14ac:dyDescent="0.2">
      <c r="G31237" s="889"/>
    </row>
    <row r="31238" spans="7:7" ht="10.5" customHeight="1" x14ac:dyDescent="0.2">
      <c r="G31238" s="889"/>
    </row>
    <row r="31239" spans="7:7" ht="10.5" customHeight="1" x14ac:dyDescent="0.2">
      <c r="G31239" s="889"/>
    </row>
    <row r="31240" spans="7:7" ht="10.5" customHeight="1" x14ac:dyDescent="0.2">
      <c r="G31240" s="889"/>
    </row>
    <row r="31241" spans="7:7" ht="10.5" customHeight="1" x14ac:dyDescent="0.2">
      <c r="G31241" s="889"/>
    </row>
    <row r="31242" spans="7:7" ht="10.5" customHeight="1" x14ac:dyDescent="0.2">
      <c r="G31242" s="889"/>
    </row>
    <row r="31243" spans="7:7" ht="10.5" customHeight="1" x14ac:dyDescent="0.2">
      <c r="G31243" s="889"/>
    </row>
    <row r="31244" spans="7:7" ht="10.5" customHeight="1" x14ac:dyDescent="0.2">
      <c r="G31244" s="889"/>
    </row>
    <row r="31245" spans="7:7" ht="10.5" customHeight="1" x14ac:dyDescent="0.2">
      <c r="G31245" s="889"/>
    </row>
    <row r="31246" spans="7:7" ht="10.5" customHeight="1" x14ac:dyDescent="0.2">
      <c r="G31246" s="889"/>
    </row>
    <row r="31247" spans="7:7" ht="10.5" customHeight="1" x14ac:dyDescent="0.2">
      <c r="G31247" s="889"/>
    </row>
    <row r="31248" spans="7:7" ht="10.5" customHeight="1" x14ac:dyDescent="0.2">
      <c r="G31248" s="889"/>
    </row>
    <row r="31249" spans="7:7" ht="10.5" customHeight="1" x14ac:dyDescent="0.2">
      <c r="G31249" s="889"/>
    </row>
    <row r="31250" spans="7:7" ht="10.5" customHeight="1" x14ac:dyDescent="0.2">
      <c r="G31250" s="889"/>
    </row>
    <row r="31251" spans="7:7" ht="10.5" customHeight="1" x14ac:dyDescent="0.2">
      <c r="G31251" s="889"/>
    </row>
    <row r="31252" spans="7:7" ht="10.5" customHeight="1" x14ac:dyDescent="0.2">
      <c r="G31252" s="889"/>
    </row>
    <row r="31253" spans="7:7" ht="10.5" customHeight="1" x14ac:dyDescent="0.2">
      <c r="G31253" s="889"/>
    </row>
    <row r="31254" spans="7:7" ht="10.5" customHeight="1" x14ac:dyDescent="0.2">
      <c r="G31254" s="889"/>
    </row>
    <row r="31255" spans="7:7" ht="10.5" customHeight="1" x14ac:dyDescent="0.2">
      <c r="G31255" s="889"/>
    </row>
    <row r="31256" spans="7:7" ht="10.5" customHeight="1" x14ac:dyDescent="0.2">
      <c r="G31256" s="889"/>
    </row>
    <row r="31257" spans="7:7" ht="10.5" customHeight="1" x14ac:dyDescent="0.2">
      <c r="G31257" s="889"/>
    </row>
    <row r="31258" spans="7:7" ht="10.5" customHeight="1" x14ac:dyDescent="0.2">
      <c r="G31258" s="889"/>
    </row>
    <row r="31259" spans="7:7" ht="10.5" customHeight="1" x14ac:dyDescent="0.2">
      <c r="G31259" s="889"/>
    </row>
    <row r="31260" spans="7:7" ht="10.5" customHeight="1" x14ac:dyDescent="0.2">
      <c r="G31260" s="889"/>
    </row>
    <row r="31261" spans="7:7" ht="10.5" customHeight="1" x14ac:dyDescent="0.2">
      <c r="G31261" s="889"/>
    </row>
    <row r="31262" spans="7:7" ht="10.5" customHeight="1" x14ac:dyDescent="0.2">
      <c r="G31262" s="889"/>
    </row>
    <row r="31263" spans="7:7" ht="10.5" customHeight="1" x14ac:dyDescent="0.2">
      <c r="G31263" s="889"/>
    </row>
    <row r="31264" spans="7:7" ht="10.5" customHeight="1" x14ac:dyDescent="0.2">
      <c r="G31264" s="889"/>
    </row>
    <row r="31265" spans="7:7" ht="10.5" customHeight="1" x14ac:dyDescent="0.2">
      <c r="G31265" s="889"/>
    </row>
    <row r="31266" spans="7:7" ht="10.5" customHeight="1" x14ac:dyDescent="0.2">
      <c r="G31266" s="889"/>
    </row>
    <row r="31267" spans="7:7" ht="10.5" customHeight="1" x14ac:dyDescent="0.2">
      <c r="G31267" s="889"/>
    </row>
    <row r="31268" spans="7:7" ht="10.5" customHeight="1" x14ac:dyDescent="0.2">
      <c r="G31268" s="889"/>
    </row>
    <row r="31269" spans="7:7" ht="10.5" customHeight="1" x14ac:dyDescent="0.2">
      <c r="G31269" s="889"/>
    </row>
    <row r="31270" spans="7:7" ht="10.5" customHeight="1" x14ac:dyDescent="0.2">
      <c r="G31270" s="889"/>
    </row>
    <row r="31271" spans="7:7" ht="10.5" customHeight="1" x14ac:dyDescent="0.2">
      <c r="G31271" s="889"/>
    </row>
    <row r="31272" spans="7:7" ht="10.5" customHeight="1" x14ac:dyDescent="0.2">
      <c r="G31272" s="889"/>
    </row>
    <row r="31273" spans="7:7" ht="10.5" customHeight="1" x14ac:dyDescent="0.2">
      <c r="G31273" s="889"/>
    </row>
    <row r="31274" spans="7:7" ht="10.5" customHeight="1" x14ac:dyDescent="0.2">
      <c r="G31274" s="889"/>
    </row>
    <row r="31275" spans="7:7" ht="10.5" customHeight="1" x14ac:dyDescent="0.2">
      <c r="G31275" s="889"/>
    </row>
    <row r="31276" spans="7:7" ht="10.5" customHeight="1" x14ac:dyDescent="0.2">
      <c r="G31276" s="889"/>
    </row>
    <row r="31277" spans="7:7" ht="10.5" customHeight="1" x14ac:dyDescent="0.2">
      <c r="G31277" s="889"/>
    </row>
    <row r="31278" spans="7:7" ht="10.5" customHeight="1" x14ac:dyDescent="0.2">
      <c r="G31278" s="889"/>
    </row>
    <row r="31279" spans="7:7" ht="10.5" customHeight="1" x14ac:dyDescent="0.2">
      <c r="G31279" s="889"/>
    </row>
    <row r="31280" spans="7:7" ht="10.5" customHeight="1" x14ac:dyDescent="0.2">
      <c r="G31280" s="889"/>
    </row>
    <row r="31281" spans="7:7" ht="10.5" customHeight="1" x14ac:dyDescent="0.2">
      <c r="G31281" s="889"/>
    </row>
    <row r="31282" spans="7:7" ht="10.5" customHeight="1" x14ac:dyDescent="0.2">
      <c r="G31282" s="889"/>
    </row>
    <row r="31283" spans="7:7" ht="10.5" customHeight="1" x14ac:dyDescent="0.2">
      <c r="G31283" s="889"/>
    </row>
    <row r="31284" spans="7:7" ht="10.5" customHeight="1" x14ac:dyDescent="0.2">
      <c r="G31284" s="889"/>
    </row>
    <row r="31285" spans="7:7" ht="10.5" customHeight="1" x14ac:dyDescent="0.2">
      <c r="G31285" s="889"/>
    </row>
    <row r="31286" spans="7:7" ht="10.5" customHeight="1" x14ac:dyDescent="0.2">
      <c r="G31286" s="889"/>
    </row>
    <row r="31287" spans="7:7" ht="10.5" customHeight="1" x14ac:dyDescent="0.2">
      <c r="G31287" s="889"/>
    </row>
    <row r="31288" spans="7:7" ht="10.5" customHeight="1" x14ac:dyDescent="0.2">
      <c r="G31288" s="889"/>
    </row>
    <row r="31289" spans="7:7" ht="10.5" customHeight="1" x14ac:dyDescent="0.2">
      <c r="G31289" s="889"/>
    </row>
    <row r="31290" spans="7:7" ht="10.5" customHeight="1" x14ac:dyDescent="0.2">
      <c r="G31290" s="889"/>
    </row>
    <row r="31291" spans="7:7" ht="10.5" customHeight="1" x14ac:dyDescent="0.2">
      <c r="G31291" s="889"/>
    </row>
    <row r="31292" spans="7:7" ht="10.5" customHeight="1" x14ac:dyDescent="0.2">
      <c r="G31292" s="889"/>
    </row>
    <row r="31293" spans="7:7" ht="10.5" customHeight="1" x14ac:dyDescent="0.2">
      <c r="G31293" s="889"/>
    </row>
    <row r="31294" spans="7:7" ht="10.5" customHeight="1" x14ac:dyDescent="0.2">
      <c r="G31294" s="889"/>
    </row>
    <row r="31295" spans="7:7" ht="10.5" customHeight="1" x14ac:dyDescent="0.2">
      <c r="G31295" s="889"/>
    </row>
    <row r="31296" spans="7:7" ht="10.5" customHeight="1" x14ac:dyDescent="0.2">
      <c r="G31296" s="889"/>
    </row>
    <row r="31297" spans="7:7" ht="10.5" customHeight="1" x14ac:dyDescent="0.2">
      <c r="G31297" s="889"/>
    </row>
    <row r="31298" spans="7:7" ht="10.5" customHeight="1" x14ac:dyDescent="0.2">
      <c r="G31298" s="889"/>
    </row>
    <row r="31299" spans="7:7" ht="10.5" customHeight="1" x14ac:dyDescent="0.2">
      <c r="G31299" s="889"/>
    </row>
    <row r="31300" spans="7:7" ht="10.5" customHeight="1" x14ac:dyDescent="0.2">
      <c r="G31300" s="889"/>
    </row>
    <row r="31301" spans="7:7" ht="10.5" customHeight="1" x14ac:dyDescent="0.2">
      <c r="G31301" s="889"/>
    </row>
    <row r="31302" spans="7:7" ht="10.5" customHeight="1" x14ac:dyDescent="0.2">
      <c r="G31302" s="889"/>
    </row>
    <row r="31303" spans="7:7" ht="10.5" customHeight="1" x14ac:dyDescent="0.2">
      <c r="G31303" s="889"/>
    </row>
    <row r="31304" spans="7:7" ht="10.5" customHeight="1" x14ac:dyDescent="0.2">
      <c r="G31304" s="889"/>
    </row>
    <row r="31305" spans="7:7" ht="10.5" customHeight="1" x14ac:dyDescent="0.2">
      <c r="G31305" s="889"/>
    </row>
    <row r="31306" spans="7:7" ht="10.5" customHeight="1" x14ac:dyDescent="0.2">
      <c r="G31306" s="889"/>
    </row>
    <row r="31307" spans="7:7" ht="10.5" customHeight="1" x14ac:dyDescent="0.2">
      <c r="G31307" s="889"/>
    </row>
    <row r="31308" spans="7:7" ht="10.5" customHeight="1" x14ac:dyDescent="0.2">
      <c r="G31308" s="889"/>
    </row>
    <row r="31309" spans="7:7" ht="10.5" customHeight="1" x14ac:dyDescent="0.2">
      <c r="G31309" s="889"/>
    </row>
    <row r="31310" spans="7:7" ht="10.5" customHeight="1" x14ac:dyDescent="0.2">
      <c r="G31310" s="889"/>
    </row>
    <row r="31311" spans="7:7" ht="10.5" customHeight="1" x14ac:dyDescent="0.2">
      <c r="G31311" s="889"/>
    </row>
    <row r="31312" spans="7:7" ht="10.5" customHeight="1" x14ac:dyDescent="0.2">
      <c r="G31312" s="889"/>
    </row>
    <row r="31313" spans="7:7" ht="10.5" customHeight="1" x14ac:dyDescent="0.2">
      <c r="G31313" s="889"/>
    </row>
    <row r="31314" spans="7:7" ht="10.5" customHeight="1" x14ac:dyDescent="0.2">
      <c r="G31314" s="889"/>
    </row>
    <row r="31315" spans="7:7" ht="10.5" customHeight="1" x14ac:dyDescent="0.2">
      <c r="G31315" s="889"/>
    </row>
    <row r="31316" spans="7:7" ht="10.5" customHeight="1" x14ac:dyDescent="0.2">
      <c r="G31316" s="889"/>
    </row>
    <row r="31317" spans="7:7" ht="10.5" customHeight="1" x14ac:dyDescent="0.2">
      <c r="G31317" s="889"/>
    </row>
    <row r="31318" spans="7:7" ht="10.5" customHeight="1" x14ac:dyDescent="0.2">
      <c r="G31318" s="889"/>
    </row>
    <row r="31319" spans="7:7" ht="10.5" customHeight="1" x14ac:dyDescent="0.2">
      <c r="G31319" s="889"/>
    </row>
    <row r="31320" spans="7:7" ht="10.5" customHeight="1" x14ac:dyDescent="0.2">
      <c r="G31320" s="889"/>
    </row>
    <row r="31321" spans="7:7" ht="10.5" customHeight="1" x14ac:dyDescent="0.2">
      <c r="G31321" s="889"/>
    </row>
    <row r="31322" spans="7:7" ht="10.5" customHeight="1" x14ac:dyDescent="0.2">
      <c r="G31322" s="889"/>
    </row>
    <row r="31323" spans="7:7" ht="10.5" customHeight="1" x14ac:dyDescent="0.2">
      <c r="G31323" s="889"/>
    </row>
    <row r="31324" spans="7:7" ht="10.5" customHeight="1" x14ac:dyDescent="0.2">
      <c r="G31324" s="889"/>
    </row>
    <row r="31325" spans="7:7" ht="10.5" customHeight="1" x14ac:dyDescent="0.2">
      <c r="G31325" s="889"/>
    </row>
    <row r="31326" spans="7:7" ht="10.5" customHeight="1" x14ac:dyDescent="0.2">
      <c r="G31326" s="889"/>
    </row>
    <row r="31327" spans="7:7" ht="10.5" customHeight="1" x14ac:dyDescent="0.2">
      <c r="G31327" s="889"/>
    </row>
    <row r="31328" spans="7:7" ht="10.5" customHeight="1" x14ac:dyDescent="0.2">
      <c r="G31328" s="889"/>
    </row>
    <row r="31329" spans="7:7" ht="10.5" customHeight="1" x14ac:dyDescent="0.2">
      <c r="G31329" s="889"/>
    </row>
    <row r="31330" spans="7:7" ht="10.5" customHeight="1" x14ac:dyDescent="0.2">
      <c r="G31330" s="889"/>
    </row>
    <row r="31331" spans="7:7" ht="10.5" customHeight="1" x14ac:dyDescent="0.2">
      <c r="G31331" s="889"/>
    </row>
    <row r="31332" spans="7:7" ht="10.5" customHeight="1" x14ac:dyDescent="0.2">
      <c r="G31332" s="889"/>
    </row>
    <row r="31333" spans="7:7" ht="10.5" customHeight="1" x14ac:dyDescent="0.2">
      <c r="G31333" s="889"/>
    </row>
    <row r="31334" spans="7:7" ht="10.5" customHeight="1" x14ac:dyDescent="0.2">
      <c r="G31334" s="889"/>
    </row>
    <row r="31335" spans="7:7" ht="10.5" customHeight="1" x14ac:dyDescent="0.2">
      <c r="G31335" s="889"/>
    </row>
    <row r="31336" spans="7:7" ht="10.5" customHeight="1" x14ac:dyDescent="0.2">
      <c r="G31336" s="889"/>
    </row>
    <row r="31337" spans="7:7" ht="10.5" customHeight="1" x14ac:dyDescent="0.2">
      <c r="G31337" s="889"/>
    </row>
    <row r="31338" spans="7:7" ht="10.5" customHeight="1" x14ac:dyDescent="0.2">
      <c r="G31338" s="889"/>
    </row>
    <row r="31339" spans="7:7" ht="10.5" customHeight="1" x14ac:dyDescent="0.2">
      <c r="G31339" s="889"/>
    </row>
    <row r="31340" spans="7:7" ht="10.5" customHeight="1" x14ac:dyDescent="0.2">
      <c r="G31340" s="889"/>
    </row>
    <row r="31341" spans="7:7" ht="10.5" customHeight="1" x14ac:dyDescent="0.2">
      <c r="G31341" s="889"/>
    </row>
    <row r="31342" spans="7:7" ht="10.5" customHeight="1" x14ac:dyDescent="0.2">
      <c r="G31342" s="889"/>
    </row>
    <row r="31343" spans="7:7" ht="10.5" customHeight="1" x14ac:dyDescent="0.2">
      <c r="G31343" s="889"/>
    </row>
    <row r="31344" spans="7:7" ht="10.5" customHeight="1" x14ac:dyDescent="0.2">
      <c r="G31344" s="889"/>
    </row>
    <row r="31345" spans="7:7" ht="10.5" customHeight="1" x14ac:dyDescent="0.2">
      <c r="G31345" s="889"/>
    </row>
    <row r="31346" spans="7:7" ht="10.5" customHeight="1" x14ac:dyDescent="0.2">
      <c r="G31346" s="889"/>
    </row>
    <row r="31347" spans="7:7" ht="10.5" customHeight="1" x14ac:dyDescent="0.2">
      <c r="G31347" s="889"/>
    </row>
    <row r="31348" spans="7:7" ht="10.5" customHeight="1" x14ac:dyDescent="0.2">
      <c r="G31348" s="889"/>
    </row>
    <row r="31349" spans="7:7" ht="10.5" customHeight="1" x14ac:dyDescent="0.2">
      <c r="G31349" s="889"/>
    </row>
    <row r="31350" spans="7:7" ht="10.5" customHeight="1" x14ac:dyDescent="0.2">
      <c r="G31350" s="889"/>
    </row>
    <row r="31351" spans="7:7" ht="10.5" customHeight="1" x14ac:dyDescent="0.2">
      <c r="G31351" s="889"/>
    </row>
    <row r="31352" spans="7:7" ht="10.5" customHeight="1" x14ac:dyDescent="0.2">
      <c r="G31352" s="889"/>
    </row>
    <row r="31353" spans="7:7" ht="10.5" customHeight="1" x14ac:dyDescent="0.2">
      <c r="G31353" s="889"/>
    </row>
    <row r="31354" spans="7:7" ht="10.5" customHeight="1" x14ac:dyDescent="0.2">
      <c r="G31354" s="889"/>
    </row>
    <row r="31355" spans="7:7" ht="10.5" customHeight="1" x14ac:dyDescent="0.2">
      <c r="G31355" s="889"/>
    </row>
    <row r="31356" spans="7:7" ht="10.5" customHeight="1" x14ac:dyDescent="0.2">
      <c r="G31356" s="889"/>
    </row>
    <row r="31357" spans="7:7" ht="10.5" customHeight="1" x14ac:dyDescent="0.2">
      <c r="G31357" s="889"/>
    </row>
    <row r="31358" spans="7:7" ht="10.5" customHeight="1" x14ac:dyDescent="0.2">
      <c r="G31358" s="889"/>
    </row>
    <row r="31359" spans="7:7" ht="10.5" customHeight="1" x14ac:dyDescent="0.2">
      <c r="G31359" s="889"/>
    </row>
    <row r="31360" spans="7:7" ht="10.5" customHeight="1" x14ac:dyDescent="0.2">
      <c r="G31360" s="889"/>
    </row>
    <row r="31361" spans="7:7" ht="10.5" customHeight="1" x14ac:dyDescent="0.2">
      <c r="G31361" s="889"/>
    </row>
    <row r="31362" spans="7:7" ht="10.5" customHeight="1" x14ac:dyDescent="0.2">
      <c r="G31362" s="889"/>
    </row>
    <row r="31363" spans="7:7" ht="10.5" customHeight="1" x14ac:dyDescent="0.2">
      <c r="G31363" s="889"/>
    </row>
    <row r="31364" spans="7:7" ht="10.5" customHeight="1" x14ac:dyDescent="0.2">
      <c r="G31364" s="889"/>
    </row>
    <row r="31365" spans="7:7" ht="10.5" customHeight="1" x14ac:dyDescent="0.2">
      <c r="G31365" s="889"/>
    </row>
    <row r="31366" spans="7:7" ht="10.5" customHeight="1" x14ac:dyDescent="0.2">
      <c r="G31366" s="889"/>
    </row>
    <row r="31367" spans="7:7" ht="10.5" customHeight="1" x14ac:dyDescent="0.2">
      <c r="G31367" s="889"/>
    </row>
    <row r="31368" spans="7:7" ht="10.5" customHeight="1" x14ac:dyDescent="0.2">
      <c r="G31368" s="889"/>
    </row>
    <row r="31369" spans="7:7" ht="10.5" customHeight="1" x14ac:dyDescent="0.2">
      <c r="G31369" s="889"/>
    </row>
    <row r="31370" spans="7:7" ht="10.5" customHeight="1" x14ac:dyDescent="0.2">
      <c r="G31370" s="889"/>
    </row>
    <row r="31371" spans="7:7" ht="10.5" customHeight="1" x14ac:dyDescent="0.2">
      <c r="G31371" s="889"/>
    </row>
    <row r="31372" spans="7:7" ht="10.5" customHeight="1" x14ac:dyDescent="0.2">
      <c r="G31372" s="889"/>
    </row>
    <row r="31373" spans="7:7" ht="10.5" customHeight="1" x14ac:dyDescent="0.2">
      <c r="G31373" s="889"/>
    </row>
    <row r="31374" spans="7:7" ht="10.5" customHeight="1" x14ac:dyDescent="0.2">
      <c r="G31374" s="889"/>
    </row>
    <row r="31375" spans="7:7" ht="10.5" customHeight="1" x14ac:dyDescent="0.2">
      <c r="G31375" s="889"/>
    </row>
    <row r="31376" spans="7:7" ht="10.5" customHeight="1" x14ac:dyDescent="0.2">
      <c r="G31376" s="889"/>
    </row>
    <row r="31377" spans="7:7" ht="10.5" customHeight="1" x14ac:dyDescent="0.2">
      <c r="G31377" s="889"/>
    </row>
    <row r="31378" spans="7:7" ht="10.5" customHeight="1" x14ac:dyDescent="0.2">
      <c r="G31378" s="889"/>
    </row>
    <row r="31379" spans="7:7" ht="10.5" customHeight="1" x14ac:dyDescent="0.2">
      <c r="G31379" s="889"/>
    </row>
    <row r="31380" spans="7:7" ht="10.5" customHeight="1" x14ac:dyDescent="0.2">
      <c r="G31380" s="889"/>
    </row>
    <row r="31381" spans="7:7" ht="10.5" customHeight="1" x14ac:dyDescent="0.2">
      <c r="G31381" s="889"/>
    </row>
    <row r="31382" spans="7:7" ht="10.5" customHeight="1" x14ac:dyDescent="0.2">
      <c r="G31382" s="889"/>
    </row>
    <row r="31383" spans="7:7" ht="10.5" customHeight="1" x14ac:dyDescent="0.2">
      <c r="G31383" s="889"/>
    </row>
    <row r="31384" spans="7:7" ht="10.5" customHeight="1" x14ac:dyDescent="0.2">
      <c r="G31384" s="889"/>
    </row>
    <row r="31385" spans="7:7" ht="10.5" customHeight="1" x14ac:dyDescent="0.2">
      <c r="G31385" s="889"/>
    </row>
    <row r="31386" spans="7:7" ht="10.5" customHeight="1" x14ac:dyDescent="0.2">
      <c r="G31386" s="889"/>
    </row>
    <row r="31387" spans="7:7" ht="10.5" customHeight="1" x14ac:dyDescent="0.2">
      <c r="G31387" s="889"/>
    </row>
    <row r="31388" spans="7:7" ht="10.5" customHeight="1" x14ac:dyDescent="0.2">
      <c r="G31388" s="889"/>
    </row>
    <row r="31389" spans="7:7" ht="10.5" customHeight="1" x14ac:dyDescent="0.2">
      <c r="G31389" s="889"/>
    </row>
    <row r="31390" spans="7:7" ht="10.5" customHeight="1" x14ac:dyDescent="0.2">
      <c r="G31390" s="889"/>
    </row>
    <row r="31391" spans="7:7" ht="10.5" customHeight="1" x14ac:dyDescent="0.2">
      <c r="G31391" s="889"/>
    </row>
    <row r="31392" spans="7:7" ht="10.5" customHeight="1" x14ac:dyDescent="0.2">
      <c r="G31392" s="889"/>
    </row>
    <row r="31393" spans="7:7" ht="10.5" customHeight="1" x14ac:dyDescent="0.2">
      <c r="G31393" s="889"/>
    </row>
    <row r="31394" spans="7:7" ht="10.5" customHeight="1" x14ac:dyDescent="0.2">
      <c r="G31394" s="889"/>
    </row>
    <row r="31395" spans="7:7" ht="10.5" customHeight="1" x14ac:dyDescent="0.2">
      <c r="G31395" s="889"/>
    </row>
    <row r="31396" spans="7:7" ht="10.5" customHeight="1" x14ac:dyDescent="0.2">
      <c r="G31396" s="889"/>
    </row>
    <row r="31397" spans="7:7" ht="10.5" customHeight="1" x14ac:dyDescent="0.2">
      <c r="G31397" s="889"/>
    </row>
    <row r="31398" spans="7:7" ht="10.5" customHeight="1" x14ac:dyDescent="0.2">
      <c r="G31398" s="889"/>
    </row>
    <row r="31399" spans="7:7" ht="10.5" customHeight="1" x14ac:dyDescent="0.2">
      <c r="G31399" s="889"/>
    </row>
    <row r="31400" spans="7:7" ht="10.5" customHeight="1" x14ac:dyDescent="0.2">
      <c r="G31400" s="889"/>
    </row>
    <row r="31401" spans="7:7" ht="10.5" customHeight="1" x14ac:dyDescent="0.2">
      <c r="G31401" s="889"/>
    </row>
    <row r="31402" spans="7:7" ht="10.5" customHeight="1" x14ac:dyDescent="0.2">
      <c r="G31402" s="889"/>
    </row>
    <row r="31403" spans="7:7" ht="10.5" customHeight="1" x14ac:dyDescent="0.2">
      <c r="G31403" s="889"/>
    </row>
    <row r="31404" spans="7:7" ht="10.5" customHeight="1" x14ac:dyDescent="0.2">
      <c r="G31404" s="889"/>
    </row>
    <row r="31405" spans="7:7" ht="10.5" customHeight="1" x14ac:dyDescent="0.2">
      <c r="G31405" s="889"/>
    </row>
    <row r="31406" spans="7:7" ht="10.5" customHeight="1" x14ac:dyDescent="0.2">
      <c r="G31406" s="889"/>
    </row>
    <row r="31407" spans="7:7" ht="10.5" customHeight="1" x14ac:dyDescent="0.2">
      <c r="G31407" s="889"/>
    </row>
    <row r="31408" spans="7:7" ht="10.5" customHeight="1" x14ac:dyDescent="0.2">
      <c r="G31408" s="889"/>
    </row>
    <row r="31409" spans="7:7" ht="10.5" customHeight="1" x14ac:dyDescent="0.2">
      <c r="G31409" s="889"/>
    </row>
    <row r="31410" spans="7:7" ht="10.5" customHeight="1" x14ac:dyDescent="0.2">
      <c r="G31410" s="889"/>
    </row>
    <row r="31411" spans="7:7" ht="10.5" customHeight="1" x14ac:dyDescent="0.2">
      <c r="G31411" s="889"/>
    </row>
    <row r="31412" spans="7:7" ht="10.5" customHeight="1" x14ac:dyDescent="0.2">
      <c r="G31412" s="889"/>
    </row>
    <row r="31413" spans="7:7" ht="10.5" customHeight="1" x14ac:dyDescent="0.2">
      <c r="G31413" s="889"/>
    </row>
    <row r="31414" spans="7:7" ht="10.5" customHeight="1" x14ac:dyDescent="0.2">
      <c r="G31414" s="889"/>
    </row>
    <row r="31415" spans="7:7" ht="10.5" customHeight="1" x14ac:dyDescent="0.2">
      <c r="G31415" s="889"/>
    </row>
    <row r="31416" spans="7:7" ht="10.5" customHeight="1" x14ac:dyDescent="0.2">
      <c r="G31416" s="889"/>
    </row>
    <row r="31417" spans="7:7" ht="10.5" customHeight="1" x14ac:dyDescent="0.2">
      <c r="G31417" s="889"/>
    </row>
    <row r="31418" spans="7:7" ht="10.5" customHeight="1" x14ac:dyDescent="0.2">
      <c r="G31418" s="889"/>
    </row>
    <row r="31419" spans="7:7" ht="10.5" customHeight="1" x14ac:dyDescent="0.2">
      <c r="G31419" s="889"/>
    </row>
    <row r="31420" spans="7:7" ht="10.5" customHeight="1" x14ac:dyDescent="0.2">
      <c r="G31420" s="889"/>
    </row>
    <row r="31421" spans="7:7" ht="10.5" customHeight="1" x14ac:dyDescent="0.2">
      <c r="G31421" s="889"/>
    </row>
    <row r="31422" spans="7:7" ht="10.5" customHeight="1" x14ac:dyDescent="0.2">
      <c r="G31422" s="889"/>
    </row>
    <row r="31423" spans="7:7" ht="10.5" customHeight="1" x14ac:dyDescent="0.2">
      <c r="G31423" s="889"/>
    </row>
    <row r="31424" spans="7:7" ht="10.5" customHeight="1" x14ac:dyDescent="0.2">
      <c r="G31424" s="889"/>
    </row>
    <row r="31425" spans="7:7" ht="10.5" customHeight="1" x14ac:dyDescent="0.2">
      <c r="G31425" s="889"/>
    </row>
    <row r="31426" spans="7:7" ht="10.5" customHeight="1" x14ac:dyDescent="0.2">
      <c r="G31426" s="889"/>
    </row>
    <row r="31427" spans="7:7" ht="10.5" customHeight="1" x14ac:dyDescent="0.2">
      <c r="G31427" s="889"/>
    </row>
    <row r="31428" spans="7:7" ht="10.5" customHeight="1" x14ac:dyDescent="0.2">
      <c r="G31428" s="889"/>
    </row>
    <row r="31429" spans="7:7" ht="10.5" customHeight="1" x14ac:dyDescent="0.2">
      <c r="G31429" s="889"/>
    </row>
    <row r="31430" spans="7:7" ht="10.5" customHeight="1" x14ac:dyDescent="0.2">
      <c r="G31430" s="889"/>
    </row>
    <row r="31431" spans="7:7" ht="10.5" customHeight="1" x14ac:dyDescent="0.2">
      <c r="G31431" s="889"/>
    </row>
    <row r="31432" spans="7:7" ht="10.5" customHeight="1" x14ac:dyDescent="0.2">
      <c r="G31432" s="889"/>
    </row>
    <row r="31433" spans="7:7" ht="10.5" customHeight="1" x14ac:dyDescent="0.2">
      <c r="G31433" s="889"/>
    </row>
    <row r="31434" spans="7:7" ht="10.5" customHeight="1" x14ac:dyDescent="0.2">
      <c r="G31434" s="889"/>
    </row>
    <row r="31435" spans="7:7" ht="10.5" customHeight="1" x14ac:dyDescent="0.2">
      <c r="G31435" s="889"/>
    </row>
    <row r="31436" spans="7:7" ht="10.5" customHeight="1" x14ac:dyDescent="0.2">
      <c r="G31436" s="889"/>
    </row>
    <row r="31437" spans="7:7" ht="10.5" customHeight="1" x14ac:dyDescent="0.2">
      <c r="G31437" s="889"/>
    </row>
    <row r="31438" spans="7:7" ht="10.5" customHeight="1" x14ac:dyDescent="0.2">
      <c r="G31438" s="889"/>
    </row>
    <row r="31439" spans="7:7" ht="10.5" customHeight="1" x14ac:dyDescent="0.2">
      <c r="G31439" s="889"/>
    </row>
    <row r="31440" spans="7:7" ht="10.5" customHeight="1" x14ac:dyDescent="0.2">
      <c r="G31440" s="889"/>
    </row>
    <row r="31441" spans="7:7" ht="10.5" customHeight="1" x14ac:dyDescent="0.2">
      <c r="G31441" s="889"/>
    </row>
    <row r="31442" spans="7:7" ht="10.5" customHeight="1" x14ac:dyDescent="0.2">
      <c r="G31442" s="889"/>
    </row>
    <row r="31443" spans="7:7" ht="10.5" customHeight="1" x14ac:dyDescent="0.2">
      <c r="G31443" s="889"/>
    </row>
    <row r="31444" spans="7:7" ht="10.5" customHeight="1" x14ac:dyDescent="0.2">
      <c r="G31444" s="889"/>
    </row>
    <row r="31445" spans="7:7" ht="10.5" customHeight="1" x14ac:dyDescent="0.2">
      <c r="G31445" s="889"/>
    </row>
    <row r="31446" spans="7:7" ht="10.5" customHeight="1" x14ac:dyDescent="0.2">
      <c r="G31446" s="889"/>
    </row>
    <row r="31447" spans="7:7" ht="10.5" customHeight="1" x14ac:dyDescent="0.2">
      <c r="G31447" s="889"/>
    </row>
    <row r="31448" spans="7:7" ht="10.5" customHeight="1" x14ac:dyDescent="0.2">
      <c r="G31448" s="889"/>
    </row>
    <row r="31449" spans="7:7" ht="10.5" customHeight="1" x14ac:dyDescent="0.2">
      <c r="G31449" s="889"/>
    </row>
    <row r="31450" spans="7:7" ht="10.5" customHeight="1" x14ac:dyDescent="0.2">
      <c r="G31450" s="889"/>
    </row>
    <row r="31451" spans="7:7" ht="10.5" customHeight="1" x14ac:dyDescent="0.2">
      <c r="G31451" s="889"/>
    </row>
    <row r="31452" spans="7:7" ht="10.5" customHeight="1" x14ac:dyDescent="0.2">
      <c r="G31452" s="889"/>
    </row>
    <row r="31453" spans="7:7" ht="10.5" customHeight="1" x14ac:dyDescent="0.2">
      <c r="G31453" s="889"/>
    </row>
    <row r="31454" spans="7:7" ht="10.5" customHeight="1" x14ac:dyDescent="0.2">
      <c r="G31454" s="889"/>
    </row>
    <row r="31455" spans="7:7" ht="10.5" customHeight="1" x14ac:dyDescent="0.2">
      <c r="G31455" s="889"/>
    </row>
    <row r="31456" spans="7:7" ht="10.5" customHeight="1" x14ac:dyDescent="0.2">
      <c r="G31456" s="889"/>
    </row>
    <row r="31457" spans="7:7" ht="10.5" customHeight="1" x14ac:dyDescent="0.2">
      <c r="G31457" s="889"/>
    </row>
    <row r="31458" spans="7:7" ht="10.5" customHeight="1" x14ac:dyDescent="0.2">
      <c r="G31458" s="889"/>
    </row>
    <row r="31459" spans="7:7" ht="10.5" customHeight="1" x14ac:dyDescent="0.2">
      <c r="G31459" s="889"/>
    </row>
    <row r="31460" spans="7:7" ht="10.5" customHeight="1" x14ac:dyDescent="0.2">
      <c r="G31460" s="889"/>
    </row>
    <row r="31461" spans="7:7" ht="10.5" customHeight="1" x14ac:dyDescent="0.2">
      <c r="G31461" s="889"/>
    </row>
    <row r="31462" spans="7:7" ht="10.5" customHeight="1" x14ac:dyDescent="0.2">
      <c r="G31462" s="889"/>
    </row>
    <row r="31463" spans="7:7" ht="10.5" customHeight="1" x14ac:dyDescent="0.2">
      <c r="G31463" s="889"/>
    </row>
    <row r="31464" spans="7:7" ht="10.5" customHeight="1" x14ac:dyDescent="0.2">
      <c r="G31464" s="889"/>
    </row>
    <row r="31465" spans="7:7" ht="10.5" customHeight="1" x14ac:dyDescent="0.2">
      <c r="G31465" s="889"/>
    </row>
    <row r="31466" spans="7:7" ht="10.5" customHeight="1" x14ac:dyDescent="0.2">
      <c r="G31466" s="889"/>
    </row>
    <row r="31467" spans="7:7" ht="10.5" customHeight="1" x14ac:dyDescent="0.2">
      <c r="G31467" s="889"/>
    </row>
    <row r="31468" spans="7:7" ht="10.5" customHeight="1" x14ac:dyDescent="0.2">
      <c r="G31468" s="889"/>
    </row>
    <row r="31469" spans="7:7" ht="10.5" customHeight="1" x14ac:dyDescent="0.2">
      <c r="G31469" s="889"/>
    </row>
    <row r="31470" spans="7:7" ht="10.5" customHeight="1" x14ac:dyDescent="0.2">
      <c r="G31470" s="889"/>
    </row>
    <row r="31471" spans="7:7" ht="10.5" customHeight="1" x14ac:dyDescent="0.2">
      <c r="G31471" s="889"/>
    </row>
    <row r="31472" spans="7:7" ht="10.5" customHeight="1" x14ac:dyDescent="0.2">
      <c r="G31472" s="889"/>
    </row>
    <row r="31473" spans="7:7" ht="10.5" customHeight="1" x14ac:dyDescent="0.2">
      <c r="G31473" s="889"/>
    </row>
    <row r="31474" spans="7:7" ht="10.5" customHeight="1" x14ac:dyDescent="0.2">
      <c r="G31474" s="889"/>
    </row>
    <row r="31475" spans="7:7" ht="10.5" customHeight="1" x14ac:dyDescent="0.2">
      <c r="G31475" s="889"/>
    </row>
    <row r="31476" spans="7:7" ht="10.5" customHeight="1" x14ac:dyDescent="0.2">
      <c r="G31476" s="889"/>
    </row>
    <row r="31477" spans="7:7" ht="10.5" customHeight="1" x14ac:dyDescent="0.2">
      <c r="G31477" s="889"/>
    </row>
    <row r="31478" spans="7:7" ht="10.5" customHeight="1" x14ac:dyDescent="0.2">
      <c r="G31478" s="889"/>
    </row>
    <row r="31479" spans="7:7" ht="10.5" customHeight="1" x14ac:dyDescent="0.2">
      <c r="G31479" s="889"/>
    </row>
    <row r="31480" spans="7:7" ht="10.5" customHeight="1" x14ac:dyDescent="0.2">
      <c r="G31480" s="889"/>
    </row>
    <row r="31481" spans="7:7" ht="10.5" customHeight="1" x14ac:dyDescent="0.2">
      <c r="G31481" s="889"/>
    </row>
    <row r="31482" spans="7:7" ht="10.5" customHeight="1" x14ac:dyDescent="0.2">
      <c r="G31482" s="889"/>
    </row>
    <row r="31483" spans="7:7" ht="10.5" customHeight="1" x14ac:dyDescent="0.2">
      <c r="G31483" s="889"/>
    </row>
    <row r="31484" spans="7:7" ht="10.5" customHeight="1" x14ac:dyDescent="0.2">
      <c r="G31484" s="889"/>
    </row>
    <row r="31485" spans="7:7" ht="10.5" customHeight="1" x14ac:dyDescent="0.2">
      <c r="G31485" s="889"/>
    </row>
    <row r="31486" spans="7:7" ht="10.5" customHeight="1" x14ac:dyDescent="0.2">
      <c r="G31486" s="889"/>
    </row>
    <row r="31487" spans="7:7" ht="10.5" customHeight="1" x14ac:dyDescent="0.2">
      <c r="G31487" s="889"/>
    </row>
    <row r="31488" spans="7:7" ht="10.5" customHeight="1" x14ac:dyDescent="0.2">
      <c r="G31488" s="889"/>
    </row>
    <row r="31489" spans="7:7" ht="10.5" customHeight="1" x14ac:dyDescent="0.2">
      <c r="G31489" s="889"/>
    </row>
    <row r="31490" spans="7:7" ht="10.5" customHeight="1" x14ac:dyDescent="0.2">
      <c r="G31490" s="889"/>
    </row>
    <row r="31491" spans="7:7" ht="10.5" customHeight="1" x14ac:dyDescent="0.2">
      <c r="G31491" s="889"/>
    </row>
    <row r="31492" spans="7:7" ht="10.5" customHeight="1" x14ac:dyDescent="0.2">
      <c r="G31492" s="889"/>
    </row>
    <row r="31493" spans="7:7" ht="10.5" customHeight="1" x14ac:dyDescent="0.2">
      <c r="G31493" s="889"/>
    </row>
    <row r="31494" spans="7:7" ht="10.5" customHeight="1" x14ac:dyDescent="0.2">
      <c r="G31494" s="889"/>
    </row>
    <row r="31495" spans="7:7" ht="10.5" customHeight="1" x14ac:dyDescent="0.2">
      <c r="G31495" s="889"/>
    </row>
    <row r="31496" spans="7:7" ht="10.5" customHeight="1" x14ac:dyDescent="0.2">
      <c r="G31496" s="889"/>
    </row>
    <row r="31497" spans="7:7" ht="10.5" customHeight="1" x14ac:dyDescent="0.2">
      <c r="G31497" s="889"/>
    </row>
    <row r="31498" spans="7:7" ht="10.5" customHeight="1" x14ac:dyDescent="0.2">
      <c r="G31498" s="889"/>
    </row>
    <row r="31499" spans="7:7" ht="10.5" customHeight="1" x14ac:dyDescent="0.2">
      <c r="G31499" s="889"/>
    </row>
    <row r="31500" spans="7:7" ht="10.5" customHeight="1" x14ac:dyDescent="0.2">
      <c r="G31500" s="889"/>
    </row>
    <row r="31501" spans="7:7" ht="10.5" customHeight="1" x14ac:dyDescent="0.2">
      <c r="G31501" s="889"/>
    </row>
    <row r="31502" spans="7:7" ht="10.5" customHeight="1" x14ac:dyDescent="0.2">
      <c r="G31502" s="889"/>
    </row>
    <row r="31503" spans="7:7" ht="10.5" customHeight="1" x14ac:dyDescent="0.2">
      <c r="G31503" s="889"/>
    </row>
    <row r="31504" spans="7:7" ht="10.5" customHeight="1" x14ac:dyDescent="0.2">
      <c r="G31504" s="889"/>
    </row>
    <row r="31505" spans="7:7" ht="10.5" customHeight="1" x14ac:dyDescent="0.2">
      <c r="G31505" s="889"/>
    </row>
    <row r="31506" spans="7:7" ht="10.5" customHeight="1" x14ac:dyDescent="0.2">
      <c r="G31506" s="889"/>
    </row>
    <row r="31507" spans="7:7" ht="10.5" customHeight="1" x14ac:dyDescent="0.2">
      <c r="G31507" s="889"/>
    </row>
    <row r="31508" spans="7:7" ht="10.5" customHeight="1" x14ac:dyDescent="0.2">
      <c r="G31508" s="889"/>
    </row>
    <row r="31509" spans="7:7" ht="10.5" customHeight="1" x14ac:dyDescent="0.2">
      <c r="G31509" s="889"/>
    </row>
    <row r="31510" spans="7:7" ht="10.5" customHeight="1" x14ac:dyDescent="0.2">
      <c r="G31510" s="889"/>
    </row>
    <row r="31511" spans="7:7" ht="10.5" customHeight="1" x14ac:dyDescent="0.2">
      <c r="G31511" s="889"/>
    </row>
    <row r="31512" spans="7:7" ht="10.5" customHeight="1" x14ac:dyDescent="0.2">
      <c r="G31512" s="889"/>
    </row>
    <row r="31513" spans="7:7" ht="10.5" customHeight="1" x14ac:dyDescent="0.2">
      <c r="G31513" s="889"/>
    </row>
    <row r="31514" spans="7:7" ht="10.5" customHeight="1" x14ac:dyDescent="0.2">
      <c r="G31514" s="889"/>
    </row>
    <row r="31515" spans="7:7" ht="10.5" customHeight="1" x14ac:dyDescent="0.2">
      <c r="G31515" s="889"/>
    </row>
    <row r="31516" spans="7:7" ht="10.5" customHeight="1" x14ac:dyDescent="0.2">
      <c r="G31516" s="889"/>
    </row>
    <row r="31517" spans="7:7" ht="10.5" customHeight="1" x14ac:dyDescent="0.2">
      <c r="G31517" s="889"/>
    </row>
    <row r="31518" spans="7:7" ht="10.5" customHeight="1" x14ac:dyDescent="0.2">
      <c r="G31518" s="889"/>
    </row>
    <row r="31519" spans="7:7" ht="10.5" customHeight="1" x14ac:dyDescent="0.2">
      <c r="G31519" s="889"/>
    </row>
    <row r="31520" spans="7:7" ht="10.5" customHeight="1" x14ac:dyDescent="0.2">
      <c r="G31520" s="889"/>
    </row>
    <row r="31521" spans="7:7" ht="10.5" customHeight="1" x14ac:dyDescent="0.2">
      <c r="G31521" s="889"/>
    </row>
    <row r="31522" spans="7:7" ht="10.5" customHeight="1" x14ac:dyDescent="0.2">
      <c r="G31522" s="889"/>
    </row>
    <row r="31523" spans="7:7" ht="10.5" customHeight="1" x14ac:dyDescent="0.2">
      <c r="G31523" s="889"/>
    </row>
    <row r="31524" spans="7:7" ht="10.5" customHeight="1" x14ac:dyDescent="0.2">
      <c r="G31524" s="889"/>
    </row>
    <row r="31525" spans="7:7" ht="10.5" customHeight="1" x14ac:dyDescent="0.2">
      <c r="G31525" s="889"/>
    </row>
    <row r="31526" spans="7:7" ht="10.5" customHeight="1" x14ac:dyDescent="0.2">
      <c r="G31526" s="889"/>
    </row>
    <row r="31527" spans="7:7" ht="10.5" customHeight="1" x14ac:dyDescent="0.2">
      <c r="G31527" s="889"/>
    </row>
    <row r="31528" spans="7:7" ht="10.5" customHeight="1" x14ac:dyDescent="0.2">
      <c r="G31528" s="889"/>
    </row>
    <row r="31529" spans="7:7" ht="10.5" customHeight="1" x14ac:dyDescent="0.2">
      <c r="G31529" s="889"/>
    </row>
    <row r="31530" spans="7:7" ht="10.5" customHeight="1" x14ac:dyDescent="0.2">
      <c r="G31530" s="889"/>
    </row>
    <row r="31531" spans="7:7" ht="10.5" customHeight="1" x14ac:dyDescent="0.2">
      <c r="G31531" s="889"/>
    </row>
    <row r="31532" spans="7:7" ht="10.5" customHeight="1" x14ac:dyDescent="0.2">
      <c r="G31532" s="889"/>
    </row>
    <row r="31533" spans="7:7" ht="10.5" customHeight="1" x14ac:dyDescent="0.2">
      <c r="G31533" s="889"/>
    </row>
    <row r="31534" spans="7:7" ht="10.5" customHeight="1" x14ac:dyDescent="0.2">
      <c r="G31534" s="889"/>
    </row>
    <row r="31535" spans="7:7" ht="10.5" customHeight="1" x14ac:dyDescent="0.2">
      <c r="G31535" s="889"/>
    </row>
    <row r="31536" spans="7:7" ht="10.5" customHeight="1" x14ac:dyDescent="0.2">
      <c r="G31536" s="889"/>
    </row>
    <row r="31537" spans="7:7" ht="10.5" customHeight="1" x14ac:dyDescent="0.2">
      <c r="G31537" s="889"/>
    </row>
    <row r="31538" spans="7:7" ht="10.5" customHeight="1" x14ac:dyDescent="0.2">
      <c r="G31538" s="889"/>
    </row>
    <row r="31539" spans="7:7" ht="10.5" customHeight="1" x14ac:dyDescent="0.2">
      <c r="G31539" s="889"/>
    </row>
    <row r="31540" spans="7:7" ht="10.5" customHeight="1" x14ac:dyDescent="0.2">
      <c r="G31540" s="889"/>
    </row>
    <row r="31541" spans="7:7" ht="10.5" customHeight="1" x14ac:dyDescent="0.2">
      <c r="G31541" s="889"/>
    </row>
    <row r="31542" spans="7:7" ht="10.5" customHeight="1" x14ac:dyDescent="0.2">
      <c r="G31542" s="889"/>
    </row>
    <row r="31543" spans="7:7" ht="10.5" customHeight="1" x14ac:dyDescent="0.2">
      <c r="G31543" s="889"/>
    </row>
    <row r="31544" spans="7:7" ht="10.5" customHeight="1" x14ac:dyDescent="0.2">
      <c r="G31544" s="889"/>
    </row>
    <row r="31545" spans="7:7" ht="10.5" customHeight="1" x14ac:dyDescent="0.2">
      <c r="G31545" s="889"/>
    </row>
    <row r="31546" spans="7:7" ht="10.5" customHeight="1" x14ac:dyDescent="0.2">
      <c r="G31546" s="889"/>
    </row>
    <row r="31547" spans="7:7" ht="10.5" customHeight="1" x14ac:dyDescent="0.2">
      <c r="G31547" s="889"/>
    </row>
    <row r="31548" spans="7:7" ht="10.5" customHeight="1" x14ac:dyDescent="0.2">
      <c r="G31548" s="889"/>
    </row>
    <row r="31549" spans="7:7" ht="10.5" customHeight="1" x14ac:dyDescent="0.2">
      <c r="G31549" s="889"/>
    </row>
    <row r="31550" spans="7:7" ht="10.5" customHeight="1" x14ac:dyDescent="0.2">
      <c r="G31550" s="889"/>
    </row>
    <row r="31551" spans="7:7" ht="10.5" customHeight="1" x14ac:dyDescent="0.2">
      <c r="G31551" s="889"/>
    </row>
    <row r="31552" spans="7:7" ht="10.5" customHeight="1" x14ac:dyDescent="0.2">
      <c r="G31552" s="889"/>
    </row>
    <row r="31553" spans="7:7" ht="10.5" customHeight="1" x14ac:dyDescent="0.2">
      <c r="G31553" s="889"/>
    </row>
    <row r="31554" spans="7:7" ht="10.5" customHeight="1" x14ac:dyDescent="0.2">
      <c r="G31554" s="889"/>
    </row>
    <row r="31555" spans="7:7" ht="10.5" customHeight="1" x14ac:dyDescent="0.2">
      <c r="G31555" s="889"/>
    </row>
    <row r="31556" spans="7:7" ht="10.5" customHeight="1" x14ac:dyDescent="0.2">
      <c r="G31556" s="889"/>
    </row>
    <row r="31557" spans="7:7" ht="10.5" customHeight="1" x14ac:dyDescent="0.2">
      <c r="G31557" s="889"/>
    </row>
    <row r="31558" spans="7:7" ht="10.5" customHeight="1" x14ac:dyDescent="0.2">
      <c r="G31558" s="889"/>
    </row>
    <row r="31559" spans="7:7" ht="10.5" customHeight="1" x14ac:dyDescent="0.2">
      <c r="G31559" s="889"/>
    </row>
    <row r="31560" spans="7:7" ht="10.5" customHeight="1" x14ac:dyDescent="0.2">
      <c r="G31560" s="889"/>
    </row>
    <row r="31561" spans="7:7" ht="10.5" customHeight="1" x14ac:dyDescent="0.2">
      <c r="G31561" s="889"/>
    </row>
    <row r="31562" spans="7:7" ht="10.5" customHeight="1" x14ac:dyDescent="0.2">
      <c r="G31562" s="889"/>
    </row>
    <row r="31563" spans="7:7" ht="10.5" customHeight="1" x14ac:dyDescent="0.2">
      <c r="G31563" s="889"/>
    </row>
    <row r="31564" spans="7:7" ht="10.5" customHeight="1" x14ac:dyDescent="0.2">
      <c r="G31564" s="889"/>
    </row>
    <row r="31565" spans="7:7" ht="10.5" customHeight="1" x14ac:dyDescent="0.2">
      <c r="G31565" s="889"/>
    </row>
    <row r="31566" spans="7:7" ht="10.5" customHeight="1" x14ac:dyDescent="0.2">
      <c r="G31566" s="889"/>
    </row>
    <row r="31567" spans="7:7" ht="10.5" customHeight="1" x14ac:dyDescent="0.2">
      <c r="G31567" s="889"/>
    </row>
    <row r="31568" spans="7:7" ht="10.5" customHeight="1" x14ac:dyDescent="0.2">
      <c r="G31568" s="889"/>
    </row>
    <row r="31569" spans="7:7" ht="10.5" customHeight="1" x14ac:dyDescent="0.2">
      <c r="G31569" s="889"/>
    </row>
    <row r="31570" spans="7:7" ht="10.5" customHeight="1" x14ac:dyDescent="0.2">
      <c r="G31570" s="889"/>
    </row>
    <row r="31571" spans="7:7" ht="10.5" customHeight="1" x14ac:dyDescent="0.2">
      <c r="G31571" s="889"/>
    </row>
    <row r="31572" spans="7:7" ht="10.5" customHeight="1" x14ac:dyDescent="0.2">
      <c r="G31572" s="889"/>
    </row>
    <row r="31573" spans="7:7" ht="10.5" customHeight="1" x14ac:dyDescent="0.2">
      <c r="G31573" s="889"/>
    </row>
    <row r="31574" spans="7:7" ht="10.5" customHeight="1" x14ac:dyDescent="0.2">
      <c r="G31574" s="889"/>
    </row>
    <row r="31575" spans="7:7" ht="10.5" customHeight="1" x14ac:dyDescent="0.2">
      <c r="G31575" s="889"/>
    </row>
    <row r="31576" spans="7:7" ht="10.5" customHeight="1" x14ac:dyDescent="0.2">
      <c r="G31576" s="889"/>
    </row>
    <row r="31577" spans="7:7" ht="10.5" customHeight="1" x14ac:dyDescent="0.2">
      <c r="G31577" s="889"/>
    </row>
    <row r="31578" spans="7:7" ht="10.5" customHeight="1" x14ac:dyDescent="0.2">
      <c r="G31578" s="889"/>
    </row>
    <row r="31579" spans="7:7" ht="10.5" customHeight="1" x14ac:dyDescent="0.2">
      <c r="G31579" s="889"/>
    </row>
    <row r="31580" spans="7:7" ht="10.5" customHeight="1" x14ac:dyDescent="0.2">
      <c r="G31580" s="889"/>
    </row>
    <row r="31581" spans="7:7" ht="10.5" customHeight="1" x14ac:dyDescent="0.2">
      <c r="G31581" s="889"/>
    </row>
    <row r="31582" spans="7:7" ht="10.5" customHeight="1" x14ac:dyDescent="0.2">
      <c r="G31582" s="889"/>
    </row>
    <row r="31583" spans="7:7" ht="10.5" customHeight="1" x14ac:dyDescent="0.2">
      <c r="G31583" s="889"/>
    </row>
    <row r="31584" spans="7:7" ht="10.5" customHeight="1" x14ac:dyDescent="0.2">
      <c r="G31584" s="889"/>
    </row>
    <row r="31585" spans="7:7" ht="10.5" customHeight="1" x14ac:dyDescent="0.2">
      <c r="G31585" s="889"/>
    </row>
    <row r="31586" spans="7:7" ht="10.5" customHeight="1" x14ac:dyDescent="0.2">
      <c r="G31586" s="889"/>
    </row>
    <row r="31587" spans="7:7" ht="10.5" customHeight="1" x14ac:dyDescent="0.2">
      <c r="G31587" s="889"/>
    </row>
    <row r="31588" spans="7:7" ht="10.5" customHeight="1" x14ac:dyDescent="0.2">
      <c r="G31588" s="889"/>
    </row>
    <row r="31589" spans="7:7" ht="10.5" customHeight="1" x14ac:dyDescent="0.2">
      <c r="G31589" s="889"/>
    </row>
    <row r="31590" spans="7:7" ht="10.5" customHeight="1" x14ac:dyDescent="0.2">
      <c r="G31590" s="889"/>
    </row>
    <row r="31591" spans="7:7" ht="10.5" customHeight="1" x14ac:dyDescent="0.2">
      <c r="G31591" s="889"/>
    </row>
    <row r="31592" spans="7:7" ht="10.5" customHeight="1" x14ac:dyDescent="0.2">
      <c r="G31592" s="889"/>
    </row>
    <row r="31593" spans="7:7" ht="10.5" customHeight="1" x14ac:dyDescent="0.2">
      <c r="G31593" s="889"/>
    </row>
    <row r="31594" spans="7:7" ht="10.5" customHeight="1" x14ac:dyDescent="0.2">
      <c r="G31594" s="889"/>
    </row>
    <row r="31595" spans="7:7" ht="10.5" customHeight="1" x14ac:dyDescent="0.2">
      <c r="G31595" s="889"/>
    </row>
    <row r="31596" spans="7:7" ht="10.5" customHeight="1" x14ac:dyDescent="0.2">
      <c r="G31596" s="889"/>
    </row>
    <row r="31597" spans="7:7" ht="10.5" customHeight="1" x14ac:dyDescent="0.2">
      <c r="G31597" s="889"/>
    </row>
    <row r="31598" spans="7:7" ht="10.5" customHeight="1" x14ac:dyDescent="0.2">
      <c r="G31598" s="889"/>
    </row>
    <row r="31599" spans="7:7" ht="10.5" customHeight="1" x14ac:dyDescent="0.2">
      <c r="G31599" s="889"/>
    </row>
    <row r="31600" spans="7:7" ht="10.5" customHeight="1" x14ac:dyDescent="0.2">
      <c r="G31600" s="889"/>
    </row>
    <row r="31601" spans="7:7" ht="10.5" customHeight="1" x14ac:dyDescent="0.2">
      <c r="G31601" s="889"/>
    </row>
    <row r="31602" spans="7:7" ht="10.5" customHeight="1" x14ac:dyDescent="0.2">
      <c r="G31602" s="889"/>
    </row>
    <row r="31603" spans="7:7" ht="10.5" customHeight="1" x14ac:dyDescent="0.2">
      <c r="G31603" s="889"/>
    </row>
    <row r="31604" spans="7:7" ht="10.5" customHeight="1" x14ac:dyDescent="0.2">
      <c r="G31604" s="889"/>
    </row>
    <row r="31605" spans="7:7" ht="10.5" customHeight="1" x14ac:dyDescent="0.2">
      <c r="G31605" s="889"/>
    </row>
    <row r="31606" spans="7:7" ht="10.5" customHeight="1" x14ac:dyDescent="0.2">
      <c r="G31606" s="889"/>
    </row>
    <row r="31607" spans="7:7" ht="10.5" customHeight="1" x14ac:dyDescent="0.2">
      <c r="G31607" s="889"/>
    </row>
    <row r="31608" spans="7:7" ht="10.5" customHeight="1" x14ac:dyDescent="0.2">
      <c r="G31608" s="889"/>
    </row>
    <row r="31609" spans="7:7" ht="10.5" customHeight="1" x14ac:dyDescent="0.2">
      <c r="G31609" s="889"/>
    </row>
    <row r="31610" spans="7:7" ht="10.5" customHeight="1" x14ac:dyDescent="0.2">
      <c r="G31610" s="889"/>
    </row>
    <row r="31611" spans="7:7" ht="10.5" customHeight="1" x14ac:dyDescent="0.2">
      <c r="G31611" s="889"/>
    </row>
    <row r="31612" spans="7:7" ht="10.5" customHeight="1" x14ac:dyDescent="0.2">
      <c r="G31612" s="889"/>
    </row>
    <row r="31613" spans="7:7" ht="10.5" customHeight="1" x14ac:dyDescent="0.2">
      <c r="G31613" s="889"/>
    </row>
    <row r="31614" spans="7:7" ht="10.5" customHeight="1" x14ac:dyDescent="0.2">
      <c r="G31614" s="889"/>
    </row>
    <row r="31615" spans="7:7" ht="10.5" customHeight="1" x14ac:dyDescent="0.2">
      <c r="G31615" s="889"/>
    </row>
    <row r="31616" spans="7:7" ht="10.5" customHeight="1" x14ac:dyDescent="0.2">
      <c r="G31616" s="889"/>
    </row>
    <row r="31617" spans="7:7" ht="10.5" customHeight="1" x14ac:dyDescent="0.2">
      <c r="G31617" s="889"/>
    </row>
    <row r="31618" spans="7:7" ht="10.5" customHeight="1" x14ac:dyDescent="0.2">
      <c r="G31618" s="889"/>
    </row>
    <row r="31619" spans="7:7" ht="10.5" customHeight="1" x14ac:dyDescent="0.2">
      <c r="G31619" s="889"/>
    </row>
    <row r="31620" spans="7:7" ht="10.5" customHeight="1" x14ac:dyDescent="0.2">
      <c r="G31620" s="889"/>
    </row>
    <row r="31621" spans="7:7" ht="10.5" customHeight="1" x14ac:dyDescent="0.2">
      <c r="G31621" s="889"/>
    </row>
    <row r="31622" spans="7:7" ht="10.5" customHeight="1" x14ac:dyDescent="0.2">
      <c r="G31622" s="889"/>
    </row>
    <row r="31623" spans="7:7" ht="10.5" customHeight="1" x14ac:dyDescent="0.2">
      <c r="G31623" s="889"/>
    </row>
    <row r="31624" spans="7:7" ht="10.5" customHeight="1" x14ac:dyDescent="0.2">
      <c r="G31624" s="889"/>
    </row>
    <row r="31625" spans="7:7" ht="10.5" customHeight="1" x14ac:dyDescent="0.2">
      <c r="G31625" s="889"/>
    </row>
    <row r="31626" spans="7:7" ht="10.5" customHeight="1" x14ac:dyDescent="0.2">
      <c r="G31626" s="889"/>
    </row>
    <row r="31627" spans="7:7" ht="10.5" customHeight="1" x14ac:dyDescent="0.2">
      <c r="G31627" s="889"/>
    </row>
    <row r="31628" spans="7:7" ht="10.5" customHeight="1" x14ac:dyDescent="0.2">
      <c r="G31628" s="889"/>
    </row>
    <row r="31629" spans="7:7" ht="10.5" customHeight="1" x14ac:dyDescent="0.2">
      <c r="G31629" s="889"/>
    </row>
    <row r="31630" spans="7:7" ht="10.5" customHeight="1" x14ac:dyDescent="0.2">
      <c r="G31630" s="889"/>
    </row>
    <row r="31631" spans="7:7" ht="10.5" customHeight="1" x14ac:dyDescent="0.2">
      <c r="G31631" s="889"/>
    </row>
    <row r="31632" spans="7:7" ht="10.5" customHeight="1" x14ac:dyDescent="0.2">
      <c r="G31632" s="889"/>
    </row>
    <row r="31633" spans="7:7" ht="10.5" customHeight="1" x14ac:dyDescent="0.2">
      <c r="G31633" s="889"/>
    </row>
    <row r="31634" spans="7:7" ht="10.5" customHeight="1" x14ac:dyDescent="0.2">
      <c r="G31634" s="889"/>
    </row>
    <row r="31635" spans="7:7" ht="10.5" customHeight="1" x14ac:dyDescent="0.2">
      <c r="G31635" s="889"/>
    </row>
    <row r="31636" spans="7:7" ht="10.5" customHeight="1" x14ac:dyDescent="0.2">
      <c r="G31636" s="889"/>
    </row>
    <row r="31637" spans="7:7" ht="10.5" customHeight="1" x14ac:dyDescent="0.2">
      <c r="G31637" s="889"/>
    </row>
    <row r="31638" spans="7:7" ht="10.5" customHeight="1" x14ac:dyDescent="0.2">
      <c r="G31638" s="889"/>
    </row>
    <row r="31639" spans="7:7" ht="10.5" customHeight="1" x14ac:dyDescent="0.2">
      <c r="G31639" s="889"/>
    </row>
    <row r="31640" spans="7:7" ht="10.5" customHeight="1" x14ac:dyDescent="0.2">
      <c r="G31640" s="889"/>
    </row>
    <row r="31641" spans="7:7" ht="10.5" customHeight="1" x14ac:dyDescent="0.2">
      <c r="G31641" s="889"/>
    </row>
    <row r="31642" spans="7:7" ht="10.5" customHeight="1" x14ac:dyDescent="0.2">
      <c r="G31642" s="889"/>
    </row>
    <row r="31643" spans="7:7" ht="10.5" customHeight="1" x14ac:dyDescent="0.2">
      <c r="G31643" s="889"/>
    </row>
    <row r="31644" spans="7:7" ht="10.5" customHeight="1" x14ac:dyDescent="0.2">
      <c r="G31644" s="889"/>
    </row>
    <row r="31645" spans="7:7" ht="10.5" customHeight="1" x14ac:dyDescent="0.2">
      <c r="G31645" s="889"/>
    </row>
    <row r="31646" spans="7:7" ht="10.5" customHeight="1" x14ac:dyDescent="0.2">
      <c r="G31646" s="889"/>
    </row>
    <row r="31647" spans="7:7" ht="10.5" customHeight="1" x14ac:dyDescent="0.2">
      <c r="G31647" s="889"/>
    </row>
    <row r="31648" spans="7:7" ht="10.5" customHeight="1" x14ac:dyDescent="0.2">
      <c r="G31648" s="889"/>
    </row>
    <row r="31649" spans="7:7" ht="10.5" customHeight="1" x14ac:dyDescent="0.2">
      <c r="G31649" s="889"/>
    </row>
    <row r="31650" spans="7:7" ht="10.5" customHeight="1" x14ac:dyDescent="0.2">
      <c r="G31650" s="889"/>
    </row>
    <row r="31651" spans="7:7" ht="10.5" customHeight="1" x14ac:dyDescent="0.2">
      <c r="G31651" s="889"/>
    </row>
    <row r="31652" spans="7:7" ht="10.5" customHeight="1" x14ac:dyDescent="0.2">
      <c r="G31652" s="889"/>
    </row>
    <row r="31653" spans="7:7" ht="10.5" customHeight="1" x14ac:dyDescent="0.2">
      <c r="G31653" s="889"/>
    </row>
    <row r="31654" spans="7:7" ht="10.5" customHeight="1" x14ac:dyDescent="0.2">
      <c r="G31654" s="889"/>
    </row>
    <row r="31655" spans="7:7" ht="10.5" customHeight="1" x14ac:dyDescent="0.2">
      <c r="G31655" s="889"/>
    </row>
    <row r="31656" spans="7:7" ht="10.5" customHeight="1" x14ac:dyDescent="0.2">
      <c r="G31656" s="889"/>
    </row>
    <row r="31657" spans="7:7" ht="10.5" customHeight="1" x14ac:dyDescent="0.2">
      <c r="G31657" s="889"/>
    </row>
    <row r="31658" spans="7:7" ht="10.5" customHeight="1" x14ac:dyDescent="0.2">
      <c r="G31658" s="889"/>
    </row>
    <row r="31659" spans="7:7" ht="10.5" customHeight="1" x14ac:dyDescent="0.2">
      <c r="G31659" s="889"/>
    </row>
    <row r="31660" spans="7:7" ht="10.5" customHeight="1" x14ac:dyDescent="0.2">
      <c r="G31660" s="889"/>
    </row>
    <row r="31661" spans="7:7" ht="10.5" customHeight="1" x14ac:dyDescent="0.2">
      <c r="G31661" s="889"/>
    </row>
    <row r="31662" spans="7:7" ht="10.5" customHeight="1" x14ac:dyDescent="0.2">
      <c r="G31662" s="889"/>
    </row>
    <row r="31663" spans="7:7" ht="10.5" customHeight="1" x14ac:dyDescent="0.2">
      <c r="G31663" s="889"/>
    </row>
    <row r="31664" spans="7:7" ht="10.5" customHeight="1" x14ac:dyDescent="0.2">
      <c r="G31664" s="889"/>
    </row>
    <row r="31665" spans="7:7" ht="10.5" customHeight="1" x14ac:dyDescent="0.2">
      <c r="G31665" s="889"/>
    </row>
    <row r="31666" spans="7:7" ht="10.5" customHeight="1" x14ac:dyDescent="0.2">
      <c r="G31666" s="889"/>
    </row>
    <row r="31667" spans="7:7" ht="10.5" customHeight="1" x14ac:dyDescent="0.2">
      <c r="G31667" s="889"/>
    </row>
    <row r="31668" spans="7:7" ht="10.5" customHeight="1" x14ac:dyDescent="0.2">
      <c r="G31668" s="889"/>
    </row>
    <row r="31669" spans="7:7" ht="10.5" customHeight="1" x14ac:dyDescent="0.2">
      <c r="G31669" s="889"/>
    </row>
    <row r="31670" spans="7:7" ht="10.5" customHeight="1" x14ac:dyDescent="0.2">
      <c r="G31670" s="889"/>
    </row>
    <row r="31671" spans="7:7" ht="10.5" customHeight="1" x14ac:dyDescent="0.2">
      <c r="G31671" s="889"/>
    </row>
    <row r="31672" spans="7:7" ht="10.5" customHeight="1" x14ac:dyDescent="0.2">
      <c r="G31672" s="889"/>
    </row>
    <row r="31673" spans="7:7" ht="10.5" customHeight="1" x14ac:dyDescent="0.2">
      <c r="G31673" s="889"/>
    </row>
    <row r="31674" spans="7:7" ht="10.5" customHeight="1" x14ac:dyDescent="0.2">
      <c r="G31674" s="889"/>
    </row>
    <row r="31675" spans="7:7" ht="10.5" customHeight="1" x14ac:dyDescent="0.2">
      <c r="G31675" s="889"/>
    </row>
    <row r="31676" spans="7:7" ht="10.5" customHeight="1" x14ac:dyDescent="0.2">
      <c r="G31676" s="889"/>
    </row>
    <row r="31677" spans="7:7" ht="10.5" customHeight="1" x14ac:dyDescent="0.2">
      <c r="G31677" s="889"/>
    </row>
    <row r="31678" spans="7:7" ht="10.5" customHeight="1" x14ac:dyDescent="0.2">
      <c r="G31678" s="889"/>
    </row>
    <row r="31679" spans="7:7" ht="10.5" customHeight="1" x14ac:dyDescent="0.2">
      <c r="G31679" s="889"/>
    </row>
    <row r="31680" spans="7:7" ht="10.5" customHeight="1" x14ac:dyDescent="0.2">
      <c r="G31680" s="889"/>
    </row>
    <row r="31681" spans="7:7" ht="10.5" customHeight="1" x14ac:dyDescent="0.2">
      <c r="G31681" s="889"/>
    </row>
    <row r="31682" spans="7:7" ht="10.5" customHeight="1" x14ac:dyDescent="0.2">
      <c r="G31682" s="889"/>
    </row>
    <row r="31683" spans="7:7" ht="10.5" customHeight="1" x14ac:dyDescent="0.2">
      <c r="G31683" s="889"/>
    </row>
    <row r="31684" spans="7:7" ht="10.5" customHeight="1" x14ac:dyDescent="0.2">
      <c r="G31684" s="889"/>
    </row>
    <row r="31685" spans="7:7" ht="10.5" customHeight="1" x14ac:dyDescent="0.2">
      <c r="G31685" s="889"/>
    </row>
    <row r="31686" spans="7:7" ht="10.5" customHeight="1" x14ac:dyDescent="0.2">
      <c r="G31686" s="889"/>
    </row>
    <row r="31687" spans="7:7" ht="10.5" customHeight="1" x14ac:dyDescent="0.2">
      <c r="G31687" s="889"/>
    </row>
    <row r="31688" spans="7:7" ht="10.5" customHeight="1" x14ac:dyDescent="0.2">
      <c r="G31688" s="889"/>
    </row>
    <row r="31689" spans="7:7" ht="10.5" customHeight="1" x14ac:dyDescent="0.2">
      <c r="G31689" s="889"/>
    </row>
    <row r="31690" spans="7:7" ht="10.5" customHeight="1" x14ac:dyDescent="0.2">
      <c r="G31690" s="889"/>
    </row>
    <row r="31691" spans="7:7" ht="10.5" customHeight="1" x14ac:dyDescent="0.2">
      <c r="G31691" s="889"/>
    </row>
    <row r="31692" spans="7:7" ht="10.5" customHeight="1" x14ac:dyDescent="0.2">
      <c r="G31692" s="889"/>
    </row>
    <row r="31693" spans="7:7" ht="10.5" customHeight="1" x14ac:dyDescent="0.2">
      <c r="G31693" s="889"/>
    </row>
    <row r="31694" spans="7:7" ht="10.5" customHeight="1" x14ac:dyDescent="0.2">
      <c r="G31694" s="889"/>
    </row>
    <row r="31695" spans="7:7" ht="10.5" customHeight="1" x14ac:dyDescent="0.2">
      <c r="G31695" s="889"/>
    </row>
    <row r="31696" spans="7:7" ht="10.5" customHeight="1" x14ac:dyDescent="0.2">
      <c r="G31696" s="889"/>
    </row>
    <row r="31697" spans="7:7" ht="10.5" customHeight="1" x14ac:dyDescent="0.2">
      <c r="G31697" s="889"/>
    </row>
    <row r="31698" spans="7:7" ht="10.5" customHeight="1" x14ac:dyDescent="0.2">
      <c r="G31698" s="889"/>
    </row>
    <row r="31699" spans="7:7" ht="10.5" customHeight="1" x14ac:dyDescent="0.2">
      <c r="G31699" s="889"/>
    </row>
    <row r="31700" spans="7:7" ht="10.5" customHeight="1" x14ac:dyDescent="0.2">
      <c r="G31700" s="889"/>
    </row>
    <row r="31701" spans="7:7" ht="10.5" customHeight="1" x14ac:dyDescent="0.2">
      <c r="G31701" s="889"/>
    </row>
    <row r="31702" spans="7:7" ht="10.5" customHeight="1" x14ac:dyDescent="0.2">
      <c r="G31702" s="889"/>
    </row>
    <row r="31703" spans="7:7" ht="10.5" customHeight="1" x14ac:dyDescent="0.2">
      <c r="G31703" s="889"/>
    </row>
    <row r="31704" spans="7:7" ht="10.5" customHeight="1" x14ac:dyDescent="0.2">
      <c r="G31704" s="889"/>
    </row>
    <row r="31705" spans="7:7" ht="10.5" customHeight="1" x14ac:dyDescent="0.2">
      <c r="G31705" s="889"/>
    </row>
    <row r="31706" spans="7:7" ht="10.5" customHeight="1" x14ac:dyDescent="0.2">
      <c r="G31706" s="889"/>
    </row>
    <row r="31707" spans="7:7" ht="10.5" customHeight="1" x14ac:dyDescent="0.2">
      <c r="G31707" s="889"/>
    </row>
    <row r="31708" spans="7:7" ht="10.5" customHeight="1" x14ac:dyDescent="0.2">
      <c r="G31708" s="889"/>
    </row>
    <row r="31709" spans="7:7" ht="10.5" customHeight="1" x14ac:dyDescent="0.2">
      <c r="G31709" s="889"/>
    </row>
    <row r="31710" spans="7:7" ht="10.5" customHeight="1" x14ac:dyDescent="0.2">
      <c r="G31710" s="889"/>
    </row>
    <row r="31711" spans="7:7" ht="10.5" customHeight="1" x14ac:dyDescent="0.2">
      <c r="G31711" s="889"/>
    </row>
    <row r="31712" spans="7:7" ht="10.5" customHeight="1" x14ac:dyDescent="0.2">
      <c r="G31712" s="889"/>
    </row>
    <row r="31713" spans="7:7" ht="10.5" customHeight="1" x14ac:dyDescent="0.2">
      <c r="G31713" s="889"/>
    </row>
    <row r="31714" spans="7:7" ht="10.5" customHeight="1" x14ac:dyDescent="0.2">
      <c r="G31714" s="889"/>
    </row>
    <row r="31715" spans="7:7" ht="10.5" customHeight="1" x14ac:dyDescent="0.2">
      <c r="G31715" s="889"/>
    </row>
    <row r="31716" spans="7:7" ht="10.5" customHeight="1" x14ac:dyDescent="0.2">
      <c r="G31716" s="889"/>
    </row>
    <row r="31717" spans="7:7" ht="10.5" customHeight="1" x14ac:dyDescent="0.2">
      <c r="G31717" s="889"/>
    </row>
    <row r="31718" spans="7:7" ht="10.5" customHeight="1" x14ac:dyDescent="0.2">
      <c r="G31718" s="889"/>
    </row>
    <row r="31719" spans="7:7" ht="10.5" customHeight="1" x14ac:dyDescent="0.2">
      <c r="G31719" s="889"/>
    </row>
    <row r="31720" spans="7:7" ht="10.5" customHeight="1" x14ac:dyDescent="0.2">
      <c r="G31720" s="889"/>
    </row>
    <row r="31721" spans="7:7" ht="10.5" customHeight="1" x14ac:dyDescent="0.2">
      <c r="G31721" s="889"/>
    </row>
    <row r="31722" spans="7:7" ht="10.5" customHeight="1" x14ac:dyDescent="0.2">
      <c r="G31722" s="889"/>
    </row>
    <row r="31723" spans="7:7" ht="10.5" customHeight="1" x14ac:dyDescent="0.2">
      <c r="G31723" s="889"/>
    </row>
    <row r="31724" spans="7:7" ht="10.5" customHeight="1" x14ac:dyDescent="0.2">
      <c r="G31724" s="889"/>
    </row>
    <row r="31725" spans="7:7" ht="10.5" customHeight="1" x14ac:dyDescent="0.2">
      <c r="G31725" s="889"/>
    </row>
    <row r="31726" spans="7:7" ht="10.5" customHeight="1" x14ac:dyDescent="0.2">
      <c r="G31726" s="889"/>
    </row>
    <row r="31727" spans="7:7" ht="10.5" customHeight="1" x14ac:dyDescent="0.2">
      <c r="G31727" s="889"/>
    </row>
    <row r="31728" spans="7:7" ht="10.5" customHeight="1" x14ac:dyDescent="0.2">
      <c r="G31728" s="889"/>
    </row>
    <row r="31729" spans="7:7" ht="10.5" customHeight="1" x14ac:dyDescent="0.2">
      <c r="G31729" s="889"/>
    </row>
    <row r="31730" spans="7:7" ht="10.5" customHeight="1" x14ac:dyDescent="0.2">
      <c r="G31730" s="889"/>
    </row>
    <row r="31731" spans="7:7" ht="10.5" customHeight="1" x14ac:dyDescent="0.2">
      <c r="G31731" s="889"/>
    </row>
    <row r="31732" spans="7:7" ht="10.5" customHeight="1" x14ac:dyDescent="0.2">
      <c r="G31732" s="889"/>
    </row>
    <row r="31733" spans="7:7" ht="10.5" customHeight="1" x14ac:dyDescent="0.2">
      <c r="G31733" s="889"/>
    </row>
    <row r="31734" spans="7:7" ht="10.5" customHeight="1" x14ac:dyDescent="0.2">
      <c r="G31734" s="889"/>
    </row>
    <row r="31735" spans="7:7" ht="10.5" customHeight="1" x14ac:dyDescent="0.2">
      <c r="G31735" s="889"/>
    </row>
    <row r="31736" spans="7:7" ht="10.5" customHeight="1" x14ac:dyDescent="0.2">
      <c r="G31736" s="889"/>
    </row>
    <row r="31737" spans="7:7" ht="10.5" customHeight="1" x14ac:dyDescent="0.2">
      <c r="G31737" s="889"/>
    </row>
    <row r="31738" spans="7:7" ht="10.5" customHeight="1" x14ac:dyDescent="0.2">
      <c r="G31738" s="889"/>
    </row>
    <row r="31739" spans="7:7" ht="10.5" customHeight="1" x14ac:dyDescent="0.2">
      <c r="G31739" s="889"/>
    </row>
    <row r="31740" spans="7:7" ht="10.5" customHeight="1" x14ac:dyDescent="0.2">
      <c r="G31740" s="889"/>
    </row>
    <row r="31741" spans="7:7" ht="10.5" customHeight="1" x14ac:dyDescent="0.2">
      <c r="G31741" s="889"/>
    </row>
    <row r="31742" spans="7:7" ht="10.5" customHeight="1" x14ac:dyDescent="0.2">
      <c r="G31742" s="889"/>
    </row>
    <row r="31743" spans="7:7" ht="10.5" customHeight="1" x14ac:dyDescent="0.2">
      <c r="G31743" s="889"/>
    </row>
    <row r="31744" spans="7:7" ht="10.5" customHeight="1" x14ac:dyDescent="0.2">
      <c r="G31744" s="889"/>
    </row>
    <row r="31745" spans="7:7" ht="10.5" customHeight="1" x14ac:dyDescent="0.2">
      <c r="G31745" s="889"/>
    </row>
    <row r="31746" spans="7:7" ht="10.5" customHeight="1" x14ac:dyDescent="0.2">
      <c r="G31746" s="889"/>
    </row>
    <row r="31747" spans="7:7" ht="10.5" customHeight="1" x14ac:dyDescent="0.2">
      <c r="G31747" s="889"/>
    </row>
    <row r="31748" spans="7:7" ht="10.5" customHeight="1" x14ac:dyDescent="0.2">
      <c r="G31748" s="889"/>
    </row>
    <row r="31749" spans="7:7" ht="10.5" customHeight="1" x14ac:dyDescent="0.2">
      <c r="G31749" s="889"/>
    </row>
    <row r="31750" spans="7:7" ht="10.5" customHeight="1" x14ac:dyDescent="0.2">
      <c r="G31750" s="889"/>
    </row>
    <row r="31751" spans="7:7" ht="10.5" customHeight="1" x14ac:dyDescent="0.2">
      <c r="G31751" s="889"/>
    </row>
    <row r="31752" spans="7:7" ht="10.5" customHeight="1" x14ac:dyDescent="0.2">
      <c r="G31752" s="889"/>
    </row>
    <row r="31753" spans="7:7" ht="10.5" customHeight="1" x14ac:dyDescent="0.2">
      <c r="G31753" s="889"/>
    </row>
    <row r="31754" spans="7:7" ht="10.5" customHeight="1" x14ac:dyDescent="0.2">
      <c r="G31754" s="889"/>
    </row>
    <row r="31755" spans="7:7" ht="10.5" customHeight="1" x14ac:dyDescent="0.2">
      <c r="G31755" s="889"/>
    </row>
    <row r="31756" spans="7:7" ht="10.5" customHeight="1" x14ac:dyDescent="0.2">
      <c r="G31756" s="889"/>
    </row>
    <row r="31757" spans="7:7" ht="10.5" customHeight="1" x14ac:dyDescent="0.2">
      <c r="G31757" s="889"/>
    </row>
    <row r="31758" spans="7:7" ht="10.5" customHeight="1" x14ac:dyDescent="0.2">
      <c r="G31758" s="889"/>
    </row>
    <row r="31759" spans="7:7" ht="10.5" customHeight="1" x14ac:dyDescent="0.2">
      <c r="G31759" s="889"/>
    </row>
    <row r="31760" spans="7:7" ht="10.5" customHeight="1" x14ac:dyDescent="0.2">
      <c r="G31760" s="889"/>
    </row>
    <row r="31761" spans="7:7" ht="10.5" customHeight="1" x14ac:dyDescent="0.2">
      <c r="G31761" s="889"/>
    </row>
    <row r="31762" spans="7:7" ht="10.5" customHeight="1" x14ac:dyDescent="0.2">
      <c r="G31762" s="889"/>
    </row>
    <row r="31763" spans="7:7" ht="10.5" customHeight="1" x14ac:dyDescent="0.2">
      <c r="G31763" s="889"/>
    </row>
    <row r="31764" spans="7:7" ht="10.5" customHeight="1" x14ac:dyDescent="0.2">
      <c r="G31764" s="889"/>
    </row>
    <row r="31765" spans="7:7" ht="10.5" customHeight="1" x14ac:dyDescent="0.2">
      <c r="G31765" s="889"/>
    </row>
    <row r="31766" spans="7:7" ht="10.5" customHeight="1" x14ac:dyDescent="0.2">
      <c r="G31766" s="889"/>
    </row>
    <row r="31767" spans="7:7" ht="10.5" customHeight="1" x14ac:dyDescent="0.2">
      <c r="G31767" s="889"/>
    </row>
    <row r="31768" spans="7:7" ht="10.5" customHeight="1" x14ac:dyDescent="0.2">
      <c r="G31768" s="889"/>
    </row>
    <row r="31769" spans="7:7" ht="10.5" customHeight="1" x14ac:dyDescent="0.2">
      <c r="G31769" s="889"/>
    </row>
    <row r="31770" spans="7:7" ht="10.5" customHeight="1" x14ac:dyDescent="0.2">
      <c r="G31770" s="889"/>
    </row>
    <row r="31771" spans="7:7" ht="10.5" customHeight="1" x14ac:dyDescent="0.2">
      <c r="G31771" s="889"/>
    </row>
    <row r="31772" spans="7:7" ht="10.5" customHeight="1" x14ac:dyDescent="0.2">
      <c r="G31772" s="889"/>
    </row>
    <row r="31773" spans="7:7" ht="10.5" customHeight="1" x14ac:dyDescent="0.2">
      <c r="G31773" s="889"/>
    </row>
    <row r="31774" spans="7:7" ht="10.5" customHeight="1" x14ac:dyDescent="0.2">
      <c r="G31774" s="889"/>
    </row>
    <row r="31775" spans="7:7" ht="10.5" customHeight="1" x14ac:dyDescent="0.2">
      <c r="G31775" s="889"/>
    </row>
    <row r="31776" spans="7:7" ht="10.5" customHeight="1" x14ac:dyDescent="0.2">
      <c r="G31776" s="889"/>
    </row>
    <row r="31777" spans="7:7" ht="10.5" customHeight="1" x14ac:dyDescent="0.2">
      <c r="G31777" s="889"/>
    </row>
    <row r="31778" spans="7:7" ht="10.5" customHeight="1" x14ac:dyDescent="0.2">
      <c r="G31778" s="889"/>
    </row>
    <row r="31779" spans="7:7" ht="10.5" customHeight="1" x14ac:dyDescent="0.2">
      <c r="G31779" s="889"/>
    </row>
    <row r="31780" spans="7:7" ht="10.5" customHeight="1" x14ac:dyDescent="0.2">
      <c r="G31780" s="889"/>
    </row>
    <row r="31781" spans="7:7" ht="10.5" customHeight="1" x14ac:dyDescent="0.2">
      <c r="G31781" s="889"/>
    </row>
    <row r="31782" spans="7:7" ht="10.5" customHeight="1" x14ac:dyDescent="0.2">
      <c r="G31782" s="889"/>
    </row>
    <row r="31783" spans="7:7" ht="10.5" customHeight="1" x14ac:dyDescent="0.2">
      <c r="G31783" s="889"/>
    </row>
    <row r="31784" spans="7:7" ht="10.5" customHeight="1" x14ac:dyDescent="0.2">
      <c r="G31784" s="889"/>
    </row>
    <row r="31785" spans="7:7" ht="10.5" customHeight="1" x14ac:dyDescent="0.2">
      <c r="G31785" s="889"/>
    </row>
    <row r="31786" spans="7:7" ht="10.5" customHeight="1" x14ac:dyDescent="0.2">
      <c r="G31786" s="889"/>
    </row>
    <row r="31787" spans="7:7" ht="10.5" customHeight="1" x14ac:dyDescent="0.2">
      <c r="G31787" s="889"/>
    </row>
    <row r="31788" spans="7:7" ht="10.5" customHeight="1" x14ac:dyDescent="0.2">
      <c r="G31788" s="889"/>
    </row>
    <row r="31789" spans="7:7" ht="10.5" customHeight="1" x14ac:dyDescent="0.2">
      <c r="G31789" s="889"/>
    </row>
    <row r="31790" spans="7:7" ht="10.5" customHeight="1" x14ac:dyDescent="0.2">
      <c r="G31790" s="889"/>
    </row>
    <row r="31791" spans="7:7" ht="10.5" customHeight="1" x14ac:dyDescent="0.2">
      <c r="G31791" s="889"/>
    </row>
    <row r="31792" spans="7:7" ht="10.5" customHeight="1" x14ac:dyDescent="0.2">
      <c r="G31792" s="889"/>
    </row>
    <row r="31793" spans="7:7" ht="10.5" customHeight="1" x14ac:dyDescent="0.2">
      <c r="G31793" s="889"/>
    </row>
    <row r="31794" spans="7:7" ht="10.5" customHeight="1" x14ac:dyDescent="0.2">
      <c r="G31794" s="889"/>
    </row>
    <row r="31795" spans="7:7" ht="10.5" customHeight="1" x14ac:dyDescent="0.2">
      <c r="G31795" s="889"/>
    </row>
    <row r="31796" spans="7:7" ht="10.5" customHeight="1" x14ac:dyDescent="0.2">
      <c r="G31796" s="889"/>
    </row>
    <row r="31797" spans="7:7" ht="10.5" customHeight="1" x14ac:dyDescent="0.2">
      <c r="G31797" s="889"/>
    </row>
    <row r="31798" spans="7:7" ht="10.5" customHeight="1" x14ac:dyDescent="0.2">
      <c r="G31798" s="889"/>
    </row>
    <row r="31799" spans="7:7" ht="10.5" customHeight="1" x14ac:dyDescent="0.2">
      <c r="G31799" s="889"/>
    </row>
    <row r="31800" spans="7:7" ht="10.5" customHeight="1" x14ac:dyDescent="0.2">
      <c r="G31800" s="889"/>
    </row>
    <row r="31801" spans="7:7" ht="10.5" customHeight="1" x14ac:dyDescent="0.2">
      <c r="G31801" s="889"/>
    </row>
    <row r="31802" spans="7:7" ht="10.5" customHeight="1" x14ac:dyDescent="0.2">
      <c r="G31802" s="889"/>
    </row>
    <row r="31803" spans="7:7" ht="10.5" customHeight="1" x14ac:dyDescent="0.2">
      <c r="G31803" s="889"/>
    </row>
    <row r="31804" spans="7:7" ht="10.5" customHeight="1" x14ac:dyDescent="0.2">
      <c r="G31804" s="889"/>
    </row>
    <row r="31805" spans="7:7" ht="10.5" customHeight="1" x14ac:dyDescent="0.2">
      <c r="G31805" s="889"/>
    </row>
    <row r="31806" spans="7:7" ht="10.5" customHeight="1" x14ac:dyDescent="0.2">
      <c r="G31806" s="889"/>
    </row>
    <row r="31807" spans="7:7" ht="10.5" customHeight="1" x14ac:dyDescent="0.2">
      <c r="G31807" s="889"/>
    </row>
    <row r="31808" spans="7:7" ht="10.5" customHeight="1" x14ac:dyDescent="0.2">
      <c r="G31808" s="889"/>
    </row>
    <row r="31809" spans="7:7" ht="10.5" customHeight="1" x14ac:dyDescent="0.2">
      <c r="G31809" s="889"/>
    </row>
    <row r="31810" spans="7:7" ht="10.5" customHeight="1" x14ac:dyDescent="0.2">
      <c r="G31810" s="889"/>
    </row>
    <row r="31811" spans="7:7" ht="10.5" customHeight="1" x14ac:dyDescent="0.2">
      <c r="G31811" s="889"/>
    </row>
    <row r="31812" spans="7:7" ht="10.5" customHeight="1" x14ac:dyDescent="0.2">
      <c r="G31812" s="889"/>
    </row>
    <row r="31813" spans="7:7" ht="10.5" customHeight="1" x14ac:dyDescent="0.2">
      <c r="G31813" s="889"/>
    </row>
    <row r="31814" spans="7:7" ht="10.5" customHeight="1" x14ac:dyDescent="0.2">
      <c r="G31814" s="889"/>
    </row>
    <row r="31815" spans="7:7" ht="10.5" customHeight="1" x14ac:dyDescent="0.2">
      <c r="G31815" s="889"/>
    </row>
    <row r="31816" spans="7:7" ht="10.5" customHeight="1" x14ac:dyDescent="0.2">
      <c r="G31816" s="889"/>
    </row>
    <row r="31817" spans="7:7" ht="10.5" customHeight="1" x14ac:dyDescent="0.2">
      <c r="G31817" s="889"/>
    </row>
    <row r="31818" spans="7:7" ht="10.5" customHeight="1" x14ac:dyDescent="0.2">
      <c r="G31818" s="889"/>
    </row>
    <row r="31819" spans="7:7" ht="10.5" customHeight="1" x14ac:dyDescent="0.2">
      <c r="G31819" s="889"/>
    </row>
    <row r="31820" spans="7:7" ht="10.5" customHeight="1" x14ac:dyDescent="0.2">
      <c r="G31820" s="889"/>
    </row>
    <row r="31821" spans="7:7" ht="10.5" customHeight="1" x14ac:dyDescent="0.2">
      <c r="G31821" s="889"/>
    </row>
    <row r="31822" spans="7:7" ht="10.5" customHeight="1" x14ac:dyDescent="0.2">
      <c r="G31822" s="889"/>
    </row>
    <row r="31823" spans="7:7" ht="10.5" customHeight="1" x14ac:dyDescent="0.2">
      <c r="G31823" s="889"/>
    </row>
    <row r="31824" spans="7:7" ht="10.5" customHeight="1" x14ac:dyDescent="0.2">
      <c r="G31824" s="889"/>
    </row>
    <row r="31825" spans="7:7" ht="10.5" customHeight="1" x14ac:dyDescent="0.2">
      <c r="G31825" s="889"/>
    </row>
    <row r="31826" spans="7:7" ht="10.5" customHeight="1" x14ac:dyDescent="0.2">
      <c r="G31826" s="889"/>
    </row>
    <row r="31827" spans="7:7" ht="10.5" customHeight="1" x14ac:dyDescent="0.2">
      <c r="G31827" s="889"/>
    </row>
    <row r="31828" spans="7:7" ht="10.5" customHeight="1" x14ac:dyDescent="0.2">
      <c r="G31828" s="889"/>
    </row>
    <row r="31829" spans="7:7" ht="10.5" customHeight="1" x14ac:dyDescent="0.2">
      <c r="G31829" s="889"/>
    </row>
    <row r="31830" spans="7:7" ht="10.5" customHeight="1" x14ac:dyDescent="0.2">
      <c r="G31830" s="889"/>
    </row>
    <row r="31831" spans="7:7" ht="10.5" customHeight="1" x14ac:dyDescent="0.2">
      <c r="G31831" s="889"/>
    </row>
    <row r="31832" spans="7:7" ht="10.5" customHeight="1" x14ac:dyDescent="0.2">
      <c r="G31832" s="889"/>
    </row>
    <row r="31833" spans="7:7" ht="10.5" customHeight="1" x14ac:dyDescent="0.2">
      <c r="G31833" s="889"/>
    </row>
    <row r="31834" spans="7:7" ht="10.5" customHeight="1" x14ac:dyDescent="0.2">
      <c r="G31834" s="889"/>
    </row>
    <row r="31835" spans="7:7" ht="10.5" customHeight="1" x14ac:dyDescent="0.2">
      <c r="G31835" s="889"/>
    </row>
    <row r="31836" spans="7:7" ht="10.5" customHeight="1" x14ac:dyDescent="0.2">
      <c r="G31836" s="889"/>
    </row>
    <row r="31837" spans="7:7" ht="10.5" customHeight="1" x14ac:dyDescent="0.2">
      <c r="G31837" s="889"/>
    </row>
    <row r="31838" spans="7:7" ht="10.5" customHeight="1" x14ac:dyDescent="0.2">
      <c r="G31838" s="889"/>
    </row>
    <row r="31839" spans="7:7" ht="10.5" customHeight="1" x14ac:dyDescent="0.2">
      <c r="G31839" s="889"/>
    </row>
    <row r="31840" spans="7:7" ht="10.5" customHeight="1" x14ac:dyDescent="0.2">
      <c r="G31840" s="889"/>
    </row>
    <row r="31841" spans="7:7" ht="10.5" customHeight="1" x14ac:dyDescent="0.2">
      <c r="G31841" s="889"/>
    </row>
    <row r="31842" spans="7:7" ht="10.5" customHeight="1" x14ac:dyDescent="0.2">
      <c r="G31842" s="889"/>
    </row>
    <row r="31843" spans="7:7" ht="10.5" customHeight="1" x14ac:dyDescent="0.2">
      <c r="G31843" s="889"/>
    </row>
    <row r="31844" spans="7:7" ht="10.5" customHeight="1" x14ac:dyDescent="0.2">
      <c r="G31844" s="889"/>
    </row>
    <row r="31845" spans="7:7" ht="10.5" customHeight="1" x14ac:dyDescent="0.2">
      <c r="G31845" s="889"/>
    </row>
    <row r="31846" spans="7:7" ht="10.5" customHeight="1" x14ac:dyDescent="0.2">
      <c r="G31846" s="889"/>
    </row>
    <row r="31847" spans="7:7" ht="10.5" customHeight="1" x14ac:dyDescent="0.2">
      <c r="G31847" s="889"/>
    </row>
    <row r="31848" spans="7:7" ht="10.5" customHeight="1" x14ac:dyDescent="0.2">
      <c r="G31848" s="889"/>
    </row>
    <row r="31849" spans="7:7" ht="10.5" customHeight="1" x14ac:dyDescent="0.2">
      <c r="G31849" s="889"/>
    </row>
    <row r="31850" spans="7:7" ht="10.5" customHeight="1" x14ac:dyDescent="0.2">
      <c r="G31850" s="889"/>
    </row>
    <row r="31851" spans="7:7" ht="10.5" customHeight="1" x14ac:dyDescent="0.2">
      <c r="G31851" s="889"/>
    </row>
    <row r="31852" spans="7:7" ht="10.5" customHeight="1" x14ac:dyDescent="0.2">
      <c r="G31852" s="889"/>
    </row>
    <row r="31853" spans="7:7" ht="10.5" customHeight="1" x14ac:dyDescent="0.2">
      <c r="G31853" s="889"/>
    </row>
    <row r="31854" spans="7:7" ht="10.5" customHeight="1" x14ac:dyDescent="0.2">
      <c r="G31854" s="889"/>
    </row>
    <row r="31855" spans="7:7" ht="10.5" customHeight="1" x14ac:dyDescent="0.2">
      <c r="G31855" s="889"/>
    </row>
    <row r="31856" spans="7:7" ht="10.5" customHeight="1" x14ac:dyDescent="0.2">
      <c r="G31856" s="889"/>
    </row>
    <row r="31857" spans="7:7" ht="10.5" customHeight="1" x14ac:dyDescent="0.2">
      <c r="G31857" s="889"/>
    </row>
    <row r="31858" spans="7:7" ht="10.5" customHeight="1" x14ac:dyDescent="0.2">
      <c r="G31858" s="889"/>
    </row>
    <row r="31859" spans="7:7" ht="10.5" customHeight="1" x14ac:dyDescent="0.2">
      <c r="G31859" s="889"/>
    </row>
    <row r="31860" spans="7:7" ht="10.5" customHeight="1" x14ac:dyDescent="0.2">
      <c r="G31860" s="889"/>
    </row>
    <row r="31861" spans="7:7" ht="10.5" customHeight="1" x14ac:dyDescent="0.2">
      <c r="G31861" s="889"/>
    </row>
    <row r="31862" spans="7:7" ht="10.5" customHeight="1" x14ac:dyDescent="0.2">
      <c r="G31862" s="889"/>
    </row>
    <row r="31863" spans="7:7" ht="10.5" customHeight="1" x14ac:dyDescent="0.2">
      <c r="G31863" s="889"/>
    </row>
    <row r="31864" spans="7:7" ht="10.5" customHeight="1" x14ac:dyDescent="0.2">
      <c r="G31864" s="889"/>
    </row>
    <row r="31865" spans="7:7" ht="10.5" customHeight="1" x14ac:dyDescent="0.2">
      <c r="G31865" s="889"/>
    </row>
    <row r="31866" spans="7:7" ht="10.5" customHeight="1" x14ac:dyDescent="0.2">
      <c r="G31866" s="889"/>
    </row>
    <row r="31867" spans="7:7" ht="10.5" customHeight="1" x14ac:dyDescent="0.2">
      <c r="G31867" s="889"/>
    </row>
    <row r="31868" spans="7:7" ht="10.5" customHeight="1" x14ac:dyDescent="0.2">
      <c r="G31868" s="889"/>
    </row>
    <row r="31869" spans="7:7" ht="10.5" customHeight="1" x14ac:dyDescent="0.2">
      <c r="G31869" s="889"/>
    </row>
    <row r="31870" spans="7:7" ht="10.5" customHeight="1" x14ac:dyDescent="0.2">
      <c r="G31870" s="889"/>
    </row>
    <row r="31871" spans="7:7" ht="10.5" customHeight="1" x14ac:dyDescent="0.2">
      <c r="G31871" s="889"/>
    </row>
    <row r="31872" spans="7:7" ht="10.5" customHeight="1" x14ac:dyDescent="0.2">
      <c r="G31872" s="889"/>
    </row>
    <row r="31873" spans="7:7" ht="10.5" customHeight="1" x14ac:dyDescent="0.2">
      <c r="G31873" s="889"/>
    </row>
    <row r="31874" spans="7:7" ht="10.5" customHeight="1" x14ac:dyDescent="0.2">
      <c r="G31874" s="889"/>
    </row>
    <row r="31875" spans="7:7" ht="10.5" customHeight="1" x14ac:dyDescent="0.2">
      <c r="G31875" s="889"/>
    </row>
    <row r="31876" spans="7:7" ht="10.5" customHeight="1" x14ac:dyDescent="0.2">
      <c r="G31876" s="889"/>
    </row>
    <row r="31877" spans="7:7" ht="10.5" customHeight="1" x14ac:dyDescent="0.2">
      <c r="G31877" s="889"/>
    </row>
    <row r="31878" spans="7:7" ht="10.5" customHeight="1" x14ac:dyDescent="0.2">
      <c r="G31878" s="889"/>
    </row>
    <row r="31879" spans="7:7" ht="10.5" customHeight="1" x14ac:dyDescent="0.2">
      <c r="G31879" s="889"/>
    </row>
    <row r="31880" spans="7:7" ht="10.5" customHeight="1" x14ac:dyDescent="0.2">
      <c r="G31880" s="889"/>
    </row>
    <row r="31881" spans="7:7" ht="10.5" customHeight="1" x14ac:dyDescent="0.2">
      <c r="G31881" s="889"/>
    </row>
    <row r="31882" spans="7:7" ht="10.5" customHeight="1" x14ac:dyDescent="0.2">
      <c r="G31882" s="889"/>
    </row>
    <row r="31883" spans="7:7" ht="10.5" customHeight="1" x14ac:dyDescent="0.2">
      <c r="G31883" s="889"/>
    </row>
    <row r="31884" spans="7:7" ht="10.5" customHeight="1" x14ac:dyDescent="0.2">
      <c r="G31884" s="889"/>
    </row>
    <row r="31885" spans="7:7" ht="10.5" customHeight="1" x14ac:dyDescent="0.2">
      <c r="G31885" s="889"/>
    </row>
    <row r="31886" spans="7:7" ht="10.5" customHeight="1" x14ac:dyDescent="0.2">
      <c r="G31886" s="889"/>
    </row>
    <row r="31887" spans="7:7" ht="10.5" customHeight="1" x14ac:dyDescent="0.2">
      <c r="G31887" s="889"/>
    </row>
    <row r="31888" spans="7:7" ht="10.5" customHeight="1" x14ac:dyDescent="0.2">
      <c r="G31888" s="889"/>
    </row>
    <row r="31889" spans="7:7" ht="10.5" customHeight="1" x14ac:dyDescent="0.2">
      <c r="G31889" s="889"/>
    </row>
    <row r="31890" spans="7:7" ht="10.5" customHeight="1" x14ac:dyDescent="0.2">
      <c r="G31890" s="889"/>
    </row>
    <row r="31891" spans="7:7" ht="10.5" customHeight="1" x14ac:dyDescent="0.2">
      <c r="G31891" s="889"/>
    </row>
    <row r="31892" spans="7:7" ht="10.5" customHeight="1" x14ac:dyDescent="0.2">
      <c r="G31892" s="889"/>
    </row>
    <row r="31893" spans="7:7" ht="10.5" customHeight="1" x14ac:dyDescent="0.2">
      <c r="G31893" s="889"/>
    </row>
    <row r="31894" spans="7:7" ht="10.5" customHeight="1" x14ac:dyDescent="0.2">
      <c r="G31894" s="889"/>
    </row>
    <row r="31895" spans="7:7" ht="10.5" customHeight="1" x14ac:dyDescent="0.2">
      <c r="G31895" s="889"/>
    </row>
    <row r="31896" spans="7:7" ht="10.5" customHeight="1" x14ac:dyDescent="0.2">
      <c r="G31896" s="889"/>
    </row>
    <row r="31897" spans="7:7" ht="10.5" customHeight="1" x14ac:dyDescent="0.2">
      <c r="G31897" s="889"/>
    </row>
    <row r="31898" spans="7:7" ht="10.5" customHeight="1" x14ac:dyDescent="0.2">
      <c r="G31898" s="889"/>
    </row>
    <row r="31899" spans="7:7" ht="10.5" customHeight="1" x14ac:dyDescent="0.2">
      <c r="G31899" s="889"/>
    </row>
    <row r="31900" spans="7:7" ht="10.5" customHeight="1" x14ac:dyDescent="0.2">
      <c r="G31900" s="889"/>
    </row>
    <row r="31901" spans="7:7" ht="10.5" customHeight="1" x14ac:dyDescent="0.2">
      <c r="G31901" s="889"/>
    </row>
    <row r="31902" spans="7:7" ht="10.5" customHeight="1" x14ac:dyDescent="0.2">
      <c r="G31902" s="889"/>
    </row>
    <row r="31903" spans="7:7" ht="10.5" customHeight="1" x14ac:dyDescent="0.2">
      <c r="G31903" s="889"/>
    </row>
    <row r="31904" spans="7:7" ht="10.5" customHeight="1" x14ac:dyDescent="0.2">
      <c r="G31904" s="889"/>
    </row>
    <row r="31905" spans="7:7" ht="10.5" customHeight="1" x14ac:dyDescent="0.2">
      <c r="G31905" s="889"/>
    </row>
    <row r="31906" spans="7:7" ht="10.5" customHeight="1" x14ac:dyDescent="0.2">
      <c r="G31906" s="889"/>
    </row>
    <row r="31907" spans="7:7" ht="10.5" customHeight="1" x14ac:dyDescent="0.2">
      <c r="G31907" s="889"/>
    </row>
    <row r="31908" spans="7:7" ht="10.5" customHeight="1" x14ac:dyDescent="0.2">
      <c r="G31908" s="889"/>
    </row>
    <row r="31909" spans="7:7" ht="10.5" customHeight="1" x14ac:dyDescent="0.2">
      <c r="G31909" s="889"/>
    </row>
    <row r="31910" spans="7:7" ht="10.5" customHeight="1" x14ac:dyDescent="0.2">
      <c r="G31910" s="889"/>
    </row>
    <row r="31911" spans="7:7" ht="10.5" customHeight="1" x14ac:dyDescent="0.2">
      <c r="G31911" s="889"/>
    </row>
    <row r="31912" spans="7:7" ht="10.5" customHeight="1" x14ac:dyDescent="0.2">
      <c r="G31912" s="889"/>
    </row>
    <row r="31913" spans="7:7" ht="10.5" customHeight="1" x14ac:dyDescent="0.2">
      <c r="G31913" s="889"/>
    </row>
    <row r="31914" spans="7:7" ht="10.5" customHeight="1" x14ac:dyDescent="0.2">
      <c r="G31914" s="889"/>
    </row>
    <row r="31915" spans="7:7" ht="10.5" customHeight="1" x14ac:dyDescent="0.2">
      <c r="G31915" s="889"/>
    </row>
    <row r="31916" spans="7:7" ht="10.5" customHeight="1" x14ac:dyDescent="0.2">
      <c r="G31916" s="889"/>
    </row>
    <row r="31917" spans="7:7" ht="10.5" customHeight="1" x14ac:dyDescent="0.2">
      <c r="G31917" s="889"/>
    </row>
    <row r="31918" spans="7:7" ht="10.5" customHeight="1" x14ac:dyDescent="0.2">
      <c r="G31918" s="889"/>
    </row>
    <row r="31919" spans="7:7" ht="10.5" customHeight="1" x14ac:dyDescent="0.2">
      <c r="G31919" s="889"/>
    </row>
    <row r="31920" spans="7:7" ht="10.5" customHeight="1" x14ac:dyDescent="0.2">
      <c r="G31920" s="889"/>
    </row>
    <row r="31921" spans="7:7" ht="10.5" customHeight="1" x14ac:dyDescent="0.2">
      <c r="G31921" s="889"/>
    </row>
    <row r="31922" spans="7:7" ht="10.5" customHeight="1" x14ac:dyDescent="0.2">
      <c r="G31922" s="889"/>
    </row>
    <row r="31923" spans="7:7" ht="10.5" customHeight="1" x14ac:dyDescent="0.2">
      <c r="G31923" s="889"/>
    </row>
    <row r="31924" spans="7:7" ht="10.5" customHeight="1" x14ac:dyDescent="0.2">
      <c r="G31924" s="889"/>
    </row>
    <row r="31925" spans="7:7" ht="10.5" customHeight="1" x14ac:dyDescent="0.2">
      <c r="G31925" s="889"/>
    </row>
    <row r="31926" spans="7:7" ht="10.5" customHeight="1" x14ac:dyDescent="0.2">
      <c r="G31926" s="889"/>
    </row>
    <row r="31927" spans="7:7" ht="10.5" customHeight="1" x14ac:dyDescent="0.2">
      <c r="G31927" s="889"/>
    </row>
    <row r="31928" spans="7:7" ht="10.5" customHeight="1" x14ac:dyDescent="0.2">
      <c r="G31928" s="889"/>
    </row>
    <row r="31929" spans="7:7" ht="10.5" customHeight="1" x14ac:dyDescent="0.2">
      <c r="G31929" s="889"/>
    </row>
    <row r="31930" spans="7:7" ht="10.5" customHeight="1" x14ac:dyDescent="0.2">
      <c r="G31930" s="889"/>
    </row>
    <row r="31931" spans="7:7" ht="10.5" customHeight="1" x14ac:dyDescent="0.2">
      <c r="G31931" s="889"/>
    </row>
    <row r="31932" spans="7:7" ht="10.5" customHeight="1" x14ac:dyDescent="0.2">
      <c r="G31932" s="889"/>
    </row>
    <row r="31933" spans="7:7" ht="10.5" customHeight="1" x14ac:dyDescent="0.2">
      <c r="G31933" s="889"/>
    </row>
    <row r="31934" spans="7:7" ht="10.5" customHeight="1" x14ac:dyDescent="0.2">
      <c r="G31934" s="889"/>
    </row>
    <row r="31935" spans="7:7" ht="10.5" customHeight="1" x14ac:dyDescent="0.2">
      <c r="G31935" s="889"/>
    </row>
    <row r="31936" spans="7:7" ht="10.5" customHeight="1" x14ac:dyDescent="0.2">
      <c r="G31936" s="889"/>
    </row>
    <row r="31937" spans="7:7" ht="10.5" customHeight="1" x14ac:dyDescent="0.2">
      <c r="G31937" s="889"/>
    </row>
    <row r="31938" spans="7:7" ht="10.5" customHeight="1" x14ac:dyDescent="0.2">
      <c r="G31938" s="889"/>
    </row>
    <row r="31939" spans="7:7" ht="10.5" customHeight="1" x14ac:dyDescent="0.2">
      <c r="G31939" s="889"/>
    </row>
    <row r="31940" spans="7:7" ht="10.5" customHeight="1" x14ac:dyDescent="0.2">
      <c r="G31940" s="889"/>
    </row>
    <row r="31941" spans="7:7" ht="10.5" customHeight="1" x14ac:dyDescent="0.2">
      <c r="G31941" s="889"/>
    </row>
    <row r="31942" spans="7:7" ht="10.5" customHeight="1" x14ac:dyDescent="0.2">
      <c r="G31942" s="889"/>
    </row>
    <row r="31943" spans="7:7" ht="10.5" customHeight="1" x14ac:dyDescent="0.2">
      <c r="G31943" s="889"/>
    </row>
    <row r="31944" spans="7:7" ht="10.5" customHeight="1" x14ac:dyDescent="0.2">
      <c r="G31944" s="889"/>
    </row>
    <row r="31945" spans="7:7" ht="10.5" customHeight="1" x14ac:dyDescent="0.2">
      <c r="G31945" s="889"/>
    </row>
    <row r="31946" spans="7:7" ht="10.5" customHeight="1" x14ac:dyDescent="0.2">
      <c r="G31946" s="889"/>
    </row>
    <row r="31947" spans="7:7" ht="10.5" customHeight="1" x14ac:dyDescent="0.2">
      <c r="G31947" s="889"/>
    </row>
    <row r="31948" spans="7:7" ht="10.5" customHeight="1" x14ac:dyDescent="0.2">
      <c r="G31948" s="889"/>
    </row>
    <row r="31949" spans="7:7" ht="10.5" customHeight="1" x14ac:dyDescent="0.2">
      <c r="G31949" s="889"/>
    </row>
    <row r="31950" spans="7:7" ht="10.5" customHeight="1" x14ac:dyDescent="0.2">
      <c r="G31950" s="889"/>
    </row>
    <row r="31951" spans="7:7" ht="10.5" customHeight="1" x14ac:dyDescent="0.2">
      <c r="G31951" s="889"/>
    </row>
    <row r="31952" spans="7:7" ht="10.5" customHeight="1" x14ac:dyDescent="0.2">
      <c r="G31952" s="889"/>
    </row>
    <row r="31953" spans="7:7" ht="10.5" customHeight="1" x14ac:dyDescent="0.2">
      <c r="G31953" s="889"/>
    </row>
    <row r="31954" spans="7:7" ht="10.5" customHeight="1" x14ac:dyDescent="0.2">
      <c r="G31954" s="889"/>
    </row>
    <row r="31955" spans="7:7" ht="10.5" customHeight="1" x14ac:dyDescent="0.2">
      <c r="G31955" s="889"/>
    </row>
    <row r="31956" spans="7:7" ht="10.5" customHeight="1" x14ac:dyDescent="0.2">
      <c r="G31956" s="889"/>
    </row>
    <row r="31957" spans="7:7" ht="10.5" customHeight="1" x14ac:dyDescent="0.2">
      <c r="G31957" s="889"/>
    </row>
    <row r="31958" spans="7:7" ht="10.5" customHeight="1" x14ac:dyDescent="0.2">
      <c r="G31958" s="889"/>
    </row>
    <row r="31959" spans="7:7" ht="10.5" customHeight="1" x14ac:dyDescent="0.2">
      <c r="G31959" s="889"/>
    </row>
    <row r="31960" spans="7:7" ht="10.5" customHeight="1" x14ac:dyDescent="0.2">
      <c r="G31960" s="889"/>
    </row>
    <row r="31961" spans="7:7" ht="10.5" customHeight="1" x14ac:dyDescent="0.2">
      <c r="G31961" s="889"/>
    </row>
    <row r="31962" spans="7:7" ht="10.5" customHeight="1" x14ac:dyDescent="0.2">
      <c r="G31962" s="889"/>
    </row>
    <row r="31963" spans="7:7" ht="10.5" customHeight="1" x14ac:dyDescent="0.2">
      <c r="G31963" s="889"/>
    </row>
    <row r="31964" spans="7:7" ht="10.5" customHeight="1" x14ac:dyDescent="0.2">
      <c r="G31964" s="889"/>
    </row>
    <row r="31965" spans="7:7" ht="10.5" customHeight="1" x14ac:dyDescent="0.2">
      <c r="G31965" s="889"/>
    </row>
    <row r="31966" spans="7:7" ht="10.5" customHeight="1" x14ac:dyDescent="0.2">
      <c r="G31966" s="889"/>
    </row>
    <row r="31967" spans="7:7" ht="10.5" customHeight="1" x14ac:dyDescent="0.2">
      <c r="G31967" s="889"/>
    </row>
    <row r="31968" spans="7:7" ht="10.5" customHeight="1" x14ac:dyDescent="0.2">
      <c r="G31968" s="889"/>
    </row>
    <row r="31969" spans="7:7" ht="10.5" customHeight="1" x14ac:dyDescent="0.2">
      <c r="G31969" s="889"/>
    </row>
    <row r="31970" spans="7:7" ht="10.5" customHeight="1" x14ac:dyDescent="0.2">
      <c r="G31970" s="889"/>
    </row>
    <row r="31971" spans="7:7" ht="10.5" customHeight="1" x14ac:dyDescent="0.2">
      <c r="G31971" s="889"/>
    </row>
    <row r="31972" spans="7:7" ht="10.5" customHeight="1" x14ac:dyDescent="0.2">
      <c r="G31972" s="889"/>
    </row>
    <row r="31973" spans="7:7" ht="10.5" customHeight="1" x14ac:dyDescent="0.2">
      <c r="G31973" s="889"/>
    </row>
    <row r="31974" spans="7:7" ht="10.5" customHeight="1" x14ac:dyDescent="0.2">
      <c r="G31974" s="889"/>
    </row>
    <row r="31975" spans="7:7" ht="10.5" customHeight="1" x14ac:dyDescent="0.2">
      <c r="G31975" s="889"/>
    </row>
    <row r="31976" spans="7:7" ht="10.5" customHeight="1" x14ac:dyDescent="0.2">
      <c r="G31976" s="889"/>
    </row>
    <row r="31977" spans="7:7" ht="10.5" customHeight="1" x14ac:dyDescent="0.2">
      <c r="G31977" s="889"/>
    </row>
    <row r="31978" spans="7:7" ht="10.5" customHeight="1" x14ac:dyDescent="0.2">
      <c r="G31978" s="889"/>
    </row>
    <row r="31979" spans="7:7" ht="10.5" customHeight="1" x14ac:dyDescent="0.2">
      <c r="G31979" s="889"/>
    </row>
    <row r="31980" spans="7:7" ht="10.5" customHeight="1" x14ac:dyDescent="0.2">
      <c r="G31980" s="889"/>
    </row>
    <row r="31981" spans="7:7" ht="10.5" customHeight="1" x14ac:dyDescent="0.2">
      <c r="G31981" s="889"/>
    </row>
    <row r="31982" spans="7:7" ht="10.5" customHeight="1" x14ac:dyDescent="0.2">
      <c r="G31982" s="889"/>
    </row>
    <row r="31983" spans="7:7" ht="10.5" customHeight="1" x14ac:dyDescent="0.2">
      <c r="G31983" s="889"/>
    </row>
    <row r="31984" spans="7:7" ht="10.5" customHeight="1" x14ac:dyDescent="0.2">
      <c r="G31984" s="889"/>
    </row>
    <row r="31985" spans="7:7" ht="10.5" customHeight="1" x14ac:dyDescent="0.2">
      <c r="G31985" s="889"/>
    </row>
    <row r="31986" spans="7:7" ht="10.5" customHeight="1" x14ac:dyDescent="0.2">
      <c r="G31986" s="889"/>
    </row>
    <row r="31987" spans="7:7" ht="10.5" customHeight="1" x14ac:dyDescent="0.2">
      <c r="G31987" s="889"/>
    </row>
    <row r="31988" spans="7:7" ht="10.5" customHeight="1" x14ac:dyDescent="0.2">
      <c r="G31988" s="889"/>
    </row>
    <row r="31989" spans="7:7" ht="10.5" customHeight="1" x14ac:dyDescent="0.2">
      <c r="G31989" s="889"/>
    </row>
    <row r="31990" spans="7:7" ht="10.5" customHeight="1" x14ac:dyDescent="0.2">
      <c r="G31990" s="889"/>
    </row>
    <row r="31991" spans="7:7" ht="10.5" customHeight="1" x14ac:dyDescent="0.2">
      <c r="G31991" s="889"/>
    </row>
    <row r="31992" spans="7:7" ht="10.5" customHeight="1" x14ac:dyDescent="0.2">
      <c r="G31992" s="889"/>
    </row>
    <row r="31993" spans="7:7" ht="10.5" customHeight="1" x14ac:dyDescent="0.2">
      <c r="G31993" s="889"/>
    </row>
    <row r="31994" spans="7:7" ht="10.5" customHeight="1" x14ac:dyDescent="0.2">
      <c r="G31994" s="889"/>
    </row>
    <row r="31995" spans="7:7" ht="10.5" customHeight="1" x14ac:dyDescent="0.2">
      <c r="G31995" s="889"/>
    </row>
    <row r="31996" spans="7:7" ht="10.5" customHeight="1" x14ac:dyDescent="0.2">
      <c r="G31996" s="889"/>
    </row>
    <row r="31997" spans="7:7" ht="10.5" customHeight="1" x14ac:dyDescent="0.2">
      <c r="G31997" s="889"/>
    </row>
    <row r="31998" spans="7:7" ht="10.5" customHeight="1" x14ac:dyDescent="0.2">
      <c r="G31998" s="889"/>
    </row>
    <row r="31999" spans="7:7" ht="10.5" customHeight="1" x14ac:dyDescent="0.2">
      <c r="G31999" s="889"/>
    </row>
    <row r="32000" spans="7:7" ht="10.5" customHeight="1" x14ac:dyDescent="0.2">
      <c r="G32000" s="889"/>
    </row>
    <row r="32001" spans="7:7" ht="10.5" customHeight="1" x14ac:dyDescent="0.2">
      <c r="G32001" s="889"/>
    </row>
    <row r="32002" spans="7:7" ht="10.5" customHeight="1" x14ac:dyDescent="0.2">
      <c r="G32002" s="889"/>
    </row>
    <row r="32003" spans="7:7" ht="10.5" customHeight="1" x14ac:dyDescent="0.2">
      <c r="G32003" s="889"/>
    </row>
    <row r="32004" spans="7:7" ht="10.5" customHeight="1" x14ac:dyDescent="0.2">
      <c r="G32004" s="889"/>
    </row>
    <row r="32005" spans="7:7" ht="10.5" customHeight="1" x14ac:dyDescent="0.2">
      <c r="G32005" s="889"/>
    </row>
    <row r="32006" spans="7:7" ht="10.5" customHeight="1" x14ac:dyDescent="0.2">
      <c r="G32006" s="889"/>
    </row>
    <row r="32007" spans="7:7" ht="10.5" customHeight="1" x14ac:dyDescent="0.2">
      <c r="G32007" s="889"/>
    </row>
    <row r="32008" spans="7:7" ht="10.5" customHeight="1" x14ac:dyDescent="0.2">
      <c r="G32008" s="889"/>
    </row>
    <row r="32009" spans="7:7" ht="10.5" customHeight="1" x14ac:dyDescent="0.2">
      <c r="G32009" s="889"/>
    </row>
    <row r="32010" spans="7:7" ht="10.5" customHeight="1" x14ac:dyDescent="0.2">
      <c r="G32010" s="889"/>
    </row>
    <row r="32011" spans="7:7" ht="10.5" customHeight="1" x14ac:dyDescent="0.2">
      <c r="G32011" s="889"/>
    </row>
    <row r="32012" spans="7:7" ht="10.5" customHeight="1" x14ac:dyDescent="0.2">
      <c r="G32012" s="889"/>
    </row>
    <row r="32013" spans="7:7" ht="10.5" customHeight="1" x14ac:dyDescent="0.2">
      <c r="G32013" s="889"/>
    </row>
    <row r="32014" spans="7:7" ht="10.5" customHeight="1" x14ac:dyDescent="0.2">
      <c r="G32014" s="889"/>
    </row>
    <row r="32015" spans="7:7" ht="10.5" customHeight="1" x14ac:dyDescent="0.2">
      <c r="G32015" s="889"/>
    </row>
    <row r="32016" spans="7:7" ht="10.5" customHeight="1" x14ac:dyDescent="0.2">
      <c r="G32016" s="889"/>
    </row>
    <row r="32017" spans="7:7" ht="10.5" customHeight="1" x14ac:dyDescent="0.2">
      <c r="G32017" s="889"/>
    </row>
    <row r="32018" spans="7:7" ht="10.5" customHeight="1" x14ac:dyDescent="0.2">
      <c r="G32018" s="889"/>
    </row>
    <row r="32019" spans="7:7" ht="10.5" customHeight="1" x14ac:dyDescent="0.2">
      <c r="G32019" s="889"/>
    </row>
    <row r="32020" spans="7:7" ht="10.5" customHeight="1" x14ac:dyDescent="0.2">
      <c r="G32020" s="889"/>
    </row>
    <row r="32021" spans="7:7" ht="10.5" customHeight="1" x14ac:dyDescent="0.2">
      <c r="G32021" s="889"/>
    </row>
    <row r="32022" spans="7:7" ht="10.5" customHeight="1" x14ac:dyDescent="0.2">
      <c r="G32022" s="889"/>
    </row>
    <row r="32023" spans="7:7" ht="10.5" customHeight="1" x14ac:dyDescent="0.2">
      <c r="G32023" s="889"/>
    </row>
    <row r="32024" spans="7:7" ht="10.5" customHeight="1" x14ac:dyDescent="0.2">
      <c r="G32024" s="889"/>
    </row>
    <row r="32025" spans="7:7" ht="10.5" customHeight="1" x14ac:dyDescent="0.2">
      <c r="G32025" s="889"/>
    </row>
    <row r="32026" spans="7:7" ht="10.5" customHeight="1" x14ac:dyDescent="0.2">
      <c r="G32026" s="889"/>
    </row>
    <row r="32027" spans="7:7" ht="10.5" customHeight="1" x14ac:dyDescent="0.2">
      <c r="G32027" s="889"/>
    </row>
    <row r="32028" spans="7:7" ht="10.5" customHeight="1" x14ac:dyDescent="0.2">
      <c r="G32028" s="889"/>
    </row>
    <row r="32029" spans="7:7" ht="10.5" customHeight="1" x14ac:dyDescent="0.2">
      <c r="G32029" s="889"/>
    </row>
    <row r="32030" spans="7:7" ht="10.5" customHeight="1" x14ac:dyDescent="0.2">
      <c r="G32030" s="889"/>
    </row>
    <row r="32031" spans="7:7" ht="10.5" customHeight="1" x14ac:dyDescent="0.2">
      <c r="G32031" s="889"/>
    </row>
    <row r="32032" spans="7:7" ht="10.5" customHeight="1" x14ac:dyDescent="0.2">
      <c r="G32032" s="889"/>
    </row>
    <row r="32033" spans="7:7" ht="10.5" customHeight="1" x14ac:dyDescent="0.2">
      <c r="G32033" s="889"/>
    </row>
    <row r="32034" spans="7:7" ht="10.5" customHeight="1" x14ac:dyDescent="0.2">
      <c r="G32034" s="889"/>
    </row>
    <row r="32035" spans="7:7" ht="10.5" customHeight="1" x14ac:dyDescent="0.2">
      <c r="G32035" s="889"/>
    </row>
    <row r="32036" spans="7:7" ht="10.5" customHeight="1" x14ac:dyDescent="0.2">
      <c r="G32036" s="889"/>
    </row>
    <row r="32037" spans="7:7" ht="10.5" customHeight="1" x14ac:dyDescent="0.2">
      <c r="G32037" s="889"/>
    </row>
    <row r="32038" spans="7:7" ht="10.5" customHeight="1" x14ac:dyDescent="0.2">
      <c r="G32038" s="889"/>
    </row>
    <row r="32039" spans="7:7" ht="10.5" customHeight="1" x14ac:dyDescent="0.2">
      <c r="G32039" s="889"/>
    </row>
    <row r="32040" spans="7:7" ht="10.5" customHeight="1" x14ac:dyDescent="0.2">
      <c r="G32040" s="889"/>
    </row>
    <row r="32041" spans="7:7" ht="10.5" customHeight="1" x14ac:dyDescent="0.2">
      <c r="G32041" s="889"/>
    </row>
    <row r="32042" spans="7:7" ht="10.5" customHeight="1" x14ac:dyDescent="0.2">
      <c r="G32042" s="889"/>
    </row>
    <row r="32043" spans="7:7" ht="10.5" customHeight="1" x14ac:dyDescent="0.2">
      <c r="G32043" s="889"/>
    </row>
    <row r="32044" spans="7:7" ht="10.5" customHeight="1" x14ac:dyDescent="0.2">
      <c r="G32044" s="889"/>
    </row>
    <row r="32045" spans="7:7" ht="10.5" customHeight="1" x14ac:dyDescent="0.2">
      <c r="G32045" s="889"/>
    </row>
    <row r="32046" spans="7:7" ht="10.5" customHeight="1" x14ac:dyDescent="0.2">
      <c r="G32046" s="889"/>
    </row>
    <row r="32047" spans="7:7" ht="10.5" customHeight="1" x14ac:dyDescent="0.2">
      <c r="G32047" s="889"/>
    </row>
    <row r="32048" spans="7:7" ht="10.5" customHeight="1" x14ac:dyDescent="0.2">
      <c r="G32048" s="889"/>
    </row>
    <row r="32049" spans="7:7" ht="10.5" customHeight="1" x14ac:dyDescent="0.2">
      <c r="G32049" s="889"/>
    </row>
    <row r="32050" spans="7:7" ht="10.5" customHeight="1" x14ac:dyDescent="0.2">
      <c r="G32050" s="889"/>
    </row>
    <row r="32051" spans="7:7" ht="10.5" customHeight="1" x14ac:dyDescent="0.2">
      <c r="G32051" s="889"/>
    </row>
    <row r="32052" spans="7:7" ht="10.5" customHeight="1" x14ac:dyDescent="0.2">
      <c r="G32052" s="889"/>
    </row>
    <row r="32053" spans="7:7" ht="10.5" customHeight="1" x14ac:dyDescent="0.2">
      <c r="G32053" s="889"/>
    </row>
    <row r="32054" spans="7:7" ht="10.5" customHeight="1" x14ac:dyDescent="0.2">
      <c r="G32054" s="889"/>
    </row>
    <row r="32055" spans="7:7" ht="10.5" customHeight="1" x14ac:dyDescent="0.2">
      <c r="G32055" s="889"/>
    </row>
    <row r="32056" spans="7:7" ht="10.5" customHeight="1" x14ac:dyDescent="0.2">
      <c r="G32056" s="889"/>
    </row>
    <row r="32057" spans="7:7" ht="10.5" customHeight="1" x14ac:dyDescent="0.2">
      <c r="G32057" s="889"/>
    </row>
    <row r="32058" spans="7:7" ht="10.5" customHeight="1" x14ac:dyDescent="0.2">
      <c r="G32058" s="889"/>
    </row>
    <row r="32059" spans="7:7" ht="10.5" customHeight="1" x14ac:dyDescent="0.2">
      <c r="G32059" s="889"/>
    </row>
    <row r="32060" spans="7:7" ht="10.5" customHeight="1" x14ac:dyDescent="0.2">
      <c r="G32060" s="889"/>
    </row>
    <row r="32061" spans="7:7" ht="10.5" customHeight="1" x14ac:dyDescent="0.2">
      <c r="G32061" s="889"/>
    </row>
    <row r="32062" spans="7:7" ht="10.5" customHeight="1" x14ac:dyDescent="0.2">
      <c r="G32062" s="889"/>
    </row>
    <row r="32063" spans="7:7" ht="10.5" customHeight="1" x14ac:dyDescent="0.2">
      <c r="G32063" s="889"/>
    </row>
    <row r="32064" spans="7:7" ht="10.5" customHeight="1" x14ac:dyDescent="0.2">
      <c r="G32064" s="889"/>
    </row>
    <row r="32065" spans="7:7" ht="10.5" customHeight="1" x14ac:dyDescent="0.2">
      <c r="G32065" s="889"/>
    </row>
    <row r="32066" spans="7:7" ht="10.5" customHeight="1" x14ac:dyDescent="0.2">
      <c r="G32066" s="889"/>
    </row>
    <row r="32067" spans="7:7" ht="10.5" customHeight="1" x14ac:dyDescent="0.2">
      <c r="G32067" s="889"/>
    </row>
    <row r="32068" spans="7:7" ht="10.5" customHeight="1" x14ac:dyDescent="0.2">
      <c r="G32068" s="889"/>
    </row>
    <row r="32069" spans="7:7" ht="10.5" customHeight="1" x14ac:dyDescent="0.2">
      <c r="G32069" s="889"/>
    </row>
    <row r="32070" spans="7:7" ht="10.5" customHeight="1" x14ac:dyDescent="0.2">
      <c r="G32070" s="889"/>
    </row>
    <row r="32071" spans="7:7" ht="10.5" customHeight="1" x14ac:dyDescent="0.2">
      <c r="G32071" s="889"/>
    </row>
    <row r="32072" spans="7:7" ht="10.5" customHeight="1" x14ac:dyDescent="0.2">
      <c r="G32072" s="889"/>
    </row>
    <row r="32073" spans="7:7" ht="10.5" customHeight="1" x14ac:dyDescent="0.2">
      <c r="G32073" s="889"/>
    </row>
    <row r="32074" spans="7:7" ht="10.5" customHeight="1" x14ac:dyDescent="0.2">
      <c r="G32074" s="889"/>
    </row>
    <row r="32075" spans="7:7" ht="10.5" customHeight="1" x14ac:dyDescent="0.2">
      <c r="G32075" s="889"/>
    </row>
    <row r="32076" spans="7:7" ht="10.5" customHeight="1" x14ac:dyDescent="0.2">
      <c r="G32076" s="889"/>
    </row>
    <row r="32077" spans="7:7" ht="10.5" customHeight="1" x14ac:dyDescent="0.2">
      <c r="G32077" s="889"/>
    </row>
    <row r="32078" spans="7:7" ht="10.5" customHeight="1" x14ac:dyDescent="0.2">
      <c r="G32078" s="889"/>
    </row>
    <row r="32079" spans="7:7" ht="10.5" customHeight="1" x14ac:dyDescent="0.2">
      <c r="G32079" s="889"/>
    </row>
    <row r="32080" spans="7:7" ht="10.5" customHeight="1" x14ac:dyDescent="0.2">
      <c r="G32080" s="889"/>
    </row>
    <row r="32081" spans="7:7" ht="10.5" customHeight="1" x14ac:dyDescent="0.2">
      <c r="G32081" s="889"/>
    </row>
    <row r="32082" spans="7:7" ht="10.5" customHeight="1" x14ac:dyDescent="0.2">
      <c r="G32082" s="889"/>
    </row>
    <row r="32083" spans="7:7" ht="10.5" customHeight="1" x14ac:dyDescent="0.2">
      <c r="G32083" s="889"/>
    </row>
    <row r="32084" spans="7:7" ht="10.5" customHeight="1" x14ac:dyDescent="0.2">
      <c r="G32084" s="889"/>
    </row>
    <row r="32085" spans="7:7" ht="10.5" customHeight="1" x14ac:dyDescent="0.2">
      <c r="G32085" s="889"/>
    </row>
    <row r="32086" spans="7:7" ht="10.5" customHeight="1" x14ac:dyDescent="0.2">
      <c r="G32086" s="889"/>
    </row>
    <row r="32087" spans="7:7" ht="10.5" customHeight="1" x14ac:dyDescent="0.2">
      <c r="G32087" s="889"/>
    </row>
    <row r="32088" spans="7:7" ht="10.5" customHeight="1" x14ac:dyDescent="0.2">
      <c r="G32088" s="889"/>
    </row>
    <row r="32089" spans="7:7" ht="10.5" customHeight="1" x14ac:dyDescent="0.2">
      <c r="G32089" s="889"/>
    </row>
    <row r="32090" spans="7:7" ht="10.5" customHeight="1" x14ac:dyDescent="0.2">
      <c r="G32090" s="889"/>
    </row>
    <row r="32091" spans="7:7" ht="10.5" customHeight="1" x14ac:dyDescent="0.2">
      <c r="G32091" s="889"/>
    </row>
    <row r="32092" spans="7:7" ht="10.5" customHeight="1" x14ac:dyDescent="0.2">
      <c r="G32092" s="889"/>
    </row>
    <row r="32093" spans="7:7" ht="10.5" customHeight="1" x14ac:dyDescent="0.2">
      <c r="G32093" s="889"/>
    </row>
    <row r="32094" spans="7:7" ht="10.5" customHeight="1" x14ac:dyDescent="0.2">
      <c r="G32094" s="889"/>
    </row>
    <row r="32095" spans="7:7" ht="10.5" customHeight="1" x14ac:dyDescent="0.2">
      <c r="G32095" s="889"/>
    </row>
    <row r="32096" spans="7:7" ht="10.5" customHeight="1" x14ac:dyDescent="0.2">
      <c r="G32096" s="889"/>
    </row>
    <row r="32097" spans="7:7" ht="10.5" customHeight="1" x14ac:dyDescent="0.2">
      <c r="G32097" s="889"/>
    </row>
    <row r="32098" spans="7:7" ht="10.5" customHeight="1" x14ac:dyDescent="0.2">
      <c r="G32098" s="889"/>
    </row>
    <row r="32099" spans="7:7" ht="10.5" customHeight="1" x14ac:dyDescent="0.2">
      <c r="G32099" s="889"/>
    </row>
    <row r="32100" spans="7:7" ht="10.5" customHeight="1" x14ac:dyDescent="0.2">
      <c r="G32100" s="889"/>
    </row>
    <row r="32101" spans="7:7" ht="10.5" customHeight="1" x14ac:dyDescent="0.2">
      <c r="G32101" s="889"/>
    </row>
    <row r="32102" spans="7:7" ht="10.5" customHeight="1" x14ac:dyDescent="0.2">
      <c r="G32102" s="889"/>
    </row>
    <row r="32103" spans="7:7" ht="10.5" customHeight="1" x14ac:dyDescent="0.2">
      <c r="G32103" s="889"/>
    </row>
    <row r="32104" spans="7:7" ht="10.5" customHeight="1" x14ac:dyDescent="0.2">
      <c r="G32104" s="889"/>
    </row>
    <row r="32105" spans="7:7" ht="10.5" customHeight="1" x14ac:dyDescent="0.2">
      <c r="G32105" s="889"/>
    </row>
    <row r="32106" spans="7:7" ht="10.5" customHeight="1" x14ac:dyDescent="0.2">
      <c r="G32106" s="889"/>
    </row>
    <row r="32107" spans="7:7" ht="10.5" customHeight="1" x14ac:dyDescent="0.2">
      <c r="G32107" s="889"/>
    </row>
    <row r="32108" spans="7:7" ht="10.5" customHeight="1" x14ac:dyDescent="0.2">
      <c r="G32108" s="889"/>
    </row>
    <row r="32109" spans="7:7" ht="10.5" customHeight="1" x14ac:dyDescent="0.2">
      <c r="G32109" s="889"/>
    </row>
    <row r="32110" spans="7:7" ht="10.5" customHeight="1" x14ac:dyDescent="0.2">
      <c r="G32110" s="889"/>
    </row>
    <row r="32111" spans="7:7" ht="10.5" customHeight="1" x14ac:dyDescent="0.2">
      <c r="G32111" s="889"/>
    </row>
    <row r="32112" spans="7:7" ht="10.5" customHeight="1" x14ac:dyDescent="0.2">
      <c r="G32112" s="889"/>
    </row>
    <row r="32113" spans="7:7" ht="10.5" customHeight="1" x14ac:dyDescent="0.2">
      <c r="G32113" s="889"/>
    </row>
    <row r="32114" spans="7:7" ht="10.5" customHeight="1" x14ac:dyDescent="0.2">
      <c r="G32114" s="889"/>
    </row>
    <row r="32115" spans="7:7" ht="10.5" customHeight="1" x14ac:dyDescent="0.2">
      <c r="G32115" s="889"/>
    </row>
    <row r="32116" spans="7:7" ht="10.5" customHeight="1" x14ac:dyDescent="0.2">
      <c r="G32116" s="889"/>
    </row>
    <row r="32117" spans="7:7" ht="10.5" customHeight="1" x14ac:dyDescent="0.2">
      <c r="G32117" s="889"/>
    </row>
    <row r="32118" spans="7:7" ht="10.5" customHeight="1" x14ac:dyDescent="0.2">
      <c r="G32118" s="889"/>
    </row>
    <row r="32119" spans="7:7" ht="10.5" customHeight="1" x14ac:dyDescent="0.2">
      <c r="G32119" s="889"/>
    </row>
    <row r="32120" spans="7:7" ht="10.5" customHeight="1" x14ac:dyDescent="0.2">
      <c r="G32120" s="889"/>
    </row>
    <row r="32121" spans="7:7" ht="10.5" customHeight="1" x14ac:dyDescent="0.2">
      <c r="G32121" s="889"/>
    </row>
    <row r="32122" spans="7:7" ht="10.5" customHeight="1" x14ac:dyDescent="0.2">
      <c r="G32122" s="889"/>
    </row>
    <row r="32123" spans="7:7" ht="10.5" customHeight="1" x14ac:dyDescent="0.2">
      <c r="G32123" s="889"/>
    </row>
    <row r="32124" spans="7:7" ht="10.5" customHeight="1" x14ac:dyDescent="0.2">
      <c r="G32124" s="889"/>
    </row>
    <row r="32125" spans="7:7" ht="10.5" customHeight="1" x14ac:dyDescent="0.2">
      <c r="G32125" s="889"/>
    </row>
    <row r="32126" spans="7:7" ht="10.5" customHeight="1" x14ac:dyDescent="0.2">
      <c r="G32126" s="889"/>
    </row>
    <row r="32127" spans="7:7" ht="10.5" customHeight="1" x14ac:dyDescent="0.2">
      <c r="G32127" s="889"/>
    </row>
    <row r="32128" spans="7:7" ht="10.5" customHeight="1" x14ac:dyDescent="0.2">
      <c r="G32128" s="889"/>
    </row>
    <row r="32129" spans="7:7" ht="10.5" customHeight="1" x14ac:dyDescent="0.2">
      <c r="G32129" s="889"/>
    </row>
    <row r="32130" spans="7:7" ht="10.5" customHeight="1" x14ac:dyDescent="0.2">
      <c r="G32130" s="889"/>
    </row>
    <row r="32131" spans="7:7" ht="10.5" customHeight="1" x14ac:dyDescent="0.2">
      <c r="G32131" s="889"/>
    </row>
    <row r="32132" spans="7:7" ht="10.5" customHeight="1" x14ac:dyDescent="0.2">
      <c r="G32132" s="889"/>
    </row>
    <row r="32133" spans="7:7" ht="10.5" customHeight="1" x14ac:dyDescent="0.2">
      <c r="G32133" s="889"/>
    </row>
    <row r="32134" spans="7:7" ht="10.5" customHeight="1" x14ac:dyDescent="0.2">
      <c r="G32134" s="889"/>
    </row>
    <row r="32135" spans="7:7" ht="10.5" customHeight="1" x14ac:dyDescent="0.2">
      <c r="G32135" s="889"/>
    </row>
    <row r="32136" spans="7:7" ht="10.5" customHeight="1" x14ac:dyDescent="0.2">
      <c r="G32136" s="889"/>
    </row>
    <row r="32137" spans="7:7" ht="10.5" customHeight="1" x14ac:dyDescent="0.2">
      <c r="G32137" s="889"/>
    </row>
    <row r="32138" spans="7:7" ht="10.5" customHeight="1" x14ac:dyDescent="0.2">
      <c r="G32138" s="889"/>
    </row>
    <row r="32139" spans="7:7" ht="10.5" customHeight="1" x14ac:dyDescent="0.2">
      <c r="G32139" s="889"/>
    </row>
    <row r="32140" spans="7:7" ht="10.5" customHeight="1" x14ac:dyDescent="0.2">
      <c r="G32140" s="889"/>
    </row>
    <row r="32141" spans="7:7" ht="10.5" customHeight="1" x14ac:dyDescent="0.2">
      <c r="G32141" s="889"/>
    </row>
    <row r="32142" spans="7:7" ht="10.5" customHeight="1" x14ac:dyDescent="0.2">
      <c r="G32142" s="889"/>
    </row>
    <row r="32143" spans="7:7" ht="10.5" customHeight="1" x14ac:dyDescent="0.2">
      <c r="G32143" s="889"/>
    </row>
    <row r="32144" spans="7:7" ht="10.5" customHeight="1" x14ac:dyDescent="0.2">
      <c r="G32144" s="889"/>
    </row>
    <row r="32145" spans="7:7" ht="10.5" customHeight="1" x14ac:dyDescent="0.2">
      <c r="G32145" s="889"/>
    </row>
    <row r="32146" spans="7:7" ht="10.5" customHeight="1" x14ac:dyDescent="0.2">
      <c r="G32146" s="889"/>
    </row>
    <row r="32147" spans="7:7" ht="10.5" customHeight="1" x14ac:dyDescent="0.2">
      <c r="G32147" s="889"/>
    </row>
    <row r="32148" spans="7:7" ht="10.5" customHeight="1" x14ac:dyDescent="0.2">
      <c r="G32148" s="889"/>
    </row>
    <row r="32149" spans="7:7" ht="10.5" customHeight="1" x14ac:dyDescent="0.2">
      <c r="G32149" s="889"/>
    </row>
    <row r="32150" spans="7:7" ht="10.5" customHeight="1" x14ac:dyDescent="0.2">
      <c r="G32150" s="889"/>
    </row>
    <row r="32151" spans="7:7" ht="10.5" customHeight="1" x14ac:dyDescent="0.2">
      <c r="G32151" s="889"/>
    </row>
    <row r="32152" spans="7:7" ht="10.5" customHeight="1" x14ac:dyDescent="0.2">
      <c r="G32152" s="889"/>
    </row>
    <row r="32153" spans="7:7" ht="10.5" customHeight="1" x14ac:dyDescent="0.2">
      <c r="G32153" s="889"/>
    </row>
    <row r="32154" spans="7:7" ht="10.5" customHeight="1" x14ac:dyDescent="0.2">
      <c r="G32154" s="889"/>
    </row>
    <row r="32155" spans="7:7" ht="10.5" customHeight="1" x14ac:dyDescent="0.2">
      <c r="G32155" s="889"/>
    </row>
    <row r="32156" spans="7:7" ht="10.5" customHeight="1" x14ac:dyDescent="0.2">
      <c r="G32156" s="889"/>
    </row>
    <row r="32157" spans="7:7" ht="10.5" customHeight="1" x14ac:dyDescent="0.2">
      <c r="G32157" s="889"/>
    </row>
    <row r="32158" spans="7:7" ht="10.5" customHeight="1" x14ac:dyDescent="0.2">
      <c r="G32158" s="889"/>
    </row>
    <row r="32159" spans="7:7" ht="10.5" customHeight="1" x14ac:dyDescent="0.2">
      <c r="G32159" s="889"/>
    </row>
    <row r="32160" spans="7:7" ht="10.5" customHeight="1" x14ac:dyDescent="0.2">
      <c r="G32160" s="889"/>
    </row>
    <row r="32161" spans="7:7" ht="10.5" customHeight="1" x14ac:dyDescent="0.2">
      <c r="G32161" s="889"/>
    </row>
    <row r="32162" spans="7:7" ht="10.5" customHeight="1" x14ac:dyDescent="0.2">
      <c r="G32162" s="889"/>
    </row>
    <row r="32163" spans="7:7" ht="10.5" customHeight="1" x14ac:dyDescent="0.2">
      <c r="G32163" s="889"/>
    </row>
    <row r="32164" spans="7:7" ht="10.5" customHeight="1" x14ac:dyDescent="0.2">
      <c r="G32164" s="889"/>
    </row>
    <row r="32165" spans="7:7" ht="10.5" customHeight="1" x14ac:dyDescent="0.2">
      <c r="G32165" s="889"/>
    </row>
    <row r="32166" spans="7:7" ht="10.5" customHeight="1" x14ac:dyDescent="0.2">
      <c r="G32166" s="889"/>
    </row>
    <row r="32167" spans="7:7" ht="10.5" customHeight="1" x14ac:dyDescent="0.2">
      <c r="G32167" s="889"/>
    </row>
    <row r="32168" spans="7:7" ht="10.5" customHeight="1" x14ac:dyDescent="0.2">
      <c r="G32168" s="889"/>
    </row>
    <row r="32169" spans="7:7" ht="10.5" customHeight="1" x14ac:dyDescent="0.2">
      <c r="G32169" s="889"/>
    </row>
    <row r="32170" spans="7:7" ht="10.5" customHeight="1" x14ac:dyDescent="0.2">
      <c r="G32170" s="889"/>
    </row>
    <row r="32171" spans="7:7" ht="10.5" customHeight="1" x14ac:dyDescent="0.2">
      <c r="G32171" s="889"/>
    </row>
    <row r="32172" spans="7:7" ht="10.5" customHeight="1" x14ac:dyDescent="0.2">
      <c r="G32172" s="889"/>
    </row>
    <row r="32173" spans="7:7" ht="10.5" customHeight="1" x14ac:dyDescent="0.2">
      <c r="G32173" s="889"/>
    </row>
    <row r="32174" spans="7:7" ht="10.5" customHeight="1" x14ac:dyDescent="0.2">
      <c r="G32174" s="889"/>
    </row>
    <row r="32175" spans="7:7" ht="10.5" customHeight="1" x14ac:dyDescent="0.2">
      <c r="G32175" s="889"/>
    </row>
    <row r="32176" spans="7:7" ht="10.5" customHeight="1" x14ac:dyDescent="0.2">
      <c r="G32176" s="889"/>
    </row>
    <row r="32177" spans="7:7" ht="10.5" customHeight="1" x14ac:dyDescent="0.2">
      <c r="G32177" s="889"/>
    </row>
    <row r="32178" spans="7:7" ht="10.5" customHeight="1" x14ac:dyDescent="0.2">
      <c r="G32178" s="889"/>
    </row>
    <row r="32179" spans="7:7" ht="10.5" customHeight="1" x14ac:dyDescent="0.2">
      <c r="G32179" s="889"/>
    </row>
    <row r="32180" spans="7:7" ht="10.5" customHeight="1" x14ac:dyDescent="0.2">
      <c r="G32180" s="889"/>
    </row>
    <row r="32181" spans="7:7" ht="10.5" customHeight="1" x14ac:dyDescent="0.2">
      <c r="G32181" s="889"/>
    </row>
    <row r="32182" spans="7:7" ht="10.5" customHeight="1" x14ac:dyDescent="0.2">
      <c r="G32182" s="889"/>
    </row>
    <row r="32183" spans="7:7" ht="10.5" customHeight="1" x14ac:dyDescent="0.2">
      <c r="G32183" s="889"/>
    </row>
    <row r="32184" spans="7:7" ht="10.5" customHeight="1" x14ac:dyDescent="0.2">
      <c r="G32184" s="889"/>
    </row>
    <row r="32185" spans="7:7" ht="10.5" customHeight="1" x14ac:dyDescent="0.2">
      <c r="G32185" s="889"/>
    </row>
    <row r="32186" spans="7:7" ht="10.5" customHeight="1" x14ac:dyDescent="0.2">
      <c r="G32186" s="889"/>
    </row>
    <row r="32187" spans="7:7" ht="10.5" customHeight="1" x14ac:dyDescent="0.2">
      <c r="G32187" s="889"/>
    </row>
    <row r="32188" spans="7:7" ht="10.5" customHeight="1" x14ac:dyDescent="0.2">
      <c r="G32188" s="889"/>
    </row>
    <row r="32189" spans="7:7" ht="10.5" customHeight="1" x14ac:dyDescent="0.2">
      <c r="G32189" s="889"/>
    </row>
    <row r="32190" spans="7:7" ht="10.5" customHeight="1" x14ac:dyDescent="0.2">
      <c r="G32190" s="889"/>
    </row>
    <row r="32191" spans="7:7" ht="10.5" customHeight="1" x14ac:dyDescent="0.2">
      <c r="G32191" s="889"/>
    </row>
    <row r="32192" spans="7:7" ht="10.5" customHeight="1" x14ac:dyDescent="0.2">
      <c r="G32192" s="889"/>
    </row>
    <row r="32193" spans="7:7" ht="10.5" customHeight="1" x14ac:dyDescent="0.2">
      <c r="G32193" s="889"/>
    </row>
    <row r="32194" spans="7:7" ht="10.5" customHeight="1" x14ac:dyDescent="0.2">
      <c r="G32194" s="889"/>
    </row>
    <row r="32195" spans="7:7" ht="10.5" customHeight="1" x14ac:dyDescent="0.2">
      <c r="G32195" s="889"/>
    </row>
    <row r="32196" spans="7:7" ht="10.5" customHeight="1" x14ac:dyDescent="0.2">
      <c r="G32196" s="889"/>
    </row>
    <row r="32197" spans="7:7" ht="10.5" customHeight="1" x14ac:dyDescent="0.2">
      <c r="G32197" s="889"/>
    </row>
    <row r="32198" spans="7:7" ht="10.5" customHeight="1" x14ac:dyDescent="0.2">
      <c r="G32198" s="889"/>
    </row>
    <row r="32199" spans="7:7" ht="10.5" customHeight="1" x14ac:dyDescent="0.2">
      <c r="G32199" s="889"/>
    </row>
    <row r="32200" spans="7:7" ht="10.5" customHeight="1" x14ac:dyDescent="0.2">
      <c r="G32200" s="889"/>
    </row>
    <row r="32201" spans="7:7" ht="10.5" customHeight="1" x14ac:dyDescent="0.2">
      <c r="G32201" s="889"/>
    </row>
    <row r="32202" spans="7:7" ht="10.5" customHeight="1" x14ac:dyDescent="0.2">
      <c r="G32202" s="889"/>
    </row>
    <row r="32203" spans="7:7" ht="10.5" customHeight="1" x14ac:dyDescent="0.2">
      <c r="G32203" s="889"/>
    </row>
    <row r="32204" spans="7:7" ht="10.5" customHeight="1" x14ac:dyDescent="0.2">
      <c r="G32204" s="889"/>
    </row>
    <row r="32205" spans="7:7" ht="10.5" customHeight="1" x14ac:dyDescent="0.2">
      <c r="G32205" s="889"/>
    </row>
    <row r="32206" spans="7:7" ht="10.5" customHeight="1" x14ac:dyDescent="0.2">
      <c r="G32206" s="889"/>
    </row>
    <row r="32207" spans="7:7" ht="10.5" customHeight="1" x14ac:dyDescent="0.2">
      <c r="G32207" s="889"/>
    </row>
    <row r="32208" spans="7:7" ht="10.5" customHeight="1" x14ac:dyDescent="0.2">
      <c r="G32208" s="889"/>
    </row>
    <row r="32209" spans="7:7" ht="10.5" customHeight="1" x14ac:dyDescent="0.2">
      <c r="G32209" s="889"/>
    </row>
    <row r="32210" spans="7:7" ht="10.5" customHeight="1" x14ac:dyDescent="0.2">
      <c r="G32210" s="889"/>
    </row>
    <row r="32211" spans="7:7" ht="10.5" customHeight="1" x14ac:dyDescent="0.2">
      <c r="G32211" s="889"/>
    </row>
    <row r="32212" spans="7:7" ht="10.5" customHeight="1" x14ac:dyDescent="0.2">
      <c r="G32212" s="889"/>
    </row>
    <row r="32213" spans="7:7" ht="10.5" customHeight="1" x14ac:dyDescent="0.2">
      <c r="G32213" s="889"/>
    </row>
    <row r="32214" spans="7:7" ht="10.5" customHeight="1" x14ac:dyDescent="0.2">
      <c r="G32214" s="889"/>
    </row>
    <row r="32215" spans="7:7" ht="10.5" customHeight="1" x14ac:dyDescent="0.2">
      <c r="G32215" s="889"/>
    </row>
    <row r="32216" spans="7:7" ht="10.5" customHeight="1" x14ac:dyDescent="0.2">
      <c r="G32216" s="889"/>
    </row>
    <row r="32217" spans="7:7" ht="10.5" customHeight="1" x14ac:dyDescent="0.2">
      <c r="G32217" s="889"/>
    </row>
    <row r="32218" spans="7:7" ht="10.5" customHeight="1" x14ac:dyDescent="0.2">
      <c r="G32218" s="889"/>
    </row>
    <row r="32219" spans="7:7" ht="10.5" customHeight="1" x14ac:dyDescent="0.2">
      <c r="G32219" s="889"/>
    </row>
    <row r="32220" spans="7:7" ht="10.5" customHeight="1" x14ac:dyDescent="0.2">
      <c r="G32220" s="889"/>
    </row>
    <row r="32221" spans="7:7" ht="10.5" customHeight="1" x14ac:dyDescent="0.2">
      <c r="G32221" s="889"/>
    </row>
    <row r="32222" spans="7:7" ht="10.5" customHeight="1" x14ac:dyDescent="0.2">
      <c r="G32222" s="889"/>
    </row>
    <row r="32223" spans="7:7" ht="10.5" customHeight="1" x14ac:dyDescent="0.2">
      <c r="G32223" s="889"/>
    </row>
    <row r="32224" spans="7:7" ht="10.5" customHeight="1" x14ac:dyDescent="0.2">
      <c r="G32224" s="889"/>
    </row>
    <row r="32225" spans="7:7" ht="10.5" customHeight="1" x14ac:dyDescent="0.2">
      <c r="G32225" s="889"/>
    </row>
    <row r="32226" spans="7:7" ht="10.5" customHeight="1" x14ac:dyDescent="0.2">
      <c r="G32226" s="889"/>
    </row>
    <row r="32227" spans="7:7" ht="10.5" customHeight="1" x14ac:dyDescent="0.2">
      <c r="G32227" s="889"/>
    </row>
    <row r="32228" spans="7:7" ht="10.5" customHeight="1" x14ac:dyDescent="0.2">
      <c r="G32228" s="889"/>
    </row>
    <row r="32229" spans="7:7" ht="10.5" customHeight="1" x14ac:dyDescent="0.2">
      <c r="G32229" s="889"/>
    </row>
    <row r="32230" spans="7:7" ht="10.5" customHeight="1" x14ac:dyDescent="0.2">
      <c r="G32230" s="889"/>
    </row>
    <row r="32231" spans="7:7" ht="10.5" customHeight="1" x14ac:dyDescent="0.2">
      <c r="G32231" s="889"/>
    </row>
    <row r="32232" spans="7:7" ht="10.5" customHeight="1" x14ac:dyDescent="0.2">
      <c r="G32232" s="889"/>
    </row>
    <row r="32233" spans="7:7" ht="10.5" customHeight="1" x14ac:dyDescent="0.2">
      <c r="G32233" s="889"/>
    </row>
    <row r="32234" spans="7:7" ht="10.5" customHeight="1" x14ac:dyDescent="0.2">
      <c r="G32234" s="889"/>
    </row>
    <row r="32235" spans="7:7" ht="10.5" customHeight="1" x14ac:dyDescent="0.2">
      <c r="G32235" s="889"/>
    </row>
    <row r="32236" spans="7:7" ht="10.5" customHeight="1" x14ac:dyDescent="0.2">
      <c r="G32236" s="889"/>
    </row>
    <row r="32237" spans="7:7" ht="10.5" customHeight="1" x14ac:dyDescent="0.2">
      <c r="G32237" s="889"/>
    </row>
    <row r="32238" spans="7:7" ht="10.5" customHeight="1" x14ac:dyDescent="0.2">
      <c r="G32238" s="889"/>
    </row>
    <row r="32239" spans="7:7" ht="10.5" customHeight="1" x14ac:dyDescent="0.2">
      <c r="G32239" s="889"/>
    </row>
    <row r="32240" spans="7:7" ht="10.5" customHeight="1" x14ac:dyDescent="0.2">
      <c r="G32240" s="889"/>
    </row>
    <row r="32241" spans="7:7" ht="10.5" customHeight="1" x14ac:dyDescent="0.2">
      <c r="G32241" s="889"/>
    </row>
    <row r="32242" spans="7:7" ht="10.5" customHeight="1" x14ac:dyDescent="0.2">
      <c r="G32242" s="889"/>
    </row>
    <row r="32243" spans="7:7" ht="10.5" customHeight="1" x14ac:dyDescent="0.2">
      <c r="G32243" s="889"/>
    </row>
    <row r="32244" spans="7:7" ht="10.5" customHeight="1" x14ac:dyDescent="0.2">
      <c r="G32244" s="889"/>
    </row>
    <row r="32245" spans="7:7" ht="10.5" customHeight="1" x14ac:dyDescent="0.2">
      <c r="G32245" s="889"/>
    </row>
    <row r="32246" spans="7:7" ht="10.5" customHeight="1" x14ac:dyDescent="0.2">
      <c r="G32246" s="889"/>
    </row>
    <row r="32247" spans="7:7" ht="10.5" customHeight="1" x14ac:dyDescent="0.2">
      <c r="G32247" s="889"/>
    </row>
    <row r="32248" spans="7:7" ht="10.5" customHeight="1" x14ac:dyDescent="0.2">
      <c r="G32248" s="889"/>
    </row>
    <row r="32249" spans="7:7" ht="10.5" customHeight="1" x14ac:dyDescent="0.2">
      <c r="G32249" s="889"/>
    </row>
    <row r="32250" spans="7:7" ht="10.5" customHeight="1" x14ac:dyDescent="0.2">
      <c r="G32250" s="889"/>
    </row>
    <row r="32251" spans="7:7" ht="10.5" customHeight="1" x14ac:dyDescent="0.2">
      <c r="G32251" s="889"/>
    </row>
    <row r="32252" spans="7:7" ht="10.5" customHeight="1" x14ac:dyDescent="0.2">
      <c r="G32252" s="889"/>
    </row>
    <row r="32253" spans="7:7" ht="10.5" customHeight="1" x14ac:dyDescent="0.2">
      <c r="G32253" s="889"/>
    </row>
    <row r="32254" spans="7:7" ht="10.5" customHeight="1" x14ac:dyDescent="0.2">
      <c r="G32254" s="889"/>
    </row>
    <row r="32255" spans="7:7" ht="10.5" customHeight="1" x14ac:dyDescent="0.2">
      <c r="G32255" s="889"/>
    </row>
    <row r="32256" spans="7:7" ht="10.5" customHeight="1" x14ac:dyDescent="0.2">
      <c r="G32256" s="889"/>
    </row>
    <row r="32257" spans="7:7" ht="10.5" customHeight="1" x14ac:dyDescent="0.2">
      <c r="G32257" s="889"/>
    </row>
    <row r="32258" spans="7:7" ht="10.5" customHeight="1" x14ac:dyDescent="0.2">
      <c r="G32258" s="889"/>
    </row>
    <row r="32259" spans="7:7" ht="10.5" customHeight="1" x14ac:dyDescent="0.2">
      <c r="G32259" s="889"/>
    </row>
    <row r="32260" spans="7:7" ht="10.5" customHeight="1" x14ac:dyDescent="0.2">
      <c r="G32260" s="889"/>
    </row>
    <row r="32261" spans="7:7" ht="10.5" customHeight="1" x14ac:dyDescent="0.2">
      <c r="G32261" s="889"/>
    </row>
    <row r="32262" spans="7:7" ht="10.5" customHeight="1" x14ac:dyDescent="0.2">
      <c r="G32262" s="889"/>
    </row>
    <row r="32263" spans="7:7" ht="10.5" customHeight="1" x14ac:dyDescent="0.2">
      <c r="G32263" s="889"/>
    </row>
    <row r="32264" spans="7:7" ht="10.5" customHeight="1" x14ac:dyDescent="0.2">
      <c r="G32264" s="889"/>
    </row>
    <row r="32265" spans="7:7" ht="10.5" customHeight="1" x14ac:dyDescent="0.2">
      <c r="G32265" s="889"/>
    </row>
    <row r="32266" spans="7:7" ht="10.5" customHeight="1" x14ac:dyDescent="0.2">
      <c r="G32266" s="889"/>
    </row>
    <row r="32267" spans="7:7" ht="10.5" customHeight="1" x14ac:dyDescent="0.2">
      <c r="G32267" s="889"/>
    </row>
    <row r="32268" spans="7:7" ht="10.5" customHeight="1" x14ac:dyDescent="0.2">
      <c r="G32268" s="889"/>
    </row>
    <row r="32269" spans="7:7" ht="10.5" customHeight="1" x14ac:dyDescent="0.2">
      <c r="G32269" s="889"/>
    </row>
    <row r="32270" spans="7:7" ht="10.5" customHeight="1" x14ac:dyDescent="0.2">
      <c r="G32270" s="889"/>
    </row>
    <row r="32271" spans="7:7" ht="10.5" customHeight="1" x14ac:dyDescent="0.2">
      <c r="G32271" s="889"/>
    </row>
    <row r="32272" spans="7:7" ht="10.5" customHeight="1" x14ac:dyDescent="0.2">
      <c r="G32272" s="889"/>
    </row>
    <row r="32273" spans="7:7" ht="10.5" customHeight="1" x14ac:dyDescent="0.2">
      <c r="G32273" s="889"/>
    </row>
    <row r="32274" spans="7:7" ht="10.5" customHeight="1" x14ac:dyDescent="0.2">
      <c r="G32274" s="889"/>
    </row>
    <row r="32275" spans="7:7" ht="10.5" customHeight="1" x14ac:dyDescent="0.2">
      <c r="G32275" s="889"/>
    </row>
    <row r="32276" spans="7:7" ht="10.5" customHeight="1" x14ac:dyDescent="0.2">
      <c r="G32276" s="889"/>
    </row>
    <row r="32277" spans="7:7" ht="10.5" customHeight="1" x14ac:dyDescent="0.2">
      <c r="G32277" s="889"/>
    </row>
    <row r="32278" spans="7:7" ht="10.5" customHeight="1" x14ac:dyDescent="0.2">
      <c r="G32278" s="889"/>
    </row>
    <row r="32279" spans="7:7" ht="10.5" customHeight="1" x14ac:dyDescent="0.2">
      <c r="G32279" s="889"/>
    </row>
    <row r="32280" spans="7:7" ht="10.5" customHeight="1" x14ac:dyDescent="0.2">
      <c r="G32280" s="889"/>
    </row>
    <row r="32281" spans="7:7" ht="10.5" customHeight="1" x14ac:dyDescent="0.2">
      <c r="G32281" s="889"/>
    </row>
    <row r="32282" spans="7:7" ht="10.5" customHeight="1" x14ac:dyDescent="0.2">
      <c r="G32282" s="889"/>
    </row>
    <row r="32283" spans="7:7" ht="10.5" customHeight="1" x14ac:dyDescent="0.2">
      <c r="G32283" s="889"/>
    </row>
    <row r="32284" spans="7:7" ht="10.5" customHeight="1" x14ac:dyDescent="0.2">
      <c r="G32284" s="889"/>
    </row>
    <row r="32285" spans="7:7" ht="10.5" customHeight="1" x14ac:dyDescent="0.2">
      <c r="G32285" s="889"/>
    </row>
    <row r="32286" spans="7:7" ht="10.5" customHeight="1" x14ac:dyDescent="0.2">
      <c r="G32286" s="889"/>
    </row>
    <row r="32287" spans="7:7" ht="10.5" customHeight="1" x14ac:dyDescent="0.2">
      <c r="G32287" s="889"/>
    </row>
    <row r="32288" spans="7:7" ht="10.5" customHeight="1" x14ac:dyDescent="0.2">
      <c r="G32288" s="889"/>
    </row>
    <row r="32289" spans="7:7" ht="10.5" customHeight="1" x14ac:dyDescent="0.2">
      <c r="G32289" s="889"/>
    </row>
    <row r="32290" spans="7:7" ht="10.5" customHeight="1" x14ac:dyDescent="0.2">
      <c r="G32290" s="889"/>
    </row>
    <row r="32291" spans="7:7" ht="10.5" customHeight="1" x14ac:dyDescent="0.2">
      <c r="G32291" s="889"/>
    </row>
    <row r="32292" spans="7:7" ht="10.5" customHeight="1" x14ac:dyDescent="0.2">
      <c r="G32292" s="889"/>
    </row>
    <row r="32293" spans="7:7" ht="10.5" customHeight="1" x14ac:dyDescent="0.2">
      <c r="G32293" s="889"/>
    </row>
    <row r="32294" spans="7:7" ht="10.5" customHeight="1" x14ac:dyDescent="0.2">
      <c r="G32294" s="889"/>
    </row>
    <row r="32295" spans="7:7" ht="10.5" customHeight="1" x14ac:dyDescent="0.2">
      <c r="G32295" s="889"/>
    </row>
    <row r="32296" spans="7:7" ht="10.5" customHeight="1" x14ac:dyDescent="0.2">
      <c r="G32296" s="889"/>
    </row>
    <row r="32297" spans="7:7" ht="10.5" customHeight="1" x14ac:dyDescent="0.2">
      <c r="G32297" s="889"/>
    </row>
    <row r="32298" spans="7:7" ht="10.5" customHeight="1" x14ac:dyDescent="0.2">
      <c r="G32298" s="889"/>
    </row>
    <row r="32299" spans="7:7" ht="10.5" customHeight="1" x14ac:dyDescent="0.2">
      <c r="G32299" s="889"/>
    </row>
    <row r="32300" spans="7:7" ht="10.5" customHeight="1" x14ac:dyDescent="0.2">
      <c r="G32300" s="889"/>
    </row>
    <row r="32301" spans="7:7" ht="10.5" customHeight="1" x14ac:dyDescent="0.2">
      <c r="G32301" s="889"/>
    </row>
    <row r="32302" spans="7:7" ht="10.5" customHeight="1" x14ac:dyDescent="0.2">
      <c r="G32302" s="889"/>
    </row>
    <row r="32303" spans="7:7" ht="10.5" customHeight="1" x14ac:dyDescent="0.2">
      <c r="G32303" s="889"/>
    </row>
    <row r="32304" spans="7:7" ht="10.5" customHeight="1" x14ac:dyDescent="0.2">
      <c r="G32304" s="889"/>
    </row>
    <row r="32305" spans="7:7" ht="10.5" customHeight="1" x14ac:dyDescent="0.2">
      <c r="G32305" s="889"/>
    </row>
    <row r="32306" spans="7:7" ht="10.5" customHeight="1" x14ac:dyDescent="0.2">
      <c r="G32306" s="889"/>
    </row>
    <row r="32307" spans="7:7" ht="10.5" customHeight="1" x14ac:dyDescent="0.2">
      <c r="G32307" s="889"/>
    </row>
    <row r="32308" spans="7:7" ht="10.5" customHeight="1" x14ac:dyDescent="0.2">
      <c r="G32308" s="889"/>
    </row>
    <row r="32309" spans="7:7" ht="10.5" customHeight="1" x14ac:dyDescent="0.2">
      <c r="G32309" s="889"/>
    </row>
    <row r="32310" spans="7:7" ht="10.5" customHeight="1" x14ac:dyDescent="0.2">
      <c r="G32310" s="889"/>
    </row>
    <row r="32311" spans="7:7" ht="10.5" customHeight="1" x14ac:dyDescent="0.2">
      <c r="G32311" s="889"/>
    </row>
    <row r="32312" spans="7:7" ht="10.5" customHeight="1" x14ac:dyDescent="0.2">
      <c r="G32312" s="889"/>
    </row>
    <row r="32313" spans="7:7" ht="10.5" customHeight="1" x14ac:dyDescent="0.2">
      <c r="G32313" s="889"/>
    </row>
    <row r="32314" spans="7:7" ht="10.5" customHeight="1" x14ac:dyDescent="0.2">
      <c r="G32314" s="889"/>
    </row>
    <row r="32315" spans="7:7" ht="10.5" customHeight="1" x14ac:dyDescent="0.2">
      <c r="G32315" s="889"/>
    </row>
    <row r="32316" spans="7:7" ht="10.5" customHeight="1" x14ac:dyDescent="0.2">
      <c r="G32316" s="889"/>
    </row>
    <row r="32317" spans="7:7" ht="10.5" customHeight="1" x14ac:dyDescent="0.2">
      <c r="G32317" s="889"/>
    </row>
    <row r="32318" spans="7:7" ht="10.5" customHeight="1" x14ac:dyDescent="0.2">
      <c r="G32318" s="889"/>
    </row>
    <row r="32319" spans="7:7" ht="10.5" customHeight="1" x14ac:dyDescent="0.2">
      <c r="G32319" s="889"/>
    </row>
    <row r="32320" spans="7:7" ht="10.5" customHeight="1" x14ac:dyDescent="0.2">
      <c r="G32320" s="889"/>
    </row>
    <row r="32321" spans="7:7" ht="10.5" customHeight="1" x14ac:dyDescent="0.2">
      <c r="G32321" s="889"/>
    </row>
    <row r="32322" spans="7:7" ht="10.5" customHeight="1" x14ac:dyDescent="0.2">
      <c r="G32322" s="889"/>
    </row>
    <row r="32323" spans="7:7" ht="10.5" customHeight="1" x14ac:dyDescent="0.2">
      <c r="G32323" s="889"/>
    </row>
    <row r="32324" spans="7:7" ht="10.5" customHeight="1" x14ac:dyDescent="0.2">
      <c r="G32324" s="889"/>
    </row>
    <row r="32325" spans="7:7" ht="10.5" customHeight="1" x14ac:dyDescent="0.2">
      <c r="G32325" s="889"/>
    </row>
    <row r="32326" spans="7:7" ht="10.5" customHeight="1" x14ac:dyDescent="0.2">
      <c r="G32326" s="889"/>
    </row>
    <row r="32327" spans="7:7" ht="10.5" customHeight="1" x14ac:dyDescent="0.2">
      <c r="G32327" s="889"/>
    </row>
    <row r="32328" spans="7:7" ht="10.5" customHeight="1" x14ac:dyDescent="0.2">
      <c r="G32328" s="889"/>
    </row>
    <row r="32329" spans="7:7" ht="10.5" customHeight="1" x14ac:dyDescent="0.2">
      <c r="G32329" s="889"/>
    </row>
    <row r="32330" spans="7:7" ht="10.5" customHeight="1" x14ac:dyDescent="0.2">
      <c r="G32330" s="889"/>
    </row>
    <row r="32331" spans="7:7" ht="10.5" customHeight="1" x14ac:dyDescent="0.2">
      <c r="G32331" s="889"/>
    </row>
    <row r="32332" spans="7:7" ht="10.5" customHeight="1" x14ac:dyDescent="0.2">
      <c r="G32332" s="889"/>
    </row>
    <row r="32333" spans="7:7" ht="10.5" customHeight="1" x14ac:dyDescent="0.2">
      <c r="G32333" s="889"/>
    </row>
    <row r="32334" spans="7:7" ht="10.5" customHeight="1" x14ac:dyDescent="0.2">
      <c r="G32334" s="889"/>
    </row>
    <row r="32335" spans="7:7" ht="10.5" customHeight="1" x14ac:dyDescent="0.2">
      <c r="G32335" s="889"/>
    </row>
    <row r="32336" spans="7:7" ht="10.5" customHeight="1" x14ac:dyDescent="0.2">
      <c r="G32336" s="889"/>
    </row>
    <row r="32337" spans="7:7" ht="10.5" customHeight="1" x14ac:dyDescent="0.2">
      <c r="G32337" s="889"/>
    </row>
    <row r="32338" spans="7:7" ht="10.5" customHeight="1" x14ac:dyDescent="0.2">
      <c r="G32338" s="889"/>
    </row>
    <row r="32339" spans="7:7" ht="10.5" customHeight="1" x14ac:dyDescent="0.2">
      <c r="G32339" s="889"/>
    </row>
    <row r="32340" spans="7:7" ht="10.5" customHeight="1" x14ac:dyDescent="0.2">
      <c r="G32340" s="889"/>
    </row>
    <row r="32341" spans="7:7" ht="10.5" customHeight="1" x14ac:dyDescent="0.2">
      <c r="G32341" s="889"/>
    </row>
    <row r="32342" spans="7:7" ht="10.5" customHeight="1" x14ac:dyDescent="0.2">
      <c r="G32342" s="889"/>
    </row>
    <row r="32343" spans="7:7" ht="10.5" customHeight="1" x14ac:dyDescent="0.2">
      <c r="G32343" s="889"/>
    </row>
    <row r="32344" spans="7:7" ht="10.5" customHeight="1" x14ac:dyDescent="0.2">
      <c r="G32344" s="889"/>
    </row>
    <row r="32345" spans="7:7" ht="10.5" customHeight="1" x14ac:dyDescent="0.2">
      <c r="G32345" s="889"/>
    </row>
    <row r="32346" spans="7:7" ht="10.5" customHeight="1" x14ac:dyDescent="0.2">
      <c r="G32346" s="889"/>
    </row>
    <row r="32347" spans="7:7" ht="10.5" customHeight="1" x14ac:dyDescent="0.2">
      <c r="G32347" s="889"/>
    </row>
    <row r="32348" spans="7:7" ht="10.5" customHeight="1" x14ac:dyDescent="0.2">
      <c r="G32348" s="889"/>
    </row>
    <row r="32349" spans="7:7" ht="10.5" customHeight="1" x14ac:dyDescent="0.2">
      <c r="G32349" s="889"/>
    </row>
    <row r="32350" spans="7:7" ht="10.5" customHeight="1" x14ac:dyDescent="0.2">
      <c r="G32350" s="889"/>
    </row>
    <row r="32351" spans="7:7" ht="10.5" customHeight="1" x14ac:dyDescent="0.2">
      <c r="G32351" s="889"/>
    </row>
    <row r="32352" spans="7:7" ht="10.5" customHeight="1" x14ac:dyDescent="0.2">
      <c r="G32352" s="889"/>
    </row>
    <row r="32353" spans="7:7" ht="10.5" customHeight="1" x14ac:dyDescent="0.2">
      <c r="G32353" s="889"/>
    </row>
    <row r="32354" spans="7:7" ht="10.5" customHeight="1" x14ac:dyDescent="0.2">
      <c r="G32354" s="889"/>
    </row>
    <row r="32355" spans="7:7" ht="10.5" customHeight="1" x14ac:dyDescent="0.2">
      <c r="G32355" s="889"/>
    </row>
    <row r="32356" spans="7:7" ht="10.5" customHeight="1" x14ac:dyDescent="0.2">
      <c r="G32356" s="889"/>
    </row>
    <row r="32357" spans="7:7" ht="10.5" customHeight="1" x14ac:dyDescent="0.2">
      <c r="G32357" s="889"/>
    </row>
    <row r="32358" spans="7:7" ht="10.5" customHeight="1" x14ac:dyDescent="0.2">
      <c r="G32358" s="889"/>
    </row>
    <row r="32359" spans="7:7" ht="10.5" customHeight="1" x14ac:dyDescent="0.2">
      <c r="G32359" s="889"/>
    </row>
    <row r="32360" spans="7:7" ht="10.5" customHeight="1" x14ac:dyDescent="0.2">
      <c r="G32360" s="889"/>
    </row>
    <row r="32361" spans="7:7" ht="10.5" customHeight="1" x14ac:dyDescent="0.2">
      <c r="G32361" s="889"/>
    </row>
    <row r="32362" spans="7:7" ht="10.5" customHeight="1" x14ac:dyDescent="0.2">
      <c r="G32362" s="889"/>
    </row>
    <row r="32363" spans="7:7" ht="10.5" customHeight="1" x14ac:dyDescent="0.2">
      <c r="G32363" s="889"/>
    </row>
    <row r="32364" spans="7:7" ht="10.5" customHeight="1" x14ac:dyDescent="0.2">
      <c r="G32364" s="889"/>
    </row>
    <row r="32365" spans="7:7" ht="10.5" customHeight="1" x14ac:dyDescent="0.2">
      <c r="G32365" s="889"/>
    </row>
    <row r="32366" spans="7:7" ht="10.5" customHeight="1" x14ac:dyDescent="0.2">
      <c r="G32366" s="889"/>
    </row>
    <row r="32367" spans="7:7" ht="10.5" customHeight="1" x14ac:dyDescent="0.2">
      <c r="G32367" s="889"/>
    </row>
    <row r="32368" spans="7:7" ht="10.5" customHeight="1" x14ac:dyDescent="0.2">
      <c r="G32368" s="889"/>
    </row>
    <row r="32369" spans="7:7" ht="10.5" customHeight="1" x14ac:dyDescent="0.2">
      <c r="G32369" s="889"/>
    </row>
    <row r="32370" spans="7:7" ht="10.5" customHeight="1" x14ac:dyDescent="0.2">
      <c r="G32370" s="889"/>
    </row>
    <row r="32371" spans="7:7" ht="10.5" customHeight="1" x14ac:dyDescent="0.2">
      <c r="G32371" s="889"/>
    </row>
    <row r="32372" spans="7:7" ht="10.5" customHeight="1" x14ac:dyDescent="0.2">
      <c r="G32372" s="889"/>
    </row>
    <row r="32373" spans="7:7" ht="10.5" customHeight="1" x14ac:dyDescent="0.2">
      <c r="G32373" s="889"/>
    </row>
    <row r="32374" spans="7:7" ht="10.5" customHeight="1" x14ac:dyDescent="0.2">
      <c r="G32374" s="889"/>
    </row>
    <row r="32375" spans="7:7" ht="10.5" customHeight="1" x14ac:dyDescent="0.2">
      <c r="G32375" s="889"/>
    </row>
    <row r="32376" spans="7:7" ht="10.5" customHeight="1" x14ac:dyDescent="0.2">
      <c r="G32376" s="889"/>
    </row>
    <row r="32377" spans="7:7" ht="10.5" customHeight="1" x14ac:dyDescent="0.2">
      <c r="G32377" s="889"/>
    </row>
    <row r="32378" spans="7:7" ht="10.5" customHeight="1" x14ac:dyDescent="0.2">
      <c r="G32378" s="889"/>
    </row>
    <row r="32379" spans="7:7" ht="10.5" customHeight="1" x14ac:dyDescent="0.2">
      <c r="G32379" s="889"/>
    </row>
    <row r="32380" spans="7:7" ht="10.5" customHeight="1" x14ac:dyDescent="0.2">
      <c r="G32380" s="889"/>
    </row>
    <row r="32381" spans="7:7" ht="10.5" customHeight="1" x14ac:dyDescent="0.2">
      <c r="G32381" s="889"/>
    </row>
    <row r="32382" spans="7:7" ht="10.5" customHeight="1" x14ac:dyDescent="0.2">
      <c r="G32382" s="889"/>
    </row>
    <row r="32383" spans="7:7" ht="10.5" customHeight="1" x14ac:dyDescent="0.2">
      <c r="G32383" s="889"/>
    </row>
    <row r="32384" spans="7:7" ht="10.5" customHeight="1" x14ac:dyDescent="0.2">
      <c r="G32384" s="889"/>
    </row>
    <row r="32385" spans="7:7" ht="10.5" customHeight="1" x14ac:dyDescent="0.2">
      <c r="G32385" s="889"/>
    </row>
    <row r="32386" spans="7:7" ht="10.5" customHeight="1" x14ac:dyDescent="0.2">
      <c r="G32386" s="889"/>
    </row>
    <row r="32387" spans="7:7" ht="10.5" customHeight="1" x14ac:dyDescent="0.2">
      <c r="G32387" s="889"/>
    </row>
    <row r="32388" spans="7:7" ht="10.5" customHeight="1" x14ac:dyDescent="0.2">
      <c r="G32388" s="889"/>
    </row>
    <row r="32389" spans="7:7" ht="10.5" customHeight="1" x14ac:dyDescent="0.2">
      <c r="G32389" s="889"/>
    </row>
    <row r="32390" spans="7:7" ht="10.5" customHeight="1" x14ac:dyDescent="0.2">
      <c r="G32390" s="889"/>
    </row>
    <row r="32391" spans="7:7" ht="10.5" customHeight="1" x14ac:dyDescent="0.2">
      <c r="G32391" s="889"/>
    </row>
    <row r="32392" spans="7:7" ht="10.5" customHeight="1" x14ac:dyDescent="0.2">
      <c r="G32392" s="889"/>
    </row>
    <row r="32393" spans="7:7" ht="10.5" customHeight="1" x14ac:dyDescent="0.2">
      <c r="G32393" s="889"/>
    </row>
    <row r="32394" spans="7:7" ht="10.5" customHeight="1" x14ac:dyDescent="0.2">
      <c r="G32394" s="889"/>
    </row>
    <row r="32395" spans="7:7" ht="10.5" customHeight="1" x14ac:dyDescent="0.2">
      <c r="G32395" s="889"/>
    </row>
    <row r="32396" spans="7:7" ht="10.5" customHeight="1" x14ac:dyDescent="0.2">
      <c r="G32396" s="889"/>
    </row>
    <row r="32397" spans="7:7" ht="10.5" customHeight="1" x14ac:dyDescent="0.2">
      <c r="G32397" s="889"/>
    </row>
    <row r="32398" spans="7:7" ht="10.5" customHeight="1" x14ac:dyDescent="0.2">
      <c r="G32398" s="889"/>
    </row>
    <row r="32399" spans="7:7" ht="10.5" customHeight="1" x14ac:dyDescent="0.2">
      <c r="G32399" s="889"/>
    </row>
    <row r="32400" spans="7:7" ht="10.5" customHeight="1" x14ac:dyDescent="0.2">
      <c r="G32400" s="889"/>
    </row>
    <row r="32401" spans="7:7" ht="10.5" customHeight="1" x14ac:dyDescent="0.2">
      <c r="G32401" s="889"/>
    </row>
    <row r="32402" spans="7:7" ht="10.5" customHeight="1" x14ac:dyDescent="0.2">
      <c r="G32402" s="889"/>
    </row>
    <row r="32403" spans="7:7" ht="10.5" customHeight="1" x14ac:dyDescent="0.2">
      <c r="G32403" s="889"/>
    </row>
    <row r="32404" spans="7:7" ht="10.5" customHeight="1" x14ac:dyDescent="0.2">
      <c r="G32404" s="889"/>
    </row>
    <row r="32405" spans="7:7" ht="10.5" customHeight="1" x14ac:dyDescent="0.2">
      <c r="G32405" s="889"/>
    </row>
    <row r="32406" spans="7:7" ht="10.5" customHeight="1" x14ac:dyDescent="0.2">
      <c r="G32406" s="889"/>
    </row>
    <row r="32407" spans="7:7" ht="10.5" customHeight="1" x14ac:dyDescent="0.2">
      <c r="G32407" s="889"/>
    </row>
    <row r="32408" spans="7:7" ht="10.5" customHeight="1" x14ac:dyDescent="0.2">
      <c r="G32408" s="889"/>
    </row>
    <row r="32409" spans="7:7" ht="10.5" customHeight="1" x14ac:dyDescent="0.2">
      <c r="G32409" s="889"/>
    </row>
    <row r="32410" spans="7:7" ht="10.5" customHeight="1" x14ac:dyDescent="0.2">
      <c r="G32410" s="889"/>
    </row>
    <row r="32411" spans="7:7" ht="10.5" customHeight="1" x14ac:dyDescent="0.2">
      <c r="G32411" s="889"/>
    </row>
    <row r="32412" spans="7:7" ht="10.5" customHeight="1" x14ac:dyDescent="0.2">
      <c r="G32412" s="889"/>
    </row>
    <row r="32413" spans="7:7" ht="10.5" customHeight="1" x14ac:dyDescent="0.2">
      <c r="G32413" s="889"/>
    </row>
    <row r="32414" spans="7:7" ht="10.5" customHeight="1" x14ac:dyDescent="0.2">
      <c r="G32414" s="889"/>
    </row>
    <row r="32415" spans="7:7" ht="10.5" customHeight="1" x14ac:dyDescent="0.2">
      <c r="G32415" s="889"/>
    </row>
    <row r="32416" spans="7:7" ht="10.5" customHeight="1" x14ac:dyDescent="0.2">
      <c r="G32416" s="889"/>
    </row>
    <row r="32417" spans="7:7" ht="10.5" customHeight="1" x14ac:dyDescent="0.2">
      <c r="G32417" s="889"/>
    </row>
    <row r="32418" spans="7:7" ht="10.5" customHeight="1" x14ac:dyDescent="0.2">
      <c r="G32418" s="889"/>
    </row>
    <row r="32419" spans="7:7" ht="10.5" customHeight="1" x14ac:dyDescent="0.2">
      <c r="G32419" s="889"/>
    </row>
    <row r="32420" spans="7:7" ht="10.5" customHeight="1" x14ac:dyDescent="0.2">
      <c r="G32420" s="889"/>
    </row>
    <row r="32421" spans="7:7" ht="10.5" customHeight="1" x14ac:dyDescent="0.2">
      <c r="G32421" s="889"/>
    </row>
    <row r="32422" spans="7:7" ht="10.5" customHeight="1" x14ac:dyDescent="0.2">
      <c r="G32422" s="889"/>
    </row>
    <row r="32423" spans="7:7" ht="10.5" customHeight="1" x14ac:dyDescent="0.2">
      <c r="G32423" s="889"/>
    </row>
    <row r="32424" spans="7:7" ht="10.5" customHeight="1" x14ac:dyDescent="0.2">
      <c r="G32424" s="889"/>
    </row>
    <row r="32425" spans="7:7" ht="10.5" customHeight="1" x14ac:dyDescent="0.2">
      <c r="G32425" s="889"/>
    </row>
    <row r="32426" spans="7:7" ht="10.5" customHeight="1" x14ac:dyDescent="0.2">
      <c r="G32426" s="889"/>
    </row>
    <row r="32427" spans="7:7" ht="10.5" customHeight="1" x14ac:dyDescent="0.2">
      <c r="G32427" s="889"/>
    </row>
    <row r="32428" spans="7:7" ht="10.5" customHeight="1" x14ac:dyDescent="0.2">
      <c r="G32428" s="889"/>
    </row>
    <row r="32429" spans="7:7" ht="10.5" customHeight="1" x14ac:dyDescent="0.2">
      <c r="G32429" s="889"/>
    </row>
    <row r="32430" spans="7:7" ht="10.5" customHeight="1" x14ac:dyDescent="0.2">
      <c r="G32430" s="889"/>
    </row>
    <row r="32431" spans="7:7" ht="10.5" customHeight="1" x14ac:dyDescent="0.2">
      <c r="G32431" s="889"/>
    </row>
    <row r="32432" spans="7:7" ht="10.5" customHeight="1" x14ac:dyDescent="0.2">
      <c r="G32432" s="889"/>
    </row>
    <row r="32433" spans="7:7" ht="10.5" customHeight="1" x14ac:dyDescent="0.2">
      <c r="G32433" s="889"/>
    </row>
    <row r="32434" spans="7:7" ht="10.5" customHeight="1" x14ac:dyDescent="0.2">
      <c r="G32434" s="889"/>
    </row>
    <row r="32435" spans="7:7" ht="10.5" customHeight="1" x14ac:dyDescent="0.2">
      <c r="G32435" s="889"/>
    </row>
    <row r="32436" spans="7:7" ht="10.5" customHeight="1" x14ac:dyDescent="0.2">
      <c r="G32436" s="889"/>
    </row>
    <row r="32437" spans="7:7" ht="10.5" customHeight="1" x14ac:dyDescent="0.2">
      <c r="G32437" s="889"/>
    </row>
    <row r="32438" spans="7:7" ht="10.5" customHeight="1" x14ac:dyDescent="0.2">
      <c r="G32438" s="889"/>
    </row>
    <row r="32439" spans="7:7" ht="10.5" customHeight="1" x14ac:dyDescent="0.2">
      <c r="G32439" s="889"/>
    </row>
    <row r="32440" spans="7:7" ht="10.5" customHeight="1" x14ac:dyDescent="0.2">
      <c r="G32440" s="889"/>
    </row>
    <row r="32441" spans="7:7" ht="10.5" customHeight="1" x14ac:dyDescent="0.2">
      <c r="G32441" s="889"/>
    </row>
    <row r="32442" spans="7:7" ht="10.5" customHeight="1" x14ac:dyDescent="0.2">
      <c r="G32442" s="889"/>
    </row>
    <row r="32443" spans="7:7" ht="10.5" customHeight="1" x14ac:dyDescent="0.2">
      <c r="G32443" s="889"/>
    </row>
    <row r="32444" spans="7:7" ht="10.5" customHeight="1" x14ac:dyDescent="0.2">
      <c r="G32444" s="889"/>
    </row>
    <row r="32445" spans="7:7" ht="10.5" customHeight="1" x14ac:dyDescent="0.2">
      <c r="G32445" s="889"/>
    </row>
    <row r="32446" spans="7:7" ht="10.5" customHeight="1" x14ac:dyDescent="0.2">
      <c r="G32446" s="889"/>
    </row>
    <row r="32447" spans="7:7" ht="10.5" customHeight="1" x14ac:dyDescent="0.2">
      <c r="G32447" s="889"/>
    </row>
    <row r="32448" spans="7:7" ht="10.5" customHeight="1" x14ac:dyDescent="0.2">
      <c r="G32448" s="889"/>
    </row>
    <row r="32449" spans="7:7" ht="10.5" customHeight="1" x14ac:dyDescent="0.2">
      <c r="G32449" s="889"/>
    </row>
    <row r="32450" spans="7:7" ht="10.5" customHeight="1" x14ac:dyDescent="0.2">
      <c r="G32450" s="889"/>
    </row>
    <row r="32451" spans="7:7" ht="10.5" customHeight="1" x14ac:dyDescent="0.2">
      <c r="G32451" s="889"/>
    </row>
    <row r="32452" spans="7:7" ht="10.5" customHeight="1" x14ac:dyDescent="0.2">
      <c r="G32452" s="889"/>
    </row>
    <row r="32453" spans="7:7" ht="10.5" customHeight="1" x14ac:dyDescent="0.2">
      <c r="G32453" s="889"/>
    </row>
    <row r="32454" spans="7:7" ht="10.5" customHeight="1" x14ac:dyDescent="0.2">
      <c r="G32454" s="889"/>
    </row>
    <row r="32455" spans="7:7" ht="10.5" customHeight="1" x14ac:dyDescent="0.2">
      <c r="G32455" s="889"/>
    </row>
    <row r="32456" spans="7:7" ht="10.5" customHeight="1" x14ac:dyDescent="0.2">
      <c r="G32456" s="889"/>
    </row>
    <row r="32457" spans="7:7" ht="10.5" customHeight="1" x14ac:dyDescent="0.2">
      <c r="G32457" s="889"/>
    </row>
    <row r="32458" spans="7:7" ht="10.5" customHeight="1" x14ac:dyDescent="0.2">
      <c r="G32458" s="889"/>
    </row>
    <row r="32459" spans="7:7" ht="10.5" customHeight="1" x14ac:dyDescent="0.2">
      <c r="G32459" s="889"/>
    </row>
    <row r="32460" spans="7:7" ht="10.5" customHeight="1" x14ac:dyDescent="0.2">
      <c r="G32460" s="889"/>
    </row>
    <row r="32461" spans="7:7" ht="10.5" customHeight="1" x14ac:dyDescent="0.2">
      <c r="G32461" s="889"/>
    </row>
    <row r="32462" spans="7:7" ht="10.5" customHeight="1" x14ac:dyDescent="0.2">
      <c r="G32462" s="889"/>
    </row>
    <row r="32463" spans="7:7" ht="10.5" customHeight="1" x14ac:dyDescent="0.2">
      <c r="G32463" s="889"/>
    </row>
    <row r="32464" spans="7:7" ht="10.5" customHeight="1" x14ac:dyDescent="0.2">
      <c r="G32464" s="889"/>
    </row>
    <row r="32465" spans="7:7" ht="10.5" customHeight="1" x14ac:dyDescent="0.2">
      <c r="G32465" s="889"/>
    </row>
    <row r="32466" spans="7:7" ht="10.5" customHeight="1" x14ac:dyDescent="0.2">
      <c r="G32466" s="889"/>
    </row>
    <row r="32467" spans="7:7" ht="10.5" customHeight="1" x14ac:dyDescent="0.2">
      <c r="G32467" s="889"/>
    </row>
    <row r="32468" spans="7:7" ht="10.5" customHeight="1" x14ac:dyDescent="0.2">
      <c r="G32468" s="889"/>
    </row>
    <row r="32469" spans="7:7" ht="10.5" customHeight="1" x14ac:dyDescent="0.2">
      <c r="G32469" s="889"/>
    </row>
    <row r="32470" spans="7:7" ht="10.5" customHeight="1" x14ac:dyDescent="0.2">
      <c r="G32470" s="889"/>
    </row>
    <row r="32471" spans="7:7" ht="10.5" customHeight="1" x14ac:dyDescent="0.2">
      <c r="G32471" s="889"/>
    </row>
    <row r="32472" spans="7:7" ht="10.5" customHeight="1" x14ac:dyDescent="0.2">
      <c r="G32472" s="889"/>
    </row>
    <row r="32473" spans="7:7" ht="10.5" customHeight="1" x14ac:dyDescent="0.2">
      <c r="G32473" s="889"/>
    </row>
    <row r="32474" spans="7:7" ht="10.5" customHeight="1" x14ac:dyDescent="0.2">
      <c r="G32474" s="889"/>
    </row>
    <row r="32475" spans="7:7" ht="10.5" customHeight="1" x14ac:dyDescent="0.2">
      <c r="G32475" s="889"/>
    </row>
    <row r="32476" spans="7:7" ht="10.5" customHeight="1" x14ac:dyDescent="0.2">
      <c r="G32476" s="889"/>
    </row>
    <row r="32477" spans="7:7" ht="10.5" customHeight="1" x14ac:dyDescent="0.2">
      <c r="G32477" s="889"/>
    </row>
    <row r="32478" spans="7:7" ht="10.5" customHeight="1" x14ac:dyDescent="0.2">
      <c r="G32478" s="889"/>
    </row>
    <row r="32479" spans="7:7" ht="10.5" customHeight="1" x14ac:dyDescent="0.2">
      <c r="G32479" s="889"/>
    </row>
    <row r="32480" spans="7:7" ht="10.5" customHeight="1" x14ac:dyDescent="0.2">
      <c r="G32480" s="889"/>
    </row>
    <row r="32481" spans="7:7" ht="10.5" customHeight="1" x14ac:dyDescent="0.2">
      <c r="G32481" s="889"/>
    </row>
    <row r="32482" spans="7:7" ht="10.5" customHeight="1" x14ac:dyDescent="0.2">
      <c r="G32482" s="889"/>
    </row>
    <row r="32483" spans="7:7" ht="10.5" customHeight="1" x14ac:dyDescent="0.2">
      <c r="G32483" s="889"/>
    </row>
    <row r="32484" spans="7:7" ht="10.5" customHeight="1" x14ac:dyDescent="0.2">
      <c r="G32484" s="889"/>
    </row>
    <row r="32485" spans="7:7" ht="10.5" customHeight="1" x14ac:dyDescent="0.2">
      <c r="G32485" s="889"/>
    </row>
    <row r="32486" spans="7:7" ht="10.5" customHeight="1" x14ac:dyDescent="0.2">
      <c r="G32486" s="889"/>
    </row>
    <row r="32487" spans="7:7" ht="10.5" customHeight="1" x14ac:dyDescent="0.2">
      <c r="G32487" s="889"/>
    </row>
    <row r="32488" spans="7:7" ht="10.5" customHeight="1" x14ac:dyDescent="0.2">
      <c r="G32488" s="889"/>
    </row>
    <row r="32489" spans="7:7" ht="10.5" customHeight="1" x14ac:dyDescent="0.2">
      <c r="G32489" s="889"/>
    </row>
    <row r="32490" spans="7:7" ht="10.5" customHeight="1" x14ac:dyDescent="0.2">
      <c r="G32490" s="889"/>
    </row>
    <row r="32491" spans="7:7" ht="10.5" customHeight="1" x14ac:dyDescent="0.2">
      <c r="G32491" s="889"/>
    </row>
    <row r="32492" spans="7:7" ht="10.5" customHeight="1" x14ac:dyDescent="0.2">
      <c r="G32492" s="889"/>
    </row>
    <row r="32493" spans="7:7" ht="10.5" customHeight="1" x14ac:dyDescent="0.2">
      <c r="G32493" s="889"/>
    </row>
    <row r="32494" spans="7:7" ht="10.5" customHeight="1" x14ac:dyDescent="0.2">
      <c r="G32494" s="889"/>
    </row>
    <row r="32495" spans="7:7" ht="10.5" customHeight="1" x14ac:dyDescent="0.2">
      <c r="G32495" s="889"/>
    </row>
    <row r="32496" spans="7:7" ht="10.5" customHeight="1" x14ac:dyDescent="0.2">
      <c r="G32496" s="889"/>
    </row>
    <row r="32497" spans="7:7" ht="10.5" customHeight="1" x14ac:dyDescent="0.2">
      <c r="G32497" s="889"/>
    </row>
    <row r="32498" spans="7:7" ht="10.5" customHeight="1" x14ac:dyDescent="0.2">
      <c r="G32498" s="889"/>
    </row>
    <row r="32499" spans="7:7" ht="10.5" customHeight="1" x14ac:dyDescent="0.2">
      <c r="G32499" s="889"/>
    </row>
    <row r="32500" spans="7:7" ht="10.5" customHeight="1" x14ac:dyDescent="0.2">
      <c r="G32500" s="889"/>
    </row>
    <row r="32501" spans="7:7" ht="10.5" customHeight="1" x14ac:dyDescent="0.2">
      <c r="G32501" s="889"/>
    </row>
    <row r="32502" spans="7:7" ht="10.5" customHeight="1" x14ac:dyDescent="0.2">
      <c r="G32502" s="889"/>
    </row>
    <row r="32503" spans="7:7" ht="10.5" customHeight="1" x14ac:dyDescent="0.2">
      <c r="G32503" s="889"/>
    </row>
    <row r="32504" spans="7:7" ht="10.5" customHeight="1" x14ac:dyDescent="0.2">
      <c r="G32504" s="889"/>
    </row>
    <row r="32505" spans="7:7" ht="10.5" customHeight="1" x14ac:dyDescent="0.2">
      <c r="G32505" s="889"/>
    </row>
    <row r="32506" spans="7:7" ht="10.5" customHeight="1" x14ac:dyDescent="0.2">
      <c r="G32506" s="889"/>
    </row>
    <row r="32507" spans="7:7" ht="10.5" customHeight="1" x14ac:dyDescent="0.2">
      <c r="G32507" s="889"/>
    </row>
    <row r="32508" spans="7:7" ht="10.5" customHeight="1" x14ac:dyDescent="0.2">
      <c r="G32508" s="889"/>
    </row>
    <row r="32509" spans="7:7" ht="10.5" customHeight="1" x14ac:dyDescent="0.2">
      <c r="G32509" s="889"/>
    </row>
    <row r="32510" spans="7:7" ht="10.5" customHeight="1" x14ac:dyDescent="0.2">
      <c r="G32510" s="889"/>
    </row>
    <row r="32511" spans="7:7" ht="10.5" customHeight="1" x14ac:dyDescent="0.2">
      <c r="G32511" s="889"/>
    </row>
    <row r="32512" spans="7:7" ht="10.5" customHeight="1" x14ac:dyDescent="0.2">
      <c r="G32512" s="889"/>
    </row>
    <row r="32513" spans="7:7" ht="10.5" customHeight="1" x14ac:dyDescent="0.2">
      <c r="G32513" s="889"/>
    </row>
    <row r="32514" spans="7:7" ht="10.5" customHeight="1" x14ac:dyDescent="0.2">
      <c r="G32514" s="889"/>
    </row>
    <row r="32515" spans="7:7" ht="10.5" customHeight="1" x14ac:dyDescent="0.2">
      <c r="G32515" s="889"/>
    </row>
    <row r="32516" spans="7:7" ht="10.5" customHeight="1" x14ac:dyDescent="0.2">
      <c r="G32516" s="889"/>
    </row>
    <row r="32517" spans="7:7" ht="10.5" customHeight="1" x14ac:dyDescent="0.2">
      <c r="G32517" s="889"/>
    </row>
    <row r="32518" spans="7:7" ht="10.5" customHeight="1" x14ac:dyDescent="0.2">
      <c r="G32518" s="889"/>
    </row>
    <row r="32519" spans="7:7" ht="10.5" customHeight="1" x14ac:dyDescent="0.2">
      <c r="G32519" s="889"/>
    </row>
    <row r="32520" spans="7:7" ht="10.5" customHeight="1" x14ac:dyDescent="0.2">
      <c r="G32520" s="889"/>
    </row>
    <row r="32521" spans="7:7" ht="10.5" customHeight="1" x14ac:dyDescent="0.2">
      <c r="G32521" s="889"/>
    </row>
    <row r="32522" spans="7:7" ht="10.5" customHeight="1" x14ac:dyDescent="0.2">
      <c r="G32522" s="889"/>
    </row>
    <row r="32523" spans="7:7" ht="10.5" customHeight="1" x14ac:dyDescent="0.2">
      <c r="G32523" s="889"/>
    </row>
    <row r="32524" spans="7:7" ht="10.5" customHeight="1" x14ac:dyDescent="0.2">
      <c r="G32524" s="889"/>
    </row>
    <row r="32525" spans="7:7" ht="10.5" customHeight="1" x14ac:dyDescent="0.2">
      <c r="G32525" s="889"/>
    </row>
    <row r="32526" spans="7:7" ht="10.5" customHeight="1" x14ac:dyDescent="0.2">
      <c r="G32526" s="889"/>
    </row>
    <row r="32527" spans="7:7" ht="10.5" customHeight="1" x14ac:dyDescent="0.2">
      <c r="G32527" s="889"/>
    </row>
    <row r="32528" spans="7:7" ht="10.5" customHeight="1" x14ac:dyDescent="0.2">
      <c r="G32528" s="889"/>
    </row>
    <row r="32529" spans="7:7" ht="10.5" customHeight="1" x14ac:dyDescent="0.2">
      <c r="G32529" s="889"/>
    </row>
    <row r="32530" spans="7:7" ht="10.5" customHeight="1" x14ac:dyDescent="0.2">
      <c r="G32530" s="889"/>
    </row>
    <row r="32531" spans="7:7" ht="10.5" customHeight="1" x14ac:dyDescent="0.2">
      <c r="G32531" s="889"/>
    </row>
    <row r="32532" spans="7:7" ht="10.5" customHeight="1" x14ac:dyDescent="0.2">
      <c r="G32532" s="889"/>
    </row>
    <row r="32533" spans="7:7" ht="10.5" customHeight="1" x14ac:dyDescent="0.2">
      <c r="G32533" s="889"/>
    </row>
    <row r="32534" spans="7:7" ht="10.5" customHeight="1" x14ac:dyDescent="0.2">
      <c r="G32534" s="889"/>
    </row>
    <row r="32535" spans="7:7" ht="10.5" customHeight="1" x14ac:dyDescent="0.2">
      <c r="G32535" s="889"/>
    </row>
    <row r="32536" spans="7:7" ht="10.5" customHeight="1" x14ac:dyDescent="0.2">
      <c r="G32536" s="889"/>
    </row>
    <row r="32537" spans="7:7" ht="10.5" customHeight="1" x14ac:dyDescent="0.2">
      <c r="G32537" s="889"/>
    </row>
    <row r="32538" spans="7:7" ht="10.5" customHeight="1" x14ac:dyDescent="0.2">
      <c r="G32538" s="889"/>
    </row>
    <row r="32539" spans="7:7" ht="10.5" customHeight="1" x14ac:dyDescent="0.2">
      <c r="G32539" s="889"/>
    </row>
    <row r="32540" spans="7:7" ht="10.5" customHeight="1" x14ac:dyDescent="0.2">
      <c r="G32540" s="889"/>
    </row>
    <row r="32541" spans="7:7" ht="10.5" customHeight="1" x14ac:dyDescent="0.2">
      <c r="G32541" s="889"/>
    </row>
    <row r="32542" spans="7:7" ht="10.5" customHeight="1" x14ac:dyDescent="0.2">
      <c r="G32542" s="889"/>
    </row>
    <row r="32543" spans="7:7" ht="10.5" customHeight="1" x14ac:dyDescent="0.2">
      <c r="G32543" s="889"/>
    </row>
    <row r="32544" spans="7:7" ht="10.5" customHeight="1" x14ac:dyDescent="0.2">
      <c r="G32544" s="889"/>
    </row>
    <row r="32545" spans="7:7" ht="10.5" customHeight="1" x14ac:dyDescent="0.2">
      <c r="G32545" s="889"/>
    </row>
    <row r="32546" spans="7:7" ht="10.5" customHeight="1" x14ac:dyDescent="0.2">
      <c r="G32546" s="889"/>
    </row>
    <row r="32547" spans="7:7" ht="10.5" customHeight="1" x14ac:dyDescent="0.2">
      <c r="G32547" s="889"/>
    </row>
    <row r="32548" spans="7:7" ht="10.5" customHeight="1" x14ac:dyDescent="0.2">
      <c r="G32548" s="889"/>
    </row>
    <row r="32549" spans="7:7" ht="10.5" customHeight="1" x14ac:dyDescent="0.2">
      <c r="G32549" s="889"/>
    </row>
    <row r="32550" spans="7:7" ht="10.5" customHeight="1" x14ac:dyDescent="0.2">
      <c r="G32550" s="889"/>
    </row>
    <row r="32551" spans="7:7" ht="10.5" customHeight="1" x14ac:dyDescent="0.2">
      <c r="G32551" s="889"/>
    </row>
    <row r="32552" spans="7:7" ht="10.5" customHeight="1" x14ac:dyDescent="0.2">
      <c r="G32552" s="889"/>
    </row>
    <row r="32553" spans="7:7" ht="10.5" customHeight="1" x14ac:dyDescent="0.2">
      <c r="G32553" s="889"/>
    </row>
    <row r="32554" spans="7:7" ht="10.5" customHeight="1" x14ac:dyDescent="0.2">
      <c r="G32554" s="889"/>
    </row>
    <row r="32555" spans="7:7" ht="10.5" customHeight="1" x14ac:dyDescent="0.2">
      <c r="G32555" s="889"/>
    </row>
    <row r="32556" spans="7:7" ht="10.5" customHeight="1" x14ac:dyDescent="0.2">
      <c r="G32556" s="889"/>
    </row>
    <row r="32557" spans="7:7" ht="10.5" customHeight="1" x14ac:dyDescent="0.2">
      <c r="G32557" s="889"/>
    </row>
    <row r="32558" spans="7:7" ht="10.5" customHeight="1" x14ac:dyDescent="0.2">
      <c r="G32558" s="889"/>
    </row>
    <row r="32559" spans="7:7" ht="10.5" customHeight="1" x14ac:dyDescent="0.2">
      <c r="G32559" s="889"/>
    </row>
    <row r="32560" spans="7:7" ht="10.5" customHeight="1" x14ac:dyDescent="0.2">
      <c r="G32560" s="889"/>
    </row>
    <row r="32561" spans="7:7" ht="10.5" customHeight="1" x14ac:dyDescent="0.2">
      <c r="G32561" s="889"/>
    </row>
    <row r="32562" spans="7:7" ht="10.5" customHeight="1" x14ac:dyDescent="0.2">
      <c r="G32562" s="889"/>
    </row>
    <row r="32563" spans="7:7" ht="10.5" customHeight="1" x14ac:dyDescent="0.2">
      <c r="G32563" s="889"/>
    </row>
    <row r="32564" spans="7:7" ht="10.5" customHeight="1" x14ac:dyDescent="0.2">
      <c r="G32564" s="889"/>
    </row>
    <row r="32565" spans="7:7" ht="10.5" customHeight="1" x14ac:dyDescent="0.2">
      <c r="G32565" s="889"/>
    </row>
    <row r="32566" spans="7:7" ht="10.5" customHeight="1" x14ac:dyDescent="0.2">
      <c r="G32566" s="889"/>
    </row>
    <row r="32567" spans="7:7" ht="10.5" customHeight="1" x14ac:dyDescent="0.2">
      <c r="G32567" s="889"/>
    </row>
    <row r="32568" spans="7:7" ht="10.5" customHeight="1" x14ac:dyDescent="0.2">
      <c r="G32568" s="889"/>
    </row>
    <row r="32569" spans="7:7" ht="10.5" customHeight="1" x14ac:dyDescent="0.2">
      <c r="G32569" s="889"/>
    </row>
    <row r="32570" spans="7:7" ht="10.5" customHeight="1" x14ac:dyDescent="0.2">
      <c r="G32570" s="889"/>
    </row>
    <row r="32571" spans="7:7" ht="10.5" customHeight="1" x14ac:dyDescent="0.2">
      <c r="G32571" s="889"/>
    </row>
    <row r="32572" spans="7:7" ht="10.5" customHeight="1" x14ac:dyDescent="0.2">
      <c r="G32572" s="889"/>
    </row>
    <row r="32573" spans="7:7" ht="10.5" customHeight="1" x14ac:dyDescent="0.2">
      <c r="G32573" s="889"/>
    </row>
    <row r="32574" spans="7:7" ht="10.5" customHeight="1" x14ac:dyDescent="0.2">
      <c r="G32574" s="889"/>
    </row>
    <row r="32575" spans="7:7" ht="10.5" customHeight="1" x14ac:dyDescent="0.2">
      <c r="G32575" s="889"/>
    </row>
    <row r="32576" spans="7:7" ht="10.5" customHeight="1" x14ac:dyDescent="0.2">
      <c r="G32576" s="889"/>
    </row>
    <row r="32577" spans="7:7" ht="10.5" customHeight="1" x14ac:dyDescent="0.2">
      <c r="G32577" s="889"/>
    </row>
    <row r="32578" spans="7:7" ht="10.5" customHeight="1" x14ac:dyDescent="0.2">
      <c r="G32578" s="889"/>
    </row>
    <row r="32579" spans="7:7" ht="10.5" customHeight="1" x14ac:dyDescent="0.2">
      <c r="G32579" s="889"/>
    </row>
    <row r="32580" spans="7:7" ht="10.5" customHeight="1" x14ac:dyDescent="0.2">
      <c r="G32580" s="889"/>
    </row>
    <row r="32581" spans="7:7" ht="10.5" customHeight="1" x14ac:dyDescent="0.2">
      <c r="G32581" s="889"/>
    </row>
    <row r="32582" spans="7:7" ht="10.5" customHeight="1" x14ac:dyDescent="0.2">
      <c r="G32582" s="889"/>
    </row>
    <row r="32583" spans="7:7" ht="10.5" customHeight="1" x14ac:dyDescent="0.2">
      <c r="G32583" s="889"/>
    </row>
    <row r="32584" spans="7:7" ht="10.5" customHeight="1" x14ac:dyDescent="0.2">
      <c r="G32584" s="889"/>
    </row>
    <row r="32585" spans="7:7" ht="10.5" customHeight="1" x14ac:dyDescent="0.2">
      <c r="G32585" s="889"/>
    </row>
    <row r="32586" spans="7:7" ht="10.5" customHeight="1" x14ac:dyDescent="0.2">
      <c r="G32586" s="889"/>
    </row>
    <row r="32587" spans="7:7" ht="10.5" customHeight="1" x14ac:dyDescent="0.2">
      <c r="G32587" s="889"/>
    </row>
    <row r="32588" spans="7:7" ht="10.5" customHeight="1" x14ac:dyDescent="0.2">
      <c r="G32588" s="889"/>
    </row>
    <row r="32589" spans="7:7" ht="10.5" customHeight="1" x14ac:dyDescent="0.2">
      <c r="G32589" s="889"/>
    </row>
    <row r="32590" spans="7:7" ht="10.5" customHeight="1" x14ac:dyDescent="0.2">
      <c r="G32590" s="889"/>
    </row>
    <row r="32591" spans="7:7" ht="10.5" customHeight="1" x14ac:dyDescent="0.2">
      <c r="G32591" s="889"/>
    </row>
    <row r="32592" spans="7:7" ht="10.5" customHeight="1" x14ac:dyDescent="0.2">
      <c r="G32592" s="889"/>
    </row>
    <row r="32593" spans="7:7" ht="10.5" customHeight="1" x14ac:dyDescent="0.2">
      <c r="G32593" s="889"/>
    </row>
    <row r="32594" spans="7:7" ht="10.5" customHeight="1" x14ac:dyDescent="0.2">
      <c r="G32594" s="889"/>
    </row>
    <row r="32595" spans="7:7" ht="10.5" customHeight="1" x14ac:dyDescent="0.2">
      <c r="G32595" s="889"/>
    </row>
    <row r="32596" spans="7:7" ht="10.5" customHeight="1" x14ac:dyDescent="0.2">
      <c r="G32596" s="889"/>
    </row>
    <row r="32597" spans="7:7" ht="10.5" customHeight="1" x14ac:dyDescent="0.2">
      <c r="G32597" s="889"/>
    </row>
    <row r="32598" spans="7:7" ht="10.5" customHeight="1" x14ac:dyDescent="0.2">
      <c r="G32598" s="889"/>
    </row>
    <row r="32599" spans="7:7" ht="10.5" customHeight="1" x14ac:dyDescent="0.2">
      <c r="G32599" s="889"/>
    </row>
    <row r="32600" spans="7:7" ht="10.5" customHeight="1" x14ac:dyDescent="0.2">
      <c r="G32600" s="889"/>
    </row>
    <row r="32601" spans="7:7" ht="10.5" customHeight="1" x14ac:dyDescent="0.2">
      <c r="G32601" s="889"/>
    </row>
    <row r="32602" spans="7:7" ht="10.5" customHeight="1" x14ac:dyDescent="0.2">
      <c r="G32602" s="889"/>
    </row>
    <row r="32603" spans="7:7" ht="10.5" customHeight="1" x14ac:dyDescent="0.2">
      <c r="G32603" s="889"/>
    </row>
    <row r="32604" spans="7:7" ht="10.5" customHeight="1" x14ac:dyDescent="0.2">
      <c r="G32604" s="889"/>
    </row>
    <row r="32605" spans="7:7" ht="10.5" customHeight="1" x14ac:dyDescent="0.2">
      <c r="G32605" s="889"/>
    </row>
    <row r="32606" spans="7:7" ht="10.5" customHeight="1" x14ac:dyDescent="0.2">
      <c r="G32606" s="889"/>
    </row>
    <row r="32607" spans="7:7" ht="10.5" customHeight="1" x14ac:dyDescent="0.2">
      <c r="G32607" s="889"/>
    </row>
    <row r="32608" spans="7:7" ht="10.5" customHeight="1" x14ac:dyDescent="0.2">
      <c r="G32608" s="889"/>
    </row>
    <row r="32609" spans="7:7" ht="10.5" customHeight="1" x14ac:dyDescent="0.2">
      <c r="G32609" s="889"/>
    </row>
    <row r="32610" spans="7:7" ht="10.5" customHeight="1" x14ac:dyDescent="0.2">
      <c r="G32610" s="889"/>
    </row>
    <row r="32611" spans="7:7" ht="10.5" customHeight="1" x14ac:dyDescent="0.2">
      <c r="G32611" s="889"/>
    </row>
    <row r="32612" spans="7:7" ht="10.5" customHeight="1" x14ac:dyDescent="0.2">
      <c r="G32612" s="889"/>
    </row>
    <row r="32613" spans="7:7" ht="10.5" customHeight="1" x14ac:dyDescent="0.2">
      <c r="G32613" s="889"/>
    </row>
    <row r="32614" spans="7:7" ht="10.5" customHeight="1" x14ac:dyDescent="0.2">
      <c r="G32614" s="889"/>
    </row>
    <row r="32615" spans="7:7" ht="10.5" customHeight="1" x14ac:dyDescent="0.2">
      <c r="G32615" s="889"/>
    </row>
    <row r="32616" spans="7:7" ht="10.5" customHeight="1" x14ac:dyDescent="0.2">
      <c r="G32616" s="889"/>
    </row>
    <row r="32617" spans="7:7" ht="10.5" customHeight="1" x14ac:dyDescent="0.2">
      <c r="G32617" s="889"/>
    </row>
    <row r="32618" spans="7:7" ht="10.5" customHeight="1" x14ac:dyDescent="0.2">
      <c r="G32618" s="889"/>
    </row>
    <row r="32619" spans="7:7" ht="10.5" customHeight="1" x14ac:dyDescent="0.2">
      <c r="G32619" s="889"/>
    </row>
    <row r="32620" spans="7:7" ht="10.5" customHeight="1" x14ac:dyDescent="0.2">
      <c r="G32620" s="889"/>
    </row>
    <row r="32621" spans="7:7" ht="10.5" customHeight="1" x14ac:dyDescent="0.2">
      <c r="G32621" s="889"/>
    </row>
    <row r="32622" spans="7:7" ht="10.5" customHeight="1" x14ac:dyDescent="0.2">
      <c r="G32622" s="889"/>
    </row>
    <row r="32623" spans="7:7" ht="10.5" customHeight="1" x14ac:dyDescent="0.2">
      <c r="G32623" s="889"/>
    </row>
    <row r="32624" spans="7:7" ht="10.5" customHeight="1" x14ac:dyDescent="0.2">
      <c r="G32624" s="889"/>
    </row>
    <row r="32625" spans="7:7" ht="10.5" customHeight="1" x14ac:dyDescent="0.2">
      <c r="G32625" s="889"/>
    </row>
    <row r="32626" spans="7:7" ht="10.5" customHeight="1" x14ac:dyDescent="0.2">
      <c r="G32626" s="889"/>
    </row>
    <row r="32627" spans="7:7" ht="10.5" customHeight="1" x14ac:dyDescent="0.2">
      <c r="G32627" s="889"/>
    </row>
    <row r="32628" spans="7:7" ht="10.5" customHeight="1" x14ac:dyDescent="0.2">
      <c r="G32628" s="889"/>
    </row>
    <row r="32629" spans="7:7" ht="10.5" customHeight="1" x14ac:dyDescent="0.2">
      <c r="G32629" s="889"/>
    </row>
    <row r="32630" spans="7:7" ht="10.5" customHeight="1" x14ac:dyDescent="0.2">
      <c r="G32630" s="889"/>
    </row>
    <row r="32631" spans="7:7" ht="10.5" customHeight="1" x14ac:dyDescent="0.2">
      <c r="G32631" s="889"/>
    </row>
    <row r="32632" spans="7:7" ht="10.5" customHeight="1" x14ac:dyDescent="0.2">
      <c r="G32632" s="889"/>
    </row>
    <row r="32633" spans="7:7" ht="10.5" customHeight="1" x14ac:dyDescent="0.2">
      <c r="G32633" s="889"/>
    </row>
    <row r="32634" spans="7:7" ht="10.5" customHeight="1" x14ac:dyDescent="0.2">
      <c r="G32634" s="889"/>
    </row>
    <row r="32635" spans="7:7" ht="10.5" customHeight="1" x14ac:dyDescent="0.2">
      <c r="G32635" s="889"/>
    </row>
    <row r="32636" spans="7:7" ht="10.5" customHeight="1" x14ac:dyDescent="0.2">
      <c r="G32636" s="889"/>
    </row>
    <row r="32637" spans="7:7" ht="10.5" customHeight="1" x14ac:dyDescent="0.2">
      <c r="G32637" s="889"/>
    </row>
    <row r="32638" spans="7:7" ht="10.5" customHeight="1" x14ac:dyDescent="0.2">
      <c r="G32638" s="889"/>
    </row>
    <row r="32639" spans="7:7" ht="10.5" customHeight="1" x14ac:dyDescent="0.2">
      <c r="G32639" s="889"/>
    </row>
    <row r="32640" spans="7:7" ht="10.5" customHeight="1" x14ac:dyDescent="0.2">
      <c r="G32640" s="889"/>
    </row>
    <row r="32641" spans="7:7" ht="10.5" customHeight="1" x14ac:dyDescent="0.2">
      <c r="G32641" s="889"/>
    </row>
    <row r="32642" spans="7:7" ht="10.5" customHeight="1" x14ac:dyDescent="0.2">
      <c r="G32642" s="889"/>
    </row>
    <row r="32643" spans="7:7" ht="10.5" customHeight="1" x14ac:dyDescent="0.2">
      <c r="G32643" s="889"/>
    </row>
    <row r="32644" spans="7:7" ht="10.5" customHeight="1" x14ac:dyDescent="0.2">
      <c r="G32644" s="889"/>
    </row>
    <row r="32645" spans="7:7" ht="10.5" customHeight="1" x14ac:dyDescent="0.2">
      <c r="G32645" s="889"/>
    </row>
    <row r="32646" spans="7:7" ht="10.5" customHeight="1" x14ac:dyDescent="0.2">
      <c r="G32646" s="889"/>
    </row>
    <row r="32647" spans="7:7" ht="10.5" customHeight="1" x14ac:dyDescent="0.2">
      <c r="G32647" s="889"/>
    </row>
    <row r="32648" spans="7:7" ht="10.5" customHeight="1" x14ac:dyDescent="0.2">
      <c r="G32648" s="889"/>
    </row>
    <row r="32649" spans="7:7" ht="10.5" customHeight="1" x14ac:dyDescent="0.2">
      <c r="G32649" s="889"/>
    </row>
    <row r="32650" spans="7:7" ht="10.5" customHeight="1" x14ac:dyDescent="0.2">
      <c r="G32650" s="889"/>
    </row>
    <row r="32651" spans="7:7" ht="10.5" customHeight="1" x14ac:dyDescent="0.2">
      <c r="G32651" s="889"/>
    </row>
    <row r="32652" spans="7:7" ht="10.5" customHeight="1" x14ac:dyDescent="0.2">
      <c r="G32652" s="889"/>
    </row>
    <row r="32653" spans="7:7" ht="10.5" customHeight="1" x14ac:dyDescent="0.2">
      <c r="G32653" s="889"/>
    </row>
    <row r="32654" spans="7:7" ht="10.5" customHeight="1" x14ac:dyDescent="0.2">
      <c r="G32654" s="889"/>
    </row>
    <row r="32655" spans="7:7" ht="10.5" customHeight="1" x14ac:dyDescent="0.2">
      <c r="G32655" s="889"/>
    </row>
    <row r="32656" spans="7:7" ht="10.5" customHeight="1" x14ac:dyDescent="0.2">
      <c r="G32656" s="889"/>
    </row>
    <row r="32657" spans="7:7" ht="10.5" customHeight="1" x14ac:dyDescent="0.2">
      <c r="G32657" s="889"/>
    </row>
    <row r="32658" spans="7:7" ht="10.5" customHeight="1" x14ac:dyDescent="0.2">
      <c r="G32658" s="889"/>
    </row>
    <row r="32659" spans="7:7" ht="10.5" customHeight="1" x14ac:dyDescent="0.2">
      <c r="G32659" s="889"/>
    </row>
    <row r="32660" spans="7:7" ht="10.5" customHeight="1" x14ac:dyDescent="0.2">
      <c r="G32660" s="889"/>
    </row>
    <row r="32661" spans="7:7" ht="10.5" customHeight="1" x14ac:dyDescent="0.2">
      <c r="G32661" s="889"/>
    </row>
    <row r="32662" spans="7:7" ht="10.5" customHeight="1" x14ac:dyDescent="0.2">
      <c r="G32662" s="889"/>
    </row>
    <row r="32663" spans="7:7" ht="10.5" customHeight="1" x14ac:dyDescent="0.2">
      <c r="G32663" s="889"/>
    </row>
    <row r="32664" spans="7:7" ht="10.5" customHeight="1" x14ac:dyDescent="0.2">
      <c r="G32664" s="889"/>
    </row>
    <row r="32665" spans="7:7" ht="10.5" customHeight="1" x14ac:dyDescent="0.2">
      <c r="G32665" s="889"/>
    </row>
    <row r="32666" spans="7:7" ht="10.5" customHeight="1" x14ac:dyDescent="0.2">
      <c r="G32666" s="889"/>
    </row>
    <row r="32667" spans="7:7" ht="10.5" customHeight="1" x14ac:dyDescent="0.2">
      <c r="G32667" s="889"/>
    </row>
    <row r="32668" spans="7:7" ht="10.5" customHeight="1" x14ac:dyDescent="0.2">
      <c r="G32668" s="889"/>
    </row>
    <row r="32669" spans="7:7" ht="10.5" customHeight="1" x14ac:dyDescent="0.2">
      <c r="G32669" s="889"/>
    </row>
    <row r="32670" spans="7:7" ht="10.5" customHeight="1" x14ac:dyDescent="0.2">
      <c r="G32670" s="889"/>
    </row>
    <row r="32671" spans="7:7" ht="10.5" customHeight="1" x14ac:dyDescent="0.2">
      <c r="G32671" s="889"/>
    </row>
    <row r="32672" spans="7:7" ht="10.5" customHeight="1" x14ac:dyDescent="0.2">
      <c r="G32672" s="889"/>
    </row>
    <row r="32673" spans="7:7" ht="10.5" customHeight="1" x14ac:dyDescent="0.2">
      <c r="G32673" s="889"/>
    </row>
    <row r="32674" spans="7:7" ht="10.5" customHeight="1" x14ac:dyDescent="0.2">
      <c r="G32674" s="889"/>
    </row>
    <row r="32675" spans="7:7" ht="10.5" customHeight="1" x14ac:dyDescent="0.2">
      <c r="G32675" s="889"/>
    </row>
    <row r="32676" spans="7:7" ht="10.5" customHeight="1" x14ac:dyDescent="0.2">
      <c r="G32676" s="889"/>
    </row>
    <row r="32677" spans="7:7" ht="10.5" customHeight="1" x14ac:dyDescent="0.2">
      <c r="G32677" s="889"/>
    </row>
    <row r="32678" spans="7:7" ht="10.5" customHeight="1" x14ac:dyDescent="0.2">
      <c r="G32678" s="889"/>
    </row>
    <row r="32679" spans="7:7" ht="10.5" customHeight="1" x14ac:dyDescent="0.2">
      <c r="G32679" s="889"/>
    </row>
    <row r="32680" spans="7:7" ht="10.5" customHeight="1" x14ac:dyDescent="0.2">
      <c r="G32680" s="889"/>
    </row>
    <row r="32681" spans="7:7" ht="10.5" customHeight="1" x14ac:dyDescent="0.2">
      <c r="G32681" s="889"/>
    </row>
    <row r="32682" spans="7:7" ht="10.5" customHeight="1" x14ac:dyDescent="0.2">
      <c r="G32682" s="889"/>
    </row>
    <row r="32683" spans="7:7" ht="10.5" customHeight="1" x14ac:dyDescent="0.2">
      <c r="G32683" s="889"/>
    </row>
    <row r="32684" spans="7:7" ht="10.5" customHeight="1" x14ac:dyDescent="0.2">
      <c r="G32684" s="889"/>
    </row>
    <row r="32685" spans="7:7" ht="10.5" customHeight="1" x14ac:dyDescent="0.2">
      <c r="G32685" s="889"/>
    </row>
    <row r="32686" spans="7:7" ht="10.5" customHeight="1" x14ac:dyDescent="0.2">
      <c r="G32686" s="889"/>
    </row>
    <row r="32687" spans="7:7" ht="10.5" customHeight="1" x14ac:dyDescent="0.2">
      <c r="G32687" s="889"/>
    </row>
    <row r="32688" spans="7:7" ht="10.5" customHeight="1" x14ac:dyDescent="0.2">
      <c r="G32688" s="889"/>
    </row>
    <row r="32689" spans="7:7" ht="10.5" customHeight="1" x14ac:dyDescent="0.2">
      <c r="G32689" s="889"/>
    </row>
    <row r="32690" spans="7:7" ht="10.5" customHeight="1" x14ac:dyDescent="0.2">
      <c r="G32690" s="889"/>
    </row>
    <row r="32691" spans="7:7" ht="10.5" customHeight="1" x14ac:dyDescent="0.2">
      <c r="G32691" s="889"/>
    </row>
    <row r="32692" spans="7:7" ht="10.5" customHeight="1" x14ac:dyDescent="0.2">
      <c r="G32692" s="889"/>
    </row>
    <row r="32693" spans="7:7" ht="10.5" customHeight="1" x14ac:dyDescent="0.2">
      <c r="G32693" s="889"/>
    </row>
    <row r="32694" spans="7:7" ht="10.5" customHeight="1" x14ac:dyDescent="0.2">
      <c r="G32694" s="889"/>
    </row>
    <row r="32695" spans="7:7" ht="10.5" customHeight="1" x14ac:dyDescent="0.2">
      <c r="G32695" s="889"/>
    </row>
    <row r="32696" spans="7:7" ht="10.5" customHeight="1" x14ac:dyDescent="0.2">
      <c r="G32696" s="889"/>
    </row>
    <row r="32697" spans="7:7" ht="10.5" customHeight="1" x14ac:dyDescent="0.2">
      <c r="G32697" s="889"/>
    </row>
    <row r="32698" spans="7:7" ht="10.5" customHeight="1" x14ac:dyDescent="0.2">
      <c r="G32698" s="889"/>
    </row>
    <row r="32699" spans="7:7" ht="10.5" customHeight="1" x14ac:dyDescent="0.2">
      <c r="G32699" s="889"/>
    </row>
    <row r="32700" spans="7:7" ht="10.5" customHeight="1" x14ac:dyDescent="0.2">
      <c r="G32700" s="889"/>
    </row>
    <row r="32701" spans="7:7" ht="10.5" customHeight="1" x14ac:dyDescent="0.2">
      <c r="G32701" s="889"/>
    </row>
    <row r="32702" spans="7:7" ht="10.5" customHeight="1" x14ac:dyDescent="0.2">
      <c r="G32702" s="889"/>
    </row>
    <row r="32703" spans="7:7" ht="10.5" customHeight="1" x14ac:dyDescent="0.2">
      <c r="G32703" s="889"/>
    </row>
    <row r="32704" spans="7:7" ht="10.5" customHeight="1" x14ac:dyDescent="0.2">
      <c r="G32704" s="889"/>
    </row>
    <row r="32705" spans="7:7" ht="10.5" customHeight="1" x14ac:dyDescent="0.2">
      <c r="G32705" s="889"/>
    </row>
    <row r="32706" spans="7:7" ht="10.5" customHeight="1" x14ac:dyDescent="0.2">
      <c r="G32706" s="889"/>
    </row>
    <row r="32707" spans="7:7" ht="10.5" customHeight="1" x14ac:dyDescent="0.2">
      <c r="G32707" s="889"/>
    </row>
    <row r="32708" spans="7:7" ht="10.5" customHeight="1" x14ac:dyDescent="0.2">
      <c r="G32708" s="889"/>
    </row>
    <row r="32709" spans="7:7" ht="10.5" customHeight="1" x14ac:dyDescent="0.2">
      <c r="G32709" s="889"/>
    </row>
    <row r="32710" spans="7:7" ht="10.5" customHeight="1" x14ac:dyDescent="0.2">
      <c r="G32710" s="889"/>
    </row>
    <row r="32711" spans="7:7" ht="10.5" customHeight="1" x14ac:dyDescent="0.2">
      <c r="G32711" s="889"/>
    </row>
    <row r="32712" spans="7:7" ht="10.5" customHeight="1" x14ac:dyDescent="0.2">
      <c r="G32712" s="889"/>
    </row>
    <row r="32713" spans="7:7" ht="10.5" customHeight="1" x14ac:dyDescent="0.2">
      <c r="G32713" s="889"/>
    </row>
    <row r="32714" spans="7:7" ht="10.5" customHeight="1" x14ac:dyDescent="0.2">
      <c r="G32714" s="889"/>
    </row>
    <row r="32715" spans="7:7" ht="10.5" customHeight="1" x14ac:dyDescent="0.2">
      <c r="G32715" s="889"/>
    </row>
    <row r="32716" spans="7:7" ht="10.5" customHeight="1" x14ac:dyDescent="0.2">
      <c r="G32716" s="889"/>
    </row>
    <row r="32717" spans="7:7" ht="10.5" customHeight="1" x14ac:dyDescent="0.2">
      <c r="G32717" s="889"/>
    </row>
    <row r="32718" spans="7:7" ht="10.5" customHeight="1" x14ac:dyDescent="0.2">
      <c r="G32718" s="889"/>
    </row>
    <row r="32719" spans="7:7" ht="10.5" customHeight="1" x14ac:dyDescent="0.2">
      <c r="G32719" s="889"/>
    </row>
    <row r="32720" spans="7:7" ht="10.5" customHeight="1" x14ac:dyDescent="0.2">
      <c r="G32720" s="889"/>
    </row>
    <row r="32721" spans="7:7" ht="10.5" customHeight="1" x14ac:dyDescent="0.2">
      <c r="G32721" s="889"/>
    </row>
    <row r="32722" spans="7:7" ht="10.5" customHeight="1" x14ac:dyDescent="0.2">
      <c r="G32722" s="889"/>
    </row>
    <row r="32723" spans="7:7" ht="10.5" customHeight="1" x14ac:dyDescent="0.2">
      <c r="G32723" s="889"/>
    </row>
    <row r="32724" spans="7:7" ht="10.5" customHeight="1" x14ac:dyDescent="0.2">
      <c r="G32724" s="889"/>
    </row>
    <row r="32725" spans="7:7" ht="10.5" customHeight="1" x14ac:dyDescent="0.2">
      <c r="G32725" s="889"/>
    </row>
    <row r="32726" spans="7:7" ht="10.5" customHeight="1" x14ac:dyDescent="0.2">
      <c r="G32726" s="889"/>
    </row>
    <row r="32727" spans="7:7" ht="10.5" customHeight="1" x14ac:dyDescent="0.2">
      <c r="G32727" s="889"/>
    </row>
    <row r="32728" spans="7:7" ht="10.5" customHeight="1" x14ac:dyDescent="0.2">
      <c r="G32728" s="889"/>
    </row>
    <row r="32729" spans="7:7" ht="10.5" customHeight="1" x14ac:dyDescent="0.2">
      <c r="G32729" s="889"/>
    </row>
    <row r="32730" spans="7:7" ht="10.5" customHeight="1" x14ac:dyDescent="0.2">
      <c r="G32730" s="889"/>
    </row>
    <row r="32731" spans="7:7" ht="10.5" customHeight="1" x14ac:dyDescent="0.2">
      <c r="G32731" s="889"/>
    </row>
    <row r="32732" spans="7:7" ht="10.5" customHeight="1" x14ac:dyDescent="0.2">
      <c r="G32732" s="889"/>
    </row>
    <row r="32733" spans="7:7" ht="10.5" customHeight="1" x14ac:dyDescent="0.2">
      <c r="G32733" s="889"/>
    </row>
    <row r="32734" spans="7:7" ht="10.5" customHeight="1" x14ac:dyDescent="0.2">
      <c r="G32734" s="889"/>
    </row>
    <row r="32735" spans="7:7" ht="10.5" customHeight="1" x14ac:dyDescent="0.2">
      <c r="G32735" s="889"/>
    </row>
    <row r="32736" spans="7:7" ht="10.5" customHeight="1" x14ac:dyDescent="0.2">
      <c r="G32736" s="889"/>
    </row>
    <row r="32737" spans="7:7" ht="10.5" customHeight="1" x14ac:dyDescent="0.2">
      <c r="G32737" s="889"/>
    </row>
    <row r="32738" spans="7:7" ht="10.5" customHeight="1" x14ac:dyDescent="0.2">
      <c r="G32738" s="889"/>
    </row>
    <row r="32739" spans="7:7" ht="10.5" customHeight="1" x14ac:dyDescent="0.2">
      <c r="G32739" s="889"/>
    </row>
    <row r="32740" spans="7:7" ht="10.5" customHeight="1" x14ac:dyDescent="0.2">
      <c r="G32740" s="889"/>
    </row>
    <row r="32741" spans="7:7" ht="10.5" customHeight="1" x14ac:dyDescent="0.2">
      <c r="G32741" s="889"/>
    </row>
    <row r="32742" spans="7:7" ht="10.5" customHeight="1" x14ac:dyDescent="0.2">
      <c r="G32742" s="889"/>
    </row>
    <row r="32743" spans="7:7" ht="10.5" customHeight="1" x14ac:dyDescent="0.2">
      <c r="G32743" s="889"/>
    </row>
    <row r="32744" spans="7:7" ht="10.5" customHeight="1" x14ac:dyDescent="0.2">
      <c r="G32744" s="889"/>
    </row>
    <row r="32745" spans="7:7" ht="10.5" customHeight="1" x14ac:dyDescent="0.2">
      <c r="G32745" s="889"/>
    </row>
    <row r="32746" spans="7:7" ht="10.5" customHeight="1" x14ac:dyDescent="0.2">
      <c r="G32746" s="889"/>
    </row>
    <row r="32747" spans="7:7" ht="10.5" customHeight="1" x14ac:dyDescent="0.2">
      <c r="G32747" s="889"/>
    </row>
    <row r="32748" spans="7:7" ht="10.5" customHeight="1" x14ac:dyDescent="0.2">
      <c r="G32748" s="889"/>
    </row>
    <row r="32749" spans="7:7" ht="10.5" customHeight="1" x14ac:dyDescent="0.2">
      <c r="G32749" s="889"/>
    </row>
    <row r="32750" spans="7:7" ht="10.5" customHeight="1" x14ac:dyDescent="0.2">
      <c r="G32750" s="889"/>
    </row>
    <row r="32751" spans="7:7" ht="10.5" customHeight="1" x14ac:dyDescent="0.2">
      <c r="G32751" s="889"/>
    </row>
    <row r="32752" spans="7:7" ht="10.5" customHeight="1" x14ac:dyDescent="0.2">
      <c r="G32752" s="889"/>
    </row>
    <row r="32753" spans="7:7" ht="10.5" customHeight="1" x14ac:dyDescent="0.2">
      <c r="G32753" s="889"/>
    </row>
    <row r="32754" spans="7:7" ht="10.5" customHeight="1" x14ac:dyDescent="0.2">
      <c r="G32754" s="889"/>
    </row>
    <row r="32755" spans="7:7" ht="10.5" customHeight="1" x14ac:dyDescent="0.2">
      <c r="G32755" s="889"/>
    </row>
    <row r="32756" spans="7:7" ht="10.5" customHeight="1" x14ac:dyDescent="0.2">
      <c r="G32756" s="889"/>
    </row>
    <row r="32757" spans="7:7" ht="10.5" customHeight="1" x14ac:dyDescent="0.2">
      <c r="G32757" s="889"/>
    </row>
    <row r="32758" spans="7:7" ht="10.5" customHeight="1" x14ac:dyDescent="0.2">
      <c r="G32758" s="889"/>
    </row>
    <row r="32759" spans="7:7" ht="10.5" customHeight="1" x14ac:dyDescent="0.2">
      <c r="G32759" s="889"/>
    </row>
    <row r="32760" spans="7:7" ht="10.5" customHeight="1" x14ac:dyDescent="0.2">
      <c r="G32760" s="889"/>
    </row>
    <row r="32761" spans="7:7" ht="10.5" customHeight="1" x14ac:dyDescent="0.2">
      <c r="G32761" s="889"/>
    </row>
    <row r="32762" spans="7:7" ht="10.5" customHeight="1" x14ac:dyDescent="0.2">
      <c r="G32762" s="889"/>
    </row>
    <row r="32763" spans="7:7" ht="10.5" customHeight="1" x14ac:dyDescent="0.2">
      <c r="G32763" s="889"/>
    </row>
    <row r="32764" spans="7:7" ht="10.5" customHeight="1" x14ac:dyDescent="0.2">
      <c r="G32764" s="889"/>
    </row>
    <row r="32765" spans="7:7" ht="10.5" customHeight="1" x14ac:dyDescent="0.2">
      <c r="G32765" s="889"/>
    </row>
    <row r="32766" spans="7:7" ht="10.5" customHeight="1" x14ac:dyDescent="0.2">
      <c r="G32766" s="889"/>
    </row>
    <row r="32767" spans="7:7" ht="10.5" customHeight="1" x14ac:dyDescent="0.2">
      <c r="G32767" s="889"/>
    </row>
    <row r="32768" spans="7:7" ht="10.5" customHeight="1" x14ac:dyDescent="0.2">
      <c r="G32768" s="889"/>
    </row>
    <row r="32769" spans="7:7" ht="10.5" customHeight="1" x14ac:dyDescent="0.2">
      <c r="G32769" s="889"/>
    </row>
    <row r="32770" spans="7:7" ht="10.5" customHeight="1" x14ac:dyDescent="0.2">
      <c r="G32770" s="889"/>
    </row>
    <row r="32771" spans="7:7" ht="10.5" customHeight="1" x14ac:dyDescent="0.2">
      <c r="G32771" s="889"/>
    </row>
    <row r="32772" spans="7:7" ht="10.5" customHeight="1" x14ac:dyDescent="0.2">
      <c r="G32772" s="889"/>
    </row>
    <row r="32773" spans="7:7" ht="10.5" customHeight="1" x14ac:dyDescent="0.2">
      <c r="G32773" s="889"/>
    </row>
    <row r="32774" spans="7:7" ht="10.5" customHeight="1" x14ac:dyDescent="0.2">
      <c r="G32774" s="889"/>
    </row>
    <row r="32775" spans="7:7" ht="10.5" customHeight="1" x14ac:dyDescent="0.2">
      <c r="G32775" s="889"/>
    </row>
    <row r="32776" spans="7:7" ht="10.5" customHeight="1" x14ac:dyDescent="0.2">
      <c r="G32776" s="889"/>
    </row>
    <row r="32777" spans="7:7" ht="10.5" customHeight="1" x14ac:dyDescent="0.2">
      <c r="G32777" s="889"/>
    </row>
    <row r="32778" spans="7:7" ht="10.5" customHeight="1" x14ac:dyDescent="0.2">
      <c r="G32778" s="889"/>
    </row>
    <row r="32779" spans="7:7" ht="10.5" customHeight="1" x14ac:dyDescent="0.2">
      <c r="G32779" s="889"/>
    </row>
    <row r="32780" spans="7:7" ht="10.5" customHeight="1" x14ac:dyDescent="0.2">
      <c r="G32780" s="889"/>
    </row>
    <row r="32781" spans="7:7" ht="10.5" customHeight="1" x14ac:dyDescent="0.2">
      <c r="G32781" s="889"/>
    </row>
    <row r="32782" spans="7:7" ht="10.5" customHeight="1" x14ac:dyDescent="0.2">
      <c r="G32782" s="889"/>
    </row>
    <row r="32783" spans="7:7" ht="10.5" customHeight="1" x14ac:dyDescent="0.2">
      <c r="G32783" s="889"/>
    </row>
    <row r="32784" spans="7:7" ht="10.5" customHeight="1" x14ac:dyDescent="0.2">
      <c r="G32784" s="889"/>
    </row>
    <row r="32785" spans="7:7" ht="10.5" customHeight="1" x14ac:dyDescent="0.2">
      <c r="G32785" s="889"/>
    </row>
    <row r="32786" spans="7:7" ht="10.5" customHeight="1" x14ac:dyDescent="0.2">
      <c r="G32786" s="889"/>
    </row>
    <row r="32787" spans="7:7" ht="10.5" customHeight="1" x14ac:dyDescent="0.2">
      <c r="G32787" s="889"/>
    </row>
    <row r="32788" spans="7:7" ht="10.5" customHeight="1" x14ac:dyDescent="0.2">
      <c r="G32788" s="889"/>
    </row>
    <row r="32789" spans="7:7" ht="10.5" customHeight="1" x14ac:dyDescent="0.2">
      <c r="G32789" s="889"/>
    </row>
    <row r="32790" spans="7:7" ht="10.5" customHeight="1" x14ac:dyDescent="0.2">
      <c r="G32790" s="889"/>
    </row>
    <row r="32791" spans="7:7" ht="10.5" customHeight="1" x14ac:dyDescent="0.2">
      <c r="G32791" s="889"/>
    </row>
    <row r="32792" spans="7:7" ht="10.5" customHeight="1" x14ac:dyDescent="0.2">
      <c r="G32792" s="889"/>
    </row>
    <row r="32793" spans="7:7" ht="10.5" customHeight="1" x14ac:dyDescent="0.2">
      <c r="G32793" s="889"/>
    </row>
    <row r="32794" spans="7:7" ht="10.5" customHeight="1" x14ac:dyDescent="0.2">
      <c r="G32794" s="889"/>
    </row>
    <row r="32795" spans="7:7" ht="10.5" customHeight="1" x14ac:dyDescent="0.2">
      <c r="G32795" s="889"/>
    </row>
    <row r="32796" spans="7:7" ht="10.5" customHeight="1" x14ac:dyDescent="0.2">
      <c r="G32796" s="889"/>
    </row>
    <row r="32797" spans="7:7" ht="10.5" customHeight="1" x14ac:dyDescent="0.2">
      <c r="G32797" s="889"/>
    </row>
    <row r="32798" spans="7:7" ht="10.5" customHeight="1" x14ac:dyDescent="0.2">
      <c r="G32798" s="889"/>
    </row>
    <row r="32799" spans="7:7" ht="10.5" customHeight="1" x14ac:dyDescent="0.2">
      <c r="G32799" s="889"/>
    </row>
    <row r="32800" spans="7:7" ht="10.5" customHeight="1" x14ac:dyDescent="0.2">
      <c r="G32800" s="889"/>
    </row>
    <row r="32801" spans="7:7" ht="10.5" customHeight="1" x14ac:dyDescent="0.2">
      <c r="G32801" s="889"/>
    </row>
    <row r="32802" spans="7:7" ht="10.5" customHeight="1" x14ac:dyDescent="0.2">
      <c r="G32802" s="889"/>
    </row>
    <row r="32803" spans="7:7" ht="10.5" customHeight="1" x14ac:dyDescent="0.2">
      <c r="G32803" s="889"/>
    </row>
    <row r="32804" spans="7:7" ht="10.5" customHeight="1" x14ac:dyDescent="0.2">
      <c r="G32804" s="889"/>
    </row>
    <row r="32805" spans="7:7" ht="10.5" customHeight="1" x14ac:dyDescent="0.2">
      <c r="G32805" s="889"/>
    </row>
    <row r="32806" spans="7:7" ht="10.5" customHeight="1" x14ac:dyDescent="0.2">
      <c r="G32806" s="889"/>
    </row>
    <row r="32807" spans="7:7" ht="10.5" customHeight="1" x14ac:dyDescent="0.2">
      <c r="G32807" s="889"/>
    </row>
    <row r="32808" spans="7:7" ht="10.5" customHeight="1" x14ac:dyDescent="0.2">
      <c r="G32808" s="889"/>
    </row>
    <row r="32809" spans="7:7" ht="10.5" customHeight="1" x14ac:dyDescent="0.2">
      <c r="G32809" s="889"/>
    </row>
    <row r="32810" spans="7:7" ht="10.5" customHeight="1" x14ac:dyDescent="0.2">
      <c r="G32810" s="889"/>
    </row>
    <row r="32811" spans="7:7" ht="10.5" customHeight="1" x14ac:dyDescent="0.2">
      <c r="G32811" s="889"/>
    </row>
    <row r="32812" spans="7:7" ht="10.5" customHeight="1" x14ac:dyDescent="0.2">
      <c r="G32812" s="889"/>
    </row>
    <row r="32813" spans="7:7" ht="10.5" customHeight="1" x14ac:dyDescent="0.2">
      <c r="G32813" s="889"/>
    </row>
    <row r="32814" spans="7:7" ht="10.5" customHeight="1" x14ac:dyDescent="0.2">
      <c r="G32814" s="889"/>
    </row>
    <row r="32815" spans="7:7" ht="10.5" customHeight="1" x14ac:dyDescent="0.2">
      <c r="G32815" s="889"/>
    </row>
    <row r="32816" spans="7:7" ht="10.5" customHeight="1" x14ac:dyDescent="0.2">
      <c r="G32816" s="889"/>
    </row>
    <row r="32817" spans="7:7" ht="10.5" customHeight="1" x14ac:dyDescent="0.2">
      <c r="G32817" s="889"/>
    </row>
    <row r="32818" spans="7:7" ht="10.5" customHeight="1" x14ac:dyDescent="0.2">
      <c r="G32818" s="889"/>
    </row>
    <row r="32819" spans="7:7" ht="10.5" customHeight="1" x14ac:dyDescent="0.2">
      <c r="G32819" s="889"/>
    </row>
    <row r="32820" spans="7:7" ht="10.5" customHeight="1" x14ac:dyDescent="0.2">
      <c r="G32820" s="889"/>
    </row>
    <row r="32821" spans="7:7" ht="10.5" customHeight="1" x14ac:dyDescent="0.2">
      <c r="G32821" s="889"/>
    </row>
    <row r="32822" spans="7:7" ht="10.5" customHeight="1" x14ac:dyDescent="0.2">
      <c r="G32822" s="889"/>
    </row>
    <row r="32823" spans="7:7" ht="10.5" customHeight="1" x14ac:dyDescent="0.2">
      <c r="G32823" s="889"/>
    </row>
    <row r="32824" spans="7:7" ht="10.5" customHeight="1" x14ac:dyDescent="0.2">
      <c r="G32824" s="889"/>
    </row>
    <row r="32825" spans="7:7" ht="10.5" customHeight="1" x14ac:dyDescent="0.2">
      <c r="G32825" s="889"/>
    </row>
    <row r="32826" spans="7:7" ht="10.5" customHeight="1" x14ac:dyDescent="0.2">
      <c r="G32826" s="889"/>
    </row>
    <row r="32827" spans="7:7" ht="10.5" customHeight="1" x14ac:dyDescent="0.2">
      <c r="G32827" s="889"/>
    </row>
    <row r="32828" spans="7:7" ht="10.5" customHeight="1" x14ac:dyDescent="0.2">
      <c r="G32828" s="889"/>
    </row>
    <row r="32829" spans="7:7" ht="10.5" customHeight="1" x14ac:dyDescent="0.2">
      <c r="G32829" s="889"/>
    </row>
    <row r="32830" spans="7:7" ht="10.5" customHeight="1" x14ac:dyDescent="0.2">
      <c r="G32830" s="889"/>
    </row>
    <row r="32831" spans="7:7" ht="10.5" customHeight="1" x14ac:dyDescent="0.2">
      <c r="G32831" s="889"/>
    </row>
    <row r="32832" spans="7:7" ht="10.5" customHeight="1" x14ac:dyDescent="0.2">
      <c r="G32832" s="889"/>
    </row>
    <row r="32833" spans="7:7" ht="10.5" customHeight="1" x14ac:dyDescent="0.2">
      <c r="G32833" s="889"/>
    </row>
    <row r="32834" spans="7:7" ht="10.5" customHeight="1" x14ac:dyDescent="0.2">
      <c r="G32834" s="889"/>
    </row>
    <row r="32835" spans="7:7" ht="10.5" customHeight="1" x14ac:dyDescent="0.2">
      <c r="G32835" s="889"/>
    </row>
    <row r="32836" spans="7:7" ht="10.5" customHeight="1" x14ac:dyDescent="0.2">
      <c r="G32836" s="889"/>
    </row>
    <row r="32837" spans="7:7" ht="10.5" customHeight="1" x14ac:dyDescent="0.2">
      <c r="G32837" s="889"/>
    </row>
    <row r="32838" spans="7:7" ht="10.5" customHeight="1" x14ac:dyDescent="0.2">
      <c r="G32838" s="889"/>
    </row>
    <row r="32839" spans="7:7" ht="10.5" customHeight="1" x14ac:dyDescent="0.2">
      <c r="G32839" s="889"/>
    </row>
    <row r="32840" spans="7:7" ht="10.5" customHeight="1" x14ac:dyDescent="0.2">
      <c r="G32840" s="889"/>
    </row>
    <row r="32841" spans="7:7" ht="10.5" customHeight="1" x14ac:dyDescent="0.2">
      <c r="G32841" s="889"/>
    </row>
    <row r="32842" spans="7:7" ht="10.5" customHeight="1" x14ac:dyDescent="0.2">
      <c r="G32842" s="889"/>
    </row>
    <row r="32843" spans="7:7" ht="10.5" customHeight="1" x14ac:dyDescent="0.2">
      <c r="G32843" s="889"/>
    </row>
    <row r="32844" spans="7:7" ht="10.5" customHeight="1" x14ac:dyDescent="0.2">
      <c r="G32844" s="889"/>
    </row>
    <row r="32845" spans="7:7" ht="10.5" customHeight="1" x14ac:dyDescent="0.2">
      <c r="G32845" s="889"/>
    </row>
    <row r="32846" spans="7:7" ht="10.5" customHeight="1" x14ac:dyDescent="0.2">
      <c r="G32846" s="889"/>
    </row>
    <row r="32847" spans="7:7" ht="10.5" customHeight="1" x14ac:dyDescent="0.2">
      <c r="G32847" s="889"/>
    </row>
    <row r="32848" spans="7:7" ht="10.5" customHeight="1" x14ac:dyDescent="0.2">
      <c r="G32848" s="889"/>
    </row>
    <row r="32849" spans="7:7" ht="10.5" customHeight="1" x14ac:dyDescent="0.2">
      <c r="G32849" s="889"/>
    </row>
    <row r="32850" spans="7:7" ht="10.5" customHeight="1" x14ac:dyDescent="0.2">
      <c r="G32850" s="889"/>
    </row>
    <row r="32851" spans="7:7" ht="10.5" customHeight="1" x14ac:dyDescent="0.2">
      <c r="G32851" s="889"/>
    </row>
    <row r="32852" spans="7:7" ht="10.5" customHeight="1" x14ac:dyDescent="0.2">
      <c r="G32852" s="889"/>
    </row>
    <row r="32853" spans="7:7" ht="10.5" customHeight="1" x14ac:dyDescent="0.2">
      <c r="G32853" s="889"/>
    </row>
    <row r="32854" spans="7:7" ht="10.5" customHeight="1" x14ac:dyDescent="0.2">
      <c r="G32854" s="889"/>
    </row>
    <row r="32855" spans="7:7" ht="10.5" customHeight="1" x14ac:dyDescent="0.2">
      <c r="G32855" s="889"/>
    </row>
    <row r="32856" spans="7:7" ht="10.5" customHeight="1" x14ac:dyDescent="0.2">
      <c r="G32856" s="889"/>
    </row>
    <row r="32857" spans="7:7" ht="10.5" customHeight="1" x14ac:dyDescent="0.2">
      <c r="G32857" s="889"/>
    </row>
    <row r="32858" spans="7:7" ht="10.5" customHeight="1" x14ac:dyDescent="0.2">
      <c r="G32858" s="889"/>
    </row>
    <row r="32859" spans="7:7" ht="10.5" customHeight="1" x14ac:dyDescent="0.2">
      <c r="G32859" s="889"/>
    </row>
    <row r="32860" spans="7:7" ht="10.5" customHeight="1" x14ac:dyDescent="0.2">
      <c r="G32860" s="889"/>
    </row>
    <row r="32861" spans="7:7" ht="10.5" customHeight="1" x14ac:dyDescent="0.2">
      <c r="G32861" s="889"/>
    </row>
    <row r="32862" spans="7:7" ht="10.5" customHeight="1" x14ac:dyDescent="0.2">
      <c r="G32862" s="889"/>
    </row>
    <row r="32863" spans="7:7" ht="10.5" customHeight="1" x14ac:dyDescent="0.2">
      <c r="G32863" s="889"/>
    </row>
    <row r="32864" spans="7:7" ht="10.5" customHeight="1" x14ac:dyDescent="0.2">
      <c r="G32864" s="889"/>
    </row>
    <row r="32865" spans="7:7" ht="10.5" customHeight="1" x14ac:dyDescent="0.2">
      <c r="G32865" s="889"/>
    </row>
    <row r="32866" spans="7:7" ht="10.5" customHeight="1" x14ac:dyDescent="0.2">
      <c r="G32866" s="889"/>
    </row>
    <row r="32867" spans="7:7" ht="10.5" customHeight="1" x14ac:dyDescent="0.2">
      <c r="G32867" s="889"/>
    </row>
    <row r="32868" spans="7:7" ht="10.5" customHeight="1" x14ac:dyDescent="0.2">
      <c r="G32868" s="889"/>
    </row>
    <row r="32869" spans="7:7" ht="10.5" customHeight="1" x14ac:dyDescent="0.2">
      <c r="G32869" s="889"/>
    </row>
    <row r="32870" spans="7:7" ht="10.5" customHeight="1" x14ac:dyDescent="0.2">
      <c r="G32870" s="889"/>
    </row>
    <row r="32871" spans="7:7" ht="10.5" customHeight="1" x14ac:dyDescent="0.2">
      <c r="G32871" s="889"/>
    </row>
    <row r="32872" spans="7:7" ht="10.5" customHeight="1" x14ac:dyDescent="0.2">
      <c r="G32872" s="889"/>
    </row>
    <row r="32873" spans="7:7" ht="10.5" customHeight="1" x14ac:dyDescent="0.2">
      <c r="G32873" s="889"/>
    </row>
    <row r="32874" spans="7:7" ht="10.5" customHeight="1" x14ac:dyDescent="0.2">
      <c r="G32874" s="889"/>
    </row>
    <row r="32875" spans="7:7" ht="10.5" customHeight="1" x14ac:dyDescent="0.2">
      <c r="G32875" s="889"/>
    </row>
    <row r="32876" spans="7:7" ht="10.5" customHeight="1" x14ac:dyDescent="0.2">
      <c r="G32876" s="889"/>
    </row>
    <row r="32877" spans="7:7" ht="10.5" customHeight="1" x14ac:dyDescent="0.2">
      <c r="G32877" s="889"/>
    </row>
    <row r="32878" spans="7:7" ht="10.5" customHeight="1" x14ac:dyDescent="0.2">
      <c r="G32878" s="889"/>
    </row>
    <row r="32879" spans="7:7" ht="10.5" customHeight="1" x14ac:dyDescent="0.2">
      <c r="G32879" s="889"/>
    </row>
    <row r="32880" spans="7:7" ht="10.5" customHeight="1" x14ac:dyDescent="0.2">
      <c r="G32880" s="889"/>
    </row>
    <row r="32881" spans="7:7" ht="10.5" customHeight="1" x14ac:dyDescent="0.2">
      <c r="G32881" s="889"/>
    </row>
    <row r="32882" spans="7:7" ht="10.5" customHeight="1" x14ac:dyDescent="0.2">
      <c r="G32882" s="889"/>
    </row>
    <row r="32883" spans="7:7" ht="10.5" customHeight="1" x14ac:dyDescent="0.2">
      <c r="G32883" s="889"/>
    </row>
    <row r="32884" spans="7:7" ht="10.5" customHeight="1" x14ac:dyDescent="0.2">
      <c r="G32884" s="889"/>
    </row>
    <row r="32885" spans="7:7" ht="10.5" customHeight="1" x14ac:dyDescent="0.2">
      <c r="G32885" s="889"/>
    </row>
    <row r="32886" spans="7:7" ht="10.5" customHeight="1" x14ac:dyDescent="0.2">
      <c r="G32886" s="889"/>
    </row>
    <row r="32887" spans="7:7" ht="10.5" customHeight="1" x14ac:dyDescent="0.2">
      <c r="G32887" s="889"/>
    </row>
    <row r="32888" spans="7:7" ht="10.5" customHeight="1" x14ac:dyDescent="0.2">
      <c r="G32888" s="889"/>
    </row>
    <row r="32889" spans="7:7" ht="10.5" customHeight="1" x14ac:dyDescent="0.2">
      <c r="G32889" s="889"/>
    </row>
    <row r="32890" spans="7:7" ht="10.5" customHeight="1" x14ac:dyDescent="0.2">
      <c r="G32890" s="889"/>
    </row>
    <row r="32891" spans="7:7" ht="10.5" customHeight="1" x14ac:dyDescent="0.2">
      <c r="G32891" s="889"/>
    </row>
    <row r="32892" spans="7:7" ht="10.5" customHeight="1" x14ac:dyDescent="0.2">
      <c r="G32892" s="889"/>
    </row>
    <row r="32893" spans="7:7" ht="10.5" customHeight="1" x14ac:dyDescent="0.2">
      <c r="G32893" s="889"/>
    </row>
    <row r="32894" spans="7:7" ht="10.5" customHeight="1" x14ac:dyDescent="0.2">
      <c r="G32894" s="889"/>
    </row>
    <row r="32895" spans="7:7" ht="10.5" customHeight="1" x14ac:dyDescent="0.2">
      <c r="G32895" s="889"/>
    </row>
    <row r="32896" spans="7:7" ht="10.5" customHeight="1" x14ac:dyDescent="0.2">
      <c r="G32896" s="889"/>
    </row>
    <row r="32897" spans="7:7" ht="10.5" customHeight="1" x14ac:dyDescent="0.2">
      <c r="G32897" s="889"/>
    </row>
    <row r="32898" spans="7:7" ht="10.5" customHeight="1" x14ac:dyDescent="0.2">
      <c r="G32898" s="889"/>
    </row>
    <row r="32899" spans="7:7" ht="10.5" customHeight="1" x14ac:dyDescent="0.2">
      <c r="G32899" s="889"/>
    </row>
    <row r="32900" spans="7:7" ht="10.5" customHeight="1" x14ac:dyDescent="0.2">
      <c r="G32900" s="889"/>
    </row>
    <row r="32901" spans="7:7" ht="10.5" customHeight="1" x14ac:dyDescent="0.2">
      <c r="G32901" s="889"/>
    </row>
    <row r="32902" spans="7:7" ht="10.5" customHeight="1" x14ac:dyDescent="0.2">
      <c r="G32902" s="889"/>
    </row>
    <row r="32903" spans="7:7" ht="10.5" customHeight="1" x14ac:dyDescent="0.2">
      <c r="G32903" s="889"/>
    </row>
    <row r="32904" spans="7:7" ht="10.5" customHeight="1" x14ac:dyDescent="0.2">
      <c r="G32904" s="889"/>
    </row>
    <row r="32905" spans="7:7" ht="10.5" customHeight="1" x14ac:dyDescent="0.2">
      <c r="G32905" s="889"/>
    </row>
    <row r="32906" spans="7:7" ht="10.5" customHeight="1" x14ac:dyDescent="0.2">
      <c r="G32906" s="889"/>
    </row>
    <row r="32907" spans="7:7" ht="10.5" customHeight="1" x14ac:dyDescent="0.2">
      <c r="G32907" s="889"/>
    </row>
    <row r="32908" spans="7:7" ht="10.5" customHeight="1" x14ac:dyDescent="0.2">
      <c r="G32908" s="889"/>
    </row>
    <row r="32909" spans="7:7" ht="10.5" customHeight="1" x14ac:dyDescent="0.2">
      <c r="G32909" s="889"/>
    </row>
    <row r="32910" spans="7:7" ht="10.5" customHeight="1" x14ac:dyDescent="0.2">
      <c r="G32910" s="889"/>
    </row>
    <row r="32911" spans="7:7" ht="10.5" customHeight="1" x14ac:dyDescent="0.2">
      <c r="G32911" s="889"/>
    </row>
    <row r="32912" spans="7:7" ht="10.5" customHeight="1" x14ac:dyDescent="0.2">
      <c r="G32912" s="889"/>
    </row>
    <row r="32913" spans="7:7" ht="10.5" customHeight="1" x14ac:dyDescent="0.2">
      <c r="G32913" s="889"/>
    </row>
    <row r="32914" spans="7:7" ht="10.5" customHeight="1" x14ac:dyDescent="0.2">
      <c r="G32914" s="889"/>
    </row>
    <row r="32915" spans="7:7" ht="10.5" customHeight="1" x14ac:dyDescent="0.2">
      <c r="G32915" s="889"/>
    </row>
    <row r="32916" spans="7:7" ht="10.5" customHeight="1" x14ac:dyDescent="0.2">
      <c r="G32916" s="889"/>
    </row>
    <row r="32917" spans="7:7" ht="10.5" customHeight="1" x14ac:dyDescent="0.2">
      <c r="G32917" s="889"/>
    </row>
    <row r="32918" spans="7:7" ht="10.5" customHeight="1" x14ac:dyDescent="0.2">
      <c r="G32918" s="889"/>
    </row>
    <row r="32919" spans="7:7" ht="10.5" customHeight="1" x14ac:dyDescent="0.2">
      <c r="G32919" s="889"/>
    </row>
    <row r="32920" spans="7:7" ht="10.5" customHeight="1" x14ac:dyDescent="0.2">
      <c r="G32920" s="889"/>
    </row>
    <row r="32921" spans="7:7" ht="10.5" customHeight="1" x14ac:dyDescent="0.2">
      <c r="G32921" s="889"/>
    </row>
    <row r="32922" spans="7:7" ht="10.5" customHeight="1" x14ac:dyDescent="0.2">
      <c r="G32922" s="889"/>
    </row>
    <row r="32923" spans="7:7" ht="10.5" customHeight="1" x14ac:dyDescent="0.2">
      <c r="G32923" s="889"/>
    </row>
    <row r="32924" spans="7:7" ht="10.5" customHeight="1" x14ac:dyDescent="0.2">
      <c r="G32924" s="889"/>
    </row>
    <row r="32925" spans="7:7" ht="10.5" customHeight="1" x14ac:dyDescent="0.2">
      <c r="G32925" s="889"/>
    </row>
    <row r="32926" spans="7:7" ht="10.5" customHeight="1" x14ac:dyDescent="0.2">
      <c r="G32926" s="889"/>
    </row>
    <row r="32927" spans="7:7" ht="10.5" customHeight="1" x14ac:dyDescent="0.2">
      <c r="G32927" s="889"/>
    </row>
    <row r="32928" spans="7:7" ht="10.5" customHeight="1" x14ac:dyDescent="0.2">
      <c r="G32928" s="889"/>
    </row>
    <row r="32929" spans="7:7" ht="10.5" customHeight="1" x14ac:dyDescent="0.2">
      <c r="G32929" s="889"/>
    </row>
    <row r="32930" spans="7:7" ht="10.5" customHeight="1" x14ac:dyDescent="0.2">
      <c r="G32930" s="889"/>
    </row>
    <row r="32931" spans="7:7" ht="10.5" customHeight="1" x14ac:dyDescent="0.2">
      <c r="G32931" s="889"/>
    </row>
    <row r="32932" spans="7:7" ht="10.5" customHeight="1" x14ac:dyDescent="0.2">
      <c r="G32932" s="889"/>
    </row>
    <row r="32933" spans="7:7" ht="10.5" customHeight="1" x14ac:dyDescent="0.2">
      <c r="G32933" s="889"/>
    </row>
    <row r="32934" spans="7:7" ht="10.5" customHeight="1" x14ac:dyDescent="0.2">
      <c r="G32934" s="889"/>
    </row>
    <row r="32935" spans="7:7" ht="10.5" customHeight="1" x14ac:dyDescent="0.2">
      <c r="G32935" s="889"/>
    </row>
    <row r="32936" spans="7:7" ht="10.5" customHeight="1" x14ac:dyDescent="0.2">
      <c r="G32936" s="889"/>
    </row>
    <row r="32937" spans="7:7" ht="10.5" customHeight="1" x14ac:dyDescent="0.2">
      <c r="G32937" s="889"/>
    </row>
    <row r="32938" spans="7:7" ht="10.5" customHeight="1" x14ac:dyDescent="0.2">
      <c r="G32938" s="889"/>
    </row>
    <row r="32939" spans="7:7" ht="10.5" customHeight="1" x14ac:dyDescent="0.2">
      <c r="G32939" s="889"/>
    </row>
    <row r="32940" spans="7:7" ht="10.5" customHeight="1" x14ac:dyDescent="0.2">
      <c r="G32940" s="889"/>
    </row>
    <row r="32941" spans="7:7" ht="10.5" customHeight="1" x14ac:dyDescent="0.2">
      <c r="G32941" s="889"/>
    </row>
    <row r="32942" spans="7:7" ht="10.5" customHeight="1" x14ac:dyDescent="0.2">
      <c r="G32942" s="889"/>
    </row>
    <row r="32943" spans="7:7" ht="10.5" customHeight="1" x14ac:dyDescent="0.2">
      <c r="G32943" s="889"/>
    </row>
    <row r="32944" spans="7:7" ht="10.5" customHeight="1" x14ac:dyDescent="0.2">
      <c r="G32944" s="889"/>
    </row>
    <row r="32945" spans="7:7" ht="10.5" customHeight="1" x14ac:dyDescent="0.2">
      <c r="G32945" s="889"/>
    </row>
    <row r="32946" spans="7:7" ht="10.5" customHeight="1" x14ac:dyDescent="0.2">
      <c r="G32946" s="889"/>
    </row>
    <row r="32947" spans="7:7" ht="10.5" customHeight="1" x14ac:dyDescent="0.2">
      <c r="G32947" s="889"/>
    </row>
    <row r="32948" spans="7:7" ht="10.5" customHeight="1" x14ac:dyDescent="0.2">
      <c r="G32948" s="889"/>
    </row>
    <row r="32949" spans="7:7" ht="10.5" customHeight="1" x14ac:dyDescent="0.2">
      <c r="G32949" s="889"/>
    </row>
    <row r="32950" spans="7:7" ht="10.5" customHeight="1" x14ac:dyDescent="0.2">
      <c r="G32950" s="889"/>
    </row>
    <row r="32951" spans="7:7" ht="10.5" customHeight="1" x14ac:dyDescent="0.2">
      <c r="G32951" s="889"/>
    </row>
    <row r="32952" spans="7:7" ht="10.5" customHeight="1" x14ac:dyDescent="0.2">
      <c r="G32952" s="889"/>
    </row>
    <row r="32953" spans="7:7" ht="10.5" customHeight="1" x14ac:dyDescent="0.2">
      <c r="G32953" s="889"/>
    </row>
    <row r="32954" spans="7:7" ht="10.5" customHeight="1" x14ac:dyDescent="0.2">
      <c r="G32954" s="889"/>
    </row>
    <row r="32955" spans="7:7" ht="10.5" customHeight="1" x14ac:dyDescent="0.2">
      <c r="G32955" s="889"/>
    </row>
    <row r="32956" spans="7:7" ht="10.5" customHeight="1" x14ac:dyDescent="0.2">
      <c r="G32956" s="889"/>
    </row>
    <row r="32957" spans="7:7" ht="10.5" customHeight="1" x14ac:dyDescent="0.2">
      <c r="G32957" s="889"/>
    </row>
    <row r="32958" spans="7:7" ht="10.5" customHeight="1" x14ac:dyDescent="0.2">
      <c r="G32958" s="889"/>
    </row>
    <row r="32959" spans="7:7" ht="10.5" customHeight="1" x14ac:dyDescent="0.2">
      <c r="G32959" s="889"/>
    </row>
    <row r="32960" spans="7:7" ht="10.5" customHeight="1" x14ac:dyDescent="0.2">
      <c r="G32960" s="889"/>
    </row>
    <row r="32961" spans="7:7" ht="10.5" customHeight="1" x14ac:dyDescent="0.2">
      <c r="G32961" s="889"/>
    </row>
    <row r="32962" spans="7:7" ht="10.5" customHeight="1" x14ac:dyDescent="0.2">
      <c r="G32962" s="889"/>
    </row>
    <row r="32963" spans="7:7" ht="10.5" customHeight="1" x14ac:dyDescent="0.2">
      <c r="G32963" s="889"/>
    </row>
    <row r="32964" spans="7:7" ht="10.5" customHeight="1" x14ac:dyDescent="0.2">
      <c r="G32964" s="889"/>
    </row>
    <row r="32965" spans="7:7" ht="10.5" customHeight="1" x14ac:dyDescent="0.2">
      <c r="G32965" s="889"/>
    </row>
    <row r="32966" spans="7:7" ht="10.5" customHeight="1" x14ac:dyDescent="0.2">
      <c r="G32966" s="889"/>
    </row>
    <row r="32967" spans="7:7" ht="10.5" customHeight="1" x14ac:dyDescent="0.2">
      <c r="G32967" s="889"/>
    </row>
    <row r="32968" spans="7:7" ht="10.5" customHeight="1" x14ac:dyDescent="0.2">
      <c r="G32968" s="889"/>
    </row>
    <row r="32969" spans="7:7" ht="10.5" customHeight="1" x14ac:dyDescent="0.2">
      <c r="G32969" s="889"/>
    </row>
    <row r="32970" spans="7:7" ht="10.5" customHeight="1" x14ac:dyDescent="0.2">
      <c r="G32970" s="889"/>
    </row>
    <row r="32971" spans="7:7" ht="10.5" customHeight="1" x14ac:dyDescent="0.2">
      <c r="G32971" s="889"/>
    </row>
    <row r="32972" spans="7:7" ht="10.5" customHeight="1" x14ac:dyDescent="0.2">
      <c r="G32972" s="889"/>
    </row>
    <row r="32973" spans="7:7" ht="10.5" customHeight="1" x14ac:dyDescent="0.2">
      <c r="G32973" s="889"/>
    </row>
    <row r="32974" spans="7:7" ht="10.5" customHeight="1" x14ac:dyDescent="0.2">
      <c r="G32974" s="889"/>
    </row>
    <row r="32975" spans="7:7" ht="10.5" customHeight="1" x14ac:dyDescent="0.2">
      <c r="G32975" s="889"/>
    </row>
    <row r="32976" spans="7:7" ht="10.5" customHeight="1" x14ac:dyDescent="0.2">
      <c r="G32976" s="889"/>
    </row>
    <row r="32977" spans="7:7" ht="10.5" customHeight="1" x14ac:dyDescent="0.2">
      <c r="G32977" s="889"/>
    </row>
    <row r="32978" spans="7:7" ht="10.5" customHeight="1" x14ac:dyDescent="0.2">
      <c r="G32978" s="889"/>
    </row>
    <row r="32979" spans="7:7" ht="10.5" customHeight="1" x14ac:dyDescent="0.2">
      <c r="G32979" s="889"/>
    </row>
    <row r="32980" spans="7:7" ht="10.5" customHeight="1" x14ac:dyDescent="0.2">
      <c r="G32980" s="889"/>
    </row>
    <row r="32981" spans="7:7" ht="10.5" customHeight="1" x14ac:dyDescent="0.2">
      <c r="G32981" s="889"/>
    </row>
    <row r="32982" spans="7:7" ht="10.5" customHeight="1" x14ac:dyDescent="0.2">
      <c r="G32982" s="889"/>
    </row>
    <row r="32983" spans="7:7" ht="10.5" customHeight="1" x14ac:dyDescent="0.2">
      <c r="G32983" s="889"/>
    </row>
    <row r="32984" spans="7:7" ht="10.5" customHeight="1" x14ac:dyDescent="0.2">
      <c r="G32984" s="889"/>
    </row>
    <row r="32985" spans="7:7" ht="10.5" customHeight="1" x14ac:dyDescent="0.2">
      <c r="G32985" s="889"/>
    </row>
    <row r="32986" spans="7:7" ht="10.5" customHeight="1" x14ac:dyDescent="0.2">
      <c r="G32986" s="889"/>
    </row>
    <row r="32987" spans="7:7" ht="10.5" customHeight="1" x14ac:dyDescent="0.2">
      <c r="G32987" s="889"/>
    </row>
    <row r="32988" spans="7:7" ht="10.5" customHeight="1" x14ac:dyDescent="0.2">
      <c r="G32988" s="889"/>
    </row>
    <row r="32989" spans="7:7" ht="10.5" customHeight="1" x14ac:dyDescent="0.2">
      <c r="G32989" s="889"/>
    </row>
    <row r="32990" spans="7:7" ht="10.5" customHeight="1" x14ac:dyDescent="0.2">
      <c r="G32990" s="889"/>
    </row>
    <row r="32991" spans="7:7" ht="10.5" customHeight="1" x14ac:dyDescent="0.2">
      <c r="G32991" s="889"/>
    </row>
    <row r="32992" spans="7:7" ht="10.5" customHeight="1" x14ac:dyDescent="0.2">
      <c r="G32992" s="889"/>
    </row>
    <row r="32993" spans="7:7" ht="10.5" customHeight="1" x14ac:dyDescent="0.2">
      <c r="G32993" s="889"/>
    </row>
    <row r="32994" spans="7:7" ht="10.5" customHeight="1" x14ac:dyDescent="0.2">
      <c r="G32994" s="889"/>
    </row>
    <row r="32995" spans="7:7" ht="10.5" customHeight="1" x14ac:dyDescent="0.2">
      <c r="G32995" s="889"/>
    </row>
    <row r="32996" spans="7:7" ht="10.5" customHeight="1" x14ac:dyDescent="0.2">
      <c r="G32996" s="889"/>
    </row>
    <row r="32997" spans="7:7" ht="10.5" customHeight="1" x14ac:dyDescent="0.2">
      <c r="G32997" s="889"/>
    </row>
    <row r="32998" spans="7:7" ht="10.5" customHeight="1" x14ac:dyDescent="0.2">
      <c r="G32998" s="889"/>
    </row>
    <row r="32999" spans="7:7" ht="10.5" customHeight="1" x14ac:dyDescent="0.2">
      <c r="G32999" s="889"/>
    </row>
    <row r="33000" spans="7:7" ht="10.5" customHeight="1" x14ac:dyDescent="0.2">
      <c r="G33000" s="889"/>
    </row>
    <row r="33001" spans="7:7" ht="10.5" customHeight="1" x14ac:dyDescent="0.2">
      <c r="G33001" s="889"/>
    </row>
    <row r="33002" spans="7:7" ht="10.5" customHeight="1" x14ac:dyDescent="0.2">
      <c r="G33002" s="889"/>
    </row>
    <row r="33003" spans="7:7" ht="10.5" customHeight="1" x14ac:dyDescent="0.2">
      <c r="G33003" s="889"/>
    </row>
    <row r="33004" spans="7:7" ht="10.5" customHeight="1" x14ac:dyDescent="0.2">
      <c r="G33004" s="889"/>
    </row>
    <row r="33005" spans="7:7" ht="10.5" customHeight="1" x14ac:dyDescent="0.2">
      <c r="G33005" s="889"/>
    </row>
    <row r="33006" spans="7:7" ht="10.5" customHeight="1" x14ac:dyDescent="0.2">
      <c r="G33006" s="889"/>
    </row>
    <row r="33007" spans="7:7" ht="10.5" customHeight="1" x14ac:dyDescent="0.2">
      <c r="G33007" s="889"/>
    </row>
    <row r="33008" spans="7:7" ht="10.5" customHeight="1" x14ac:dyDescent="0.2">
      <c r="G33008" s="889"/>
    </row>
    <row r="33009" spans="7:7" ht="10.5" customHeight="1" x14ac:dyDescent="0.2">
      <c r="G33009" s="889"/>
    </row>
    <row r="33010" spans="7:7" ht="10.5" customHeight="1" x14ac:dyDescent="0.2">
      <c r="G33010" s="889"/>
    </row>
    <row r="33011" spans="7:7" ht="10.5" customHeight="1" x14ac:dyDescent="0.2">
      <c r="G33011" s="889"/>
    </row>
    <row r="33012" spans="7:7" ht="10.5" customHeight="1" x14ac:dyDescent="0.2">
      <c r="G33012" s="889"/>
    </row>
    <row r="33013" spans="7:7" ht="10.5" customHeight="1" x14ac:dyDescent="0.2">
      <c r="G33013" s="889"/>
    </row>
    <row r="33014" spans="7:7" ht="10.5" customHeight="1" x14ac:dyDescent="0.2">
      <c r="G33014" s="889"/>
    </row>
    <row r="33015" spans="7:7" ht="10.5" customHeight="1" x14ac:dyDescent="0.2">
      <c r="G33015" s="889"/>
    </row>
    <row r="33016" spans="7:7" ht="10.5" customHeight="1" x14ac:dyDescent="0.2">
      <c r="G33016" s="889"/>
    </row>
    <row r="33017" spans="7:7" ht="10.5" customHeight="1" x14ac:dyDescent="0.2">
      <c r="G33017" s="889"/>
    </row>
    <row r="33018" spans="7:7" ht="10.5" customHeight="1" x14ac:dyDescent="0.2">
      <c r="G33018" s="889"/>
    </row>
    <row r="33019" spans="7:7" ht="10.5" customHeight="1" x14ac:dyDescent="0.2">
      <c r="G33019" s="889"/>
    </row>
    <row r="33020" spans="7:7" ht="10.5" customHeight="1" x14ac:dyDescent="0.2">
      <c r="G33020" s="889"/>
    </row>
    <row r="33021" spans="7:7" ht="10.5" customHeight="1" x14ac:dyDescent="0.2">
      <c r="G33021" s="889"/>
    </row>
    <row r="33022" spans="7:7" ht="10.5" customHeight="1" x14ac:dyDescent="0.2">
      <c r="G33022" s="889"/>
    </row>
    <row r="33023" spans="7:7" ht="10.5" customHeight="1" x14ac:dyDescent="0.2">
      <c r="G33023" s="889"/>
    </row>
    <row r="33024" spans="7:7" ht="10.5" customHeight="1" x14ac:dyDescent="0.2">
      <c r="G33024" s="889"/>
    </row>
    <row r="33025" spans="7:7" ht="10.5" customHeight="1" x14ac:dyDescent="0.2">
      <c r="G33025" s="889"/>
    </row>
    <row r="33026" spans="7:7" ht="10.5" customHeight="1" x14ac:dyDescent="0.2">
      <c r="G33026" s="889"/>
    </row>
    <row r="33027" spans="7:7" ht="10.5" customHeight="1" x14ac:dyDescent="0.2">
      <c r="G33027" s="889"/>
    </row>
    <row r="33028" spans="7:7" ht="10.5" customHeight="1" x14ac:dyDescent="0.2">
      <c r="G33028" s="889"/>
    </row>
    <row r="33029" spans="7:7" ht="10.5" customHeight="1" x14ac:dyDescent="0.2">
      <c r="G33029" s="889"/>
    </row>
    <row r="33030" spans="7:7" ht="10.5" customHeight="1" x14ac:dyDescent="0.2">
      <c r="G33030" s="889"/>
    </row>
    <row r="33031" spans="7:7" ht="10.5" customHeight="1" x14ac:dyDescent="0.2">
      <c r="G33031" s="889"/>
    </row>
    <row r="33032" spans="7:7" ht="10.5" customHeight="1" x14ac:dyDescent="0.2">
      <c r="G33032" s="889"/>
    </row>
    <row r="33033" spans="7:7" ht="10.5" customHeight="1" x14ac:dyDescent="0.2">
      <c r="G33033" s="889"/>
    </row>
    <row r="33034" spans="7:7" ht="10.5" customHeight="1" x14ac:dyDescent="0.2">
      <c r="G33034" s="889"/>
    </row>
    <row r="33035" spans="7:7" ht="10.5" customHeight="1" x14ac:dyDescent="0.2">
      <c r="G33035" s="889"/>
    </row>
    <row r="33036" spans="7:7" ht="10.5" customHeight="1" x14ac:dyDescent="0.2">
      <c r="G33036" s="889"/>
    </row>
    <row r="33037" spans="7:7" ht="10.5" customHeight="1" x14ac:dyDescent="0.2">
      <c r="G33037" s="889"/>
    </row>
    <row r="33038" spans="7:7" ht="10.5" customHeight="1" x14ac:dyDescent="0.2">
      <c r="G33038" s="889"/>
    </row>
    <row r="33039" spans="7:7" ht="10.5" customHeight="1" x14ac:dyDescent="0.2">
      <c r="G33039" s="889"/>
    </row>
    <row r="33040" spans="7:7" ht="10.5" customHeight="1" x14ac:dyDescent="0.2">
      <c r="G33040" s="889"/>
    </row>
    <row r="33041" spans="7:7" ht="10.5" customHeight="1" x14ac:dyDescent="0.2">
      <c r="G33041" s="889"/>
    </row>
    <row r="33042" spans="7:7" ht="10.5" customHeight="1" x14ac:dyDescent="0.2">
      <c r="G33042" s="889"/>
    </row>
    <row r="33043" spans="7:7" ht="10.5" customHeight="1" x14ac:dyDescent="0.2">
      <c r="G33043" s="889"/>
    </row>
    <row r="33044" spans="7:7" ht="10.5" customHeight="1" x14ac:dyDescent="0.2">
      <c r="G33044" s="889"/>
    </row>
    <row r="33045" spans="7:7" ht="10.5" customHeight="1" x14ac:dyDescent="0.2">
      <c r="G33045" s="889"/>
    </row>
    <row r="33046" spans="7:7" ht="10.5" customHeight="1" x14ac:dyDescent="0.2">
      <c r="G33046" s="889"/>
    </row>
    <row r="33047" spans="7:7" ht="10.5" customHeight="1" x14ac:dyDescent="0.2">
      <c r="G33047" s="889"/>
    </row>
    <row r="33048" spans="7:7" ht="10.5" customHeight="1" x14ac:dyDescent="0.2">
      <c r="G33048" s="889"/>
    </row>
    <row r="33049" spans="7:7" ht="10.5" customHeight="1" x14ac:dyDescent="0.2">
      <c r="G33049" s="889"/>
    </row>
    <row r="33050" spans="7:7" ht="10.5" customHeight="1" x14ac:dyDescent="0.2">
      <c r="G33050" s="889"/>
    </row>
    <row r="33051" spans="7:7" ht="10.5" customHeight="1" x14ac:dyDescent="0.2">
      <c r="G33051" s="889"/>
    </row>
    <row r="33052" spans="7:7" ht="10.5" customHeight="1" x14ac:dyDescent="0.2">
      <c r="G33052" s="889"/>
    </row>
    <row r="33053" spans="7:7" ht="10.5" customHeight="1" x14ac:dyDescent="0.2">
      <c r="G33053" s="889"/>
    </row>
    <row r="33054" spans="7:7" ht="10.5" customHeight="1" x14ac:dyDescent="0.2">
      <c r="G33054" s="889"/>
    </row>
    <row r="33055" spans="7:7" ht="10.5" customHeight="1" x14ac:dyDescent="0.2">
      <c r="G33055" s="889"/>
    </row>
    <row r="33056" spans="7:7" ht="10.5" customHeight="1" x14ac:dyDescent="0.2">
      <c r="G33056" s="889"/>
    </row>
    <row r="33057" spans="7:7" ht="10.5" customHeight="1" x14ac:dyDescent="0.2">
      <c r="G33057" s="889"/>
    </row>
    <row r="33058" spans="7:7" ht="10.5" customHeight="1" x14ac:dyDescent="0.2">
      <c r="G33058" s="889"/>
    </row>
    <row r="33059" spans="7:7" ht="10.5" customHeight="1" x14ac:dyDescent="0.2">
      <c r="G33059" s="889"/>
    </row>
    <row r="33060" spans="7:7" ht="10.5" customHeight="1" x14ac:dyDescent="0.2">
      <c r="G33060" s="889"/>
    </row>
    <row r="33061" spans="7:7" ht="10.5" customHeight="1" x14ac:dyDescent="0.2">
      <c r="G33061" s="889"/>
    </row>
    <row r="33062" spans="7:7" ht="10.5" customHeight="1" x14ac:dyDescent="0.2">
      <c r="G33062" s="889"/>
    </row>
    <row r="33063" spans="7:7" ht="10.5" customHeight="1" x14ac:dyDescent="0.2">
      <c r="G33063" s="889"/>
    </row>
    <row r="33064" spans="7:7" ht="10.5" customHeight="1" x14ac:dyDescent="0.2">
      <c r="G33064" s="889"/>
    </row>
    <row r="33065" spans="7:7" ht="10.5" customHeight="1" x14ac:dyDescent="0.2">
      <c r="G33065" s="889"/>
    </row>
    <row r="33066" spans="7:7" ht="10.5" customHeight="1" x14ac:dyDescent="0.2">
      <c r="G33066" s="889"/>
    </row>
    <row r="33067" spans="7:7" ht="10.5" customHeight="1" x14ac:dyDescent="0.2">
      <c r="G33067" s="889"/>
    </row>
    <row r="33068" spans="7:7" ht="10.5" customHeight="1" x14ac:dyDescent="0.2">
      <c r="G33068" s="889"/>
    </row>
    <row r="33069" spans="7:7" ht="10.5" customHeight="1" x14ac:dyDescent="0.2">
      <c r="G33069" s="889"/>
    </row>
    <row r="33070" spans="7:7" ht="10.5" customHeight="1" x14ac:dyDescent="0.2">
      <c r="G33070" s="889"/>
    </row>
    <row r="33071" spans="7:7" ht="10.5" customHeight="1" x14ac:dyDescent="0.2">
      <c r="G33071" s="889"/>
    </row>
    <row r="33072" spans="7:7" ht="10.5" customHeight="1" x14ac:dyDescent="0.2">
      <c r="G33072" s="889"/>
    </row>
    <row r="33073" spans="7:7" ht="10.5" customHeight="1" x14ac:dyDescent="0.2">
      <c r="G33073" s="889"/>
    </row>
    <row r="33074" spans="7:7" ht="10.5" customHeight="1" x14ac:dyDescent="0.2">
      <c r="G33074" s="889"/>
    </row>
    <row r="33075" spans="7:7" ht="10.5" customHeight="1" x14ac:dyDescent="0.2">
      <c r="G33075" s="889"/>
    </row>
    <row r="33076" spans="7:7" ht="10.5" customHeight="1" x14ac:dyDescent="0.2">
      <c r="G33076" s="889"/>
    </row>
    <row r="33077" spans="7:7" ht="10.5" customHeight="1" x14ac:dyDescent="0.2">
      <c r="G33077" s="889"/>
    </row>
    <row r="33078" spans="7:7" ht="10.5" customHeight="1" x14ac:dyDescent="0.2">
      <c r="G33078" s="889"/>
    </row>
    <row r="33079" spans="7:7" ht="10.5" customHeight="1" x14ac:dyDescent="0.2">
      <c r="G33079" s="889"/>
    </row>
    <row r="33080" spans="7:7" ht="10.5" customHeight="1" x14ac:dyDescent="0.2">
      <c r="G33080" s="889"/>
    </row>
    <row r="33081" spans="7:7" ht="10.5" customHeight="1" x14ac:dyDescent="0.2">
      <c r="G33081" s="889"/>
    </row>
    <row r="33082" spans="7:7" ht="10.5" customHeight="1" x14ac:dyDescent="0.2">
      <c r="G33082" s="889"/>
    </row>
    <row r="33083" spans="7:7" ht="10.5" customHeight="1" x14ac:dyDescent="0.2">
      <c r="G33083" s="889"/>
    </row>
    <row r="33084" spans="7:7" ht="10.5" customHeight="1" x14ac:dyDescent="0.2">
      <c r="G33084" s="889"/>
    </row>
    <row r="33085" spans="7:7" ht="10.5" customHeight="1" x14ac:dyDescent="0.2">
      <c r="G33085" s="889"/>
    </row>
    <row r="33086" spans="7:7" ht="10.5" customHeight="1" x14ac:dyDescent="0.2">
      <c r="G33086" s="889"/>
    </row>
    <row r="33087" spans="7:7" ht="10.5" customHeight="1" x14ac:dyDescent="0.2">
      <c r="G33087" s="889"/>
    </row>
    <row r="33088" spans="7:7" ht="10.5" customHeight="1" x14ac:dyDescent="0.2">
      <c r="G33088" s="889"/>
    </row>
    <row r="33089" spans="7:7" ht="10.5" customHeight="1" x14ac:dyDescent="0.2">
      <c r="G33089" s="889"/>
    </row>
    <row r="33090" spans="7:7" ht="10.5" customHeight="1" x14ac:dyDescent="0.2">
      <c r="G33090" s="889"/>
    </row>
    <row r="33091" spans="7:7" ht="10.5" customHeight="1" x14ac:dyDescent="0.2">
      <c r="G33091" s="889"/>
    </row>
    <row r="33092" spans="7:7" ht="10.5" customHeight="1" x14ac:dyDescent="0.2">
      <c r="G33092" s="889"/>
    </row>
    <row r="33093" spans="7:7" ht="10.5" customHeight="1" x14ac:dyDescent="0.2">
      <c r="G33093" s="889"/>
    </row>
    <row r="33094" spans="7:7" ht="10.5" customHeight="1" x14ac:dyDescent="0.2">
      <c r="G33094" s="889"/>
    </row>
    <row r="33095" spans="7:7" ht="10.5" customHeight="1" x14ac:dyDescent="0.2">
      <c r="G33095" s="889"/>
    </row>
    <row r="33096" spans="7:7" ht="10.5" customHeight="1" x14ac:dyDescent="0.2">
      <c r="G33096" s="889"/>
    </row>
    <row r="33097" spans="7:7" ht="10.5" customHeight="1" x14ac:dyDescent="0.2">
      <c r="G33097" s="889"/>
    </row>
    <row r="33098" spans="7:7" ht="10.5" customHeight="1" x14ac:dyDescent="0.2">
      <c r="G33098" s="889"/>
    </row>
    <row r="33099" spans="7:7" ht="10.5" customHeight="1" x14ac:dyDescent="0.2">
      <c r="G33099" s="889"/>
    </row>
    <row r="33100" spans="7:7" ht="10.5" customHeight="1" x14ac:dyDescent="0.2">
      <c r="G33100" s="889"/>
    </row>
    <row r="33101" spans="7:7" ht="10.5" customHeight="1" x14ac:dyDescent="0.2">
      <c r="G33101" s="889"/>
    </row>
    <row r="33102" spans="7:7" ht="10.5" customHeight="1" x14ac:dyDescent="0.2">
      <c r="G33102" s="889"/>
    </row>
    <row r="33103" spans="7:7" ht="10.5" customHeight="1" x14ac:dyDescent="0.2">
      <c r="G33103" s="889"/>
    </row>
    <row r="33104" spans="7:7" ht="10.5" customHeight="1" x14ac:dyDescent="0.2">
      <c r="G33104" s="889"/>
    </row>
    <row r="33105" spans="7:7" ht="10.5" customHeight="1" x14ac:dyDescent="0.2">
      <c r="G33105" s="889"/>
    </row>
    <row r="33106" spans="7:7" ht="10.5" customHeight="1" x14ac:dyDescent="0.2">
      <c r="G33106" s="889"/>
    </row>
    <row r="33107" spans="7:7" ht="10.5" customHeight="1" x14ac:dyDescent="0.2">
      <c r="G33107" s="889"/>
    </row>
    <row r="33108" spans="7:7" ht="10.5" customHeight="1" x14ac:dyDescent="0.2">
      <c r="G33108" s="889"/>
    </row>
    <row r="33109" spans="7:7" ht="10.5" customHeight="1" x14ac:dyDescent="0.2">
      <c r="G33109" s="889"/>
    </row>
    <row r="33110" spans="7:7" ht="10.5" customHeight="1" x14ac:dyDescent="0.2">
      <c r="G33110" s="889"/>
    </row>
    <row r="33111" spans="7:7" ht="10.5" customHeight="1" x14ac:dyDescent="0.2">
      <c r="G33111" s="889"/>
    </row>
    <row r="33112" spans="7:7" ht="10.5" customHeight="1" x14ac:dyDescent="0.2">
      <c r="G33112" s="889"/>
    </row>
    <row r="33113" spans="7:7" ht="10.5" customHeight="1" x14ac:dyDescent="0.2">
      <c r="G33113" s="889"/>
    </row>
    <row r="33114" spans="7:7" ht="10.5" customHeight="1" x14ac:dyDescent="0.2">
      <c r="G33114" s="889"/>
    </row>
    <row r="33115" spans="7:7" ht="10.5" customHeight="1" x14ac:dyDescent="0.2">
      <c r="G33115" s="889"/>
    </row>
    <row r="33116" spans="7:7" ht="10.5" customHeight="1" x14ac:dyDescent="0.2">
      <c r="G33116" s="889"/>
    </row>
    <row r="33117" spans="7:7" ht="10.5" customHeight="1" x14ac:dyDescent="0.2">
      <c r="G33117" s="889"/>
    </row>
    <row r="33118" spans="7:7" ht="10.5" customHeight="1" x14ac:dyDescent="0.2">
      <c r="G33118" s="889"/>
    </row>
    <row r="33119" spans="7:7" ht="10.5" customHeight="1" x14ac:dyDescent="0.2">
      <c r="G33119" s="889"/>
    </row>
    <row r="33120" spans="7:7" ht="10.5" customHeight="1" x14ac:dyDescent="0.2">
      <c r="G33120" s="889"/>
    </row>
    <row r="33121" spans="7:7" ht="10.5" customHeight="1" x14ac:dyDescent="0.2">
      <c r="G33121" s="889"/>
    </row>
    <row r="33122" spans="7:7" ht="10.5" customHeight="1" x14ac:dyDescent="0.2">
      <c r="G33122" s="889"/>
    </row>
    <row r="33123" spans="7:7" ht="10.5" customHeight="1" x14ac:dyDescent="0.2">
      <c r="G33123" s="889"/>
    </row>
    <row r="33124" spans="7:7" ht="10.5" customHeight="1" x14ac:dyDescent="0.2">
      <c r="G33124" s="889"/>
    </row>
    <row r="33125" spans="7:7" ht="10.5" customHeight="1" x14ac:dyDescent="0.2">
      <c r="G33125" s="889"/>
    </row>
    <row r="33126" spans="7:7" ht="10.5" customHeight="1" x14ac:dyDescent="0.2">
      <c r="G33126" s="889"/>
    </row>
    <row r="33127" spans="7:7" ht="10.5" customHeight="1" x14ac:dyDescent="0.2">
      <c r="G33127" s="889"/>
    </row>
    <row r="33128" spans="7:7" ht="10.5" customHeight="1" x14ac:dyDescent="0.2">
      <c r="G33128" s="889"/>
    </row>
    <row r="33129" spans="7:7" ht="10.5" customHeight="1" x14ac:dyDescent="0.2">
      <c r="G33129" s="889"/>
    </row>
    <row r="33130" spans="7:7" ht="10.5" customHeight="1" x14ac:dyDescent="0.2">
      <c r="G33130" s="889"/>
    </row>
    <row r="33131" spans="7:7" ht="10.5" customHeight="1" x14ac:dyDescent="0.2">
      <c r="G33131" s="889"/>
    </row>
    <row r="33132" spans="7:7" ht="10.5" customHeight="1" x14ac:dyDescent="0.2">
      <c r="G33132" s="889"/>
    </row>
    <row r="33133" spans="7:7" ht="10.5" customHeight="1" x14ac:dyDescent="0.2">
      <c r="G33133" s="889"/>
    </row>
    <row r="33134" spans="7:7" ht="10.5" customHeight="1" x14ac:dyDescent="0.2">
      <c r="G33134" s="889"/>
    </row>
    <row r="33135" spans="7:7" ht="10.5" customHeight="1" x14ac:dyDescent="0.2">
      <c r="G33135" s="889"/>
    </row>
    <row r="33136" spans="7:7" ht="10.5" customHeight="1" x14ac:dyDescent="0.2">
      <c r="G33136" s="889"/>
    </row>
    <row r="33137" spans="7:7" ht="10.5" customHeight="1" x14ac:dyDescent="0.2">
      <c r="G33137" s="889"/>
    </row>
    <row r="33138" spans="7:7" ht="10.5" customHeight="1" x14ac:dyDescent="0.2">
      <c r="G33138" s="889"/>
    </row>
    <row r="33139" spans="7:7" ht="10.5" customHeight="1" x14ac:dyDescent="0.2">
      <c r="G33139" s="889"/>
    </row>
    <row r="33140" spans="7:7" ht="10.5" customHeight="1" x14ac:dyDescent="0.2">
      <c r="G33140" s="889"/>
    </row>
    <row r="33141" spans="7:7" ht="10.5" customHeight="1" x14ac:dyDescent="0.2">
      <c r="G33141" s="889"/>
    </row>
    <row r="33142" spans="7:7" ht="10.5" customHeight="1" x14ac:dyDescent="0.2">
      <c r="G33142" s="889"/>
    </row>
    <row r="33143" spans="7:7" ht="10.5" customHeight="1" x14ac:dyDescent="0.2">
      <c r="G33143" s="889"/>
    </row>
    <row r="33144" spans="7:7" ht="10.5" customHeight="1" x14ac:dyDescent="0.2">
      <c r="G33144" s="889"/>
    </row>
    <row r="33145" spans="7:7" ht="10.5" customHeight="1" x14ac:dyDescent="0.2">
      <c r="G33145" s="889"/>
    </row>
    <row r="33146" spans="7:7" ht="10.5" customHeight="1" x14ac:dyDescent="0.2">
      <c r="G33146" s="889"/>
    </row>
    <row r="33147" spans="7:7" ht="10.5" customHeight="1" x14ac:dyDescent="0.2">
      <c r="G33147" s="889"/>
    </row>
    <row r="33148" spans="7:7" ht="10.5" customHeight="1" x14ac:dyDescent="0.2">
      <c r="G33148" s="889"/>
    </row>
    <row r="33149" spans="7:7" ht="10.5" customHeight="1" x14ac:dyDescent="0.2">
      <c r="G33149" s="889"/>
    </row>
    <row r="33150" spans="7:7" ht="10.5" customHeight="1" x14ac:dyDescent="0.2">
      <c r="G33150" s="889"/>
    </row>
    <row r="33151" spans="7:7" ht="10.5" customHeight="1" x14ac:dyDescent="0.2">
      <c r="G33151" s="889"/>
    </row>
    <row r="33152" spans="7:7" ht="10.5" customHeight="1" x14ac:dyDescent="0.2">
      <c r="G33152" s="889"/>
    </row>
    <row r="33153" spans="7:7" ht="10.5" customHeight="1" x14ac:dyDescent="0.2">
      <c r="G33153" s="889"/>
    </row>
    <row r="33154" spans="7:7" ht="10.5" customHeight="1" x14ac:dyDescent="0.2">
      <c r="G33154" s="889"/>
    </row>
    <row r="33155" spans="7:7" ht="10.5" customHeight="1" x14ac:dyDescent="0.2">
      <c r="G33155" s="889"/>
    </row>
    <row r="33156" spans="7:7" ht="10.5" customHeight="1" x14ac:dyDescent="0.2">
      <c r="G33156" s="889"/>
    </row>
    <row r="33157" spans="7:7" ht="10.5" customHeight="1" x14ac:dyDescent="0.2">
      <c r="G33157" s="889"/>
    </row>
    <row r="33158" spans="7:7" ht="10.5" customHeight="1" x14ac:dyDescent="0.2">
      <c r="G33158" s="889"/>
    </row>
    <row r="33159" spans="7:7" ht="10.5" customHeight="1" x14ac:dyDescent="0.2">
      <c r="G33159" s="889"/>
    </row>
    <row r="33160" spans="7:7" ht="10.5" customHeight="1" x14ac:dyDescent="0.2">
      <c r="G33160" s="889"/>
    </row>
    <row r="33161" spans="7:7" ht="10.5" customHeight="1" x14ac:dyDescent="0.2">
      <c r="G33161" s="889"/>
    </row>
    <row r="33162" spans="7:7" ht="10.5" customHeight="1" x14ac:dyDescent="0.2">
      <c r="G33162" s="889"/>
    </row>
    <row r="33163" spans="7:7" ht="10.5" customHeight="1" x14ac:dyDescent="0.2">
      <c r="G33163" s="889"/>
    </row>
    <row r="33164" spans="7:7" ht="10.5" customHeight="1" x14ac:dyDescent="0.2">
      <c r="G33164" s="889"/>
    </row>
    <row r="33165" spans="7:7" ht="10.5" customHeight="1" x14ac:dyDescent="0.2">
      <c r="G33165" s="889"/>
    </row>
    <row r="33166" spans="7:7" ht="10.5" customHeight="1" x14ac:dyDescent="0.2">
      <c r="G33166" s="889"/>
    </row>
    <row r="33167" spans="7:7" ht="10.5" customHeight="1" x14ac:dyDescent="0.2">
      <c r="G33167" s="889"/>
    </row>
    <row r="33168" spans="7:7" ht="10.5" customHeight="1" x14ac:dyDescent="0.2">
      <c r="G33168" s="889"/>
    </row>
    <row r="33169" spans="7:7" ht="10.5" customHeight="1" x14ac:dyDescent="0.2">
      <c r="G33169" s="889"/>
    </row>
    <row r="33170" spans="7:7" ht="10.5" customHeight="1" x14ac:dyDescent="0.2">
      <c r="G33170" s="889"/>
    </row>
    <row r="33171" spans="7:7" ht="10.5" customHeight="1" x14ac:dyDescent="0.2">
      <c r="G33171" s="889"/>
    </row>
    <row r="33172" spans="7:7" ht="10.5" customHeight="1" x14ac:dyDescent="0.2">
      <c r="G33172" s="889"/>
    </row>
    <row r="33173" spans="7:7" ht="10.5" customHeight="1" x14ac:dyDescent="0.2">
      <c r="G33173" s="889"/>
    </row>
    <row r="33174" spans="7:7" ht="10.5" customHeight="1" x14ac:dyDescent="0.2">
      <c r="G33174" s="889"/>
    </row>
    <row r="33175" spans="7:7" ht="10.5" customHeight="1" x14ac:dyDescent="0.2">
      <c r="G33175" s="889"/>
    </row>
    <row r="33176" spans="7:7" ht="10.5" customHeight="1" x14ac:dyDescent="0.2">
      <c r="G33176" s="889"/>
    </row>
    <row r="33177" spans="7:7" ht="10.5" customHeight="1" x14ac:dyDescent="0.2">
      <c r="G33177" s="889"/>
    </row>
    <row r="33178" spans="7:7" ht="10.5" customHeight="1" x14ac:dyDescent="0.2">
      <c r="G33178" s="889"/>
    </row>
    <row r="33179" spans="7:7" ht="10.5" customHeight="1" x14ac:dyDescent="0.2">
      <c r="G33179" s="889"/>
    </row>
    <row r="33180" spans="7:7" ht="10.5" customHeight="1" x14ac:dyDescent="0.2">
      <c r="G33180" s="889"/>
    </row>
    <row r="33181" spans="7:7" ht="10.5" customHeight="1" x14ac:dyDescent="0.2">
      <c r="G33181" s="889"/>
    </row>
    <row r="33182" spans="7:7" ht="10.5" customHeight="1" x14ac:dyDescent="0.2">
      <c r="G33182" s="889"/>
    </row>
    <row r="33183" spans="7:7" ht="10.5" customHeight="1" x14ac:dyDescent="0.2">
      <c r="G33183" s="889"/>
    </row>
    <row r="33184" spans="7:7" ht="10.5" customHeight="1" x14ac:dyDescent="0.2">
      <c r="G33184" s="889"/>
    </row>
    <row r="33185" spans="7:7" ht="10.5" customHeight="1" x14ac:dyDescent="0.2">
      <c r="G33185" s="889"/>
    </row>
    <row r="33186" spans="7:7" ht="10.5" customHeight="1" x14ac:dyDescent="0.2">
      <c r="G33186" s="889"/>
    </row>
    <row r="33187" spans="7:7" ht="10.5" customHeight="1" x14ac:dyDescent="0.2">
      <c r="G33187" s="889"/>
    </row>
    <row r="33188" spans="7:7" ht="10.5" customHeight="1" x14ac:dyDescent="0.2">
      <c r="G33188" s="889"/>
    </row>
    <row r="33189" spans="7:7" ht="10.5" customHeight="1" x14ac:dyDescent="0.2">
      <c r="G33189" s="889"/>
    </row>
    <row r="33190" spans="7:7" ht="10.5" customHeight="1" x14ac:dyDescent="0.2">
      <c r="G33190" s="889"/>
    </row>
    <row r="33191" spans="7:7" ht="10.5" customHeight="1" x14ac:dyDescent="0.2">
      <c r="G33191" s="889"/>
    </row>
    <row r="33192" spans="7:7" ht="10.5" customHeight="1" x14ac:dyDescent="0.2">
      <c r="G33192" s="889"/>
    </row>
    <row r="33193" spans="7:7" ht="10.5" customHeight="1" x14ac:dyDescent="0.2">
      <c r="G33193" s="889"/>
    </row>
    <row r="33194" spans="7:7" ht="10.5" customHeight="1" x14ac:dyDescent="0.2">
      <c r="G33194" s="889"/>
    </row>
    <row r="33195" spans="7:7" ht="10.5" customHeight="1" x14ac:dyDescent="0.2">
      <c r="G33195" s="889"/>
    </row>
    <row r="33196" spans="7:7" ht="10.5" customHeight="1" x14ac:dyDescent="0.2">
      <c r="G33196" s="889"/>
    </row>
    <row r="33197" spans="7:7" ht="10.5" customHeight="1" x14ac:dyDescent="0.2">
      <c r="G33197" s="889"/>
    </row>
    <row r="33198" spans="7:7" ht="10.5" customHeight="1" x14ac:dyDescent="0.2">
      <c r="G33198" s="889"/>
    </row>
    <row r="33199" spans="7:7" ht="10.5" customHeight="1" x14ac:dyDescent="0.2">
      <c r="G33199" s="889"/>
    </row>
    <row r="33200" spans="7:7" ht="10.5" customHeight="1" x14ac:dyDescent="0.2">
      <c r="G33200" s="889"/>
    </row>
    <row r="33201" spans="7:7" ht="10.5" customHeight="1" x14ac:dyDescent="0.2">
      <c r="G33201" s="889"/>
    </row>
    <row r="33202" spans="7:7" ht="10.5" customHeight="1" x14ac:dyDescent="0.2">
      <c r="G33202" s="889"/>
    </row>
    <row r="33203" spans="7:7" ht="10.5" customHeight="1" x14ac:dyDescent="0.2">
      <c r="G33203" s="889"/>
    </row>
    <row r="33204" spans="7:7" ht="10.5" customHeight="1" x14ac:dyDescent="0.2">
      <c r="G33204" s="889"/>
    </row>
    <row r="33205" spans="7:7" ht="10.5" customHeight="1" x14ac:dyDescent="0.2">
      <c r="G33205" s="889"/>
    </row>
    <row r="33206" spans="7:7" ht="10.5" customHeight="1" x14ac:dyDescent="0.2">
      <c r="G33206" s="889"/>
    </row>
    <row r="33207" spans="7:7" ht="10.5" customHeight="1" x14ac:dyDescent="0.2">
      <c r="G33207" s="889"/>
    </row>
    <row r="33208" spans="7:7" ht="10.5" customHeight="1" x14ac:dyDescent="0.2">
      <c r="G33208" s="889"/>
    </row>
    <row r="33209" spans="7:7" ht="10.5" customHeight="1" x14ac:dyDescent="0.2">
      <c r="G33209" s="889"/>
    </row>
    <row r="33210" spans="7:7" ht="10.5" customHeight="1" x14ac:dyDescent="0.2">
      <c r="G33210" s="889"/>
    </row>
    <row r="33211" spans="7:7" ht="10.5" customHeight="1" x14ac:dyDescent="0.2">
      <c r="G33211" s="889"/>
    </row>
    <row r="33212" spans="7:7" ht="10.5" customHeight="1" x14ac:dyDescent="0.2">
      <c r="G33212" s="889"/>
    </row>
    <row r="33213" spans="7:7" ht="10.5" customHeight="1" x14ac:dyDescent="0.2">
      <c r="G33213" s="889"/>
    </row>
    <row r="33214" spans="7:7" ht="10.5" customHeight="1" x14ac:dyDescent="0.2">
      <c r="G33214" s="889"/>
    </row>
    <row r="33215" spans="7:7" ht="10.5" customHeight="1" x14ac:dyDescent="0.2">
      <c r="G33215" s="889"/>
    </row>
    <row r="33216" spans="7:7" ht="10.5" customHeight="1" x14ac:dyDescent="0.2">
      <c r="G33216" s="889"/>
    </row>
    <row r="33217" spans="7:7" ht="10.5" customHeight="1" x14ac:dyDescent="0.2">
      <c r="G33217" s="889"/>
    </row>
    <row r="33218" spans="7:7" ht="10.5" customHeight="1" x14ac:dyDescent="0.2">
      <c r="G33218" s="889"/>
    </row>
    <row r="33219" spans="7:7" ht="10.5" customHeight="1" x14ac:dyDescent="0.2">
      <c r="G33219" s="889"/>
    </row>
    <row r="33220" spans="7:7" ht="10.5" customHeight="1" x14ac:dyDescent="0.2">
      <c r="G33220" s="889"/>
    </row>
    <row r="33221" spans="7:7" ht="10.5" customHeight="1" x14ac:dyDescent="0.2">
      <c r="G33221" s="889"/>
    </row>
    <row r="33222" spans="7:7" ht="10.5" customHeight="1" x14ac:dyDescent="0.2">
      <c r="G33222" s="889"/>
    </row>
    <row r="33223" spans="7:7" ht="10.5" customHeight="1" x14ac:dyDescent="0.2">
      <c r="G33223" s="889"/>
    </row>
    <row r="33224" spans="7:7" ht="10.5" customHeight="1" x14ac:dyDescent="0.2">
      <c r="G33224" s="889"/>
    </row>
    <row r="33225" spans="7:7" ht="10.5" customHeight="1" x14ac:dyDescent="0.2">
      <c r="G33225" s="889"/>
    </row>
    <row r="33226" spans="7:7" ht="10.5" customHeight="1" x14ac:dyDescent="0.2">
      <c r="G33226" s="889"/>
    </row>
    <row r="33227" spans="7:7" ht="10.5" customHeight="1" x14ac:dyDescent="0.2">
      <c r="G33227" s="889"/>
    </row>
    <row r="33228" spans="7:7" ht="10.5" customHeight="1" x14ac:dyDescent="0.2">
      <c r="G33228" s="889"/>
    </row>
    <row r="33229" spans="7:7" ht="10.5" customHeight="1" x14ac:dyDescent="0.2">
      <c r="G33229" s="889"/>
    </row>
    <row r="33230" spans="7:7" ht="10.5" customHeight="1" x14ac:dyDescent="0.2">
      <c r="G33230" s="889"/>
    </row>
    <row r="33231" spans="7:7" ht="10.5" customHeight="1" x14ac:dyDescent="0.2">
      <c r="G33231" s="889"/>
    </row>
    <row r="33232" spans="7:7" ht="10.5" customHeight="1" x14ac:dyDescent="0.2">
      <c r="G33232" s="889"/>
    </row>
    <row r="33233" spans="7:7" ht="10.5" customHeight="1" x14ac:dyDescent="0.2">
      <c r="G33233" s="889"/>
    </row>
    <row r="33234" spans="7:7" ht="10.5" customHeight="1" x14ac:dyDescent="0.2">
      <c r="G33234" s="889"/>
    </row>
    <row r="33235" spans="7:7" ht="10.5" customHeight="1" x14ac:dyDescent="0.2">
      <c r="G33235" s="889"/>
    </row>
    <row r="33236" spans="7:7" ht="10.5" customHeight="1" x14ac:dyDescent="0.2">
      <c r="G33236" s="889"/>
    </row>
    <row r="33237" spans="7:7" ht="10.5" customHeight="1" x14ac:dyDescent="0.2">
      <c r="G33237" s="889"/>
    </row>
    <row r="33238" spans="7:7" ht="10.5" customHeight="1" x14ac:dyDescent="0.2">
      <c r="G33238" s="889"/>
    </row>
    <row r="33239" spans="7:7" ht="10.5" customHeight="1" x14ac:dyDescent="0.2">
      <c r="G33239" s="889"/>
    </row>
    <row r="33240" spans="7:7" ht="10.5" customHeight="1" x14ac:dyDescent="0.2">
      <c r="G33240" s="889"/>
    </row>
    <row r="33241" spans="7:7" ht="10.5" customHeight="1" x14ac:dyDescent="0.2">
      <c r="G33241" s="889"/>
    </row>
    <row r="33242" spans="7:7" ht="10.5" customHeight="1" x14ac:dyDescent="0.2">
      <c r="G33242" s="889"/>
    </row>
    <row r="33243" spans="7:7" ht="10.5" customHeight="1" x14ac:dyDescent="0.2">
      <c r="G33243" s="889"/>
    </row>
    <row r="33244" spans="7:7" ht="10.5" customHeight="1" x14ac:dyDescent="0.2">
      <c r="G33244" s="889"/>
    </row>
    <row r="33245" spans="7:7" ht="10.5" customHeight="1" x14ac:dyDescent="0.2">
      <c r="G33245" s="889"/>
    </row>
    <row r="33246" spans="7:7" ht="10.5" customHeight="1" x14ac:dyDescent="0.2">
      <c r="G33246" s="889"/>
    </row>
    <row r="33247" spans="7:7" ht="10.5" customHeight="1" x14ac:dyDescent="0.2">
      <c r="G33247" s="889"/>
    </row>
    <row r="33248" spans="7:7" ht="10.5" customHeight="1" x14ac:dyDescent="0.2">
      <c r="G33248" s="889"/>
    </row>
    <row r="33249" spans="7:7" ht="10.5" customHeight="1" x14ac:dyDescent="0.2">
      <c r="G33249" s="889"/>
    </row>
    <row r="33250" spans="7:7" ht="10.5" customHeight="1" x14ac:dyDescent="0.2">
      <c r="G33250" s="889"/>
    </row>
    <row r="33251" spans="7:7" ht="10.5" customHeight="1" x14ac:dyDescent="0.2">
      <c r="G33251" s="889"/>
    </row>
    <row r="33252" spans="7:7" ht="10.5" customHeight="1" x14ac:dyDescent="0.2">
      <c r="G33252" s="889"/>
    </row>
    <row r="33253" spans="7:7" ht="10.5" customHeight="1" x14ac:dyDescent="0.2">
      <c r="G33253" s="889"/>
    </row>
    <row r="33254" spans="7:7" ht="10.5" customHeight="1" x14ac:dyDescent="0.2">
      <c r="G33254" s="889"/>
    </row>
    <row r="33255" spans="7:7" ht="10.5" customHeight="1" x14ac:dyDescent="0.2">
      <c r="G33255" s="889"/>
    </row>
    <row r="33256" spans="7:7" ht="10.5" customHeight="1" x14ac:dyDescent="0.2">
      <c r="G33256" s="889"/>
    </row>
    <row r="33257" spans="7:7" ht="10.5" customHeight="1" x14ac:dyDescent="0.2">
      <c r="G33257" s="889"/>
    </row>
    <row r="33258" spans="7:7" ht="10.5" customHeight="1" x14ac:dyDescent="0.2">
      <c r="G33258" s="889"/>
    </row>
    <row r="33259" spans="7:7" ht="10.5" customHeight="1" x14ac:dyDescent="0.2">
      <c r="G33259" s="889"/>
    </row>
    <row r="33260" spans="7:7" ht="10.5" customHeight="1" x14ac:dyDescent="0.2">
      <c r="G33260" s="889"/>
    </row>
    <row r="33261" spans="7:7" ht="10.5" customHeight="1" x14ac:dyDescent="0.2">
      <c r="G33261" s="889"/>
    </row>
    <row r="33262" spans="7:7" ht="10.5" customHeight="1" x14ac:dyDescent="0.2">
      <c r="G33262" s="889"/>
    </row>
    <row r="33263" spans="7:7" ht="10.5" customHeight="1" x14ac:dyDescent="0.2">
      <c r="G33263" s="889"/>
    </row>
    <row r="33264" spans="7:7" ht="10.5" customHeight="1" x14ac:dyDescent="0.2">
      <c r="G33264" s="889"/>
    </row>
    <row r="33265" spans="7:7" ht="10.5" customHeight="1" x14ac:dyDescent="0.2">
      <c r="G33265" s="889"/>
    </row>
    <row r="33266" spans="7:7" ht="10.5" customHeight="1" x14ac:dyDescent="0.2">
      <c r="G33266" s="889"/>
    </row>
    <row r="33267" spans="7:7" ht="10.5" customHeight="1" x14ac:dyDescent="0.2">
      <c r="G33267" s="889"/>
    </row>
    <row r="33268" spans="7:7" ht="10.5" customHeight="1" x14ac:dyDescent="0.2">
      <c r="G33268" s="889"/>
    </row>
    <row r="33269" spans="7:7" ht="10.5" customHeight="1" x14ac:dyDescent="0.2">
      <c r="G33269" s="889"/>
    </row>
    <row r="33270" spans="7:7" ht="10.5" customHeight="1" x14ac:dyDescent="0.2">
      <c r="G33270" s="889"/>
    </row>
    <row r="33271" spans="7:7" ht="10.5" customHeight="1" x14ac:dyDescent="0.2">
      <c r="G33271" s="889"/>
    </row>
    <row r="33272" spans="7:7" ht="10.5" customHeight="1" x14ac:dyDescent="0.2">
      <c r="G33272" s="889"/>
    </row>
    <row r="33273" spans="7:7" ht="10.5" customHeight="1" x14ac:dyDescent="0.2">
      <c r="G33273" s="889"/>
    </row>
    <row r="33274" spans="7:7" ht="10.5" customHeight="1" x14ac:dyDescent="0.2">
      <c r="G33274" s="889"/>
    </row>
    <row r="33275" spans="7:7" ht="10.5" customHeight="1" x14ac:dyDescent="0.2">
      <c r="G33275" s="889"/>
    </row>
    <row r="33276" spans="7:7" ht="10.5" customHeight="1" x14ac:dyDescent="0.2">
      <c r="G33276" s="889"/>
    </row>
    <row r="33277" spans="7:7" ht="10.5" customHeight="1" x14ac:dyDescent="0.2">
      <c r="G33277" s="889"/>
    </row>
    <row r="33278" spans="7:7" ht="10.5" customHeight="1" x14ac:dyDescent="0.2">
      <c r="G33278" s="889"/>
    </row>
    <row r="33279" spans="7:7" ht="10.5" customHeight="1" x14ac:dyDescent="0.2">
      <c r="G33279" s="889"/>
    </row>
    <row r="33280" spans="7:7" ht="10.5" customHeight="1" x14ac:dyDescent="0.2">
      <c r="G33280" s="889"/>
    </row>
    <row r="33281" spans="7:7" ht="10.5" customHeight="1" x14ac:dyDescent="0.2">
      <c r="G33281" s="889"/>
    </row>
    <row r="33282" spans="7:7" ht="10.5" customHeight="1" x14ac:dyDescent="0.2">
      <c r="G33282" s="889"/>
    </row>
    <row r="33283" spans="7:7" ht="10.5" customHeight="1" x14ac:dyDescent="0.2">
      <c r="G33283" s="889"/>
    </row>
    <row r="33284" spans="7:7" ht="10.5" customHeight="1" x14ac:dyDescent="0.2">
      <c r="G33284" s="889"/>
    </row>
    <row r="33285" spans="7:7" ht="10.5" customHeight="1" x14ac:dyDescent="0.2">
      <c r="G33285" s="889"/>
    </row>
    <row r="33286" spans="7:7" ht="10.5" customHeight="1" x14ac:dyDescent="0.2">
      <c r="G33286" s="889"/>
    </row>
    <row r="33287" spans="7:7" ht="10.5" customHeight="1" x14ac:dyDescent="0.2">
      <c r="G33287" s="889"/>
    </row>
    <row r="33288" spans="7:7" ht="10.5" customHeight="1" x14ac:dyDescent="0.2">
      <c r="G33288" s="889"/>
    </row>
    <row r="33289" spans="7:7" ht="10.5" customHeight="1" x14ac:dyDescent="0.2">
      <c r="G33289" s="889"/>
    </row>
    <row r="33290" spans="7:7" ht="10.5" customHeight="1" x14ac:dyDescent="0.2">
      <c r="G33290" s="889"/>
    </row>
    <row r="33291" spans="7:7" ht="10.5" customHeight="1" x14ac:dyDescent="0.2">
      <c r="G33291" s="889"/>
    </row>
    <row r="33292" spans="7:7" ht="10.5" customHeight="1" x14ac:dyDescent="0.2">
      <c r="G33292" s="889"/>
    </row>
    <row r="33293" spans="7:7" ht="10.5" customHeight="1" x14ac:dyDescent="0.2">
      <c r="G33293" s="889"/>
    </row>
    <row r="33294" spans="7:7" ht="10.5" customHeight="1" x14ac:dyDescent="0.2">
      <c r="G33294" s="889"/>
    </row>
    <row r="33295" spans="7:7" ht="10.5" customHeight="1" x14ac:dyDescent="0.2">
      <c r="G33295" s="889"/>
    </row>
    <row r="33296" spans="7:7" ht="10.5" customHeight="1" x14ac:dyDescent="0.2">
      <c r="G33296" s="889"/>
    </row>
    <row r="33297" spans="7:7" ht="10.5" customHeight="1" x14ac:dyDescent="0.2">
      <c r="G33297" s="889"/>
    </row>
    <row r="33298" spans="7:7" ht="10.5" customHeight="1" x14ac:dyDescent="0.2">
      <c r="G33298" s="889"/>
    </row>
    <row r="33299" spans="7:7" ht="10.5" customHeight="1" x14ac:dyDescent="0.2">
      <c r="G33299" s="889"/>
    </row>
    <row r="33300" spans="7:7" ht="10.5" customHeight="1" x14ac:dyDescent="0.2">
      <c r="G33300" s="889"/>
    </row>
    <row r="33301" spans="7:7" ht="10.5" customHeight="1" x14ac:dyDescent="0.2">
      <c r="G33301" s="889"/>
    </row>
    <row r="33302" spans="7:7" ht="10.5" customHeight="1" x14ac:dyDescent="0.2">
      <c r="G33302" s="889"/>
    </row>
    <row r="33303" spans="7:7" ht="10.5" customHeight="1" x14ac:dyDescent="0.2">
      <c r="G33303" s="889"/>
    </row>
    <row r="33304" spans="7:7" ht="10.5" customHeight="1" x14ac:dyDescent="0.2">
      <c r="G33304" s="889"/>
    </row>
    <row r="33305" spans="7:7" ht="10.5" customHeight="1" x14ac:dyDescent="0.2">
      <c r="G33305" s="889"/>
    </row>
    <row r="33306" spans="7:7" ht="10.5" customHeight="1" x14ac:dyDescent="0.2">
      <c r="G33306" s="889"/>
    </row>
    <row r="33307" spans="7:7" ht="10.5" customHeight="1" x14ac:dyDescent="0.2">
      <c r="G33307" s="889"/>
    </row>
    <row r="33308" spans="7:7" ht="10.5" customHeight="1" x14ac:dyDescent="0.2">
      <c r="G33308" s="889"/>
    </row>
    <row r="33309" spans="7:7" ht="10.5" customHeight="1" x14ac:dyDescent="0.2">
      <c r="G33309" s="889"/>
    </row>
    <row r="33310" spans="7:7" ht="10.5" customHeight="1" x14ac:dyDescent="0.2">
      <c r="G33310" s="889"/>
    </row>
    <row r="33311" spans="7:7" ht="10.5" customHeight="1" x14ac:dyDescent="0.2">
      <c r="G33311" s="889"/>
    </row>
    <row r="33312" spans="7:7" ht="10.5" customHeight="1" x14ac:dyDescent="0.2">
      <c r="G33312" s="889"/>
    </row>
    <row r="33313" spans="7:7" ht="10.5" customHeight="1" x14ac:dyDescent="0.2">
      <c r="G33313" s="889"/>
    </row>
    <row r="33314" spans="7:7" ht="10.5" customHeight="1" x14ac:dyDescent="0.2">
      <c r="G33314" s="889"/>
    </row>
    <row r="33315" spans="7:7" ht="10.5" customHeight="1" x14ac:dyDescent="0.2">
      <c r="G33315" s="889"/>
    </row>
    <row r="33316" spans="7:7" ht="10.5" customHeight="1" x14ac:dyDescent="0.2">
      <c r="G33316" s="889"/>
    </row>
    <row r="33317" spans="7:7" ht="10.5" customHeight="1" x14ac:dyDescent="0.2">
      <c r="G33317" s="889"/>
    </row>
    <row r="33318" spans="7:7" ht="10.5" customHeight="1" x14ac:dyDescent="0.2">
      <c r="G33318" s="889"/>
    </row>
    <row r="33319" spans="7:7" ht="10.5" customHeight="1" x14ac:dyDescent="0.2">
      <c r="G33319" s="889"/>
    </row>
    <row r="33320" spans="7:7" ht="10.5" customHeight="1" x14ac:dyDescent="0.2">
      <c r="G33320" s="889"/>
    </row>
    <row r="33321" spans="7:7" ht="10.5" customHeight="1" x14ac:dyDescent="0.2">
      <c r="G33321" s="889"/>
    </row>
    <row r="33322" spans="7:7" ht="10.5" customHeight="1" x14ac:dyDescent="0.2">
      <c r="G33322" s="889"/>
    </row>
    <row r="33323" spans="7:7" ht="10.5" customHeight="1" x14ac:dyDescent="0.2">
      <c r="G33323" s="889"/>
    </row>
    <row r="33324" spans="7:7" ht="10.5" customHeight="1" x14ac:dyDescent="0.2">
      <c r="G33324" s="889"/>
    </row>
    <row r="33325" spans="7:7" ht="10.5" customHeight="1" x14ac:dyDescent="0.2">
      <c r="G33325" s="889"/>
    </row>
    <row r="33326" spans="7:7" ht="10.5" customHeight="1" x14ac:dyDescent="0.2">
      <c r="G33326" s="889"/>
    </row>
    <row r="33327" spans="7:7" ht="10.5" customHeight="1" x14ac:dyDescent="0.2">
      <c r="G33327" s="889"/>
    </row>
    <row r="33328" spans="7:7" ht="10.5" customHeight="1" x14ac:dyDescent="0.2">
      <c r="G33328" s="889"/>
    </row>
    <row r="33329" spans="7:7" ht="10.5" customHeight="1" x14ac:dyDescent="0.2">
      <c r="G33329" s="889"/>
    </row>
    <row r="33330" spans="7:7" ht="10.5" customHeight="1" x14ac:dyDescent="0.2">
      <c r="G33330" s="889"/>
    </row>
    <row r="33331" spans="7:7" ht="10.5" customHeight="1" x14ac:dyDescent="0.2">
      <c r="G33331" s="889"/>
    </row>
    <row r="33332" spans="7:7" ht="10.5" customHeight="1" x14ac:dyDescent="0.2">
      <c r="G33332" s="889"/>
    </row>
    <row r="33333" spans="7:7" ht="10.5" customHeight="1" x14ac:dyDescent="0.2">
      <c r="G33333" s="889"/>
    </row>
    <row r="33334" spans="7:7" ht="10.5" customHeight="1" x14ac:dyDescent="0.2">
      <c r="G33334" s="889"/>
    </row>
    <row r="33335" spans="7:7" ht="10.5" customHeight="1" x14ac:dyDescent="0.2">
      <c r="G33335" s="889"/>
    </row>
    <row r="33336" spans="7:7" ht="10.5" customHeight="1" x14ac:dyDescent="0.2">
      <c r="G33336" s="889"/>
    </row>
    <row r="33337" spans="7:7" ht="10.5" customHeight="1" x14ac:dyDescent="0.2">
      <c r="G33337" s="889"/>
    </row>
    <row r="33338" spans="7:7" ht="10.5" customHeight="1" x14ac:dyDescent="0.2">
      <c r="G33338" s="889"/>
    </row>
    <row r="33339" spans="7:7" ht="10.5" customHeight="1" x14ac:dyDescent="0.2">
      <c r="G33339" s="889"/>
    </row>
    <row r="33340" spans="7:7" ht="10.5" customHeight="1" x14ac:dyDescent="0.2">
      <c r="G33340" s="889"/>
    </row>
    <row r="33341" spans="7:7" ht="10.5" customHeight="1" x14ac:dyDescent="0.2">
      <c r="G33341" s="889"/>
    </row>
    <row r="33342" spans="7:7" ht="10.5" customHeight="1" x14ac:dyDescent="0.2">
      <c r="G33342" s="889"/>
    </row>
    <row r="33343" spans="7:7" ht="10.5" customHeight="1" x14ac:dyDescent="0.2">
      <c r="G33343" s="889"/>
    </row>
    <row r="33344" spans="7:7" ht="10.5" customHeight="1" x14ac:dyDescent="0.2">
      <c r="G33344" s="889"/>
    </row>
    <row r="33345" spans="7:7" ht="10.5" customHeight="1" x14ac:dyDescent="0.2">
      <c r="G33345" s="889"/>
    </row>
    <row r="33346" spans="7:7" ht="10.5" customHeight="1" x14ac:dyDescent="0.2">
      <c r="G33346" s="889"/>
    </row>
    <row r="33347" spans="7:7" ht="10.5" customHeight="1" x14ac:dyDescent="0.2">
      <c r="G33347" s="889"/>
    </row>
    <row r="33348" spans="7:7" ht="10.5" customHeight="1" x14ac:dyDescent="0.2">
      <c r="G33348" s="889"/>
    </row>
    <row r="33349" spans="7:7" ht="10.5" customHeight="1" x14ac:dyDescent="0.2">
      <c r="G33349" s="889"/>
    </row>
    <row r="33350" spans="7:7" ht="10.5" customHeight="1" x14ac:dyDescent="0.2">
      <c r="G33350" s="889"/>
    </row>
    <row r="33351" spans="7:7" ht="10.5" customHeight="1" x14ac:dyDescent="0.2">
      <c r="G33351" s="889"/>
    </row>
    <row r="33352" spans="7:7" ht="10.5" customHeight="1" x14ac:dyDescent="0.2">
      <c r="G33352" s="889"/>
    </row>
    <row r="33353" spans="7:7" ht="10.5" customHeight="1" x14ac:dyDescent="0.2">
      <c r="G33353" s="889"/>
    </row>
    <row r="33354" spans="7:7" ht="10.5" customHeight="1" x14ac:dyDescent="0.2">
      <c r="G33354" s="889"/>
    </row>
    <row r="33355" spans="7:7" ht="10.5" customHeight="1" x14ac:dyDescent="0.2">
      <c r="G33355" s="889"/>
    </row>
    <row r="33356" spans="7:7" ht="10.5" customHeight="1" x14ac:dyDescent="0.2">
      <c r="G33356" s="889"/>
    </row>
    <row r="33357" spans="7:7" ht="10.5" customHeight="1" x14ac:dyDescent="0.2">
      <c r="G33357" s="889"/>
    </row>
    <row r="33358" spans="7:7" ht="10.5" customHeight="1" x14ac:dyDescent="0.2">
      <c r="G33358" s="889"/>
    </row>
    <row r="33359" spans="7:7" ht="10.5" customHeight="1" x14ac:dyDescent="0.2">
      <c r="G33359" s="889"/>
    </row>
    <row r="33360" spans="7:7" ht="10.5" customHeight="1" x14ac:dyDescent="0.2">
      <c r="G33360" s="889"/>
    </row>
    <row r="33361" spans="7:7" ht="10.5" customHeight="1" x14ac:dyDescent="0.2">
      <c r="G33361" s="889"/>
    </row>
    <row r="33362" spans="7:7" ht="10.5" customHeight="1" x14ac:dyDescent="0.2">
      <c r="G33362" s="889"/>
    </row>
    <row r="33363" spans="7:7" ht="10.5" customHeight="1" x14ac:dyDescent="0.2">
      <c r="G33363" s="889"/>
    </row>
    <row r="33364" spans="7:7" ht="10.5" customHeight="1" x14ac:dyDescent="0.2">
      <c r="G33364" s="889"/>
    </row>
    <row r="33365" spans="7:7" ht="10.5" customHeight="1" x14ac:dyDescent="0.2">
      <c r="G33365" s="889"/>
    </row>
    <row r="33366" spans="7:7" ht="10.5" customHeight="1" x14ac:dyDescent="0.2">
      <c r="G33366" s="889"/>
    </row>
    <row r="33367" spans="7:7" ht="10.5" customHeight="1" x14ac:dyDescent="0.2">
      <c r="G33367" s="889"/>
    </row>
    <row r="33368" spans="7:7" ht="10.5" customHeight="1" x14ac:dyDescent="0.2">
      <c r="G33368" s="889"/>
    </row>
    <row r="33369" spans="7:7" ht="10.5" customHeight="1" x14ac:dyDescent="0.2">
      <c r="G33369" s="889"/>
    </row>
    <row r="33370" spans="7:7" ht="10.5" customHeight="1" x14ac:dyDescent="0.2">
      <c r="G33370" s="889"/>
    </row>
    <row r="33371" spans="7:7" ht="10.5" customHeight="1" x14ac:dyDescent="0.2">
      <c r="G33371" s="889"/>
    </row>
    <row r="33372" spans="7:7" ht="10.5" customHeight="1" x14ac:dyDescent="0.2">
      <c r="G33372" s="889"/>
    </row>
    <row r="33373" spans="7:7" ht="10.5" customHeight="1" x14ac:dyDescent="0.2">
      <c r="G33373" s="889"/>
    </row>
    <row r="33374" spans="7:7" ht="10.5" customHeight="1" x14ac:dyDescent="0.2">
      <c r="G33374" s="889"/>
    </row>
    <row r="33375" spans="7:7" ht="10.5" customHeight="1" x14ac:dyDescent="0.2">
      <c r="G33375" s="889"/>
    </row>
    <row r="33376" spans="7:7" ht="10.5" customHeight="1" x14ac:dyDescent="0.2">
      <c r="G33376" s="889"/>
    </row>
    <row r="33377" spans="7:7" ht="10.5" customHeight="1" x14ac:dyDescent="0.2">
      <c r="G33377" s="889"/>
    </row>
    <row r="33378" spans="7:7" ht="10.5" customHeight="1" x14ac:dyDescent="0.2">
      <c r="G33378" s="889"/>
    </row>
    <row r="33379" spans="7:7" ht="10.5" customHeight="1" x14ac:dyDescent="0.2">
      <c r="G33379" s="889"/>
    </row>
    <row r="33380" spans="7:7" ht="10.5" customHeight="1" x14ac:dyDescent="0.2">
      <c r="G33380" s="889"/>
    </row>
    <row r="33381" spans="7:7" ht="10.5" customHeight="1" x14ac:dyDescent="0.2">
      <c r="G33381" s="889"/>
    </row>
    <row r="33382" spans="7:7" ht="10.5" customHeight="1" x14ac:dyDescent="0.2">
      <c r="G33382" s="889"/>
    </row>
    <row r="33383" spans="7:7" ht="10.5" customHeight="1" x14ac:dyDescent="0.2">
      <c r="G33383" s="889"/>
    </row>
    <row r="33384" spans="7:7" ht="10.5" customHeight="1" x14ac:dyDescent="0.2">
      <c r="G33384" s="889"/>
    </row>
    <row r="33385" spans="7:7" ht="10.5" customHeight="1" x14ac:dyDescent="0.2">
      <c r="G33385" s="889"/>
    </row>
    <row r="33386" spans="7:7" ht="10.5" customHeight="1" x14ac:dyDescent="0.2">
      <c r="G33386" s="889"/>
    </row>
    <row r="33387" spans="7:7" ht="10.5" customHeight="1" x14ac:dyDescent="0.2">
      <c r="G33387" s="889"/>
    </row>
    <row r="33388" spans="7:7" ht="10.5" customHeight="1" x14ac:dyDescent="0.2">
      <c r="G33388" s="889"/>
    </row>
    <row r="33389" spans="7:7" ht="10.5" customHeight="1" x14ac:dyDescent="0.2">
      <c r="G33389" s="889"/>
    </row>
    <row r="33390" spans="7:7" ht="10.5" customHeight="1" x14ac:dyDescent="0.2">
      <c r="G33390" s="889"/>
    </row>
    <row r="33391" spans="7:7" ht="10.5" customHeight="1" x14ac:dyDescent="0.2">
      <c r="G33391" s="889"/>
    </row>
    <row r="33392" spans="7:7" ht="10.5" customHeight="1" x14ac:dyDescent="0.2">
      <c r="G33392" s="889"/>
    </row>
    <row r="33393" spans="7:7" ht="10.5" customHeight="1" x14ac:dyDescent="0.2">
      <c r="G33393" s="889"/>
    </row>
    <row r="33394" spans="7:7" ht="10.5" customHeight="1" x14ac:dyDescent="0.2">
      <c r="G33394" s="889"/>
    </row>
    <row r="33395" spans="7:7" ht="10.5" customHeight="1" x14ac:dyDescent="0.2">
      <c r="G33395" s="889"/>
    </row>
    <row r="33396" spans="7:7" ht="10.5" customHeight="1" x14ac:dyDescent="0.2">
      <c r="G33396" s="889"/>
    </row>
    <row r="33397" spans="7:7" ht="10.5" customHeight="1" x14ac:dyDescent="0.2">
      <c r="G33397" s="889"/>
    </row>
    <row r="33398" spans="7:7" ht="10.5" customHeight="1" x14ac:dyDescent="0.2">
      <c r="G33398" s="889"/>
    </row>
    <row r="33399" spans="7:7" ht="10.5" customHeight="1" x14ac:dyDescent="0.2">
      <c r="G33399" s="889"/>
    </row>
    <row r="33400" spans="7:7" ht="10.5" customHeight="1" x14ac:dyDescent="0.2">
      <c r="G33400" s="889"/>
    </row>
    <row r="33401" spans="7:7" ht="10.5" customHeight="1" x14ac:dyDescent="0.2">
      <c r="G33401" s="889"/>
    </row>
    <row r="33402" spans="7:7" ht="10.5" customHeight="1" x14ac:dyDescent="0.2">
      <c r="G33402" s="889"/>
    </row>
    <row r="33403" spans="7:7" ht="10.5" customHeight="1" x14ac:dyDescent="0.2">
      <c r="G33403" s="889"/>
    </row>
    <row r="33404" spans="7:7" ht="10.5" customHeight="1" x14ac:dyDescent="0.2">
      <c r="G33404" s="889"/>
    </row>
    <row r="33405" spans="7:7" ht="10.5" customHeight="1" x14ac:dyDescent="0.2">
      <c r="G33405" s="889"/>
    </row>
    <row r="33406" spans="7:7" ht="10.5" customHeight="1" x14ac:dyDescent="0.2">
      <c r="G33406" s="889"/>
    </row>
    <row r="33407" spans="7:7" ht="10.5" customHeight="1" x14ac:dyDescent="0.2">
      <c r="G33407" s="889"/>
    </row>
    <row r="33408" spans="7:7" ht="10.5" customHeight="1" x14ac:dyDescent="0.2">
      <c r="G33408" s="889"/>
    </row>
    <row r="33409" spans="7:7" ht="10.5" customHeight="1" x14ac:dyDescent="0.2">
      <c r="G33409" s="889"/>
    </row>
    <row r="33410" spans="7:7" ht="10.5" customHeight="1" x14ac:dyDescent="0.2">
      <c r="G33410" s="889"/>
    </row>
    <row r="33411" spans="7:7" ht="10.5" customHeight="1" x14ac:dyDescent="0.2">
      <c r="G33411" s="889"/>
    </row>
    <row r="33412" spans="7:7" ht="10.5" customHeight="1" x14ac:dyDescent="0.2">
      <c r="G33412" s="889"/>
    </row>
    <row r="33413" spans="7:7" ht="10.5" customHeight="1" x14ac:dyDescent="0.2">
      <c r="G33413" s="889"/>
    </row>
    <row r="33414" spans="7:7" ht="10.5" customHeight="1" x14ac:dyDescent="0.2">
      <c r="G33414" s="889"/>
    </row>
    <row r="33415" spans="7:7" ht="10.5" customHeight="1" x14ac:dyDescent="0.2">
      <c r="G33415" s="889"/>
    </row>
    <row r="33416" spans="7:7" ht="10.5" customHeight="1" x14ac:dyDescent="0.2">
      <c r="G33416" s="889"/>
    </row>
    <row r="33417" spans="7:7" ht="10.5" customHeight="1" x14ac:dyDescent="0.2">
      <c r="G33417" s="889"/>
    </row>
    <row r="33418" spans="7:7" ht="10.5" customHeight="1" x14ac:dyDescent="0.2">
      <c r="G33418" s="889"/>
    </row>
    <row r="33419" spans="7:7" ht="10.5" customHeight="1" x14ac:dyDescent="0.2">
      <c r="G33419" s="889"/>
    </row>
    <row r="33420" spans="7:7" ht="10.5" customHeight="1" x14ac:dyDescent="0.2">
      <c r="G33420" s="889"/>
    </row>
    <row r="33421" spans="7:7" ht="10.5" customHeight="1" x14ac:dyDescent="0.2">
      <c r="G33421" s="889"/>
    </row>
    <row r="33422" spans="7:7" ht="10.5" customHeight="1" x14ac:dyDescent="0.2">
      <c r="G33422" s="889"/>
    </row>
    <row r="33423" spans="7:7" ht="10.5" customHeight="1" x14ac:dyDescent="0.2">
      <c r="G33423" s="889"/>
    </row>
    <row r="33424" spans="7:7" ht="10.5" customHeight="1" x14ac:dyDescent="0.2">
      <c r="G33424" s="889"/>
    </row>
    <row r="33425" spans="7:7" ht="10.5" customHeight="1" x14ac:dyDescent="0.2">
      <c r="G33425" s="889"/>
    </row>
    <row r="33426" spans="7:7" ht="10.5" customHeight="1" x14ac:dyDescent="0.2">
      <c r="G33426" s="889"/>
    </row>
    <row r="33427" spans="7:7" ht="10.5" customHeight="1" x14ac:dyDescent="0.2">
      <c r="G33427" s="889"/>
    </row>
    <row r="33428" spans="7:7" ht="10.5" customHeight="1" x14ac:dyDescent="0.2">
      <c r="G33428" s="889"/>
    </row>
    <row r="33429" spans="7:7" ht="10.5" customHeight="1" x14ac:dyDescent="0.2">
      <c r="G33429" s="889"/>
    </row>
    <row r="33430" spans="7:7" ht="10.5" customHeight="1" x14ac:dyDescent="0.2">
      <c r="G33430" s="889"/>
    </row>
    <row r="33431" spans="7:7" ht="10.5" customHeight="1" x14ac:dyDescent="0.2">
      <c r="G33431" s="889"/>
    </row>
    <row r="33432" spans="7:7" ht="10.5" customHeight="1" x14ac:dyDescent="0.2">
      <c r="G33432" s="889"/>
    </row>
    <row r="33433" spans="7:7" ht="10.5" customHeight="1" x14ac:dyDescent="0.2">
      <c r="G33433" s="889"/>
    </row>
    <row r="33434" spans="7:7" ht="10.5" customHeight="1" x14ac:dyDescent="0.2">
      <c r="G33434" s="889"/>
    </row>
    <row r="33435" spans="7:7" ht="10.5" customHeight="1" x14ac:dyDescent="0.2">
      <c r="G33435" s="889"/>
    </row>
    <row r="33436" spans="7:7" ht="10.5" customHeight="1" x14ac:dyDescent="0.2">
      <c r="G33436" s="889"/>
    </row>
    <row r="33437" spans="7:7" ht="10.5" customHeight="1" x14ac:dyDescent="0.2">
      <c r="G33437" s="889"/>
    </row>
    <row r="33438" spans="7:7" ht="10.5" customHeight="1" x14ac:dyDescent="0.2">
      <c r="G33438" s="889"/>
    </row>
    <row r="33439" spans="7:7" ht="10.5" customHeight="1" x14ac:dyDescent="0.2">
      <c r="G33439" s="889"/>
    </row>
    <row r="33440" spans="7:7" ht="10.5" customHeight="1" x14ac:dyDescent="0.2">
      <c r="G33440" s="889"/>
    </row>
    <row r="33441" spans="7:7" ht="10.5" customHeight="1" x14ac:dyDescent="0.2">
      <c r="G33441" s="889"/>
    </row>
    <row r="33442" spans="7:7" ht="10.5" customHeight="1" x14ac:dyDescent="0.2">
      <c r="G33442" s="889"/>
    </row>
    <row r="33443" spans="7:7" ht="10.5" customHeight="1" x14ac:dyDescent="0.2">
      <c r="G33443" s="889"/>
    </row>
    <row r="33444" spans="7:7" ht="10.5" customHeight="1" x14ac:dyDescent="0.2">
      <c r="G33444" s="889"/>
    </row>
    <row r="33445" spans="7:7" ht="10.5" customHeight="1" x14ac:dyDescent="0.2">
      <c r="G33445" s="889"/>
    </row>
    <row r="33446" spans="7:7" ht="10.5" customHeight="1" x14ac:dyDescent="0.2">
      <c r="G33446" s="889"/>
    </row>
    <row r="33447" spans="7:7" ht="10.5" customHeight="1" x14ac:dyDescent="0.2">
      <c r="G33447" s="889"/>
    </row>
    <row r="33448" spans="7:7" ht="10.5" customHeight="1" x14ac:dyDescent="0.2">
      <c r="G33448" s="889"/>
    </row>
    <row r="33449" spans="7:7" ht="10.5" customHeight="1" x14ac:dyDescent="0.2">
      <c r="G33449" s="889"/>
    </row>
    <row r="33450" spans="7:7" ht="10.5" customHeight="1" x14ac:dyDescent="0.2">
      <c r="G33450" s="889"/>
    </row>
    <row r="33451" spans="7:7" ht="10.5" customHeight="1" x14ac:dyDescent="0.2">
      <c r="G33451" s="889"/>
    </row>
    <row r="33452" spans="7:7" ht="10.5" customHeight="1" x14ac:dyDescent="0.2">
      <c r="G33452" s="889"/>
    </row>
    <row r="33453" spans="7:7" ht="10.5" customHeight="1" x14ac:dyDescent="0.2">
      <c r="G33453" s="889"/>
    </row>
    <row r="33454" spans="7:7" ht="10.5" customHeight="1" x14ac:dyDescent="0.2">
      <c r="G33454" s="889"/>
    </row>
    <row r="33455" spans="7:7" ht="10.5" customHeight="1" x14ac:dyDescent="0.2">
      <c r="G33455" s="889"/>
    </row>
    <row r="33456" spans="7:7" ht="10.5" customHeight="1" x14ac:dyDescent="0.2">
      <c r="G33456" s="889"/>
    </row>
    <row r="33457" spans="7:7" ht="10.5" customHeight="1" x14ac:dyDescent="0.2">
      <c r="G33457" s="889"/>
    </row>
    <row r="33458" spans="7:7" ht="10.5" customHeight="1" x14ac:dyDescent="0.2">
      <c r="G33458" s="889"/>
    </row>
    <row r="33459" spans="7:7" ht="10.5" customHeight="1" x14ac:dyDescent="0.2">
      <c r="G33459" s="889"/>
    </row>
    <row r="33460" spans="7:7" ht="10.5" customHeight="1" x14ac:dyDescent="0.2">
      <c r="G33460" s="889"/>
    </row>
    <row r="33461" spans="7:7" ht="10.5" customHeight="1" x14ac:dyDescent="0.2">
      <c r="G33461" s="889"/>
    </row>
    <row r="33462" spans="7:7" ht="10.5" customHeight="1" x14ac:dyDescent="0.2">
      <c r="G33462" s="889"/>
    </row>
    <row r="33463" spans="7:7" ht="10.5" customHeight="1" x14ac:dyDescent="0.2">
      <c r="G33463" s="889"/>
    </row>
    <row r="33464" spans="7:7" ht="10.5" customHeight="1" x14ac:dyDescent="0.2">
      <c r="G33464" s="889"/>
    </row>
    <row r="33465" spans="7:7" ht="10.5" customHeight="1" x14ac:dyDescent="0.2">
      <c r="G33465" s="889"/>
    </row>
    <row r="33466" spans="7:7" ht="10.5" customHeight="1" x14ac:dyDescent="0.2">
      <c r="G33466" s="889"/>
    </row>
    <row r="33467" spans="7:7" ht="10.5" customHeight="1" x14ac:dyDescent="0.2">
      <c r="G33467" s="889"/>
    </row>
    <row r="33468" spans="7:7" ht="10.5" customHeight="1" x14ac:dyDescent="0.2">
      <c r="G33468" s="889"/>
    </row>
    <row r="33469" spans="7:7" ht="10.5" customHeight="1" x14ac:dyDescent="0.2">
      <c r="G33469" s="889"/>
    </row>
    <row r="33470" spans="7:7" ht="10.5" customHeight="1" x14ac:dyDescent="0.2">
      <c r="G33470" s="889"/>
    </row>
    <row r="33471" spans="7:7" ht="10.5" customHeight="1" x14ac:dyDescent="0.2">
      <c r="G33471" s="889"/>
    </row>
    <row r="33472" spans="7:7" ht="10.5" customHeight="1" x14ac:dyDescent="0.2">
      <c r="G33472" s="889"/>
    </row>
    <row r="33473" spans="7:7" ht="10.5" customHeight="1" x14ac:dyDescent="0.2">
      <c r="G33473" s="889"/>
    </row>
    <row r="33474" spans="7:7" ht="10.5" customHeight="1" x14ac:dyDescent="0.2">
      <c r="G33474" s="889"/>
    </row>
    <row r="33475" spans="7:7" ht="10.5" customHeight="1" x14ac:dyDescent="0.2">
      <c r="G33475" s="889"/>
    </row>
    <row r="33476" spans="7:7" ht="10.5" customHeight="1" x14ac:dyDescent="0.2">
      <c r="G33476" s="889"/>
    </row>
    <row r="33477" spans="7:7" ht="10.5" customHeight="1" x14ac:dyDescent="0.2">
      <c r="G33477" s="889"/>
    </row>
    <row r="33478" spans="7:7" ht="10.5" customHeight="1" x14ac:dyDescent="0.2">
      <c r="G33478" s="889"/>
    </row>
    <row r="33479" spans="7:7" ht="10.5" customHeight="1" x14ac:dyDescent="0.2">
      <c r="G33479" s="889"/>
    </row>
    <row r="33480" spans="7:7" ht="10.5" customHeight="1" x14ac:dyDescent="0.2">
      <c r="G33480" s="889"/>
    </row>
    <row r="33481" spans="7:7" ht="10.5" customHeight="1" x14ac:dyDescent="0.2">
      <c r="G33481" s="889"/>
    </row>
    <row r="33482" spans="7:7" ht="10.5" customHeight="1" x14ac:dyDescent="0.2">
      <c r="G33482" s="889"/>
    </row>
    <row r="33483" spans="7:7" ht="10.5" customHeight="1" x14ac:dyDescent="0.2">
      <c r="G33483" s="889"/>
    </row>
    <row r="33484" spans="7:7" ht="10.5" customHeight="1" x14ac:dyDescent="0.2">
      <c r="G33484" s="889"/>
    </row>
    <row r="33485" spans="7:7" ht="10.5" customHeight="1" x14ac:dyDescent="0.2">
      <c r="G33485" s="889"/>
    </row>
    <row r="33486" spans="7:7" ht="10.5" customHeight="1" x14ac:dyDescent="0.2">
      <c r="G33486" s="889"/>
    </row>
    <row r="33487" spans="7:7" ht="10.5" customHeight="1" x14ac:dyDescent="0.2">
      <c r="G33487" s="889"/>
    </row>
    <row r="33488" spans="7:7" ht="10.5" customHeight="1" x14ac:dyDescent="0.2">
      <c r="G33488" s="889"/>
    </row>
    <row r="33489" spans="7:7" ht="10.5" customHeight="1" x14ac:dyDescent="0.2">
      <c r="G33489" s="889"/>
    </row>
    <row r="33490" spans="7:7" ht="10.5" customHeight="1" x14ac:dyDescent="0.2">
      <c r="G33490" s="889"/>
    </row>
    <row r="33491" spans="7:7" ht="10.5" customHeight="1" x14ac:dyDescent="0.2">
      <c r="G33491" s="889"/>
    </row>
    <row r="33492" spans="7:7" ht="10.5" customHeight="1" x14ac:dyDescent="0.2">
      <c r="G33492" s="889"/>
    </row>
    <row r="33493" spans="7:7" ht="10.5" customHeight="1" x14ac:dyDescent="0.2">
      <c r="G33493" s="889"/>
    </row>
    <row r="33494" spans="7:7" ht="10.5" customHeight="1" x14ac:dyDescent="0.2">
      <c r="G33494" s="889"/>
    </row>
    <row r="33495" spans="7:7" ht="10.5" customHeight="1" x14ac:dyDescent="0.2">
      <c r="G33495" s="889"/>
    </row>
    <row r="33496" spans="7:7" ht="10.5" customHeight="1" x14ac:dyDescent="0.2">
      <c r="G33496" s="889"/>
    </row>
    <row r="33497" spans="7:7" ht="10.5" customHeight="1" x14ac:dyDescent="0.2">
      <c r="G33497" s="889"/>
    </row>
    <row r="33498" spans="7:7" ht="10.5" customHeight="1" x14ac:dyDescent="0.2">
      <c r="G33498" s="889"/>
    </row>
    <row r="33499" spans="7:7" ht="10.5" customHeight="1" x14ac:dyDescent="0.2">
      <c r="G33499" s="889"/>
    </row>
    <row r="33500" spans="7:7" ht="10.5" customHeight="1" x14ac:dyDescent="0.2">
      <c r="G33500" s="889"/>
    </row>
    <row r="33501" spans="7:7" ht="10.5" customHeight="1" x14ac:dyDescent="0.2">
      <c r="G33501" s="889"/>
    </row>
    <row r="33502" spans="7:7" ht="10.5" customHeight="1" x14ac:dyDescent="0.2">
      <c r="G33502" s="889"/>
    </row>
    <row r="33503" spans="7:7" ht="10.5" customHeight="1" x14ac:dyDescent="0.2">
      <c r="G33503" s="889"/>
    </row>
    <row r="33504" spans="7:7" ht="10.5" customHeight="1" x14ac:dyDescent="0.2">
      <c r="G33504" s="889"/>
    </row>
    <row r="33505" spans="7:7" ht="10.5" customHeight="1" x14ac:dyDescent="0.2">
      <c r="G33505" s="889"/>
    </row>
    <row r="33506" spans="7:7" ht="10.5" customHeight="1" x14ac:dyDescent="0.2">
      <c r="G33506" s="889"/>
    </row>
    <row r="33507" spans="7:7" ht="10.5" customHeight="1" x14ac:dyDescent="0.2">
      <c r="G33507" s="889"/>
    </row>
    <row r="33508" spans="7:7" ht="10.5" customHeight="1" x14ac:dyDescent="0.2">
      <c r="G33508" s="889"/>
    </row>
    <row r="33509" spans="7:7" ht="10.5" customHeight="1" x14ac:dyDescent="0.2">
      <c r="G33509" s="889"/>
    </row>
    <row r="33510" spans="7:7" ht="10.5" customHeight="1" x14ac:dyDescent="0.2">
      <c r="G33510" s="889"/>
    </row>
    <row r="33511" spans="7:7" ht="10.5" customHeight="1" x14ac:dyDescent="0.2">
      <c r="G33511" s="889"/>
    </row>
    <row r="33512" spans="7:7" ht="10.5" customHeight="1" x14ac:dyDescent="0.2">
      <c r="G33512" s="889"/>
    </row>
    <row r="33513" spans="7:7" ht="10.5" customHeight="1" x14ac:dyDescent="0.2">
      <c r="G33513" s="889"/>
    </row>
    <row r="33514" spans="7:7" ht="10.5" customHeight="1" x14ac:dyDescent="0.2">
      <c r="G33514" s="889"/>
    </row>
    <row r="33515" spans="7:7" ht="10.5" customHeight="1" x14ac:dyDescent="0.2">
      <c r="G33515" s="889"/>
    </row>
    <row r="33516" spans="7:7" ht="10.5" customHeight="1" x14ac:dyDescent="0.2">
      <c r="G33516" s="889"/>
    </row>
    <row r="33517" spans="7:7" ht="10.5" customHeight="1" x14ac:dyDescent="0.2">
      <c r="G33517" s="889"/>
    </row>
    <row r="33518" spans="7:7" ht="10.5" customHeight="1" x14ac:dyDescent="0.2">
      <c r="G33518" s="889"/>
    </row>
    <row r="33519" spans="7:7" ht="10.5" customHeight="1" x14ac:dyDescent="0.2">
      <c r="G33519" s="889"/>
    </row>
    <row r="33520" spans="7:7" ht="10.5" customHeight="1" x14ac:dyDescent="0.2">
      <c r="G33520" s="889"/>
    </row>
    <row r="33521" spans="7:7" ht="10.5" customHeight="1" x14ac:dyDescent="0.2">
      <c r="G33521" s="889"/>
    </row>
    <row r="33522" spans="7:7" ht="10.5" customHeight="1" x14ac:dyDescent="0.2">
      <c r="G33522" s="889"/>
    </row>
    <row r="33523" spans="7:7" ht="10.5" customHeight="1" x14ac:dyDescent="0.2">
      <c r="G33523" s="889"/>
    </row>
    <row r="33524" spans="7:7" ht="10.5" customHeight="1" x14ac:dyDescent="0.2">
      <c r="G33524" s="889"/>
    </row>
    <row r="33525" spans="7:7" ht="10.5" customHeight="1" x14ac:dyDescent="0.2">
      <c r="G33525" s="889"/>
    </row>
    <row r="33526" spans="7:7" ht="10.5" customHeight="1" x14ac:dyDescent="0.2">
      <c r="G33526" s="889"/>
    </row>
    <row r="33527" spans="7:7" ht="10.5" customHeight="1" x14ac:dyDescent="0.2">
      <c r="G33527" s="889"/>
    </row>
    <row r="33528" spans="7:7" ht="10.5" customHeight="1" x14ac:dyDescent="0.2">
      <c r="G33528" s="889"/>
    </row>
    <row r="33529" spans="7:7" ht="10.5" customHeight="1" x14ac:dyDescent="0.2">
      <c r="G33529" s="889"/>
    </row>
    <row r="33530" spans="7:7" ht="10.5" customHeight="1" x14ac:dyDescent="0.2">
      <c r="G33530" s="889"/>
    </row>
    <row r="33531" spans="7:7" ht="10.5" customHeight="1" x14ac:dyDescent="0.2">
      <c r="G33531" s="889"/>
    </row>
    <row r="33532" spans="7:7" ht="10.5" customHeight="1" x14ac:dyDescent="0.2">
      <c r="G33532" s="889"/>
    </row>
    <row r="33533" spans="7:7" ht="10.5" customHeight="1" x14ac:dyDescent="0.2">
      <c r="G33533" s="889"/>
    </row>
    <row r="33534" spans="7:7" ht="10.5" customHeight="1" x14ac:dyDescent="0.2">
      <c r="G33534" s="889"/>
    </row>
    <row r="33535" spans="7:7" ht="10.5" customHeight="1" x14ac:dyDescent="0.2">
      <c r="G33535" s="889"/>
    </row>
    <row r="33536" spans="7:7" ht="10.5" customHeight="1" x14ac:dyDescent="0.2">
      <c r="G33536" s="889"/>
    </row>
    <row r="33537" spans="7:7" ht="10.5" customHeight="1" x14ac:dyDescent="0.2">
      <c r="G33537" s="889"/>
    </row>
    <row r="33538" spans="7:7" ht="10.5" customHeight="1" x14ac:dyDescent="0.2">
      <c r="G33538" s="889"/>
    </row>
    <row r="33539" spans="7:7" ht="10.5" customHeight="1" x14ac:dyDescent="0.2">
      <c r="G33539" s="889"/>
    </row>
    <row r="33540" spans="7:7" ht="10.5" customHeight="1" x14ac:dyDescent="0.2">
      <c r="G33540" s="889"/>
    </row>
    <row r="33541" spans="7:7" ht="10.5" customHeight="1" x14ac:dyDescent="0.2">
      <c r="G33541" s="889"/>
    </row>
    <row r="33542" spans="7:7" ht="10.5" customHeight="1" x14ac:dyDescent="0.2">
      <c r="G33542" s="889"/>
    </row>
    <row r="33543" spans="7:7" ht="10.5" customHeight="1" x14ac:dyDescent="0.2">
      <c r="G33543" s="889"/>
    </row>
    <row r="33544" spans="7:7" ht="10.5" customHeight="1" x14ac:dyDescent="0.2">
      <c r="G33544" s="889"/>
    </row>
    <row r="33545" spans="7:7" ht="10.5" customHeight="1" x14ac:dyDescent="0.2">
      <c r="G33545" s="889"/>
    </row>
    <row r="33546" spans="7:7" ht="10.5" customHeight="1" x14ac:dyDescent="0.2">
      <c r="G33546" s="889"/>
    </row>
    <row r="33547" spans="7:7" ht="10.5" customHeight="1" x14ac:dyDescent="0.2">
      <c r="G33547" s="889"/>
    </row>
    <row r="33548" spans="7:7" ht="10.5" customHeight="1" x14ac:dyDescent="0.2">
      <c r="G33548" s="889"/>
    </row>
    <row r="33549" spans="7:7" ht="10.5" customHeight="1" x14ac:dyDescent="0.2">
      <c r="G33549" s="889"/>
    </row>
    <row r="33550" spans="7:7" ht="10.5" customHeight="1" x14ac:dyDescent="0.2">
      <c r="G33550" s="889"/>
    </row>
    <row r="33551" spans="7:7" ht="10.5" customHeight="1" x14ac:dyDescent="0.2">
      <c r="G33551" s="889"/>
    </row>
    <row r="33552" spans="7:7" ht="10.5" customHeight="1" x14ac:dyDescent="0.2">
      <c r="G33552" s="889"/>
    </row>
    <row r="33553" spans="7:7" ht="10.5" customHeight="1" x14ac:dyDescent="0.2">
      <c r="G33553" s="889"/>
    </row>
    <row r="33554" spans="7:7" ht="10.5" customHeight="1" x14ac:dyDescent="0.2">
      <c r="G33554" s="889"/>
    </row>
    <row r="33555" spans="7:7" ht="10.5" customHeight="1" x14ac:dyDescent="0.2">
      <c r="G33555" s="889"/>
    </row>
    <row r="33556" spans="7:7" ht="10.5" customHeight="1" x14ac:dyDescent="0.2">
      <c r="G33556" s="889"/>
    </row>
    <row r="33557" spans="7:7" ht="10.5" customHeight="1" x14ac:dyDescent="0.2">
      <c r="G33557" s="889"/>
    </row>
    <row r="33558" spans="7:7" ht="10.5" customHeight="1" x14ac:dyDescent="0.2">
      <c r="G33558" s="889"/>
    </row>
    <row r="33559" spans="7:7" ht="10.5" customHeight="1" x14ac:dyDescent="0.2">
      <c r="G33559" s="889"/>
    </row>
    <row r="33560" spans="7:7" ht="10.5" customHeight="1" x14ac:dyDescent="0.2">
      <c r="G33560" s="889"/>
    </row>
    <row r="33561" spans="7:7" ht="10.5" customHeight="1" x14ac:dyDescent="0.2">
      <c r="G33561" s="889"/>
    </row>
    <row r="33562" spans="7:7" ht="10.5" customHeight="1" x14ac:dyDescent="0.2">
      <c r="G33562" s="889"/>
    </row>
    <row r="33563" spans="7:7" ht="10.5" customHeight="1" x14ac:dyDescent="0.2">
      <c r="G33563" s="889"/>
    </row>
    <row r="33564" spans="7:7" ht="10.5" customHeight="1" x14ac:dyDescent="0.2">
      <c r="G33564" s="889"/>
    </row>
    <row r="33565" spans="7:7" ht="10.5" customHeight="1" x14ac:dyDescent="0.2">
      <c r="G33565" s="889"/>
    </row>
    <row r="33566" spans="7:7" ht="10.5" customHeight="1" x14ac:dyDescent="0.2">
      <c r="G33566" s="889"/>
    </row>
    <row r="33567" spans="7:7" ht="10.5" customHeight="1" x14ac:dyDescent="0.2">
      <c r="G33567" s="889"/>
    </row>
    <row r="33568" spans="7:7" ht="10.5" customHeight="1" x14ac:dyDescent="0.2">
      <c r="G33568" s="889"/>
    </row>
    <row r="33569" spans="7:7" ht="10.5" customHeight="1" x14ac:dyDescent="0.2">
      <c r="G33569" s="889"/>
    </row>
    <row r="33570" spans="7:7" ht="10.5" customHeight="1" x14ac:dyDescent="0.2">
      <c r="G33570" s="889"/>
    </row>
    <row r="33571" spans="7:7" ht="10.5" customHeight="1" x14ac:dyDescent="0.2">
      <c r="G33571" s="889"/>
    </row>
    <row r="33572" spans="7:7" ht="10.5" customHeight="1" x14ac:dyDescent="0.2">
      <c r="G33572" s="889"/>
    </row>
    <row r="33573" spans="7:7" ht="10.5" customHeight="1" x14ac:dyDescent="0.2">
      <c r="G33573" s="889"/>
    </row>
    <row r="33574" spans="7:7" ht="10.5" customHeight="1" x14ac:dyDescent="0.2">
      <c r="G33574" s="889"/>
    </row>
    <row r="33575" spans="7:7" ht="10.5" customHeight="1" x14ac:dyDescent="0.2">
      <c r="G33575" s="889"/>
    </row>
    <row r="33576" spans="7:7" ht="10.5" customHeight="1" x14ac:dyDescent="0.2">
      <c r="G33576" s="889"/>
    </row>
    <row r="33577" spans="7:7" ht="10.5" customHeight="1" x14ac:dyDescent="0.2">
      <c r="G33577" s="889"/>
    </row>
    <row r="33578" spans="7:7" ht="10.5" customHeight="1" x14ac:dyDescent="0.2">
      <c r="G33578" s="889"/>
    </row>
    <row r="33579" spans="7:7" ht="10.5" customHeight="1" x14ac:dyDescent="0.2">
      <c r="G33579" s="889"/>
    </row>
    <row r="33580" spans="7:7" ht="10.5" customHeight="1" x14ac:dyDescent="0.2">
      <c r="G33580" s="889"/>
    </row>
    <row r="33581" spans="7:7" ht="10.5" customHeight="1" x14ac:dyDescent="0.2">
      <c r="G33581" s="889"/>
    </row>
    <row r="33582" spans="7:7" ht="10.5" customHeight="1" x14ac:dyDescent="0.2">
      <c r="G33582" s="889"/>
    </row>
    <row r="33583" spans="7:7" ht="10.5" customHeight="1" x14ac:dyDescent="0.2">
      <c r="G33583" s="889"/>
    </row>
    <row r="33584" spans="7:7" ht="10.5" customHeight="1" x14ac:dyDescent="0.2">
      <c r="G33584" s="889"/>
    </row>
    <row r="33585" spans="7:7" ht="10.5" customHeight="1" x14ac:dyDescent="0.2">
      <c r="G33585" s="889"/>
    </row>
    <row r="33586" spans="7:7" ht="10.5" customHeight="1" x14ac:dyDescent="0.2">
      <c r="G33586" s="889"/>
    </row>
    <row r="33587" spans="7:7" ht="10.5" customHeight="1" x14ac:dyDescent="0.2">
      <c r="G33587" s="889"/>
    </row>
    <row r="33588" spans="7:7" ht="10.5" customHeight="1" x14ac:dyDescent="0.2">
      <c r="G33588" s="889"/>
    </row>
    <row r="33589" spans="7:7" ht="10.5" customHeight="1" x14ac:dyDescent="0.2">
      <c r="G33589" s="889"/>
    </row>
    <row r="33590" spans="7:7" ht="10.5" customHeight="1" x14ac:dyDescent="0.2">
      <c r="G33590" s="889"/>
    </row>
    <row r="33591" spans="7:7" ht="10.5" customHeight="1" x14ac:dyDescent="0.2">
      <c r="G33591" s="889"/>
    </row>
    <row r="33592" spans="7:7" ht="10.5" customHeight="1" x14ac:dyDescent="0.2">
      <c r="G33592" s="889"/>
    </row>
    <row r="33593" spans="7:7" ht="10.5" customHeight="1" x14ac:dyDescent="0.2">
      <c r="G33593" s="889"/>
    </row>
    <row r="33594" spans="7:7" ht="10.5" customHeight="1" x14ac:dyDescent="0.2">
      <c r="G33594" s="889"/>
    </row>
    <row r="33595" spans="7:7" ht="10.5" customHeight="1" x14ac:dyDescent="0.2">
      <c r="G33595" s="889"/>
    </row>
    <row r="33596" spans="7:7" ht="10.5" customHeight="1" x14ac:dyDescent="0.2">
      <c r="G33596" s="889"/>
    </row>
    <row r="33597" spans="7:7" ht="10.5" customHeight="1" x14ac:dyDescent="0.2">
      <c r="G33597" s="889"/>
    </row>
    <row r="33598" spans="7:7" ht="10.5" customHeight="1" x14ac:dyDescent="0.2">
      <c r="G33598" s="889"/>
    </row>
    <row r="33599" spans="7:7" ht="10.5" customHeight="1" x14ac:dyDescent="0.2">
      <c r="G33599" s="889"/>
    </row>
    <row r="33600" spans="7:7" ht="10.5" customHeight="1" x14ac:dyDescent="0.2">
      <c r="G33600" s="889"/>
    </row>
    <row r="33601" spans="7:7" ht="10.5" customHeight="1" x14ac:dyDescent="0.2">
      <c r="G33601" s="889"/>
    </row>
    <row r="33602" spans="7:7" ht="10.5" customHeight="1" x14ac:dyDescent="0.2">
      <c r="G33602" s="889"/>
    </row>
    <row r="33603" spans="7:7" ht="10.5" customHeight="1" x14ac:dyDescent="0.2">
      <c r="G33603" s="889"/>
    </row>
    <row r="33604" spans="7:7" ht="10.5" customHeight="1" x14ac:dyDescent="0.2">
      <c r="G33604" s="889"/>
    </row>
    <row r="33605" spans="7:7" ht="10.5" customHeight="1" x14ac:dyDescent="0.2">
      <c r="G33605" s="889"/>
    </row>
    <row r="33606" spans="7:7" ht="10.5" customHeight="1" x14ac:dyDescent="0.2">
      <c r="G33606" s="889"/>
    </row>
    <row r="33607" spans="7:7" ht="10.5" customHeight="1" x14ac:dyDescent="0.2">
      <c r="G33607" s="889"/>
    </row>
    <row r="33608" spans="7:7" ht="10.5" customHeight="1" x14ac:dyDescent="0.2">
      <c r="G33608" s="889"/>
    </row>
    <row r="33609" spans="7:7" ht="10.5" customHeight="1" x14ac:dyDescent="0.2">
      <c r="G33609" s="889"/>
    </row>
    <row r="33610" spans="7:7" ht="10.5" customHeight="1" x14ac:dyDescent="0.2">
      <c r="G33610" s="889"/>
    </row>
    <row r="33611" spans="7:7" ht="10.5" customHeight="1" x14ac:dyDescent="0.2">
      <c r="G33611" s="889"/>
    </row>
    <row r="33612" spans="7:7" ht="10.5" customHeight="1" x14ac:dyDescent="0.2">
      <c r="G33612" s="889"/>
    </row>
    <row r="33613" spans="7:7" ht="10.5" customHeight="1" x14ac:dyDescent="0.2">
      <c r="G33613" s="889"/>
    </row>
    <row r="33614" spans="7:7" ht="10.5" customHeight="1" x14ac:dyDescent="0.2">
      <c r="G33614" s="889"/>
    </row>
    <row r="33615" spans="7:7" ht="10.5" customHeight="1" x14ac:dyDescent="0.2">
      <c r="G33615" s="889"/>
    </row>
    <row r="33616" spans="7:7" ht="10.5" customHeight="1" x14ac:dyDescent="0.2">
      <c r="G33616" s="889"/>
    </row>
    <row r="33617" spans="7:7" ht="10.5" customHeight="1" x14ac:dyDescent="0.2">
      <c r="G33617" s="889"/>
    </row>
    <row r="33618" spans="7:7" ht="10.5" customHeight="1" x14ac:dyDescent="0.2">
      <c r="G33618" s="889"/>
    </row>
    <row r="33619" spans="7:7" ht="10.5" customHeight="1" x14ac:dyDescent="0.2">
      <c r="G33619" s="889"/>
    </row>
    <row r="33620" spans="7:7" ht="10.5" customHeight="1" x14ac:dyDescent="0.2">
      <c r="G33620" s="889"/>
    </row>
    <row r="33621" spans="7:7" ht="10.5" customHeight="1" x14ac:dyDescent="0.2">
      <c r="G33621" s="889"/>
    </row>
    <row r="33622" spans="7:7" ht="10.5" customHeight="1" x14ac:dyDescent="0.2">
      <c r="G33622" s="889"/>
    </row>
    <row r="33623" spans="7:7" ht="10.5" customHeight="1" x14ac:dyDescent="0.2">
      <c r="G33623" s="889"/>
    </row>
    <row r="33624" spans="7:7" ht="10.5" customHeight="1" x14ac:dyDescent="0.2">
      <c r="G33624" s="889"/>
    </row>
    <row r="33625" spans="7:7" ht="10.5" customHeight="1" x14ac:dyDescent="0.2">
      <c r="G33625" s="889"/>
    </row>
    <row r="33626" spans="7:7" ht="10.5" customHeight="1" x14ac:dyDescent="0.2">
      <c r="G33626" s="889"/>
    </row>
    <row r="33627" spans="7:7" ht="10.5" customHeight="1" x14ac:dyDescent="0.2">
      <c r="G33627" s="889"/>
    </row>
    <row r="33628" spans="7:7" ht="10.5" customHeight="1" x14ac:dyDescent="0.2">
      <c r="G33628" s="889"/>
    </row>
    <row r="33629" spans="7:7" ht="10.5" customHeight="1" x14ac:dyDescent="0.2">
      <c r="G33629" s="889"/>
    </row>
    <row r="33630" spans="7:7" ht="10.5" customHeight="1" x14ac:dyDescent="0.2">
      <c r="G33630" s="889"/>
    </row>
    <row r="33631" spans="7:7" ht="10.5" customHeight="1" x14ac:dyDescent="0.2">
      <c r="G33631" s="889"/>
    </row>
    <row r="33632" spans="7:7" ht="10.5" customHeight="1" x14ac:dyDescent="0.2">
      <c r="G33632" s="889"/>
    </row>
    <row r="33633" spans="7:7" ht="10.5" customHeight="1" x14ac:dyDescent="0.2">
      <c r="G33633" s="889"/>
    </row>
    <row r="33634" spans="7:7" ht="10.5" customHeight="1" x14ac:dyDescent="0.2">
      <c r="G33634" s="889"/>
    </row>
    <row r="33635" spans="7:7" ht="10.5" customHeight="1" x14ac:dyDescent="0.2">
      <c r="G33635" s="889"/>
    </row>
    <row r="33636" spans="7:7" ht="10.5" customHeight="1" x14ac:dyDescent="0.2">
      <c r="G33636" s="889"/>
    </row>
    <row r="33637" spans="7:7" ht="10.5" customHeight="1" x14ac:dyDescent="0.2">
      <c r="G33637" s="889"/>
    </row>
    <row r="33638" spans="7:7" ht="10.5" customHeight="1" x14ac:dyDescent="0.2">
      <c r="G33638" s="889"/>
    </row>
    <row r="33639" spans="7:7" ht="10.5" customHeight="1" x14ac:dyDescent="0.2">
      <c r="G33639" s="889"/>
    </row>
    <row r="33640" spans="7:7" ht="10.5" customHeight="1" x14ac:dyDescent="0.2">
      <c r="G33640" s="889"/>
    </row>
    <row r="33641" spans="7:7" ht="10.5" customHeight="1" x14ac:dyDescent="0.2">
      <c r="G33641" s="889"/>
    </row>
    <row r="33642" spans="7:7" ht="10.5" customHeight="1" x14ac:dyDescent="0.2">
      <c r="G33642" s="889"/>
    </row>
    <row r="33643" spans="7:7" ht="10.5" customHeight="1" x14ac:dyDescent="0.2">
      <c r="G33643" s="889"/>
    </row>
    <row r="33644" spans="7:7" ht="10.5" customHeight="1" x14ac:dyDescent="0.2">
      <c r="G33644" s="889"/>
    </row>
    <row r="33645" spans="7:7" ht="10.5" customHeight="1" x14ac:dyDescent="0.2">
      <c r="G33645" s="889"/>
    </row>
    <row r="33646" spans="7:7" ht="10.5" customHeight="1" x14ac:dyDescent="0.2">
      <c r="G33646" s="889"/>
    </row>
    <row r="33647" spans="7:7" ht="10.5" customHeight="1" x14ac:dyDescent="0.2">
      <c r="G33647" s="889"/>
    </row>
    <row r="33648" spans="7:7" ht="10.5" customHeight="1" x14ac:dyDescent="0.2">
      <c r="G33648" s="889"/>
    </row>
    <row r="33649" spans="7:7" ht="10.5" customHeight="1" x14ac:dyDescent="0.2">
      <c r="G33649" s="889"/>
    </row>
    <row r="33650" spans="7:7" ht="10.5" customHeight="1" x14ac:dyDescent="0.2">
      <c r="G33650" s="889"/>
    </row>
    <row r="33651" spans="7:7" ht="10.5" customHeight="1" x14ac:dyDescent="0.2">
      <c r="G33651" s="889"/>
    </row>
    <row r="33652" spans="7:7" ht="10.5" customHeight="1" x14ac:dyDescent="0.2">
      <c r="G33652" s="889"/>
    </row>
    <row r="33653" spans="7:7" ht="10.5" customHeight="1" x14ac:dyDescent="0.2">
      <c r="G33653" s="889"/>
    </row>
    <row r="33654" spans="7:7" ht="10.5" customHeight="1" x14ac:dyDescent="0.2">
      <c r="G33654" s="889"/>
    </row>
    <row r="33655" spans="7:7" ht="10.5" customHeight="1" x14ac:dyDescent="0.2">
      <c r="G33655" s="889"/>
    </row>
    <row r="33656" spans="7:7" ht="10.5" customHeight="1" x14ac:dyDescent="0.2">
      <c r="G33656" s="889"/>
    </row>
    <row r="33657" spans="7:7" ht="10.5" customHeight="1" x14ac:dyDescent="0.2">
      <c r="G33657" s="889"/>
    </row>
    <row r="33658" spans="7:7" ht="10.5" customHeight="1" x14ac:dyDescent="0.2">
      <c r="G33658" s="889"/>
    </row>
    <row r="33659" spans="7:7" ht="10.5" customHeight="1" x14ac:dyDescent="0.2">
      <c r="G33659" s="889"/>
    </row>
    <row r="33660" spans="7:7" ht="10.5" customHeight="1" x14ac:dyDescent="0.2">
      <c r="G33660" s="889"/>
    </row>
    <row r="33661" spans="7:7" ht="10.5" customHeight="1" x14ac:dyDescent="0.2">
      <c r="G33661" s="889"/>
    </row>
    <row r="33662" spans="7:7" ht="10.5" customHeight="1" x14ac:dyDescent="0.2">
      <c r="G33662" s="889"/>
    </row>
    <row r="33663" spans="7:7" ht="10.5" customHeight="1" x14ac:dyDescent="0.2">
      <c r="G33663" s="889"/>
    </row>
    <row r="33664" spans="7:7" ht="10.5" customHeight="1" x14ac:dyDescent="0.2">
      <c r="G33664" s="889"/>
    </row>
    <row r="33665" spans="7:7" ht="10.5" customHeight="1" x14ac:dyDescent="0.2">
      <c r="G33665" s="889"/>
    </row>
    <row r="33666" spans="7:7" ht="10.5" customHeight="1" x14ac:dyDescent="0.2">
      <c r="G33666" s="889"/>
    </row>
    <row r="33667" spans="7:7" ht="10.5" customHeight="1" x14ac:dyDescent="0.2">
      <c r="G33667" s="889"/>
    </row>
    <row r="33668" spans="7:7" ht="10.5" customHeight="1" x14ac:dyDescent="0.2">
      <c r="G33668" s="889"/>
    </row>
    <row r="33669" spans="7:7" ht="10.5" customHeight="1" x14ac:dyDescent="0.2">
      <c r="G33669" s="889"/>
    </row>
    <row r="33670" spans="7:7" ht="10.5" customHeight="1" x14ac:dyDescent="0.2">
      <c r="G33670" s="889"/>
    </row>
    <row r="33671" spans="7:7" ht="10.5" customHeight="1" x14ac:dyDescent="0.2">
      <c r="G33671" s="889"/>
    </row>
    <row r="33672" spans="7:7" ht="10.5" customHeight="1" x14ac:dyDescent="0.2">
      <c r="G33672" s="889"/>
    </row>
    <row r="33673" spans="7:7" ht="10.5" customHeight="1" x14ac:dyDescent="0.2">
      <c r="G33673" s="889"/>
    </row>
    <row r="33674" spans="7:7" ht="10.5" customHeight="1" x14ac:dyDescent="0.2">
      <c r="G33674" s="889"/>
    </row>
    <row r="33675" spans="7:7" ht="10.5" customHeight="1" x14ac:dyDescent="0.2">
      <c r="G33675" s="889"/>
    </row>
    <row r="33676" spans="7:7" ht="10.5" customHeight="1" x14ac:dyDescent="0.2">
      <c r="G33676" s="889"/>
    </row>
    <row r="33677" spans="7:7" ht="10.5" customHeight="1" x14ac:dyDescent="0.2">
      <c r="G33677" s="889"/>
    </row>
    <row r="33678" spans="7:7" ht="10.5" customHeight="1" x14ac:dyDescent="0.2">
      <c r="G33678" s="889"/>
    </row>
    <row r="33679" spans="7:7" ht="10.5" customHeight="1" x14ac:dyDescent="0.2">
      <c r="G33679" s="889"/>
    </row>
    <row r="33680" spans="7:7" ht="10.5" customHeight="1" x14ac:dyDescent="0.2">
      <c r="G33680" s="889"/>
    </row>
    <row r="33681" spans="7:7" ht="10.5" customHeight="1" x14ac:dyDescent="0.2">
      <c r="G33681" s="889"/>
    </row>
    <row r="33682" spans="7:7" ht="10.5" customHeight="1" x14ac:dyDescent="0.2">
      <c r="G33682" s="889"/>
    </row>
    <row r="33683" spans="7:7" ht="10.5" customHeight="1" x14ac:dyDescent="0.2">
      <c r="G33683" s="889"/>
    </row>
    <row r="33684" spans="7:7" ht="10.5" customHeight="1" x14ac:dyDescent="0.2">
      <c r="G33684" s="889"/>
    </row>
    <row r="33685" spans="7:7" ht="10.5" customHeight="1" x14ac:dyDescent="0.2">
      <c r="G33685" s="889"/>
    </row>
    <row r="33686" spans="7:7" ht="10.5" customHeight="1" x14ac:dyDescent="0.2">
      <c r="G33686" s="889"/>
    </row>
    <row r="33687" spans="7:7" ht="10.5" customHeight="1" x14ac:dyDescent="0.2">
      <c r="G33687" s="889"/>
    </row>
    <row r="33688" spans="7:7" ht="10.5" customHeight="1" x14ac:dyDescent="0.2">
      <c r="G33688" s="889"/>
    </row>
    <row r="33689" spans="7:7" ht="10.5" customHeight="1" x14ac:dyDescent="0.2">
      <c r="G33689" s="889"/>
    </row>
    <row r="33690" spans="7:7" ht="10.5" customHeight="1" x14ac:dyDescent="0.2">
      <c r="G33690" s="889"/>
    </row>
    <row r="33691" spans="7:7" ht="10.5" customHeight="1" x14ac:dyDescent="0.2">
      <c r="G33691" s="889"/>
    </row>
    <row r="33692" spans="7:7" ht="10.5" customHeight="1" x14ac:dyDescent="0.2">
      <c r="G33692" s="889"/>
    </row>
    <row r="33693" spans="7:7" ht="10.5" customHeight="1" x14ac:dyDescent="0.2">
      <c r="G33693" s="889"/>
    </row>
    <row r="33694" spans="7:7" ht="10.5" customHeight="1" x14ac:dyDescent="0.2">
      <c r="G33694" s="889"/>
    </row>
    <row r="33695" spans="7:7" ht="10.5" customHeight="1" x14ac:dyDescent="0.2">
      <c r="G33695" s="889"/>
    </row>
    <row r="33696" spans="7:7" ht="10.5" customHeight="1" x14ac:dyDescent="0.2">
      <c r="G33696" s="889"/>
    </row>
    <row r="33697" spans="7:7" ht="10.5" customHeight="1" x14ac:dyDescent="0.2">
      <c r="G33697" s="889"/>
    </row>
    <row r="33698" spans="7:7" ht="10.5" customHeight="1" x14ac:dyDescent="0.2">
      <c r="G33698" s="889"/>
    </row>
    <row r="33699" spans="7:7" ht="10.5" customHeight="1" x14ac:dyDescent="0.2">
      <c r="G33699" s="889"/>
    </row>
    <row r="33700" spans="7:7" ht="10.5" customHeight="1" x14ac:dyDescent="0.2">
      <c r="G33700" s="889"/>
    </row>
    <row r="33701" spans="7:7" ht="10.5" customHeight="1" x14ac:dyDescent="0.2">
      <c r="G33701" s="889"/>
    </row>
    <row r="33702" spans="7:7" ht="10.5" customHeight="1" x14ac:dyDescent="0.2">
      <c r="G33702" s="889"/>
    </row>
    <row r="33703" spans="7:7" ht="10.5" customHeight="1" x14ac:dyDescent="0.2">
      <c r="G33703" s="889"/>
    </row>
    <row r="33704" spans="7:7" ht="10.5" customHeight="1" x14ac:dyDescent="0.2">
      <c r="G33704" s="889"/>
    </row>
    <row r="33705" spans="7:7" ht="10.5" customHeight="1" x14ac:dyDescent="0.2">
      <c r="G33705" s="889"/>
    </row>
    <row r="33706" spans="7:7" ht="10.5" customHeight="1" x14ac:dyDescent="0.2">
      <c r="G33706" s="889"/>
    </row>
    <row r="33707" spans="7:7" ht="10.5" customHeight="1" x14ac:dyDescent="0.2">
      <c r="G33707" s="889"/>
    </row>
    <row r="33708" spans="7:7" ht="10.5" customHeight="1" x14ac:dyDescent="0.2">
      <c r="G33708" s="889"/>
    </row>
    <row r="33709" spans="7:7" ht="10.5" customHeight="1" x14ac:dyDescent="0.2">
      <c r="G33709" s="889"/>
    </row>
    <row r="33710" spans="7:7" ht="10.5" customHeight="1" x14ac:dyDescent="0.2">
      <c r="G33710" s="889"/>
    </row>
    <row r="33711" spans="7:7" ht="10.5" customHeight="1" x14ac:dyDescent="0.2">
      <c r="G33711" s="889"/>
    </row>
    <row r="33712" spans="7:7" ht="10.5" customHeight="1" x14ac:dyDescent="0.2">
      <c r="G33712" s="889"/>
    </row>
    <row r="33713" spans="7:7" ht="10.5" customHeight="1" x14ac:dyDescent="0.2">
      <c r="G33713" s="889"/>
    </row>
    <row r="33714" spans="7:7" ht="10.5" customHeight="1" x14ac:dyDescent="0.2">
      <c r="G33714" s="889"/>
    </row>
    <row r="33715" spans="7:7" ht="10.5" customHeight="1" x14ac:dyDescent="0.2">
      <c r="G33715" s="889"/>
    </row>
    <row r="33716" spans="7:7" ht="10.5" customHeight="1" x14ac:dyDescent="0.2">
      <c r="G33716" s="889"/>
    </row>
    <row r="33717" spans="7:7" ht="10.5" customHeight="1" x14ac:dyDescent="0.2">
      <c r="G33717" s="889"/>
    </row>
    <row r="33718" spans="7:7" ht="10.5" customHeight="1" x14ac:dyDescent="0.2">
      <c r="G33718" s="889"/>
    </row>
    <row r="33719" spans="7:7" ht="10.5" customHeight="1" x14ac:dyDescent="0.2">
      <c r="G33719" s="889"/>
    </row>
    <row r="33720" spans="7:7" ht="10.5" customHeight="1" x14ac:dyDescent="0.2">
      <c r="G33720" s="889"/>
    </row>
    <row r="33721" spans="7:7" ht="10.5" customHeight="1" x14ac:dyDescent="0.2">
      <c r="G33721" s="889"/>
    </row>
    <row r="33722" spans="7:7" ht="10.5" customHeight="1" x14ac:dyDescent="0.2">
      <c r="G33722" s="889"/>
    </row>
    <row r="33723" spans="7:7" ht="10.5" customHeight="1" x14ac:dyDescent="0.2">
      <c r="G33723" s="889"/>
    </row>
    <row r="33724" spans="7:7" ht="10.5" customHeight="1" x14ac:dyDescent="0.2">
      <c r="G33724" s="889"/>
    </row>
    <row r="33725" spans="7:7" ht="10.5" customHeight="1" x14ac:dyDescent="0.2">
      <c r="G33725" s="889"/>
    </row>
    <row r="33726" spans="7:7" ht="10.5" customHeight="1" x14ac:dyDescent="0.2">
      <c r="G33726" s="889"/>
    </row>
    <row r="33727" spans="7:7" ht="10.5" customHeight="1" x14ac:dyDescent="0.2">
      <c r="G33727" s="889"/>
    </row>
    <row r="33728" spans="7:7" ht="10.5" customHeight="1" x14ac:dyDescent="0.2">
      <c r="G33728" s="889"/>
    </row>
    <row r="33729" spans="7:7" ht="10.5" customHeight="1" x14ac:dyDescent="0.2">
      <c r="G33729" s="889"/>
    </row>
    <row r="33730" spans="7:7" ht="10.5" customHeight="1" x14ac:dyDescent="0.2">
      <c r="G33730" s="889"/>
    </row>
    <row r="33731" spans="7:7" ht="10.5" customHeight="1" x14ac:dyDescent="0.2">
      <c r="G33731" s="889"/>
    </row>
    <row r="33732" spans="7:7" ht="10.5" customHeight="1" x14ac:dyDescent="0.2">
      <c r="G33732" s="889"/>
    </row>
    <row r="33733" spans="7:7" ht="10.5" customHeight="1" x14ac:dyDescent="0.2">
      <c r="G33733" s="889"/>
    </row>
    <row r="33734" spans="7:7" ht="10.5" customHeight="1" x14ac:dyDescent="0.2">
      <c r="G33734" s="889"/>
    </row>
    <row r="33735" spans="7:7" ht="10.5" customHeight="1" x14ac:dyDescent="0.2">
      <c r="G33735" s="889"/>
    </row>
    <row r="33736" spans="7:7" ht="10.5" customHeight="1" x14ac:dyDescent="0.2">
      <c r="G33736" s="889"/>
    </row>
    <row r="33737" spans="7:7" ht="10.5" customHeight="1" x14ac:dyDescent="0.2">
      <c r="G33737" s="889"/>
    </row>
    <row r="33738" spans="7:7" ht="10.5" customHeight="1" x14ac:dyDescent="0.2">
      <c r="G33738" s="889"/>
    </row>
    <row r="33739" spans="7:7" ht="10.5" customHeight="1" x14ac:dyDescent="0.2">
      <c r="G33739" s="889"/>
    </row>
    <row r="33740" spans="7:7" ht="10.5" customHeight="1" x14ac:dyDescent="0.2">
      <c r="G33740" s="889"/>
    </row>
    <row r="33741" spans="7:7" ht="10.5" customHeight="1" x14ac:dyDescent="0.2">
      <c r="G33741" s="889"/>
    </row>
    <row r="33742" spans="7:7" ht="10.5" customHeight="1" x14ac:dyDescent="0.2">
      <c r="G33742" s="889"/>
    </row>
    <row r="33743" spans="7:7" ht="10.5" customHeight="1" x14ac:dyDescent="0.2">
      <c r="G33743" s="889"/>
    </row>
    <row r="33744" spans="7:7" ht="10.5" customHeight="1" x14ac:dyDescent="0.2">
      <c r="G33744" s="889"/>
    </row>
    <row r="33745" spans="7:7" ht="10.5" customHeight="1" x14ac:dyDescent="0.2">
      <c r="G33745" s="889"/>
    </row>
    <row r="33746" spans="7:7" ht="10.5" customHeight="1" x14ac:dyDescent="0.2">
      <c r="G33746" s="889"/>
    </row>
    <row r="33747" spans="7:7" ht="10.5" customHeight="1" x14ac:dyDescent="0.2">
      <c r="G33747" s="889"/>
    </row>
    <row r="33748" spans="7:7" ht="10.5" customHeight="1" x14ac:dyDescent="0.2">
      <c r="G33748" s="889"/>
    </row>
    <row r="33749" spans="7:7" ht="10.5" customHeight="1" x14ac:dyDescent="0.2">
      <c r="G33749" s="889"/>
    </row>
    <row r="33750" spans="7:7" ht="10.5" customHeight="1" x14ac:dyDescent="0.2">
      <c r="G33750" s="889"/>
    </row>
    <row r="33751" spans="7:7" ht="10.5" customHeight="1" x14ac:dyDescent="0.2">
      <c r="G33751" s="889"/>
    </row>
    <row r="33752" spans="7:7" ht="10.5" customHeight="1" x14ac:dyDescent="0.2">
      <c r="G33752" s="889"/>
    </row>
    <row r="33753" spans="7:7" ht="10.5" customHeight="1" x14ac:dyDescent="0.2">
      <c r="G33753" s="889"/>
    </row>
    <row r="33754" spans="7:7" ht="10.5" customHeight="1" x14ac:dyDescent="0.2">
      <c r="G33754" s="889"/>
    </row>
    <row r="33755" spans="7:7" ht="10.5" customHeight="1" x14ac:dyDescent="0.2">
      <c r="G33755" s="889"/>
    </row>
    <row r="33756" spans="7:7" ht="10.5" customHeight="1" x14ac:dyDescent="0.2">
      <c r="G33756" s="889"/>
    </row>
    <row r="33757" spans="7:7" ht="10.5" customHeight="1" x14ac:dyDescent="0.2">
      <c r="G33757" s="889"/>
    </row>
    <row r="33758" spans="7:7" ht="10.5" customHeight="1" x14ac:dyDescent="0.2">
      <c r="G33758" s="889"/>
    </row>
    <row r="33759" spans="7:7" ht="10.5" customHeight="1" x14ac:dyDescent="0.2">
      <c r="G33759" s="889"/>
    </row>
    <row r="33760" spans="7:7" ht="10.5" customHeight="1" x14ac:dyDescent="0.2">
      <c r="G33760" s="889"/>
    </row>
    <row r="33761" spans="7:7" ht="10.5" customHeight="1" x14ac:dyDescent="0.2">
      <c r="G33761" s="889"/>
    </row>
    <row r="33762" spans="7:7" ht="10.5" customHeight="1" x14ac:dyDescent="0.2">
      <c r="G33762" s="889"/>
    </row>
    <row r="33763" spans="7:7" ht="10.5" customHeight="1" x14ac:dyDescent="0.2">
      <c r="G33763" s="889"/>
    </row>
    <row r="33764" spans="7:7" ht="10.5" customHeight="1" x14ac:dyDescent="0.2">
      <c r="G33764" s="889"/>
    </row>
    <row r="33765" spans="7:7" ht="10.5" customHeight="1" x14ac:dyDescent="0.2">
      <c r="G33765" s="889"/>
    </row>
    <row r="33766" spans="7:7" ht="10.5" customHeight="1" x14ac:dyDescent="0.2">
      <c r="G33766" s="889"/>
    </row>
    <row r="33767" spans="7:7" ht="10.5" customHeight="1" x14ac:dyDescent="0.2">
      <c r="G33767" s="889"/>
    </row>
    <row r="33768" spans="7:7" ht="10.5" customHeight="1" x14ac:dyDescent="0.2">
      <c r="G33768" s="889"/>
    </row>
    <row r="33769" spans="7:7" ht="10.5" customHeight="1" x14ac:dyDescent="0.2">
      <c r="G33769" s="889"/>
    </row>
    <row r="33770" spans="7:7" ht="10.5" customHeight="1" x14ac:dyDescent="0.2">
      <c r="G33770" s="889"/>
    </row>
    <row r="33771" spans="7:7" ht="10.5" customHeight="1" x14ac:dyDescent="0.2">
      <c r="G33771" s="889"/>
    </row>
    <row r="33772" spans="7:7" ht="10.5" customHeight="1" x14ac:dyDescent="0.2">
      <c r="G33772" s="889"/>
    </row>
    <row r="33773" spans="7:7" ht="10.5" customHeight="1" x14ac:dyDescent="0.2">
      <c r="G33773" s="889"/>
    </row>
    <row r="33774" spans="7:7" ht="10.5" customHeight="1" x14ac:dyDescent="0.2">
      <c r="G33774" s="889"/>
    </row>
    <row r="33775" spans="7:7" ht="10.5" customHeight="1" x14ac:dyDescent="0.2">
      <c r="G33775" s="889"/>
    </row>
    <row r="33776" spans="7:7" ht="10.5" customHeight="1" x14ac:dyDescent="0.2">
      <c r="G33776" s="889"/>
    </row>
    <row r="33777" spans="7:7" ht="10.5" customHeight="1" x14ac:dyDescent="0.2">
      <c r="G33777" s="889"/>
    </row>
    <row r="33778" spans="7:7" ht="10.5" customHeight="1" x14ac:dyDescent="0.2">
      <c r="G33778" s="889"/>
    </row>
    <row r="33779" spans="7:7" ht="10.5" customHeight="1" x14ac:dyDescent="0.2">
      <c r="G33779" s="889"/>
    </row>
    <row r="33780" spans="7:7" ht="10.5" customHeight="1" x14ac:dyDescent="0.2">
      <c r="G33780" s="889"/>
    </row>
    <row r="33781" spans="7:7" ht="10.5" customHeight="1" x14ac:dyDescent="0.2">
      <c r="G33781" s="889"/>
    </row>
    <row r="33782" spans="7:7" ht="10.5" customHeight="1" x14ac:dyDescent="0.2">
      <c r="G33782" s="889"/>
    </row>
    <row r="33783" spans="7:7" ht="10.5" customHeight="1" x14ac:dyDescent="0.2">
      <c r="G33783" s="889"/>
    </row>
    <row r="33784" spans="7:7" ht="10.5" customHeight="1" x14ac:dyDescent="0.2">
      <c r="G33784" s="889"/>
    </row>
    <row r="33785" spans="7:7" ht="10.5" customHeight="1" x14ac:dyDescent="0.2">
      <c r="G33785" s="889"/>
    </row>
    <row r="33786" spans="7:7" ht="10.5" customHeight="1" x14ac:dyDescent="0.2">
      <c r="G33786" s="889"/>
    </row>
    <row r="33787" spans="7:7" ht="10.5" customHeight="1" x14ac:dyDescent="0.2">
      <c r="G33787" s="889"/>
    </row>
    <row r="33788" spans="7:7" ht="10.5" customHeight="1" x14ac:dyDescent="0.2">
      <c r="G33788" s="889"/>
    </row>
    <row r="33789" spans="7:7" ht="10.5" customHeight="1" x14ac:dyDescent="0.2">
      <c r="G33789" s="889"/>
    </row>
    <row r="33790" spans="7:7" ht="10.5" customHeight="1" x14ac:dyDescent="0.2">
      <c r="G33790" s="889"/>
    </row>
    <row r="33791" spans="7:7" ht="10.5" customHeight="1" x14ac:dyDescent="0.2">
      <c r="G33791" s="889"/>
    </row>
    <row r="33792" spans="7:7" ht="10.5" customHeight="1" x14ac:dyDescent="0.2">
      <c r="G33792" s="889"/>
    </row>
    <row r="33793" spans="7:7" ht="10.5" customHeight="1" x14ac:dyDescent="0.2">
      <c r="G33793" s="889"/>
    </row>
    <row r="33794" spans="7:7" ht="10.5" customHeight="1" x14ac:dyDescent="0.2">
      <c r="G33794" s="889"/>
    </row>
    <row r="33795" spans="7:7" ht="10.5" customHeight="1" x14ac:dyDescent="0.2">
      <c r="G33795" s="889"/>
    </row>
    <row r="33796" spans="7:7" ht="10.5" customHeight="1" x14ac:dyDescent="0.2">
      <c r="G33796" s="889"/>
    </row>
    <row r="33797" spans="7:7" ht="10.5" customHeight="1" x14ac:dyDescent="0.2">
      <c r="G33797" s="889"/>
    </row>
    <row r="33798" spans="7:7" ht="10.5" customHeight="1" x14ac:dyDescent="0.2">
      <c r="G33798" s="889"/>
    </row>
    <row r="33799" spans="7:7" ht="10.5" customHeight="1" x14ac:dyDescent="0.2">
      <c r="G33799" s="889"/>
    </row>
    <row r="33800" spans="7:7" ht="10.5" customHeight="1" x14ac:dyDescent="0.2">
      <c r="G33800" s="889"/>
    </row>
    <row r="33801" spans="7:7" ht="10.5" customHeight="1" x14ac:dyDescent="0.2">
      <c r="G33801" s="889"/>
    </row>
    <row r="33802" spans="7:7" ht="10.5" customHeight="1" x14ac:dyDescent="0.2">
      <c r="G33802" s="889"/>
    </row>
    <row r="33803" spans="7:7" ht="10.5" customHeight="1" x14ac:dyDescent="0.2">
      <c r="G33803" s="889"/>
    </row>
    <row r="33804" spans="7:7" ht="10.5" customHeight="1" x14ac:dyDescent="0.2">
      <c r="G33804" s="889"/>
    </row>
    <row r="33805" spans="7:7" ht="10.5" customHeight="1" x14ac:dyDescent="0.2">
      <c r="G33805" s="889"/>
    </row>
    <row r="33806" spans="7:7" ht="10.5" customHeight="1" x14ac:dyDescent="0.2">
      <c r="G33806" s="889"/>
    </row>
    <row r="33807" spans="7:7" ht="10.5" customHeight="1" x14ac:dyDescent="0.2">
      <c r="G33807" s="889"/>
    </row>
    <row r="33808" spans="7:7" ht="10.5" customHeight="1" x14ac:dyDescent="0.2">
      <c r="G33808" s="889"/>
    </row>
    <row r="33809" spans="7:7" ht="10.5" customHeight="1" x14ac:dyDescent="0.2">
      <c r="G33809" s="889"/>
    </row>
    <row r="33810" spans="7:7" ht="10.5" customHeight="1" x14ac:dyDescent="0.2">
      <c r="G33810" s="889"/>
    </row>
    <row r="33811" spans="7:7" ht="10.5" customHeight="1" x14ac:dyDescent="0.2">
      <c r="G33811" s="889"/>
    </row>
    <row r="33812" spans="7:7" ht="10.5" customHeight="1" x14ac:dyDescent="0.2">
      <c r="G33812" s="889"/>
    </row>
    <row r="33813" spans="7:7" ht="10.5" customHeight="1" x14ac:dyDescent="0.2">
      <c r="G33813" s="889"/>
    </row>
    <row r="33814" spans="7:7" ht="10.5" customHeight="1" x14ac:dyDescent="0.2">
      <c r="G33814" s="889"/>
    </row>
    <row r="33815" spans="7:7" ht="10.5" customHeight="1" x14ac:dyDescent="0.2">
      <c r="G33815" s="889"/>
    </row>
    <row r="33816" spans="7:7" ht="10.5" customHeight="1" x14ac:dyDescent="0.2">
      <c r="G33816" s="889"/>
    </row>
    <row r="33817" spans="7:7" ht="10.5" customHeight="1" x14ac:dyDescent="0.2">
      <c r="G33817" s="889"/>
    </row>
    <row r="33818" spans="7:7" ht="10.5" customHeight="1" x14ac:dyDescent="0.2">
      <c r="G33818" s="889"/>
    </row>
    <row r="33819" spans="7:7" ht="10.5" customHeight="1" x14ac:dyDescent="0.2">
      <c r="G33819" s="889"/>
    </row>
    <row r="33820" spans="7:7" ht="10.5" customHeight="1" x14ac:dyDescent="0.2">
      <c r="G33820" s="889"/>
    </row>
    <row r="33821" spans="7:7" ht="10.5" customHeight="1" x14ac:dyDescent="0.2">
      <c r="G33821" s="889"/>
    </row>
    <row r="33822" spans="7:7" ht="10.5" customHeight="1" x14ac:dyDescent="0.2">
      <c r="G33822" s="889"/>
    </row>
    <row r="33823" spans="7:7" ht="10.5" customHeight="1" x14ac:dyDescent="0.2">
      <c r="G33823" s="889"/>
    </row>
    <row r="33824" spans="7:7" ht="10.5" customHeight="1" x14ac:dyDescent="0.2">
      <c r="G33824" s="889"/>
    </row>
    <row r="33825" spans="7:7" ht="10.5" customHeight="1" x14ac:dyDescent="0.2">
      <c r="G33825" s="889"/>
    </row>
    <row r="33826" spans="7:7" ht="10.5" customHeight="1" x14ac:dyDescent="0.2">
      <c r="G33826" s="889"/>
    </row>
    <row r="33827" spans="7:7" ht="10.5" customHeight="1" x14ac:dyDescent="0.2">
      <c r="G33827" s="889"/>
    </row>
    <row r="33828" spans="7:7" ht="10.5" customHeight="1" x14ac:dyDescent="0.2">
      <c r="G33828" s="889"/>
    </row>
    <row r="33829" spans="7:7" ht="10.5" customHeight="1" x14ac:dyDescent="0.2">
      <c r="G33829" s="889"/>
    </row>
    <row r="33830" spans="7:7" ht="10.5" customHeight="1" x14ac:dyDescent="0.2">
      <c r="G33830" s="889"/>
    </row>
    <row r="33831" spans="7:7" ht="10.5" customHeight="1" x14ac:dyDescent="0.2">
      <c r="G33831" s="889"/>
    </row>
    <row r="33832" spans="7:7" ht="10.5" customHeight="1" x14ac:dyDescent="0.2">
      <c r="G33832" s="889"/>
    </row>
    <row r="33833" spans="7:7" ht="10.5" customHeight="1" x14ac:dyDescent="0.2">
      <c r="G33833" s="889"/>
    </row>
    <row r="33834" spans="7:7" ht="10.5" customHeight="1" x14ac:dyDescent="0.2">
      <c r="G33834" s="889"/>
    </row>
    <row r="33835" spans="7:7" ht="10.5" customHeight="1" x14ac:dyDescent="0.2">
      <c r="G33835" s="889"/>
    </row>
    <row r="33836" spans="7:7" ht="10.5" customHeight="1" x14ac:dyDescent="0.2">
      <c r="G33836" s="889"/>
    </row>
    <row r="33837" spans="7:7" ht="10.5" customHeight="1" x14ac:dyDescent="0.2">
      <c r="G33837" s="889"/>
    </row>
    <row r="33838" spans="7:7" ht="10.5" customHeight="1" x14ac:dyDescent="0.2">
      <c r="G33838" s="889"/>
    </row>
    <row r="33839" spans="7:7" ht="10.5" customHeight="1" x14ac:dyDescent="0.2">
      <c r="G33839" s="889"/>
    </row>
    <row r="33840" spans="7:7" ht="10.5" customHeight="1" x14ac:dyDescent="0.2">
      <c r="G33840" s="889"/>
    </row>
    <row r="33841" spans="7:7" ht="10.5" customHeight="1" x14ac:dyDescent="0.2">
      <c r="G33841" s="889"/>
    </row>
    <row r="33842" spans="7:7" ht="10.5" customHeight="1" x14ac:dyDescent="0.2">
      <c r="G33842" s="889"/>
    </row>
    <row r="33843" spans="7:7" ht="10.5" customHeight="1" x14ac:dyDescent="0.2">
      <c r="G33843" s="889"/>
    </row>
    <row r="33844" spans="7:7" ht="10.5" customHeight="1" x14ac:dyDescent="0.2">
      <c r="G33844" s="889"/>
    </row>
    <row r="33845" spans="7:7" ht="10.5" customHeight="1" x14ac:dyDescent="0.2">
      <c r="G33845" s="889"/>
    </row>
    <row r="33846" spans="7:7" ht="10.5" customHeight="1" x14ac:dyDescent="0.2">
      <c r="G33846" s="889"/>
    </row>
    <row r="33847" spans="7:7" ht="10.5" customHeight="1" x14ac:dyDescent="0.2">
      <c r="G33847" s="889"/>
    </row>
    <row r="33848" spans="7:7" ht="10.5" customHeight="1" x14ac:dyDescent="0.2">
      <c r="G33848" s="889"/>
    </row>
    <row r="33849" spans="7:7" ht="10.5" customHeight="1" x14ac:dyDescent="0.2">
      <c r="G33849" s="889"/>
    </row>
    <row r="33850" spans="7:7" ht="10.5" customHeight="1" x14ac:dyDescent="0.2">
      <c r="G33850" s="889"/>
    </row>
    <row r="33851" spans="7:7" ht="10.5" customHeight="1" x14ac:dyDescent="0.2">
      <c r="G33851" s="889"/>
    </row>
    <row r="33852" spans="7:7" ht="10.5" customHeight="1" x14ac:dyDescent="0.2">
      <c r="G33852" s="889"/>
    </row>
    <row r="33853" spans="7:7" ht="10.5" customHeight="1" x14ac:dyDescent="0.2">
      <c r="G33853" s="889"/>
    </row>
    <row r="33854" spans="7:7" ht="10.5" customHeight="1" x14ac:dyDescent="0.2">
      <c r="G33854" s="889"/>
    </row>
    <row r="33855" spans="7:7" ht="10.5" customHeight="1" x14ac:dyDescent="0.2">
      <c r="G33855" s="889"/>
    </row>
    <row r="33856" spans="7:7" ht="10.5" customHeight="1" x14ac:dyDescent="0.2">
      <c r="G33856" s="889"/>
    </row>
    <row r="33857" spans="7:7" ht="10.5" customHeight="1" x14ac:dyDescent="0.2">
      <c r="G33857" s="889"/>
    </row>
    <row r="33858" spans="7:7" ht="10.5" customHeight="1" x14ac:dyDescent="0.2">
      <c r="G33858" s="889"/>
    </row>
    <row r="33859" spans="7:7" ht="10.5" customHeight="1" x14ac:dyDescent="0.2">
      <c r="G33859" s="889"/>
    </row>
    <row r="33860" spans="7:7" ht="10.5" customHeight="1" x14ac:dyDescent="0.2">
      <c r="G33860" s="889"/>
    </row>
    <row r="33861" spans="7:7" ht="10.5" customHeight="1" x14ac:dyDescent="0.2">
      <c r="G33861" s="889"/>
    </row>
    <row r="33862" spans="7:7" ht="10.5" customHeight="1" x14ac:dyDescent="0.2">
      <c r="G33862" s="889"/>
    </row>
    <row r="33863" spans="7:7" ht="10.5" customHeight="1" x14ac:dyDescent="0.2">
      <c r="G33863" s="889"/>
    </row>
    <row r="33864" spans="7:7" ht="10.5" customHeight="1" x14ac:dyDescent="0.2">
      <c r="G33864" s="889"/>
    </row>
    <row r="33865" spans="7:7" ht="10.5" customHeight="1" x14ac:dyDescent="0.2">
      <c r="G33865" s="889"/>
    </row>
    <row r="33866" spans="7:7" ht="10.5" customHeight="1" x14ac:dyDescent="0.2">
      <c r="G33866" s="889"/>
    </row>
    <row r="33867" spans="7:7" ht="10.5" customHeight="1" x14ac:dyDescent="0.2">
      <c r="G33867" s="889"/>
    </row>
    <row r="33868" spans="7:7" ht="10.5" customHeight="1" x14ac:dyDescent="0.2">
      <c r="G33868" s="889"/>
    </row>
    <row r="33869" spans="7:7" ht="10.5" customHeight="1" x14ac:dyDescent="0.2">
      <c r="G33869" s="889"/>
    </row>
    <row r="33870" spans="7:7" ht="10.5" customHeight="1" x14ac:dyDescent="0.2">
      <c r="G33870" s="889"/>
    </row>
    <row r="33871" spans="7:7" ht="10.5" customHeight="1" x14ac:dyDescent="0.2">
      <c r="G33871" s="889"/>
    </row>
    <row r="33872" spans="7:7" ht="10.5" customHeight="1" x14ac:dyDescent="0.2">
      <c r="G33872" s="889"/>
    </row>
    <row r="33873" spans="7:7" ht="10.5" customHeight="1" x14ac:dyDescent="0.2">
      <c r="G33873" s="889"/>
    </row>
    <row r="33874" spans="7:7" ht="10.5" customHeight="1" x14ac:dyDescent="0.2">
      <c r="G33874" s="889"/>
    </row>
    <row r="33875" spans="7:7" ht="10.5" customHeight="1" x14ac:dyDescent="0.2">
      <c r="G33875" s="889"/>
    </row>
    <row r="33876" spans="7:7" ht="10.5" customHeight="1" x14ac:dyDescent="0.2">
      <c r="G33876" s="889"/>
    </row>
    <row r="33877" spans="7:7" ht="10.5" customHeight="1" x14ac:dyDescent="0.2">
      <c r="G33877" s="889"/>
    </row>
    <row r="33878" spans="7:7" ht="10.5" customHeight="1" x14ac:dyDescent="0.2">
      <c r="G33878" s="889"/>
    </row>
    <row r="33879" spans="7:7" ht="10.5" customHeight="1" x14ac:dyDescent="0.2">
      <c r="G33879" s="889"/>
    </row>
    <row r="33880" spans="7:7" ht="10.5" customHeight="1" x14ac:dyDescent="0.2">
      <c r="G33880" s="889"/>
    </row>
    <row r="33881" spans="7:7" ht="10.5" customHeight="1" x14ac:dyDescent="0.2">
      <c r="G33881" s="889"/>
    </row>
    <row r="33882" spans="7:7" ht="10.5" customHeight="1" x14ac:dyDescent="0.2">
      <c r="G33882" s="889"/>
    </row>
    <row r="33883" spans="7:7" ht="10.5" customHeight="1" x14ac:dyDescent="0.2">
      <c r="G33883" s="889"/>
    </row>
    <row r="33884" spans="7:7" ht="10.5" customHeight="1" x14ac:dyDescent="0.2">
      <c r="G33884" s="889"/>
    </row>
    <row r="33885" spans="7:7" ht="10.5" customHeight="1" x14ac:dyDescent="0.2">
      <c r="G33885" s="889"/>
    </row>
    <row r="33886" spans="7:7" ht="10.5" customHeight="1" x14ac:dyDescent="0.2">
      <c r="G33886" s="889"/>
    </row>
    <row r="33887" spans="7:7" ht="10.5" customHeight="1" x14ac:dyDescent="0.2">
      <c r="G33887" s="889"/>
    </row>
    <row r="33888" spans="7:7" ht="10.5" customHeight="1" x14ac:dyDescent="0.2">
      <c r="G33888" s="889"/>
    </row>
    <row r="33889" spans="7:7" ht="10.5" customHeight="1" x14ac:dyDescent="0.2">
      <c r="G33889" s="889"/>
    </row>
    <row r="33890" spans="7:7" ht="10.5" customHeight="1" x14ac:dyDescent="0.2">
      <c r="G33890" s="889"/>
    </row>
    <row r="33891" spans="7:7" ht="10.5" customHeight="1" x14ac:dyDescent="0.2">
      <c r="G33891" s="889"/>
    </row>
    <row r="33892" spans="7:7" ht="10.5" customHeight="1" x14ac:dyDescent="0.2">
      <c r="G33892" s="889"/>
    </row>
    <row r="33893" spans="7:7" ht="10.5" customHeight="1" x14ac:dyDescent="0.2">
      <c r="G33893" s="889"/>
    </row>
    <row r="33894" spans="7:7" ht="10.5" customHeight="1" x14ac:dyDescent="0.2">
      <c r="G33894" s="889"/>
    </row>
    <row r="33895" spans="7:7" ht="10.5" customHeight="1" x14ac:dyDescent="0.2">
      <c r="G33895" s="889"/>
    </row>
    <row r="33896" spans="7:7" ht="10.5" customHeight="1" x14ac:dyDescent="0.2">
      <c r="G33896" s="889"/>
    </row>
    <row r="33897" spans="7:7" ht="10.5" customHeight="1" x14ac:dyDescent="0.2">
      <c r="G33897" s="889"/>
    </row>
    <row r="33898" spans="7:7" ht="10.5" customHeight="1" x14ac:dyDescent="0.2">
      <c r="G33898" s="889"/>
    </row>
    <row r="33899" spans="7:7" ht="10.5" customHeight="1" x14ac:dyDescent="0.2">
      <c r="G33899" s="889"/>
    </row>
    <row r="33900" spans="7:7" ht="10.5" customHeight="1" x14ac:dyDescent="0.2">
      <c r="G33900" s="889"/>
    </row>
    <row r="33901" spans="7:7" ht="10.5" customHeight="1" x14ac:dyDescent="0.2">
      <c r="G33901" s="889"/>
    </row>
    <row r="33902" spans="7:7" ht="10.5" customHeight="1" x14ac:dyDescent="0.2">
      <c r="G33902" s="889"/>
    </row>
    <row r="33903" spans="7:7" ht="10.5" customHeight="1" x14ac:dyDescent="0.2">
      <c r="G33903" s="889"/>
    </row>
    <row r="33904" spans="7:7" ht="10.5" customHeight="1" x14ac:dyDescent="0.2">
      <c r="G33904" s="889"/>
    </row>
    <row r="33905" spans="7:7" ht="10.5" customHeight="1" x14ac:dyDescent="0.2">
      <c r="G33905" s="889"/>
    </row>
    <row r="33906" spans="7:7" ht="10.5" customHeight="1" x14ac:dyDescent="0.2">
      <c r="G33906" s="889"/>
    </row>
    <row r="33907" spans="7:7" ht="10.5" customHeight="1" x14ac:dyDescent="0.2">
      <c r="G33907" s="889"/>
    </row>
    <row r="33908" spans="7:7" ht="10.5" customHeight="1" x14ac:dyDescent="0.2">
      <c r="G33908" s="889"/>
    </row>
    <row r="33909" spans="7:7" ht="10.5" customHeight="1" x14ac:dyDescent="0.2">
      <c r="G33909" s="889"/>
    </row>
    <row r="33910" spans="7:7" ht="10.5" customHeight="1" x14ac:dyDescent="0.2">
      <c r="G33910" s="889"/>
    </row>
    <row r="33911" spans="7:7" ht="10.5" customHeight="1" x14ac:dyDescent="0.2">
      <c r="G33911" s="889"/>
    </row>
    <row r="33912" spans="7:7" ht="10.5" customHeight="1" x14ac:dyDescent="0.2">
      <c r="G33912" s="889"/>
    </row>
    <row r="33913" spans="7:7" ht="10.5" customHeight="1" x14ac:dyDescent="0.2">
      <c r="G33913" s="889"/>
    </row>
    <row r="33914" spans="7:7" ht="10.5" customHeight="1" x14ac:dyDescent="0.2">
      <c r="G33914" s="889"/>
    </row>
    <row r="33915" spans="7:7" ht="10.5" customHeight="1" x14ac:dyDescent="0.2">
      <c r="G33915" s="889"/>
    </row>
    <row r="33916" spans="7:7" ht="10.5" customHeight="1" x14ac:dyDescent="0.2">
      <c r="G33916" s="889"/>
    </row>
    <row r="33917" spans="7:7" ht="10.5" customHeight="1" x14ac:dyDescent="0.2">
      <c r="G33917" s="889"/>
    </row>
    <row r="33918" spans="7:7" ht="10.5" customHeight="1" x14ac:dyDescent="0.2">
      <c r="G33918" s="889"/>
    </row>
    <row r="33919" spans="7:7" ht="10.5" customHeight="1" x14ac:dyDescent="0.2">
      <c r="G33919" s="889"/>
    </row>
    <row r="33920" spans="7:7" ht="10.5" customHeight="1" x14ac:dyDescent="0.2">
      <c r="G33920" s="889"/>
    </row>
    <row r="33921" spans="7:7" ht="10.5" customHeight="1" x14ac:dyDescent="0.2">
      <c r="G33921" s="889"/>
    </row>
    <row r="33922" spans="7:7" ht="10.5" customHeight="1" x14ac:dyDescent="0.2">
      <c r="G33922" s="889"/>
    </row>
    <row r="33923" spans="7:7" ht="10.5" customHeight="1" x14ac:dyDescent="0.2">
      <c r="G33923" s="889"/>
    </row>
    <row r="33924" spans="7:7" ht="10.5" customHeight="1" x14ac:dyDescent="0.2">
      <c r="G33924" s="889"/>
    </row>
    <row r="33925" spans="7:7" ht="10.5" customHeight="1" x14ac:dyDescent="0.2">
      <c r="G33925" s="889"/>
    </row>
    <row r="33926" spans="7:7" ht="10.5" customHeight="1" x14ac:dyDescent="0.2">
      <c r="G33926" s="889"/>
    </row>
    <row r="33927" spans="7:7" ht="10.5" customHeight="1" x14ac:dyDescent="0.2">
      <c r="G33927" s="889"/>
    </row>
    <row r="33928" spans="7:7" ht="10.5" customHeight="1" x14ac:dyDescent="0.2">
      <c r="G33928" s="889"/>
    </row>
    <row r="33929" spans="7:7" ht="10.5" customHeight="1" x14ac:dyDescent="0.2">
      <c r="G33929" s="889"/>
    </row>
    <row r="33930" spans="7:7" ht="10.5" customHeight="1" x14ac:dyDescent="0.2">
      <c r="G33930" s="889"/>
    </row>
    <row r="33931" spans="7:7" ht="10.5" customHeight="1" x14ac:dyDescent="0.2">
      <c r="G33931" s="889"/>
    </row>
    <row r="33932" spans="7:7" ht="10.5" customHeight="1" x14ac:dyDescent="0.2">
      <c r="G33932" s="889"/>
    </row>
    <row r="33933" spans="7:7" ht="10.5" customHeight="1" x14ac:dyDescent="0.2">
      <c r="G33933" s="889"/>
    </row>
    <row r="33934" spans="7:7" ht="10.5" customHeight="1" x14ac:dyDescent="0.2">
      <c r="G33934" s="889"/>
    </row>
    <row r="33935" spans="7:7" ht="10.5" customHeight="1" x14ac:dyDescent="0.2">
      <c r="G33935" s="889"/>
    </row>
    <row r="33936" spans="7:7" ht="10.5" customHeight="1" x14ac:dyDescent="0.2">
      <c r="G33936" s="889"/>
    </row>
    <row r="33937" spans="7:7" ht="10.5" customHeight="1" x14ac:dyDescent="0.2">
      <c r="G33937" s="889"/>
    </row>
    <row r="33938" spans="7:7" ht="10.5" customHeight="1" x14ac:dyDescent="0.2">
      <c r="G33938" s="889"/>
    </row>
    <row r="33939" spans="7:7" ht="10.5" customHeight="1" x14ac:dyDescent="0.2">
      <c r="G33939" s="889"/>
    </row>
    <row r="33940" spans="7:7" ht="10.5" customHeight="1" x14ac:dyDescent="0.2">
      <c r="G33940" s="889"/>
    </row>
    <row r="33941" spans="7:7" ht="10.5" customHeight="1" x14ac:dyDescent="0.2">
      <c r="G33941" s="889"/>
    </row>
    <row r="33942" spans="7:7" ht="10.5" customHeight="1" x14ac:dyDescent="0.2">
      <c r="G33942" s="889"/>
    </row>
    <row r="33943" spans="7:7" ht="10.5" customHeight="1" x14ac:dyDescent="0.2">
      <c r="G33943" s="889"/>
    </row>
    <row r="33944" spans="7:7" ht="10.5" customHeight="1" x14ac:dyDescent="0.2">
      <c r="G33944" s="889"/>
    </row>
    <row r="33945" spans="7:7" ht="10.5" customHeight="1" x14ac:dyDescent="0.2">
      <c r="G33945" s="889"/>
    </row>
    <row r="33946" spans="7:7" ht="10.5" customHeight="1" x14ac:dyDescent="0.2">
      <c r="G33946" s="889"/>
    </row>
    <row r="33947" spans="7:7" ht="10.5" customHeight="1" x14ac:dyDescent="0.2">
      <c r="G33947" s="889"/>
    </row>
    <row r="33948" spans="7:7" ht="10.5" customHeight="1" x14ac:dyDescent="0.2">
      <c r="G33948" s="889"/>
    </row>
    <row r="33949" spans="7:7" ht="10.5" customHeight="1" x14ac:dyDescent="0.2">
      <c r="G33949" s="889"/>
    </row>
    <row r="33950" spans="7:7" ht="10.5" customHeight="1" x14ac:dyDescent="0.2">
      <c r="G33950" s="889"/>
    </row>
    <row r="33951" spans="7:7" ht="10.5" customHeight="1" x14ac:dyDescent="0.2">
      <c r="G33951" s="889"/>
    </row>
    <row r="33952" spans="7:7" ht="10.5" customHeight="1" x14ac:dyDescent="0.2">
      <c r="G33952" s="889"/>
    </row>
    <row r="33953" spans="7:7" ht="10.5" customHeight="1" x14ac:dyDescent="0.2">
      <c r="G33953" s="889"/>
    </row>
    <row r="33954" spans="7:7" ht="10.5" customHeight="1" x14ac:dyDescent="0.2">
      <c r="G33954" s="889"/>
    </row>
    <row r="33955" spans="7:7" ht="10.5" customHeight="1" x14ac:dyDescent="0.2">
      <c r="G33955" s="889"/>
    </row>
    <row r="33956" spans="7:7" ht="10.5" customHeight="1" x14ac:dyDescent="0.2">
      <c r="G33956" s="889"/>
    </row>
    <row r="33957" spans="7:7" ht="10.5" customHeight="1" x14ac:dyDescent="0.2">
      <c r="G33957" s="889"/>
    </row>
    <row r="33958" spans="7:7" ht="10.5" customHeight="1" x14ac:dyDescent="0.2">
      <c r="G33958" s="889"/>
    </row>
    <row r="33959" spans="7:7" ht="10.5" customHeight="1" x14ac:dyDescent="0.2">
      <c r="G33959" s="889"/>
    </row>
    <row r="33960" spans="7:7" ht="10.5" customHeight="1" x14ac:dyDescent="0.2">
      <c r="G33960" s="889"/>
    </row>
    <row r="33961" spans="7:7" ht="10.5" customHeight="1" x14ac:dyDescent="0.2">
      <c r="G33961" s="889"/>
    </row>
    <row r="33962" spans="7:7" ht="10.5" customHeight="1" x14ac:dyDescent="0.2">
      <c r="G33962" s="889"/>
    </row>
    <row r="33963" spans="7:7" ht="10.5" customHeight="1" x14ac:dyDescent="0.2">
      <c r="G33963" s="889"/>
    </row>
    <row r="33964" spans="7:7" ht="10.5" customHeight="1" x14ac:dyDescent="0.2">
      <c r="G33964" s="889"/>
    </row>
    <row r="33965" spans="7:7" ht="10.5" customHeight="1" x14ac:dyDescent="0.2">
      <c r="G33965" s="889"/>
    </row>
    <row r="33966" spans="7:7" ht="10.5" customHeight="1" x14ac:dyDescent="0.2">
      <c r="G33966" s="889"/>
    </row>
    <row r="33967" spans="7:7" ht="10.5" customHeight="1" x14ac:dyDescent="0.2">
      <c r="G33967" s="889"/>
    </row>
    <row r="33968" spans="7:7" ht="10.5" customHeight="1" x14ac:dyDescent="0.2">
      <c r="G33968" s="889"/>
    </row>
    <row r="33969" spans="7:7" ht="10.5" customHeight="1" x14ac:dyDescent="0.2">
      <c r="G33969" s="889"/>
    </row>
    <row r="33970" spans="7:7" ht="10.5" customHeight="1" x14ac:dyDescent="0.2">
      <c r="G33970" s="889"/>
    </row>
    <row r="33971" spans="7:7" ht="10.5" customHeight="1" x14ac:dyDescent="0.2">
      <c r="G33971" s="889"/>
    </row>
    <row r="33972" spans="7:7" ht="10.5" customHeight="1" x14ac:dyDescent="0.2">
      <c r="G33972" s="889"/>
    </row>
    <row r="33973" spans="7:7" ht="10.5" customHeight="1" x14ac:dyDescent="0.2">
      <c r="G33973" s="889"/>
    </row>
    <row r="33974" spans="7:7" ht="10.5" customHeight="1" x14ac:dyDescent="0.2">
      <c r="G33974" s="889"/>
    </row>
    <row r="33975" spans="7:7" ht="10.5" customHeight="1" x14ac:dyDescent="0.2">
      <c r="G33975" s="889"/>
    </row>
    <row r="33976" spans="7:7" ht="10.5" customHeight="1" x14ac:dyDescent="0.2">
      <c r="G33976" s="889"/>
    </row>
    <row r="33977" spans="7:7" ht="10.5" customHeight="1" x14ac:dyDescent="0.2">
      <c r="G33977" s="889"/>
    </row>
    <row r="33978" spans="7:7" ht="10.5" customHeight="1" x14ac:dyDescent="0.2">
      <c r="G33978" s="889"/>
    </row>
    <row r="33979" spans="7:7" ht="10.5" customHeight="1" x14ac:dyDescent="0.2">
      <c r="G33979" s="889"/>
    </row>
    <row r="33980" spans="7:7" ht="10.5" customHeight="1" x14ac:dyDescent="0.2">
      <c r="G33980" s="889"/>
    </row>
    <row r="33981" spans="7:7" ht="10.5" customHeight="1" x14ac:dyDescent="0.2">
      <c r="G33981" s="889"/>
    </row>
    <row r="33982" spans="7:7" ht="10.5" customHeight="1" x14ac:dyDescent="0.2">
      <c r="G33982" s="889"/>
    </row>
    <row r="33983" spans="7:7" ht="10.5" customHeight="1" x14ac:dyDescent="0.2">
      <c r="G33983" s="889"/>
    </row>
    <row r="33984" spans="7:7" ht="10.5" customHeight="1" x14ac:dyDescent="0.2">
      <c r="G33984" s="889"/>
    </row>
    <row r="33985" spans="7:7" ht="10.5" customHeight="1" x14ac:dyDescent="0.2">
      <c r="G33985" s="889"/>
    </row>
    <row r="33986" spans="7:7" ht="10.5" customHeight="1" x14ac:dyDescent="0.2">
      <c r="G33986" s="889"/>
    </row>
    <row r="33987" spans="7:7" ht="10.5" customHeight="1" x14ac:dyDescent="0.2">
      <c r="G33987" s="889"/>
    </row>
    <row r="33988" spans="7:7" ht="10.5" customHeight="1" x14ac:dyDescent="0.2">
      <c r="G33988" s="889"/>
    </row>
    <row r="33989" spans="7:7" ht="10.5" customHeight="1" x14ac:dyDescent="0.2">
      <c r="G33989" s="889"/>
    </row>
    <row r="33990" spans="7:7" ht="10.5" customHeight="1" x14ac:dyDescent="0.2">
      <c r="G33990" s="889"/>
    </row>
    <row r="33991" spans="7:7" ht="10.5" customHeight="1" x14ac:dyDescent="0.2">
      <c r="G33991" s="889"/>
    </row>
    <row r="33992" spans="7:7" ht="10.5" customHeight="1" x14ac:dyDescent="0.2">
      <c r="G33992" s="889"/>
    </row>
    <row r="33993" spans="7:7" ht="10.5" customHeight="1" x14ac:dyDescent="0.2">
      <c r="G33993" s="889"/>
    </row>
    <row r="33994" spans="7:7" ht="10.5" customHeight="1" x14ac:dyDescent="0.2">
      <c r="G33994" s="889"/>
    </row>
    <row r="33995" spans="7:7" ht="10.5" customHeight="1" x14ac:dyDescent="0.2">
      <c r="G33995" s="889"/>
    </row>
    <row r="33996" spans="7:7" ht="10.5" customHeight="1" x14ac:dyDescent="0.2">
      <c r="G33996" s="889"/>
    </row>
    <row r="33997" spans="7:7" ht="10.5" customHeight="1" x14ac:dyDescent="0.2">
      <c r="G33997" s="889"/>
    </row>
    <row r="33998" spans="7:7" ht="10.5" customHeight="1" x14ac:dyDescent="0.2">
      <c r="G33998" s="889"/>
    </row>
    <row r="33999" spans="7:7" ht="10.5" customHeight="1" x14ac:dyDescent="0.2">
      <c r="G33999" s="889"/>
    </row>
    <row r="34000" spans="7:7" ht="10.5" customHeight="1" x14ac:dyDescent="0.2">
      <c r="G34000" s="889"/>
    </row>
    <row r="34001" spans="7:7" ht="10.5" customHeight="1" x14ac:dyDescent="0.2">
      <c r="G34001" s="889"/>
    </row>
    <row r="34002" spans="7:7" ht="10.5" customHeight="1" x14ac:dyDescent="0.2">
      <c r="G34002" s="889"/>
    </row>
    <row r="34003" spans="7:7" ht="10.5" customHeight="1" x14ac:dyDescent="0.2">
      <c r="G34003" s="889"/>
    </row>
    <row r="34004" spans="7:7" ht="10.5" customHeight="1" x14ac:dyDescent="0.2">
      <c r="G34004" s="889"/>
    </row>
    <row r="34005" spans="7:7" ht="10.5" customHeight="1" x14ac:dyDescent="0.2">
      <c r="G34005" s="889"/>
    </row>
    <row r="34006" spans="7:7" ht="10.5" customHeight="1" x14ac:dyDescent="0.2">
      <c r="G34006" s="889"/>
    </row>
    <row r="34007" spans="7:7" ht="10.5" customHeight="1" x14ac:dyDescent="0.2">
      <c r="G34007" s="889"/>
    </row>
    <row r="34008" spans="7:7" ht="10.5" customHeight="1" x14ac:dyDescent="0.2">
      <c r="G34008" s="889"/>
    </row>
    <row r="34009" spans="7:7" ht="10.5" customHeight="1" x14ac:dyDescent="0.2">
      <c r="G34009" s="889"/>
    </row>
    <row r="34010" spans="7:7" ht="10.5" customHeight="1" x14ac:dyDescent="0.2">
      <c r="G34010" s="889"/>
    </row>
    <row r="34011" spans="7:7" ht="10.5" customHeight="1" x14ac:dyDescent="0.2">
      <c r="G34011" s="889"/>
    </row>
    <row r="34012" spans="7:7" ht="10.5" customHeight="1" x14ac:dyDescent="0.2">
      <c r="G34012" s="889"/>
    </row>
    <row r="34013" spans="7:7" ht="10.5" customHeight="1" x14ac:dyDescent="0.2">
      <c r="G34013" s="889"/>
    </row>
    <row r="34014" spans="7:7" ht="10.5" customHeight="1" x14ac:dyDescent="0.2">
      <c r="G34014" s="889"/>
    </row>
    <row r="34015" spans="7:7" ht="10.5" customHeight="1" x14ac:dyDescent="0.2">
      <c r="G34015" s="889"/>
    </row>
    <row r="34016" spans="7:7" ht="10.5" customHeight="1" x14ac:dyDescent="0.2">
      <c r="G34016" s="889"/>
    </row>
    <row r="34017" spans="7:7" ht="10.5" customHeight="1" x14ac:dyDescent="0.2">
      <c r="G34017" s="889"/>
    </row>
    <row r="34018" spans="7:7" ht="10.5" customHeight="1" x14ac:dyDescent="0.2">
      <c r="G34018" s="889"/>
    </row>
    <row r="34019" spans="7:7" ht="10.5" customHeight="1" x14ac:dyDescent="0.2">
      <c r="G34019" s="889"/>
    </row>
    <row r="34020" spans="7:7" ht="10.5" customHeight="1" x14ac:dyDescent="0.2">
      <c r="G34020" s="889"/>
    </row>
    <row r="34021" spans="7:7" ht="10.5" customHeight="1" x14ac:dyDescent="0.2">
      <c r="G34021" s="889"/>
    </row>
    <row r="34022" spans="7:7" ht="10.5" customHeight="1" x14ac:dyDescent="0.2">
      <c r="G34022" s="889"/>
    </row>
    <row r="34023" spans="7:7" ht="10.5" customHeight="1" x14ac:dyDescent="0.2">
      <c r="G34023" s="889"/>
    </row>
    <row r="34024" spans="7:7" ht="10.5" customHeight="1" x14ac:dyDescent="0.2">
      <c r="G34024" s="889"/>
    </row>
    <row r="34025" spans="7:7" ht="10.5" customHeight="1" x14ac:dyDescent="0.2">
      <c r="G34025" s="889"/>
    </row>
    <row r="34026" spans="7:7" ht="10.5" customHeight="1" x14ac:dyDescent="0.2">
      <c r="G34026" s="889"/>
    </row>
    <row r="34027" spans="7:7" ht="10.5" customHeight="1" x14ac:dyDescent="0.2">
      <c r="G34027" s="889"/>
    </row>
    <row r="34028" spans="7:7" ht="10.5" customHeight="1" x14ac:dyDescent="0.2">
      <c r="G34028" s="889"/>
    </row>
    <row r="34029" spans="7:7" ht="10.5" customHeight="1" x14ac:dyDescent="0.2">
      <c r="G34029" s="889"/>
    </row>
    <row r="34030" spans="7:7" ht="10.5" customHeight="1" x14ac:dyDescent="0.2">
      <c r="G34030" s="889"/>
    </row>
    <row r="34031" spans="7:7" ht="10.5" customHeight="1" x14ac:dyDescent="0.2">
      <c r="G34031" s="889"/>
    </row>
    <row r="34032" spans="7:7" ht="10.5" customHeight="1" x14ac:dyDescent="0.2">
      <c r="G34032" s="889"/>
    </row>
    <row r="34033" spans="7:7" ht="10.5" customHeight="1" x14ac:dyDescent="0.2">
      <c r="G34033" s="889"/>
    </row>
    <row r="34034" spans="7:7" ht="10.5" customHeight="1" x14ac:dyDescent="0.2">
      <c r="G34034" s="889"/>
    </row>
    <row r="34035" spans="7:7" ht="10.5" customHeight="1" x14ac:dyDescent="0.2">
      <c r="G34035" s="889"/>
    </row>
    <row r="34036" spans="7:7" ht="10.5" customHeight="1" x14ac:dyDescent="0.2">
      <c r="G34036" s="889"/>
    </row>
    <row r="34037" spans="7:7" ht="10.5" customHeight="1" x14ac:dyDescent="0.2">
      <c r="G34037" s="889"/>
    </row>
    <row r="34038" spans="7:7" ht="10.5" customHeight="1" x14ac:dyDescent="0.2">
      <c r="G34038" s="889"/>
    </row>
    <row r="34039" spans="7:7" ht="10.5" customHeight="1" x14ac:dyDescent="0.2">
      <c r="G34039" s="889"/>
    </row>
    <row r="34040" spans="7:7" ht="10.5" customHeight="1" x14ac:dyDescent="0.2">
      <c r="G34040" s="889"/>
    </row>
    <row r="34041" spans="7:7" ht="10.5" customHeight="1" x14ac:dyDescent="0.2">
      <c r="G34041" s="889"/>
    </row>
    <row r="34042" spans="7:7" ht="10.5" customHeight="1" x14ac:dyDescent="0.2">
      <c r="G34042" s="889"/>
    </row>
    <row r="34043" spans="7:7" ht="10.5" customHeight="1" x14ac:dyDescent="0.2">
      <c r="G34043" s="889"/>
    </row>
    <row r="34044" spans="7:7" ht="10.5" customHeight="1" x14ac:dyDescent="0.2">
      <c r="G34044" s="889"/>
    </row>
    <row r="34045" spans="7:7" ht="10.5" customHeight="1" x14ac:dyDescent="0.2">
      <c r="G34045" s="889"/>
    </row>
    <row r="34046" spans="7:7" ht="10.5" customHeight="1" x14ac:dyDescent="0.2">
      <c r="G34046" s="889"/>
    </row>
    <row r="34047" spans="7:7" ht="10.5" customHeight="1" x14ac:dyDescent="0.2">
      <c r="G34047" s="889"/>
    </row>
    <row r="34048" spans="7:7" ht="10.5" customHeight="1" x14ac:dyDescent="0.2">
      <c r="G34048" s="889"/>
    </row>
    <row r="34049" spans="7:7" ht="10.5" customHeight="1" x14ac:dyDescent="0.2">
      <c r="G34049" s="889"/>
    </row>
    <row r="34050" spans="7:7" ht="10.5" customHeight="1" x14ac:dyDescent="0.2">
      <c r="G34050" s="889"/>
    </row>
    <row r="34051" spans="7:7" ht="10.5" customHeight="1" x14ac:dyDescent="0.2">
      <c r="G34051" s="889"/>
    </row>
    <row r="34052" spans="7:7" ht="10.5" customHeight="1" x14ac:dyDescent="0.2">
      <c r="G34052" s="889"/>
    </row>
    <row r="34053" spans="7:7" ht="10.5" customHeight="1" x14ac:dyDescent="0.2">
      <c r="G34053" s="889"/>
    </row>
    <row r="34054" spans="7:7" ht="10.5" customHeight="1" x14ac:dyDescent="0.2">
      <c r="G34054" s="889"/>
    </row>
    <row r="34055" spans="7:7" ht="10.5" customHeight="1" x14ac:dyDescent="0.2">
      <c r="G34055" s="889"/>
    </row>
    <row r="34056" spans="7:7" ht="10.5" customHeight="1" x14ac:dyDescent="0.2">
      <c r="G34056" s="889"/>
    </row>
    <row r="34057" spans="7:7" ht="10.5" customHeight="1" x14ac:dyDescent="0.2">
      <c r="G34057" s="889"/>
    </row>
    <row r="34058" spans="7:7" ht="10.5" customHeight="1" x14ac:dyDescent="0.2">
      <c r="G34058" s="889"/>
    </row>
    <row r="34059" spans="7:7" ht="10.5" customHeight="1" x14ac:dyDescent="0.2">
      <c r="G34059" s="889"/>
    </row>
    <row r="34060" spans="7:7" ht="10.5" customHeight="1" x14ac:dyDescent="0.2">
      <c r="G34060" s="889"/>
    </row>
    <row r="34061" spans="7:7" ht="10.5" customHeight="1" x14ac:dyDescent="0.2">
      <c r="G34061" s="889"/>
    </row>
    <row r="34062" spans="7:7" ht="10.5" customHeight="1" x14ac:dyDescent="0.2">
      <c r="G34062" s="889"/>
    </row>
    <row r="34063" spans="7:7" ht="10.5" customHeight="1" x14ac:dyDescent="0.2">
      <c r="G34063" s="889"/>
    </row>
    <row r="34064" spans="7:7" ht="10.5" customHeight="1" x14ac:dyDescent="0.2">
      <c r="G34064" s="889"/>
    </row>
    <row r="34065" spans="7:7" ht="10.5" customHeight="1" x14ac:dyDescent="0.2">
      <c r="G34065" s="889"/>
    </row>
    <row r="34066" spans="7:7" ht="10.5" customHeight="1" x14ac:dyDescent="0.2">
      <c r="G34066" s="889"/>
    </row>
    <row r="34067" spans="7:7" ht="10.5" customHeight="1" x14ac:dyDescent="0.2">
      <c r="G34067" s="889"/>
    </row>
    <row r="34068" spans="7:7" ht="10.5" customHeight="1" x14ac:dyDescent="0.2">
      <c r="G34068" s="889"/>
    </row>
    <row r="34069" spans="7:7" ht="10.5" customHeight="1" x14ac:dyDescent="0.2">
      <c r="G34069" s="889"/>
    </row>
    <row r="34070" spans="7:7" ht="10.5" customHeight="1" x14ac:dyDescent="0.2">
      <c r="G34070" s="889"/>
    </row>
    <row r="34071" spans="7:7" ht="10.5" customHeight="1" x14ac:dyDescent="0.2">
      <c r="G34071" s="889"/>
    </row>
    <row r="34072" spans="7:7" ht="10.5" customHeight="1" x14ac:dyDescent="0.2">
      <c r="G34072" s="889"/>
    </row>
    <row r="34073" spans="7:7" ht="10.5" customHeight="1" x14ac:dyDescent="0.2">
      <c r="G34073" s="889"/>
    </row>
    <row r="34074" spans="7:7" ht="10.5" customHeight="1" x14ac:dyDescent="0.2">
      <c r="G34074" s="889"/>
    </row>
    <row r="34075" spans="7:7" ht="10.5" customHeight="1" x14ac:dyDescent="0.2">
      <c r="G34075" s="889"/>
    </row>
    <row r="34076" spans="7:7" ht="10.5" customHeight="1" x14ac:dyDescent="0.2">
      <c r="G34076" s="889"/>
    </row>
    <row r="34077" spans="7:7" ht="10.5" customHeight="1" x14ac:dyDescent="0.2">
      <c r="G34077" s="889"/>
    </row>
    <row r="34078" spans="7:7" ht="10.5" customHeight="1" x14ac:dyDescent="0.2">
      <c r="G34078" s="889"/>
    </row>
    <row r="34079" spans="7:7" ht="10.5" customHeight="1" x14ac:dyDescent="0.2">
      <c r="G34079" s="889"/>
    </row>
    <row r="34080" spans="7:7" ht="10.5" customHeight="1" x14ac:dyDescent="0.2">
      <c r="G34080" s="889"/>
    </row>
    <row r="34081" spans="7:7" ht="10.5" customHeight="1" x14ac:dyDescent="0.2">
      <c r="G34081" s="889"/>
    </row>
    <row r="34082" spans="7:7" ht="10.5" customHeight="1" x14ac:dyDescent="0.2">
      <c r="G34082" s="889"/>
    </row>
    <row r="34083" spans="7:7" ht="10.5" customHeight="1" x14ac:dyDescent="0.2">
      <c r="G34083" s="889"/>
    </row>
    <row r="34084" spans="7:7" ht="10.5" customHeight="1" x14ac:dyDescent="0.2">
      <c r="G34084" s="889"/>
    </row>
    <row r="34085" spans="7:7" ht="10.5" customHeight="1" x14ac:dyDescent="0.2">
      <c r="G34085" s="889"/>
    </row>
    <row r="34086" spans="7:7" ht="10.5" customHeight="1" x14ac:dyDescent="0.2">
      <c r="G34086" s="889"/>
    </row>
    <row r="34087" spans="7:7" ht="10.5" customHeight="1" x14ac:dyDescent="0.2">
      <c r="G34087" s="889"/>
    </row>
    <row r="34088" spans="7:7" ht="10.5" customHeight="1" x14ac:dyDescent="0.2">
      <c r="G34088" s="889"/>
    </row>
    <row r="34089" spans="7:7" ht="10.5" customHeight="1" x14ac:dyDescent="0.2">
      <c r="G34089" s="889"/>
    </row>
    <row r="34090" spans="7:7" ht="10.5" customHeight="1" x14ac:dyDescent="0.2">
      <c r="G34090" s="889"/>
    </row>
    <row r="34091" spans="7:7" ht="10.5" customHeight="1" x14ac:dyDescent="0.2">
      <c r="G34091" s="889"/>
    </row>
    <row r="34092" spans="7:7" ht="10.5" customHeight="1" x14ac:dyDescent="0.2">
      <c r="G34092" s="889"/>
    </row>
    <row r="34093" spans="7:7" ht="10.5" customHeight="1" x14ac:dyDescent="0.2">
      <c r="G34093" s="889"/>
    </row>
    <row r="34094" spans="7:7" ht="10.5" customHeight="1" x14ac:dyDescent="0.2">
      <c r="G34094" s="889"/>
    </row>
    <row r="34095" spans="7:7" ht="10.5" customHeight="1" x14ac:dyDescent="0.2">
      <c r="G34095" s="889"/>
    </row>
    <row r="34096" spans="7:7" ht="10.5" customHeight="1" x14ac:dyDescent="0.2">
      <c r="G34096" s="889"/>
    </row>
    <row r="34097" spans="7:7" ht="10.5" customHeight="1" x14ac:dyDescent="0.2">
      <c r="G34097" s="889"/>
    </row>
    <row r="34098" spans="7:7" ht="10.5" customHeight="1" x14ac:dyDescent="0.2">
      <c r="G34098" s="889"/>
    </row>
    <row r="34099" spans="7:7" ht="10.5" customHeight="1" x14ac:dyDescent="0.2">
      <c r="G34099" s="889"/>
    </row>
    <row r="34100" spans="7:7" ht="10.5" customHeight="1" x14ac:dyDescent="0.2">
      <c r="G34100" s="889"/>
    </row>
    <row r="34101" spans="7:7" ht="10.5" customHeight="1" x14ac:dyDescent="0.2">
      <c r="G34101" s="889"/>
    </row>
    <row r="34102" spans="7:7" ht="10.5" customHeight="1" x14ac:dyDescent="0.2">
      <c r="G34102" s="889"/>
    </row>
    <row r="34103" spans="7:7" ht="10.5" customHeight="1" x14ac:dyDescent="0.2">
      <c r="G34103" s="889"/>
    </row>
    <row r="34104" spans="7:7" ht="10.5" customHeight="1" x14ac:dyDescent="0.2">
      <c r="G34104" s="889"/>
    </row>
    <row r="34105" spans="7:7" ht="10.5" customHeight="1" x14ac:dyDescent="0.2">
      <c r="G34105" s="889"/>
    </row>
    <row r="34106" spans="7:7" ht="10.5" customHeight="1" x14ac:dyDescent="0.2">
      <c r="G34106" s="889"/>
    </row>
    <row r="34107" spans="7:7" ht="10.5" customHeight="1" x14ac:dyDescent="0.2">
      <c r="G34107" s="889"/>
    </row>
    <row r="34108" spans="7:7" ht="10.5" customHeight="1" x14ac:dyDescent="0.2">
      <c r="G34108" s="889"/>
    </row>
    <row r="34109" spans="7:7" ht="10.5" customHeight="1" x14ac:dyDescent="0.2">
      <c r="G34109" s="889"/>
    </row>
    <row r="34110" spans="7:7" ht="10.5" customHeight="1" x14ac:dyDescent="0.2">
      <c r="G34110" s="889"/>
    </row>
    <row r="34111" spans="7:7" ht="10.5" customHeight="1" x14ac:dyDescent="0.2">
      <c r="G34111" s="889"/>
    </row>
    <row r="34112" spans="7:7" ht="10.5" customHeight="1" x14ac:dyDescent="0.2">
      <c r="G34112" s="889"/>
    </row>
    <row r="34113" spans="7:7" ht="10.5" customHeight="1" x14ac:dyDescent="0.2">
      <c r="G34113" s="889"/>
    </row>
    <row r="34114" spans="7:7" ht="10.5" customHeight="1" x14ac:dyDescent="0.2">
      <c r="G34114" s="889"/>
    </row>
    <row r="34115" spans="7:7" ht="10.5" customHeight="1" x14ac:dyDescent="0.2">
      <c r="G34115" s="889"/>
    </row>
    <row r="34116" spans="7:7" ht="10.5" customHeight="1" x14ac:dyDescent="0.2">
      <c r="G34116" s="889"/>
    </row>
    <row r="34117" spans="7:7" ht="10.5" customHeight="1" x14ac:dyDescent="0.2">
      <c r="G34117" s="889"/>
    </row>
    <row r="34118" spans="7:7" ht="10.5" customHeight="1" x14ac:dyDescent="0.2">
      <c r="G34118" s="889"/>
    </row>
    <row r="34119" spans="7:7" ht="10.5" customHeight="1" x14ac:dyDescent="0.2">
      <c r="G34119" s="889"/>
    </row>
    <row r="34120" spans="7:7" ht="10.5" customHeight="1" x14ac:dyDescent="0.2">
      <c r="G34120" s="889"/>
    </row>
    <row r="34121" spans="7:7" ht="10.5" customHeight="1" x14ac:dyDescent="0.2">
      <c r="G34121" s="889"/>
    </row>
    <row r="34122" spans="7:7" ht="10.5" customHeight="1" x14ac:dyDescent="0.2">
      <c r="G34122" s="889"/>
    </row>
    <row r="34123" spans="7:7" ht="10.5" customHeight="1" x14ac:dyDescent="0.2">
      <c r="G34123" s="889"/>
    </row>
    <row r="34124" spans="7:7" ht="10.5" customHeight="1" x14ac:dyDescent="0.2">
      <c r="G34124" s="889"/>
    </row>
    <row r="34125" spans="7:7" ht="10.5" customHeight="1" x14ac:dyDescent="0.2">
      <c r="G34125" s="889"/>
    </row>
    <row r="34126" spans="7:7" ht="10.5" customHeight="1" x14ac:dyDescent="0.2">
      <c r="G34126" s="889"/>
    </row>
    <row r="34127" spans="7:7" ht="10.5" customHeight="1" x14ac:dyDescent="0.2">
      <c r="G34127" s="889"/>
    </row>
    <row r="34128" spans="7:7" ht="10.5" customHeight="1" x14ac:dyDescent="0.2">
      <c r="G34128" s="889"/>
    </row>
    <row r="34129" spans="7:7" ht="10.5" customHeight="1" x14ac:dyDescent="0.2">
      <c r="G34129" s="889"/>
    </row>
    <row r="34130" spans="7:7" ht="10.5" customHeight="1" x14ac:dyDescent="0.2">
      <c r="G34130" s="889"/>
    </row>
    <row r="34131" spans="7:7" ht="10.5" customHeight="1" x14ac:dyDescent="0.2">
      <c r="G34131" s="889"/>
    </row>
    <row r="34132" spans="7:7" ht="10.5" customHeight="1" x14ac:dyDescent="0.2">
      <c r="G34132" s="889"/>
    </row>
    <row r="34133" spans="7:7" ht="10.5" customHeight="1" x14ac:dyDescent="0.2">
      <c r="G34133" s="889"/>
    </row>
    <row r="34134" spans="7:7" ht="10.5" customHeight="1" x14ac:dyDescent="0.2">
      <c r="G34134" s="889"/>
    </row>
    <row r="34135" spans="7:7" ht="10.5" customHeight="1" x14ac:dyDescent="0.2">
      <c r="G34135" s="889"/>
    </row>
    <row r="34136" spans="7:7" ht="10.5" customHeight="1" x14ac:dyDescent="0.2">
      <c r="G34136" s="889"/>
    </row>
    <row r="34137" spans="7:7" ht="10.5" customHeight="1" x14ac:dyDescent="0.2">
      <c r="G34137" s="889"/>
    </row>
    <row r="34138" spans="7:7" ht="10.5" customHeight="1" x14ac:dyDescent="0.2">
      <c r="G34138" s="889"/>
    </row>
    <row r="34139" spans="7:7" ht="10.5" customHeight="1" x14ac:dyDescent="0.2">
      <c r="G34139" s="889"/>
    </row>
    <row r="34140" spans="7:7" ht="10.5" customHeight="1" x14ac:dyDescent="0.2">
      <c r="G34140" s="889"/>
    </row>
    <row r="34141" spans="7:7" ht="10.5" customHeight="1" x14ac:dyDescent="0.2">
      <c r="G34141" s="889"/>
    </row>
    <row r="34142" spans="7:7" ht="10.5" customHeight="1" x14ac:dyDescent="0.2">
      <c r="G34142" s="889"/>
    </row>
    <row r="34143" spans="7:7" ht="10.5" customHeight="1" x14ac:dyDescent="0.2">
      <c r="G34143" s="889"/>
    </row>
    <row r="34144" spans="7:7" ht="10.5" customHeight="1" x14ac:dyDescent="0.2">
      <c r="G34144" s="889"/>
    </row>
    <row r="34145" spans="7:7" ht="10.5" customHeight="1" x14ac:dyDescent="0.2">
      <c r="G34145" s="889"/>
    </row>
    <row r="34146" spans="7:7" ht="10.5" customHeight="1" x14ac:dyDescent="0.2">
      <c r="G34146" s="889"/>
    </row>
    <row r="34147" spans="7:7" ht="10.5" customHeight="1" x14ac:dyDescent="0.2">
      <c r="G34147" s="889"/>
    </row>
    <row r="34148" spans="7:7" ht="10.5" customHeight="1" x14ac:dyDescent="0.2">
      <c r="G34148" s="889"/>
    </row>
    <row r="34149" spans="7:7" ht="10.5" customHeight="1" x14ac:dyDescent="0.2">
      <c r="G34149" s="889"/>
    </row>
    <row r="34150" spans="7:7" ht="10.5" customHeight="1" x14ac:dyDescent="0.2">
      <c r="G34150" s="889"/>
    </row>
    <row r="34151" spans="7:7" ht="10.5" customHeight="1" x14ac:dyDescent="0.2">
      <c r="G34151" s="889"/>
    </row>
    <row r="34152" spans="7:7" ht="10.5" customHeight="1" x14ac:dyDescent="0.2">
      <c r="G34152" s="889"/>
    </row>
    <row r="34153" spans="7:7" ht="10.5" customHeight="1" x14ac:dyDescent="0.2">
      <c r="G34153" s="889"/>
    </row>
    <row r="34154" spans="7:7" ht="10.5" customHeight="1" x14ac:dyDescent="0.2">
      <c r="G34154" s="889"/>
    </row>
    <row r="34155" spans="7:7" ht="10.5" customHeight="1" x14ac:dyDescent="0.2">
      <c r="G34155" s="889"/>
    </row>
    <row r="34156" spans="7:7" ht="10.5" customHeight="1" x14ac:dyDescent="0.2">
      <c r="G34156" s="889"/>
    </row>
    <row r="34157" spans="7:7" ht="10.5" customHeight="1" x14ac:dyDescent="0.2">
      <c r="G34157" s="889"/>
    </row>
    <row r="34158" spans="7:7" ht="10.5" customHeight="1" x14ac:dyDescent="0.2">
      <c r="G34158" s="889"/>
    </row>
    <row r="34159" spans="7:7" ht="10.5" customHeight="1" x14ac:dyDescent="0.2">
      <c r="G34159" s="889"/>
    </row>
    <row r="34160" spans="7:7" ht="10.5" customHeight="1" x14ac:dyDescent="0.2">
      <c r="G34160" s="889"/>
    </row>
    <row r="34161" spans="7:7" ht="10.5" customHeight="1" x14ac:dyDescent="0.2">
      <c r="G34161" s="889"/>
    </row>
    <row r="34162" spans="7:7" ht="10.5" customHeight="1" x14ac:dyDescent="0.2">
      <c r="G34162" s="889"/>
    </row>
    <row r="34163" spans="7:7" ht="10.5" customHeight="1" x14ac:dyDescent="0.2">
      <c r="G34163" s="889"/>
    </row>
    <row r="34164" spans="7:7" ht="10.5" customHeight="1" x14ac:dyDescent="0.2">
      <c r="G34164" s="889"/>
    </row>
    <row r="34165" spans="7:7" ht="10.5" customHeight="1" x14ac:dyDescent="0.2">
      <c r="G34165" s="889"/>
    </row>
    <row r="34166" spans="7:7" ht="10.5" customHeight="1" x14ac:dyDescent="0.2">
      <c r="G34166" s="889"/>
    </row>
    <row r="34167" spans="7:7" ht="10.5" customHeight="1" x14ac:dyDescent="0.2">
      <c r="G34167" s="889"/>
    </row>
    <row r="34168" spans="7:7" ht="10.5" customHeight="1" x14ac:dyDescent="0.2">
      <c r="G34168" s="889"/>
    </row>
    <row r="34169" spans="7:7" ht="10.5" customHeight="1" x14ac:dyDescent="0.2">
      <c r="G34169" s="889"/>
    </row>
    <row r="34170" spans="7:7" ht="10.5" customHeight="1" x14ac:dyDescent="0.2">
      <c r="G34170" s="889"/>
    </row>
    <row r="34171" spans="7:7" ht="10.5" customHeight="1" x14ac:dyDescent="0.2">
      <c r="G34171" s="889"/>
    </row>
    <row r="34172" spans="7:7" ht="10.5" customHeight="1" x14ac:dyDescent="0.2">
      <c r="G34172" s="889"/>
    </row>
    <row r="34173" spans="7:7" ht="10.5" customHeight="1" x14ac:dyDescent="0.2">
      <c r="G34173" s="889"/>
    </row>
    <row r="34174" spans="7:7" ht="10.5" customHeight="1" x14ac:dyDescent="0.2">
      <c r="G34174" s="889"/>
    </row>
    <row r="34175" spans="7:7" ht="10.5" customHeight="1" x14ac:dyDescent="0.2">
      <c r="G34175" s="889"/>
    </row>
    <row r="34176" spans="7:7" ht="10.5" customHeight="1" x14ac:dyDescent="0.2">
      <c r="G34176" s="889"/>
    </row>
    <row r="34177" spans="7:7" ht="10.5" customHeight="1" x14ac:dyDescent="0.2">
      <c r="G34177" s="889"/>
    </row>
    <row r="34178" spans="7:7" ht="10.5" customHeight="1" x14ac:dyDescent="0.2">
      <c r="G34178" s="889"/>
    </row>
    <row r="34179" spans="7:7" ht="10.5" customHeight="1" x14ac:dyDescent="0.2">
      <c r="G34179" s="889"/>
    </row>
    <row r="34180" spans="7:7" ht="10.5" customHeight="1" x14ac:dyDescent="0.2">
      <c r="G34180" s="889"/>
    </row>
    <row r="34181" spans="7:7" ht="10.5" customHeight="1" x14ac:dyDescent="0.2">
      <c r="G34181" s="889"/>
    </row>
    <row r="34182" spans="7:7" ht="10.5" customHeight="1" x14ac:dyDescent="0.2">
      <c r="G34182" s="889"/>
    </row>
    <row r="34183" spans="7:7" ht="10.5" customHeight="1" x14ac:dyDescent="0.2">
      <c r="G34183" s="889"/>
    </row>
    <row r="34184" spans="7:7" ht="10.5" customHeight="1" x14ac:dyDescent="0.2">
      <c r="G34184" s="889"/>
    </row>
    <row r="34185" spans="7:7" ht="10.5" customHeight="1" x14ac:dyDescent="0.2">
      <c r="G34185" s="889"/>
    </row>
    <row r="34186" spans="7:7" ht="10.5" customHeight="1" x14ac:dyDescent="0.2">
      <c r="G34186" s="889"/>
    </row>
    <row r="34187" spans="7:7" ht="10.5" customHeight="1" x14ac:dyDescent="0.2">
      <c r="G34187" s="889"/>
    </row>
    <row r="34188" spans="7:7" ht="10.5" customHeight="1" x14ac:dyDescent="0.2">
      <c r="G34188" s="889"/>
    </row>
    <row r="34189" spans="7:7" ht="10.5" customHeight="1" x14ac:dyDescent="0.2">
      <c r="G34189" s="889"/>
    </row>
    <row r="34190" spans="7:7" ht="10.5" customHeight="1" x14ac:dyDescent="0.2">
      <c r="G34190" s="889"/>
    </row>
    <row r="34191" spans="7:7" ht="10.5" customHeight="1" x14ac:dyDescent="0.2">
      <c r="G34191" s="889"/>
    </row>
    <row r="34192" spans="7:7" ht="10.5" customHeight="1" x14ac:dyDescent="0.2">
      <c r="G34192" s="889"/>
    </row>
    <row r="34193" spans="7:7" ht="10.5" customHeight="1" x14ac:dyDescent="0.2">
      <c r="G34193" s="889"/>
    </row>
    <row r="34194" spans="7:7" ht="10.5" customHeight="1" x14ac:dyDescent="0.2">
      <c r="G34194" s="889"/>
    </row>
    <row r="34195" spans="7:7" ht="10.5" customHeight="1" x14ac:dyDescent="0.2">
      <c r="G34195" s="889"/>
    </row>
    <row r="34196" spans="7:7" ht="10.5" customHeight="1" x14ac:dyDescent="0.2">
      <c r="G34196" s="889"/>
    </row>
    <row r="34197" spans="7:7" ht="10.5" customHeight="1" x14ac:dyDescent="0.2">
      <c r="G34197" s="889"/>
    </row>
    <row r="34198" spans="7:7" ht="10.5" customHeight="1" x14ac:dyDescent="0.2">
      <c r="G34198" s="889"/>
    </row>
    <row r="34199" spans="7:7" ht="10.5" customHeight="1" x14ac:dyDescent="0.2">
      <c r="G34199" s="889"/>
    </row>
    <row r="34200" spans="7:7" ht="10.5" customHeight="1" x14ac:dyDescent="0.2">
      <c r="G34200" s="889"/>
    </row>
    <row r="34201" spans="7:7" ht="10.5" customHeight="1" x14ac:dyDescent="0.2">
      <c r="G34201" s="889"/>
    </row>
    <row r="34202" spans="7:7" ht="10.5" customHeight="1" x14ac:dyDescent="0.2">
      <c r="G34202" s="889"/>
    </row>
    <row r="34203" spans="7:7" ht="10.5" customHeight="1" x14ac:dyDescent="0.2">
      <c r="G34203" s="889"/>
    </row>
    <row r="34204" spans="7:7" ht="10.5" customHeight="1" x14ac:dyDescent="0.2">
      <c r="G34204" s="889"/>
    </row>
    <row r="34205" spans="7:7" ht="10.5" customHeight="1" x14ac:dyDescent="0.2">
      <c r="G34205" s="889"/>
    </row>
    <row r="34206" spans="7:7" ht="10.5" customHeight="1" x14ac:dyDescent="0.2">
      <c r="G34206" s="889"/>
    </row>
    <row r="34207" spans="7:7" ht="10.5" customHeight="1" x14ac:dyDescent="0.2">
      <c r="G34207" s="889"/>
    </row>
    <row r="34208" spans="7:7" ht="10.5" customHeight="1" x14ac:dyDescent="0.2">
      <c r="G34208" s="889"/>
    </row>
    <row r="34209" spans="7:7" ht="10.5" customHeight="1" x14ac:dyDescent="0.2">
      <c r="G34209" s="889"/>
    </row>
    <row r="34210" spans="7:7" ht="10.5" customHeight="1" x14ac:dyDescent="0.2">
      <c r="G34210" s="889"/>
    </row>
    <row r="34211" spans="7:7" ht="10.5" customHeight="1" x14ac:dyDescent="0.2">
      <c r="G34211" s="889"/>
    </row>
    <row r="34212" spans="7:7" ht="10.5" customHeight="1" x14ac:dyDescent="0.2">
      <c r="G34212" s="889"/>
    </row>
    <row r="34213" spans="7:7" ht="10.5" customHeight="1" x14ac:dyDescent="0.2">
      <c r="G34213" s="889"/>
    </row>
    <row r="34214" spans="7:7" ht="10.5" customHeight="1" x14ac:dyDescent="0.2">
      <c r="G34214" s="889"/>
    </row>
    <row r="34215" spans="7:7" ht="10.5" customHeight="1" x14ac:dyDescent="0.2">
      <c r="G34215" s="889"/>
    </row>
    <row r="34216" spans="7:7" ht="10.5" customHeight="1" x14ac:dyDescent="0.2">
      <c r="G34216" s="889"/>
    </row>
    <row r="34217" spans="7:7" ht="10.5" customHeight="1" x14ac:dyDescent="0.2">
      <c r="G34217" s="889"/>
    </row>
    <row r="34218" spans="7:7" ht="10.5" customHeight="1" x14ac:dyDescent="0.2">
      <c r="G34218" s="889"/>
    </row>
    <row r="34219" spans="7:7" ht="10.5" customHeight="1" x14ac:dyDescent="0.2">
      <c r="G34219" s="889"/>
    </row>
    <row r="34220" spans="7:7" ht="10.5" customHeight="1" x14ac:dyDescent="0.2">
      <c r="G34220" s="889"/>
    </row>
    <row r="34221" spans="7:7" ht="10.5" customHeight="1" x14ac:dyDescent="0.2">
      <c r="G34221" s="889"/>
    </row>
    <row r="34222" spans="7:7" ht="10.5" customHeight="1" x14ac:dyDescent="0.2">
      <c r="G34222" s="889"/>
    </row>
    <row r="34223" spans="7:7" ht="10.5" customHeight="1" x14ac:dyDescent="0.2">
      <c r="G34223" s="889"/>
    </row>
    <row r="34224" spans="7:7" ht="10.5" customHeight="1" x14ac:dyDescent="0.2">
      <c r="G34224" s="889"/>
    </row>
    <row r="34225" spans="7:7" ht="10.5" customHeight="1" x14ac:dyDescent="0.2">
      <c r="G34225" s="889"/>
    </row>
    <row r="34226" spans="7:7" ht="10.5" customHeight="1" x14ac:dyDescent="0.2">
      <c r="G34226" s="889"/>
    </row>
    <row r="34227" spans="7:7" ht="10.5" customHeight="1" x14ac:dyDescent="0.2">
      <c r="G34227" s="889"/>
    </row>
    <row r="34228" spans="7:7" ht="10.5" customHeight="1" x14ac:dyDescent="0.2">
      <c r="G34228" s="889"/>
    </row>
    <row r="34229" spans="7:7" ht="10.5" customHeight="1" x14ac:dyDescent="0.2">
      <c r="G34229" s="889"/>
    </row>
    <row r="34230" spans="7:7" ht="10.5" customHeight="1" x14ac:dyDescent="0.2">
      <c r="G34230" s="889"/>
    </row>
    <row r="34231" spans="7:7" ht="10.5" customHeight="1" x14ac:dyDescent="0.2">
      <c r="G34231" s="889"/>
    </row>
    <row r="34232" spans="7:7" ht="10.5" customHeight="1" x14ac:dyDescent="0.2">
      <c r="G34232" s="889"/>
    </row>
    <row r="34233" spans="7:7" ht="10.5" customHeight="1" x14ac:dyDescent="0.2">
      <c r="G34233" s="889"/>
    </row>
    <row r="34234" spans="7:7" ht="10.5" customHeight="1" x14ac:dyDescent="0.2">
      <c r="G34234" s="889"/>
    </row>
    <row r="34235" spans="7:7" ht="10.5" customHeight="1" x14ac:dyDescent="0.2">
      <c r="G34235" s="889"/>
    </row>
    <row r="34236" spans="7:7" ht="10.5" customHeight="1" x14ac:dyDescent="0.2">
      <c r="G34236" s="889"/>
    </row>
    <row r="34237" spans="7:7" ht="10.5" customHeight="1" x14ac:dyDescent="0.2">
      <c r="G34237" s="889"/>
    </row>
    <row r="34238" spans="7:7" ht="10.5" customHeight="1" x14ac:dyDescent="0.2">
      <c r="G34238" s="889"/>
    </row>
    <row r="34239" spans="7:7" ht="10.5" customHeight="1" x14ac:dyDescent="0.2">
      <c r="G34239" s="889"/>
    </row>
    <row r="34240" spans="7:7" ht="10.5" customHeight="1" x14ac:dyDescent="0.2">
      <c r="G34240" s="889"/>
    </row>
    <row r="34241" spans="7:7" ht="10.5" customHeight="1" x14ac:dyDescent="0.2">
      <c r="G34241" s="889"/>
    </row>
    <row r="34242" spans="7:7" ht="10.5" customHeight="1" x14ac:dyDescent="0.2">
      <c r="G34242" s="889"/>
    </row>
    <row r="34243" spans="7:7" ht="10.5" customHeight="1" x14ac:dyDescent="0.2">
      <c r="G34243" s="889"/>
    </row>
    <row r="34244" spans="7:7" ht="10.5" customHeight="1" x14ac:dyDescent="0.2">
      <c r="G34244" s="889"/>
    </row>
    <row r="34245" spans="7:7" ht="10.5" customHeight="1" x14ac:dyDescent="0.2">
      <c r="G34245" s="889"/>
    </row>
    <row r="34246" spans="7:7" ht="10.5" customHeight="1" x14ac:dyDescent="0.2">
      <c r="G34246" s="889"/>
    </row>
    <row r="34247" spans="7:7" ht="10.5" customHeight="1" x14ac:dyDescent="0.2">
      <c r="G34247" s="889"/>
    </row>
    <row r="34248" spans="7:7" ht="10.5" customHeight="1" x14ac:dyDescent="0.2">
      <c r="G34248" s="889"/>
    </row>
    <row r="34249" spans="7:7" ht="10.5" customHeight="1" x14ac:dyDescent="0.2">
      <c r="G34249" s="889"/>
    </row>
    <row r="34250" spans="7:7" ht="10.5" customHeight="1" x14ac:dyDescent="0.2">
      <c r="G34250" s="889"/>
    </row>
    <row r="34251" spans="7:7" ht="10.5" customHeight="1" x14ac:dyDescent="0.2">
      <c r="G34251" s="889"/>
    </row>
    <row r="34252" spans="7:7" ht="10.5" customHeight="1" x14ac:dyDescent="0.2">
      <c r="G34252" s="889"/>
    </row>
    <row r="34253" spans="7:7" ht="10.5" customHeight="1" x14ac:dyDescent="0.2">
      <c r="G34253" s="889"/>
    </row>
    <row r="34254" spans="7:7" ht="10.5" customHeight="1" x14ac:dyDescent="0.2">
      <c r="G34254" s="889"/>
    </row>
    <row r="34255" spans="7:7" ht="10.5" customHeight="1" x14ac:dyDescent="0.2">
      <c r="G34255" s="889"/>
    </row>
    <row r="34256" spans="7:7" ht="10.5" customHeight="1" x14ac:dyDescent="0.2">
      <c r="G34256" s="889"/>
    </row>
    <row r="34257" spans="7:7" ht="10.5" customHeight="1" x14ac:dyDescent="0.2">
      <c r="G34257" s="889"/>
    </row>
    <row r="34258" spans="7:7" ht="10.5" customHeight="1" x14ac:dyDescent="0.2">
      <c r="G34258" s="889"/>
    </row>
    <row r="34259" spans="7:7" ht="10.5" customHeight="1" x14ac:dyDescent="0.2">
      <c r="G34259" s="889"/>
    </row>
    <row r="34260" spans="7:7" ht="10.5" customHeight="1" x14ac:dyDescent="0.2">
      <c r="G34260" s="889"/>
    </row>
    <row r="34261" spans="7:7" ht="10.5" customHeight="1" x14ac:dyDescent="0.2">
      <c r="G34261" s="889"/>
    </row>
    <row r="34262" spans="7:7" ht="10.5" customHeight="1" x14ac:dyDescent="0.2">
      <c r="G34262" s="889"/>
    </row>
    <row r="34263" spans="7:7" ht="10.5" customHeight="1" x14ac:dyDescent="0.2">
      <c r="G34263" s="889"/>
    </row>
    <row r="34264" spans="7:7" ht="10.5" customHeight="1" x14ac:dyDescent="0.2">
      <c r="G34264" s="889"/>
    </row>
    <row r="34265" spans="7:7" ht="10.5" customHeight="1" x14ac:dyDescent="0.2">
      <c r="G34265" s="889"/>
    </row>
    <row r="34266" spans="7:7" ht="10.5" customHeight="1" x14ac:dyDescent="0.2">
      <c r="G34266" s="889"/>
    </row>
    <row r="34267" spans="7:7" ht="10.5" customHeight="1" x14ac:dyDescent="0.2">
      <c r="G34267" s="889"/>
    </row>
    <row r="34268" spans="7:7" ht="10.5" customHeight="1" x14ac:dyDescent="0.2">
      <c r="G34268" s="889"/>
    </row>
    <row r="34269" spans="7:7" ht="10.5" customHeight="1" x14ac:dyDescent="0.2">
      <c r="G34269" s="889"/>
    </row>
    <row r="34270" spans="7:7" ht="10.5" customHeight="1" x14ac:dyDescent="0.2">
      <c r="G34270" s="889"/>
    </row>
    <row r="34271" spans="7:7" ht="10.5" customHeight="1" x14ac:dyDescent="0.2">
      <c r="G34271" s="889"/>
    </row>
    <row r="34272" spans="7:7" ht="10.5" customHeight="1" x14ac:dyDescent="0.2">
      <c r="G34272" s="889"/>
    </row>
    <row r="34273" spans="7:7" ht="10.5" customHeight="1" x14ac:dyDescent="0.2">
      <c r="G34273" s="889"/>
    </row>
    <row r="34274" spans="7:7" ht="10.5" customHeight="1" x14ac:dyDescent="0.2">
      <c r="G34274" s="889"/>
    </row>
    <row r="34275" spans="7:7" ht="10.5" customHeight="1" x14ac:dyDescent="0.2">
      <c r="G34275" s="889"/>
    </row>
    <row r="34276" spans="7:7" ht="10.5" customHeight="1" x14ac:dyDescent="0.2">
      <c r="G34276" s="889"/>
    </row>
    <row r="34277" spans="7:7" ht="10.5" customHeight="1" x14ac:dyDescent="0.2">
      <c r="G34277" s="889"/>
    </row>
    <row r="34278" spans="7:7" ht="10.5" customHeight="1" x14ac:dyDescent="0.2">
      <c r="G34278" s="889"/>
    </row>
    <row r="34279" spans="7:7" ht="10.5" customHeight="1" x14ac:dyDescent="0.2">
      <c r="G34279" s="889"/>
    </row>
    <row r="34280" spans="7:7" ht="10.5" customHeight="1" x14ac:dyDescent="0.2">
      <c r="G34280" s="889"/>
    </row>
    <row r="34281" spans="7:7" ht="10.5" customHeight="1" x14ac:dyDescent="0.2">
      <c r="G34281" s="889"/>
    </row>
    <row r="34282" spans="7:7" ht="10.5" customHeight="1" x14ac:dyDescent="0.2">
      <c r="G34282" s="889"/>
    </row>
    <row r="34283" spans="7:7" ht="10.5" customHeight="1" x14ac:dyDescent="0.2">
      <c r="G34283" s="889"/>
    </row>
    <row r="34284" spans="7:7" ht="10.5" customHeight="1" x14ac:dyDescent="0.2">
      <c r="G34284" s="889"/>
    </row>
    <row r="34285" spans="7:7" ht="10.5" customHeight="1" x14ac:dyDescent="0.2">
      <c r="G34285" s="889"/>
    </row>
    <row r="34286" spans="7:7" ht="10.5" customHeight="1" x14ac:dyDescent="0.2">
      <c r="G34286" s="889"/>
    </row>
    <row r="34287" spans="7:7" ht="10.5" customHeight="1" x14ac:dyDescent="0.2">
      <c r="G34287" s="889"/>
    </row>
    <row r="34288" spans="7:7" ht="10.5" customHeight="1" x14ac:dyDescent="0.2">
      <c r="G34288" s="889"/>
    </row>
    <row r="34289" spans="7:7" ht="10.5" customHeight="1" x14ac:dyDescent="0.2">
      <c r="G34289" s="889"/>
    </row>
    <row r="34290" spans="7:7" ht="10.5" customHeight="1" x14ac:dyDescent="0.2">
      <c r="G34290" s="889"/>
    </row>
    <row r="34291" spans="7:7" ht="10.5" customHeight="1" x14ac:dyDescent="0.2">
      <c r="G34291" s="889"/>
    </row>
    <row r="34292" spans="7:7" ht="10.5" customHeight="1" x14ac:dyDescent="0.2">
      <c r="G34292" s="889"/>
    </row>
    <row r="34293" spans="7:7" ht="10.5" customHeight="1" x14ac:dyDescent="0.2">
      <c r="G34293" s="889"/>
    </row>
    <row r="34294" spans="7:7" ht="10.5" customHeight="1" x14ac:dyDescent="0.2">
      <c r="G34294" s="889"/>
    </row>
    <row r="34295" spans="7:7" ht="10.5" customHeight="1" x14ac:dyDescent="0.2">
      <c r="G34295" s="889"/>
    </row>
    <row r="34296" spans="7:7" ht="10.5" customHeight="1" x14ac:dyDescent="0.2">
      <c r="G34296" s="889"/>
    </row>
    <row r="34297" spans="7:7" ht="10.5" customHeight="1" x14ac:dyDescent="0.2">
      <c r="G34297" s="889"/>
    </row>
    <row r="34298" spans="7:7" ht="10.5" customHeight="1" x14ac:dyDescent="0.2">
      <c r="G34298" s="889"/>
    </row>
    <row r="34299" spans="7:7" ht="10.5" customHeight="1" x14ac:dyDescent="0.2">
      <c r="G34299" s="889"/>
    </row>
    <row r="34300" spans="7:7" ht="10.5" customHeight="1" x14ac:dyDescent="0.2">
      <c r="G34300" s="889"/>
    </row>
    <row r="34301" spans="7:7" ht="10.5" customHeight="1" x14ac:dyDescent="0.2">
      <c r="G34301" s="889"/>
    </row>
    <row r="34302" spans="7:7" ht="10.5" customHeight="1" x14ac:dyDescent="0.2">
      <c r="G34302" s="889"/>
    </row>
    <row r="34303" spans="7:7" ht="10.5" customHeight="1" x14ac:dyDescent="0.2">
      <c r="G34303" s="889"/>
    </row>
    <row r="34304" spans="7:7" ht="10.5" customHeight="1" x14ac:dyDescent="0.2">
      <c r="G34304" s="889"/>
    </row>
    <row r="34305" spans="7:7" ht="10.5" customHeight="1" x14ac:dyDescent="0.2">
      <c r="G34305" s="889"/>
    </row>
    <row r="34306" spans="7:7" ht="10.5" customHeight="1" x14ac:dyDescent="0.2">
      <c r="G34306" s="889"/>
    </row>
    <row r="34307" spans="7:7" ht="10.5" customHeight="1" x14ac:dyDescent="0.2">
      <c r="G34307" s="889"/>
    </row>
    <row r="34308" spans="7:7" ht="10.5" customHeight="1" x14ac:dyDescent="0.2">
      <c r="G34308" s="889"/>
    </row>
    <row r="34309" spans="7:7" ht="10.5" customHeight="1" x14ac:dyDescent="0.2">
      <c r="G34309" s="889"/>
    </row>
    <row r="34310" spans="7:7" ht="10.5" customHeight="1" x14ac:dyDescent="0.2">
      <c r="G34310" s="889"/>
    </row>
    <row r="34311" spans="7:7" ht="10.5" customHeight="1" x14ac:dyDescent="0.2">
      <c r="G34311" s="889"/>
    </row>
    <row r="34312" spans="7:7" ht="10.5" customHeight="1" x14ac:dyDescent="0.2">
      <c r="G34312" s="889"/>
    </row>
    <row r="34313" spans="7:7" ht="10.5" customHeight="1" x14ac:dyDescent="0.2">
      <c r="G34313" s="889"/>
    </row>
    <row r="34314" spans="7:7" ht="10.5" customHeight="1" x14ac:dyDescent="0.2">
      <c r="G34314" s="889"/>
    </row>
    <row r="34315" spans="7:7" ht="10.5" customHeight="1" x14ac:dyDescent="0.2">
      <c r="G34315" s="889"/>
    </row>
    <row r="34316" spans="7:7" ht="10.5" customHeight="1" x14ac:dyDescent="0.2">
      <c r="G34316" s="889"/>
    </row>
    <row r="34317" spans="7:7" ht="10.5" customHeight="1" x14ac:dyDescent="0.2">
      <c r="G34317" s="889"/>
    </row>
    <row r="34318" spans="7:7" ht="10.5" customHeight="1" x14ac:dyDescent="0.2">
      <c r="G34318" s="889"/>
    </row>
    <row r="34319" spans="7:7" ht="10.5" customHeight="1" x14ac:dyDescent="0.2">
      <c r="G34319" s="889"/>
    </row>
    <row r="34320" spans="7:7" ht="10.5" customHeight="1" x14ac:dyDescent="0.2">
      <c r="G34320" s="889"/>
    </row>
    <row r="34321" spans="7:7" ht="10.5" customHeight="1" x14ac:dyDescent="0.2">
      <c r="G34321" s="889"/>
    </row>
    <row r="34322" spans="7:7" ht="10.5" customHeight="1" x14ac:dyDescent="0.2">
      <c r="G34322" s="889"/>
    </row>
    <row r="34323" spans="7:7" ht="10.5" customHeight="1" x14ac:dyDescent="0.2">
      <c r="G34323" s="889"/>
    </row>
    <row r="34324" spans="7:7" ht="10.5" customHeight="1" x14ac:dyDescent="0.2">
      <c r="G34324" s="889"/>
    </row>
    <row r="34325" spans="7:7" ht="10.5" customHeight="1" x14ac:dyDescent="0.2">
      <c r="G34325" s="889"/>
    </row>
    <row r="34326" spans="7:7" ht="10.5" customHeight="1" x14ac:dyDescent="0.2">
      <c r="G34326" s="889"/>
    </row>
    <row r="34327" spans="7:7" ht="10.5" customHeight="1" x14ac:dyDescent="0.2">
      <c r="G34327" s="889"/>
    </row>
    <row r="34328" spans="7:7" ht="10.5" customHeight="1" x14ac:dyDescent="0.2">
      <c r="G34328" s="889"/>
    </row>
    <row r="34329" spans="7:7" ht="10.5" customHeight="1" x14ac:dyDescent="0.2">
      <c r="G34329" s="889"/>
    </row>
    <row r="34330" spans="7:7" ht="10.5" customHeight="1" x14ac:dyDescent="0.2">
      <c r="G34330" s="889"/>
    </row>
    <row r="34331" spans="7:7" ht="10.5" customHeight="1" x14ac:dyDescent="0.2">
      <c r="G34331" s="889"/>
    </row>
    <row r="34332" spans="7:7" ht="10.5" customHeight="1" x14ac:dyDescent="0.2">
      <c r="G34332" s="889"/>
    </row>
    <row r="34333" spans="7:7" ht="10.5" customHeight="1" x14ac:dyDescent="0.2">
      <c r="G34333" s="889"/>
    </row>
    <row r="34334" spans="7:7" ht="10.5" customHeight="1" x14ac:dyDescent="0.2">
      <c r="G34334" s="889"/>
    </row>
    <row r="34335" spans="7:7" ht="10.5" customHeight="1" x14ac:dyDescent="0.2">
      <c r="G34335" s="889"/>
    </row>
    <row r="34336" spans="7:7" ht="10.5" customHeight="1" x14ac:dyDescent="0.2">
      <c r="G34336" s="889"/>
    </row>
    <row r="34337" spans="7:7" ht="10.5" customHeight="1" x14ac:dyDescent="0.2">
      <c r="G34337" s="889"/>
    </row>
    <row r="34338" spans="7:7" ht="10.5" customHeight="1" x14ac:dyDescent="0.2">
      <c r="G34338" s="889"/>
    </row>
    <row r="34339" spans="7:7" ht="10.5" customHeight="1" x14ac:dyDescent="0.2">
      <c r="G34339" s="889"/>
    </row>
    <row r="34340" spans="7:7" ht="10.5" customHeight="1" x14ac:dyDescent="0.2">
      <c r="G34340" s="889"/>
    </row>
    <row r="34341" spans="7:7" ht="10.5" customHeight="1" x14ac:dyDescent="0.2">
      <c r="G34341" s="889"/>
    </row>
    <row r="34342" spans="7:7" ht="10.5" customHeight="1" x14ac:dyDescent="0.2">
      <c r="G34342" s="889"/>
    </row>
    <row r="34343" spans="7:7" ht="10.5" customHeight="1" x14ac:dyDescent="0.2">
      <c r="G34343" s="889"/>
    </row>
    <row r="34344" spans="7:7" ht="10.5" customHeight="1" x14ac:dyDescent="0.2">
      <c r="G34344" s="889"/>
    </row>
    <row r="34345" spans="7:7" ht="10.5" customHeight="1" x14ac:dyDescent="0.2">
      <c r="G34345" s="889"/>
    </row>
    <row r="34346" spans="7:7" ht="10.5" customHeight="1" x14ac:dyDescent="0.2">
      <c r="G34346" s="889"/>
    </row>
    <row r="34347" spans="7:7" ht="10.5" customHeight="1" x14ac:dyDescent="0.2">
      <c r="G34347" s="889"/>
    </row>
    <row r="34348" spans="7:7" ht="10.5" customHeight="1" x14ac:dyDescent="0.2">
      <c r="G34348" s="889"/>
    </row>
    <row r="34349" spans="7:7" ht="10.5" customHeight="1" x14ac:dyDescent="0.2">
      <c r="G34349" s="889"/>
    </row>
    <row r="34350" spans="7:7" ht="10.5" customHeight="1" x14ac:dyDescent="0.2">
      <c r="G34350" s="889"/>
    </row>
    <row r="34351" spans="7:7" ht="10.5" customHeight="1" x14ac:dyDescent="0.2">
      <c r="G34351" s="889"/>
    </row>
    <row r="34352" spans="7:7" ht="10.5" customHeight="1" x14ac:dyDescent="0.2">
      <c r="G34352" s="889"/>
    </row>
    <row r="34353" spans="7:7" ht="10.5" customHeight="1" x14ac:dyDescent="0.2">
      <c r="G34353" s="889"/>
    </row>
    <row r="34354" spans="7:7" ht="10.5" customHeight="1" x14ac:dyDescent="0.2">
      <c r="G34354" s="889"/>
    </row>
    <row r="34355" spans="7:7" ht="10.5" customHeight="1" x14ac:dyDescent="0.2">
      <c r="G34355" s="889"/>
    </row>
    <row r="34356" spans="7:7" ht="10.5" customHeight="1" x14ac:dyDescent="0.2">
      <c r="G34356" s="889"/>
    </row>
    <row r="34357" spans="7:7" ht="10.5" customHeight="1" x14ac:dyDescent="0.2">
      <c r="G34357" s="889"/>
    </row>
    <row r="34358" spans="7:7" ht="10.5" customHeight="1" x14ac:dyDescent="0.2">
      <c r="G34358" s="889"/>
    </row>
    <row r="34359" spans="7:7" ht="10.5" customHeight="1" x14ac:dyDescent="0.2">
      <c r="G34359" s="889"/>
    </row>
    <row r="34360" spans="7:7" ht="10.5" customHeight="1" x14ac:dyDescent="0.2">
      <c r="G34360" s="889"/>
    </row>
    <row r="34361" spans="7:7" ht="10.5" customHeight="1" x14ac:dyDescent="0.2">
      <c r="G34361" s="889"/>
    </row>
    <row r="34362" spans="7:7" ht="10.5" customHeight="1" x14ac:dyDescent="0.2">
      <c r="G34362" s="889"/>
    </row>
    <row r="34363" spans="7:7" ht="10.5" customHeight="1" x14ac:dyDescent="0.2">
      <c r="G34363" s="889"/>
    </row>
    <row r="34364" spans="7:7" ht="10.5" customHeight="1" x14ac:dyDescent="0.2">
      <c r="G34364" s="889"/>
    </row>
    <row r="34365" spans="7:7" ht="10.5" customHeight="1" x14ac:dyDescent="0.2">
      <c r="G34365" s="889"/>
    </row>
    <row r="34366" spans="7:7" ht="10.5" customHeight="1" x14ac:dyDescent="0.2">
      <c r="G34366" s="889"/>
    </row>
    <row r="34367" spans="7:7" ht="10.5" customHeight="1" x14ac:dyDescent="0.2">
      <c r="G34367" s="889"/>
    </row>
    <row r="34368" spans="7:7" ht="10.5" customHeight="1" x14ac:dyDescent="0.2">
      <c r="G34368" s="889"/>
    </row>
    <row r="34369" spans="7:7" ht="10.5" customHeight="1" x14ac:dyDescent="0.2">
      <c r="G34369" s="889"/>
    </row>
    <row r="34370" spans="7:7" ht="10.5" customHeight="1" x14ac:dyDescent="0.2">
      <c r="G34370" s="889"/>
    </row>
    <row r="34371" spans="7:7" ht="10.5" customHeight="1" x14ac:dyDescent="0.2">
      <c r="G34371" s="889"/>
    </row>
    <row r="34372" spans="7:7" ht="10.5" customHeight="1" x14ac:dyDescent="0.2">
      <c r="G34372" s="889"/>
    </row>
    <row r="34373" spans="7:7" ht="10.5" customHeight="1" x14ac:dyDescent="0.2">
      <c r="G34373" s="889"/>
    </row>
    <row r="34374" spans="7:7" ht="10.5" customHeight="1" x14ac:dyDescent="0.2">
      <c r="G34374" s="889"/>
    </row>
    <row r="34375" spans="7:7" ht="10.5" customHeight="1" x14ac:dyDescent="0.2">
      <c r="G34375" s="889"/>
    </row>
    <row r="34376" spans="7:7" ht="10.5" customHeight="1" x14ac:dyDescent="0.2">
      <c r="G34376" s="889"/>
    </row>
    <row r="34377" spans="7:7" ht="10.5" customHeight="1" x14ac:dyDescent="0.2">
      <c r="G34377" s="889"/>
    </row>
    <row r="34378" spans="7:7" ht="10.5" customHeight="1" x14ac:dyDescent="0.2">
      <c r="G34378" s="889"/>
    </row>
    <row r="34379" spans="7:7" ht="10.5" customHeight="1" x14ac:dyDescent="0.2">
      <c r="G34379" s="889"/>
    </row>
    <row r="34380" spans="7:7" ht="10.5" customHeight="1" x14ac:dyDescent="0.2">
      <c r="G34380" s="889"/>
    </row>
    <row r="34381" spans="7:7" ht="10.5" customHeight="1" x14ac:dyDescent="0.2">
      <c r="G34381" s="889"/>
    </row>
    <row r="34382" spans="7:7" ht="10.5" customHeight="1" x14ac:dyDescent="0.2">
      <c r="G34382" s="889"/>
    </row>
    <row r="34383" spans="7:7" ht="10.5" customHeight="1" x14ac:dyDescent="0.2">
      <c r="G34383" s="889"/>
    </row>
    <row r="34384" spans="7:7" ht="10.5" customHeight="1" x14ac:dyDescent="0.2">
      <c r="G34384" s="889"/>
    </row>
    <row r="34385" spans="7:7" ht="10.5" customHeight="1" x14ac:dyDescent="0.2">
      <c r="G34385" s="889"/>
    </row>
    <row r="34386" spans="7:7" ht="10.5" customHeight="1" x14ac:dyDescent="0.2">
      <c r="G34386" s="889"/>
    </row>
    <row r="34387" spans="7:7" ht="10.5" customHeight="1" x14ac:dyDescent="0.2">
      <c r="G34387" s="889"/>
    </row>
    <row r="34388" spans="7:7" ht="10.5" customHeight="1" x14ac:dyDescent="0.2">
      <c r="G34388" s="889"/>
    </row>
    <row r="34389" spans="7:7" ht="10.5" customHeight="1" x14ac:dyDescent="0.2">
      <c r="G34389" s="889"/>
    </row>
    <row r="34390" spans="7:7" ht="10.5" customHeight="1" x14ac:dyDescent="0.2">
      <c r="G34390" s="889"/>
    </row>
    <row r="34391" spans="7:7" ht="10.5" customHeight="1" x14ac:dyDescent="0.2">
      <c r="G34391" s="889"/>
    </row>
    <row r="34392" spans="7:7" ht="10.5" customHeight="1" x14ac:dyDescent="0.2">
      <c r="G34392" s="889"/>
    </row>
    <row r="34393" spans="7:7" ht="10.5" customHeight="1" x14ac:dyDescent="0.2">
      <c r="G34393" s="889"/>
    </row>
    <row r="34394" spans="7:7" ht="10.5" customHeight="1" x14ac:dyDescent="0.2">
      <c r="G34394" s="889"/>
    </row>
    <row r="34395" spans="7:7" ht="10.5" customHeight="1" x14ac:dyDescent="0.2">
      <c r="G34395" s="889"/>
    </row>
    <row r="34396" spans="7:7" ht="10.5" customHeight="1" x14ac:dyDescent="0.2">
      <c r="G34396" s="889"/>
    </row>
    <row r="34397" spans="7:7" ht="10.5" customHeight="1" x14ac:dyDescent="0.2">
      <c r="G34397" s="889"/>
    </row>
    <row r="34398" spans="7:7" ht="10.5" customHeight="1" x14ac:dyDescent="0.2">
      <c r="G34398" s="889"/>
    </row>
    <row r="34399" spans="7:7" ht="10.5" customHeight="1" x14ac:dyDescent="0.2">
      <c r="G34399" s="889"/>
    </row>
    <row r="34400" spans="7:7" ht="10.5" customHeight="1" x14ac:dyDescent="0.2">
      <c r="G34400" s="889"/>
    </row>
    <row r="34401" spans="7:7" ht="10.5" customHeight="1" x14ac:dyDescent="0.2">
      <c r="G34401" s="889"/>
    </row>
    <row r="34402" spans="7:7" ht="10.5" customHeight="1" x14ac:dyDescent="0.2">
      <c r="G34402" s="889"/>
    </row>
    <row r="34403" spans="7:7" ht="10.5" customHeight="1" x14ac:dyDescent="0.2">
      <c r="G34403" s="889"/>
    </row>
    <row r="34404" spans="7:7" ht="10.5" customHeight="1" x14ac:dyDescent="0.2">
      <c r="G34404" s="889"/>
    </row>
    <row r="34405" spans="7:7" ht="10.5" customHeight="1" x14ac:dyDescent="0.2">
      <c r="G34405" s="889"/>
    </row>
    <row r="34406" spans="7:7" ht="10.5" customHeight="1" x14ac:dyDescent="0.2">
      <c r="G34406" s="889"/>
    </row>
    <row r="34407" spans="7:7" ht="10.5" customHeight="1" x14ac:dyDescent="0.2">
      <c r="G34407" s="889"/>
    </row>
    <row r="34408" spans="7:7" ht="10.5" customHeight="1" x14ac:dyDescent="0.2">
      <c r="G34408" s="889"/>
    </row>
    <row r="34409" spans="7:7" ht="10.5" customHeight="1" x14ac:dyDescent="0.2">
      <c r="G34409" s="889"/>
    </row>
    <row r="34410" spans="7:7" ht="10.5" customHeight="1" x14ac:dyDescent="0.2">
      <c r="G34410" s="889"/>
    </row>
    <row r="34411" spans="7:7" ht="10.5" customHeight="1" x14ac:dyDescent="0.2">
      <c r="G34411" s="889"/>
    </row>
    <row r="34412" spans="7:7" ht="10.5" customHeight="1" x14ac:dyDescent="0.2">
      <c r="G34412" s="889"/>
    </row>
    <row r="34413" spans="7:7" ht="10.5" customHeight="1" x14ac:dyDescent="0.2">
      <c r="G34413" s="889"/>
    </row>
    <row r="34414" spans="7:7" ht="10.5" customHeight="1" x14ac:dyDescent="0.2">
      <c r="G34414" s="889"/>
    </row>
    <row r="34415" spans="7:7" ht="10.5" customHeight="1" x14ac:dyDescent="0.2">
      <c r="G34415" s="889"/>
    </row>
    <row r="34416" spans="7:7" ht="10.5" customHeight="1" x14ac:dyDescent="0.2">
      <c r="G34416" s="889"/>
    </row>
    <row r="34417" spans="7:7" ht="10.5" customHeight="1" x14ac:dyDescent="0.2">
      <c r="G34417" s="889"/>
    </row>
    <row r="34418" spans="7:7" ht="10.5" customHeight="1" x14ac:dyDescent="0.2">
      <c r="G34418" s="889"/>
    </row>
    <row r="34419" spans="7:7" ht="10.5" customHeight="1" x14ac:dyDescent="0.2">
      <c r="G34419" s="889"/>
    </row>
    <row r="34420" spans="7:7" ht="10.5" customHeight="1" x14ac:dyDescent="0.2">
      <c r="G34420" s="889"/>
    </row>
    <row r="34421" spans="7:7" ht="10.5" customHeight="1" x14ac:dyDescent="0.2">
      <c r="G34421" s="889"/>
    </row>
    <row r="34422" spans="7:7" ht="10.5" customHeight="1" x14ac:dyDescent="0.2">
      <c r="G34422" s="889"/>
    </row>
    <row r="34423" spans="7:7" ht="10.5" customHeight="1" x14ac:dyDescent="0.2">
      <c r="G34423" s="889"/>
    </row>
    <row r="34424" spans="7:7" ht="10.5" customHeight="1" x14ac:dyDescent="0.2">
      <c r="G34424" s="889"/>
    </row>
    <row r="34425" spans="7:7" ht="10.5" customHeight="1" x14ac:dyDescent="0.2">
      <c r="G34425" s="889"/>
    </row>
    <row r="34426" spans="7:7" ht="10.5" customHeight="1" x14ac:dyDescent="0.2">
      <c r="G34426" s="889"/>
    </row>
    <row r="34427" spans="7:7" ht="10.5" customHeight="1" x14ac:dyDescent="0.2">
      <c r="G34427" s="889"/>
    </row>
    <row r="34428" spans="7:7" ht="10.5" customHeight="1" x14ac:dyDescent="0.2">
      <c r="G34428" s="889"/>
    </row>
    <row r="34429" spans="7:7" ht="10.5" customHeight="1" x14ac:dyDescent="0.2">
      <c r="G34429" s="889"/>
    </row>
    <row r="34430" spans="7:7" ht="10.5" customHeight="1" x14ac:dyDescent="0.2">
      <c r="G34430" s="889"/>
    </row>
    <row r="34431" spans="7:7" ht="10.5" customHeight="1" x14ac:dyDescent="0.2">
      <c r="G34431" s="889"/>
    </row>
    <row r="34432" spans="7:7" ht="10.5" customHeight="1" x14ac:dyDescent="0.2">
      <c r="G34432" s="889"/>
    </row>
    <row r="34433" spans="7:7" ht="10.5" customHeight="1" x14ac:dyDescent="0.2">
      <c r="G34433" s="889"/>
    </row>
    <row r="34434" spans="7:7" ht="10.5" customHeight="1" x14ac:dyDescent="0.2">
      <c r="G34434" s="889"/>
    </row>
    <row r="34435" spans="7:7" ht="10.5" customHeight="1" x14ac:dyDescent="0.2">
      <c r="G34435" s="889"/>
    </row>
    <row r="34436" spans="7:7" ht="10.5" customHeight="1" x14ac:dyDescent="0.2">
      <c r="G34436" s="889"/>
    </row>
    <row r="34437" spans="7:7" ht="10.5" customHeight="1" x14ac:dyDescent="0.2">
      <c r="G34437" s="889"/>
    </row>
    <row r="34438" spans="7:7" ht="10.5" customHeight="1" x14ac:dyDescent="0.2">
      <c r="G34438" s="889"/>
    </row>
    <row r="34439" spans="7:7" ht="10.5" customHeight="1" x14ac:dyDescent="0.2">
      <c r="G34439" s="889"/>
    </row>
    <row r="34440" spans="7:7" ht="10.5" customHeight="1" x14ac:dyDescent="0.2">
      <c r="G34440" s="889"/>
    </row>
    <row r="34441" spans="7:7" ht="10.5" customHeight="1" x14ac:dyDescent="0.2">
      <c r="G34441" s="889"/>
    </row>
    <row r="34442" spans="7:7" ht="10.5" customHeight="1" x14ac:dyDescent="0.2">
      <c r="G34442" s="889"/>
    </row>
    <row r="34443" spans="7:7" ht="10.5" customHeight="1" x14ac:dyDescent="0.2">
      <c r="G34443" s="889"/>
    </row>
    <row r="34444" spans="7:7" ht="10.5" customHeight="1" x14ac:dyDescent="0.2">
      <c r="G34444" s="889"/>
    </row>
    <row r="34445" spans="7:7" ht="10.5" customHeight="1" x14ac:dyDescent="0.2">
      <c r="G34445" s="889"/>
    </row>
    <row r="34446" spans="7:7" ht="10.5" customHeight="1" x14ac:dyDescent="0.2">
      <c r="G34446" s="889"/>
    </row>
    <row r="34447" spans="7:7" ht="10.5" customHeight="1" x14ac:dyDescent="0.2">
      <c r="G34447" s="889"/>
    </row>
    <row r="34448" spans="7:7" ht="10.5" customHeight="1" x14ac:dyDescent="0.2">
      <c r="G34448" s="889"/>
    </row>
    <row r="34449" spans="7:7" ht="10.5" customHeight="1" x14ac:dyDescent="0.2">
      <c r="G34449" s="889"/>
    </row>
    <row r="34450" spans="7:7" ht="10.5" customHeight="1" x14ac:dyDescent="0.2">
      <c r="G34450" s="889"/>
    </row>
    <row r="34451" spans="7:7" ht="10.5" customHeight="1" x14ac:dyDescent="0.2">
      <c r="G34451" s="889"/>
    </row>
    <row r="34452" spans="7:7" ht="10.5" customHeight="1" x14ac:dyDescent="0.2">
      <c r="G34452" s="889"/>
    </row>
    <row r="34453" spans="7:7" ht="10.5" customHeight="1" x14ac:dyDescent="0.2">
      <c r="G34453" s="889"/>
    </row>
    <row r="34454" spans="7:7" ht="10.5" customHeight="1" x14ac:dyDescent="0.2">
      <c r="G34454" s="889"/>
    </row>
    <row r="34455" spans="7:7" ht="10.5" customHeight="1" x14ac:dyDescent="0.2">
      <c r="G34455" s="889"/>
    </row>
    <row r="34456" spans="7:7" ht="10.5" customHeight="1" x14ac:dyDescent="0.2">
      <c r="G34456" s="889"/>
    </row>
    <row r="34457" spans="7:7" ht="10.5" customHeight="1" x14ac:dyDescent="0.2">
      <c r="G34457" s="889"/>
    </row>
    <row r="34458" spans="7:7" ht="10.5" customHeight="1" x14ac:dyDescent="0.2">
      <c r="G34458" s="889"/>
    </row>
    <row r="34459" spans="7:7" ht="10.5" customHeight="1" x14ac:dyDescent="0.2">
      <c r="G34459" s="889"/>
    </row>
    <row r="34460" spans="7:7" ht="10.5" customHeight="1" x14ac:dyDescent="0.2">
      <c r="G34460" s="889"/>
    </row>
    <row r="34461" spans="7:7" ht="10.5" customHeight="1" x14ac:dyDescent="0.2">
      <c r="G34461" s="889"/>
    </row>
    <row r="34462" spans="7:7" ht="10.5" customHeight="1" x14ac:dyDescent="0.2">
      <c r="G34462" s="889"/>
    </row>
    <row r="34463" spans="7:7" ht="10.5" customHeight="1" x14ac:dyDescent="0.2">
      <c r="G34463" s="889"/>
    </row>
    <row r="34464" spans="7:7" ht="10.5" customHeight="1" x14ac:dyDescent="0.2">
      <c r="G34464" s="889"/>
    </row>
    <row r="34465" spans="7:7" ht="10.5" customHeight="1" x14ac:dyDescent="0.2">
      <c r="G34465" s="889"/>
    </row>
    <row r="34466" spans="7:7" ht="10.5" customHeight="1" x14ac:dyDescent="0.2">
      <c r="G34466" s="889"/>
    </row>
    <row r="34467" spans="7:7" ht="10.5" customHeight="1" x14ac:dyDescent="0.2">
      <c r="G34467" s="889"/>
    </row>
    <row r="34468" spans="7:7" ht="10.5" customHeight="1" x14ac:dyDescent="0.2">
      <c r="G34468" s="889"/>
    </row>
    <row r="34469" spans="7:7" ht="10.5" customHeight="1" x14ac:dyDescent="0.2">
      <c r="G34469" s="889"/>
    </row>
    <row r="34470" spans="7:7" ht="10.5" customHeight="1" x14ac:dyDescent="0.2">
      <c r="G34470" s="889"/>
    </row>
    <row r="34471" spans="7:7" ht="10.5" customHeight="1" x14ac:dyDescent="0.2">
      <c r="G34471" s="889"/>
    </row>
    <row r="34472" spans="7:7" ht="10.5" customHeight="1" x14ac:dyDescent="0.2">
      <c r="G34472" s="889"/>
    </row>
    <row r="34473" spans="7:7" ht="10.5" customHeight="1" x14ac:dyDescent="0.2">
      <c r="G34473" s="889"/>
    </row>
    <row r="34474" spans="7:7" ht="10.5" customHeight="1" x14ac:dyDescent="0.2">
      <c r="G34474" s="889"/>
    </row>
    <row r="34475" spans="7:7" ht="10.5" customHeight="1" x14ac:dyDescent="0.2">
      <c r="G34475" s="889"/>
    </row>
    <row r="34476" spans="7:7" ht="10.5" customHeight="1" x14ac:dyDescent="0.2">
      <c r="G34476" s="889"/>
    </row>
    <row r="34477" spans="7:7" ht="10.5" customHeight="1" x14ac:dyDescent="0.2">
      <c r="G34477" s="889"/>
    </row>
    <row r="34478" spans="7:7" ht="10.5" customHeight="1" x14ac:dyDescent="0.2">
      <c r="G34478" s="889"/>
    </row>
    <row r="34479" spans="7:7" ht="10.5" customHeight="1" x14ac:dyDescent="0.2">
      <c r="G34479" s="889"/>
    </row>
    <row r="34480" spans="7:7" ht="10.5" customHeight="1" x14ac:dyDescent="0.2">
      <c r="G34480" s="889"/>
    </row>
    <row r="34481" spans="7:7" ht="10.5" customHeight="1" x14ac:dyDescent="0.2">
      <c r="G34481" s="889"/>
    </row>
    <row r="34482" spans="7:7" ht="10.5" customHeight="1" x14ac:dyDescent="0.2">
      <c r="G34482" s="889"/>
    </row>
    <row r="34483" spans="7:7" ht="10.5" customHeight="1" x14ac:dyDescent="0.2">
      <c r="G34483" s="889"/>
    </row>
    <row r="34484" spans="7:7" ht="10.5" customHeight="1" x14ac:dyDescent="0.2">
      <c r="G34484" s="889"/>
    </row>
    <row r="34485" spans="7:7" ht="10.5" customHeight="1" x14ac:dyDescent="0.2">
      <c r="G34485" s="889"/>
    </row>
    <row r="34486" spans="7:7" ht="10.5" customHeight="1" x14ac:dyDescent="0.2">
      <c r="G34486" s="889"/>
    </row>
    <row r="34487" spans="7:7" ht="10.5" customHeight="1" x14ac:dyDescent="0.2">
      <c r="G34487" s="889"/>
    </row>
    <row r="34488" spans="7:7" ht="10.5" customHeight="1" x14ac:dyDescent="0.2">
      <c r="G34488" s="889"/>
    </row>
    <row r="34489" spans="7:7" ht="10.5" customHeight="1" x14ac:dyDescent="0.2">
      <c r="G34489" s="889"/>
    </row>
    <row r="34490" spans="7:7" ht="10.5" customHeight="1" x14ac:dyDescent="0.2">
      <c r="G34490" s="889"/>
    </row>
    <row r="34491" spans="7:7" ht="10.5" customHeight="1" x14ac:dyDescent="0.2">
      <c r="G34491" s="889"/>
    </row>
    <row r="34492" spans="7:7" ht="10.5" customHeight="1" x14ac:dyDescent="0.2">
      <c r="G34492" s="889"/>
    </row>
    <row r="34493" spans="7:7" ht="10.5" customHeight="1" x14ac:dyDescent="0.2">
      <c r="G34493" s="889"/>
    </row>
    <row r="34494" spans="7:7" ht="10.5" customHeight="1" x14ac:dyDescent="0.2">
      <c r="G34494" s="889"/>
    </row>
    <row r="34495" spans="7:7" ht="10.5" customHeight="1" x14ac:dyDescent="0.2">
      <c r="G34495" s="889"/>
    </row>
    <row r="34496" spans="7:7" ht="10.5" customHeight="1" x14ac:dyDescent="0.2">
      <c r="G34496" s="889"/>
    </row>
    <row r="34497" spans="7:7" ht="10.5" customHeight="1" x14ac:dyDescent="0.2">
      <c r="G34497" s="889"/>
    </row>
    <row r="34498" spans="7:7" ht="10.5" customHeight="1" x14ac:dyDescent="0.2">
      <c r="G34498" s="889"/>
    </row>
    <row r="34499" spans="7:7" ht="10.5" customHeight="1" x14ac:dyDescent="0.2">
      <c r="G34499" s="889"/>
    </row>
    <row r="34500" spans="7:7" ht="10.5" customHeight="1" x14ac:dyDescent="0.2">
      <c r="G34500" s="889"/>
    </row>
    <row r="34501" spans="7:7" ht="10.5" customHeight="1" x14ac:dyDescent="0.2">
      <c r="G34501" s="889"/>
    </row>
    <row r="34502" spans="7:7" ht="10.5" customHeight="1" x14ac:dyDescent="0.2">
      <c r="G34502" s="889"/>
    </row>
    <row r="34503" spans="7:7" ht="10.5" customHeight="1" x14ac:dyDescent="0.2">
      <c r="G34503" s="889"/>
    </row>
    <row r="34504" spans="7:7" ht="10.5" customHeight="1" x14ac:dyDescent="0.2">
      <c r="G34504" s="889"/>
    </row>
    <row r="34505" spans="7:7" ht="10.5" customHeight="1" x14ac:dyDescent="0.2">
      <c r="G34505" s="889"/>
    </row>
    <row r="34506" spans="7:7" ht="10.5" customHeight="1" x14ac:dyDescent="0.2">
      <c r="G34506" s="889"/>
    </row>
    <row r="34507" spans="7:7" ht="10.5" customHeight="1" x14ac:dyDescent="0.2">
      <c r="G34507" s="889"/>
    </row>
    <row r="34508" spans="7:7" ht="10.5" customHeight="1" x14ac:dyDescent="0.2">
      <c r="G34508" s="889"/>
    </row>
    <row r="34509" spans="7:7" ht="10.5" customHeight="1" x14ac:dyDescent="0.2">
      <c r="G34509" s="889"/>
    </row>
    <row r="34510" spans="7:7" ht="10.5" customHeight="1" x14ac:dyDescent="0.2">
      <c r="G34510" s="889"/>
    </row>
    <row r="34511" spans="7:7" ht="10.5" customHeight="1" x14ac:dyDescent="0.2">
      <c r="G34511" s="889"/>
    </row>
    <row r="34512" spans="7:7" ht="10.5" customHeight="1" x14ac:dyDescent="0.2">
      <c r="G34512" s="889"/>
    </row>
    <row r="34513" spans="7:7" ht="10.5" customHeight="1" x14ac:dyDescent="0.2">
      <c r="G34513" s="889"/>
    </row>
    <row r="34514" spans="7:7" ht="10.5" customHeight="1" x14ac:dyDescent="0.2">
      <c r="G34514" s="889"/>
    </row>
    <row r="34515" spans="7:7" ht="10.5" customHeight="1" x14ac:dyDescent="0.2">
      <c r="G34515" s="889"/>
    </row>
    <row r="34516" spans="7:7" ht="10.5" customHeight="1" x14ac:dyDescent="0.2">
      <c r="G34516" s="889"/>
    </row>
    <row r="34517" spans="7:7" ht="10.5" customHeight="1" x14ac:dyDescent="0.2">
      <c r="G34517" s="889"/>
    </row>
    <row r="34518" spans="7:7" ht="10.5" customHeight="1" x14ac:dyDescent="0.2">
      <c r="G34518" s="889"/>
    </row>
    <row r="34519" spans="7:7" ht="10.5" customHeight="1" x14ac:dyDescent="0.2">
      <c r="G34519" s="889"/>
    </row>
    <row r="34520" spans="7:7" ht="10.5" customHeight="1" x14ac:dyDescent="0.2">
      <c r="G34520" s="889"/>
    </row>
    <row r="34521" spans="7:7" ht="10.5" customHeight="1" x14ac:dyDescent="0.2">
      <c r="G34521" s="889"/>
    </row>
    <row r="34522" spans="7:7" ht="10.5" customHeight="1" x14ac:dyDescent="0.2">
      <c r="G34522" s="889"/>
    </row>
    <row r="34523" spans="7:7" ht="10.5" customHeight="1" x14ac:dyDescent="0.2">
      <c r="G34523" s="889"/>
    </row>
    <row r="34524" spans="7:7" ht="10.5" customHeight="1" x14ac:dyDescent="0.2">
      <c r="G34524" s="889"/>
    </row>
    <row r="34525" spans="7:7" ht="10.5" customHeight="1" x14ac:dyDescent="0.2">
      <c r="G34525" s="889"/>
    </row>
    <row r="34526" spans="7:7" ht="10.5" customHeight="1" x14ac:dyDescent="0.2">
      <c r="G34526" s="889"/>
    </row>
    <row r="34527" spans="7:7" ht="10.5" customHeight="1" x14ac:dyDescent="0.2">
      <c r="G34527" s="889"/>
    </row>
    <row r="34528" spans="7:7" ht="10.5" customHeight="1" x14ac:dyDescent="0.2">
      <c r="G34528" s="889"/>
    </row>
    <row r="34529" spans="7:7" ht="10.5" customHeight="1" x14ac:dyDescent="0.2">
      <c r="G34529" s="889"/>
    </row>
    <row r="34530" spans="7:7" ht="10.5" customHeight="1" x14ac:dyDescent="0.2">
      <c r="G34530" s="889"/>
    </row>
    <row r="34531" spans="7:7" ht="10.5" customHeight="1" x14ac:dyDescent="0.2">
      <c r="G34531" s="889"/>
    </row>
    <row r="34532" spans="7:7" ht="10.5" customHeight="1" x14ac:dyDescent="0.2">
      <c r="G34532" s="889"/>
    </row>
    <row r="34533" spans="7:7" ht="10.5" customHeight="1" x14ac:dyDescent="0.2">
      <c r="G34533" s="889"/>
    </row>
    <row r="34534" spans="7:7" ht="10.5" customHeight="1" x14ac:dyDescent="0.2">
      <c r="G34534" s="889"/>
    </row>
    <row r="34535" spans="7:7" ht="10.5" customHeight="1" x14ac:dyDescent="0.2">
      <c r="G34535" s="889"/>
    </row>
    <row r="34536" spans="7:7" ht="10.5" customHeight="1" x14ac:dyDescent="0.2">
      <c r="G34536" s="889"/>
    </row>
    <row r="34537" spans="7:7" ht="10.5" customHeight="1" x14ac:dyDescent="0.2">
      <c r="G34537" s="889"/>
    </row>
    <row r="34538" spans="7:7" ht="10.5" customHeight="1" x14ac:dyDescent="0.2">
      <c r="G34538" s="889"/>
    </row>
    <row r="34539" spans="7:7" ht="10.5" customHeight="1" x14ac:dyDescent="0.2">
      <c r="G34539" s="889"/>
    </row>
    <row r="34540" spans="7:7" ht="10.5" customHeight="1" x14ac:dyDescent="0.2">
      <c r="G34540" s="889"/>
    </row>
    <row r="34541" spans="7:7" ht="10.5" customHeight="1" x14ac:dyDescent="0.2">
      <c r="G34541" s="889"/>
    </row>
    <row r="34542" spans="7:7" ht="10.5" customHeight="1" x14ac:dyDescent="0.2">
      <c r="G34542" s="889"/>
    </row>
    <row r="34543" spans="7:7" ht="10.5" customHeight="1" x14ac:dyDescent="0.2">
      <c r="G34543" s="889"/>
    </row>
    <row r="34544" spans="7:7" ht="10.5" customHeight="1" x14ac:dyDescent="0.2">
      <c r="G34544" s="889"/>
    </row>
    <row r="34545" spans="7:7" ht="10.5" customHeight="1" x14ac:dyDescent="0.2">
      <c r="G34545" s="889"/>
    </row>
    <row r="34546" spans="7:7" ht="10.5" customHeight="1" x14ac:dyDescent="0.2">
      <c r="G34546" s="889"/>
    </row>
    <row r="34547" spans="7:7" ht="10.5" customHeight="1" x14ac:dyDescent="0.2">
      <c r="G34547" s="889"/>
    </row>
    <row r="34548" spans="7:7" ht="10.5" customHeight="1" x14ac:dyDescent="0.2">
      <c r="G34548" s="889"/>
    </row>
    <row r="34549" spans="7:7" ht="10.5" customHeight="1" x14ac:dyDescent="0.2">
      <c r="G34549" s="889"/>
    </row>
    <row r="34550" spans="7:7" ht="10.5" customHeight="1" x14ac:dyDescent="0.2">
      <c r="G34550" s="889"/>
    </row>
    <row r="34551" spans="7:7" ht="10.5" customHeight="1" x14ac:dyDescent="0.2">
      <c r="G34551" s="889"/>
    </row>
    <row r="34552" spans="7:7" ht="10.5" customHeight="1" x14ac:dyDescent="0.2">
      <c r="G34552" s="889"/>
    </row>
    <row r="34553" spans="7:7" ht="10.5" customHeight="1" x14ac:dyDescent="0.2">
      <c r="G34553" s="889"/>
    </row>
    <row r="34554" spans="7:7" ht="10.5" customHeight="1" x14ac:dyDescent="0.2">
      <c r="G34554" s="889"/>
    </row>
    <row r="34555" spans="7:7" ht="10.5" customHeight="1" x14ac:dyDescent="0.2">
      <c r="G34555" s="889"/>
    </row>
    <row r="34556" spans="7:7" ht="10.5" customHeight="1" x14ac:dyDescent="0.2">
      <c r="G34556" s="889"/>
    </row>
    <row r="34557" spans="7:7" ht="10.5" customHeight="1" x14ac:dyDescent="0.2">
      <c r="G34557" s="889"/>
    </row>
    <row r="34558" spans="7:7" ht="10.5" customHeight="1" x14ac:dyDescent="0.2">
      <c r="G34558" s="889"/>
    </row>
    <row r="34559" spans="7:7" ht="10.5" customHeight="1" x14ac:dyDescent="0.2">
      <c r="G34559" s="889"/>
    </row>
    <row r="34560" spans="7:7" ht="10.5" customHeight="1" x14ac:dyDescent="0.2">
      <c r="G34560" s="889"/>
    </row>
    <row r="34561" spans="7:7" ht="10.5" customHeight="1" x14ac:dyDescent="0.2">
      <c r="G34561" s="889"/>
    </row>
    <row r="34562" spans="7:7" ht="10.5" customHeight="1" x14ac:dyDescent="0.2">
      <c r="G34562" s="889"/>
    </row>
    <row r="34563" spans="7:7" ht="10.5" customHeight="1" x14ac:dyDescent="0.2">
      <c r="G34563" s="889"/>
    </row>
    <row r="34564" spans="7:7" ht="10.5" customHeight="1" x14ac:dyDescent="0.2">
      <c r="G34564" s="889"/>
    </row>
    <row r="34565" spans="7:7" ht="10.5" customHeight="1" x14ac:dyDescent="0.2">
      <c r="G34565" s="889"/>
    </row>
    <row r="34566" spans="7:7" ht="10.5" customHeight="1" x14ac:dyDescent="0.2">
      <c r="G34566" s="889"/>
    </row>
    <row r="34567" spans="7:7" ht="10.5" customHeight="1" x14ac:dyDescent="0.2">
      <c r="G34567" s="889"/>
    </row>
    <row r="34568" spans="7:7" ht="10.5" customHeight="1" x14ac:dyDescent="0.2">
      <c r="G34568" s="889"/>
    </row>
    <row r="34569" spans="7:7" ht="10.5" customHeight="1" x14ac:dyDescent="0.2">
      <c r="G34569" s="889"/>
    </row>
    <row r="34570" spans="7:7" ht="10.5" customHeight="1" x14ac:dyDescent="0.2">
      <c r="G34570" s="889"/>
    </row>
    <row r="34571" spans="7:7" ht="10.5" customHeight="1" x14ac:dyDescent="0.2">
      <c r="G34571" s="889"/>
    </row>
    <row r="34572" spans="7:7" ht="10.5" customHeight="1" x14ac:dyDescent="0.2">
      <c r="G34572" s="889"/>
    </row>
    <row r="34573" spans="7:7" ht="10.5" customHeight="1" x14ac:dyDescent="0.2">
      <c r="G34573" s="889"/>
    </row>
    <row r="34574" spans="7:7" ht="10.5" customHeight="1" x14ac:dyDescent="0.2">
      <c r="G34574" s="889"/>
    </row>
    <row r="34575" spans="7:7" ht="10.5" customHeight="1" x14ac:dyDescent="0.2">
      <c r="G34575" s="889"/>
    </row>
    <row r="34576" spans="7:7" ht="10.5" customHeight="1" x14ac:dyDescent="0.2">
      <c r="G34576" s="889"/>
    </row>
    <row r="34577" spans="7:7" ht="10.5" customHeight="1" x14ac:dyDescent="0.2">
      <c r="G34577" s="889"/>
    </row>
    <row r="34578" spans="7:7" ht="10.5" customHeight="1" x14ac:dyDescent="0.2">
      <c r="G34578" s="889"/>
    </row>
    <row r="34579" spans="7:7" ht="10.5" customHeight="1" x14ac:dyDescent="0.2">
      <c r="G34579" s="889"/>
    </row>
    <row r="34580" spans="7:7" ht="10.5" customHeight="1" x14ac:dyDescent="0.2">
      <c r="G34580" s="889"/>
    </row>
    <row r="34581" spans="7:7" ht="10.5" customHeight="1" x14ac:dyDescent="0.2">
      <c r="G34581" s="889"/>
    </row>
    <row r="34582" spans="7:7" ht="10.5" customHeight="1" x14ac:dyDescent="0.2">
      <c r="G34582" s="889"/>
    </row>
    <row r="34583" spans="7:7" ht="10.5" customHeight="1" x14ac:dyDescent="0.2">
      <c r="G34583" s="889"/>
    </row>
    <row r="34584" spans="7:7" ht="10.5" customHeight="1" x14ac:dyDescent="0.2">
      <c r="G34584" s="889"/>
    </row>
    <row r="34585" spans="7:7" ht="10.5" customHeight="1" x14ac:dyDescent="0.2">
      <c r="G34585" s="889"/>
    </row>
    <row r="34586" spans="7:7" ht="10.5" customHeight="1" x14ac:dyDescent="0.2">
      <c r="G34586" s="889"/>
    </row>
    <row r="34587" spans="7:7" ht="10.5" customHeight="1" x14ac:dyDescent="0.2">
      <c r="G34587" s="889"/>
    </row>
    <row r="34588" spans="7:7" ht="10.5" customHeight="1" x14ac:dyDescent="0.2">
      <c r="G34588" s="889"/>
    </row>
    <row r="34589" spans="7:7" ht="10.5" customHeight="1" x14ac:dyDescent="0.2">
      <c r="G34589" s="889"/>
    </row>
    <row r="34590" spans="7:7" ht="10.5" customHeight="1" x14ac:dyDescent="0.2">
      <c r="G34590" s="889"/>
    </row>
    <row r="34591" spans="7:7" ht="10.5" customHeight="1" x14ac:dyDescent="0.2">
      <c r="G34591" s="889"/>
    </row>
    <row r="34592" spans="7:7" ht="10.5" customHeight="1" x14ac:dyDescent="0.2">
      <c r="G34592" s="889"/>
    </row>
    <row r="34593" spans="7:7" ht="10.5" customHeight="1" x14ac:dyDescent="0.2">
      <c r="G34593" s="889"/>
    </row>
    <row r="34594" spans="7:7" ht="10.5" customHeight="1" x14ac:dyDescent="0.2">
      <c r="G34594" s="889"/>
    </row>
    <row r="34595" spans="7:7" ht="10.5" customHeight="1" x14ac:dyDescent="0.2">
      <c r="G34595" s="889"/>
    </row>
    <row r="34596" spans="7:7" ht="10.5" customHeight="1" x14ac:dyDescent="0.2">
      <c r="G34596" s="889"/>
    </row>
    <row r="34597" spans="7:7" ht="10.5" customHeight="1" x14ac:dyDescent="0.2">
      <c r="G34597" s="889"/>
    </row>
    <row r="34598" spans="7:7" ht="10.5" customHeight="1" x14ac:dyDescent="0.2">
      <c r="G34598" s="889"/>
    </row>
    <row r="34599" spans="7:7" ht="10.5" customHeight="1" x14ac:dyDescent="0.2">
      <c r="G34599" s="889"/>
    </row>
    <row r="34600" spans="7:7" ht="10.5" customHeight="1" x14ac:dyDescent="0.2">
      <c r="G34600" s="889"/>
    </row>
    <row r="34601" spans="7:7" ht="10.5" customHeight="1" x14ac:dyDescent="0.2">
      <c r="G34601" s="889"/>
    </row>
    <row r="34602" spans="7:7" ht="10.5" customHeight="1" x14ac:dyDescent="0.2">
      <c r="G34602" s="889"/>
    </row>
    <row r="34603" spans="7:7" ht="10.5" customHeight="1" x14ac:dyDescent="0.2">
      <c r="G34603" s="889"/>
    </row>
    <row r="34604" spans="7:7" ht="10.5" customHeight="1" x14ac:dyDescent="0.2">
      <c r="G34604" s="889"/>
    </row>
    <row r="34605" spans="7:7" ht="10.5" customHeight="1" x14ac:dyDescent="0.2">
      <c r="G34605" s="889"/>
    </row>
    <row r="34606" spans="7:7" ht="10.5" customHeight="1" x14ac:dyDescent="0.2">
      <c r="G34606" s="889"/>
    </row>
    <row r="34607" spans="7:7" ht="10.5" customHeight="1" x14ac:dyDescent="0.2">
      <c r="G34607" s="889"/>
    </row>
    <row r="34608" spans="7:7" ht="10.5" customHeight="1" x14ac:dyDescent="0.2">
      <c r="G34608" s="889"/>
    </row>
    <row r="34609" spans="7:7" ht="10.5" customHeight="1" x14ac:dyDescent="0.2">
      <c r="G34609" s="889"/>
    </row>
    <row r="34610" spans="7:7" ht="10.5" customHeight="1" x14ac:dyDescent="0.2">
      <c r="G34610" s="889"/>
    </row>
    <row r="34611" spans="7:7" ht="10.5" customHeight="1" x14ac:dyDescent="0.2">
      <c r="G34611" s="889"/>
    </row>
    <row r="34612" spans="7:7" ht="10.5" customHeight="1" x14ac:dyDescent="0.2">
      <c r="G34612" s="889"/>
    </row>
    <row r="34613" spans="7:7" ht="10.5" customHeight="1" x14ac:dyDescent="0.2">
      <c r="G34613" s="889"/>
    </row>
    <row r="34614" spans="7:7" ht="10.5" customHeight="1" x14ac:dyDescent="0.2">
      <c r="G34614" s="889"/>
    </row>
    <row r="34615" spans="7:7" ht="10.5" customHeight="1" x14ac:dyDescent="0.2">
      <c r="G34615" s="889"/>
    </row>
    <row r="34616" spans="7:7" ht="10.5" customHeight="1" x14ac:dyDescent="0.2">
      <c r="G34616" s="889"/>
    </row>
    <row r="34617" spans="7:7" ht="10.5" customHeight="1" x14ac:dyDescent="0.2">
      <c r="G34617" s="889"/>
    </row>
    <row r="34618" spans="7:7" ht="10.5" customHeight="1" x14ac:dyDescent="0.2">
      <c r="G34618" s="889"/>
    </row>
    <row r="34619" spans="7:7" ht="10.5" customHeight="1" x14ac:dyDescent="0.2">
      <c r="G34619" s="889"/>
    </row>
    <row r="34620" spans="7:7" ht="10.5" customHeight="1" x14ac:dyDescent="0.2">
      <c r="G34620" s="889"/>
    </row>
    <row r="34621" spans="7:7" ht="10.5" customHeight="1" x14ac:dyDescent="0.2">
      <c r="G34621" s="889"/>
    </row>
    <row r="34622" spans="7:7" ht="10.5" customHeight="1" x14ac:dyDescent="0.2">
      <c r="G34622" s="889"/>
    </row>
    <row r="34623" spans="7:7" ht="10.5" customHeight="1" x14ac:dyDescent="0.2">
      <c r="G34623" s="889"/>
    </row>
    <row r="34624" spans="7:7" ht="10.5" customHeight="1" x14ac:dyDescent="0.2">
      <c r="G34624" s="889"/>
    </row>
    <row r="34625" spans="7:7" ht="10.5" customHeight="1" x14ac:dyDescent="0.2">
      <c r="G34625" s="889"/>
    </row>
    <row r="34626" spans="7:7" ht="10.5" customHeight="1" x14ac:dyDescent="0.2">
      <c r="G34626" s="889"/>
    </row>
    <row r="34627" spans="7:7" ht="10.5" customHeight="1" x14ac:dyDescent="0.2">
      <c r="G34627" s="889"/>
    </row>
    <row r="34628" spans="7:7" ht="10.5" customHeight="1" x14ac:dyDescent="0.2">
      <c r="G34628" s="889"/>
    </row>
    <row r="34629" spans="7:7" ht="10.5" customHeight="1" x14ac:dyDescent="0.2">
      <c r="G34629" s="889"/>
    </row>
    <row r="34630" spans="7:7" ht="10.5" customHeight="1" x14ac:dyDescent="0.2">
      <c r="G34630" s="889"/>
    </row>
    <row r="34631" spans="7:7" ht="10.5" customHeight="1" x14ac:dyDescent="0.2">
      <c r="G34631" s="889"/>
    </row>
    <row r="34632" spans="7:7" ht="10.5" customHeight="1" x14ac:dyDescent="0.2">
      <c r="G34632" s="889"/>
    </row>
    <row r="34633" spans="7:7" ht="10.5" customHeight="1" x14ac:dyDescent="0.2">
      <c r="G34633" s="889"/>
    </row>
    <row r="34634" spans="7:7" ht="10.5" customHeight="1" x14ac:dyDescent="0.2">
      <c r="G34634" s="889"/>
    </row>
    <row r="34635" spans="7:7" ht="10.5" customHeight="1" x14ac:dyDescent="0.2">
      <c r="G34635" s="889"/>
    </row>
    <row r="34636" spans="7:7" ht="10.5" customHeight="1" x14ac:dyDescent="0.2">
      <c r="G34636" s="889"/>
    </row>
    <row r="34637" spans="7:7" ht="10.5" customHeight="1" x14ac:dyDescent="0.2">
      <c r="G34637" s="889"/>
    </row>
    <row r="34638" spans="7:7" ht="10.5" customHeight="1" x14ac:dyDescent="0.2">
      <c r="G34638" s="889"/>
    </row>
    <row r="34639" spans="7:7" ht="10.5" customHeight="1" x14ac:dyDescent="0.2">
      <c r="G34639" s="889"/>
    </row>
    <row r="34640" spans="7:7" ht="10.5" customHeight="1" x14ac:dyDescent="0.2">
      <c r="G34640" s="889"/>
    </row>
    <row r="34641" spans="7:7" ht="10.5" customHeight="1" x14ac:dyDescent="0.2">
      <c r="G34641" s="889"/>
    </row>
    <row r="34642" spans="7:7" ht="10.5" customHeight="1" x14ac:dyDescent="0.2">
      <c r="G34642" s="889"/>
    </row>
    <row r="34643" spans="7:7" ht="10.5" customHeight="1" x14ac:dyDescent="0.2">
      <c r="G34643" s="889"/>
    </row>
    <row r="34644" spans="7:7" ht="10.5" customHeight="1" x14ac:dyDescent="0.2">
      <c r="G34644" s="889"/>
    </row>
    <row r="34645" spans="7:7" ht="10.5" customHeight="1" x14ac:dyDescent="0.2">
      <c r="G34645" s="889"/>
    </row>
    <row r="34646" spans="7:7" ht="10.5" customHeight="1" x14ac:dyDescent="0.2">
      <c r="G34646" s="889"/>
    </row>
    <row r="34647" spans="7:7" ht="10.5" customHeight="1" x14ac:dyDescent="0.2">
      <c r="G34647" s="889"/>
    </row>
    <row r="34648" spans="7:7" ht="10.5" customHeight="1" x14ac:dyDescent="0.2">
      <c r="G34648" s="889"/>
    </row>
    <row r="34649" spans="7:7" ht="10.5" customHeight="1" x14ac:dyDescent="0.2">
      <c r="G34649" s="889"/>
    </row>
    <row r="34650" spans="7:7" ht="10.5" customHeight="1" x14ac:dyDescent="0.2">
      <c r="G34650" s="889"/>
    </row>
    <row r="34651" spans="7:7" ht="10.5" customHeight="1" x14ac:dyDescent="0.2">
      <c r="G34651" s="889"/>
    </row>
    <row r="34652" spans="7:7" ht="10.5" customHeight="1" x14ac:dyDescent="0.2">
      <c r="G34652" s="889"/>
    </row>
    <row r="34653" spans="7:7" ht="10.5" customHeight="1" x14ac:dyDescent="0.2">
      <c r="G34653" s="889"/>
    </row>
    <row r="34654" spans="7:7" ht="10.5" customHeight="1" x14ac:dyDescent="0.2">
      <c r="G34654" s="889"/>
    </row>
    <row r="34655" spans="7:7" ht="10.5" customHeight="1" x14ac:dyDescent="0.2">
      <c r="G34655" s="889"/>
    </row>
    <row r="34656" spans="7:7" ht="10.5" customHeight="1" x14ac:dyDescent="0.2">
      <c r="G34656" s="889"/>
    </row>
    <row r="34657" spans="7:7" ht="10.5" customHeight="1" x14ac:dyDescent="0.2">
      <c r="G34657" s="889"/>
    </row>
    <row r="34658" spans="7:7" ht="10.5" customHeight="1" x14ac:dyDescent="0.2">
      <c r="G34658" s="889"/>
    </row>
    <row r="34659" spans="7:7" ht="10.5" customHeight="1" x14ac:dyDescent="0.2">
      <c r="G34659" s="889"/>
    </row>
    <row r="34660" spans="7:7" ht="10.5" customHeight="1" x14ac:dyDescent="0.2">
      <c r="G34660" s="889"/>
    </row>
    <row r="34661" spans="7:7" ht="10.5" customHeight="1" x14ac:dyDescent="0.2">
      <c r="G34661" s="889"/>
    </row>
    <row r="34662" spans="7:7" ht="10.5" customHeight="1" x14ac:dyDescent="0.2">
      <c r="G34662" s="889"/>
    </row>
    <row r="34663" spans="7:7" ht="10.5" customHeight="1" x14ac:dyDescent="0.2">
      <c r="G34663" s="889"/>
    </row>
    <row r="34664" spans="7:7" ht="10.5" customHeight="1" x14ac:dyDescent="0.2">
      <c r="G34664" s="889"/>
    </row>
    <row r="34665" spans="7:7" ht="10.5" customHeight="1" x14ac:dyDescent="0.2">
      <c r="G34665" s="889"/>
    </row>
    <row r="34666" spans="7:7" ht="10.5" customHeight="1" x14ac:dyDescent="0.2">
      <c r="G34666" s="889"/>
    </row>
    <row r="34667" spans="7:7" ht="10.5" customHeight="1" x14ac:dyDescent="0.2">
      <c r="G34667" s="889"/>
    </row>
    <row r="34668" spans="7:7" ht="10.5" customHeight="1" x14ac:dyDescent="0.2">
      <c r="G34668" s="889"/>
    </row>
    <row r="34669" spans="7:7" ht="10.5" customHeight="1" x14ac:dyDescent="0.2">
      <c r="G34669" s="889"/>
    </row>
    <row r="34670" spans="7:7" ht="10.5" customHeight="1" x14ac:dyDescent="0.2">
      <c r="G34670" s="889"/>
    </row>
    <row r="34671" spans="7:7" ht="10.5" customHeight="1" x14ac:dyDescent="0.2">
      <c r="G34671" s="889"/>
    </row>
    <row r="34672" spans="7:7" ht="10.5" customHeight="1" x14ac:dyDescent="0.2">
      <c r="G34672" s="889"/>
    </row>
    <row r="34673" spans="7:7" ht="10.5" customHeight="1" x14ac:dyDescent="0.2">
      <c r="G34673" s="889"/>
    </row>
    <row r="34674" spans="7:7" ht="10.5" customHeight="1" x14ac:dyDescent="0.2">
      <c r="G34674" s="889"/>
    </row>
    <row r="34675" spans="7:7" ht="10.5" customHeight="1" x14ac:dyDescent="0.2">
      <c r="G34675" s="889"/>
    </row>
    <row r="34676" spans="7:7" ht="10.5" customHeight="1" x14ac:dyDescent="0.2">
      <c r="G34676" s="889"/>
    </row>
    <row r="34677" spans="7:7" ht="10.5" customHeight="1" x14ac:dyDescent="0.2">
      <c r="G34677" s="889"/>
    </row>
    <row r="34678" spans="7:7" ht="10.5" customHeight="1" x14ac:dyDescent="0.2">
      <c r="G34678" s="889"/>
    </row>
    <row r="34679" spans="7:7" ht="10.5" customHeight="1" x14ac:dyDescent="0.2">
      <c r="G34679" s="889"/>
    </row>
    <row r="34680" spans="7:7" ht="10.5" customHeight="1" x14ac:dyDescent="0.2">
      <c r="G34680" s="889"/>
    </row>
    <row r="34681" spans="7:7" ht="10.5" customHeight="1" x14ac:dyDescent="0.2">
      <c r="G34681" s="889"/>
    </row>
    <row r="34682" spans="7:7" ht="10.5" customHeight="1" x14ac:dyDescent="0.2">
      <c r="G34682" s="889"/>
    </row>
    <row r="34683" spans="7:7" ht="10.5" customHeight="1" x14ac:dyDescent="0.2">
      <c r="G34683" s="889"/>
    </row>
    <row r="34684" spans="7:7" ht="10.5" customHeight="1" x14ac:dyDescent="0.2">
      <c r="G34684" s="889"/>
    </row>
    <row r="34685" spans="7:7" ht="10.5" customHeight="1" x14ac:dyDescent="0.2">
      <c r="G34685" s="889"/>
    </row>
    <row r="34686" spans="7:7" ht="10.5" customHeight="1" x14ac:dyDescent="0.2">
      <c r="G34686" s="889"/>
    </row>
    <row r="34687" spans="7:7" ht="10.5" customHeight="1" x14ac:dyDescent="0.2">
      <c r="G34687" s="889"/>
    </row>
    <row r="34688" spans="7:7" ht="10.5" customHeight="1" x14ac:dyDescent="0.2">
      <c r="G34688" s="889"/>
    </row>
    <row r="34689" spans="7:7" ht="10.5" customHeight="1" x14ac:dyDescent="0.2">
      <c r="G34689" s="889"/>
    </row>
    <row r="34690" spans="7:7" ht="10.5" customHeight="1" x14ac:dyDescent="0.2">
      <c r="G34690" s="889"/>
    </row>
    <row r="34691" spans="7:7" ht="10.5" customHeight="1" x14ac:dyDescent="0.2">
      <c r="G34691" s="889"/>
    </row>
    <row r="34692" spans="7:7" ht="10.5" customHeight="1" x14ac:dyDescent="0.2">
      <c r="G34692" s="889"/>
    </row>
    <row r="34693" spans="7:7" ht="10.5" customHeight="1" x14ac:dyDescent="0.2">
      <c r="G34693" s="889"/>
    </row>
    <row r="34694" spans="7:7" ht="10.5" customHeight="1" x14ac:dyDescent="0.2">
      <c r="G34694" s="889"/>
    </row>
    <row r="34695" spans="7:7" ht="10.5" customHeight="1" x14ac:dyDescent="0.2">
      <c r="G34695" s="889"/>
    </row>
    <row r="34696" spans="7:7" ht="10.5" customHeight="1" x14ac:dyDescent="0.2">
      <c r="G34696" s="889"/>
    </row>
    <row r="34697" spans="7:7" ht="10.5" customHeight="1" x14ac:dyDescent="0.2">
      <c r="G34697" s="889"/>
    </row>
    <row r="34698" spans="7:7" ht="10.5" customHeight="1" x14ac:dyDescent="0.2">
      <c r="G34698" s="889"/>
    </row>
    <row r="34699" spans="7:7" ht="10.5" customHeight="1" x14ac:dyDescent="0.2">
      <c r="G34699" s="889"/>
    </row>
    <row r="34700" spans="7:7" ht="10.5" customHeight="1" x14ac:dyDescent="0.2">
      <c r="G34700" s="889"/>
    </row>
    <row r="34701" spans="7:7" ht="10.5" customHeight="1" x14ac:dyDescent="0.2">
      <c r="G34701" s="889"/>
    </row>
    <row r="34702" spans="7:7" ht="10.5" customHeight="1" x14ac:dyDescent="0.2">
      <c r="G34702" s="889"/>
    </row>
    <row r="34703" spans="7:7" ht="10.5" customHeight="1" x14ac:dyDescent="0.2">
      <c r="G34703" s="889"/>
    </row>
    <row r="34704" spans="7:7" ht="10.5" customHeight="1" x14ac:dyDescent="0.2">
      <c r="G34704" s="889"/>
    </row>
    <row r="34705" spans="7:7" ht="10.5" customHeight="1" x14ac:dyDescent="0.2">
      <c r="G34705" s="889"/>
    </row>
    <row r="34706" spans="7:7" ht="10.5" customHeight="1" x14ac:dyDescent="0.2">
      <c r="G34706" s="889"/>
    </row>
    <row r="34707" spans="7:7" ht="10.5" customHeight="1" x14ac:dyDescent="0.2">
      <c r="G34707" s="889"/>
    </row>
    <row r="34708" spans="7:7" ht="10.5" customHeight="1" x14ac:dyDescent="0.2">
      <c r="G34708" s="889"/>
    </row>
    <row r="34709" spans="7:7" ht="10.5" customHeight="1" x14ac:dyDescent="0.2">
      <c r="G34709" s="889"/>
    </row>
    <row r="34710" spans="7:7" ht="10.5" customHeight="1" x14ac:dyDescent="0.2">
      <c r="G34710" s="889"/>
    </row>
    <row r="34711" spans="7:7" ht="10.5" customHeight="1" x14ac:dyDescent="0.2">
      <c r="G34711" s="889"/>
    </row>
    <row r="34712" spans="7:7" ht="10.5" customHeight="1" x14ac:dyDescent="0.2">
      <c r="G34712" s="889"/>
    </row>
    <row r="34713" spans="7:7" ht="10.5" customHeight="1" x14ac:dyDescent="0.2">
      <c r="G34713" s="889"/>
    </row>
    <row r="34714" spans="7:7" ht="10.5" customHeight="1" x14ac:dyDescent="0.2">
      <c r="G34714" s="889"/>
    </row>
    <row r="34715" spans="7:7" ht="10.5" customHeight="1" x14ac:dyDescent="0.2">
      <c r="G34715" s="889"/>
    </row>
    <row r="34716" spans="7:7" ht="10.5" customHeight="1" x14ac:dyDescent="0.2">
      <c r="G34716" s="889"/>
    </row>
    <row r="34717" spans="7:7" ht="10.5" customHeight="1" x14ac:dyDescent="0.2">
      <c r="G34717" s="889"/>
    </row>
    <row r="34718" spans="7:7" ht="10.5" customHeight="1" x14ac:dyDescent="0.2">
      <c r="G34718" s="889"/>
    </row>
    <row r="34719" spans="7:7" ht="10.5" customHeight="1" x14ac:dyDescent="0.2">
      <c r="G34719" s="889"/>
    </row>
    <row r="34720" spans="7:7" ht="10.5" customHeight="1" x14ac:dyDescent="0.2">
      <c r="G34720" s="889"/>
    </row>
    <row r="34721" spans="7:7" ht="10.5" customHeight="1" x14ac:dyDescent="0.2">
      <c r="G34721" s="889"/>
    </row>
    <row r="34722" spans="7:7" ht="10.5" customHeight="1" x14ac:dyDescent="0.2">
      <c r="G34722" s="889"/>
    </row>
    <row r="34723" spans="7:7" ht="10.5" customHeight="1" x14ac:dyDescent="0.2">
      <c r="G34723" s="889"/>
    </row>
    <row r="34724" spans="7:7" ht="10.5" customHeight="1" x14ac:dyDescent="0.2">
      <c r="G34724" s="889"/>
    </row>
    <row r="34725" spans="7:7" ht="10.5" customHeight="1" x14ac:dyDescent="0.2">
      <c r="G34725" s="889"/>
    </row>
    <row r="34726" spans="7:7" ht="10.5" customHeight="1" x14ac:dyDescent="0.2">
      <c r="G34726" s="889"/>
    </row>
    <row r="34727" spans="7:7" ht="10.5" customHeight="1" x14ac:dyDescent="0.2">
      <c r="G34727" s="889"/>
    </row>
    <row r="34728" spans="7:7" ht="10.5" customHeight="1" x14ac:dyDescent="0.2">
      <c r="G34728" s="889"/>
    </row>
    <row r="34729" spans="7:7" ht="10.5" customHeight="1" x14ac:dyDescent="0.2">
      <c r="G34729" s="889"/>
    </row>
    <row r="34730" spans="7:7" ht="10.5" customHeight="1" x14ac:dyDescent="0.2">
      <c r="G34730" s="889"/>
    </row>
    <row r="34731" spans="7:7" ht="10.5" customHeight="1" x14ac:dyDescent="0.2">
      <c r="G34731" s="889"/>
    </row>
    <row r="34732" spans="7:7" ht="10.5" customHeight="1" x14ac:dyDescent="0.2">
      <c r="G34732" s="889"/>
    </row>
    <row r="34733" spans="7:7" ht="10.5" customHeight="1" x14ac:dyDescent="0.2">
      <c r="G34733" s="889"/>
    </row>
    <row r="34734" spans="7:7" ht="10.5" customHeight="1" x14ac:dyDescent="0.2">
      <c r="G34734" s="889"/>
    </row>
    <row r="34735" spans="7:7" ht="10.5" customHeight="1" x14ac:dyDescent="0.2">
      <c r="G34735" s="889"/>
    </row>
    <row r="34736" spans="7:7" ht="10.5" customHeight="1" x14ac:dyDescent="0.2">
      <c r="G34736" s="889"/>
    </row>
    <row r="34737" spans="7:7" ht="10.5" customHeight="1" x14ac:dyDescent="0.2">
      <c r="G34737" s="889"/>
    </row>
    <row r="34738" spans="7:7" ht="10.5" customHeight="1" x14ac:dyDescent="0.2">
      <c r="G34738" s="889"/>
    </row>
    <row r="34739" spans="7:7" ht="10.5" customHeight="1" x14ac:dyDescent="0.2">
      <c r="G34739" s="889"/>
    </row>
    <row r="34740" spans="7:7" ht="10.5" customHeight="1" x14ac:dyDescent="0.2">
      <c r="G34740" s="889"/>
    </row>
    <row r="34741" spans="7:7" ht="10.5" customHeight="1" x14ac:dyDescent="0.2">
      <c r="G34741" s="889"/>
    </row>
    <row r="34742" spans="7:7" ht="10.5" customHeight="1" x14ac:dyDescent="0.2">
      <c r="G34742" s="889"/>
    </row>
    <row r="34743" spans="7:7" ht="10.5" customHeight="1" x14ac:dyDescent="0.2">
      <c r="G34743" s="889"/>
    </row>
    <row r="34744" spans="7:7" ht="10.5" customHeight="1" x14ac:dyDescent="0.2">
      <c r="G34744" s="889"/>
    </row>
    <row r="34745" spans="7:7" ht="10.5" customHeight="1" x14ac:dyDescent="0.2">
      <c r="G34745" s="889"/>
    </row>
    <row r="34746" spans="7:7" ht="10.5" customHeight="1" x14ac:dyDescent="0.2">
      <c r="G34746" s="889"/>
    </row>
    <row r="34747" spans="7:7" ht="10.5" customHeight="1" x14ac:dyDescent="0.2">
      <c r="G34747" s="889"/>
    </row>
    <row r="34748" spans="7:7" ht="10.5" customHeight="1" x14ac:dyDescent="0.2">
      <c r="G34748" s="889"/>
    </row>
    <row r="34749" spans="7:7" ht="10.5" customHeight="1" x14ac:dyDescent="0.2">
      <c r="G34749" s="889"/>
    </row>
    <row r="34750" spans="7:7" ht="10.5" customHeight="1" x14ac:dyDescent="0.2">
      <c r="G34750" s="889"/>
    </row>
    <row r="34751" spans="7:7" ht="10.5" customHeight="1" x14ac:dyDescent="0.2">
      <c r="G34751" s="889"/>
    </row>
    <row r="34752" spans="7:7" ht="10.5" customHeight="1" x14ac:dyDescent="0.2">
      <c r="G34752" s="889"/>
    </row>
    <row r="34753" spans="7:7" ht="10.5" customHeight="1" x14ac:dyDescent="0.2">
      <c r="G34753" s="889"/>
    </row>
    <row r="34754" spans="7:7" ht="10.5" customHeight="1" x14ac:dyDescent="0.2">
      <c r="G34754" s="889"/>
    </row>
    <row r="34755" spans="7:7" ht="10.5" customHeight="1" x14ac:dyDescent="0.2">
      <c r="G34755" s="889"/>
    </row>
    <row r="34756" spans="7:7" ht="10.5" customHeight="1" x14ac:dyDescent="0.2">
      <c r="G34756" s="889"/>
    </row>
    <row r="34757" spans="7:7" ht="10.5" customHeight="1" x14ac:dyDescent="0.2">
      <c r="G34757" s="889"/>
    </row>
    <row r="34758" spans="7:7" ht="10.5" customHeight="1" x14ac:dyDescent="0.2">
      <c r="G34758" s="889"/>
    </row>
    <row r="34759" spans="7:7" ht="10.5" customHeight="1" x14ac:dyDescent="0.2">
      <c r="G34759" s="889"/>
    </row>
    <row r="34760" spans="7:7" ht="10.5" customHeight="1" x14ac:dyDescent="0.2">
      <c r="G34760" s="889"/>
    </row>
    <row r="34761" spans="7:7" ht="10.5" customHeight="1" x14ac:dyDescent="0.2">
      <c r="G34761" s="889"/>
    </row>
    <row r="34762" spans="7:7" ht="10.5" customHeight="1" x14ac:dyDescent="0.2">
      <c r="G34762" s="889"/>
    </row>
    <row r="34763" spans="7:7" ht="10.5" customHeight="1" x14ac:dyDescent="0.2">
      <c r="G34763" s="889"/>
    </row>
    <row r="34764" spans="7:7" ht="10.5" customHeight="1" x14ac:dyDescent="0.2">
      <c r="G34764" s="889"/>
    </row>
    <row r="34765" spans="7:7" ht="10.5" customHeight="1" x14ac:dyDescent="0.2">
      <c r="G34765" s="889"/>
    </row>
    <row r="34766" spans="7:7" ht="10.5" customHeight="1" x14ac:dyDescent="0.2">
      <c r="G34766" s="889"/>
    </row>
    <row r="34767" spans="7:7" ht="10.5" customHeight="1" x14ac:dyDescent="0.2">
      <c r="G34767" s="889"/>
    </row>
    <row r="34768" spans="7:7" ht="10.5" customHeight="1" x14ac:dyDescent="0.2">
      <c r="G34768" s="889"/>
    </row>
    <row r="34769" spans="7:7" ht="10.5" customHeight="1" x14ac:dyDescent="0.2">
      <c r="G34769" s="889"/>
    </row>
    <row r="34770" spans="7:7" ht="10.5" customHeight="1" x14ac:dyDescent="0.2">
      <c r="G34770" s="889"/>
    </row>
    <row r="34771" spans="7:7" ht="10.5" customHeight="1" x14ac:dyDescent="0.2">
      <c r="G34771" s="889"/>
    </row>
    <row r="34772" spans="7:7" ht="10.5" customHeight="1" x14ac:dyDescent="0.2">
      <c r="G34772" s="889"/>
    </row>
    <row r="34773" spans="7:7" ht="10.5" customHeight="1" x14ac:dyDescent="0.2">
      <c r="G34773" s="889"/>
    </row>
    <row r="34774" spans="7:7" ht="10.5" customHeight="1" x14ac:dyDescent="0.2">
      <c r="G34774" s="889"/>
    </row>
    <row r="34775" spans="7:7" ht="10.5" customHeight="1" x14ac:dyDescent="0.2">
      <c r="G34775" s="889"/>
    </row>
    <row r="34776" spans="7:7" ht="10.5" customHeight="1" x14ac:dyDescent="0.2">
      <c r="G34776" s="889"/>
    </row>
    <row r="34777" spans="7:7" ht="10.5" customHeight="1" x14ac:dyDescent="0.2">
      <c r="G34777" s="889"/>
    </row>
    <row r="34778" spans="7:7" ht="10.5" customHeight="1" x14ac:dyDescent="0.2">
      <c r="G34778" s="889"/>
    </row>
    <row r="34779" spans="7:7" ht="10.5" customHeight="1" x14ac:dyDescent="0.2">
      <c r="G34779" s="889"/>
    </row>
    <row r="34780" spans="7:7" ht="10.5" customHeight="1" x14ac:dyDescent="0.2">
      <c r="G34780" s="889"/>
    </row>
    <row r="34781" spans="7:7" ht="10.5" customHeight="1" x14ac:dyDescent="0.2">
      <c r="G34781" s="889"/>
    </row>
    <row r="34782" spans="7:7" ht="10.5" customHeight="1" x14ac:dyDescent="0.2">
      <c r="G34782" s="889"/>
    </row>
    <row r="34783" spans="7:7" ht="10.5" customHeight="1" x14ac:dyDescent="0.2">
      <c r="G34783" s="889"/>
    </row>
    <row r="34784" spans="7:7" ht="10.5" customHeight="1" x14ac:dyDescent="0.2">
      <c r="G34784" s="889"/>
    </row>
    <row r="34785" spans="7:7" ht="10.5" customHeight="1" x14ac:dyDescent="0.2">
      <c r="G34785" s="889"/>
    </row>
    <row r="34786" spans="7:7" ht="10.5" customHeight="1" x14ac:dyDescent="0.2">
      <c r="G34786" s="889"/>
    </row>
    <row r="34787" spans="7:7" ht="10.5" customHeight="1" x14ac:dyDescent="0.2">
      <c r="G34787" s="889"/>
    </row>
    <row r="34788" spans="7:7" ht="10.5" customHeight="1" x14ac:dyDescent="0.2">
      <c r="G34788" s="889"/>
    </row>
    <row r="34789" spans="7:7" ht="10.5" customHeight="1" x14ac:dyDescent="0.2">
      <c r="G34789" s="889"/>
    </row>
    <row r="34790" spans="7:7" ht="10.5" customHeight="1" x14ac:dyDescent="0.2">
      <c r="G34790" s="889"/>
    </row>
    <row r="34791" spans="7:7" ht="10.5" customHeight="1" x14ac:dyDescent="0.2">
      <c r="G34791" s="889"/>
    </row>
    <row r="34792" spans="7:7" ht="10.5" customHeight="1" x14ac:dyDescent="0.2">
      <c r="G34792" s="889"/>
    </row>
    <row r="34793" spans="7:7" ht="10.5" customHeight="1" x14ac:dyDescent="0.2">
      <c r="G34793" s="889"/>
    </row>
    <row r="34794" spans="7:7" ht="10.5" customHeight="1" x14ac:dyDescent="0.2">
      <c r="G34794" s="889"/>
    </row>
    <row r="34795" spans="7:7" ht="10.5" customHeight="1" x14ac:dyDescent="0.2">
      <c r="G34795" s="889"/>
    </row>
    <row r="34796" spans="7:7" ht="10.5" customHeight="1" x14ac:dyDescent="0.2">
      <c r="G34796" s="889"/>
    </row>
    <row r="34797" spans="7:7" ht="10.5" customHeight="1" x14ac:dyDescent="0.2">
      <c r="G34797" s="889"/>
    </row>
    <row r="34798" spans="7:7" ht="10.5" customHeight="1" x14ac:dyDescent="0.2">
      <c r="G34798" s="889"/>
    </row>
    <row r="34799" spans="7:7" ht="10.5" customHeight="1" x14ac:dyDescent="0.2">
      <c r="G34799" s="889"/>
    </row>
    <row r="34800" spans="7:7" ht="10.5" customHeight="1" x14ac:dyDescent="0.2">
      <c r="G34800" s="889"/>
    </row>
    <row r="34801" spans="7:7" ht="10.5" customHeight="1" x14ac:dyDescent="0.2">
      <c r="G34801" s="889"/>
    </row>
    <row r="34802" spans="7:7" ht="10.5" customHeight="1" x14ac:dyDescent="0.2">
      <c r="G34802" s="889"/>
    </row>
    <row r="34803" spans="7:7" ht="10.5" customHeight="1" x14ac:dyDescent="0.2">
      <c r="G34803" s="889"/>
    </row>
    <row r="34804" spans="7:7" ht="10.5" customHeight="1" x14ac:dyDescent="0.2">
      <c r="G34804" s="889"/>
    </row>
    <row r="34805" spans="7:7" ht="10.5" customHeight="1" x14ac:dyDescent="0.2">
      <c r="G34805" s="889"/>
    </row>
    <row r="34806" spans="7:7" ht="10.5" customHeight="1" x14ac:dyDescent="0.2">
      <c r="G34806" s="889"/>
    </row>
    <row r="34807" spans="7:7" ht="10.5" customHeight="1" x14ac:dyDescent="0.2">
      <c r="G34807" s="889"/>
    </row>
    <row r="34808" spans="7:7" ht="10.5" customHeight="1" x14ac:dyDescent="0.2">
      <c r="G34808" s="889"/>
    </row>
    <row r="34809" spans="7:7" ht="10.5" customHeight="1" x14ac:dyDescent="0.2">
      <c r="G34809" s="889"/>
    </row>
    <row r="34810" spans="7:7" ht="10.5" customHeight="1" x14ac:dyDescent="0.2">
      <c r="G34810" s="889"/>
    </row>
    <row r="34811" spans="7:7" ht="10.5" customHeight="1" x14ac:dyDescent="0.2">
      <c r="G34811" s="889"/>
    </row>
    <row r="34812" spans="7:7" ht="10.5" customHeight="1" x14ac:dyDescent="0.2">
      <c r="G34812" s="889"/>
    </row>
    <row r="34813" spans="7:7" ht="10.5" customHeight="1" x14ac:dyDescent="0.2">
      <c r="G34813" s="889"/>
    </row>
    <row r="34814" spans="7:7" ht="10.5" customHeight="1" x14ac:dyDescent="0.2">
      <c r="G34814" s="889"/>
    </row>
    <row r="34815" spans="7:7" ht="10.5" customHeight="1" x14ac:dyDescent="0.2">
      <c r="G34815" s="889"/>
    </row>
    <row r="34816" spans="7:7" ht="10.5" customHeight="1" x14ac:dyDescent="0.2">
      <c r="G34816" s="889"/>
    </row>
    <row r="34817" spans="7:7" ht="10.5" customHeight="1" x14ac:dyDescent="0.2">
      <c r="G34817" s="889"/>
    </row>
    <row r="34818" spans="7:7" ht="10.5" customHeight="1" x14ac:dyDescent="0.2">
      <c r="G34818" s="889"/>
    </row>
    <row r="34819" spans="7:7" ht="10.5" customHeight="1" x14ac:dyDescent="0.2">
      <c r="G34819" s="889"/>
    </row>
    <row r="34820" spans="7:7" ht="10.5" customHeight="1" x14ac:dyDescent="0.2">
      <c r="G34820" s="889"/>
    </row>
    <row r="34821" spans="7:7" ht="10.5" customHeight="1" x14ac:dyDescent="0.2">
      <c r="G34821" s="889"/>
    </row>
    <row r="34822" spans="7:7" ht="10.5" customHeight="1" x14ac:dyDescent="0.2">
      <c r="G34822" s="889"/>
    </row>
    <row r="34823" spans="7:7" ht="10.5" customHeight="1" x14ac:dyDescent="0.2">
      <c r="G34823" s="889"/>
    </row>
    <row r="34824" spans="7:7" ht="10.5" customHeight="1" x14ac:dyDescent="0.2">
      <c r="G34824" s="889"/>
    </row>
    <row r="34825" spans="7:7" ht="10.5" customHeight="1" x14ac:dyDescent="0.2">
      <c r="G34825" s="889"/>
    </row>
    <row r="34826" spans="7:7" ht="10.5" customHeight="1" x14ac:dyDescent="0.2">
      <c r="G34826" s="889"/>
    </row>
    <row r="34827" spans="7:7" ht="10.5" customHeight="1" x14ac:dyDescent="0.2">
      <c r="G34827" s="889"/>
    </row>
    <row r="34828" spans="7:7" ht="10.5" customHeight="1" x14ac:dyDescent="0.2">
      <c r="G34828" s="889"/>
    </row>
    <row r="34829" spans="7:7" ht="10.5" customHeight="1" x14ac:dyDescent="0.2">
      <c r="G34829" s="889"/>
    </row>
    <row r="34830" spans="7:7" ht="10.5" customHeight="1" x14ac:dyDescent="0.2">
      <c r="G34830" s="889"/>
    </row>
    <row r="34831" spans="7:7" ht="10.5" customHeight="1" x14ac:dyDescent="0.2">
      <c r="G34831" s="889"/>
    </row>
    <row r="34832" spans="7:7" ht="10.5" customHeight="1" x14ac:dyDescent="0.2">
      <c r="G34832" s="889"/>
    </row>
    <row r="34833" spans="7:7" ht="10.5" customHeight="1" x14ac:dyDescent="0.2">
      <c r="G34833" s="889"/>
    </row>
    <row r="34834" spans="7:7" ht="10.5" customHeight="1" x14ac:dyDescent="0.2">
      <c r="G34834" s="889"/>
    </row>
    <row r="34835" spans="7:7" ht="10.5" customHeight="1" x14ac:dyDescent="0.2">
      <c r="G34835" s="889"/>
    </row>
    <row r="34836" spans="7:7" ht="10.5" customHeight="1" x14ac:dyDescent="0.2">
      <c r="G34836" s="889"/>
    </row>
    <row r="34837" spans="7:7" ht="10.5" customHeight="1" x14ac:dyDescent="0.2">
      <c r="G34837" s="889"/>
    </row>
    <row r="34838" spans="7:7" ht="10.5" customHeight="1" x14ac:dyDescent="0.2">
      <c r="G34838" s="889"/>
    </row>
    <row r="34839" spans="7:7" ht="10.5" customHeight="1" x14ac:dyDescent="0.2">
      <c r="G34839" s="889"/>
    </row>
    <row r="34840" spans="7:7" ht="10.5" customHeight="1" x14ac:dyDescent="0.2">
      <c r="G34840" s="889"/>
    </row>
    <row r="34841" spans="7:7" ht="10.5" customHeight="1" x14ac:dyDescent="0.2">
      <c r="G34841" s="889"/>
    </row>
    <row r="34842" spans="7:7" ht="10.5" customHeight="1" x14ac:dyDescent="0.2">
      <c r="G34842" s="889"/>
    </row>
    <row r="34843" spans="7:7" ht="10.5" customHeight="1" x14ac:dyDescent="0.2">
      <c r="G34843" s="889"/>
    </row>
    <row r="34844" spans="7:7" ht="10.5" customHeight="1" x14ac:dyDescent="0.2">
      <c r="G34844" s="889"/>
    </row>
    <row r="34845" spans="7:7" ht="10.5" customHeight="1" x14ac:dyDescent="0.2">
      <c r="G34845" s="889"/>
    </row>
    <row r="34846" spans="7:7" ht="10.5" customHeight="1" x14ac:dyDescent="0.2">
      <c r="G34846" s="889"/>
    </row>
    <row r="34847" spans="7:7" ht="10.5" customHeight="1" x14ac:dyDescent="0.2">
      <c r="G34847" s="889"/>
    </row>
    <row r="34848" spans="7:7" ht="10.5" customHeight="1" x14ac:dyDescent="0.2">
      <c r="G34848" s="889"/>
    </row>
    <row r="34849" spans="7:7" ht="10.5" customHeight="1" x14ac:dyDescent="0.2">
      <c r="G34849" s="889"/>
    </row>
    <row r="34850" spans="7:7" ht="10.5" customHeight="1" x14ac:dyDescent="0.2">
      <c r="G34850" s="889"/>
    </row>
    <row r="34851" spans="7:7" ht="10.5" customHeight="1" x14ac:dyDescent="0.2">
      <c r="G34851" s="889"/>
    </row>
    <row r="34852" spans="7:7" ht="10.5" customHeight="1" x14ac:dyDescent="0.2">
      <c r="G34852" s="889"/>
    </row>
    <row r="34853" spans="7:7" ht="10.5" customHeight="1" x14ac:dyDescent="0.2">
      <c r="G34853" s="889"/>
    </row>
    <row r="34854" spans="7:7" ht="10.5" customHeight="1" x14ac:dyDescent="0.2">
      <c r="G34854" s="889"/>
    </row>
    <row r="34855" spans="7:7" ht="10.5" customHeight="1" x14ac:dyDescent="0.2">
      <c r="G34855" s="889"/>
    </row>
    <row r="34856" spans="7:7" ht="10.5" customHeight="1" x14ac:dyDescent="0.2">
      <c r="G34856" s="889"/>
    </row>
    <row r="34857" spans="7:7" ht="10.5" customHeight="1" x14ac:dyDescent="0.2">
      <c r="G34857" s="889"/>
    </row>
    <row r="34858" spans="7:7" ht="10.5" customHeight="1" x14ac:dyDescent="0.2">
      <c r="G34858" s="889"/>
    </row>
    <row r="34859" spans="7:7" ht="10.5" customHeight="1" x14ac:dyDescent="0.2">
      <c r="G34859" s="889"/>
    </row>
    <row r="34860" spans="7:7" ht="10.5" customHeight="1" x14ac:dyDescent="0.2">
      <c r="G34860" s="889"/>
    </row>
    <row r="34861" spans="7:7" ht="10.5" customHeight="1" x14ac:dyDescent="0.2">
      <c r="G34861" s="889"/>
    </row>
    <row r="34862" spans="7:7" ht="10.5" customHeight="1" x14ac:dyDescent="0.2">
      <c r="G34862" s="889"/>
    </row>
    <row r="34863" spans="7:7" ht="10.5" customHeight="1" x14ac:dyDescent="0.2">
      <c r="G34863" s="889"/>
    </row>
    <row r="34864" spans="7:7" ht="10.5" customHeight="1" x14ac:dyDescent="0.2">
      <c r="G34864" s="889"/>
    </row>
    <row r="34865" spans="7:7" ht="10.5" customHeight="1" x14ac:dyDescent="0.2">
      <c r="G34865" s="889"/>
    </row>
    <row r="34866" spans="7:7" ht="10.5" customHeight="1" x14ac:dyDescent="0.2">
      <c r="G34866" s="889"/>
    </row>
    <row r="34867" spans="7:7" ht="10.5" customHeight="1" x14ac:dyDescent="0.2">
      <c r="G34867" s="889"/>
    </row>
    <row r="34868" spans="7:7" ht="10.5" customHeight="1" x14ac:dyDescent="0.2">
      <c r="G34868" s="889"/>
    </row>
    <row r="34869" spans="7:7" ht="10.5" customHeight="1" x14ac:dyDescent="0.2">
      <c r="G34869" s="889"/>
    </row>
    <row r="34870" spans="7:7" ht="10.5" customHeight="1" x14ac:dyDescent="0.2">
      <c r="G34870" s="889"/>
    </row>
    <row r="34871" spans="7:7" ht="10.5" customHeight="1" x14ac:dyDescent="0.2">
      <c r="G34871" s="889"/>
    </row>
    <row r="34872" spans="7:7" ht="10.5" customHeight="1" x14ac:dyDescent="0.2">
      <c r="G34872" s="889"/>
    </row>
    <row r="34873" spans="7:7" ht="10.5" customHeight="1" x14ac:dyDescent="0.2">
      <c r="G34873" s="889"/>
    </row>
    <row r="34874" spans="7:7" ht="10.5" customHeight="1" x14ac:dyDescent="0.2">
      <c r="G34874" s="889"/>
    </row>
    <row r="34875" spans="7:7" ht="10.5" customHeight="1" x14ac:dyDescent="0.2">
      <c r="G34875" s="889"/>
    </row>
    <row r="34876" spans="7:7" ht="10.5" customHeight="1" x14ac:dyDescent="0.2">
      <c r="G34876" s="889"/>
    </row>
    <row r="34877" spans="7:7" ht="10.5" customHeight="1" x14ac:dyDescent="0.2">
      <c r="G34877" s="889"/>
    </row>
    <row r="34878" spans="7:7" ht="10.5" customHeight="1" x14ac:dyDescent="0.2">
      <c r="G34878" s="889"/>
    </row>
    <row r="34879" spans="7:7" ht="10.5" customHeight="1" x14ac:dyDescent="0.2">
      <c r="G34879" s="889"/>
    </row>
    <row r="34880" spans="7:7" ht="10.5" customHeight="1" x14ac:dyDescent="0.2">
      <c r="G34880" s="889"/>
    </row>
    <row r="34881" spans="7:7" ht="10.5" customHeight="1" x14ac:dyDescent="0.2">
      <c r="G34881" s="889"/>
    </row>
    <row r="34882" spans="7:7" ht="10.5" customHeight="1" x14ac:dyDescent="0.2">
      <c r="G34882" s="889"/>
    </row>
    <row r="34883" spans="7:7" ht="10.5" customHeight="1" x14ac:dyDescent="0.2">
      <c r="G34883" s="889"/>
    </row>
    <row r="34884" spans="7:7" ht="10.5" customHeight="1" x14ac:dyDescent="0.2">
      <c r="G34884" s="889"/>
    </row>
    <row r="34885" spans="7:7" ht="10.5" customHeight="1" x14ac:dyDescent="0.2">
      <c r="G34885" s="889"/>
    </row>
    <row r="34886" spans="7:7" ht="10.5" customHeight="1" x14ac:dyDescent="0.2">
      <c r="G34886" s="889"/>
    </row>
    <row r="34887" spans="7:7" ht="10.5" customHeight="1" x14ac:dyDescent="0.2">
      <c r="G34887" s="889"/>
    </row>
    <row r="34888" spans="7:7" ht="10.5" customHeight="1" x14ac:dyDescent="0.2">
      <c r="G34888" s="889"/>
    </row>
    <row r="34889" spans="7:7" ht="10.5" customHeight="1" x14ac:dyDescent="0.2">
      <c r="G34889" s="889"/>
    </row>
    <row r="34890" spans="7:7" ht="10.5" customHeight="1" x14ac:dyDescent="0.2">
      <c r="G34890" s="889"/>
    </row>
    <row r="34891" spans="7:7" ht="10.5" customHeight="1" x14ac:dyDescent="0.2">
      <c r="G34891" s="889"/>
    </row>
    <row r="34892" spans="7:7" ht="10.5" customHeight="1" x14ac:dyDescent="0.2">
      <c r="G34892" s="889"/>
    </row>
    <row r="34893" spans="7:7" ht="10.5" customHeight="1" x14ac:dyDescent="0.2">
      <c r="G34893" s="889"/>
    </row>
    <row r="34894" spans="7:7" ht="10.5" customHeight="1" x14ac:dyDescent="0.2">
      <c r="G34894" s="889"/>
    </row>
    <row r="34895" spans="7:7" ht="10.5" customHeight="1" x14ac:dyDescent="0.2">
      <c r="G34895" s="889"/>
    </row>
    <row r="34896" spans="7:7" ht="10.5" customHeight="1" x14ac:dyDescent="0.2">
      <c r="G34896" s="889"/>
    </row>
    <row r="34897" spans="7:7" ht="10.5" customHeight="1" x14ac:dyDescent="0.2">
      <c r="G34897" s="889"/>
    </row>
    <row r="34898" spans="7:7" ht="10.5" customHeight="1" x14ac:dyDescent="0.2">
      <c r="G34898" s="889"/>
    </row>
    <row r="34899" spans="7:7" ht="10.5" customHeight="1" x14ac:dyDescent="0.2">
      <c r="G34899" s="889"/>
    </row>
    <row r="34900" spans="7:7" ht="10.5" customHeight="1" x14ac:dyDescent="0.2">
      <c r="G34900" s="889"/>
    </row>
    <row r="34901" spans="7:7" ht="10.5" customHeight="1" x14ac:dyDescent="0.2">
      <c r="G34901" s="889"/>
    </row>
    <row r="34902" spans="7:7" ht="10.5" customHeight="1" x14ac:dyDescent="0.2">
      <c r="G34902" s="889"/>
    </row>
    <row r="34903" spans="7:7" ht="10.5" customHeight="1" x14ac:dyDescent="0.2">
      <c r="G34903" s="889"/>
    </row>
    <row r="34904" spans="7:7" ht="10.5" customHeight="1" x14ac:dyDescent="0.2">
      <c r="G34904" s="889"/>
    </row>
    <row r="34905" spans="7:7" ht="10.5" customHeight="1" x14ac:dyDescent="0.2">
      <c r="G34905" s="889"/>
    </row>
    <row r="34906" spans="7:7" ht="10.5" customHeight="1" x14ac:dyDescent="0.2">
      <c r="G34906" s="889"/>
    </row>
    <row r="34907" spans="7:7" ht="10.5" customHeight="1" x14ac:dyDescent="0.2">
      <c r="G34907" s="889"/>
    </row>
    <row r="34908" spans="7:7" ht="10.5" customHeight="1" x14ac:dyDescent="0.2">
      <c r="G34908" s="889"/>
    </row>
    <row r="34909" spans="7:7" ht="10.5" customHeight="1" x14ac:dyDescent="0.2">
      <c r="G34909" s="889"/>
    </row>
    <row r="34910" spans="7:7" ht="10.5" customHeight="1" x14ac:dyDescent="0.2">
      <c r="G34910" s="889"/>
    </row>
    <row r="34911" spans="7:7" ht="10.5" customHeight="1" x14ac:dyDescent="0.2">
      <c r="G34911" s="889"/>
    </row>
    <row r="34912" spans="7:7" ht="10.5" customHeight="1" x14ac:dyDescent="0.2">
      <c r="G34912" s="889"/>
    </row>
    <row r="34913" spans="7:7" ht="10.5" customHeight="1" x14ac:dyDescent="0.2">
      <c r="G34913" s="889"/>
    </row>
    <row r="34914" spans="7:7" ht="10.5" customHeight="1" x14ac:dyDescent="0.2">
      <c r="G34914" s="889"/>
    </row>
    <row r="34915" spans="7:7" ht="10.5" customHeight="1" x14ac:dyDescent="0.2">
      <c r="G34915" s="889"/>
    </row>
    <row r="34916" spans="7:7" ht="10.5" customHeight="1" x14ac:dyDescent="0.2">
      <c r="G34916" s="889"/>
    </row>
    <row r="34917" spans="7:7" ht="10.5" customHeight="1" x14ac:dyDescent="0.2">
      <c r="G34917" s="889"/>
    </row>
    <row r="34918" spans="7:7" ht="10.5" customHeight="1" x14ac:dyDescent="0.2">
      <c r="G34918" s="889"/>
    </row>
    <row r="34919" spans="7:7" ht="10.5" customHeight="1" x14ac:dyDescent="0.2">
      <c r="G34919" s="889"/>
    </row>
    <row r="34920" spans="7:7" ht="10.5" customHeight="1" x14ac:dyDescent="0.2">
      <c r="G34920" s="889"/>
    </row>
    <row r="34921" spans="7:7" ht="10.5" customHeight="1" x14ac:dyDescent="0.2">
      <c r="G34921" s="889"/>
    </row>
    <row r="34922" spans="7:7" ht="10.5" customHeight="1" x14ac:dyDescent="0.2">
      <c r="G34922" s="889"/>
    </row>
    <row r="34923" spans="7:7" ht="10.5" customHeight="1" x14ac:dyDescent="0.2">
      <c r="G34923" s="889"/>
    </row>
    <row r="34924" spans="7:7" ht="10.5" customHeight="1" x14ac:dyDescent="0.2">
      <c r="G34924" s="889"/>
    </row>
    <row r="34925" spans="7:7" ht="10.5" customHeight="1" x14ac:dyDescent="0.2">
      <c r="G34925" s="889"/>
    </row>
    <row r="34926" spans="7:7" ht="10.5" customHeight="1" x14ac:dyDescent="0.2">
      <c r="G34926" s="889"/>
    </row>
    <row r="34927" spans="7:7" ht="10.5" customHeight="1" x14ac:dyDescent="0.2">
      <c r="G34927" s="889"/>
    </row>
    <row r="34928" spans="7:7" ht="10.5" customHeight="1" x14ac:dyDescent="0.2">
      <c r="G34928" s="889"/>
    </row>
    <row r="34929" spans="7:7" ht="10.5" customHeight="1" x14ac:dyDescent="0.2">
      <c r="G34929" s="889"/>
    </row>
    <row r="34930" spans="7:7" ht="10.5" customHeight="1" x14ac:dyDescent="0.2">
      <c r="G34930" s="889"/>
    </row>
    <row r="34931" spans="7:7" ht="10.5" customHeight="1" x14ac:dyDescent="0.2">
      <c r="G34931" s="889"/>
    </row>
    <row r="34932" spans="7:7" ht="10.5" customHeight="1" x14ac:dyDescent="0.2">
      <c r="G34932" s="889"/>
    </row>
    <row r="34933" spans="7:7" ht="10.5" customHeight="1" x14ac:dyDescent="0.2">
      <c r="G34933" s="889"/>
    </row>
    <row r="34934" spans="7:7" ht="10.5" customHeight="1" x14ac:dyDescent="0.2">
      <c r="G34934" s="889"/>
    </row>
    <row r="34935" spans="7:7" ht="10.5" customHeight="1" x14ac:dyDescent="0.2">
      <c r="G34935" s="889"/>
    </row>
    <row r="34936" spans="7:7" ht="10.5" customHeight="1" x14ac:dyDescent="0.2">
      <c r="G34936" s="889"/>
    </row>
    <row r="34937" spans="7:7" ht="10.5" customHeight="1" x14ac:dyDescent="0.2">
      <c r="G34937" s="889"/>
    </row>
    <row r="34938" spans="7:7" ht="10.5" customHeight="1" x14ac:dyDescent="0.2">
      <c r="G34938" s="889"/>
    </row>
    <row r="34939" spans="7:7" ht="10.5" customHeight="1" x14ac:dyDescent="0.2">
      <c r="G34939" s="889"/>
    </row>
    <row r="34940" spans="7:7" ht="10.5" customHeight="1" x14ac:dyDescent="0.2">
      <c r="G34940" s="889"/>
    </row>
    <row r="34941" spans="7:7" ht="10.5" customHeight="1" x14ac:dyDescent="0.2">
      <c r="G34941" s="889"/>
    </row>
    <row r="34942" spans="7:7" ht="10.5" customHeight="1" x14ac:dyDescent="0.2">
      <c r="G34942" s="889"/>
    </row>
    <row r="34943" spans="7:7" ht="10.5" customHeight="1" x14ac:dyDescent="0.2">
      <c r="G34943" s="889"/>
    </row>
    <row r="34944" spans="7:7" ht="10.5" customHeight="1" x14ac:dyDescent="0.2">
      <c r="G34944" s="889"/>
    </row>
    <row r="34945" spans="7:7" ht="10.5" customHeight="1" x14ac:dyDescent="0.2">
      <c r="G34945" s="889"/>
    </row>
    <row r="34946" spans="7:7" ht="10.5" customHeight="1" x14ac:dyDescent="0.2">
      <c r="G34946" s="889"/>
    </row>
    <row r="34947" spans="7:7" ht="10.5" customHeight="1" x14ac:dyDescent="0.2">
      <c r="G34947" s="889"/>
    </row>
    <row r="34948" spans="7:7" ht="10.5" customHeight="1" x14ac:dyDescent="0.2">
      <c r="G34948" s="889"/>
    </row>
    <row r="34949" spans="7:7" ht="10.5" customHeight="1" x14ac:dyDescent="0.2">
      <c r="G34949" s="889"/>
    </row>
    <row r="34950" spans="7:7" ht="10.5" customHeight="1" x14ac:dyDescent="0.2">
      <c r="G34950" s="889"/>
    </row>
    <row r="34951" spans="7:7" ht="10.5" customHeight="1" x14ac:dyDescent="0.2">
      <c r="G34951" s="889"/>
    </row>
    <row r="34952" spans="7:7" ht="10.5" customHeight="1" x14ac:dyDescent="0.2">
      <c r="G34952" s="889"/>
    </row>
    <row r="34953" spans="7:7" ht="10.5" customHeight="1" x14ac:dyDescent="0.2">
      <c r="G34953" s="889"/>
    </row>
    <row r="34954" spans="7:7" ht="10.5" customHeight="1" x14ac:dyDescent="0.2">
      <c r="G34954" s="889"/>
    </row>
    <row r="34955" spans="7:7" ht="10.5" customHeight="1" x14ac:dyDescent="0.2">
      <c r="G34955" s="889"/>
    </row>
    <row r="34956" spans="7:7" ht="10.5" customHeight="1" x14ac:dyDescent="0.2">
      <c r="G34956" s="889"/>
    </row>
    <row r="34957" spans="7:7" ht="10.5" customHeight="1" x14ac:dyDescent="0.2">
      <c r="G34957" s="889"/>
    </row>
    <row r="34958" spans="7:7" ht="10.5" customHeight="1" x14ac:dyDescent="0.2">
      <c r="G34958" s="889"/>
    </row>
    <row r="34959" spans="7:7" ht="10.5" customHeight="1" x14ac:dyDescent="0.2">
      <c r="G34959" s="889"/>
    </row>
    <row r="34960" spans="7:7" ht="10.5" customHeight="1" x14ac:dyDescent="0.2">
      <c r="G34960" s="889"/>
    </row>
    <row r="34961" spans="7:7" ht="10.5" customHeight="1" x14ac:dyDescent="0.2">
      <c r="G34961" s="889"/>
    </row>
    <row r="34962" spans="7:7" ht="10.5" customHeight="1" x14ac:dyDescent="0.2">
      <c r="G34962" s="889"/>
    </row>
    <row r="34963" spans="7:7" ht="10.5" customHeight="1" x14ac:dyDescent="0.2">
      <c r="G34963" s="889"/>
    </row>
    <row r="34964" spans="7:7" ht="10.5" customHeight="1" x14ac:dyDescent="0.2">
      <c r="G34964" s="889"/>
    </row>
    <row r="34965" spans="7:7" ht="10.5" customHeight="1" x14ac:dyDescent="0.2">
      <c r="G34965" s="889"/>
    </row>
    <row r="34966" spans="7:7" ht="10.5" customHeight="1" x14ac:dyDescent="0.2">
      <c r="G34966" s="889"/>
    </row>
    <row r="34967" spans="7:7" ht="10.5" customHeight="1" x14ac:dyDescent="0.2">
      <c r="G34967" s="889"/>
    </row>
    <row r="34968" spans="7:7" ht="10.5" customHeight="1" x14ac:dyDescent="0.2">
      <c r="G34968" s="889"/>
    </row>
    <row r="34969" spans="7:7" ht="10.5" customHeight="1" x14ac:dyDescent="0.2">
      <c r="G34969" s="889"/>
    </row>
    <row r="34970" spans="7:7" ht="10.5" customHeight="1" x14ac:dyDescent="0.2">
      <c r="G34970" s="889"/>
    </row>
    <row r="34971" spans="7:7" ht="10.5" customHeight="1" x14ac:dyDescent="0.2">
      <c r="G34971" s="889"/>
    </row>
    <row r="34972" spans="7:7" ht="10.5" customHeight="1" x14ac:dyDescent="0.2">
      <c r="G34972" s="889"/>
    </row>
    <row r="34973" spans="7:7" ht="10.5" customHeight="1" x14ac:dyDescent="0.2">
      <c r="G34973" s="889"/>
    </row>
    <row r="34974" spans="7:7" ht="10.5" customHeight="1" x14ac:dyDescent="0.2">
      <c r="G34974" s="889"/>
    </row>
    <row r="34975" spans="7:7" ht="10.5" customHeight="1" x14ac:dyDescent="0.2">
      <c r="G34975" s="889"/>
    </row>
    <row r="34976" spans="7:7" ht="10.5" customHeight="1" x14ac:dyDescent="0.2">
      <c r="G34976" s="889"/>
    </row>
    <row r="34977" spans="7:7" ht="10.5" customHeight="1" x14ac:dyDescent="0.2">
      <c r="G34977" s="889"/>
    </row>
    <row r="34978" spans="7:7" ht="10.5" customHeight="1" x14ac:dyDescent="0.2">
      <c r="G34978" s="889"/>
    </row>
    <row r="34979" spans="7:7" ht="10.5" customHeight="1" x14ac:dyDescent="0.2">
      <c r="G34979" s="889"/>
    </row>
    <row r="34980" spans="7:7" ht="10.5" customHeight="1" x14ac:dyDescent="0.2">
      <c r="G34980" s="889"/>
    </row>
    <row r="34981" spans="7:7" ht="10.5" customHeight="1" x14ac:dyDescent="0.2">
      <c r="G34981" s="889"/>
    </row>
    <row r="34982" spans="7:7" ht="10.5" customHeight="1" x14ac:dyDescent="0.2">
      <c r="G34982" s="889"/>
    </row>
    <row r="34983" spans="7:7" ht="10.5" customHeight="1" x14ac:dyDescent="0.2">
      <c r="G34983" s="889"/>
    </row>
    <row r="34984" spans="7:7" ht="10.5" customHeight="1" x14ac:dyDescent="0.2">
      <c r="G34984" s="889"/>
    </row>
    <row r="34985" spans="7:7" ht="10.5" customHeight="1" x14ac:dyDescent="0.2">
      <c r="G34985" s="889"/>
    </row>
    <row r="34986" spans="7:7" ht="10.5" customHeight="1" x14ac:dyDescent="0.2">
      <c r="G34986" s="889"/>
    </row>
    <row r="34987" spans="7:7" ht="10.5" customHeight="1" x14ac:dyDescent="0.2">
      <c r="G34987" s="889"/>
    </row>
    <row r="34988" spans="7:7" ht="10.5" customHeight="1" x14ac:dyDescent="0.2">
      <c r="G34988" s="889"/>
    </row>
    <row r="34989" spans="7:7" ht="10.5" customHeight="1" x14ac:dyDescent="0.2">
      <c r="G34989" s="889"/>
    </row>
    <row r="34990" spans="7:7" ht="10.5" customHeight="1" x14ac:dyDescent="0.2">
      <c r="G34990" s="889"/>
    </row>
    <row r="34991" spans="7:7" ht="10.5" customHeight="1" x14ac:dyDescent="0.2">
      <c r="G34991" s="889"/>
    </row>
    <row r="34992" spans="7:7" ht="10.5" customHeight="1" x14ac:dyDescent="0.2">
      <c r="G34992" s="889"/>
    </row>
    <row r="34993" spans="7:7" ht="10.5" customHeight="1" x14ac:dyDescent="0.2">
      <c r="G34993" s="889"/>
    </row>
    <row r="34994" spans="7:7" ht="10.5" customHeight="1" x14ac:dyDescent="0.2">
      <c r="G34994" s="889"/>
    </row>
    <row r="34995" spans="7:7" ht="10.5" customHeight="1" x14ac:dyDescent="0.2">
      <c r="G34995" s="889"/>
    </row>
    <row r="34996" spans="7:7" ht="10.5" customHeight="1" x14ac:dyDescent="0.2">
      <c r="G34996" s="889"/>
    </row>
    <row r="34997" spans="7:7" ht="10.5" customHeight="1" x14ac:dyDescent="0.2">
      <c r="G34997" s="889"/>
    </row>
    <row r="34998" spans="7:7" ht="10.5" customHeight="1" x14ac:dyDescent="0.2">
      <c r="G34998" s="889"/>
    </row>
    <row r="34999" spans="7:7" ht="10.5" customHeight="1" x14ac:dyDescent="0.2">
      <c r="G34999" s="889"/>
    </row>
    <row r="35000" spans="7:7" ht="10.5" customHeight="1" x14ac:dyDescent="0.2">
      <c r="G35000" s="889"/>
    </row>
    <row r="35001" spans="7:7" ht="10.5" customHeight="1" x14ac:dyDescent="0.2">
      <c r="G35001" s="889"/>
    </row>
    <row r="35002" spans="7:7" ht="10.5" customHeight="1" x14ac:dyDescent="0.2">
      <c r="G35002" s="889"/>
    </row>
    <row r="35003" spans="7:7" ht="10.5" customHeight="1" x14ac:dyDescent="0.2">
      <c r="G35003" s="889"/>
    </row>
    <row r="35004" spans="7:7" ht="10.5" customHeight="1" x14ac:dyDescent="0.2">
      <c r="G35004" s="889"/>
    </row>
    <row r="35005" spans="7:7" ht="10.5" customHeight="1" x14ac:dyDescent="0.2">
      <c r="G35005" s="889"/>
    </row>
    <row r="35006" spans="7:7" ht="10.5" customHeight="1" x14ac:dyDescent="0.2">
      <c r="G35006" s="889"/>
    </row>
    <row r="35007" spans="7:7" ht="10.5" customHeight="1" x14ac:dyDescent="0.2">
      <c r="G35007" s="889"/>
    </row>
    <row r="35008" spans="7:7" ht="10.5" customHeight="1" x14ac:dyDescent="0.2">
      <c r="G35008" s="889"/>
    </row>
    <row r="35009" spans="7:7" ht="10.5" customHeight="1" x14ac:dyDescent="0.2">
      <c r="G35009" s="889"/>
    </row>
    <row r="35010" spans="7:7" ht="10.5" customHeight="1" x14ac:dyDescent="0.2">
      <c r="G35010" s="889"/>
    </row>
    <row r="35011" spans="7:7" ht="10.5" customHeight="1" x14ac:dyDescent="0.2">
      <c r="G35011" s="889"/>
    </row>
    <row r="35012" spans="7:7" ht="10.5" customHeight="1" x14ac:dyDescent="0.2">
      <c r="G35012" s="889"/>
    </row>
    <row r="35013" spans="7:7" ht="10.5" customHeight="1" x14ac:dyDescent="0.2">
      <c r="G35013" s="889"/>
    </row>
    <row r="35014" spans="7:7" ht="10.5" customHeight="1" x14ac:dyDescent="0.2">
      <c r="G35014" s="889"/>
    </row>
    <row r="35015" spans="7:7" ht="10.5" customHeight="1" x14ac:dyDescent="0.2">
      <c r="G35015" s="889"/>
    </row>
    <row r="35016" spans="7:7" ht="10.5" customHeight="1" x14ac:dyDescent="0.2">
      <c r="G35016" s="889"/>
    </row>
    <row r="35017" spans="7:7" ht="10.5" customHeight="1" x14ac:dyDescent="0.2">
      <c r="G35017" s="889"/>
    </row>
    <row r="35018" spans="7:7" ht="10.5" customHeight="1" x14ac:dyDescent="0.2">
      <c r="G35018" s="889"/>
    </row>
    <row r="35019" spans="7:7" ht="10.5" customHeight="1" x14ac:dyDescent="0.2">
      <c r="G35019" s="889"/>
    </row>
    <row r="35020" spans="7:7" ht="10.5" customHeight="1" x14ac:dyDescent="0.2">
      <c r="G35020" s="889"/>
    </row>
    <row r="35021" spans="7:7" ht="10.5" customHeight="1" x14ac:dyDescent="0.2">
      <c r="G35021" s="889"/>
    </row>
    <row r="35022" spans="7:7" ht="10.5" customHeight="1" x14ac:dyDescent="0.2">
      <c r="G35022" s="889"/>
    </row>
    <row r="35023" spans="7:7" ht="10.5" customHeight="1" x14ac:dyDescent="0.2">
      <c r="G35023" s="889"/>
    </row>
    <row r="35024" spans="7:7" ht="10.5" customHeight="1" x14ac:dyDescent="0.2">
      <c r="G35024" s="889"/>
    </row>
    <row r="35025" spans="7:7" ht="10.5" customHeight="1" x14ac:dyDescent="0.2">
      <c r="G35025" s="889"/>
    </row>
    <row r="35026" spans="7:7" ht="10.5" customHeight="1" x14ac:dyDescent="0.2">
      <c r="G35026" s="889"/>
    </row>
    <row r="35027" spans="7:7" ht="10.5" customHeight="1" x14ac:dyDescent="0.2">
      <c r="G35027" s="889"/>
    </row>
    <row r="35028" spans="7:7" ht="10.5" customHeight="1" x14ac:dyDescent="0.2">
      <c r="G35028" s="889"/>
    </row>
    <row r="35029" spans="7:7" ht="10.5" customHeight="1" x14ac:dyDescent="0.2">
      <c r="G35029" s="889"/>
    </row>
    <row r="35030" spans="7:7" ht="10.5" customHeight="1" x14ac:dyDescent="0.2">
      <c r="G35030" s="889"/>
    </row>
    <row r="35031" spans="7:7" ht="10.5" customHeight="1" x14ac:dyDescent="0.2">
      <c r="G35031" s="889"/>
    </row>
    <row r="35032" spans="7:7" ht="10.5" customHeight="1" x14ac:dyDescent="0.2">
      <c r="G35032" s="889"/>
    </row>
    <row r="35033" spans="7:7" ht="10.5" customHeight="1" x14ac:dyDescent="0.2">
      <c r="G35033" s="889"/>
    </row>
    <row r="35034" spans="7:7" ht="10.5" customHeight="1" x14ac:dyDescent="0.2">
      <c r="G35034" s="889"/>
    </row>
    <row r="35035" spans="7:7" ht="10.5" customHeight="1" x14ac:dyDescent="0.2">
      <c r="G35035" s="889"/>
    </row>
    <row r="35036" spans="7:7" ht="10.5" customHeight="1" x14ac:dyDescent="0.2">
      <c r="G35036" s="889"/>
    </row>
    <row r="35037" spans="7:7" ht="10.5" customHeight="1" x14ac:dyDescent="0.2">
      <c r="G35037" s="889"/>
    </row>
    <row r="35038" spans="7:7" ht="10.5" customHeight="1" x14ac:dyDescent="0.2">
      <c r="G35038" s="889"/>
    </row>
    <row r="35039" spans="7:7" ht="10.5" customHeight="1" x14ac:dyDescent="0.2">
      <c r="G35039" s="889"/>
    </row>
    <row r="35040" spans="7:7" ht="10.5" customHeight="1" x14ac:dyDescent="0.2">
      <c r="G35040" s="889"/>
    </row>
    <row r="35041" spans="7:7" ht="10.5" customHeight="1" x14ac:dyDescent="0.2">
      <c r="G35041" s="889"/>
    </row>
    <row r="35042" spans="7:7" ht="10.5" customHeight="1" x14ac:dyDescent="0.2">
      <c r="G35042" s="889"/>
    </row>
    <row r="35043" spans="7:7" ht="10.5" customHeight="1" x14ac:dyDescent="0.2">
      <c r="G35043" s="889"/>
    </row>
    <row r="35044" spans="7:7" ht="10.5" customHeight="1" x14ac:dyDescent="0.2">
      <c r="G35044" s="889"/>
    </row>
    <row r="35045" spans="7:7" ht="10.5" customHeight="1" x14ac:dyDescent="0.2">
      <c r="G35045" s="889"/>
    </row>
    <row r="35046" spans="7:7" ht="10.5" customHeight="1" x14ac:dyDescent="0.2">
      <c r="G35046" s="889"/>
    </row>
    <row r="35047" spans="7:7" ht="10.5" customHeight="1" x14ac:dyDescent="0.2">
      <c r="G35047" s="889"/>
    </row>
    <row r="35048" spans="7:7" ht="10.5" customHeight="1" x14ac:dyDescent="0.2">
      <c r="G35048" s="889"/>
    </row>
    <row r="35049" spans="7:7" ht="10.5" customHeight="1" x14ac:dyDescent="0.2">
      <c r="G35049" s="889"/>
    </row>
    <row r="35050" spans="7:7" ht="10.5" customHeight="1" x14ac:dyDescent="0.2">
      <c r="G35050" s="889"/>
    </row>
    <row r="35051" spans="7:7" ht="10.5" customHeight="1" x14ac:dyDescent="0.2">
      <c r="G35051" s="889"/>
    </row>
    <row r="35052" spans="7:7" ht="10.5" customHeight="1" x14ac:dyDescent="0.2">
      <c r="G35052" s="889"/>
    </row>
    <row r="35053" spans="7:7" ht="10.5" customHeight="1" x14ac:dyDescent="0.2">
      <c r="G35053" s="889"/>
    </row>
    <row r="35054" spans="7:7" ht="10.5" customHeight="1" x14ac:dyDescent="0.2">
      <c r="G35054" s="889"/>
    </row>
    <row r="35055" spans="7:7" ht="10.5" customHeight="1" x14ac:dyDescent="0.2">
      <c r="G35055" s="889"/>
    </row>
    <row r="35056" spans="7:7" ht="10.5" customHeight="1" x14ac:dyDescent="0.2">
      <c r="G35056" s="889"/>
    </row>
    <row r="35057" spans="7:7" ht="10.5" customHeight="1" x14ac:dyDescent="0.2">
      <c r="G35057" s="889"/>
    </row>
    <row r="35058" spans="7:7" ht="10.5" customHeight="1" x14ac:dyDescent="0.2">
      <c r="G35058" s="889"/>
    </row>
    <row r="35059" spans="7:7" ht="10.5" customHeight="1" x14ac:dyDescent="0.2">
      <c r="G35059" s="889"/>
    </row>
    <row r="35060" spans="7:7" ht="10.5" customHeight="1" x14ac:dyDescent="0.2">
      <c r="G35060" s="889"/>
    </row>
    <row r="35061" spans="7:7" ht="10.5" customHeight="1" x14ac:dyDescent="0.2">
      <c r="G35061" s="889"/>
    </row>
    <row r="35062" spans="7:7" ht="10.5" customHeight="1" x14ac:dyDescent="0.2">
      <c r="G35062" s="889"/>
    </row>
    <row r="35063" spans="7:7" ht="10.5" customHeight="1" x14ac:dyDescent="0.2">
      <c r="G35063" s="889"/>
    </row>
    <row r="35064" spans="7:7" ht="10.5" customHeight="1" x14ac:dyDescent="0.2">
      <c r="G35064" s="889"/>
    </row>
    <row r="35065" spans="7:7" ht="10.5" customHeight="1" x14ac:dyDescent="0.2">
      <c r="G35065" s="889"/>
    </row>
    <row r="35066" spans="7:7" ht="10.5" customHeight="1" x14ac:dyDescent="0.2">
      <c r="G35066" s="889"/>
    </row>
    <row r="35067" spans="7:7" ht="10.5" customHeight="1" x14ac:dyDescent="0.2">
      <c r="G35067" s="889"/>
    </row>
    <row r="35068" spans="7:7" ht="10.5" customHeight="1" x14ac:dyDescent="0.2">
      <c r="G35068" s="889"/>
    </row>
    <row r="35069" spans="7:7" ht="10.5" customHeight="1" x14ac:dyDescent="0.2">
      <c r="G35069" s="889"/>
    </row>
    <row r="35070" spans="7:7" ht="10.5" customHeight="1" x14ac:dyDescent="0.2">
      <c r="G35070" s="889"/>
    </row>
    <row r="35071" spans="7:7" ht="10.5" customHeight="1" x14ac:dyDescent="0.2">
      <c r="G35071" s="889"/>
    </row>
    <row r="35072" spans="7:7" ht="10.5" customHeight="1" x14ac:dyDescent="0.2">
      <c r="G35072" s="889"/>
    </row>
    <row r="35073" spans="7:7" ht="10.5" customHeight="1" x14ac:dyDescent="0.2">
      <c r="G35073" s="889"/>
    </row>
    <row r="35074" spans="7:7" ht="10.5" customHeight="1" x14ac:dyDescent="0.2">
      <c r="G35074" s="889"/>
    </row>
    <row r="35075" spans="7:7" ht="10.5" customHeight="1" x14ac:dyDescent="0.2">
      <c r="G35075" s="889"/>
    </row>
    <row r="35076" spans="7:7" ht="10.5" customHeight="1" x14ac:dyDescent="0.2">
      <c r="G35076" s="889"/>
    </row>
    <row r="35077" spans="7:7" ht="10.5" customHeight="1" x14ac:dyDescent="0.2">
      <c r="G35077" s="889"/>
    </row>
    <row r="35078" spans="7:7" ht="10.5" customHeight="1" x14ac:dyDescent="0.2">
      <c r="G35078" s="889"/>
    </row>
    <row r="35079" spans="7:7" ht="10.5" customHeight="1" x14ac:dyDescent="0.2">
      <c r="G35079" s="889"/>
    </row>
    <row r="35080" spans="7:7" ht="10.5" customHeight="1" x14ac:dyDescent="0.2">
      <c r="G35080" s="889"/>
    </row>
    <row r="35081" spans="7:7" ht="10.5" customHeight="1" x14ac:dyDescent="0.2">
      <c r="G35081" s="889"/>
    </row>
    <row r="35082" spans="7:7" ht="10.5" customHeight="1" x14ac:dyDescent="0.2">
      <c r="G35082" s="889"/>
    </row>
    <row r="35083" spans="7:7" ht="10.5" customHeight="1" x14ac:dyDescent="0.2">
      <c r="G35083" s="889"/>
    </row>
    <row r="35084" spans="7:7" ht="10.5" customHeight="1" x14ac:dyDescent="0.2">
      <c r="G35084" s="889"/>
    </row>
    <row r="35085" spans="7:7" ht="10.5" customHeight="1" x14ac:dyDescent="0.2">
      <c r="G35085" s="889"/>
    </row>
    <row r="35086" spans="7:7" ht="10.5" customHeight="1" x14ac:dyDescent="0.2">
      <c r="G35086" s="889"/>
    </row>
    <row r="35087" spans="7:7" ht="10.5" customHeight="1" x14ac:dyDescent="0.2">
      <c r="G35087" s="889"/>
    </row>
    <row r="35088" spans="7:7" ht="10.5" customHeight="1" x14ac:dyDescent="0.2">
      <c r="G35088" s="889"/>
    </row>
    <row r="35089" spans="7:7" ht="10.5" customHeight="1" x14ac:dyDescent="0.2">
      <c r="G35089" s="889"/>
    </row>
    <row r="35090" spans="7:7" ht="10.5" customHeight="1" x14ac:dyDescent="0.2">
      <c r="G35090" s="889"/>
    </row>
    <row r="35091" spans="7:7" ht="10.5" customHeight="1" x14ac:dyDescent="0.2">
      <c r="G35091" s="889"/>
    </row>
    <row r="35092" spans="7:7" ht="10.5" customHeight="1" x14ac:dyDescent="0.2">
      <c r="G35092" s="889"/>
    </row>
    <row r="35093" spans="7:7" ht="10.5" customHeight="1" x14ac:dyDescent="0.2">
      <c r="G35093" s="889"/>
    </row>
    <row r="35094" spans="7:7" ht="10.5" customHeight="1" x14ac:dyDescent="0.2">
      <c r="G35094" s="889"/>
    </row>
    <row r="35095" spans="7:7" ht="10.5" customHeight="1" x14ac:dyDescent="0.2">
      <c r="G35095" s="889"/>
    </row>
    <row r="35096" spans="7:7" ht="10.5" customHeight="1" x14ac:dyDescent="0.2">
      <c r="G35096" s="889"/>
    </row>
    <row r="35097" spans="7:7" ht="10.5" customHeight="1" x14ac:dyDescent="0.2">
      <c r="G35097" s="889"/>
    </row>
    <row r="35098" spans="7:7" ht="10.5" customHeight="1" x14ac:dyDescent="0.2">
      <c r="G35098" s="889"/>
    </row>
    <row r="35099" spans="7:7" ht="10.5" customHeight="1" x14ac:dyDescent="0.2">
      <c r="G35099" s="889"/>
    </row>
    <row r="35100" spans="7:7" ht="10.5" customHeight="1" x14ac:dyDescent="0.2">
      <c r="G35100" s="889"/>
    </row>
    <row r="35101" spans="7:7" ht="10.5" customHeight="1" x14ac:dyDescent="0.2">
      <c r="G35101" s="889"/>
    </row>
    <row r="35102" spans="7:7" ht="10.5" customHeight="1" x14ac:dyDescent="0.2">
      <c r="G35102" s="889"/>
    </row>
    <row r="35103" spans="7:7" ht="10.5" customHeight="1" x14ac:dyDescent="0.2">
      <c r="G35103" s="889"/>
    </row>
    <row r="35104" spans="7:7" ht="10.5" customHeight="1" x14ac:dyDescent="0.2">
      <c r="G35104" s="889"/>
    </row>
    <row r="35105" spans="7:7" ht="10.5" customHeight="1" x14ac:dyDescent="0.2">
      <c r="G35105" s="889"/>
    </row>
    <row r="35106" spans="7:7" ht="10.5" customHeight="1" x14ac:dyDescent="0.2">
      <c r="G35106" s="889"/>
    </row>
    <row r="35107" spans="7:7" ht="10.5" customHeight="1" x14ac:dyDescent="0.2">
      <c r="G35107" s="889"/>
    </row>
    <row r="35108" spans="7:7" ht="10.5" customHeight="1" x14ac:dyDescent="0.2">
      <c r="G35108" s="889"/>
    </row>
    <row r="35109" spans="7:7" ht="10.5" customHeight="1" x14ac:dyDescent="0.2">
      <c r="G35109" s="889"/>
    </row>
    <row r="35110" spans="7:7" ht="10.5" customHeight="1" x14ac:dyDescent="0.2">
      <c r="G35110" s="889"/>
    </row>
    <row r="35111" spans="7:7" ht="10.5" customHeight="1" x14ac:dyDescent="0.2">
      <c r="G35111" s="889"/>
    </row>
    <row r="35112" spans="7:7" ht="10.5" customHeight="1" x14ac:dyDescent="0.2">
      <c r="G35112" s="889"/>
    </row>
    <row r="35113" spans="7:7" ht="10.5" customHeight="1" x14ac:dyDescent="0.2">
      <c r="G35113" s="889"/>
    </row>
    <row r="35114" spans="7:7" ht="10.5" customHeight="1" x14ac:dyDescent="0.2">
      <c r="G35114" s="889"/>
    </row>
    <row r="35115" spans="7:7" ht="10.5" customHeight="1" x14ac:dyDescent="0.2">
      <c r="G35115" s="889"/>
    </row>
    <row r="35116" spans="7:7" ht="10.5" customHeight="1" x14ac:dyDescent="0.2">
      <c r="G35116" s="889"/>
    </row>
    <row r="35117" spans="7:7" ht="10.5" customHeight="1" x14ac:dyDescent="0.2">
      <c r="G35117" s="889"/>
    </row>
    <row r="35118" spans="7:7" ht="10.5" customHeight="1" x14ac:dyDescent="0.2">
      <c r="G35118" s="889"/>
    </row>
    <row r="35119" spans="7:7" ht="10.5" customHeight="1" x14ac:dyDescent="0.2">
      <c r="G35119" s="889"/>
    </row>
    <row r="35120" spans="7:7" ht="10.5" customHeight="1" x14ac:dyDescent="0.2">
      <c r="G35120" s="889"/>
    </row>
    <row r="35121" spans="7:7" ht="10.5" customHeight="1" x14ac:dyDescent="0.2">
      <c r="G35121" s="889"/>
    </row>
    <row r="35122" spans="7:7" ht="10.5" customHeight="1" x14ac:dyDescent="0.2">
      <c r="G35122" s="889"/>
    </row>
    <row r="35123" spans="7:7" ht="10.5" customHeight="1" x14ac:dyDescent="0.2">
      <c r="G35123" s="889"/>
    </row>
    <row r="35124" spans="7:7" ht="10.5" customHeight="1" x14ac:dyDescent="0.2">
      <c r="G35124" s="889"/>
    </row>
    <row r="35125" spans="7:7" ht="10.5" customHeight="1" x14ac:dyDescent="0.2">
      <c r="G35125" s="889"/>
    </row>
    <row r="35126" spans="7:7" ht="10.5" customHeight="1" x14ac:dyDescent="0.2">
      <c r="G35126" s="889"/>
    </row>
    <row r="35127" spans="7:7" ht="10.5" customHeight="1" x14ac:dyDescent="0.2">
      <c r="G35127" s="889"/>
    </row>
    <row r="35128" spans="7:7" ht="10.5" customHeight="1" x14ac:dyDescent="0.2">
      <c r="G35128" s="889"/>
    </row>
    <row r="35129" spans="7:7" ht="10.5" customHeight="1" x14ac:dyDescent="0.2">
      <c r="G35129" s="889"/>
    </row>
    <row r="35130" spans="7:7" ht="10.5" customHeight="1" x14ac:dyDescent="0.2">
      <c r="G35130" s="889"/>
    </row>
    <row r="35131" spans="7:7" ht="10.5" customHeight="1" x14ac:dyDescent="0.2">
      <c r="G35131" s="889"/>
    </row>
    <row r="35132" spans="7:7" ht="10.5" customHeight="1" x14ac:dyDescent="0.2">
      <c r="G35132" s="889"/>
    </row>
    <row r="35133" spans="7:7" ht="10.5" customHeight="1" x14ac:dyDescent="0.2">
      <c r="G35133" s="889"/>
    </row>
    <row r="35134" spans="7:7" ht="10.5" customHeight="1" x14ac:dyDescent="0.2">
      <c r="G35134" s="889"/>
    </row>
    <row r="35135" spans="7:7" ht="10.5" customHeight="1" x14ac:dyDescent="0.2">
      <c r="G35135" s="889"/>
    </row>
    <row r="35136" spans="7:7" ht="10.5" customHeight="1" x14ac:dyDescent="0.2">
      <c r="G35136" s="889"/>
    </row>
    <row r="35137" spans="7:7" ht="10.5" customHeight="1" x14ac:dyDescent="0.2">
      <c r="G35137" s="889"/>
    </row>
    <row r="35138" spans="7:7" ht="10.5" customHeight="1" x14ac:dyDescent="0.2">
      <c r="G35138" s="889"/>
    </row>
    <row r="35139" spans="7:7" ht="10.5" customHeight="1" x14ac:dyDescent="0.2">
      <c r="G35139" s="889"/>
    </row>
    <row r="35140" spans="7:7" ht="10.5" customHeight="1" x14ac:dyDescent="0.2">
      <c r="G35140" s="889"/>
    </row>
    <row r="35141" spans="7:7" ht="10.5" customHeight="1" x14ac:dyDescent="0.2">
      <c r="G35141" s="889"/>
    </row>
    <row r="35142" spans="7:7" ht="10.5" customHeight="1" x14ac:dyDescent="0.2">
      <c r="G35142" s="889"/>
    </row>
    <row r="35143" spans="7:7" ht="10.5" customHeight="1" x14ac:dyDescent="0.2">
      <c r="G35143" s="889"/>
    </row>
    <row r="35144" spans="7:7" ht="10.5" customHeight="1" x14ac:dyDescent="0.2">
      <c r="G35144" s="889"/>
    </row>
    <row r="35145" spans="7:7" ht="10.5" customHeight="1" x14ac:dyDescent="0.2">
      <c r="G35145" s="889"/>
    </row>
    <row r="35146" spans="7:7" ht="10.5" customHeight="1" x14ac:dyDescent="0.2">
      <c r="G35146" s="889"/>
    </row>
    <row r="35147" spans="7:7" ht="10.5" customHeight="1" x14ac:dyDescent="0.2">
      <c r="G35147" s="889"/>
    </row>
    <row r="35148" spans="7:7" ht="10.5" customHeight="1" x14ac:dyDescent="0.2">
      <c r="G35148" s="889"/>
    </row>
    <row r="35149" spans="7:7" ht="10.5" customHeight="1" x14ac:dyDescent="0.2">
      <c r="G35149" s="889"/>
    </row>
    <row r="35150" spans="7:7" ht="10.5" customHeight="1" x14ac:dyDescent="0.2">
      <c r="G35150" s="889"/>
    </row>
    <row r="35151" spans="7:7" ht="10.5" customHeight="1" x14ac:dyDescent="0.2">
      <c r="G35151" s="889"/>
    </row>
    <row r="35152" spans="7:7" ht="10.5" customHeight="1" x14ac:dyDescent="0.2">
      <c r="G35152" s="889"/>
    </row>
    <row r="35153" spans="7:7" ht="10.5" customHeight="1" x14ac:dyDescent="0.2">
      <c r="G35153" s="889"/>
    </row>
    <row r="35154" spans="7:7" ht="10.5" customHeight="1" x14ac:dyDescent="0.2">
      <c r="G35154" s="889"/>
    </row>
    <row r="35155" spans="7:7" ht="10.5" customHeight="1" x14ac:dyDescent="0.2">
      <c r="G35155" s="889"/>
    </row>
    <row r="35156" spans="7:7" ht="10.5" customHeight="1" x14ac:dyDescent="0.2">
      <c r="G35156" s="889"/>
    </row>
    <row r="35157" spans="7:7" ht="10.5" customHeight="1" x14ac:dyDescent="0.2">
      <c r="G35157" s="889"/>
    </row>
    <row r="35158" spans="7:7" ht="10.5" customHeight="1" x14ac:dyDescent="0.2">
      <c r="G35158" s="889"/>
    </row>
    <row r="35159" spans="7:7" ht="10.5" customHeight="1" x14ac:dyDescent="0.2">
      <c r="G35159" s="889"/>
    </row>
    <row r="35160" spans="7:7" ht="10.5" customHeight="1" x14ac:dyDescent="0.2">
      <c r="G35160" s="889"/>
    </row>
    <row r="35161" spans="7:7" ht="10.5" customHeight="1" x14ac:dyDescent="0.2">
      <c r="G35161" s="889"/>
    </row>
    <row r="35162" spans="7:7" ht="10.5" customHeight="1" x14ac:dyDescent="0.2">
      <c r="G35162" s="889"/>
    </row>
    <row r="35163" spans="7:7" ht="10.5" customHeight="1" x14ac:dyDescent="0.2">
      <c r="G35163" s="889"/>
    </row>
    <row r="35164" spans="7:7" ht="10.5" customHeight="1" x14ac:dyDescent="0.2">
      <c r="G35164" s="889"/>
    </row>
    <row r="35165" spans="7:7" ht="10.5" customHeight="1" x14ac:dyDescent="0.2">
      <c r="G35165" s="889"/>
    </row>
    <row r="35166" spans="7:7" ht="10.5" customHeight="1" x14ac:dyDescent="0.2">
      <c r="G35166" s="889"/>
    </row>
    <row r="35167" spans="7:7" ht="10.5" customHeight="1" x14ac:dyDescent="0.2">
      <c r="G35167" s="889"/>
    </row>
    <row r="35168" spans="7:7" ht="10.5" customHeight="1" x14ac:dyDescent="0.2">
      <c r="G35168" s="889"/>
    </row>
    <row r="35169" spans="7:7" ht="10.5" customHeight="1" x14ac:dyDescent="0.2">
      <c r="G35169" s="889"/>
    </row>
    <row r="35170" spans="7:7" ht="10.5" customHeight="1" x14ac:dyDescent="0.2">
      <c r="G35170" s="889"/>
    </row>
    <row r="35171" spans="7:7" ht="10.5" customHeight="1" x14ac:dyDescent="0.2">
      <c r="G35171" s="889"/>
    </row>
    <row r="35172" spans="7:7" ht="10.5" customHeight="1" x14ac:dyDescent="0.2">
      <c r="G35172" s="889"/>
    </row>
    <row r="35173" spans="7:7" ht="10.5" customHeight="1" x14ac:dyDescent="0.2">
      <c r="G35173" s="889"/>
    </row>
    <row r="35174" spans="7:7" ht="10.5" customHeight="1" x14ac:dyDescent="0.2">
      <c r="G35174" s="889"/>
    </row>
    <row r="35175" spans="7:7" ht="10.5" customHeight="1" x14ac:dyDescent="0.2">
      <c r="G35175" s="889"/>
    </row>
    <row r="35176" spans="7:7" ht="10.5" customHeight="1" x14ac:dyDescent="0.2">
      <c r="G35176" s="889"/>
    </row>
    <row r="35177" spans="7:7" ht="10.5" customHeight="1" x14ac:dyDescent="0.2">
      <c r="G35177" s="889"/>
    </row>
    <row r="35178" spans="7:7" ht="10.5" customHeight="1" x14ac:dyDescent="0.2">
      <c r="G35178" s="889"/>
    </row>
    <row r="35179" spans="7:7" ht="10.5" customHeight="1" x14ac:dyDescent="0.2">
      <c r="G35179" s="889"/>
    </row>
    <row r="35180" spans="7:7" ht="10.5" customHeight="1" x14ac:dyDescent="0.2">
      <c r="G35180" s="889"/>
    </row>
    <row r="35181" spans="7:7" ht="10.5" customHeight="1" x14ac:dyDescent="0.2">
      <c r="G35181" s="889"/>
    </row>
    <row r="35182" spans="7:7" ht="10.5" customHeight="1" x14ac:dyDescent="0.2">
      <c r="G35182" s="889"/>
    </row>
    <row r="35183" spans="7:7" ht="10.5" customHeight="1" x14ac:dyDescent="0.2">
      <c r="G35183" s="889"/>
    </row>
    <row r="35184" spans="7:7" ht="10.5" customHeight="1" x14ac:dyDescent="0.2">
      <c r="G35184" s="889"/>
    </row>
    <row r="35185" spans="7:7" ht="10.5" customHeight="1" x14ac:dyDescent="0.2">
      <c r="G35185" s="889"/>
    </row>
    <row r="35186" spans="7:7" ht="10.5" customHeight="1" x14ac:dyDescent="0.2">
      <c r="G35186" s="889"/>
    </row>
    <row r="35187" spans="7:7" ht="10.5" customHeight="1" x14ac:dyDescent="0.2">
      <c r="G35187" s="889"/>
    </row>
    <row r="35188" spans="7:7" ht="10.5" customHeight="1" x14ac:dyDescent="0.2">
      <c r="G35188" s="889"/>
    </row>
    <row r="35189" spans="7:7" ht="10.5" customHeight="1" x14ac:dyDescent="0.2">
      <c r="G35189" s="889"/>
    </row>
    <row r="35190" spans="7:7" ht="10.5" customHeight="1" x14ac:dyDescent="0.2">
      <c r="G35190" s="889"/>
    </row>
    <row r="35191" spans="7:7" ht="10.5" customHeight="1" x14ac:dyDescent="0.2">
      <c r="G35191" s="889"/>
    </row>
    <row r="35192" spans="7:7" ht="10.5" customHeight="1" x14ac:dyDescent="0.2">
      <c r="G35192" s="889"/>
    </row>
    <row r="35193" spans="7:7" ht="10.5" customHeight="1" x14ac:dyDescent="0.2">
      <c r="G35193" s="889"/>
    </row>
    <row r="35194" spans="7:7" ht="10.5" customHeight="1" x14ac:dyDescent="0.2">
      <c r="G35194" s="889"/>
    </row>
    <row r="35195" spans="7:7" ht="10.5" customHeight="1" x14ac:dyDescent="0.2">
      <c r="G35195" s="889"/>
    </row>
    <row r="35196" spans="7:7" ht="10.5" customHeight="1" x14ac:dyDescent="0.2">
      <c r="G35196" s="889"/>
    </row>
    <row r="35197" spans="7:7" ht="10.5" customHeight="1" x14ac:dyDescent="0.2">
      <c r="G35197" s="889"/>
    </row>
    <row r="35198" spans="7:7" ht="10.5" customHeight="1" x14ac:dyDescent="0.2">
      <c r="G35198" s="889"/>
    </row>
    <row r="35199" spans="7:7" ht="10.5" customHeight="1" x14ac:dyDescent="0.2">
      <c r="G35199" s="889"/>
    </row>
    <row r="35200" spans="7:7" ht="10.5" customHeight="1" x14ac:dyDescent="0.2">
      <c r="G35200" s="889"/>
    </row>
    <row r="35201" spans="7:7" ht="10.5" customHeight="1" x14ac:dyDescent="0.2">
      <c r="G35201" s="889"/>
    </row>
    <row r="35202" spans="7:7" ht="10.5" customHeight="1" x14ac:dyDescent="0.2">
      <c r="G35202" s="889"/>
    </row>
    <row r="35203" spans="7:7" ht="10.5" customHeight="1" x14ac:dyDescent="0.2">
      <c r="G35203" s="889"/>
    </row>
    <row r="35204" spans="7:7" ht="10.5" customHeight="1" x14ac:dyDescent="0.2">
      <c r="G35204" s="889"/>
    </row>
    <row r="35205" spans="7:7" ht="10.5" customHeight="1" x14ac:dyDescent="0.2">
      <c r="G35205" s="889"/>
    </row>
    <row r="35206" spans="7:7" ht="10.5" customHeight="1" x14ac:dyDescent="0.2">
      <c r="G35206" s="889"/>
    </row>
    <row r="35207" spans="7:7" ht="10.5" customHeight="1" x14ac:dyDescent="0.2">
      <c r="G35207" s="889"/>
    </row>
    <row r="35208" spans="7:7" ht="10.5" customHeight="1" x14ac:dyDescent="0.2">
      <c r="G35208" s="889"/>
    </row>
    <row r="35209" spans="7:7" ht="10.5" customHeight="1" x14ac:dyDescent="0.2">
      <c r="G35209" s="889"/>
    </row>
    <row r="35210" spans="7:7" ht="10.5" customHeight="1" x14ac:dyDescent="0.2">
      <c r="G35210" s="889"/>
    </row>
    <row r="35211" spans="7:7" ht="10.5" customHeight="1" x14ac:dyDescent="0.2">
      <c r="G35211" s="889"/>
    </row>
    <row r="35212" spans="7:7" ht="10.5" customHeight="1" x14ac:dyDescent="0.2">
      <c r="G35212" s="889"/>
    </row>
    <row r="35213" spans="7:7" ht="10.5" customHeight="1" x14ac:dyDescent="0.2">
      <c r="G35213" s="889"/>
    </row>
    <row r="35214" spans="7:7" ht="10.5" customHeight="1" x14ac:dyDescent="0.2">
      <c r="G35214" s="889"/>
    </row>
    <row r="35215" spans="7:7" ht="10.5" customHeight="1" x14ac:dyDescent="0.2">
      <c r="G35215" s="889"/>
    </row>
    <row r="35216" spans="7:7" ht="10.5" customHeight="1" x14ac:dyDescent="0.2">
      <c r="G35216" s="889"/>
    </row>
    <row r="35217" spans="7:7" ht="10.5" customHeight="1" x14ac:dyDescent="0.2">
      <c r="G35217" s="889"/>
    </row>
    <row r="35218" spans="7:7" ht="10.5" customHeight="1" x14ac:dyDescent="0.2">
      <c r="G35218" s="889"/>
    </row>
    <row r="35219" spans="7:7" ht="10.5" customHeight="1" x14ac:dyDescent="0.2">
      <c r="G35219" s="889"/>
    </row>
    <row r="35220" spans="7:7" ht="10.5" customHeight="1" x14ac:dyDescent="0.2">
      <c r="G35220" s="889"/>
    </row>
    <row r="35221" spans="7:7" ht="10.5" customHeight="1" x14ac:dyDescent="0.2">
      <c r="G35221" s="889"/>
    </row>
    <row r="35222" spans="7:7" ht="10.5" customHeight="1" x14ac:dyDescent="0.2">
      <c r="G35222" s="889"/>
    </row>
    <row r="35223" spans="7:7" ht="10.5" customHeight="1" x14ac:dyDescent="0.2">
      <c r="G35223" s="889"/>
    </row>
    <row r="35224" spans="7:7" ht="10.5" customHeight="1" x14ac:dyDescent="0.2">
      <c r="G35224" s="889"/>
    </row>
    <row r="35225" spans="7:7" ht="10.5" customHeight="1" x14ac:dyDescent="0.2">
      <c r="G35225" s="889"/>
    </row>
    <row r="35226" spans="7:7" ht="10.5" customHeight="1" x14ac:dyDescent="0.2">
      <c r="G35226" s="889"/>
    </row>
    <row r="35227" spans="7:7" ht="10.5" customHeight="1" x14ac:dyDescent="0.2">
      <c r="G35227" s="889"/>
    </row>
    <row r="35228" spans="7:7" ht="10.5" customHeight="1" x14ac:dyDescent="0.2">
      <c r="G35228" s="889"/>
    </row>
    <row r="35229" spans="7:7" ht="10.5" customHeight="1" x14ac:dyDescent="0.2">
      <c r="G35229" s="889"/>
    </row>
    <row r="35230" spans="7:7" ht="10.5" customHeight="1" x14ac:dyDescent="0.2">
      <c r="G35230" s="889"/>
    </row>
    <row r="35231" spans="7:7" ht="10.5" customHeight="1" x14ac:dyDescent="0.2">
      <c r="G35231" s="889"/>
    </row>
    <row r="35232" spans="7:7" ht="10.5" customHeight="1" x14ac:dyDescent="0.2">
      <c r="G35232" s="889"/>
    </row>
    <row r="35233" spans="7:7" ht="10.5" customHeight="1" x14ac:dyDescent="0.2">
      <c r="G35233" s="889"/>
    </row>
    <row r="35234" spans="7:7" ht="10.5" customHeight="1" x14ac:dyDescent="0.2">
      <c r="G35234" s="889"/>
    </row>
    <row r="35235" spans="7:7" ht="10.5" customHeight="1" x14ac:dyDescent="0.2">
      <c r="G35235" s="889"/>
    </row>
    <row r="35236" spans="7:7" ht="10.5" customHeight="1" x14ac:dyDescent="0.2">
      <c r="G35236" s="889"/>
    </row>
    <row r="35237" spans="7:7" ht="10.5" customHeight="1" x14ac:dyDescent="0.2">
      <c r="G35237" s="889"/>
    </row>
    <row r="35238" spans="7:7" ht="10.5" customHeight="1" x14ac:dyDescent="0.2">
      <c r="G35238" s="889"/>
    </row>
    <row r="35239" spans="7:7" ht="10.5" customHeight="1" x14ac:dyDescent="0.2">
      <c r="G35239" s="889"/>
    </row>
    <row r="35240" spans="7:7" ht="10.5" customHeight="1" x14ac:dyDescent="0.2">
      <c r="G35240" s="889"/>
    </row>
    <row r="35241" spans="7:7" ht="10.5" customHeight="1" x14ac:dyDescent="0.2">
      <c r="G35241" s="889"/>
    </row>
    <row r="35242" spans="7:7" ht="10.5" customHeight="1" x14ac:dyDescent="0.2">
      <c r="G35242" s="889"/>
    </row>
    <row r="35243" spans="7:7" ht="10.5" customHeight="1" x14ac:dyDescent="0.2">
      <c r="G35243" s="889"/>
    </row>
    <row r="35244" spans="7:7" ht="10.5" customHeight="1" x14ac:dyDescent="0.2">
      <c r="G35244" s="889"/>
    </row>
    <row r="35245" spans="7:7" ht="10.5" customHeight="1" x14ac:dyDescent="0.2">
      <c r="G35245" s="889"/>
    </row>
    <row r="35246" spans="7:7" ht="10.5" customHeight="1" x14ac:dyDescent="0.2">
      <c r="G35246" s="889"/>
    </row>
    <row r="35247" spans="7:7" ht="10.5" customHeight="1" x14ac:dyDescent="0.2">
      <c r="G35247" s="889"/>
    </row>
    <row r="35248" spans="7:7" ht="10.5" customHeight="1" x14ac:dyDescent="0.2">
      <c r="G35248" s="889"/>
    </row>
    <row r="35249" spans="7:7" ht="10.5" customHeight="1" x14ac:dyDescent="0.2">
      <c r="G35249" s="889"/>
    </row>
    <row r="35250" spans="7:7" ht="10.5" customHeight="1" x14ac:dyDescent="0.2">
      <c r="G35250" s="889"/>
    </row>
    <row r="35251" spans="7:7" ht="10.5" customHeight="1" x14ac:dyDescent="0.2">
      <c r="G35251" s="889"/>
    </row>
    <row r="35252" spans="7:7" ht="10.5" customHeight="1" x14ac:dyDescent="0.2">
      <c r="G35252" s="889"/>
    </row>
    <row r="35253" spans="7:7" ht="10.5" customHeight="1" x14ac:dyDescent="0.2">
      <c r="G35253" s="889"/>
    </row>
    <row r="35254" spans="7:7" ht="10.5" customHeight="1" x14ac:dyDescent="0.2">
      <c r="G35254" s="889"/>
    </row>
    <row r="35255" spans="7:7" ht="10.5" customHeight="1" x14ac:dyDescent="0.2">
      <c r="G35255" s="889"/>
    </row>
    <row r="35256" spans="7:7" ht="10.5" customHeight="1" x14ac:dyDescent="0.2">
      <c r="G35256" s="889"/>
    </row>
    <row r="35257" spans="7:7" ht="10.5" customHeight="1" x14ac:dyDescent="0.2">
      <c r="G35257" s="889"/>
    </row>
    <row r="35258" spans="7:7" ht="10.5" customHeight="1" x14ac:dyDescent="0.2">
      <c r="G35258" s="889"/>
    </row>
    <row r="35259" spans="7:7" ht="10.5" customHeight="1" x14ac:dyDescent="0.2">
      <c r="G35259" s="889"/>
    </row>
    <row r="35260" spans="7:7" ht="10.5" customHeight="1" x14ac:dyDescent="0.2">
      <c r="G35260" s="889"/>
    </row>
    <row r="35261" spans="7:7" ht="10.5" customHeight="1" x14ac:dyDescent="0.2">
      <c r="G35261" s="889"/>
    </row>
    <row r="35262" spans="7:7" ht="10.5" customHeight="1" x14ac:dyDescent="0.2">
      <c r="G35262" s="889"/>
    </row>
    <row r="35263" spans="7:7" ht="10.5" customHeight="1" x14ac:dyDescent="0.2">
      <c r="G35263" s="889"/>
    </row>
    <row r="35264" spans="7:7" ht="10.5" customHeight="1" x14ac:dyDescent="0.2">
      <c r="G35264" s="889"/>
    </row>
    <row r="35265" spans="7:7" ht="10.5" customHeight="1" x14ac:dyDescent="0.2">
      <c r="G35265" s="889"/>
    </row>
    <row r="35266" spans="7:7" ht="10.5" customHeight="1" x14ac:dyDescent="0.2">
      <c r="G35266" s="889"/>
    </row>
    <row r="35267" spans="7:7" ht="10.5" customHeight="1" x14ac:dyDescent="0.2">
      <c r="G35267" s="889"/>
    </row>
    <row r="35268" spans="7:7" ht="10.5" customHeight="1" x14ac:dyDescent="0.2">
      <c r="G35268" s="889"/>
    </row>
    <row r="35269" spans="7:7" ht="10.5" customHeight="1" x14ac:dyDescent="0.2">
      <c r="G35269" s="889"/>
    </row>
    <row r="35270" spans="7:7" ht="10.5" customHeight="1" x14ac:dyDescent="0.2">
      <c r="G35270" s="889"/>
    </row>
    <row r="35271" spans="7:7" ht="10.5" customHeight="1" x14ac:dyDescent="0.2">
      <c r="G35271" s="889"/>
    </row>
    <row r="35272" spans="7:7" ht="10.5" customHeight="1" x14ac:dyDescent="0.2">
      <c r="G35272" s="889"/>
    </row>
    <row r="35273" spans="7:7" ht="10.5" customHeight="1" x14ac:dyDescent="0.2">
      <c r="G35273" s="889"/>
    </row>
    <row r="35274" spans="7:7" ht="10.5" customHeight="1" x14ac:dyDescent="0.2">
      <c r="G35274" s="889"/>
    </row>
    <row r="35275" spans="7:7" ht="10.5" customHeight="1" x14ac:dyDescent="0.2">
      <c r="G35275" s="889"/>
    </row>
    <row r="35276" spans="7:7" ht="10.5" customHeight="1" x14ac:dyDescent="0.2">
      <c r="G35276" s="889"/>
    </row>
    <row r="35277" spans="7:7" ht="10.5" customHeight="1" x14ac:dyDescent="0.2">
      <c r="G35277" s="889"/>
    </row>
    <row r="35278" spans="7:7" ht="10.5" customHeight="1" x14ac:dyDescent="0.2">
      <c r="G35278" s="889"/>
    </row>
    <row r="35279" spans="7:7" ht="10.5" customHeight="1" x14ac:dyDescent="0.2">
      <c r="G35279" s="889"/>
    </row>
    <row r="35280" spans="7:7" ht="10.5" customHeight="1" x14ac:dyDescent="0.2">
      <c r="G35280" s="889"/>
    </row>
    <row r="35281" spans="7:7" ht="10.5" customHeight="1" x14ac:dyDescent="0.2">
      <c r="G35281" s="889"/>
    </row>
    <row r="35282" spans="7:7" ht="10.5" customHeight="1" x14ac:dyDescent="0.2">
      <c r="G35282" s="889"/>
    </row>
    <row r="35283" spans="7:7" ht="10.5" customHeight="1" x14ac:dyDescent="0.2">
      <c r="G35283" s="889"/>
    </row>
    <row r="35284" spans="7:7" ht="10.5" customHeight="1" x14ac:dyDescent="0.2">
      <c r="G35284" s="889"/>
    </row>
    <row r="35285" spans="7:7" ht="10.5" customHeight="1" x14ac:dyDescent="0.2">
      <c r="G35285" s="889"/>
    </row>
    <row r="35286" spans="7:7" ht="10.5" customHeight="1" x14ac:dyDescent="0.2">
      <c r="G35286" s="889"/>
    </row>
    <row r="35287" spans="7:7" ht="10.5" customHeight="1" x14ac:dyDescent="0.2">
      <c r="G35287" s="889"/>
    </row>
    <row r="35288" spans="7:7" ht="10.5" customHeight="1" x14ac:dyDescent="0.2">
      <c r="G35288" s="889"/>
    </row>
    <row r="35289" spans="7:7" ht="10.5" customHeight="1" x14ac:dyDescent="0.2">
      <c r="G35289" s="889"/>
    </row>
    <row r="35290" spans="7:7" ht="10.5" customHeight="1" x14ac:dyDescent="0.2">
      <c r="G35290" s="889"/>
    </row>
    <row r="35291" spans="7:7" ht="10.5" customHeight="1" x14ac:dyDescent="0.2">
      <c r="G35291" s="889"/>
    </row>
    <row r="35292" spans="7:7" ht="10.5" customHeight="1" x14ac:dyDescent="0.2">
      <c r="G35292" s="889"/>
    </row>
    <row r="35293" spans="7:7" ht="10.5" customHeight="1" x14ac:dyDescent="0.2">
      <c r="G35293" s="889"/>
    </row>
    <row r="35294" spans="7:7" ht="10.5" customHeight="1" x14ac:dyDescent="0.2">
      <c r="G35294" s="889"/>
    </row>
    <row r="35295" spans="7:7" ht="10.5" customHeight="1" x14ac:dyDescent="0.2">
      <c r="G35295" s="889"/>
    </row>
    <row r="35296" spans="7:7" ht="10.5" customHeight="1" x14ac:dyDescent="0.2">
      <c r="G35296" s="889"/>
    </row>
    <row r="35297" spans="7:7" ht="10.5" customHeight="1" x14ac:dyDescent="0.2">
      <c r="G35297" s="889"/>
    </row>
    <row r="35298" spans="7:7" ht="10.5" customHeight="1" x14ac:dyDescent="0.2">
      <c r="G35298" s="889"/>
    </row>
    <row r="35299" spans="7:7" ht="10.5" customHeight="1" x14ac:dyDescent="0.2">
      <c r="G35299" s="889"/>
    </row>
    <row r="35300" spans="7:7" ht="10.5" customHeight="1" x14ac:dyDescent="0.2">
      <c r="G35300" s="889"/>
    </row>
    <row r="35301" spans="7:7" ht="10.5" customHeight="1" x14ac:dyDescent="0.2">
      <c r="G35301" s="889"/>
    </row>
    <row r="35302" spans="7:7" ht="10.5" customHeight="1" x14ac:dyDescent="0.2">
      <c r="G35302" s="889"/>
    </row>
    <row r="35303" spans="7:7" ht="10.5" customHeight="1" x14ac:dyDescent="0.2">
      <c r="G35303" s="889"/>
    </row>
    <row r="35304" spans="7:7" ht="10.5" customHeight="1" x14ac:dyDescent="0.2">
      <c r="G35304" s="889"/>
    </row>
    <row r="35305" spans="7:7" ht="10.5" customHeight="1" x14ac:dyDescent="0.2">
      <c r="G35305" s="889"/>
    </row>
    <row r="35306" spans="7:7" ht="10.5" customHeight="1" x14ac:dyDescent="0.2">
      <c r="G35306" s="889"/>
    </row>
    <row r="35307" spans="7:7" ht="10.5" customHeight="1" x14ac:dyDescent="0.2">
      <c r="G35307" s="889"/>
    </row>
    <row r="35308" spans="7:7" ht="10.5" customHeight="1" x14ac:dyDescent="0.2">
      <c r="G35308" s="889"/>
    </row>
    <row r="35309" spans="7:7" ht="10.5" customHeight="1" x14ac:dyDescent="0.2">
      <c r="G35309" s="889"/>
    </row>
    <row r="35310" spans="7:7" ht="10.5" customHeight="1" x14ac:dyDescent="0.2">
      <c r="G35310" s="889"/>
    </row>
    <row r="35311" spans="7:7" ht="10.5" customHeight="1" x14ac:dyDescent="0.2">
      <c r="G35311" s="889"/>
    </row>
    <row r="35312" spans="7:7" ht="10.5" customHeight="1" x14ac:dyDescent="0.2">
      <c r="G35312" s="889"/>
    </row>
    <row r="35313" spans="7:7" ht="10.5" customHeight="1" x14ac:dyDescent="0.2">
      <c r="G35313" s="889"/>
    </row>
    <row r="35314" spans="7:7" ht="10.5" customHeight="1" x14ac:dyDescent="0.2">
      <c r="G35314" s="889"/>
    </row>
    <row r="35315" spans="7:7" ht="10.5" customHeight="1" x14ac:dyDescent="0.2">
      <c r="G35315" s="889"/>
    </row>
    <row r="35316" spans="7:7" ht="10.5" customHeight="1" x14ac:dyDescent="0.2">
      <c r="G35316" s="889"/>
    </row>
    <row r="35317" spans="7:7" ht="10.5" customHeight="1" x14ac:dyDescent="0.2">
      <c r="G35317" s="889"/>
    </row>
    <row r="35318" spans="7:7" ht="10.5" customHeight="1" x14ac:dyDescent="0.2">
      <c r="G35318" s="889"/>
    </row>
    <row r="35319" spans="7:7" ht="10.5" customHeight="1" x14ac:dyDescent="0.2">
      <c r="G35319" s="889"/>
    </row>
    <row r="35320" spans="7:7" ht="10.5" customHeight="1" x14ac:dyDescent="0.2">
      <c r="G35320" s="889"/>
    </row>
    <row r="35321" spans="7:7" ht="10.5" customHeight="1" x14ac:dyDescent="0.2">
      <c r="G35321" s="889"/>
    </row>
    <row r="35322" spans="7:7" ht="10.5" customHeight="1" x14ac:dyDescent="0.2">
      <c r="G35322" s="889"/>
    </row>
    <row r="35323" spans="7:7" ht="10.5" customHeight="1" x14ac:dyDescent="0.2">
      <c r="G35323" s="889"/>
    </row>
    <row r="35324" spans="7:7" ht="10.5" customHeight="1" x14ac:dyDescent="0.2">
      <c r="G35324" s="889"/>
    </row>
    <row r="35325" spans="7:7" ht="10.5" customHeight="1" x14ac:dyDescent="0.2">
      <c r="G35325" s="889"/>
    </row>
    <row r="35326" spans="7:7" ht="10.5" customHeight="1" x14ac:dyDescent="0.2">
      <c r="G35326" s="889"/>
    </row>
    <row r="35327" spans="7:7" ht="10.5" customHeight="1" x14ac:dyDescent="0.2">
      <c r="G35327" s="889"/>
    </row>
    <row r="35328" spans="7:7" ht="10.5" customHeight="1" x14ac:dyDescent="0.2">
      <c r="G35328" s="889"/>
    </row>
    <row r="35329" spans="7:7" ht="10.5" customHeight="1" x14ac:dyDescent="0.2">
      <c r="G35329" s="889"/>
    </row>
    <row r="35330" spans="7:7" ht="10.5" customHeight="1" x14ac:dyDescent="0.2">
      <c r="G35330" s="889"/>
    </row>
    <row r="35331" spans="7:7" ht="10.5" customHeight="1" x14ac:dyDescent="0.2">
      <c r="G35331" s="889"/>
    </row>
    <row r="35332" spans="7:7" ht="10.5" customHeight="1" x14ac:dyDescent="0.2">
      <c r="G35332" s="889"/>
    </row>
    <row r="35333" spans="7:7" ht="10.5" customHeight="1" x14ac:dyDescent="0.2">
      <c r="G35333" s="889"/>
    </row>
    <row r="35334" spans="7:7" ht="10.5" customHeight="1" x14ac:dyDescent="0.2">
      <c r="G35334" s="889"/>
    </row>
    <row r="35335" spans="7:7" ht="10.5" customHeight="1" x14ac:dyDescent="0.2">
      <c r="G35335" s="889"/>
    </row>
    <row r="35336" spans="7:7" ht="10.5" customHeight="1" x14ac:dyDescent="0.2">
      <c r="G35336" s="889"/>
    </row>
    <row r="35337" spans="7:7" ht="10.5" customHeight="1" x14ac:dyDescent="0.2">
      <c r="G35337" s="889"/>
    </row>
    <row r="35338" spans="7:7" ht="10.5" customHeight="1" x14ac:dyDescent="0.2">
      <c r="G35338" s="889"/>
    </row>
    <row r="35339" spans="7:7" ht="10.5" customHeight="1" x14ac:dyDescent="0.2">
      <c r="G35339" s="889"/>
    </row>
    <row r="35340" spans="7:7" ht="10.5" customHeight="1" x14ac:dyDescent="0.2">
      <c r="G35340" s="889"/>
    </row>
    <row r="35341" spans="7:7" ht="10.5" customHeight="1" x14ac:dyDescent="0.2">
      <c r="G35341" s="889"/>
    </row>
    <row r="35342" spans="7:7" ht="10.5" customHeight="1" x14ac:dyDescent="0.2">
      <c r="G35342" s="889"/>
    </row>
    <row r="35343" spans="7:7" ht="10.5" customHeight="1" x14ac:dyDescent="0.2">
      <c r="G35343" s="889"/>
    </row>
    <row r="35344" spans="7:7" ht="10.5" customHeight="1" x14ac:dyDescent="0.2">
      <c r="G35344" s="889"/>
    </row>
    <row r="35345" spans="7:7" ht="10.5" customHeight="1" x14ac:dyDescent="0.2">
      <c r="G35345" s="889"/>
    </row>
    <row r="35346" spans="7:7" ht="10.5" customHeight="1" x14ac:dyDescent="0.2">
      <c r="G35346" s="889"/>
    </row>
    <row r="35347" spans="7:7" ht="10.5" customHeight="1" x14ac:dyDescent="0.2">
      <c r="G35347" s="889"/>
    </row>
    <row r="35348" spans="7:7" ht="10.5" customHeight="1" x14ac:dyDescent="0.2">
      <c r="G35348" s="889"/>
    </row>
    <row r="35349" spans="7:7" ht="10.5" customHeight="1" x14ac:dyDescent="0.2">
      <c r="G35349" s="889"/>
    </row>
    <row r="35350" spans="7:7" ht="10.5" customHeight="1" x14ac:dyDescent="0.2">
      <c r="G35350" s="889"/>
    </row>
    <row r="35351" spans="7:7" ht="10.5" customHeight="1" x14ac:dyDescent="0.2">
      <c r="G35351" s="889"/>
    </row>
    <row r="35352" spans="7:7" ht="10.5" customHeight="1" x14ac:dyDescent="0.2">
      <c r="G35352" s="889"/>
    </row>
    <row r="35353" spans="7:7" ht="10.5" customHeight="1" x14ac:dyDescent="0.2">
      <c r="G35353" s="889"/>
    </row>
    <row r="35354" spans="7:7" ht="10.5" customHeight="1" x14ac:dyDescent="0.2">
      <c r="G35354" s="889"/>
    </row>
    <row r="35355" spans="7:7" ht="10.5" customHeight="1" x14ac:dyDescent="0.2">
      <c r="G35355" s="889"/>
    </row>
    <row r="35356" spans="7:7" ht="10.5" customHeight="1" x14ac:dyDescent="0.2">
      <c r="G35356" s="889"/>
    </row>
    <row r="35357" spans="7:7" ht="10.5" customHeight="1" x14ac:dyDescent="0.2">
      <c r="G35357" s="889"/>
    </row>
    <row r="35358" spans="7:7" ht="10.5" customHeight="1" x14ac:dyDescent="0.2">
      <c r="G35358" s="889"/>
    </row>
    <row r="35359" spans="7:7" ht="10.5" customHeight="1" x14ac:dyDescent="0.2">
      <c r="G35359" s="889"/>
    </row>
    <row r="35360" spans="7:7" ht="10.5" customHeight="1" x14ac:dyDescent="0.2">
      <c r="G35360" s="889"/>
    </row>
    <row r="35361" spans="7:7" ht="10.5" customHeight="1" x14ac:dyDescent="0.2">
      <c r="G35361" s="889"/>
    </row>
    <row r="35362" spans="7:7" ht="10.5" customHeight="1" x14ac:dyDescent="0.2">
      <c r="G35362" s="889"/>
    </row>
    <row r="35363" spans="7:7" ht="10.5" customHeight="1" x14ac:dyDescent="0.2">
      <c r="G35363" s="889"/>
    </row>
    <row r="35364" spans="7:7" ht="10.5" customHeight="1" x14ac:dyDescent="0.2">
      <c r="G35364" s="889"/>
    </row>
    <row r="35365" spans="7:7" ht="10.5" customHeight="1" x14ac:dyDescent="0.2">
      <c r="G35365" s="889"/>
    </row>
    <row r="35366" spans="7:7" ht="10.5" customHeight="1" x14ac:dyDescent="0.2">
      <c r="G35366" s="889"/>
    </row>
    <row r="35367" spans="7:7" ht="10.5" customHeight="1" x14ac:dyDescent="0.2">
      <c r="G35367" s="889"/>
    </row>
    <row r="35368" spans="7:7" ht="10.5" customHeight="1" x14ac:dyDescent="0.2">
      <c r="G35368" s="889"/>
    </row>
    <row r="35369" spans="7:7" ht="10.5" customHeight="1" x14ac:dyDescent="0.2">
      <c r="G35369" s="889"/>
    </row>
    <row r="35370" spans="7:7" ht="10.5" customHeight="1" x14ac:dyDescent="0.2">
      <c r="G35370" s="889"/>
    </row>
    <row r="35371" spans="7:7" ht="10.5" customHeight="1" x14ac:dyDescent="0.2">
      <c r="G35371" s="889"/>
    </row>
    <row r="35372" spans="7:7" ht="10.5" customHeight="1" x14ac:dyDescent="0.2">
      <c r="G35372" s="889"/>
    </row>
    <row r="35373" spans="7:7" ht="10.5" customHeight="1" x14ac:dyDescent="0.2">
      <c r="G35373" s="889"/>
    </row>
    <row r="35374" spans="7:7" ht="10.5" customHeight="1" x14ac:dyDescent="0.2">
      <c r="G35374" s="889"/>
    </row>
    <row r="35375" spans="7:7" ht="10.5" customHeight="1" x14ac:dyDescent="0.2">
      <c r="G35375" s="889"/>
    </row>
    <row r="35376" spans="7:7" ht="10.5" customHeight="1" x14ac:dyDescent="0.2">
      <c r="G35376" s="889"/>
    </row>
    <row r="35377" spans="7:7" ht="10.5" customHeight="1" x14ac:dyDescent="0.2">
      <c r="G35377" s="889"/>
    </row>
    <row r="35378" spans="7:7" ht="10.5" customHeight="1" x14ac:dyDescent="0.2">
      <c r="G35378" s="889"/>
    </row>
    <row r="35379" spans="7:7" ht="10.5" customHeight="1" x14ac:dyDescent="0.2">
      <c r="G35379" s="889"/>
    </row>
    <row r="35380" spans="7:7" ht="10.5" customHeight="1" x14ac:dyDescent="0.2">
      <c r="G35380" s="889"/>
    </row>
    <row r="35381" spans="7:7" ht="10.5" customHeight="1" x14ac:dyDescent="0.2">
      <c r="G35381" s="889"/>
    </row>
    <row r="35382" spans="7:7" ht="10.5" customHeight="1" x14ac:dyDescent="0.2">
      <c r="G35382" s="889"/>
    </row>
    <row r="35383" spans="7:7" ht="10.5" customHeight="1" x14ac:dyDescent="0.2">
      <c r="G35383" s="889"/>
    </row>
    <row r="35384" spans="7:7" ht="10.5" customHeight="1" x14ac:dyDescent="0.2">
      <c r="G35384" s="889"/>
    </row>
    <row r="35385" spans="7:7" ht="10.5" customHeight="1" x14ac:dyDescent="0.2">
      <c r="G35385" s="889"/>
    </row>
    <row r="35386" spans="7:7" ht="10.5" customHeight="1" x14ac:dyDescent="0.2">
      <c r="G35386" s="889"/>
    </row>
    <row r="35387" spans="7:7" ht="10.5" customHeight="1" x14ac:dyDescent="0.2">
      <c r="G35387" s="889"/>
    </row>
    <row r="35388" spans="7:7" ht="10.5" customHeight="1" x14ac:dyDescent="0.2">
      <c r="G35388" s="889"/>
    </row>
    <row r="35389" spans="7:7" ht="10.5" customHeight="1" x14ac:dyDescent="0.2">
      <c r="G35389" s="889"/>
    </row>
    <row r="35390" spans="7:7" ht="10.5" customHeight="1" x14ac:dyDescent="0.2">
      <c r="G35390" s="889"/>
    </row>
    <row r="35391" spans="7:7" ht="10.5" customHeight="1" x14ac:dyDescent="0.2">
      <c r="G35391" s="889"/>
    </row>
    <row r="35392" spans="7:7" ht="10.5" customHeight="1" x14ac:dyDescent="0.2">
      <c r="G35392" s="889"/>
    </row>
    <row r="35393" spans="7:7" ht="10.5" customHeight="1" x14ac:dyDescent="0.2">
      <c r="G35393" s="889"/>
    </row>
    <row r="35394" spans="7:7" ht="10.5" customHeight="1" x14ac:dyDescent="0.2">
      <c r="G35394" s="889"/>
    </row>
    <row r="35395" spans="7:7" ht="10.5" customHeight="1" x14ac:dyDescent="0.2">
      <c r="G35395" s="889"/>
    </row>
    <row r="35396" spans="7:7" ht="10.5" customHeight="1" x14ac:dyDescent="0.2">
      <c r="G35396" s="889"/>
    </row>
    <row r="35397" spans="7:7" ht="10.5" customHeight="1" x14ac:dyDescent="0.2">
      <c r="G35397" s="889"/>
    </row>
    <row r="35398" spans="7:7" ht="10.5" customHeight="1" x14ac:dyDescent="0.2">
      <c r="G35398" s="889"/>
    </row>
    <row r="35399" spans="7:7" ht="10.5" customHeight="1" x14ac:dyDescent="0.2">
      <c r="G35399" s="889"/>
    </row>
    <row r="35400" spans="7:7" ht="10.5" customHeight="1" x14ac:dyDescent="0.2">
      <c r="G35400" s="889"/>
    </row>
    <row r="35401" spans="7:7" ht="10.5" customHeight="1" x14ac:dyDescent="0.2">
      <c r="G35401" s="889"/>
    </row>
    <row r="35402" spans="7:7" ht="10.5" customHeight="1" x14ac:dyDescent="0.2">
      <c r="G35402" s="889"/>
    </row>
    <row r="35403" spans="7:7" ht="10.5" customHeight="1" x14ac:dyDescent="0.2">
      <c r="G35403" s="889"/>
    </row>
    <row r="35404" spans="7:7" ht="10.5" customHeight="1" x14ac:dyDescent="0.2">
      <c r="G35404" s="889"/>
    </row>
    <row r="35405" spans="7:7" ht="10.5" customHeight="1" x14ac:dyDescent="0.2">
      <c r="G35405" s="889"/>
    </row>
    <row r="35406" spans="7:7" ht="10.5" customHeight="1" x14ac:dyDescent="0.2">
      <c r="G35406" s="889"/>
    </row>
    <row r="35407" spans="7:7" ht="10.5" customHeight="1" x14ac:dyDescent="0.2">
      <c r="G35407" s="889"/>
    </row>
    <row r="35408" spans="7:7" ht="10.5" customHeight="1" x14ac:dyDescent="0.2">
      <c r="G35408" s="889"/>
    </row>
    <row r="35409" spans="7:7" ht="10.5" customHeight="1" x14ac:dyDescent="0.2">
      <c r="G35409" s="889"/>
    </row>
    <row r="35410" spans="7:7" ht="10.5" customHeight="1" x14ac:dyDescent="0.2">
      <c r="G35410" s="889"/>
    </row>
    <row r="35411" spans="7:7" ht="10.5" customHeight="1" x14ac:dyDescent="0.2">
      <c r="G35411" s="889"/>
    </row>
    <row r="35412" spans="7:7" ht="10.5" customHeight="1" x14ac:dyDescent="0.2">
      <c r="G35412" s="889"/>
    </row>
    <row r="35413" spans="7:7" ht="10.5" customHeight="1" x14ac:dyDescent="0.2">
      <c r="G35413" s="889"/>
    </row>
    <row r="35414" spans="7:7" ht="10.5" customHeight="1" x14ac:dyDescent="0.2">
      <c r="G35414" s="889"/>
    </row>
    <row r="35415" spans="7:7" ht="10.5" customHeight="1" x14ac:dyDescent="0.2">
      <c r="G35415" s="889"/>
    </row>
    <row r="35416" spans="7:7" ht="10.5" customHeight="1" x14ac:dyDescent="0.2">
      <c r="G35416" s="889"/>
    </row>
    <row r="35417" spans="7:7" ht="10.5" customHeight="1" x14ac:dyDescent="0.2">
      <c r="G35417" s="889"/>
    </row>
    <row r="35418" spans="7:7" ht="10.5" customHeight="1" x14ac:dyDescent="0.2">
      <c r="G35418" s="889"/>
    </row>
    <row r="35419" spans="7:7" ht="10.5" customHeight="1" x14ac:dyDescent="0.2">
      <c r="G35419" s="889"/>
    </row>
    <row r="35420" spans="7:7" ht="10.5" customHeight="1" x14ac:dyDescent="0.2">
      <c r="G35420" s="889"/>
    </row>
    <row r="35421" spans="7:7" ht="10.5" customHeight="1" x14ac:dyDescent="0.2">
      <c r="G35421" s="889"/>
    </row>
    <row r="35422" spans="7:7" ht="10.5" customHeight="1" x14ac:dyDescent="0.2">
      <c r="G35422" s="889"/>
    </row>
    <row r="35423" spans="7:7" ht="10.5" customHeight="1" x14ac:dyDescent="0.2">
      <c r="G35423" s="889"/>
    </row>
    <row r="35424" spans="7:7" ht="10.5" customHeight="1" x14ac:dyDescent="0.2">
      <c r="G35424" s="889"/>
    </row>
    <row r="35425" spans="7:7" ht="10.5" customHeight="1" x14ac:dyDescent="0.2">
      <c r="G35425" s="889"/>
    </row>
    <row r="35426" spans="7:7" ht="10.5" customHeight="1" x14ac:dyDescent="0.2">
      <c r="G35426" s="889"/>
    </row>
    <row r="35427" spans="7:7" ht="10.5" customHeight="1" x14ac:dyDescent="0.2">
      <c r="G35427" s="889"/>
    </row>
    <row r="35428" spans="7:7" ht="10.5" customHeight="1" x14ac:dyDescent="0.2">
      <c r="G35428" s="889"/>
    </row>
    <row r="35429" spans="7:7" ht="10.5" customHeight="1" x14ac:dyDescent="0.2">
      <c r="G35429" s="889"/>
    </row>
    <row r="35430" spans="7:7" ht="10.5" customHeight="1" x14ac:dyDescent="0.2">
      <c r="G35430" s="889"/>
    </row>
    <row r="35431" spans="7:7" ht="10.5" customHeight="1" x14ac:dyDescent="0.2">
      <c r="G35431" s="889"/>
    </row>
    <row r="35432" spans="7:7" ht="10.5" customHeight="1" x14ac:dyDescent="0.2">
      <c r="G35432" s="889"/>
    </row>
    <row r="35433" spans="7:7" ht="10.5" customHeight="1" x14ac:dyDescent="0.2">
      <c r="G35433" s="889"/>
    </row>
    <row r="35434" spans="7:7" ht="10.5" customHeight="1" x14ac:dyDescent="0.2">
      <c r="G35434" s="889"/>
    </row>
    <row r="35435" spans="7:7" ht="10.5" customHeight="1" x14ac:dyDescent="0.2">
      <c r="G35435" s="889"/>
    </row>
    <row r="35436" spans="7:7" ht="10.5" customHeight="1" x14ac:dyDescent="0.2">
      <c r="G35436" s="889"/>
    </row>
    <row r="35437" spans="7:7" ht="10.5" customHeight="1" x14ac:dyDescent="0.2">
      <c r="G35437" s="889"/>
    </row>
    <row r="35438" spans="7:7" ht="10.5" customHeight="1" x14ac:dyDescent="0.2">
      <c r="G35438" s="889"/>
    </row>
    <row r="35439" spans="7:7" ht="10.5" customHeight="1" x14ac:dyDescent="0.2">
      <c r="G35439" s="889"/>
    </row>
    <row r="35440" spans="7:7" ht="10.5" customHeight="1" x14ac:dyDescent="0.2">
      <c r="G35440" s="889"/>
    </row>
    <row r="35441" spans="7:7" ht="10.5" customHeight="1" x14ac:dyDescent="0.2">
      <c r="G35441" s="889"/>
    </row>
    <row r="35442" spans="7:7" ht="10.5" customHeight="1" x14ac:dyDescent="0.2">
      <c r="G35442" s="889"/>
    </row>
    <row r="35443" spans="7:7" ht="10.5" customHeight="1" x14ac:dyDescent="0.2">
      <c r="G35443" s="889"/>
    </row>
    <row r="35444" spans="7:7" ht="10.5" customHeight="1" x14ac:dyDescent="0.2">
      <c r="G35444" s="889"/>
    </row>
    <row r="35445" spans="7:7" ht="10.5" customHeight="1" x14ac:dyDescent="0.2">
      <c r="G35445" s="889"/>
    </row>
    <row r="35446" spans="7:7" ht="10.5" customHeight="1" x14ac:dyDescent="0.2">
      <c r="G35446" s="889"/>
    </row>
    <row r="35447" spans="7:7" ht="10.5" customHeight="1" x14ac:dyDescent="0.2">
      <c r="G35447" s="889"/>
    </row>
    <row r="35448" spans="7:7" ht="10.5" customHeight="1" x14ac:dyDescent="0.2">
      <c r="G35448" s="889"/>
    </row>
    <row r="35449" spans="7:7" ht="10.5" customHeight="1" x14ac:dyDescent="0.2">
      <c r="G35449" s="889"/>
    </row>
    <row r="35450" spans="7:7" ht="10.5" customHeight="1" x14ac:dyDescent="0.2">
      <c r="G35450" s="889"/>
    </row>
    <row r="35451" spans="7:7" ht="10.5" customHeight="1" x14ac:dyDescent="0.2">
      <c r="G35451" s="889"/>
    </row>
    <row r="35452" spans="7:7" ht="10.5" customHeight="1" x14ac:dyDescent="0.2">
      <c r="G35452" s="889"/>
    </row>
    <row r="35453" spans="7:7" ht="10.5" customHeight="1" x14ac:dyDescent="0.2">
      <c r="G35453" s="889"/>
    </row>
    <row r="35454" spans="7:7" ht="10.5" customHeight="1" x14ac:dyDescent="0.2">
      <c r="G35454" s="889"/>
    </row>
    <row r="35455" spans="7:7" ht="10.5" customHeight="1" x14ac:dyDescent="0.2">
      <c r="G35455" s="889"/>
    </row>
    <row r="35456" spans="7:7" ht="10.5" customHeight="1" x14ac:dyDescent="0.2">
      <c r="G35456" s="889"/>
    </row>
    <row r="35457" spans="7:7" ht="10.5" customHeight="1" x14ac:dyDescent="0.2">
      <c r="G35457" s="889"/>
    </row>
    <row r="35458" spans="7:7" ht="10.5" customHeight="1" x14ac:dyDescent="0.2">
      <c r="G35458" s="889"/>
    </row>
    <row r="35459" spans="7:7" ht="10.5" customHeight="1" x14ac:dyDescent="0.2">
      <c r="G35459" s="889"/>
    </row>
    <row r="35460" spans="7:7" ht="10.5" customHeight="1" x14ac:dyDescent="0.2">
      <c r="G35460" s="889"/>
    </row>
    <row r="35461" spans="7:7" ht="10.5" customHeight="1" x14ac:dyDescent="0.2">
      <c r="G35461" s="889"/>
    </row>
    <row r="35462" spans="7:7" ht="10.5" customHeight="1" x14ac:dyDescent="0.2">
      <c r="G35462" s="889"/>
    </row>
    <row r="35463" spans="7:7" ht="10.5" customHeight="1" x14ac:dyDescent="0.2">
      <c r="G35463" s="889"/>
    </row>
    <row r="35464" spans="7:7" ht="10.5" customHeight="1" x14ac:dyDescent="0.2">
      <c r="G35464" s="889"/>
    </row>
    <row r="35465" spans="7:7" ht="10.5" customHeight="1" x14ac:dyDescent="0.2">
      <c r="G35465" s="889"/>
    </row>
    <row r="35466" spans="7:7" ht="10.5" customHeight="1" x14ac:dyDescent="0.2">
      <c r="G35466" s="889"/>
    </row>
    <row r="35467" spans="7:7" ht="10.5" customHeight="1" x14ac:dyDescent="0.2">
      <c r="G35467" s="889"/>
    </row>
    <row r="35468" spans="7:7" ht="10.5" customHeight="1" x14ac:dyDescent="0.2">
      <c r="G35468" s="889"/>
    </row>
    <row r="35469" spans="7:7" ht="10.5" customHeight="1" x14ac:dyDescent="0.2">
      <c r="G35469" s="889"/>
    </row>
    <row r="35470" spans="7:7" ht="10.5" customHeight="1" x14ac:dyDescent="0.2">
      <c r="G35470" s="889"/>
    </row>
    <row r="35471" spans="7:7" ht="10.5" customHeight="1" x14ac:dyDescent="0.2">
      <c r="G35471" s="889"/>
    </row>
    <row r="35472" spans="7:7" ht="10.5" customHeight="1" x14ac:dyDescent="0.2">
      <c r="G35472" s="889"/>
    </row>
    <row r="35473" spans="7:7" ht="10.5" customHeight="1" x14ac:dyDescent="0.2">
      <c r="G35473" s="889"/>
    </row>
    <row r="35474" spans="7:7" ht="10.5" customHeight="1" x14ac:dyDescent="0.2">
      <c r="G35474" s="889"/>
    </row>
    <row r="35475" spans="7:7" ht="10.5" customHeight="1" x14ac:dyDescent="0.2">
      <c r="G35475" s="889"/>
    </row>
    <row r="35476" spans="7:7" ht="10.5" customHeight="1" x14ac:dyDescent="0.2">
      <c r="G35476" s="889"/>
    </row>
    <row r="35477" spans="7:7" ht="10.5" customHeight="1" x14ac:dyDescent="0.2">
      <c r="G35477" s="889"/>
    </row>
    <row r="35478" spans="7:7" ht="10.5" customHeight="1" x14ac:dyDescent="0.2">
      <c r="G35478" s="889"/>
    </row>
    <row r="35479" spans="7:7" ht="10.5" customHeight="1" x14ac:dyDescent="0.2">
      <c r="G35479" s="889"/>
    </row>
    <row r="35480" spans="7:7" ht="10.5" customHeight="1" x14ac:dyDescent="0.2">
      <c r="G35480" s="889"/>
    </row>
    <row r="35481" spans="7:7" ht="10.5" customHeight="1" x14ac:dyDescent="0.2">
      <c r="G35481" s="889"/>
    </row>
    <row r="35482" spans="7:7" ht="10.5" customHeight="1" x14ac:dyDescent="0.2">
      <c r="G35482" s="889"/>
    </row>
    <row r="35483" spans="7:7" ht="10.5" customHeight="1" x14ac:dyDescent="0.2">
      <c r="G35483" s="889"/>
    </row>
    <row r="35484" spans="7:7" ht="10.5" customHeight="1" x14ac:dyDescent="0.2">
      <c r="G35484" s="889"/>
    </row>
    <row r="35485" spans="7:7" ht="10.5" customHeight="1" x14ac:dyDescent="0.2">
      <c r="G35485" s="889"/>
    </row>
    <row r="35486" spans="7:7" ht="10.5" customHeight="1" x14ac:dyDescent="0.2">
      <c r="G35486" s="889"/>
    </row>
    <row r="35487" spans="7:7" ht="10.5" customHeight="1" x14ac:dyDescent="0.2">
      <c r="G35487" s="889"/>
    </row>
    <row r="35488" spans="7:7" ht="10.5" customHeight="1" x14ac:dyDescent="0.2">
      <c r="G35488" s="889"/>
    </row>
    <row r="35489" spans="7:7" ht="10.5" customHeight="1" x14ac:dyDescent="0.2">
      <c r="G35489" s="889"/>
    </row>
    <row r="35490" spans="7:7" ht="10.5" customHeight="1" x14ac:dyDescent="0.2">
      <c r="G35490" s="889"/>
    </row>
    <row r="35491" spans="7:7" ht="10.5" customHeight="1" x14ac:dyDescent="0.2">
      <c r="G35491" s="889"/>
    </row>
    <row r="35492" spans="7:7" ht="10.5" customHeight="1" x14ac:dyDescent="0.2">
      <c r="G35492" s="889"/>
    </row>
    <row r="35493" spans="7:7" ht="10.5" customHeight="1" x14ac:dyDescent="0.2">
      <c r="G35493" s="889"/>
    </row>
    <row r="35494" spans="7:7" ht="10.5" customHeight="1" x14ac:dyDescent="0.2">
      <c r="G35494" s="889"/>
    </row>
    <row r="35495" spans="7:7" ht="10.5" customHeight="1" x14ac:dyDescent="0.2">
      <c r="G35495" s="889"/>
    </row>
    <row r="35496" spans="7:7" ht="10.5" customHeight="1" x14ac:dyDescent="0.2">
      <c r="G35496" s="889"/>
    </row>
    <row r="35497" spans="7:7" ht="10.5" customHeight="1" x14ac:dyDescent="0.2">
      <c r="G35497" s="889"/>
    </row>
    <row r="35498" spans="7:7" ht="10.5" customHeight="1" x14ac:dyDescent="0.2">
      <c r="G35498" s="889"/>
    </row>
    <row r="35499" spans="7:7" ht="10.5" customHeight="1" x14ac:dyDescent="0.2">
      <c r="G35499" s="889"/>
    </row>
    <row r="35500" spans="7:7" ht="10.5" customHeight="1" x14ac:dyDescent="0.2">
      <c r="G35500" s="889"/>
    </row>
    <row r="35501" spans="7:7" ht="10.5" customHeight="1" x14ac:dyDescent="0.2">
      <c r="G35501" s="889"/>
    </row>
    <row r="35502" spans="7:7" ht="10.5" customHeight="1" x14ac:dyDescent="0.2">
      <c r="G35502" s="889"/>
    </row>
    <row r="35503" spans="7:7" ht="10.5" customHeight="1" x14ac:dyDescent="0.2">
      <c r="G35503" s="889"/>
    </row>
    <row r="35504" spans="7:7" ht="10.5" customHeight="1" x14ac:dyDescent="0.2">
      <c r="G35504" s="889"/>
    </row>
    <row r="35505" spans="7:7" ht="10.5" customHeight="1" x14ac:dyDescent="0.2">
      <c r="G35505" s="889"/>
    </row>
    <row r="35506" spans="7:7" ht="10.5" customHeight="1" x14ac:dyDescent="0.2">
      <c r="G35506" s="889"/>
    </row>
    <row r="35507" spans="7:7" ht="10.5" customHeight="1" x14ac:dyDescent="0.2">
      <c r="G35507" s="889"/>
    </row>
    <row r="35508" spans="7:7" ht="10.5" customHeight="1" x14ac:dyDescent="0.2">
      <c r="G35508" s="889"/>
    </row>
    <row r="35509" spans="7:7" ht="10.5" customHeight="1" x14ac:dyDescent="0.2">
      <c r="G35509" s="889"/>
    </row>
    <row r="35510" spans="7:7" ht="10.5" customHeight="1" x14ac:dyDescent="0.2">
      <c r="G35510" s="889"/>
    </row>
    <row r="35511" spans="7:7" ht="10.5" customHeight="1" x14ac:dyDescent="0.2">
      <c r="G35511" s="889"/>
    </row>
    <row r="35512" spans="7:7" ht="10.5" customHeight="1" x14ac:dyDescent="0.2">
      <c r="G35512" s="889"/>
    </row>
    <row r="35513" spans="7:7" ht="10.5" customHeight="1" x14ac:dyDescent="0.2">
      <c r="G35513" s="889"/>
    </row>
    <row r="35514" spans="7:7" ht="10.5" customHeight="1" x14ac:dyDescent="0.2">
      <c r="G35514" s="889"/>
    </row>
    <row r="35515" spans="7:7" ht="10.5" customHeight="1" x14ac:dyDescent="0.2">
      <c r="G35515" s="889"/>
    </row>
    <row r="35516" spans="7:7" ht="10.5" customHeight="1" x14ac:dyDescent="0.2">
      <c r="G35516" s="889"/>
    </row>
    <row r="35517" spans="7:7" ht="10.5" customHeight="1" x14ac:dyDescent="0.2">
      <c r="G35517" s="889"/>
    </row>
    <row r="35518" spans="7:7" ht="10.5" customHeight="1" x14ac:dyDescent="0.2">
      <c r="G35518" s="889"/>
    </row>
    <row r="35519" spans="7:7" ht="10.5" customHeight="1" x14ac:dyDescent="0.2">
      <c r="G35519" s="889"/>
    </row>
    <row r="35520" spans="7:7" ht="10.5" customHeight="1" x14ac:dyDescent="0.2">
      <c r="G35520" s="889"/>
    </row>
    <row r="35521" spans="7:7" ht="10.5" customHeight="1" x14ac:dyDescent="0.2">
      <c r="G35521" s="889"/>
    </row>
    <row r="35522" spans="7:7" ht="10.5" customHeight="1" x14ac:dyDescent="0.2">
      <c r="G35522" s="889"/>
    </row>
    <row r="35523" spans="7:7" ht="10.5" customHeight="1" x14ac:dyDescent="0.2">
      <c r="G35523" s="889"/>
    </row>
    <row r="35524" spans="7:7" ht="10.5" customHeight="1" x14ac:dyDescent="0.2">
      <c r="G35524" s="889"/>
    </row>
    <row r="35525" spans="7:7" ht="10.5" customHeight="1" x14ac:dyDescent="0.2">
      <c r="G35525" s="889"/>
    </row>
    <row r="35526" spans="7:7" ht="10.5" customHeight="1" x14ac:dyDescent="0.2">
      <c r="G35526" s="889"/>
    </row>
    <row r="35527" spans="7:7" ht="10.5" customHeight="1" x14ac:dyDescent="0.2">
      <c r="G35527" s="889"/>
    </row>
    <row r="35528" spans="7:7" ht="10.5" customHeight="1" x14ac:dyDescent="0.2">
      <c r="G35528" s="889"/>
    </row>
    <row r="35529" spans="7:7" ht="10.5" customHeight="1" x14ac:dyDescent="0.2">
      <c r="G35529" s="889"/>
    </row>
    <row r="35530" spans="7:7" ht="10.5" customHeight="1" x14ac:dyDescent="0.2">
      <c r="G35530" s="889"/>
    </row>
    <row r="35531" spans="7:7" ht="10.5" customHeight="1" x14ac:dyDescent="0.2">
      <c r="G35531" s="889"/>
    </row>
    <row r="35532" spans="7:7" ht="10.5" customHeight="1" x14ac:dyDescent="0.2">
      <c r="G35532" s="889"/>
    </row>
    <row r="35533" spans="7:7" ht="10.5" customHeight="1" x14ac:dyDescent="0.2">
      <c r="G35533" s="889"/>
    </row>
    <row r="35534" spans="7:7" ht="10.5" customHeight="1" x14ac:dyDescent="0.2">
      <c r="G35534" s="889"/>
    </row>
    <row r="35535" spans="7:7" ht="10.5" customHeight="1" x14ac:dyDescent="0.2">
      <c r="G35535" s="889"/>
    </row>
    <row r="35536" spans="7:7" ht="10.5" customHeight="1" x14ac:dyDescent="0.2">
      <c r="G35536" s="889"/>
    </row>
    <row r="35537" spans="7:7" ht="10.5" customHeight="1" x14ac:dyDescent="0.2">
      <c r="G35537" s="889"/>
    </row>
    <row r="35538" spans="7:7" ht="10.5" customHeight="1" x14ac:dyDescent="0.2">
      <c r="G35538" s="889"/>
    </row>
    <row r="35539" spans="7:7" ht="10.5" customHeight="1" x14ac:dyDescent="0.2">
      <c r="G35539" s="889"/>
    </row>
    <row r="35540" spans="7:7" ht="10.5" customHeight="1" x14ac:dyDescent="0.2">
      <c r="G35540" s="889"/>
    </row>
    <row r="35541" spans="7:7" ht="10.5" customHeight="1" x14ac:dyDescent="0.2">
      <c r="G35541" s="889"/>
    </row>
    <row r="35542" spans="7:7" ht="10.5" customHeight="1" x14ac:dyDescent="0.2">
      <c r="G35542" s="889"/>
    </row>
    <row r="35543" spans="7:7" ht="10.5" customHeight="1" x14ac:dyDescent="0.2">
      <c r="G35543" s="889"/>
    </row>
    <row r="35544" spans="7:7" ht="10.5" customHeight="1" x14ac:dyDescent="0.2">
      <c r="G35544" s="889"/>
    </row>
    <row r="35545" spans="7:7" ht="10.5" customHeight="1" x14ac:dyDescent="0.2">
      <c r="G35545" s="889"/>
    </row>
    <row r="35546" spans="7:7" ht="10.5" customHeight="1" x14ac:dyDescent="0.2">
      <c r="G35546" s="889"/>
    </row>
    <row r="35547" spans="7:7" ht="10.5" customHeight="1" x14ac:dyDescent="0.2">
      <c r="G35547" s="889"/>
    </row>
    <row r="35548" spans="7:7" ht="10.5" customHeight="1" x14ac:dyDescent="0.2">
      <c r="G35548" s="889"/>
    </row>
    <row r="35549" spans="7:7" ht="10.5" customHeight="1" x14ac:dyDescent="0.2">
      <c r="G35549" s="889"/>
    </row>
    <row r="35550" spans="7:7" ht="10.5" customHeight="1" x14ac:dyDescent="0.2">
      <c r="G35550" s="889"/>
    </row>
    <row r="35551" spans="7:7" ht="10.5" customHeight="1" x14ac:dyDescent="0.2">
      <c r="G35551" s="889"/>
    </row>
    <row r="35552" spans="7:7" ht="10.5" customHeight="1" x14ac:dyDescent="0.2">
      <c r="G35552" s="889"/>
    </row>
    <row r="35553" spans="7:7" ht="10.5" customHeight="1" x14ac:dyDescent="0.2">
      <c r="G35553" s="889"/>
    </row>
    <row r="35554" spans="7:7" ht="10.5" customHeight="1" x14ac:dyDescent="0.2">
      <c r="G35554" s="889"/>
    </row>
    <row r="35555" spans="7:7" ht="10.5" customHeight="1" x14ac:dyDescent="0.2">
      <c r="G35555" s="889"/>
    </row>
    <row r="35556" spans="7:7" ht="10.5" customHeight="1" x14ac:dyDescent="0.2">
      <c r="G35556" s="889"/>
    </row>
    <row r="35557" spans="7:7" ht="10.5" customHeight="1" x14ac:dyDescent="0.2">
      <c r="G35557" s="889"/>
    </row>
    <row r="35558" spans="7:7" ht="10.5" customHeight="1" x14ac:dyDescent="0.2">
      <c r="G35558" s="889"/>
    </row>
    <row r="35559" spans="7:7" ht="10.5" customHeight="1" x14ac:dyDescent="0.2">
      <c r="G35559" s="889"/>
    </row>
    <row r="35560" spans="7:7" ht="10.5" customHeight="1" x14ac:dyDescent="0.2">
      <c r="G35560" s="889"/>
    </row>
    <row r="35561" spans="7:7" ht="10.5" customHeight="1" x14ac:dyDescent="0.2">
      <c r="G35561" s="889"/>
    </row>
    <row r="35562" spans="7:7" ht="10.5" customHeight="1" x14ac:dyDescent="0.2">
      <c r="G35562" s="889"/>
    </row>
    <row r="35563" spans="7:7" ht="10.5" customHeight="1" x14ac:dyDescent="0.2">
      <c r="G35563" s="889"/>
    </row>
    <row r="35564" spans="7:7" ht="10.5" customHeight="1" x14ac:dyDescent="0.2">
      <c r="G35564" s="889"/>
    </row>
    <row r="35565" spans="7:7" ht="10.5" customHeight="1" x14ac:dyDescent="0.2">
      <c r="G35565" s="889"/>
    </row>
    <row r="35566" spans="7:7" ht="10.5" customHeight="1" x14ac:dyDescent="0.2">
      <c r="G35566" s="889"/>
    </row>
    <row r="35567" spans="7:7" ht="10.5" customHeight="1" x14ac:dyDescent="0.2">
      <c r="G35567" s="889"/>
    </row>
    <row r="35568" spans="7:7" ht="10.5" customHeight="1" x14ac:dyDescent="0.2">
      <c r="G35568" s="889"/>
    </row>
    <row r="35569" spans="7:7" ht="10.5" customHeight="1" x14ac:dyDescent="0.2">
      <c r="G35569" s="889"/>
    </row>
    <row r="35570" spans="7:7" ht="10.5" customHeight="1" x14ac:dyDescent="0.2">
      <c r="G35570" s="889"/>
    </row>
    <row r="35571" spans="7:7" ht="10.5" customHeight="1" x14ac:dyDescent="0.2">
      <c r="G35571" s="889"/>
    </row>
    <row r="35572" spans="7:7" ht="10.5" customHeight="1" x14ac:dyDescent="0.2">
      <c r="G35572" s="889"/>
    </row>
    <row r="35573" spans="7:7" ht="10.5" customHeight="1" x14ac:dyDescent="0.2">
      <c r="G35573" s="889"/>
    </row>
    <row r="35574" spans="7:7" ht="10.5" customHeight="1" x14ac:dyDescent="0.2">
      <c r="G35574" s="889"/>
    </row>
    <row r="35575" spans="7:7" ht="10.5" customHeight="1" x14ac:dyDescent="0.2">
      <c r="G35575" s="889"/>
    </row>
    <row r="35576" spans="7:7" ht="10.5" customHeight="1" x14ac:dyDescent="0.2">
      <c r="G35576" s="889"/>
    </row>
    <row r="35577" spans="7:7" ht="10.5" customHeight="1" x14ac:dyDescent="0.2">
      <c r="G35577" s="889"/>
    </row>
    <row r="35578" spans="7:7" ht="10.5" customHeight="1" x14ac:dyDescent="0.2">
      <c r="G35578" s="889"/>
    </row>
    <row r="35579" spans="7:7" ht="10.5" customHeight="1" x14ac:dyDescent="0.2">
      <c r="G35579" s="889"/>
    </row>
    <row r="35580" spans="7:7" ht="10.5" customHeight="1" x14ac:dyDescent="0.2">
      <c r="G35580" s="889"/>
    </row>
    <row r="35581" spans="7:7" ht="10.5" customHeight="1" x14ac:dyDescent="0.2">
      <c r="G35581" s="889"/>
    </row>
    <row r="35582" spans="7:7" ht="10.5" customHeight="1" x14ac:dyDescent="0.2">
      <c r="G35582" s="889"/>
    </row>
    <row r="35583" spans="7:7" ht="10.5" customHeight="1" x14ac:dyDescent="0.2">
      <c r="G35583" s="889"/>
    </row>
    <row r="35584" spans="7:7" ht="10.5" customHeight="1" x14ac:dyDescent="0.2">
      <c r="G35584" s="889"/>
    </row>
    <row r="35585" spans="7:7" ht="10.5" customHeight="1" x14ac:dyDescent="0.2">
      <c r="G35585" s="889"/>
    </row>
    <row r="35586" spans="7:7" ht="10.5" customHeight="1" x14ac:dyDescent="0.2">
      <c r="G35586" s="889"/>
    </row>
    <row r="35587" spans="7:7" ht="10.5" customHeight="1" x14ac:dyDescent="0.2">
      <c r="G35587" s="889"/>
    </row>
    <row r="35588" spans="7:7" ht="10.5" customHeight="1" x14ac:dyDescent="0.2">
      <c r="G35588" s="889"/>
    </row>
    <row r="35589" spans="7:7" ht="10.5" customHeight="1" x14ac:dyDescent="0.2">
      <c r="G35589" s="889"/>
    </row>
    <row r="35590" spans="7:7" ht="10.5" customHeight="1" x14ac:dyDescent="0.2">
      <c r="G35590" s="889"/>
    </row>
    <row r="35591" spans="7:7" ht="10.5" customHeight="1" x14ac:dyDescent="0.2">
      <c r="G35591" s="889"/>
    </row>
    <row r="35592" spans="7:7" ht="10.5" customHeight="1" x14ac:dyDescent="0.2">
      <c r="G35592" s="889"/>
    </row>
    <row r="35593" spans="7:7" ht="10.5" customHeight="1" x14ac:dyDescent="0.2">
      <c r="G35593" s="889"/>
    </row>
    <row r="35594" spans="7:7" ht="10.5" customHeight="1" x14ac:dyDescent="0.2">
      <c r="G35594" s="889"/>
    </row>
    <row r="35595" spans="7:7" ht="10.5" customHeight="1" x14ac:dyDescent="0.2">
      <c r="G35595" s="889"/>
    </row>
    <row r="35596" spans="7:7" ht="10.5" customHeight="1" x14ac:dyDescent="0.2">
      <c r="G35596" s="889"/>
    </row>
    <row r="35597" spans="7:7" ht="10.5" customHeight="1" x14ac:dyDescent="0.2">
      <c r="G35597" s="889"/>
    </row>
    <row r="35598" spans="7:7" ht="10.5" customHeight="1" x14ac:dyDescent="0.2">
      <c r="G35598" s="889"/>
    </row>
    <row r="35599" spans="7:7" ht="10.5" customHeight="1" x14ac:dyDescent="0.2">
      <c r="G35599" s="889"/>
    </row>
    <row r="35600" spans="7:7" ht="10.5" customHeight="1" x14ac:dyDescent="0.2">
      <c r="G35600" s="889"/>
    </row>
    <row r="35601" spans="7:7" ht="10.5" customHeight="1" x14ac:dyDescent="0.2">
      <c r="G35601" s="889"/>
    </row>
    <row r="35602" spans="7:7" ht="10.5" customHeight="1" x14ac:dyDescent="0.2">
      <c r="G35602" s="889"/>
    </row>
    <row r="35603" spans="7:7" ht="10.5" customHeight="1" x14ac:dyDescent="0.2">
      <c r="G35603" s="889"/>
    </row>
    <row r="35604" spans="7:7" ht="10.5" customHeight="1" x14ac:dyDescent="0.2">
      <c r="G35604" s="889"/>
    </row>
    <row r="35605" spans="7:7" ht="10.5" customHeight="1" x14ac:dyDescent="0.2">
      <c r="G35605" s="889"/>
    </row>
    <row r="35606" spans="7:7" ht="10.5" customHeight="1" x14ac:dyDescent="0.2">
      <c r="G35606" s="889"/>
    </row>
    <row r="35607" spans="7:7" ht="10.5" customHeight="1" x14ac:dyDescent="0.2">
      <c r="G35607" s="889"/>
    </row>
    <row r="35608" spans="7:7" ht="10.5" customHeight="1" x14ac:dyDescent="0.2">
      <c r="G35608" s="889"/>
    </row>
    <row r="35609" spans="7:7" ht="10.5" customHeight="1" x14ac:dyDescent="0.2">
      <c r="G35609" s="889"/>
    </row>
    <row r="35610" spans="7:7" ht="10.5" customHeight="1" x14ac:dyDescent="0.2">
      <c r="G35610" s="889"/>
    </row>
    <row r="35611" spans="7:7" ht="10.5" customHeight="1" x14ac:dyDescent="0.2">
      <c r="G35611" s="889"/>
    </row>
    <row r="35612" spans="7:7" ht="10.5" customHeight="1" x14ac:dyDescent="0.2">
      <c r="G35612" s="889"/>
    </row>
    <row r="35613" spans="7:7" ht="10.5" customHeight="1" x14ac:dyDescent="0.2">
      <c r="G35613" s="889"/>
    </row>
    <row r="35614" spans="7:7" ht="10.5" customHeight="1" x14ac:dyDescent="0.2">
      <c r="G35614" s="889"/>
    </row>
    <row r="35615" spans="7:7" ht="10.5" customHeight="1" x14ac:dyDescent="0.2">
      <c r="G35615" s="889"/>
    </row>
    <row r="35616" spans="7:7" ht="10.5" customHeight="1" x14ac:dyDescent="0.2">
      <c r="G35616" s="889"/>
    </row>
    <row r="35617" spans="7:7" ht="10.5" customHeight="1" x14ac:dyDescent="0.2">
      <c r="G35617" s="889"/>
    </row>
    <row r="35618" spans="7:7" ht="10.5" customHeight="1" x14ac:dyDescent="0.2">
      <c r="G35618" s="889"/>
    </row>
    <row r="35619" spans="7:7" ht="10.5" customHeight="1" x14ac:dyDescent="0.2">
      <c r="G35619" s="889"/>
    </row>
    <row r="35620" spans="7:7" ht="10.5" customHeight="1" x14ac:dyDescent="0.2">
      <c r="G35620" s="889"/>
    </row>
    <row r="35621" spans="7:7" ht="10.5" customHeight="1" x14ac:dyDescent="0.2">
      <c r="G35621" s="889"/>
    </row>
    <row r="35622" spans="7:7" ht="10.5" customHeight="1" x14ac:dyDescent="0.2">
      <c r="G35622" s="889"/>
    </row>
    <row r="35623" spans="7:7" ht="10.5" customHeight="1" x14ac:dyDescent="0.2">
      <c r="G35623" s="889"/>
    </row>
    <row r="35624" spans="7:7" ht="10.5" customHeight="1" x14ac:dyDescent="0.2">
      <c r="G35624" s="889"/>
    </row>
    <row r="35625" spans="7:7" ht="10.5" customHeight="1" x14ac:dyDescent="0.2">
      <c r="G35625" s="889"/>
    </row>
    <row r="35626" spans="7:7" ht="10.5" customHeight="1" x14ac:dyDescent="0.2">
      <c r="G35626" s="889"/>
    </row>
    <row r="35627" spans="7:7" ht="10.5" customHeight="1" x14ac:dyDescent="0.2">
      <c r="G35627" s="889"/>
    </row>
    <row r="35628" spans="7:7" ht="10.5" customHeight="1" x14ac:dyDescent="0.2">
      <c r="G35628" s="889"/>
    </row>
    <row r="35629" spans="7:7" ht="10.5" customHeight="1" x14ac:dyDescent="0.2">
      <c r="G35629" s="889"/>
    </row>
    <row r="35630" spans="7:7" ht="10.5" customHeight="1" x14ac:dyDescent="0.2">
      <c r="G35630" s="889"/>
    </row>
    <row r="35631" spans="7:7" ht="10.5" customHeight="1" x14ac:dyDescent="0.2">
      <c r="G35631" s="889"/>
    </row>
    <row r="35632" spans="7:7" ht="10.5" customHeight="1" x14ac:dyDescent="0.2">
      <c r="G35632" s="889"/>
    </row>
    <row r="35633" spans="7:7" ht="10.5" customHeight="1" x14ac:dyDescent="0.2">
      <c r="G35633" s="889"/>
    </row>
    <row r="35634" spans="7:7" ht="10.5" customHeight="1" x14ac:dyDescent="0.2">
      <c r="G35634" s="889"/>
    </row>
    <row r="35635" spans="7:7" ht="10.5" customHeight="1" x14ac:dyDescent="0.2">
      <c r="G35635" s="889"/>
    </row>
    <row r="35636" spans="7:7" ht="10.5" customHeight="1" x14ac:dyDescent="0.2">
      <c r="G35636" s="889"/>
    </row>
    <row r="35637" spans="7:7" ht="10.5" customHeight="1" x14ac:dyDescent="0.2">
      <c r="G35637" s="889"/>
    </row>
    <row r="35638" spans="7:7" ht="10.5" customHeight="1" x14ac:dyDescent="0.2">
      <c r="G35638" s="889"/>
    </row>
    <row r="35639" spans="7:7" ht="10.5" customHeight="1" x14ac:dyDescent="0.2">
      <c r="G35639" s="889"/>
    </row>
    <row r="35640" spans="7:7" ht="10.5" customHeight="1" x14ac:dyDescent="0.2">
      <c r="G35640" s="889"/>
    </row>
    <row r="35641" spans="7:7" ht="10.5" customHeight="1" x14ac:dyDescent="0.2">
      <c r="G35641" s="889"/>
    </row>
    <row r="35642" spans="7:7" ht="10.5" customHeight="1" x14ac:dyDescent="0.2">
      <c r="G35642" s="889"/>
    </row>
    <row r="35643" spans="7:7" ht="10.5" customHeight="1" x14ac:dyDescent="0.2">
      <c r="G35643" s="889"/>
    </row>
    <row r="35644" spans="7:7" ht="10.5" customHeight="1" x14ac:dyDescent="0.2">
      <c r="G35644" s="889"/>
    </row>
    <row r="35645" spans="7:7" ht="10.5" customHeight="1" x14ac:dyDescent="0.2">
      <c r="G35645" s="889"/>
    </row>
    <row r="35646" spans="7:7" ht="10.5" customHeight="1" x14ac:dyDescent="0.2">
      <c r="G35646" s="889"/>
    </row>
    <row r="35647" spans="7:7" ht="10.5" customHeight="1" x14ac:dyDescent="0.2">
      <c r="G35647" s="889"/>
    </row>
    <row r="35648" spans="7:7" ht="10.5" customHeight="1" x14ac:dyDescent="0.2">
      <c r="G35648" s="889"/>
    </row>
    <row r="35649" spans="7:7" ht="10.5" customHeight="1" x14ac:dyDescent="0.2">
      <c r="G35649" s="889"/>
    </row>
    <row r="35650" spans="7:7" ht="10.5" customHeight="1" x14ac:dyDescent="0.2">
      <c r="G35650" s="889"/>
    </row>
    <row r="35651" spans="7:7" ht="10.5" customHeight="1" x14ac:dyDescent="0.2">
      <c r="G35651" s="889"/>
    </row>
    <row r="35652" spans="7:7" ht="10.5" customHeight="1" x14ac:dyDescent="0.2">
      <c r="G35652" s="889"/>
    </row>
    <row r="35653" spans="7:7" ht="10.5" customHeight="1" x14ac:dyDescent="0.2">
      <c r="G35653" s="889"/>
    </row>
    <row r="35654" spans="7:7" ht="10.5" customHeight="1" x14ac:dyDescent="0.2">
      <c r="G35654" s="889"/>
    </row>
    <row r="35655" spans="7:7" ht="10.5" customHeight="1" x14ac:dyDescent="0.2">
      <c r="G35655" s="889"/>
    </row>
    <row r="35656" spans="7:7" ht="10.5" customHeight="1" x14ac:dyDescent="0.2">
      <c r="G35656" s="889"/>
    </row>
    <row r="35657" spans="7:7" ht="10.5" customHeight="1" x14ac:dyDescent="0.2">
      <c r="G35657" s="889"/>
    </row>
    <row r="35658" spans="7:7" ht="10.5" customHeight="1" x14ac:dyDescent="0.2">
      <c r="G35658" s="889"/>
    </row>
    <row r="35659" spans="7:7" ht="10.5" customHeight="1" x14ac:dyDescent="0.2">
      <c r="G35659" s="889"/>
    </row>
    <row r="35660" spans="7:7" ht="10.5" customHeight="1" x14ac:dyDescent="0.2">
      <c r="G35660" s="889"/>
    </row>
    <row r="35661" spans="7:7" ht="10.5" customHeight="1" x14ac:dyDescent="0.2">
      <c r="G35661" s="889"/>
    </row>
    <row r="35662" spans="7:7" ht="10.5" customHeight="1" x14ac:dyDescent="0.2">
      <c r="G35662" s="889"/>
    </row>
    <row r="35663" spans="7:7" ht="10.5" customHeight="1" x14ac:dyDescent="0.2">
      <c r="G35663" s="889"/>
    </row>
    <row r="35664" spans="7:7" ht="10.5" customHeight="1" x14ac:dyDescent="0.2">
      <c r="G35664" s="889"/>
    </row>
    <row r="35665" spans="7:7" ht="10.5" customHeight="1" x14ac:dyDescent="0.2">
      <c r="G35665" s="889"/>
    </row>
    <row r="35666" spans="7:7" ht="10.5" customHeight="1" x14ac:dyDescent="0.2">
      <c r="G35666" s="889"/>
    </row>
    <row r="35667" spans="7:7" ht="10.5" customHeight="1" x14ac:dyDescent="0.2">
      <c r="G35667" s="889"/>
    </row>
    <row r="35668" spans="7:7" ht="10.5" customHeight="1" x14ac:dyDescent="0.2">
      <c r="G35668" s="889"/>
    </row>
    <row r="35669" spans="7:7" ht="10.5" customHeight="1" x14ac:dyDescent="0.2">
      <c r="G35669" s="889"/>
    </row>
    <row r="35670" spans="7:7" ht="10.5" customHeight="1" x14ac:dyDescent="0.2">
      <c r="G35670" s="889"/>
    </row>
    <row r="35671" spans="7:7" ht="10.5" customHeight="1" x14ac:dyDescent="0.2">
      <c r="G35671" s="889"/>
    </row>
    <row r="35672" spans="7:7" ht="10.5" customHeight="1" x14ac:dyDescent="0.2">
      <c r="G35672" s="889"/>
    </row>
    <row r="35673" spans="7:7" ht="10.5" customHeight="1" x14ac:dyDescent="0.2">
      <c r="G35673" s="889"/>
    </row>
    <row r="35674" spans="7:7" ht="10.5" customHeight="1" x14ac:dyDescent="0.2">
      <c r="G35674" s="889"/>
    </row>
    <row r="35675" spans="7:7" ht="10.5" customHeight="1" x14ac:dyDescent="0.2">
      <c r="G35675" s="889"/>
    </row>
    <row r="35676" spans="7:7" ht="10.5" customHeight="1" x14ac:dyDescent="0.2">
      <c r="G35676" s="889"/>
    </row>
    <row r="35677" spans="7:7" ht="10.5" customHeight="1" x14ac:dyDescent="0.2">
      <c r="G35677" s="889"/>
    </row>
    <row r="35678" spans="7:7" ht="10.5" customHeight="1" x14ac:dyDescent="0.2">
      <c r="G35678" s="889"/>
    </row>
    <row r="35679" spans="7:7" ht="10.5" customHeight="1" x14ac:dyDescent="0.2">
      <c r="G35679" s="889"/>
    </row>
    <row r="35680" spans="7:7" ht="10.5" customHeight="1" x14ac:dyDescent="0.2">
      <c r="G35680" s="889"/>
    </row>
    <row r="35681" spans="7:7" ht="10.5" customHeight="1" x14ac:dyDescent="0.2">
      <c r="G35681" s="889"/>
    </row>
    <row r="35682" spans="7:7" ht="10.5" customHeight="1" x14ac:dyDescent="0.2">
      <c r="G35682" s="889"/>
    </row>
    <row r="35683" spans="7:7" ht="10.5" customHeight="1" x14ac:dyDescent="0.2">
      <c r="G35683" s="889"/>
    </row>
    <row r="35684" spans="7:7" ht="10.5" customHeight="1" x14ac:dyDescent="0.2">
      <c r="G35684" s="889"/>
    </row>
    <row r="35685" spans="7:7" ht="10.5" customHeight="1" x14ac:dyDescent="0.2">
      <c r="G35685" s="889"/>
    </row>
    <row r="35686" spans="7:7" ht="10.5" customHeight="1" x14ac:dyDescent="0.2">
      <c r="G35686" s="889"/>
    </row>
    <row r="35687" spans="7:7" ht="10.5" customHeight="1" x14ac:dyDescent="0.2">
      <c r="G35687" s="889"/>
    </row>
    <row r="35688" spans="7:7" ht="10.5" customHeight="1" x14ac:dyDescent="0.2">
      <c r="G35688" s="889"/>
    </row>
    <row r="35689" spans="7:7" ht="10.5" customHeight="1" x14ac:dyDescent="0.2">
      <c r="G35689" s="889"/>
    </row>
    <row r="35690" spans="7:7" ht="10.5" customHeight="1" x14ac:dyDescent="0.2">
      <c r="G35690" s="889"/>
    </row>
    <row r="35691" spans="7:7" ht="10.5" customHeight="1" x14ac:dyDescent="0.2">
      <c r="G35691" s="889"/>
    </row>
    <row r="35692" spans="7:7" ht="10.5" customHeight="1" x14ac:dyDescent="0.2">
      <c r="G35692" s="889"/>
    </row>
    <row r="35693" spans="7:7" ht="10.5" customHeight="1" x14ac:dyDescent="0.2">
      <c r="G35693" s="889"/>
    </row>
    <row r="35694" spans="7:7" ht="10.5" customHeight="1" x14ac:dyDescent="0.2">
      <c r="G35694" s="889"/>
    </row>
    <row r="35695" spans="7:7" ht="10.5" customHeight="1" x14ac:dyDescent="0.2">
      <c r="G35695" s="889"/>
    </row>
    <row r="35696" spans="7:7" ht="10.5" customHeight="1" x14ac:dyDescent="0.2">
      <c r="G35696" s="889"/>
    </row>
    <row r="35697" spans="7:7" ht="10.5" customHeight="1" x14ac:dyDescent="0.2">
      <c r="G35697" s="889"/>
    </row>
    <row r="35698" spans="7:7" ht="10.5" customHeight="1" x14ac:dyDescent="0.2">
      <c r="G35698" s="889"/>
    </row>
    <row r="35699" spans="7:7" ht="10.5" customHeight="1" x14ac:dyDescent="0.2">
      <c r="G35699" s="889"/>
    </row>
    <row r="35700" spans="7:7" ht="10.5" customHeight="1" x14ac:dyDescent="0.2">
      <c r="G35700" s="889"/>
    </row>
    <row r="35701" spans="7:7" ht="10.5" customHeight="1" x14ac:dyDescent="0.2">
      <c r="G35701" s="889"/>
    </row>
    <row r="35702" spans="7:7" ht="10.5" customHeight="1" x14ac:dyDescent="0.2">
      <c r="G35702" s="889"/>
    </row>
    <row r="35703" spans="7:7" ht="10.5" customHeight="1" x14ac:dyDescent="0.2">
      <c r="G35703" s="889"/>
    </row>
    <row r="35704" spans="7:7" ht="10.5" customHeight="1" x14ac:dyDescent="0.2">
      <c r="G35704" s="889"/>
    </row>
    <row r="35705" spans="7:7" ht="10.5" customHeight="1" x14ac:dyDescent="0.2">
      <c r="G35705" s="889"/>
    </row>
    <row r="35706" spans="7:7" ht="10.5" customHeight="1" x14ac:dyDescent="0.2">
      <c r="G35706" s="889"/>
    </row>
    <row r="35707" spans="7:7" ht="10.5" customHeight="1" x14ac:dyDescent="0.2">
      <c r="G35707" s="889"/>
    </row>
    <row r="35708" spans="7:7" ht="10.5" customHeight="1" x14ac:dyDescent="0.2">
      <c r="G35708" s="889"/>
    </row>
    <row r="35709" spans="7:7" ht="10.5" customHeight="1" x14ac:dyDescent="0.2">
      <c r="G35709" s="889"/>
    </row>
    <row r="35710" spans="7:7" ht="10.5" customHeight="1" x14ac:dyDescent="0.2">
      <c r="G35710" s="889"/>
    </row>
    <row r="35711" spans="7:7" ht="10.5" customHeight="1" x14ac:dyDescent="0.2">
      <c r="G35711" s="889"/>
    </row>
    <row r="35712" spans="7:7" ht="10.5" customHeight="1" x14ac:dyDescent="0.2">
      <c r="G35712" s="889"/>
    </row>
    <row r="35713" spans="7:7" ht="10.5" customHeight="1" x14ac:dyDescent="0.2">
      <c r="G35713" s="889"/>
    </row>
    <row r="35714" spans="7:7" ht="10.5" customHeight="1" x14ac:dyDescent="0.2">
      <c r="G35714" s="889"/>
    </row>
    <row r="35715" spans="7:7" ht="10.5" customHeight="1" x14ac:dyDescent="0.2">
      <c r="G35715" s="889"/>
    </row>
    <row r="35716" spans="7:7" ht="10.5" customHeight="1" x14ac:dyDescent="0.2">
      <c r="G35716" s="889"/>
    </row>
    <row r="35717" spans="7:7" ht="10.5" customHeight="1" x14ac:dyDescent="0.2">
      <c r="G35717" s="889"/>
    </row>
    <row r="35718" spans="7:7" ht="10.5" customHeight="1" x14ac:dyDescent="0.2">
      <c r="G35718" s="889"/>
    </row>
    <row r="35719" spans="7:7" ht="10.5" customHeight="1" x14ac:dyDescent="0.2">
      <c r="G35719" s="889"/>
    </row>
    <row r="35720" spans="7:7" ht="10.5" customHeight="1" x14ac:dyDescent="0.2">
      <c r="G35720" s="889"/>
    </row>
    <row r="35721" spans="7:7" ht="10.5" customHeight="1" x14ac:dyDescent="0.2">
      <c r="G35721" s="889"/>
    </row>
    <row r="35722" spans="7:7" ht="10.5" customHeight="1" x14ac:dyDescent="0.2">
      <c r="G35722" s="889"/>
    </row>
    <row r="35723" spans="7:7" ht="10.5" customHeight="1" x14ac:dyDescent="0.2">
      <c r="G35723" s="889"/>
    </row>
    <row r="35724" spans="7:7" ht="10.5" customHeight="1" x14ac:dyDescent="0.2">
      <c r="G35724" s="889"/>
    </row>
    <row r="35725" spans="7:7" ht="10.5" customHeight="1" x14ac:dyDescent="0.2">
      <c r="G35725" s="889"/>
    </row>
    <row r="35726" spans="7:7" ht="10.5" customHeight="1" x14ac:dyDescent="0.2">
      <c r="G35726" s="889"/>
    </row>
    <row r="35727" spans="7:7" ht="10.5" customHeight="1" x14ac:dyDescent="0.2">
      <c r="G35727" s="889"/>
    </row>
    <row r="35728" spans="7:7" ht="10.5" customHeight="1" x14ac:dyDescent="0.2">
      <c r="G35728" s="889"/>
    </row>
    <row r="35729" spans="7:7" ht="10.5" customHeight="1" x14ac:dyDescent="0.2">
      <c r="G35729" s="889"/>
    </row>
    <row r="35730" spans="7:7" ht="10.5" customHeight="1" x14ac:dyDescent="0.2">
      <c r="G35730" s="889"/>
    </row>
    <row r="35731" spans="7:7" ht="10.5" customHeight="1" x14ac:dyDescent="0.2">
      <c r="G35731" s="889"/>
    </row>
    <row r="35732" spans="7:7" ht="10.5" customHeight="1" x14ac:dyDescent="0.2">
      <c r="G35732" s="889"/>
    </row>
    <row r="35733" spans="7:7" ht="10.5" customHeight="1" x14ac:dyDescent="0.2">
      <c r="G35733" s="889"/>
    </row>
    <row r="35734" spans="7:7" ht="10.5" customHeight="1" x14ac:dyDescent="0.2">
      <c r="G35734" s="889"/>
    </row>
    <row r="35735" spans="7:7" ht="10.5" customHeight="1" x14ac:dyDescent="0.2">
      <c r="G35735" s="889"/>
    </row>
    <row r="35736" spans="7:7" ht="10.5" customHeight="1" x14ac:dyDescent="0.2">
      <c r="G35736" s="889"/>
    </row>
    <row r="35737" spans="7:7" ht="10.5" customHeight="1" x14ac:dyDescent="0.2">
      <c r="G35737" s="889"/>
    </row>
    <row r="35738" spans="7:7" ht="10.5" customHeight="1" x14ac:dyDescent="0.2">
      <c r="G35738" s="889"/>
    </row>
    <row r="35739" spans="7:7" ht="10.5" customHeight="1" x14ac:dyDescent="0.2">
      <c r="G35739" s="889"/>
    </row>
    <row r="35740" spans="7:7" ht="10.5" customHeight="1" x14ac:dyDescent="0.2">
      <c r="G35740" s="889"/>
    </row>
    <row r="35741" spans="7:7" ht="10.5" customHeight="1" x14ac:dyDescent="0.2">
      <c r="G35741" s="889"/>
    </row>
    <row r="35742" spans="7:7" ht="10.5" customHeight="1" x14ac:dyDescent="0.2">
      <c r="G35742" s="889"/>
    </row>
    <row r="35743" spans="7:7" ht="10.5" customHeight="1" x14ac:dyDescent="0.2">
      <c r="G35743" s="889"/>
    </row>
    <row r="35744" spans="7:7" ht="10.5" customHeight="1" x14ac:dyDescent="0.2">
      <c r="G35744" s="889"/>
    </row>
    <row r="35745" spans="7:7" ht="10.5" customHeight="1" x14ac:dyDescent="0.2">
      <c r="G35745" s="889"/>
    </row>
    <row r="35746" spans="7:7" ht="10.5" customHeight="1" x14ac:dyDescent="0.2">
      <c r="G35746" s="889"/>
    </row>
    <row r="35747" spans="7:7" ht="10.5" customHeight="1" x14ac:dyDescent="0.2">
      <c r="G35747" s="889"/>
    </row>
    <row r="35748" spans="7:7" ht="10.5" customHeight="1" x14ac:dyDescent="0.2">
      <c r="G35748" s="889"/>
    </row>
    <row r="35749" spans="7:7" ht="10.5" customHeight="1" x14ac:dyDescent="0.2">
      <c r="G35749" s="889"/>
    </row>
    <row r="35750" spans="7:7" ht="10.5" customHeight="1" x14ac:dyDescent="0.2">
      <c r="G35750" s="889"/>
    </row>
    <row r="35751" spans="7:7" ht="10.5" customHeight="1" x14ac:dyDescent="0.2">
      <c r="G35751" s="889"/>
    </row>
    <row r="35752" spans="7:7" ht="10.5" customHeight="1" x14ac:dyDescent="0.2">
      <c r="G35752" s="889"/>
    </row>
    <row r="35753" spans="7:7" ht="10.5" customHeight="1" x14ac:dyDescent="0.2">
      <c r="G35753" s="889"/>
    </row>
    <row r="35754" spans="7:7" ht="10.5" customHeight="1" x14ac:dyDescent="0.2">
      <c r="G35754" s="889"/>
    </row>
    <row r="35755" spans="7:7" ht="10.5" customHeight="1" x14ac:dyDescent="0.2">
      <c r="G35755" s="889"/>
    </row>
    <row r="35756" spans="7:7" ht="10.5" customHeight="1" x14ac:dyDescent="0.2">
      <c r="G35756" s="889"/>
    </row>
    <row r="35757" spans="7:7" ht="10.5" customHeight="1" x14ac:dyDescent="0.2">
      <c r="G35757" s="889"/>
    </row>
    <row r="35758" spans="7:7" ht="10.5" customHeight="1" x14ac:dyDescent="0.2">
      <c r="G35758" s="889"/>
    </row>
    <row r="35759" spans="7:7" ht="10.5" customHeight="1" x14ac:dyDescent="0.2">
      <c r="G35759" s="889"/>
    </row>
    <row r="35760" spans="7:7" ht="10.5" customHeight="1" x14ac:dyDescent="0.2">
      <c r="G35760" s="889"/>
    </row>
    <row r="35761" spans="7:7" ht="10.5" customHeight="1" x14ac:dyDescent="0.2">
      <c r="G35761" s="889"/>
    </row>
    <row r="35762" spans="7:7" ht="10.5" customHeight="1" x14ac:dyDescent="0.2">
      <c r="G35762" s="889"/>
    </row>
    <row r="35763" spans="7:7" ht="10.5" customHeight="1" x14ac:dyDescent="0.2">
      <c r="G35763" s="889"/>
    </row>
    <row r="35764" spans="7:7" ht="10.5" customHeight="1" x14ac:dyDescent="0.2">
      <c r="G35764" s="889"/>
    </row>
    <row r="35765" spans="7:7" ht="10.5" customHeight="1" x14ac:dyDescent="0.2">
      <c r="G35765" s="889"/>
    </row>
    <row r="35766" spans="7:7" ht="10.5" customHeight="1" x14ac:dyDescent="0.2">
      <c r="G35766" s="889"/>
    </row>
    <row r="35767" spans="7:7" ht="10.5" customHeight="1" x14ac:dyDescent="0.2">
      <c r="G35767" s="889"/>
    </row>
    <row r="35768" spans="7:7" ht="10.5" customHeight="1" x14ac:dyDescent="0.2">
      <c r="G35768" s="889"/>
    </row>
    <row r="35769" spans="7:7" ht="10.5" customHeight="1" x14ac:dyDescent="0.2">
      <c r="G35769" s="889"/>
    </row>
    <row r="35770" spans="7:7" ht="10.5" customHeight="1" x14ac:dyDescent="0.2">
      <c r="G35770" s="889"/>
    </row>
    <row r="35771" spans="7:7" ht="10.5" customHeight="1" x14ac:dyDescent="0.2">
      <c r="G35771" s="889"/>
    </row>
    <row r="35772" spans="7:7" ht="10.5" customHeight="1" x14ac:dyDescent="0.2">
      <c r="G35772" s="889"/>
    </row>
    <row r="35773" spans="7:7" ht="10.5" customHeight="1" x14ac:dyDescent="0.2">
      <c r="G35773" s="889"/>
    </row>
    <row r="35774" spans="7:7" ht="10.5" customHeight="1" x14ac:dyDescent="0.2">
      <c r="G35774" s="889"/>
    </row>
    <row r="35775" spans="7:7" ht="10.5" customHeight="1" x14ac:dyDescent="0.2">
      <c r="G35775" s="889"/>
    </row>
    <row r="35776" spans="7:7" ht="10.5" customHeight="1" x14ac:dyDescent="0.2">
      <c r="G35776" s="889"/>
    </row>
    <row r="35777" spans="7:7" ht="10.5" customHeight="1" x14ac:dyDescent="0.2">
      <c r="G35777" s="889"/>
    </row>
    <row r="35778" spans="7:7" ht="10.5" customHeight="1" x14ac:dyDescent="0.2">
      <c r="G35778" s="889"/>
    </row>
    <row r="35779" spans="7:7" ht="10.5" customHeight="1" x14ac:dyDescent="0.2">
      <c r="G35779" s="889"/>
    </row>
    <row r="35780" spans="7:7" ht="10.5" customHeight="1" x14ac:dyDescent="0.2">
      <c r="G35780" s="889"/>
    </row>
    <row r="35781" spans="7:7" ht="10.5" customHeight="1" x14ac:dyDescent="0.2">
      <c r="G35781" s="889"/>
    </row>
    <row r="35782" spans="7:7" ht="10.5" customHeight="1" x14ac:dyDescent="0.2">
      <c r="G35782" s="889"/>
    </row>
    <row r="35783" spans="7:7" ht="10.5" customHeight="1" x14ac:dyDescent="0.2">
      <c r="G35783" s="889"/>
    </row>
    <row r="35784" spans="7:7" ht="10.5" customHeight="1" x14ac:dyDescent="0.2">
      <c r="G35784" s="889"/>
    </row>
    <row r="35785" spans="7:7" ht="10.5" customHeight="1" x14ac:dyDescent="0.2">
      <c r="G35785" s="889"/>
    </row>
    <row r="35786" spans="7:7" ht="10.5" customHeight="1" x14ac:dyDescent="0.2">
      <c r="G35786" s="889"/>
    </row>
    <row r="35787" spans="7:7" ht="10.5" customHeight="1" x14ac:dyDescent="0.2">
      <c r="G35787" s="889"/>
    </row>
    <row r="35788" spans="7:7" ht="10.5" customHeight="1" x14ac:dyDescent="0.2">
      <c r="G35788" s="889"/>
    </row>
    <row r="35789" spans="7:7" ht="10.5" customHeight="1" x14ac:dyDescent="0.2">
      <c r="G35789" s="889"/>
    </row>
    <row r="35790" spans="7:7" ht="10.5" customHeight="1" x14ac:dyDescent="0.2">
      <c r="G35790" s="889"/>
    </row>
    <row r="35791" spans="7:7" ht="10.5" customHeight="1" x14ac:dyDescent="0.2">
      <c r="G35791" s="889"/>
    </row>
    <row r="35792" spans="7:7" ht="10.5" customHeight="1" x14ac:dyDescent="0.2">
      <c r="G35792" s="889"/>
    </row>
    <row r="35793" spans="7:7" ht="10.5" customHeight="1" x14ac:dyDescent="0.2">
      <c r="G35793" s="889"/>
    </row>
    <row r="35794" spans="7:7" ht="10.5" customHeight="1" x14ac:dyDescent="0.2">
      <c r="G35794" s="889"/>
    </row>
    <row r="35795" spans="7:7" ht="10.5" customHeight="1" x14ac:dyDescent="0.2">
      <c r="G35795" s="889"/>
    </row>
    <row r="35796" spans="7:7" ht="10.5" customHeight="1" x14ac:dyDescent="0.2">
      <c r="G35796" s="889"/>
    </row>
    <row r="35797" spans="7:7" ht="10.5" customHeight="1" x14ac:dyDescent="0.2">
      <c r="G35797" s="889"/>
    </row>
    <row r="35798" spans="7:7" ht="10.5" customHeight="1" x14ac:dyDescent="0.2">
      <c r="G35798" s="889"/>
    </row>
    <row r="35799" spans="7:7" ht="10.5" customHeight="1" x14ac:dyDescent="0.2">
      <c r="G35799" s="889"/>
    </row>
    <row r="35800" spans="7:7" ht="10.5" customHeight="1" x14ac:dyDescent="0.2">
      <c r="G35800" s="889"/>
    </row>
    <row r="35801" spans="7:7" ht="10.5" customHeight="1" x14ac:dyDescent="0.2">
      <c r="G35801" s="889"/>
    </row>
    <row r="35802" spans="7:7" ht="10.5" customHeight="1" x14ac:dyDescent="0.2">
      <c r="G35802" s="889"/>
    </row>
    <row r="35803" spans="7:7" ht="10.5" customHeight="1" x14ac:dyDescent="0.2">
      <c r="G35803" s="889"/>
    </row>
    <row r="35804" spans="7:7" ht="10.5" customHeight="1" x14ac:dyDescent="0.2">
      <c r="G35804" s="889"/>
    </row>
    <row r="35805" spans="7:7" ht="10.5" customHeight="1" x14ac:dyDescent="0.2">
      <c r="G35805" s="889"/>
    </row>
    <row r="35806" spans="7:7" ht="10.5" customHeight="1" x14ac:dyDescent="0.2">
      <c r="G35806" s="889"/>
    </row>
    <row r="35807" spans="7:7" ht="10.5" customHeight="1" x14ac:dyDescent="0.2">
      <c r="G35807" s="889"/>
    </row>
    <row r="35808" spans="7:7" ht="10.5" customHeight="1" x14ac:dyDescent="0.2">
      <c r="G35808" s="889"/>
    </row>
    <row r="35809" spans="7:7" ht="10.5" customHeight="1" x14ac:dyDescent="0.2">
      <c r="G35809" s="889"/>
    </row>
    <row r="35810" spans="7:7" ht="10.5" customHeight="1" x14ac:dyDescent="0.2">
      <c r="G35810" s="889"/>
    </row>
    <row r="35811" spans="7:7" ht="10.5" customHeight="1" x14ac:dyDescent="0.2">
      <c r="G35811" s="889"/>
    </row>
    <row r="35812" spans="7:7" ht="10.5" customHeight="1" x14ac:dyDescent="0.2">
      <c r="G35812" s="889"/>
    </row>
    <row r="35813" spans="7:7" ht="10.5" customHeight="1" x14ac:dyDescent="0.2">
      <c r="G35813" s="889"/>
    </row>
    <row r="35814" spans="7:7" ht="10.5" customHeight="1" x14ac:dyDescent="0.2">
      <c r="G35814" s="889"/>
    </row>
    <row r="35815" spans="7:7" ht="10.5" customHeight="1" x14ac:dyDescent="0.2">
      <c r="G35815" s="889"/>
    </row>
    <row r="35816" spans="7:7" ht="10.5" customHeight="1" x14ac:dyDescent="0.2">
      <c r="G35816" s="889"/>
    </row>
    <row r="35817" spans="7:7" ht="10.5" customHeight="1" x14ac:dyDescent="0.2">
      <c r="G35817" s="889"/>
    </row>
    <row r="35818" spans="7:7" ht="10.5" customHeight="1" x14ac:dyDescent="0.2">
      <c r="G35818" s="889"/>
    </row>
    <row r="35819" spans="7:7" ht="10.5" customHeight="1" x14ac:dyDescent="0.2">
      <c r="G35819" s="889"/>
    </row>
    <row r="35820" spans="7:7" ht="10.5" customHeight="1" x14ac:dyDescent="0.2">
      <c r="G35820" s="889"/>
    </row>
    <row r="35821" spans="7:7" ht="10.5" customHeight="1" x14ac:dyDescent="0.2">
      <c r="G35821" s="889"/>
    </row>
    <row r="35822" spans="7:7" ht="10.5" customHeight="1" x14ac:dyDescent="0.2">
      <c r="G35822" s="889"/>
    </row>
    <row r="35823" spans="7:7" ht="10.5" customHeight="1" x14ac:dyDescent="0.2">
      <c r="G35823" s="889"/>
    </row>
    <row r="35824" spans="7:7" ht="10.5" customHeight="1" x14ac:dyDescent="0.2">
      <c r="G35824" s="889"/>
    </row>
    <row r="35825" spans="7:7" ht="10.5" customHeight="1" x14ac:dyDescent="0.2">
      <c r="G35825" s="889"/>
    </row>
    <row r="35826" spans="7:7" ht="10.5" customHeight="1" x14ac:dyDescent="0.2">
      <c r="G35826" s="889"/>
    </row>
    <row r="35827" spans="7:7" ht="10.5" customHeight="1" x14ac:dyDescent="0.2">
      <c r="G35827" s="889"/>
    </row>
    <row r="35828" spans="7:7" ht="10.5" customHeight="1" x14ac:dyDescent="0.2">
      <c r="G35828" s="889"/>
    </row>
    <row r="35829" spans="7:7" ht="10.5" customHeight="1" x14ac:dyDescent="0.2">
      <c r="G35829" s="889"/>
    </row>
    <row r="35830" spans="7:7" ht="10.5" customHeight="1" x14ac:dyDescent="0.2">
      <c r="G35830" s="889"/>
    </row>
    <row r="35831" spans="7:7" ht="10.5" customHeight="1" x14ac:dyDescent="0.2">
      <c r="G35831" s="889"/>
    </row>
    <row r="35832" spans="7:7" ht="10.5" customHeight="1" x14ac:dyDescent="0.2">
      <c r="G35832" s="889"/>
    </row>
    <row r="35833" spans="7:7" ht="10.5" customHeight="1" x14ac:dyDescent="0.2">
      <c r="G35833" s="889"/>
    </row>
    <row r="35834" spans="7:7" ht="10.5" customHeight="1" x14ac:dyDescent="0.2">
      <c r="G35834" s="889"/>
    </row>
    <row r="35835" spans="7:7" ht="10.5" customHeight="1" x14ac:dyDescent="0.2">
      <c r="G35835" s="889"/>
    </row>
    <row r="35836" spans="7:7" ht="10.5" customHeight="1" x14ac:dyDescent="0.2">
      <c r="G35836" s="889"/>
    </row>
    <row r="35837" spans="7:7" ht="10.5" customHeight="1" x14ac:dyDescent="0.2">
      <c r="G35837" s="889"/>
    </row>
    <row r="35838" spans="7:7" ht="10.5" customHeight="1" x14ac:dyDescent="0.2">
      <c r="G35838" s="889"/>
    </row>
    <row r="35839" spans="7:7" ht="10.5" customHeight="1" x14ac:dyDescent="0.2">
      <c r="G35839" s="889"/>
    </row>
    <row r="35840" spans="7:7" ht="10.5" customHeight="1" x14ac:dyDescent="0.2">
      <c r="G35840" s="889"/>
    </row>
    <row r="35841" spans="7:7" ht="10.5" customHeight="1" x14ac:dyDescent="0.2">
      <c r="G35841" s="889"/>
    </row>
    <row r="35842" spans="7:7" ht="10.5" customHeight="1" x14ac:dyDescent="0.2">
      <c r="G35842" s="889"/>
    </row>
    <row r="35843" spans="7:7" ht="10.5" customHeight="1" x14ac:dyDescent="0.2">
      <c r="G35843" s="889"/>
    </row>
    <row r="35844" spans="7:7" ht="10.5" customHeight="1" x14ac:dyDescent="0.2">
      <c r="G35844" s="889"/>
    </row>
    <row r="35845" spans="7:7" ht="10.5" customHeight="1" x14ac:dyDescent="0.2">
      <c r="G35845" s="889"/>
    </row>
    <row r="35846" spans="7:7" ht="10.5" customHeight="1" x14ac:dyDescent="0.2">
      <c r="G35846" s="889"/>
    </row>
    <row r="35847" spans="7:7" ht="10.5" customHeight="1" x14ac:dyDescent="0.2">
      <c r="G35847" s="889"/>
    </row>
    <row r="35848" spans="7:7" ht="10.5" customHeight="1" x14ac:dyDescent="0.2">
      <c r="G35848" s="889"/>
    </row>
    <row r="35849" spans="7:7" ht="10.5" customHeight="1" x14ac:dyDescent="0.2">
      <c r="G35849" s="889"/>
    </row>
    <row r="35850" spans="7:7" ht="10.5" customHeight="1" x14ac:dyDescent="0.2">
      <c r="G35850" s="889"/>
    </row>
    <row r="35851" spans="7:7" ht="10.5" customHeight="1" x14ac:dyDescent="0.2">
      <c r="G35851" s="889"/>
    </row>
    <row r="35852" spans="7:7" ht="10.5" customHeight="1" x14ac:dyDescent="0.2">
      <c r="G35852" s="889"/>
    </row>
    <row r="35853" spans="7:7" ht="10.5" customHeight="1" x14ac:dyDescent="0.2">
      <c r="G35853" s="889"/>
    </row>
    <row r="35854" spans="7:7" ht="10.5" customHeight="1" x14ac:dyDescent="0.2">
      <c r="G35854" s="889"/>
    </row>
    <row r="35855" spans="7:7" ht="10.5" customHeight="1" x14ac:dyDescent="0.2">
      <c r="G35855" s="889"/>
    </row>
    <row r="35856" spans="7:7" ht="10.5" customHeight="1" x14ac:dyDescent="0.2">
      <c r="G35856" s="889"/>
    </row>
    <row r="35857" spans="7:7" ht="10.5" customHeight="1" x14ac:dyDescent="0.2">
      <c r="G35857" s="889"/>
    </row>
    <row r="35858" spans="7:7" ht="10.5" customHeight="1" x14ac:dyDescent="0.2">
      <c r="G35858" s="889"/>
    </row>
    <row r="35859" spans="7:7" ht="10.5" customHeight="1" x14ac:dyDescent="0.2">
      <c r="G35859" s="889"/>
    </row>
    <row r="35860" spans="7:7" ht="10.5" customHeight="1" x14ac:dyDescent="0.2">
      <c r="G35860" s="889"/>
    </row>
    <row r="35861" spans="7:7" ht="10.5" customHeight="1" x14ac:dyDescent="0.2">
      <c r="G35861" s="889"/>
    </row>
    <row r="35862" spans="7:7" ht="10.5" customHeight="1" x14ac:dyDescent="0.2">
      <c r="G35862" s="889"/>
    </row>
    <row r="35863" spans="7:7" ht="10.5" customHeight="1" x14ac:dyDescent="0.2">
      <c r="G35863" s="889"/>
    </row>
    <row r="35864" spans="7:7" ht="10.5" customHeight="1" x14ac:dyDescent="0.2">
      <c r="G35864" s="889"/>
    </row>
    <row r="35865" spans="7:7" ht="10.5" customHeight="1" x14ac:dyDescent="0.2">
      <c r="G35865" s="889"/>
    </row>
    <row r="35866" spans="7:7" ht="10.5" customHeight="1" x14ac:dyDescent="0.2">
      <c r="G35866" s="889"/>
    </row>
    <row r="35867" spans="7:7" ht="10.5" customHeight="1" x14ac:dyDescent="0.2">
      <c r="G35867" s="889"/>
    </row>
    <row r="35868" spans="7:7" ht="10.5" customHeight="1" x14ac:dyDescent="0.2">
      <c r="G35868" s="889"/>
    </row>
    <row r="35869" spans="7:7" ht="10.5" customHeight="1" x14ac:dyDescent="0.2">
      <c r="G35869" s="889"/>
    </row>
    <row r="35870" spans="7:7" ht="10.5" customHeight="1" x14ac:dyDescent="0.2">
      <c r="G35870" s="889"/>
    </row>
    <row r="35871" spans="7:7" ht="10.5" customHeight="1" x14ac:dyDescent="0.2">
      <c r="G35871" s="889"/>
    </row>
    <row r="35872" spans="7:7" ht="10.5" customHeight="1" x14ac:dyDescent="0.2">
      <c r="G35872" s="889"/>
    </row>
    <row r="35873" spans="7:7" ht="10.5" customHeight="1" x14ac:dyDescent="0.2">
      <c r="G35873" s="889"/>
    </row>
    <row r="35874" spans="7:7" ht="10.5" customHeight="1" x14ac:dyDescent="0.2">
      <c r="G35874" s="889"/>
    </row>
    <row r="35875" spans="7:7" ht="10.5" customHeight="1" x14ac:dyDescent="0.2">
      <c r="G35875" s="889"/>
    </row>
    <row r="35876" spans="7:7" ht="10.5" customHeight="1" x14ac:dyDescent="0.2">
      <c r="G35876" s="889"/>
    </row>
    <row r="35877" spans="7:7" ht="10.5" customHeight="1" x14ac:dyDescent="0.2">
      <c r="G35877" s="889"/>
    </row>
    <row r="35878" spans="7:7" ht="10.5" customHeight="1" x14ac:dyDescent="0.2">
      <c r="G35878" s="889"/>
    </row>
    <row r="35879" spans="7:7" ht="10.5" customHeight="1" x14ac:dyDescent="0.2">
      <c r="G35879" s="889"/>
    </row>
    <row r="35880" spans="7:7" ht="10.5" customHeight="1" x14ac:dyDescent="0.2">
      <c r="G35880" s="889"/>
    </row>
    <row r="35881" spans="7:7" ht="10.5" customHeight="1" x14ac:dyDescent="0.2">
      <c r="G35881" s="889"/>
    </row>
    <row r="35882" spans="7:7" ht="10.5" customHeight="1" x14ac:dyDescent="0.2">
      <c r="G35882" s="889"/>
    </row>
    <row r="35883" spans="7:7" ht="10.5" customHeight="1" x14ac:dyDescent="0.2">
      <c r="G35883" s="889"/>
    </row>
    <row r="35884" spans="7:7" ht="10.5" customHeight="1" x14ac:dyDescent="0.2">
      <c r="G35884" s="889"/>
    </row>
    <row r="35885" spans="7:7" ht="10.5" customHeight="1" x14ac:dyDescent="0.2">
      <c r="G35885" s="889"/>
    </row>
    <row r="35886" spans="7:7" ht="10.5" customHeight="1" x14ac:dyDescent="0.2">
      <c r="G35886" s="889"/>
    </row>
    <row r="35887" spans="7:7" ht="10.5" customHeight="1" x14ac:dyDescent="0.2">
      <c r="G35887" s="889"/>
    </row>
    <row r="35888" spans="7:7" ht="10.5" customHeight="1" x14ac:dyDescent="0.2">
      <c r="G35888" s="889"/>
    </row>
    <row r="35889" spans="7:7" ht="10.5" customHeight="1" x14ac:dyDescent="0.2">
      <c r="G35889" s="889"/>
    </row>
    <row r="35890" spans="7:7" ht="10.5" customHeight="1" x14ac:dyDescent="0.2">
      <c r="G35890" s="889"/>
    </row>
    <row r="35891" spans="7:7" ht="10.5" customHeight="1" x14ac:dyDescent="0.2">
      <c r="G35891" s="889"/>
    </row>
    <row r="35892" spans="7:7" ht="10.5" customHeight="1" x14ac:dyDescent="0.2">
      <c r="G35892" s="889"/>
    </row>
    <row r="35893" spans="7:7" ht="10.5" customHeight="1" x14ac:dyDescent="0.2">
      <c r="G35893" s="889"/>
    </row>
    <row r="35894" spans="7:7" ht="10.5" customHeight="1" x14ac:dyDescent="0.2">
      <c r="G35894" s="889"/>
    </row>
    <row r="35895" spans="7:7" ht="10.5" customHeight="1" x14ac:dyDescent="0.2">
      <c r="G35895" s="889"/>
    </row>
    <row r="35896" spans="7:7" ht="10.5" customHeight="1" x14ac:dyDescent="0.2">
      <c r="G35896" s="889"/>
    </row>
    <row r="35897" spans="7:7" ht="10.5" customHeight="1" x14ac:dyDescent="0.2">
      <c r="G35897" s="889"/>
    </row>
    <row r="35898" spans="7:7" ht="10.5" customHeight="1" x14ac:dyDescent="0.2">
      <c r="G35898" s="889"/>
    </row>
    <row r="35899" spans="7:7" ht="10.5" customHeight="1" x14ac:dyDescent="0.2">
      <c r="G35899" s="889"/>
    </row>
    <row r="35900" spans="7:7" ht="10.5" customHeight="1" x14ac:dyDescent="0.2">
      <c r="G35900" s="889"/>
    </row>
    <row r="35901" spans="7:7" ht="10.5" customHeight="1" x14ac:dyDescent="0.2">
      <c r="G35901" s="889"/>
    </row>
    <row r="35902" spans="7:7" ht="10.5" customHeight="1" x14ac:dyDescent="0.2">
      <c r="G35902" s="889"/>
    </row>
    <row r="35903" spans="7:7" ht="10.5" customHeight="1" x14ac:dyDescent="0.2">
      <c r="G35903" s="889"/>
    </row>
    <row r="35904" spans="7:7" ht="10.5" customHeight="1" x14ac:dyDescent="0.2">
      <c r="G35904" s="889"/>
    </row>
    <row r="35905" spans="7:7" ht="10.5" customHeight="1" x14ac:dyDescent="0.2">
      <c r="G35905" s="889"/>
    </row>
    <row r="35906" spans="7:7" ht="10.5" customHeight="1" x14ac:dyDescent="0.2">
      <c r="G35906" s="889"/>
    </row>
    <row r="35907" spans="7:7" ht="10.5" customHeight="1" x14ac:dyDescent="0.2">
      <c r="G35907" s="889"/>
    </row>
    <row r="35908" spans="7:7" ht="10.5" customHeight="1" x14ac:dyDescent="0.2">
      <c r="G35908" s="889"/>
    </row>
    <row r="35909" spans="7:7" ht="10.5" customHeight="1" x14ac:dyDescent="0.2">
      <c r="G35909" s="889"/>
    </row>
    <row r="35910" spans="7:7" ht="10.5" customHeight="1" x14ac:dyDescent="0.2">
      <c r="G35910" s="889"/>
    </row>
    <row r="35911" spans="7:7" ht="10.5" customHeight="1" x14ac:dyDescent="0.2">
      <c r="G35911" s="889"/>
    </row>
    <row r="35912" spans="7:7" ht="10.5" customHeight="1" x14ac:dyDescent="0.2">
      <c r="G35912" s="889"/>
    </row>
    <row r="35913" spans="7:7" ht="10.5" customHeight="1" x14ac:dyDescent="0.2">
      <c r="G35913" s="889"/>
    </row>
    <row r="35914" spans="7:7" ht="10.5" customHeight="1" x14ac:dyDescent="0.2">
      <c r="G35914" s="889"/>
    </row>
    <row r="35915" spans="7:7" ht="10.5" customHeight="1" x14ac:dyDescent="0.2">
      <c r="G35915" s="889"/>
    </row>
    <row r="35916" spans="7:7" ht="10.5" customHeight="1" x14ac:dyDescent="0.2">
      <c r="G35916" s="889"/>
    </row>
    <row r="35917" spans="7:7" ht="10.5" customHeight="1" x14ac:dyDescent="0.2">
      <c r="G35917" s="889"/>
    </row>
    <row r="35918" spans="7:7" ht="10.5" customHeight="1" x14ac:dyDescent="0.2">
      <c r="G35918" s="889"/>
    </row>
    <row r="35919" spans="7:7" ht="10.5" customHeight="1" x14ac:dyDescent="0.2">
      <c r="G35919" s="889"/>
    </row>
    <row r="35920" spans="7:7" ht="10.5" customHeight="1" x14ac:dyDescent="0.2">
      <c r="G35920" s="889"/>
    </row>
    <row r="35921" spans="7:7" ht="10.5" customHeight="1" x14ac:dyDescent="0.2">
      <c r="G35921" s="889"/>
    </row>
    <row r="35922" spans="7:7" ht="10.5" customHeight="1" x14ac:dyDescent="0.2">
      <c r="G35922" s="889"/>
    </row>
    <row r="35923" spans="7:7" ht="10.5" customHeight="1" x14ac:dyDescent="0.2">
      <c r="G35923" s="889"/>
    </row>
    <row r="35924" spans="7:7" ht="10.5" customHeight="1" x14ac:dyDescent="0.2">
      <c r="G35924" s="889"/>
    </row>
    <row r="35925" spans="7:7" ht="10.5" customHeight="1" x14ac:dyDescent="0.2">
      <c r="G35925" s="889"/>
    </row>
    <row r="35926" spans="7:7" ht="10.5" customHeight="1" x14ac:dyDescent="0.2">
      <c r="G35926" s="889"/>
    </row>
    <row r="35927" spans="7:7" ht="10.5" customHeight="1" x14ac:dyDescent="0.2">
      <c r="G35927" s="889"/>
    </row>
    <row r="35928" spans="7:7" ht="10.5" customHeight="1" x14ac:dyDescent="0.2">
      <c r="G35928" s="889"/>
    </row>
    <row r="35929" spans="7:7" ht="10.5" customHeight="1" x14ac:dyDescent="0.2">
      <c r="G35929" s="889"/>
    </row>
    <row r="35930" spans="7:7" ht="10.5" customHeight="1" x14ac:dyDescent="0.2">
      <c r="G35930" s="889"/>
    </row>
    <row r="35931" spans="7:7" ht="10.5" customHeight="1" x14ac:dyDescent="0.2">
      <c r="G35931" s="889"/>
    </row>
    <row r="35932" spans="7:7" ht="10.5" customHeight="1" x14ac:dyDescent="0.2">
      <c r="G35932" s="889"/>
    </row>
    <row r="35933" spans="7:7" ht="10.5" customHeight="1" x14ac:dyDescent="0.2">
      <c r="G35933" s="889"/>
    </row>
    <row r="35934" spans="7:7" ht="10.5" customHeight="1" x14ac:dyDescent="0.2">
      <c r="G35934" s="889"/>
    </row>
    <row r="35935" spans="7:7" ht="10.5" customHeight="1" x14ac:dyDescent="0.2">
      <c r="G35935" s="889"/>
    </row>
    <row r="35936" spans="7:7" ht="10.5" customHeight="1" x14ac:dyDescent="0.2">
      <c r="G35936" s="889"/>
    </row>
    <row r="35937" spans="7:7" ht="10.5" customHeight="1" x14ac:dyDescent="0.2">
      <c r="G35937" s="889"/>
    </row>
    <row r="35938" spans="7:7" ht="10.5" customHeight="1" x14ac:dyDescent="0.2">
      <c r="G35938" s="889"/>
    </row>
    <row r="35939" spans="7:7" ht="10.5" customHeight="1" x14ac:dyDescent="0.2">
      <c r="G35939" s="889"/>
    </row>
    <row r="35940" spans="7:7" ht="10.5" customHeight="1" x14ac:dyDescent="0.2">
      <c r="G35940" s="889"/>
    </row>
    <row r="35941" spans="7:7" ht="10.5" customHeight="1" x14ac:dyDescent="0.2">
      <c r="G35941" s="889"/>
    </row>
    <row r="35942" spans="7:7" ht="10.5" customHeight="1" x14ac:dyDescent="0.2">
      <c r="G35942" s="889"/>
    </row>
    <row r="35943" spans="7:7" ht="10.5" customHeight="1" x14ac:dyDescent="0.2">
      <c r="G35943" s="889"/>
    </row>
    <row r="35944" spans="7:7" ht="10.5" customHeight="1" x14ac:dyDescent="0.2">
      <c r="G35944" s="889"/>
    </row>
    <row r="35945" spans="7:7" ht="10.5" customHeight="1" x14ac:dyDescent="0.2">
      <c r="G35945" s="889"/>
    </row>
    <row r="35946" spans="7:7" ht="10.5" customHeight="1" x14ac:dyDescent="0.2">
      <c r="G35946" s="889"/>
    </row>
    <row r="35947" spans="7:7" ht="10.5" customHeight="1" x14ac:dyDescent="0.2">
      <c r="G35947" s="889"/>
    </row>
    <row r="35948" spans="7:7" ht="10.5" customHeight="1" x14ac:dyDescent="0.2">
      <c r="G35948" s="889"/>
    </row>
    <row r="35949" spans="7:7" ht="10.5" customHeight="1" x14ac:dyDescent="0.2">
      <c r="G35949" s="889"/>
    </row>
    <row r="35950" spans="7:7" ht="10.5" customHeight="1" x14ac:dyDescent="0.2">
      <c r="G35950" s="889"/>
    </row>
    <row r="35951" spans="7:7" ht="10.5" customHeight="1" x14ac:dyDescent="0.2">
      <c r="G35951" s="889"/>
    </row>
    <row r="35952" spans="7:7" ht="10.5" customHeight="1" x14ac:dyDescent="0.2">
      <c r="G35952" s="889"/>
    </row>
    <row r="35953" spans="7:7" ht="10.5" customHeight="1" x14ac:dyDescent="0.2">
      <c r="G35953" s="889"/>
    </row>
    <row r="35954" spans="7:7" ht="10.5" customHeight="1" x14ac:dyDescent="0.2">
      <c r="G35954" s="889"/>
    </row>
    <row r="35955" spans="7:7" ht="10.5" customHeight="1" x14ac:dyDescent="0.2">
      <c r="G35955" s="889"/>
    </row>
    <row r="35956" spans="7:7" ht="10.5" customHeight="1" x14ac:dyDescent="0.2">
      <c r="G35956" s="889"/>
    </row>
    <row r="35957" spans="7:7" ht="10.5" customHeight="1" x14ac:dyDescent="0.2">
      <c r="G35957" s="889"/>
    </row>
    <row r="35958" spans="7:7" ht="10.5" customHeight="1" x14ac:dyDescent="0.2">
      <c r="G35958" s="889"/>
    </row>
    <row r="35959" spans="7:7" ht="10.5" customHeight="1" x14ac:dyDescent="0.2">
      <c r="G35959" s="889"/>
    </row>
    <row r="35960" spans="7:7" ht="10.5" customHeight="1" x14ac:dyDescent="0.2">
      <c r="G35960" s="889"/>
    </row>
    <row r="35961" spans="7:7" ht="10.5" customHeight="1" x14ac:dyDescent="0.2">
      <c r="G35961" s="889"/>
    </row>
    <row r="35962" spans="7:7" ht="10.5" customHeight="1" x14ac:dyDescent="0.2">
      <c r="G35962" s="889"/>
    </row>
    <row r="35963" spans="7:7" ht="10.5" customHeight="1" x14ac:dyDescent="0.2">
      <c r="G35963" s="889"/>
    </row>
    <row r="35964" spans="7:7" ht="10.5" customHeight="1" x14ac:dyDescent="0.2">
      <c r="G35964" s="889"/>
    </row>
    <row r="35965" spans="7:7" ht="10.5" customHeight="1" x14ac:dyDescent="0.2">
      <c r="G35965" s="889"/>
    </row>
    <row r="35966" spans="7:7" ht="10.5" customHeight="1" x14ac:dyDescent="0.2">
      <c r="G35966" s="889"/>
    </row>
    <row r="35967" spans="7:7" ht="10.5" customHeight="1" x14ac:dyDescent="0.2">
      <c r="G35967" s="889"/>
    </row>
    <row r="35968" spans="7:7" ht="10.5" customHeight="1" x14ac:dyDescent="0.2">
      <c r="G35968" s="889"/>
    </row>
    <row r="35969" spans="7:7" ht="10.5" customHeight="1" x14ac:dyDescent="0.2">
      <c r="G35969" s="889"/>
    </row>
    <row r="35970" spans="7:7" ht="10.5" customHeight="1" x14ac:dyDescent="0.2">
      <c r="G35970" s="889"/>
    </row>
    <row r="35971" spans="7:7" ht="10.5" customHeight="1" x14ac:dyDescent="0.2">
      <c r="G35971" s="889"/>
    </row>
    <row r="35972" spans="7:7" ht="10.5" customHeight="1" x14ac:dyDescent="0.2">
      <c r="G35972" s="889"/>
    </row>
    <row r="35973" spans="7:7" ht="10.5" customHeight="1" x14ac:dyDescent="0.2">
      <c r="G35973" s="889"/>
    </row>
    <row r="35974" spans="7:7" ht="10.5" customHeight="1" x14ac:dyDescent="0.2">
      <c r="G35974" s="889"/>
    </row>
    <row r="35975" spans="7:7" ht="10.5" customHeight="1" x14ac:dyDescent="0.2">
      <c r="G35975" s="889"/>
    </row>
    <row r="35976" spans="7:7" ht="10.5" customHeight="1" x14ac:dyDescent="0.2">
      <c r="G35976" s="889"/>
    </row>
    <row r="35977" spans="7:7" ht="10.5" customHeight="1" x14ac:dyDescent="0.2">
      <c r="G35977" s="889"/>
    </row>
    <row r="35978" spans="7:7" ht="10.5" customHeight="1" x14ac:dyDescent="0.2">
      <c r="G35978" s="889"/>
    </row>
    <row r="35979" spans="7:7" ht="10.5" customHeight="1" x14ac:dyDescent="0.2">
      <c r="G35979" s="889"/>
    </row>
    <row r="35980" spans="7:7" ht="10.5" customHeight="1" x14ac:dyDescent="0.2">
      <c r="G35980" s="889"/>
    </row>
    <row r="35981" spans="7:7" ht="10.5" customHeight="1" x14ac:dyDescent="0.2">
      <c r="G35981" s="889"/>
    </row>
    <row r="35982" spans="7:7" ht="10.5" customHeight="1" x14ac:dyDescent="0.2">
      <c r="G35982" s="889"/>
    </row>
    <row r="35983" spans="7:7" ht="10.5" customHeight="1" x14ac:dyDescent="0.2">
      <c r="G35983" s="889"/>
    </row>
    <row r="35984" spans="7:7" ht="10.5" customHeight="1" x14ac:dyDescent="0.2">
      <c r="G35984" s="889"/>
    </row>
    <row r="35985" spans="7:7" ht="10.5" customHeight="1" x14ac:dyDescent="0.2">
      <c r="G35985" s="889"/>
    </row>
    <row r="35986" spans="7:7" ht="10.5" customHeight="1" x14ac:dyDescent="0.2">
      <c r="G35986" s="889"/>
    </row>
    <row r="35987" spans="7:7" ht="10.5" customHeight="1" x14ac:dyDescent="0.2">
      <c r="G35987" s="889"/>
    </row>
    <row r="35988" spans="7:7" ht="10.5" customHeight="1" x14ac:dyDescent="0.2">
      <c r="G35988" s="889"/>
    </row>
    <row r="35989" spans="7:7" ht="10.5" customHeight="1" x14ac:dyDescent="0.2">
      <c r="G35989" s="889"/>
    </row>
    <row r="35990" spans="7:7" ht="10.5" customHeight="1" x14ac:dyDescent="0.2">
      <c r="G35990" s="889"/>
    </row>
    <row r="35991" spans="7:7" ht="10.5" customHeight="1" x14ac:dyDescent="0.2">
      <c r="G35991" s="889"/>
    </row>
    <row r="35992" spans="7:7" ht="10.5" customHeight="1" x14ac:dyDescent="0.2">
      <c r="G35992" s="889"/>
    </row>
    <row r="35993" spans="7:7" ht="10.5" customHeight="1" x14ac:dyDescent="0.2">
      <c r="G35993" s="889"/>
    </row>
    <row r="35994" spans="7:7" ht="10.5" customHeight="1" x14ac:dyDescent="0.2">
      <c r="G35994" s="889"/>
    </row>
    <row r="35995" spans="7:7" ht="10.5" customHeight="1" x14ac:dyDescent="0.2">
      <c r="G35995" s="889"/>
    </row>
    <row r="35996" spans="7:7" ht="10.5" customHeight="1" x14ac:dyDescent="0.2">
      <c r="G35996" s="889"/>
    </row>
    <row r="35997" spans="7:7" ht="10.5" customHeight="1" x14ac:dyDescent="0.2">
      <c r="G35997" s="889"/>
    </row>
    <row r="35998" spans="7:7" ht="10.5" customHeight="1" x14ac:dyDescent="0.2">
      <c r="G35998" s="889"/>
    </row>
    <row r="35999" spans="7:7" ht="10.5" customHeight="1" x14ac:dyDescent="0.2">
      <c r="G35999" s="889"/>
    </row>
    <row r="36000" spans="7:7" ht="10.5" customHeight="1" x14ac:dyDescent="0.2">
      <c r="G36000" s="889"/>
    </row>
    <row r="36001" spans="7:7" ht="10.5" customHeight="1" x14ac:dyDescent="0.2">
      <c r="G36001" s="889"/>
    </row>
    <row r="36002" spans="7:7" ht="10.5" customHeight="1" x14ac:dyDescent="0.2">
      <c r="G36002" s="889"/>
    </row>
    <row r="36003" spans="7:7" ht="10.5" customHeight="1" x14ac:dyDescent="0.2">
      <c r="G36003" s="889"/>
    </row>
    <row r="36004" spans="7:7" ht="10.5" customHeight="1" x14ac:dyDescent="0.2">
      <c r="G36004" s="889"/>
    </row>
    <row r="36005" spans="7:7" ht="10.5" customHeight="1" x14ac:dyDescent="0.2">
      <c r="G36005" s="889"/>
    </row>
    <row r="36006" spans="7:7" ht="10.5" customHeight="1" x14ac:dyDescent="0.2">
      <c r="G36006" s="889"/>
    </row>
    <row r="36007" spans="7:7" ht="10.5" customHeight="1" x14ac:dyDescent="0.2">
      <c r="G36007" s="889"/>
    </row>
    <row r="36008" spans="7:7" ht="10.5" customHeight="1" x14ac:dyDescent="0.2">
      <c r="G36008" s="889"/>
    </row>
    <row r="36009" spans="7:7" ht="10.5" customHeight="1" x14ac:dyDescent="0.2">
      <c r="G36009" s="889"/>
    </row>
    <row r="36010" spans="7:7" ht="10.5" customHeight="1" x14ac:dyDescent="0.2">
      <c r="G36010" s="889"/>
    </row>
    <row r="36011" spans="7:7" ht="10.5" customHeight="1" x14ac:dyDescent="0.2">
      <c r="G36011" s="889"/>
    </row>
    <row r="36012" spans="7:7" ht="10.5" customHeight="1" x14ac:dyDescent="0.2">
      <c r="G36012" s="889"/>
    </row>
    <row r="36013" spans="7:7" ht="10.5" customHeight="1" x14ac:dyDescent="0.2">
      <c r="G36013" s="889"/>
    </row>
    <row r="36014" spans="7:7" ht="10.5" customHeight="1" x14ac:dyDescent="0.2">
      <c r="G36014" s="889"/>
    </row>
    <row r="36015" spans="7:7" ht="10.5" customHeight="1" x14ac:dyDescent="0.2">
      <c r="G36015" s="889"/>
    </row>
    <row r="36016" spans="7:7" ht="10.5" customHeight="1" x14ac:dyDescent="0.2">
      <c r="G36016" s="889"/>
    </row>
    <row r="36017" spans="7:7" ht="10.5" customHeight="1" x14ac:dyDescent="0.2">
      <c r="G36017" s="889"/>
    </row>
    <row r="36018" spans="7:7" ht="10.5" customHeight="1" x14ac:dyDescent="0.2">
      <c r="G36018" s="889"/>
    </row>
    <row r="36019" spans="7:7" ht="10.5" customHeight="1" x14ac:dyDescent="0.2">
      <c r="G36019" s="889"/>
    </row>
    <row r="36020" spans="7:7" ht="10.5" customHeight="1" x14ac:dyDescent="0.2">
      <c r="G36020" s="889"/>
    </row>
    <row r="36021" spans="7:7" ht="10.5" customHeight="1" x14ac:dyDescent="0.2">
      <c r="G36021" s="889"/>
    </row>
    <row r="36022" spans="7:7" ht="10.5" customHeight="1" x14ac:dyDescent="0.2">
      <c r="G36022" s="889"/>
    </row>
    <row r="36023" spans="7:7" ht="10.5" customHeight="1" x14ac:dyDescent="0.2">
      <c r="G36023" s="889"/>
    </row>
    <row r="36024" spans="7:7" ht="10.5" customHeight="1" x14ac:dyDescent="0.2">
      <c r="G36024" s="889"/>
    </row>
    <row r="36025" spans="7:7" ht="10.5" customHeight="1" x14ac:dyDescent="0.2">
      <c r="G36025" s="889"/>
    </row>
    <row r="36026" spans="7:7" ht="10.5" customHeight="1" x14ac:dyDescent="0.2">
      <c r="G36026" s="889"/>
    </row>
    <row r="36027" spans="7:7" ht="10.5" customHeight="1" x14ac:dyDescent="0.2">
      <c r="G36027" s="889"/>
    </row>
    <row r="36028" spans="7:7" ht="10.5" customHeight="1" x14ac:dyDescent="0.2">
      <c r="G36028" s="889"/>
    </row>
    <row r="36029" spans="7:7" ht="10.5" customHeight="1" x14ac:dyDescent="0.2">
      <c r="G36029" s="889"/>
    </row>
    <row r="36030" spans="7:7" ht="10.5" customHeight="1" x14ac:dyDescent="0.2">
      <c r="G36030" s="889"/>
    </row>
    <row r="36031" spans="7:7" ht="10.5" customHeight="1" x14ac:dyDescent="0.2">
      <c r="G36031" s="889"/>
    </row>
    <row r="36032" spans="7:7" ht="10.5" customHeight="1" x14ac:dyDescent="0.2">
      <c r="G36032" s="889"/>
    </row>
    <row r="36033" spans="7:7" ht="10.5" customHeight="1" x14ac:dyDescent="0.2">
      <c r="G36033" s="889"/>
    </row>
    <row r="36034" spans="7:7" ht="10.5" customHeight="1" x14ac:dyDescent="0.2">
      <c r="G36034" s="889"/>
    </row>
    <row r="36035" spans="7:7" ht="10.5" customHeight="1" x14ac:dyDescent="0.2">
      <c r="G36035" s="889"/>
    </row>
    <row r="36036" spans="7:7" ht="10.5" customHeight="1" x14ac:dyDescent="0.2">
      <c r="G36036" s="889"/>
    </row>
    <row r="36037" spans="7:7" ht="10.5" customHeight="1" x14ac:dyDescent="0.2">
      <c r="G36037" s="889"/>
    </row>
    <row r="36038" spans="7:7" ht="10.5" customHeight="1" x14ac:dyDescent="0.2">
      <c r="G36038" s="889"/>
    </row>
    <row r="36039" spans="7:7" ht="10.5" customHeight="1" x14ac:dyDescent="0.2">
      <c r="G36039" s="889"/>
    </row>
    <row r="36040" spans="7:7" ht="10.5" customHeight="1" x14ac:dyDescent="0.2">
      <c r="G36040" s="889"/>
    </row>
    <row r="36041" spans="7:7" ht="10.5" customHeight="1" x14ac:dyDescent="0.2">
      <c r="G36041" s="889"/>
    </row>
    <row r="36042" spans="7:7" ht="10.5" customHeight="1" x14ac:dyDescent="0.2">
      <c r="G36042" s="889"/>
    </row>
    <row r="36043" spans="7:7" ht="10.5" customHeight="1" x14ac:dyDescent="0.2">
      <c r="G36043" s="889"/>
    </row>
    <row r="36044" spans="7:7" ht="10.5" customHeight="1" x14ac:dyDescent="0.2">
      <c r="G36044" s="889"/>
    </row>
    <row r="36045" spans="7:7" ht="10.5" customHeight="1" x14ac:dyDescent="0.2">
      <c r="G36045" s="889"/>
    </row>
    <row r="36046" spans="7:7" ht="10.5" customHeight="1" x14ac:dyDescent="0.2">
      <c r="G36046" s="889"/>
    </row>
    <row r="36047" spans="7:7" ht="10.5" customHeight="1" x14ac:dyDescent="0.2">
      <c r="G36047" s="889"/>
    </row>
    <row r="36048" spans="7:7" ht="10.5" customHeight="1" x14ac:dyDescent="0.2">
      <c r="G36048" s="889"/>
    </row>
    <row r="36049" spans="7:7" ht="10.5" customHeight="1" x14ac:dyDescent="0.2">
      <c r="G36049" s="889"/>
    </row>
    <row r="36050" spans="7:7" ht="10.5" customHeight="1" x14ac:dyDescent="0.2">
      <c r="G36050" s="889"/>
    </row>
    <row r="36051" spans="7:7" ht="10.5" customHeight="1" x14ac:dyDescent="0.2">
      <c r="G36051" s="889"/>
    </row>
    <row r="36052" spans="7:7" ht="10.5" customHeight="1" x14ac:dyDescent="0.2">
      <c r="G36052" s="889"/>
    </row>
    <row r="36053" spans="7:7" ht="10.5" customHeight="1" x14ac:dyDescent="0.2">
      <c r="G36053" s="889"/>
    </row>
    <row r="36054" spans="7:7" ht="10.5" customHeight="1" x14ac:dyDescent="0.2">
      <c r="G36054" s="889"/>
    </row>
    <row r="36055" spans="7:7" ht="10.5" customHeight="1" x14ac:dyDescent="0.2">
      <c r="G36055" s="889"/>
    </row>
    <row r="36056" spans="7:7" ht="10.5" customHeight="1" x14ac:dyDescent="0.2">
      <c r="G36056" s="889"/>
    </row>
    <row r="36057" spans="7:7" ht="10.5" customHeight="1" x14ac:dyDescent="0.2">
      <c r="G36057" s="889"/>
    </row>
    <row r="36058" spans="7:7" ht="10.5" customHeight="1" x14ac:dyDescent="0.2">
      <c r="G36058" s="889"/>
    </row>
    <row r="36059" spans="7:7" ht="10.5" customHeight="1" x14ac:dyDescent="0.2">
      <c r="G36059" s="889"/>
    </row>
    <row r="36060" spans="7:7" ht="10.5" customHeight="1" x14ac:dyDescent="0.2">
      <c r="G36060" s="889"/>
    </row>
    <row r="36061" spans="7:7" ht="10.5" customHeight="1" x14ac:dyDescent="0.2">
      <c r="G36061" s="889"/>
    </row>
    <row r="36062" spans="7:7" ht="10.5" customHeight="1" x14ac:dyDescent="0.2">
      <c r="G36062" s="889"/>
    </row>
    <row r="36063" spans="7:7" ht="10.5" customHeight="1" x14ac:dyDescent="0.2">
      <c r="G36063" s="889"/>
    </row>
    <row r="36064" spans="7:7" ht="10.5" customHeight="1" x14ac:dyDescent="0.2">
      <c r="G36064" s="889"/>
    </row>
    <row r="36065" spans="7:7" ht="10.5" customHeight="1" x14ac:dyDescent="0.2">
      <c r="G36065" s="889"/>
    </row>
    <row r="36066" spans="7:7" ht="10.5" customHeight="1" x14ac:dyDescent="0.2">
      <c r="G36066" s="889"/>
    </row>
    <row r="36067" spans="7:7" ht="10.5" customHeight="1" x14ac:dyDescent="0.2">
      <c r="G36067" s="889"/>
    </row>
    <row r="36068" spans="7:7" ht="10.5" customHeight="1" x14ac:dyDescent="0.2">
      <c r="G36068" s="889"/>
    </row>
    <row r="36069" spans="7:7" ht="10.5" customHeight="1" x14ac:dyDescent="0.2">
      <c r="G36069" s="889"/>
    </row>
    <row r="36070" spans="7:7" ht="10.5" customHeight="1" x14ac:dyDescent="0.2">
      <c r="G36070" s="889"/>
    </row>
    <row r="36071" spans="7:7" ht="10.5" customHeight="1" x14ac:dyDescent="0.2">
      <c r="G36071" s="889"/>
    </row>
    <row r="36072" spans="7:7" ht="10.5" customHeight="1" x14ac:dyDescent="0.2">
      <c r="G36072" s="889"/>
    </row>
    <row r="36073" spans="7:7" ht="10.5" customHeight="1" x14ac:dyDescent="0.2">
      <c r="G36073" s="889"/>
    </row>
    <row r="36074" spans="7:7" ht="10.5" customHeight="1" x14ac:dyDescent="0.2">
      <c r="G36074" s="889"/>
    </row>
    <row r="36075" spans="7:7" ht="10.5" customHeight="1" x14ac:dyDescent="0.2">
      <c r="G36075" s="889"/>
    </row>
    <row r="36076" spans="7:7" ht="10.5" customHeight="1" x14ac:dyDescent="0.2">
      <c r="G36076" s="889"/>
    </row>
    <row r="36077" spans="7:7" ht="10.5" customHeight="1" x14ac:dyDescent="0.2">
      <c r="G36077" s="889"/>
    </row>
    <row r="36078" spans="7:7" ht="10.5" customHeight="1" x14ac:dyDescent="0.2">
      <c r="G36078" s="889"/>
    </row>
    <row r="36079" spans="7:7" ht="10.5" customHeight="1" x14ac:dyDescent="0.2">
      <c r="G36079" s="889"/>
    </row>
    <row r="36080" spans="7:7" ht="10.5" customHeight="1" x14ac:dyDescent="0.2">
      <c r="G36080" s="889"/>
    </row>
    <row r="36081" spans="7:7" ht="10.5" customHeight="1" x14ac:dyDescent="0.2">
      <c r="G36081" s="889"/>
    </row>
    <row r="36082" spans="7:7" ht="10.5" customHeight="1" x14ac:dyDescent="0.2">
      <c r="G36082" s="889"/>
    </row>
    <row r="36083" spans="7:7" ht="10.5" customHeight="1" x14ac:dyDescent="0.2">
      <c r="G36083" s="889"/>
    </row>
    <row r="36084" spans="7:7" ht="10.5" customHeight="1" x14ac:dyDescent="0.2">
      <c r="G36084" s="889"/>
    </row>
    <row r="36085" spans="7:7" ht="10.5" customHeight="1" x14ac:dyDescent="0.2">
      <c r="G36085" s="889"/>
    </row>
    <row r="36086" spans="7:7" ht="10.5" customHeight="1" x14ac:dyDescent="0.2">
      <c r="G36086" s="889"/>
    </row>
    <row r="36087" spans="7:7" ht="10.5" customHeight="1" x14ac:dyDescent="0.2">
      <c r="G36087" s="889"/>
    </row>
    <row r="36088" spans="7:7" ht="10.5" customHeight="1" x14ac:dyDescent="0.2">
      <c r="G36088" s="889"/>
    </row>
    <row r="36089" spans="7:7" ht="10.5" customHeight="1" x14ac:dyDescent="0.2">
      <c r="G36089" s="889"/>
    </row>
    <row r="36090" spans="7:7" ht="10.5" customHeight="1" x14ac:dyDescent="0.2">
      <c r="G36090" s="889"/>
    </row>
    <row r="36091" spans="7:7" ht="10.5" customHeight="1" x14ac:dyDescent="0.2">
      <c r="G36091" s="889"/>
    </row>
    <row r="36092" spans="7:7" ht="10.5" customHeight="1" x14ac:dyDescent="0.2">
      <c r="G36092" s="889"/>
    </row>
    <row r="36093" spans="7:7" ht="10.5" customHeight="1" x14ac:dyDescent="0.2">
      <c r="G36093" s="889"/>
    </row>
    <row r="36094" spans="7:7" ht="10.5" customHeight="1" x14ac:dyDescent="0.2">
      <c r="G36094" s="889"/>
    </row>
    <row r="36095" spans="7:7" ht="10.5" customHeight="1" x14ac:dyDescent="0.2">
      <c r="G36095" s="889"/>
    </row>
    <row r="36096" spans="7:7" ht="10.5" customHeight="1" x14ac:dyDescent="0.2">
      <c r="G36096" s="889"/>
    </row>
    <row r="36097" spans="7:7" ht="10.5" customHeight="1" x14ac:dyDescent="0.2">
      <c r="G36097" s="889"/>
    </row>
    <row r="36098" spans="7:7" ht="10.5" customHeight="1" x14ac:dyDescent="0.2">
      <c r="G36098" s="889"/>
    </row>
    <row r="36099" spans="7:7" ht="10.5" customHeight="1" x14ac:dyDescent="0.2">
      <c r="G36099" s="889"/>
    </row>
    <row r="36100" spans="7:7" ht="10.5" customHeight="1" x14ac:dyDescent="0.2">
      <c r="G36100" s="889"/>
    </row>
    <row r="36101" spans="7:7" ht="10.5" customHeight="1" x14ac:dyDescent="0.2">
      <c r="G36101" s="889"/>
    </row>
    <row r="36102" spans="7:7" ht="10.5" customHeight="1" x14ac:dyDescent="0.2">
      <c r="G36102" s="889"/>
    </row>
    <row r="36103" spans="7:7" ht="10.5" customHeight="1" x14ac:dyDescent="0.2">
      <c r="G36103" s="889"/>
    </row>
    <row r="36104" spans="7:7" ht="10.5" customHeight="1" x14ac:dyDescent="0.2">
      <c r="G36104" s="889"/>
    </row>
    <row r="36105" spans="7:7" ht="10.5" customHeight="1" x14ac:dyDescent="0.2">
      <c r="G36105" s="889"/>
    </row>
    <row r="36106" spans="7:7" ht="10.5" customHeight="1" x14ac:dyDescent="0.2">
      <c r="G36106" s="889"/>
    </row>
    <row r="36107" spans="7:7" ht="10.5" customHeight="1" x14ac:dyDescent="0.2">
      <c r="G36107" s="889"/>
    </row>
    <row r="36108" spans="7:7" ht="10.5" customHeight="1" x14ac:dyDescent="0.2">
      <c r="G36108" s="889"/>
    </row>
    <row r="36109" spans="7:7" ht="10.5" customHeight="1" x14ac:dyDescent="0.2">
      <c r="G36109" s="889"/>
    </row>
    <row r="36110" spans="7:7" ht="10.5" customHeight="1" x14ac:dyDescent="0.2">
      <c r="G36110" s="889"/>
    </row>
    <row r="36111" spans="7:7" ht="10.5" customHeight="1" x14ac:dyDescent="0.2">
      <c r="G36111" s="889"/>
    </row>
    <row r="36112" spans="7:7" ht="10.5" customHeight="1" x14ac:dyDescent="0.2">
      <c r="G36112" s="889"/>
    </row>
    <row r="36113" spans="7:7" ht="10.5" customHeight="1" x14ac:dyDescent="0.2">
      <c r="G36113" s="889"/>
    </row>
    <row r="36114" spans="7:7" ht="10.5" customHeight="1" x14ac:dyDescent="0.2">
      <c r="G36114" s="889"/>
    </row>
    <row r="36115" spans="7:7" ht="10.5" customHeight="1" x14ac:dyDescent="0.2">
      <c r="G36115" s="889"/>
    </row>
    <row r="36116" spans="7:7" ht="10.5" customHeight="1" x14ac:dyDescent="0.2">
      <c r="G36116" s="889"/>
    </row>
    <row r="36117" spans="7:7" ht="10.5" customHeight="1" x14ac:dyDescent="0.2">
      <c r="G36117" s="889"/>
    </row>
    <row r="36118" spans="7:7" ht="10.5" customHeight="1" x14ac:dyDescent="0.2">
      <c r="G36118" s="889"/>
    </row>
    <row r="36119" spans="7:7" ht="10.5" customHeight="1" x14ac:dyDescent="0.2">
      <c r="G36119" s="889"/>
    </row>
    <row r="36120" spans="7:7" ht="10.5" customHeight="1" x14ac:dyDescent="0.2">
      <c r="G36120" s="889"/>
    </row>
    <row r="36121" spans="7:7" ht="10.5" customHeight="1" x14ac:dyDescent="0.2">
      <c r="G36121" s="889"/>
    </row>
    <row r="36122" spans="7:7" ht="10.5" customHeight="1" x14ac:dyDescent="0.2">
      <c r="G36122" s="889"/>
    </row>
    <row r="36123" spans="7:7" ht="10.5" customHeight="1" x14ac:dyDescent="0.2">
      <c r="G36123" s="889"/>
    </row>
    <row r="36124" spans="7:7" ht="10.5" customHeight="1" x14ac:dyDescent="0.2">
      <c r="G36124" s="889"/>
    </row>
    <row r="36125" spans="7:7" ht="10.5" customHeight="1" x14ac:dyDescent="0.2">
      <c r="G36125" s="889"/>
    </row>
    <row r="36126" spans="7:7" ht="10.5" customHeight="1" x14ac:dyDescent="0.2">
      <c r="G36126" s="889"/>
    </row>
    <row r="36127" spans="7:7" ht="10.5" customHeight="1" x14ac:dyDescent="0.2">
      <c r="G36127" s="889"/>
    </row>
    <row r="36128" spans="7:7" ht="10.5" customHeight="1" x14ac:dyDescent="0.2">
      <c r="G36128" s="889"/>
    </row>
    <row r="36129" spans="7:7" ht="10.5" customHeight="1" x14ac:dyDescent="0.2">
      <c r="G36129" s="889"/>
    </row>
    <row r="36130" spans="7:7" ht="10.5" customHeight="1" x14ac:dyDescent="0.2">
      <c r="G36130" s="889"/>
    </row>
    <row r="36131" spans="7:7" ht="10.5" customHeight="1" x14ac:dyDescent="0.2">
      <c r="G36131" s="889"/>
    </row>
    <row r="36132" spans="7:7" ht="10.5" customHeight="1" x14ac:dyDescent="0.2">
      <c r="G36132" s="889"/>
    </row>
    <row r="36133" spans="7:7" ht="10.5" customHeight="1" x14ac:dyDescent="0.2">
      <c r="G36133" s="889"/>
    </row>
    <row r="36134" spans="7:7" ht="10.5" customHeight="1" x14ac:dyDescent="0.2">
      <c r="G36134" s="889"/>
    </row>
    <row r="36135" spans="7:7" ht="10.5" customHeight="1" x14ac:dyDescent="0.2">
      <c r="G36135" s="889"/>
    </row>
    <row r="36136" spans="7:7" ht="10.5" customHeight="1" x14ac:dyDescent="0.2">
      <c r="G36136" s="889"/>
    </row>
    <row r="36137" spans="7:7" ht="10.5" customHeight="1" x14ac:dyDescent="0.2">
      <c r="G36137" s="889"/>
    </row>
    <row r="36138" spans="7:7" ht="10.5" customHeight="1" x14ac:dyDescent="0.2">
      <c r="G36138" s="889"/>
    </row>
    <row r="36139" spans="7:7" ht="10.5" customHeight="1" x14ac:dyDescent="0.2">
      <c r="G36139" s="889"/>
    </row>
    <row r="36140" spans="7:7" ht="10.5" customHeight="1" x14ac:dyDescent="0.2">
      <c r="G36140" s="889"/>
    </row>
    <row r="36141" spans="7:7" ht="10.5" customHeight="1" x14ac:dyDescent="0.2">
      <c r="G36141" s="889"/>
    </row>
    <row r="36142" spans="7:7" ht="10.5" customHeight="1" x14ac:dyDescent="0.2">
      <c r="G36142" s="889"/>
    </row>
    <row r="36143" spans="7:7" ht="10.5" customHeight="1" x14ac:dyDescent="0.2">
      <c r="G36143" s="889"/>
    </row>
    <row r="36144" spans="7:7" ht="10.5" customHeight="1" x14ac:dyDescent="0.2">
      <c r="G36144" s="889"/>
    </row>
    <row r="36145" spans="7:7" ht="10.5" customHeight="1" x14ac:dyDescent="0.2">
      <c r="G36145" s="889"/>
    </row>
    <row r="36146" spans="7:7" ht="10.5" customHeight="1" x14ac:dyDescent="0.2">
      <c r="G36146" s="889"/>
    </row>
    <row r="36147" spans="7:7" ht="10.5" customHeight="1" x14ac:dyDescent="0.2">
      <c r="G36147" s="889"/>
    </row>
    <row r="36148" spans="7:7" ht="10.5" customHeight="1" x14ac:dyDescent="0.2">
      <c r="G36148" s="889"/>
    </row>
    <row r="36149" spans="7:7" ht="10.5" customHeight="1" x14ac:dyDescent="0.2">
      <c r="G36149" s="889"/>
    </row>
    <row r="36150" spans="7:7" ht="10.5" customHeight="1" x14ac:dyDescent="0.2">
      <c r="G36150" s="889"/>
    </row>
    <row r="36151" spans="7:7" ht="10.5" customHeight="1" x14ac:dyDescent="0.2">
      <c r="G36151" s="889"/>
    </row>
    <row r="36152" spans="7:7" ht="10.5" customHeight="1" x14ac:dyDescent="0.2">
      <c r="G36152" s="889"/>
    </row>
    <row r="36153" spans="7:7" ht="10.5" customHeight="1" x14ac:dyDescent="0.2">
      <c r="G36153" s="889"/>
    </row>
    <row r="36154" spans="7:7" ht="10.5" customHeight="1" x14ac:dyDescent="0.2">
      <c r="G36154" s="889"/>
    </row>
    <row r="36155" spans="7:7" ht="10.5" customHeight="1" x14ac:dyDescent="0.2">
      <c r="G36155" s="889"/>
    </row>
    <row r="36156" spans="7:7" ht="10.5" customHeight="1" x14ac:dyDescent="0.2">
      <c r="G36156" s="889"/>
    </row>
    <row r="36157" spans="7:7" ht="10.5" customHeight="1" x14ac:dyDescent="0.2">
      <c r="G36157" s="889"/>
    </row>
    <row r="36158" spans="7:7" ht="10.5" customHeight="1" x14ac:dyDescent="0.2">
      <c r="G36158" s="889"/>
    </row>
    <row r="36159" spans="7:7" ht="10.5" customHeight="1" x14ac:dyDescent="0.2">
      <c r="G36159" s="889"/>
    </row>
    <row r="36160" spans="7:7" ht="10.5" customHeight="1" x14ac:dyDescent="0.2">
      <c r="G36160" s="889"/>
    </row>
    <row r="36161" spans="7:7" ht="10.5" customHeight="1" x14ac:dyDescent="0.2">
      <c r="G36161" s="889"/>
    </row>
    <row r="36162" spans="7:7" ht="10.5" customHeight="1" x14ac:dyDescent="0.2">
      <c r="G36162" s="889"/>
    </row>
    <row r="36163" spans="7:7" ht="10.5" customHeight="1" x14ac:dyDescent="0.2">
      <c r="G36163" s="889"/>
    </row>
    <row r="36164" spans="7:7" ht="10.5" customHeight="1" x14ac:dyDescent="0.2">
      <c r="G36164" s="889"/>
    </row>
    <row r="36165" spans="7:7" ht="10.5" customHeight="1" x14ac:dyDescent="0.2">
      <c r="G36165" s="889"/>
    </row>
    <row r="36166" spans="7:7" ht="10.5" customHeight="1" x14ac:dyDescent="0.2">
      <c r="G36166" s="889"/>
    </row>
    <row r="36167" spans="7:7" ht="10.5" customHeight="1" x14ac:dyDescent="0.2">
      <c r="G36167" s="889"/>
    </row>
    <row r="36168" spans="7:7" ht="10.5" customHeight="1" x14ac:dyDescent="0.2">
      <c r="G36168" s="889"/>
    </row>
    <row r="36169" spans="7:7" ht="10.5" customHeight="1" x14ac:dyDescent="0.2">
      <c r="G36169" s="889"/>
    </row>
    <row r="36170" spans="7:7" ht="10.5" customHeight="1" x14ac:dyDescent="0.2">
      <c r="G36170" s="889"/>
    </row>
    <row r="36171" spans="7:7" ht="10.5" customHeight="1" x14ac:dyDescent="0.2">
      <c r="G36171" s="889"/>
    </row>
    <row r="36172" spans="7:7" ht="10.5" customHeight="1" x14ac:dyDescent="0.2">
      <c r="G36172" s="889"/>
    </row>
    <row r="36173" spans="7:7" ht="10.5" customHeight="1" x14ac:dyDescent="0.2">
      <c r="G36173" s="889"/>
    </row>
    <row r="36174" spans="7:7" ht="10.5" customHeight="1" x14ac:dyDescent="0.2">
      <c r="G36174" s="889"/>
    </row>
    <row r="36175" spans="7:7" ht="10.5" customHeight="1" x14ac:dyDescent="0.2">
      <c r="G36175" s="889"/>
    </row>
    <row r="36176" spans="7:7" ht="10.5" customHeight="1" x14ac:dyDescent="0.2">
      <c r="G36176" s="889"/>
    </row>
    <row r="36177" spans="7:7" ht="10.5" customHeight="1" x14ac:dyDescent="0.2">
      <c r="G36177" s="889"/>
    </row>
    <row r="36178" spans="7:7" ht="10.5" customHeight="1" x14ac:dyDescent="0.2">
      <c r="G36178" s="889"/>
    </row>
    <row r="36179" spans="7:7" ht="10.5" customHeight="1" x14ac:dyDescent="0.2">
      <c r="G36179" s="889"/>
    </row>
    <row r="36180" spans="7:7" ht="10.5" customHeight="1" x14ac:dyDescent="0.2">
      <c r="G36180" s="889"/>
    </row>
    <row r="36181" spans="7:7" ht="10.5" customHeight="1" x14ac:dyDescent="0.2">
      <c r="G36181" s="889"/>
    </row>
    <row r="36182" spans="7:7" ht="10.5" customHeight="1" x14ac:dyDescent="0.2">
      <c r="G36182" s="889"/>
    </row>
    <row r="36183" spans="7:7" ht="10.5" customHeight="1" x14ac:dyDescent="0.2">
      <c r="G36183" s="889"/>
    </row>
    <row r="36184" spans="7:7" ht="10.5" customHeight="1" x14ac:dyDescent="0.2">
      <c r="G36184" s="889"/>
    </row>
    <row r="36185" spans="7:7" ht="10.5" customHeight="1" x14ac:dyDescent="0.2">
      <c r="G36185" s="889"/>
    </row>
    <row r="36186" spans="7:7" ht="10.5" customHeight="1" x14ac:dyDescent="0.2">
      <c r="G36186" s="889"/>
    </row>
    <row r="36187" spans="7:7" ht="10.5" customHeight="1" x14ac:dyDescent="0.2">
      <c r="G36187" s="889"/>
    </row>
    <row r="36188" spans="7:7" ht="10.5" customHeight="1" x14ac:dyDescent="0.2">
      <c r="G36188" s="889"/>
    </row>
    <row r="36189" spans="7:7" ht="10.5" customHeight="1" x14ac:dyDescent="0.2">
      <c r="G36189" s="889"/>
    </row>
    <row r="36190" spans="7:7" ht="10.5" customHeight="1" x14ac:dyDescent="0.2">
      <c r="G36190" s="889"/>
    </row>
    <row r="36191" spans="7:7" ht="10.5" customHeight="1" x14ac:dyDescent="0.2">
      <c r="G36191" s="889"/>
    </row>
    <row r="36192" spans="7:7" ht="10.5" customHeight="1" x14ac:dyDescent="0.2">
      <c r="G36192" s="889"/>
    </row>
    <row r="36193" spans="7:7" ht="10.5" customHeight="1" x14ac:dyDescent="0.2">
      <c r="G36193" s="889"/>
    </row>
    <row r="36194" spans="7:7" ht="10.5" customHeight="1" x14ac:dyDescent="0.2">
      <c r="G36194" s="889"/>
    </row>
    <row r="36195" spans="7:7" ht="10.5" customHeight="1" x14ac:dyDescent="0.2">
      <c r="G36195" s="889"/>
    </row>
    <row r="36196" spans="7:7" ht="10.5" customHeight="1" x14ac:dyDescent="0.2">
      <c r="G36196" s="889"/>
    </row>
    <row r="36197" spans="7:7" ht="10.5" customHeight="1" x14ac:dyDescent="0.2">
      <c r="G36197" s="889"/>
    </row>
    <row r="36198" spans="7:7" ht="10.5" customHeight="1" x14ac:dyDescent="0.2">
      <c r="G36198" s="889"/>
    </row>
    <row r="36199" spans="7:7" ht="10.5" customHeight="1" x14ac:dyDescent="0.2">
      <c r="G36199" s="889"/>
    </row>
    <row r="36200" spans="7:7" ht="10.5" customHeight="1" x14ac:dyDescent="0.2">
      <c r="G36200" s="889"/>
    </row>
    <row r="36201" spans="7:7" ht="10.5" customHeight="1" x14ac:dyDescent="0.2">
      <c r="G36201" s="889"/>
    </row>
    <row r="36202" spans="7:7" ht="10.5" customHeight="1" x14ac:dyDescent="0.2">
      <c r="G36202" s="889"/>
    </row>
    <row r="36203" spans="7:7" ht="10.5" customHeight="1" x14ac:dyDescent="0.2">
      <c r="G36203" s="889"/>
    </row>
    <row r="36204" spans="7:7" ht="10.5" customHeight="1" x14ac:dyDescent="0.2">
      <c r="G36204" s="889"/>
    </row>
    <row r="36205" spans="7:7" ht="10.5" customHeight="1" x14ac:dyDescent="0.2">
      <c r="G36205" s="889"/>
    </row>
    <row r="36206" spans="7:7" ht="10.5" customHeight="1" x14ac:dyDescent="0.2">
      <c r="G36206" s="889"/>
    </row>
    <row r="36207" spans="7:7" ht="10.5" customHeight="1" x14ac:dyDescent="0.2">
      <c r="G36207" s="889"/>
    </row>
    <row r="36208" spans="7:7" ht="10.5" customHeight="1" x14ac:dyDescent="0.2">
      <c r="G36208" s="889"/>
    </row>
    <row r="36209" spans="7:7" ht="10.5" customHeight="1" x14ac:dyDescent="0.2">
      <c r="G36209" s="889"/>
    </row>
    <row r="36210" spans="7:7" ht="10.5" customHeight="1" x14ac:dyDescent="0.2">
      <c r="G36210" s="889"/>
    </row>
    <row r="36211" spans="7:7" ht="10.5" customHeight="1" x14ac:dyDescent="0.2">
      <c r="G36211" s="889"/>
    </row>
    <row r="36212" spans="7:7" ht="10.5" customHeight="1" x14ac:dyDescent="0.2">
      <c r="G36212" s="889"/>
    </row>
    <row r="36213" spans="7:7" ht="10.5" customHeight="1" x14ac:dyDescent="0.2">
      <c r="G36213" s="889"/>
    </row>
    <row r="36214" spans="7:7" ht="10.5" customHeight="1" x14ac:dyDescent="0.2">
      <c r="G36214" s="889"/>
    </row>
    <row r="36215" spans="7:7" ht="10.5" customHeight="1" x14ac:dyDescent="0.2">
      <c r="G36215" s="889"/>
    </row>
    <row r="36216" spans="7:7" ht="10.5" customHeight="1" x14ac:dyDescent="0.2">
      <c r="G36216" s="889"/>
    </row>
    <row r="36217" spans="7:7" ht="10.5" customHeight="1" x14ac:dyDescent="0.2">
      <c r="G36217" s="889"/>
    </row>
    <row r="36218" spans="7:7" ht="10.5" customHeight="1" x14ac:dyDescent="0.2">
      <c r="G36218" s="889"/>
    </row>
    <row r="36219" spans="7:7" ht="10.5" customHeight="1" x14ac:dyDescent="0.2">
      <c r="G36219" s="889"/>
    </row>
    <row r="36220" spans="7:7" ht="10.5" customHeight="1" x14ac:dyDescent="0.2">
      <c r="G36220" s="889"/>
    </row>
    <row r="36221" spans="7:7" ht="10.5" customHeight="1" x14ac:dyDescent="0.2">
      <c r="G36221" s="889"/>
    </row>
    <row r="36222" spans="7:7" ht="10.5" customHeight="1" x14ac:dyDescent="0.2">
      <c r="G36222" s="889"/>
    </row>
    <row r="36223" spans="7:7" ht="10.5" customHeight="1" x14ac:dyDescent="0.2">
      <c r="G36223" s="889"/>
    </row>
    <row r="36224" spans="7:7" ht="10.5" customHeight="1" x14ac:dyDescent="0.2">
      <c r="G36224" s="889"/>
    </row>
    <row r="36225" spans="7:7" ht="10.5" customHeight="1" x14ac:dyDescent="0.2">
      <c r="G36225" s="889"/>
    </row>
    <row r="36226" spans="7:7" ht="10.5" customHeight="1" x14ac:dyDescent="0.2">
      <c r="G36226" s="889"/>
    </row>
    <row r="36227" spans="7:7" ht="10.5" customHeight="1" x14ac:dyDescent="0.2">
      <c r="G36227" s="889"/>
    </row>
    <row r="36228" spans="7:7" ht="10.5" customHeight="1" x14ac:dyDescent="0.2">
      <c r="G36228" s="889"/>
    </row>
    <row r="36229" spans="7:7" ht="10.5" customHeight="1" x14ac:dyDescent="0.2">
      <c r="G36229" s="889"/>
    </row>
    <row r="36230" spans="7:7" ht="10.5" customHeight="1" x14ac:dyDescent="0.2">
      <c r="G36230" s="889"/>
    </row>
    <row r="36231" spans="7:7" ht="10.5" customHeight="1" x14ac:dyDescent="0.2">
      <c r="G36231" s="889"/>
    </row>
    <row r="36232" spans="7:7" ht="10.5" customHeight="1" x14ac:dyDescent="0.2">
      <c r="G36232" s="889"/>
    </row>
    <row r="36233" spans="7:7" ht="10.5" customHeight="1" x14ac:dyDescent="0.2">
      <c r="G36233" s="889"/>
    </row>
    <row r="36234" spans="7:7" ht="10.5" customHeight="1" x14ac:dyDescent="0.2">
      <c r="G36234" s="889"/>
    </row>
    <row r="36235" spans="7:7" ht="10.5" customHeight="1" x14ac:dyDescent="0.2">
      <c r="G36235" s="889"/>
    </row>
    <row r="36236" spans="7:7" ht="10.5" customHeight="1" x14ac:dyDescent="0.2">
      <c r="G36236" s="889"/>
    </row>
    <row r="36237" spans="7:7" ht="10.5" customHeight="1" x14ac:dyDescent="0.2">
      <c r="G36237" s="889"/>
    </row>
    <row r="36238" spans="7:7" ht="10.5" customHeight="1" x14ac:dyDescent="0.2">
      <c r="G36238" s="889"/>
    </row>
    <row r="36239" spans="7:7" ht="10.5" customHeight="1" x14ac:dyDescent="0.2">
      <c r="G36239" s="889"/>
    </row>
    <row r="36240" spans="7:7" ht="10.5" customHeight="1" x14ac:dyDescent="0.2">
      <c r="G36240" s="889"/>
    </row>
    <row r="36241" spans="7:7" ht="10.5" customHeight="1" x14ac:dyDescent="0.2">
      <c r="G36241" s="889"/>
    </row>
    <row r="36242" spans="7:7" ht="10.5" customHeight="1" x14ac:dyDescent="0.2">
      <c r="G36242" s="889"/>
    </row>
    <row r="36243" spans="7:7" ht="10.5" customHeight="1" x14ac:dyDescent="0.2">
      <c r="G36243" s="889"/>
    </row>
    <row r="36244" spans="7:7" ht="10.5" customHeight="1" x14ac:dyDescent="0.2">
      <c r="G36244" s="889"/>
    </row>
    <row r="36245" spans="7:7" ht="10.5" customHeight="1" x14ac:dyDescent="0.2">
      <c r="G36245" s="889"/>
    </row>
    <row r="36246" spans="7:7" ht="10.5" customHeight="1" x14ac:dyDescent="0.2">
      <c r="G36246" s="889"/>
    </row>
    <row r="36247" spans="7:7" ht="10.5" customHeight="1" x14ac:dyDescent="0.2">
      <c r="G36247" s="889"/>
    </row>
    <row r="36248" spans="7:7" ht="10.5" customHeight="1" x14ac:dyDescent="0.2">
      <c r="G36248" s="889"/>
    </row>
    <row r="36249" spans="7:7" ht="10.5" customHeight="1" x14ac:dyDescent="0.2">
      <c r="G36249" s="889"/>
    </row>
    <row r="36250" spans="7:7" ht="10.5" customHeight="1" x14ac:dyDescent="0.2">
      <c r="G36250" s="889"/>
    </row>
    <row r="36251" spans="7:7" ht="10.5" customHeight="1" x14ac:dyDescent="0.2">
      <c r="G36251" s="889"/>
    </row>
    <row r="36252" spans="7:7" ht="10.5" customHeight="1" x14ac:dyDescent="0.2">
      <c r="G36252" s="889"/>
    </row>
    <row r="36253" spans="7:7" ht="10.5" customHeight="1" x14ac:dyDescent="0.2">
      <c r="G36253" s="889"/>
    </row>
    <row r="36254" spans="7:7" ht="10.5" customHeight="1" x14ac:dyDescent="0.2">
      <c r="G36254" s="889"/>
    </row>
    <row r="36255" spans="7:7" ht="10.5" customHeight="1" x14ac:dyDescent="0.2">
      <c r="G36255" s="889"/>
    </row>
    <row r="36256" spans="7:7" ht="10.5" customHeight="1" x14ac:dyDescent="0.2">
      <c r="G36256" s="889"/>
    </row>
    <row r="36257" spans="7:7" ht="10.5" customHeight="1" x14ac:dyDescent="0.2">
      <c r="G36257" s="889"/>
    </row>
    <row r="36258" spans="7:7" ht="10.5" customHeight="1" x14ac:dyDescent="0.2">
      <c r="G36258" s="889"/>
    </row>
    <row r="36259" spans="7:7" ht="10.5" customHeight="1" x14ac:dyDescent="0.2">
      <c r="G36259" s="889"/>
    </row>
    <row r="36260" spans="7:7" ht="10.5" customHeight="1" x14ac:dyDescent="0.2">
      <c r="G36260" s="889"/>
    </row>
    <row r="36261" spans="7:7" ht="10.5" customHeight="1" x14ac:dyDescent="0.2">
      <c r="G36261" s="889"/>
    </row>
    <row r="36262" spans="7:7" ht="10.5" customHeight="1" x14ac:dyDescent="0.2">
      <c r="G36262" s="889"/>
    </row>
    <row r="36263" spans="7:7" ht="10.5" customHeight="1" x14ac:dyDescent="0.2">
      <c r="G36263" s="889"/>
    </row>
    <row r="36264" spans="7:7" ht="10.5" customHeight="1" x14ac:dyDescent="0.2">
      <c r="G36264" s="889"/>
    </row>
    <row r="36265" spans="7:7" ht="10.5" customHeight="1" x14ac:dyDescent="0.2">
      <c r="G36265" s="889"/>
    </row>
    <row r="36266" spans="7:7" ht="10.5" customHeight="1" x14ac:dyDescent="0.2">
      <c r="G36266" s="889"/>
    </row>
    <row r="36267" spans="7:7" ht="10.5" customHeight="1" x14ac:dyDescent="0.2">
      <c r="G36267" s="889"/>
    </row>
    <row r="36268" spans="7:7" ht="10.5" customHeight="1" x14ac:dyDescent="0.2">
      <c r="G36268" s="889"/>
    </row>
    <row r="36269" spans="7:7" ht="10.5" customHeight="1" x14ac:dyDescent="0.2">
      <c r="G36269" s="889"/>
    </row>
    <row r="36270" spans="7:7" ht="10.5" customHeight="1" x14ac:dyDescent="0.2">
      <c r="G36270" s="889"/>
    </row>
    <row r="36271" spans="7:7" ht="10.5" customHeight="1" x14ac:dyDescent="0.2">
      <c r="G36271" s="889"/>
    </row>
    <row r="36272" spans="7:7" ht="10.5" customHeight="1" x14ac:dyDescent="0.2">
      <c r="G36272" s="889"/>
    </row>
    <row r="36273" spans="7:7" ht="10.5" customHeight="1" x14ac:dyDescent="0.2">
      <c r="G36273" s="889"/>
    </row>
    <row r="36274" spans="7:7" ht="10.5" customHeight="1" x14ac:dyDescent="0.2">
      <c r="G36274" s="889"/>
    </row>
    <row r="36275" spans="7:7" ht="10.5" customHeight="1" x14ac:dyDescent="0.2">
      <c r="G36275" s="889"/>
    </row>
    <row r="36276" spans="7:7" ht="10.5" customHeight="1" x14ac:dyDescent="0.2">
      <c r="G36276" s="889"/>
    </row>
    <row r="36277" spans="7:7" ht="10.5" customHeight="1" x14ac:dyDescent="0.2">
      <c r="G36277" s="889"/>
    </row>
    <row r="36278" spans="7:7" ht="10.5" customHeight="1" x14ac:dyDescent="0.2">
      <c r="G36278" s="889"/>
    </row>
    <row r="36279" spans="7:7" ht="10.5" customHeight="1" x14ac:dyDescent="0.2">
      <c r="G36279" s="889"/>
    </row>
    <row r="36280" spans="7:7" ht="10.5" customHeight="1" x14ac:dyDescent="0.2">
      <c r="G36280" s="889"/>
    </row>
    <row r="36281" spans="7:7" ht="10.5" customHeight="1" x14ac:dyDescent="0.2">
      <c r="G36281" s="889"/>
    </row>
    <row r="36282" spans="7:7" ht="10.5" customHeight="1" x14ac:dyDescent="0.2">
      <c r="G36282" s="889"/>
    </row>
    <row r="36283" spans="7:7" ht="10.5" customHeight="1" x14ac:dyDescent="0.2">
      <c r="G36283" s="889"/>
    </row>
    <row r="36284" spans="7:7" ht="10.5" customHeight="1" x14ac:dyDescent="0.2">
      <c r="G36284" s="889"/>
    </row>
    <row r="36285" spans="7:7" ht="10.5" customHeight="1" x14ac:dyDescent="0.2">
      <c r="G36285" s="889"/>
    </row>
    <row r="36286" spans="7:7" ht="10.5" customHeight="1" x14ac:dyDescent="0.2">
      <c r="G36286" s="889"/>
    </row>
    <row r="36287" spans="7:7" ht="10.5" customHeight="1" x14ac:dyDescent="0.2">
      <c r="G36287" s="889"/>
    </row>
    <row r="36288" spans="7:7" ht="10.5" customHeight="1" x14ac:dyDescent="0.2">
      <c r="G36288" s="889"/>
    </row>
    <row r="36289" spans="7:7" ht="10.5" customHeight="1" x14ac:dyDescent="0.2">
      <c r="G36289" s="889"/>
    </row>
    <row r="36290" spans="7:7" ht="10.5" customHeight="1" x14ac:dyDescent="0.2">
      <c r="G36290" s="889"/>
    </row>
    <row r="36291" spans="7:7" ht="10.5" customHeight="1" x14ac:dyDescent="0.2">
      <c r="G36291" s="889"/>
    </row>
    <row r="36292" spans="7:7" ht="10.5" customHeight="1" x14ac:dyDescent="0.2">
      <c r="G36292" s="889"/>
    </row>
    <row r="36293" spans="7:7" ht="10.5" customHeight="1" x14ac:dyDescent="0.2">
      <c r="G36293" s="889"/>
    </row>
    <row r="36294" spans="7:7" ht="10.5" customHeight="1" x14ac:dyDescent="0.2">
      <c r="G36294" s="889"/>
    </row>
    <row r="36295" spans="7:7" ht="10.5" customHeight="1" x14ac:dyDescent="0.2">
      <c r="G36295" s="889"/>
    </row>
    <row r="36296" spans="7:7" ht="10.5" customHeight="1" x14ac:dyDescent="0.2">
      <c r="G36296" s="889"/>
    </row>
    <row r="36297" spans="7:7" ht="10.5" customHeight="1" x14ac:dyDescent="0.2">
      <c r="G36297" s="889"/>
    </row>
    <row r="36298" spans="7:7" ht="10.5" customHeight="1" x14ac:dyDescent="0.2">
      <c r="G36298" s="889"/>
    </row>
    <row r="36299" spans="7:7" ht="10.5" customHeight="1" x14ac:dyDescent="0.2">
      <c r="G36299" s="889"/>
    </row>
    <row r="36300" spans="7:7" ht="10.5" customHeight="1" x14ac:dyDescent="0.2">
      <c r="G36300" s="889"/>
    </row>
    <row r="36301" spans="7:7" ht="10.5" customHeight="1" x14ac:dyDescent="0.2">
      <c r="G36301" s="889"/>
    </row>
    <row r="36302" spans="7:7" ht="10.5" customHeight="1" x14ac:dyDescent="0.2">
      <c r="G36302" s="889"/>
    </row>
    <row r="36303" spans="7:7" ht="10.5" customHeight="1" x14ac:dyDescent="0.2">
      <c r="G36303" s="889"/>
    </row>
    <row r="36304" spans="7:7" ht="10.5" customHeight="1" x14ac:dyDescent="0.2">
      <c r="G36304" s="889"/>
    </row>
    <row r="36305" spans="7:7" ht="10.5" customHeight="1" x14ac:dyDescent="0.2">
      <c r="G36305" s="889"/>
    </row>
    <row r="36306" spans="7:7" ht="10.5" customHeight="1" x14ac:dyDescent="0.2">
      <c r="G36306" s="889"/>
    </row>
    <row r="36307" spans="7:7" ht="10.5" customHeight="1" x14ac:dyDescent="0.2">
      <c r="G36307" s="889"/>
    </row>
    <row r="36308" spans="7:7" ht="10.5" customHeight="1" x14ac:dyDescent="0.2">
      <c r="G36308" s="889"/>
    </row>
    <row r="36309" spans="7:7" ht="10.5" customHeight="1" x14ac:dyDescent="0.2">
      <c r="G36309" s="889"/>
    </row>
    <row r="36310" spans="7:7" ht="10.5" customHeight="1" x14ac:dyDescent="0.2">
      <c r="G36310" s="889"/>
    </row>
    <row r="36311" spans="7:7" ht="10.5" customHeight="1" x14ac:dyDescent="0.2">
      <c r="G36311" s="889"/>
    </row>
    <row r="36312" spans="7:7" ht="10.5" customHeight="1" x14ac:dyDescent="0.2">
      <c r="G36312" s="889"/>
    </row>
    <row r="36313" spans="7:7" ht="10.5" customHeight="1" x14ac:dyDescent="0.2">
      <c r="G36313" s="889"/>
    </row>
    <row r="36314" spans="7:7" ht="10.5" customHeight="1" x14ac:dyDescent="0.2">
      <c r="G36314" s="889"/>
    </row>
    <row r="36315" spans="7:7" ht="10.5" customHeight="1" x14ac:dyDescent="0.2">
      <c r="G36315" s="889"/>
    </row>
    <row r="36316" spans="7:7" ht="10.5" customHeight="1" x14ac:dyDescent="0.2">
      <c r="G36316" s="889"/>
    </row>
    <row r="36317" spans="7:7" ht="10.5" customHeight="1" x14ac:dyDescent="0.2">
      <c r="G36317" s="889"/>
    </row>
    <row r="36318" spans="7:7" ht="10.5" customHeight="1" x14ac:dyDescent="0.2">
      <c r="G36318" s="889"/>
    </row>
    <row r="36319" spans="7:7" ht="10.5" customHeight="1" x14ac:dyDescent="0.2">
      <c r="G36319" s="889"/>
    </row>
    <row r="36320" spans="7:7" ht="10.5" customHeight="1" x14ac:dyDescent="0.2">
      <c r="G36320" s="889"/>
    </row>
    <row r="36321" spans="7:7" ht="10.5" customHeight="1" x14ac:dyDescent="0.2">
      <c r="G36321" s="889"/>
    </row>
    <row r="36322" spans="7:7" ht="10.5" customHeight="1" x14ac:dyDescent="0.2">
      <c r="G36322" s="889"/>
    </row>
    <row r="36323" spans="7:7" ht="10.5" customHeight="1" x14ac:dyDescent="0.2">
      <c r="G36323" s="889"/>
    </row>
    <row r="36324" spans="7:7" ht="10.5" customHeight="1" x14ac:dyDescent="0.2">
      <c r="G36324" s="889"/>
    </row>
    <row r="36325" spans="7:7" ht="10.5" customHeight="1" x14ac:dyDescent="0.2">
      <c r="G36325" s="889"/>
    </row>
    <row r="36326" spans="7:7" ht="10.5" customHeight="1" x14ac:dyDescent="0.2">
      <c r="G36326" s="889"/>
    </row>
    <row r="36327" spans="7:7" ht="10.5" customHeight="1" x14ac:dyDescent="0.2">
      <c r="G36327" s="889"/>
    </row>
    <row r="36328" spans="7:7" ht="10.5" customHeight="1" x14ac:dyDescent="0.2">
      <c r="G36328" s="889"/>
    </row>
    <row r="36329" spans="7:7" ht="10.5" customHeight="1" x14ac:dyDescent="0.2">
      <c r="G36329" s="889"/>
    </row>
    <row r="36330" spans="7:7" ht="10.5" customHeight="1" x14ac:dyDescent="0.2">
      <c r="G36330" s="889"/>
    </row>
    <row r="36331" spans="7:7" ht="10.5" customHeight="1" x14ac:dyDescent="0.2">
      <c r="G36331" s="889"/>
    </row>
    <row r="36332" spans="7:7" ht="10.5" customHeight="1" x14ac:dyDescent="0.2">
      <c r="G36332" s="889"/>
    </row>
    <row r="36333" spans="7:7" ht="10.5" customHeight="1" x14ac:dyDescent="0.2">
      <c r="G36333" s="889"/>
    </row>
    <row r="36334" spans="7:7" ht="10.5" customHeight="1" x14ac:dyDescent="0.2">
      <c r="G36334" s="889"/>
    </row>
    <row r="36335" spans="7:7" ht="10.5" customHeight="1" x14ac:dyDescent="0.2">
      <c r="G36335" s="889"/>
    </row>
    <row r="36336" spans="7:7" ht="10.5" customHeight="1" x14ac:dyDescent="0.2">
      <c r="G36336" s="889"/>
    </row>
    <row r="36337" spans="7:7" ht="10.5" customHeight="1" x14ac:dyDescent="0.2">
      <c r="G36337" s="889"/>
    </row>
    <row r="36338" spans="7:7" ht="10.5" customHeight="1" x14ac:dyDescent="0.2">
      <c r="G36338" s="889"/>
    </row>
    <row r="36339" spans="7:7" ht="10.5" customHeight="1" x14ac:dyDescent="0.2">
      <c r="G36339" s="889"/>
    </row>
    <row r="36340" spans="7:7" ht="10.5" customHeight="1" x14ac:dyDescent="0.2">
      <c r="G36340" s="889"/>
    </row>
    <row r="36341" spans="7:7" ht="10.5" customHeight="1" x14ac:dyDescent="0.2">
      <c r="G36341" s="889"/>
    </row>
    <row r="36342" spans="7:7" ht="10.5" customHeight="1" x14ac:dyDescent="0.2">
      <c r="G36342" s="889"/>
    </row>
    <row r="36343" spans="7:7" ht="10.5" customHeight="1" x14ac:dyDescent="0.2">
      <c r="G36343" s="889"/>
    </row>
    <row r="36344" spans="7:7" ht="10.5" customHeight="1" x14ac:dyDescent="0.2">
      <c r="G36344" s="889"/>
    </row>
    <row r="36345" spans="7:7" ht="10.5" customHeight="1" x14ac:dyDescent="0.2">
      <c r="G36345" s="889"/>
    </row>
    <row r="36346" spans="7:7" ht="10.5" customHeight="1" x14ac:dyDescent="0.2">
      <c r="G36346" s="889"/>
    </row>
    <row r="36347" spans="7:7" ht="10.5" customHeight="1" x14ac:dyDescent="0.2">
      <c r="G36347" s="889"/>
    </row>
    <row r="36348" spans="7:7" ht="10.5" customHeight="1" x14ac:dyDescent="0.2">
      <c r="G36348" s="889"/>
    </row>
    <row r="36349" spans="7:7" ht="10.5" customHeight="1" x14ac:dyDescent="0.2">
      <c r="G36349" s="889"/>
    </row>
    <row r="36350" spans="7:7" ht="10.5" customHeight="1" x14ac:dyDescent="0.2">
      <c r="G36350" s="889"/>
    </row>
    <row r="36351" spans="7:7" ht="10.5" customHeight="1" x14ac:dyDescent="0.2">
      <c r="G36351" s="889"/>
    </row>
    <row r="36352" spans="7:7" ht="10.5" customHeight="1" x14ac:dyDescent="0.2">
      <c r="G36352" s="889"/>
    </row>
    <row r="36353" spans="7:7" ht="10.5" customHeight="1" x14ac:dyDescent="0.2">
      <c r="G36353" s="889"/>
    </row>
    <row r="36354" spans="7:7" ht="10.5" customHeight="1" x14ac:dyDescent="0.2">
      <c r="G36354" s="889"/>
    </row>
    <row r="36355" spans="7:7" ht="10.5" customHeight="1" x14ac:dyDescent="0.2">
      <c r="G36355" s="889"/>
    </row>
    <row r="36356" spans="7:7" ht="10.5" customHeight="1" x14ac:dyDescent="0.2">
      <c r="G36356" s="889"/>
    </row>
    <row r="36357" spans="7:7" ht="10.5" customHeight="1" x14ac:dyDescent="0.2">
      <c r="G36357" s="889"/>
    </row>
    <row r="36358" spans="7:7" ht="10.5" customHeight="1" x14ac:dyDescent="0.2">
      <c r="G36358" s="889"/>
    </row>
    <row r="36359" spans="7:7" ht="10.5" customHeight="1" x14ac:dyDescent="0.2">
      <c r="G36359" s="889"/>
    </row>
    <row r="36360" spans="7:7" ht="10.5" customHeight="1" x14ac:dyDescent="0.2">
      <c r="G36360" s="889"/>
    </row>
    <row r="36361" spans="7:7" ht="10.5" customHeight="1" x14ac:dyDescent="0.2">
      <c r="G36361" s="889"/>
    </row>
    <row r="36362" spans="7:7" ht="10.5" customHeight="1" x14ac:dyDescent="0.2">
      <c r="G36362" s="889"/>
    </row>
    <row r="36363" spans="7:7" ht="10.5" customHeight="1" x14ac:dyDescent="0.2">
      <c r="G36363" s="889"/>
    </row>
    <row r="36364" spans="7:7" ht="10.5" customHeight="1" x14ac:dyDescent="0.2">
      <c r="G36364" s="889"/>
    </row>
    <row r="36365" spans="7:7" ht="10.5" customHeight="1" x14ac:dyDescent="0.2">
      <c r="G36365" s="889"/>
    </row>
    <row r="36366" spans="7:7" ht="10.5" customHeight="1" x14ac:dyDescent="0.2">
      <c r="G36366" s="889"/>
    </row>
    <row r="36367" spans="7:7" ht="10.5" customHeight="1" x14ac:dyDescent="0.2">
      <c r="G36367" s="889"/>
    </row>
    <row r="36368" spans="7:7" ht="10.5" customHeight="1" x14ac:dyDescent="0.2">
      <c r="G36368" s="889"/>
    </row>
    <row r="36369" spans="7:7" ht="10.5" customHeight="1" x14ac:dyDescent="0.2">
      <c r="G36369" s="889"/>
    </row>
    <row r="36370" spans="7:7" ht="10.5" customHeight="1" x14ac:dyDescent="0.2">
      <c r="G36370" s="889"/>
    </row>
    <row r="36371" spans="7:7" ht="10.5" customHeight="1" x14ac:dyDescent="0.2">
      <c r="G36371" s="889"/>
    </row>
    <row r="36372" spans="7:7" ht="10.5" customHeight="1" x14ac:dyDescent="0.2">
      <c r="G36372" s="889"/>
    </row>
    <row r="36373" spans="7:7" ht="10.5" customHeight="1" x14ac:dyDescent="0.2">
      <c r="G36373" s="889"/>
    </row>
    <row r="36374" spans="7:7" ht="10.5" customHeight="1" x14ac:dyDescent="0.2">
      <c r="G36374" s="889"/>
    </row>
    <row r="36375" spans="7:7" ht="10.5" customHeight="1" x14ac:dyDescent="0.2">
      <c r="G36375" s="889"/>
    </row>
    <row r="36376" spans="7:7" ht="10.5" customHeight="1" x14ac:dyDescent="0.2">
      <c r="G36376" s="889"/>
    </row>
    <row r="36377" spans="7:7" ht="10.5" customHeight="1" x14ac:dyDescent="0.2">
      <c r="G36377" s="889"/>
    </row>
    <row r="36378" spans="7:7" ht="10.5" customHeight="1" x14ac:dyDescent="0.2">
      <c r="G36378" s="889"/>
    </row>
    <row r="36379" spans="7:7" ht="10.5" customHeight="1" x14ac:dyDescent="0.2">
      <c r="G36379" s="889"/>
    </row>
    <row r="36380" spans="7:7" ht="10.5" customHeight="1" x14ac:dyDescent="0.2">
      <c r="G36380" s="889"/>
    </row>
    <row r="36381" spans="7:7" ht="10.5" customHeight="1" x14ac:dyDescent="0.2">
      <c r="G36381" s="889"/>
    </row>
    <row r="36382" spans="7:7" ht="10.5" customHeight="1" x14ac:dyDescent="0.2">
      <c r="G36382" s="889"/>
    </row>
    <row r="36383" spans="7:7" ht="10.5" customHeight="1" x14ac:dyDescent="0.2">
      <c r="G36383" s="889"/>
    </row>
    <row r="36384" spans="7:7" ht="10.5" customHeight="1" x14ac:dyDescent="0.2">
      <c r="G36384" s="889"/>
    </row>
    <row r="36385" spans="7:7" ht="10.5" customHeight="1" x14ac:dyDescent="0.2">
      <c r="G36385" s="889"/>
    </row>
    <row r="36386" spans="7:7" ht="10.5" customHeight="1" x14ac:dyDescent="0.2">
      <c r="G36386" s="889"/>
    </row>
    <row r="36387" spans="7:7" ht="10.5" customHeight="1" x14ac:dyDescent="0.2">
      <c r="G36387" s="889"/>
    </row>
    <row r="36388" spans="7:7" ht="10.5" customHeight="1" x14ac:dyDescent="0.2">
      <c r="G36388" s="889"/>
    </row>
    <row r="36389" spans="7:7" ht="10.5" customHeight="1" x14ac:dyDescent="0.2">
      <c r="G36389" s="889"/>
    </row>
    <row r="36390" spans="7:7" ht="10.5" customHeight="1" x14ac:dyDescent="0.2">
      <c r="G36390" s="889"/>
    </row>
    <row r="36391" spans="7:7" ht="10.5" customHeight="1" x14ac:dyDescent="0.2">
      <c r="G36391" s="889"/>
    </row>
    <row r="36392" spans="7:7" ht="10.5" customHeight="1" x14ac:dyDescent="0.2">
      <c r="G36392" s="889"/>
    </row>
    <row r="36393" spans="7:7" ht="10.5" customHeight="1" x14ac:dyDescent="0.2">
      <c r="G36393" s="889"/>
    </row>
    <row r="36394" spans="7:7" ht="10.5" customHeight="1" x14ac:dyDescent="0.2">
      <c r="G36394" s="889"/>
    </row>
    <row r="36395" spans="7:7" ht="10.5" customHeight="1" x14ac:dyDescent="0.2">
      <c r="G36395" s="889"/>
    </row>
    <row r="36396" spans="7:7" ht="10.5" customHeight="1" x14ac:dyDescent="0.2">
      <c r="G36396" s="889"/>
    </row>
    <row r="36397" spans="7:7" ht="10.5" customHeight="1" x14ac:dyDescent="0.2">
      <c r="G36397" s="889"/>
    </row>
    <row r="36398" spans="7:7" ht="10.5" customHeight="1" x14ac:dyDescent="0.2">
      <c r="G36398" s="889"/>
    </row>
    <row r="36399" spans="7:7" ht="10.5" customHeight="1" x14ac:dyDescent="0.2">
      <c r="G36399" s="889"/>
    </row>
    <row r="36400" spans="7:7" ht="10.5" customHeight="1" x14ac:dyDescent="0.2">
      <c r="G36400" s="889"/>
    </row>
    <row r="36401" spans="7:7" ht="10.5" customHeight="1" x14ac:dyDescent="0.2">
      <c r="G36401" s="889"/>
    </row>
    <row r="36402" spans="7:7" ht="10.5" customHeight="1" x14ac:dyDescent="0.2">
      <c r="G36402" s="889"/>
    </row>
    <row r="36403" spans="7:7" ht="10.5" customHeight="1" x14ac:dyDescent="0.2">
      <c r="G36403" s="889"/>
    </row>
    <row r="36404" spans="7:7" ht="10.5" customHeight="1" x14ac:dyDescent="0.2">
      <c r="G36404" s="889"/>
    </row>
    <row r="36405" spans="7:7" ht="10.5" customHeight="1" x14ac:dyDescent="0.2">
      <c r="G36405" s="889"/>
    </row>
    <row r="36406" spans="7:7" ht="10.5" customHeight="1" x14ac:dyDescent="0.2">
      <c r="G36406" s="889"/>
    </row>
    <row r="36407" spans="7:7" ht="10.5" customHeight="1" x14ac:dyDescent="0.2">
      <c r="G36407" s="889"/>
    </row>
    <row r="36408" spans="7:7" ht="10.5" customHeight="1" x14ac:dyDescent="0.2">
      <c r="G36408" s="889"/>
    </row>
    <row r="36409" spans="7:7" ht="10.5" customHeight="1" x14ac:dyDescent="0.2">
      <c r="G36409" s="889"/>
    </row>
    <row r="36410" spans="7:7" ht="10.5" customHeight="1" x14ac:dyDescent="0.2">
      <c r="G36410" s="889"/>
    </row>
    <row r="36411" spans="7:7" ht="10.5" customHeight="1" x14ac:dyDescent="0.2">
      <c r="G36411" s="889"/>
    </row>
    <row r="36412" spans="7:7" ht="10.5" customHeight="1" x14ac:dyDescent="0.2">
      <c r="G36412" s="889"/>
    </row>
    <row r="36413" spans="7:7" ht="10.5" customHeight="1" x14ac:dyDescent="0.2">
      <c r="G36413" s="889"/>
    </row>
    <row r="36414" spans="7:7" ht="10.5" customHeight="1" x14ac:dyDescent="0.2">
      <c r="G36414" s="889"/>
    </row>
    <row r="36415" spans="7:7" ht="10.5" customHeight="1" x14ac:dyDescent="0.2">
      <c r="G36415" s="889"/>
    </row>
    <row r="36416" spans="7:7" ht="10.5" customHeight="1" x14ac:dyDescent="0.2">
      <c r="G36416" s="889"/>
    </row>
    <row r="36417" spans="7:7" ht="10.5" customHeight="1" x14ac:dyDescent="0.2">
      <c r="G36417" s="889"/>
    </row>
    <row r="36418" spans="7:7" ht="10.5" customHeight="1" x14ac:dyDescent="0.2">
      <c r="G36418" s="889"/>
    </row>
    <row r="36419" spans="7:7" ht="10.5" customHeight="1" x14ac:dyDescent="0.2">
      <c r="G36419" s="889"/>
    </row>
    <row r="36420" spans="7:7" ht="10.5" customHeight="1" x14ac:dyDescent="0.2">
      <c r="G36420" s="889"/>
    </row>
    <row r="36421" spans="7:7" ht="10.5" customHeight="1" x14ac:dyDescent="0.2">
      <c r="G36421" s="889"/>
    </row>
    <row r="36422" spans="7:7" ht="10.5" customHeight="1" x14ac:dyDescent="0.2">
      <c r="G36422" s="889"/>
    </row>
    <row r="36423" spans="7:7" ht="10.5" customHeight="1" x14ac:dyDescent="0.2">
      <c r="G36423" s="889"/>
    </row>
    <row r="36424" spans="7:7" ht="10.5" customHeight="1" x14ac:dyDescent="0.2">
      <c r="G36424" s="889"/>
    </row>
    <row r="36425" spans="7:7" ht="10.5" customHeight="1" x14ac:dyDescent="0.2">
      <c r="G36425" s="889"/>
    </row>
    <row r="36426" spans="7:7" ht="10.5" customHeight="1" x14ac:dyDescent="0.2">
      <c r="G36426" s="889"/>
    </row>
    <row r="36427" spans="7:7" ht="10.5" customHeight="1" x14ac:dyDescent="0.2">
      <c r="G36427" s="889"/>
    </row>
    <row r="36428" spans="7:7" ht="10.5" customHeight="1" x14ac:dyDescent="0.2">
      <c r="G36428" s="889"/>
    </row>
    <row r="36429" spans="7:7" ht="10.5" customHeight="1" x14ac:dyDescent="0.2">
      <c r="G36429" s="889"/>
    </row>
    <row r="36430" spans="7:7" ht="10.5" customHeight="1" x14ac:dyDescent="0.2">
      <c r="G36430" s="889"/>
    </row>
    <row r="36431" spans="7:7" ht="10.5" customHeight="1" x14ac:dyDescent="0.2">
      <c r="G36431" s="889"/>
    </row>
    <row r="36432" spans="7:7" ht="10.5" customHeight="1" x14ac:dyDescent="0.2">
      <c r="G36432" s="889"/>
    </row>
    <row r="36433" spans="7:7" ht="10.5" customHeight="1" x14ac:dyDescent="0.2">
      <c r="G36433" s="889"/>
    </row>
    <row r="36434" spans="7:7" ht="10.5" customHeight="1" x14ac:dyDescent="0.2">
      <c r="G36434" s="889"/>
    </row>
    <row r="36435" spans="7:7" ht="10.5" customHeight="1" x14ac:dyDescent="0.2">
      <c r="G36435" s="889"/>
    </row>
    <row r="36436" spans="7:7" ht="10.5" customHeight="1" x14ac:dyDescent="0.2">
      <c r="G36436" s="889"/>
    </row>
    <row r="36437" spans="7:7" ht="10.5" customHeight="1" x14ac:dyDescent="0.2">
      <c r="G36437" s="889"/>
    </row>
    <row r="36438" spans="7:7" ht="10.5" customHeight="1" x14ac:dyDescent="0.2">
      <c r="G36438" s="889"/>
    </row>
    <row r="36439" spans="7:7" ht="10.5" customHeight="1" x14ac:dyDescent="0.2">
      <c r="G36439" s="889"/>
    </row>
    <row r="36440" spans="7:7" ht="10.5" customHeight="1" x14ac:dyDescent="0.2">
      <c r="G36440" s="889"/>
    </row>
    <row r="36441" spans="7:7" ht="10.5" customHeight="1" x14ac:dyDescent="0.2">
      <c r="G36441" s="889"/>
    </row>
    <row r="36442" spans="7:7" ht="10.5" customHeight="1" x14ac:dyDescent="0.2">
      <c r="G36442" s="889"/>
    </row>
    <row r="36443" spans="7:7" ht="10.5" customHeight="1" x14ac:dyDescent="0.2">
      <c r="G36443" s="889"/>
    </row>
    <row r="36444" spans="7:7" ht="10.5" customHeight="1" x14ac:dyDescent="0.2">
      <c r="G36444" s="889"/>
    </row>
    <row r="36445" spans="7:7" ht="10.5" customHeight="1" x14ac:dyDescent="0.2">
      <c r="G36445" s="889"/>
    </row>
    <row r="36446" spans="7:7" ht="10.5" customHeight="1" x14ac:dyDescent="0.2">
      <c r="G36446" s="889"/>
    </row>
    <row r="36447" spans="7:7" ht="10.5" customHeight="1" x14ac:dyDescent="0.2">
      <c r="G36447" s="889"/>
    </row>
    <row r="36448" spans="7:7" ht="10.5" customHeight="1" x14ac:dyDescent="0.2">
      <c r="G36448" s="889"/>
    </row>
    <row r="36449" spans="7:7" ht="10.5" customHeight="1" x14ac:dyDescent="0.2">
      <c r="G36449" s="889"/>
    </row>
    <row r="36450" spans="7:7" ht="10.5" customHeight="1" x14ac:dyDescent="0.2">
      <c r="G36450" s="889"/>
    </row>
    <row r="36451" spans="7:7" ht="10.5" customHeight="1" x14ac:dyDescent="0.2">
      <c r="G36451" s="889"/>
    </row>
    <row r="36452" spans="7:7" ht="10.5" customHeight="1" x14ac:dyDescent="0.2">
      <c r="G36452" s="889"/>
    </row>
    <row r="36453" spans="7:7" ht="10.5" customHeight="1" x14ac:dyDescent="0.2">
      <c r="G36453" s="889"/>
    </row>
    <row r="36454" spans="7:7" ht="10.5" customHeight="1" x14ac:dyDescent="0.2">
      <c r="G36454" s="889"/>
    </row>
    <row r="36455" spans="7:7" ht="10.5" customHeight="1" x14ac:dyDescent="0.2">
      <c r="G36455" s="889"/>
    </row>
    <row r="36456" spans="7:7" ht="10.5" customHeight="1" x14ac:dyDescent="0.2">
      <c r="G36456" s="889"/>
    </row>
    <row r="36457" spans="7:7" ht="10.5" customHeight="1" x14ac:dyDescent="0.2">
      <c r="G36457" s="889"/>
    </row>
    <row r="36458" spans="7:7" ht="10.5" customHeight="1" x14ac:dyDescent="0.2">
      <c r="G36458" s="889"/>
    </row>
    <row r="36459" spans="7:7" ht="10.5" customHeight="1" x14ac:dyDescent="0.2">
      <c r="G36459" s="889"/>
    </row>
    <row r="36460" spans="7:7" ht="10.5" customHeight="1" x14ac:dyDescent="0.2">
      <c r="G36460" s="889"/>
    </row>
    <row r="36461" spans="7:7" ht="10.5" customHeight="1" x14ac:dyDescent="0.2">
      <c r="G36461" s="889"/>
    </row>
    <row r="36462" spans="7:7" ht="10.5" customHeight="1" x14ac:dyDescent="0.2">
      <c r="G36462" s="889"/>
    </row>
    <row r="36463" spans="7:7" ht="10.5" customHeight="1" x14ac:dyDescent="0.2">
      <c r="G36463" s="889"/>
    </row>
    <row r="36464" spans="7:7" ht="10.5" customHeight="1" x14ac:dyDescent="0.2">
      <c r="G36464" s="889"/>
    </row>
    <row r="36465" spans="7:7" ht="10.5" customHeight="1" x14ac:dyDescent="0.2">
      <c r="G36465" s="889"/>
    </row>
    <row r="36466" spans="7:7" ht="10.5" customHeight="1" x14ac:dyDescent="0.2">
      <c r="G36466" s="889"/>
    </row>
    <row r="36467" spans="7:7" ht="10.5" customHeight="1" x14ac:dyDescent="0.2">
      <c r="G36467" s="889"/>
    </row>
    <row r="36468" spans="7:7" ht="10.5" customHeight="1" x14ac:dyDescent="0.2">
      <c r="G36468" s="889"/>
    </row>
    <row r="36469" spans="7:7" ht="10.5" customHeight="1" x14ac:dyDescent="0.2">
      <c r="G36469" s="889"/>
    </row>
    <row r="36470" spans="7:7" ht="10.5" customHeight="1" x14ac:dyDescent="0.2">
      <c r="G36470" s="889"/>
    </row>
    <row r="36471" spans="7:7" ht="10.5" customHeight="1" x14ac:dyDescent="0.2">
      <c r="G36471" s="889"/>
    </row>
    <row r="36472" spans="7:7" ht="10.5" customHeight="1" x14ac:dyDescent="0.2">
      <c r="G36472" s="889"/>
    </row>
    <row r="36473" spans="7:7" ht="10.5" customHeight="1" x14ac:dyDescent="0.2">
      <c r="G36473" s="889"/>
    </row>
    <row r="36474" spans="7:7" ht="10.5" customHeight="1" x14ac:dyDescent="0.2">
      <c r="G36474" s="889"/>
    </row>
    <row r="36475" spans="7:7" ht="10.5" customHeight="1" x14ac:dyDescent="0.2">
      <c r="G36475" s="889"/>
    </row>
    <row r="36476" spans="7:7" ht="10.5" customHeight="1" x14ac:dyDescent="0.2">
      <c r="G36476" s="889"/>
    </row>
    <row r="36477" spans="7:7" ht="10.5" customHeight="1" x14ac:dyDescent="0.2">
      <c r="G36477" s="889"/>
    </row>
    <row r="36478" spans="7:7" ht="10.5" customHeight="1" x14ac:dyDescent="0.2">
      <c r="G36478" s="889"/>
    </row>
    <row r="36479" spans="7:7" ht="10.5" customHeight="1" x14ac:dyDescent="0.2">
      <c r="G36479" s="889"/>
    </row>
    <row r="36480" spans="7:7" ht="10.5" customHeight="1" x14ac:dyDescent="0.2">
      <c r="G36480" s="889"/>
    </row>
    <row r="36481" spans="7:7" ht="10.5" customHeight="1" x14ac:dyDescent="0.2">
      <c r="G36481" s="889"/>
    </row>
    <row r="36482" spans="7:7" ht="10.5" customHeight="1" x14ac:dyDescent="0.2">
      <c r="G36482" s="889"/>
    </row>
    <row r="36483" spans="7:7" ht="10.5" customHeight="1" x14ac:dyDescent="0.2">
      <c r="G36483" s="889"/>
    </row>
    <row r="36484" spans="7:7" ht="10.5" customHeight="1" x14ac:dyDescent="0.2">
      <c r="G36484" s="889"/>
    </row>
    <row r="36485" spans="7:7" ht="10.5" customHeight="1" x14ac:dyDescent="0.2">
      <c r="G36485" s="889"/>
    </row>
    <row r="36486" spans="7:7" ht="10.5" customHeight="1" x14ac:dyDescent="0.2">
      <c r="G36486" s="889"/>
    </row>
    <row r="36487" spans="7:7" ht="10.5" customHeight="1" x14ac:dyDescent="0.2">
      <c r="G36487" s="889"/>
    </row>
    <row r="36488" spans="7:7" ht="10.5" customHeight="1" x14ac:dyDescent="0.2">
      <c r="G36488" s="889"/>
    </row>
    <row r="36489" spans="7:7" ht="10.5" customHeight="1" x14ac:dyDescent="0.2">
      <c r="G36489" s="889"/>
    </row>
    <row r="36490" spans="7:7" ht="10.5" customHeight="1" x14ac:dyDescent="0.2">
      <c r="G36490" s="889"/>
    </row>
    <row r="36491" spans="7:7" ht="10.5" customHeight="1" x14ac:dyDescent="0.2">
      <c r="G36491" s="889"/>
    </row>
    <row r="36492" spans="7:7" ht="10.5" customHeight="1" x14ac:dyDescent="0.2">
      <c r="G36492" s="889"/>
    </row>
    <row r="36493" spans="7:7" ht="10.5" customHeight="1" x14ac:dyDescent="0.2">
      <c r="G36493" s="889"/>
    </row>
    <row r="36494" spans="7:7" ht="10.5" customHeight="1" x14ac:dyDescent="0.2">
      <c r="G36494" s="889"/>
    </row>
    <row r="36495" spans="7:7" ht="10.5" customHeight="1" x14ac:dyDescent="0.2">
      <c r="G36495" s="889"/>
    </row>
    <row r="36496" spans="7:7" ht="10.5" customHeight="1" x14ac:dyDescent="0.2">
      <c r="G36496" s="889"/>
    </row>
    <row r="36497" spans="7:7" ht="10.5" customHeight="1" x14ac:dyDescent="0.2">
      <c r="G36497" s="889"/>
    </row>
    <row r="36498" spans="7:7" ht="10.5" customHeight="1" x14ac:dyDescent="0.2">
      <c r="G36498" s="889"/>
    </row>
    <row r="36499" spans="7:7" ht="10.5" customHeight="1" x14ac:dyDescent="0.2">
      <c r="G36499" s="889"/>
    </row>
    <row r="36500" spans="7:7" ht="10.5" customHeight="1" x14ac:dyDescent="0.2">
      <c r="G36500" s="889"/>
    </row>
    <row r="36501" spans="7:7" ht="10.5" customHeight="1" x14ac:dyDescent="0.2">
      <c r="G36501" s="889"/>
    </row>
    <row r="36502" spans="7:7" ht="10.5" customHeight="1" x14ac:dyDescent="0.2">
      <c r="G36502" s="889"/>
    </row>
    <row r="36503" spans="7:7" ht="10.5" customHeight="1" x14ac:dyDescent="0.2">
      <c r="G36503" s="889"/>
    </row>
    <row r="36504" spans="7:7" ht="10.5" customHeight="1" x14ac:dyDescent="0.2">
      <c r="G36504" s="889"/>
    </row>
    <row r="36505" spans="7:7" ht="10.5" customHeight="1" x14ac:dyDescent="0.2">
      <c r="G36505" s="889"/>
    </row>
    <row r="36506" spans="7:7" ht="10.5" customHeight="1" x14ac:dyDescent="0.2">
      <c r="G36506" s="889"/>
    </row>
    <row r="36507" spans="7:7" ht="10.5" customHeight="1" x14ac:dyDescent="0.2">
      <c r="G36507" s="889"/>
    </row>
    <row r="36508" spans="7:7" ht="10.5" customHeight="1" x14ac:dyDescent="0.2">
      <c r="G36508" s="889"/>
    </row>
    <row r="36509" spans="7:7" ht="10.5" customHeight="1" x14ac:dyDescent="0.2">
      <c r="G36509" s="889"/>
    </row>
    <row r="36510" spans="7:7" ht="10.5" customHeight="1" x14ac:dyDescent="0.2">
      <c r="G36510" s="889"/>
    </row>
    <row r="36511" spans="7:7" ht="10.5" customHeight="1" x14ac:dyDescent="0.2">
      <c r="G36511" s="889"/>
    </row>
    <row r="36512" spans="7:7" ht="10.5" customHeight="1" x14ac:dyDescent="0.2">
      <c r="G36512" s="889"/>
    </row>
    <row r="36513" spans="7:7" ht="10.5" customHeight="1" x14ac:dyDescent="0.2">
      <c r="G36513" s="889"/>
    </row>
    <row r="36514" spans="7:7" ht="10.5" customHeight="1" x14ac:dyDescent="0.2">
      <c r="G36514" s="889"/>
    </row>
    <row r="36515" spans="7:7" ht="10.5" customHeight="1" x14ac:dyDescent="0.2">
      <c r="G36515" s="889"/>
    </row>
    <row r="36516" spans="7:7" ht="10.5" customHeight="1" x14ac:dyDescent="0.2">
      <c r="G36516" s="889"/>
    </row>
    <row r="36517" spans="7:7" ht="10.5" customHeight="1" x14ac:dyDescent="0.2">
      <c r="G36517" s="889"/>
    </row>
    <row r="36518" spans="7:7" ht="10.5" customHeight="1" x14ac:dyDescent="0.2">
      <c r="G36518" s="889"/>
    </row>
    <row r="36519" spans="7:7" ht="10.5" customHeight="1" x14ac:dyDescent="0.2">
      <c r="G36519" s="889"/>
    </row>
    <row r="36520" spans="7:7" ht="10.5" customHeight="1" x14ac:dyDescent="0.2">
      <c r="G36520" s="889"/>
    </row>
    <row r="36521" spans="7:7" ht="10.5" customHeight="1" x14ac:dyDescent="0.2">
      <c r="G36521" s="889"/>
    </row>
    <row r="36522" spans="7:7" ht="10.5" customHeight="1" x14ac:dyDescent="0.2">
      <c r="G36522" s="889"/>
    </row>
    <row r="36523" spans="7:7" ht="10.5" customHeight="1" x14ac:dyDescent="0.2">
      <c r="G36523" s="889"/>
    </row>
    <row r="36524" spans="7:7" ht="10.5" customHeight="1" x14ac:dyDescent="0.2">
      <c r="G36524" s="889"/>
    </row>
    <row r="36525" spans="7:7" ht="10.5" customHeight="1" x14ac:dyDescent="0.2">
      <c r="G36525" s="889"/>
    </row>
    <row r="36526" spans="7:7" ht="10.5" customHeight="1" x14ac:dyDescent="0.2">
      <c r="G36526" s="889"/>
    </row>
    <row r="36527" spans="7:7" ht="10.5" customHeight="1" x14ac:dyDescent="0.2">
      <c r="G36527" s="889"/>
    </row>
    <row r="36528" spans="7:7" ht="10.5" customHeight="1" x14ac:dyDescent="0.2">
      <c r="G36528" s="889"/>
    </row>
    <row r="36529" spans="7:7" ht="10.5" customHeight="1" x14ac:dyDescent="0.2">
      <c r="G36529" s="889"/>
    </row>
    <row r="36530" spans="7:7" ht="10.5" customHeight="1" x14ac:dyDescent="0.2">
      <c r="G36530" s="889"/>
    </row>
    <row r="36531" spans="7:7" ht="10.5" customHeight="1" x14ac:dyDescent="0.2">
      <c r="G36531" s="889"/>
    </row>
    <row r="36532" spans="7:7" ht="10.5" customHeight="1" x14ac:dyDescent="0.2">
      <c r="G36532" s="889"/>
    </row>
    <row r="36533" spans="7:7" ht="10.5" customHeight="1" x14ac:dyDescent="0.2">
      <c r="G36533" s="889"/>
    </row>
    <row r="36534" spans="7:7" ht="10.5" customHeight="1" x14ac:dyDescent="0.2">
      <c r="G36534" s="889"/>
    </row>
    <row r="36535" spans="7:7" ht="10.5" customHeight="1" x14ac:dyDescent="0.2">
      <c r="G36535" s="889"/>
    </row>
    <row r="36536" spans="7:7" ht="10.5" customHeight="1" x14ac:dyDescent="0.2">
      <c r="G36536" s="889"/>
    </row>
    <row r="36537" spans="7:7" ht="10.5" customHeight="1" x14ac:dyDescent="0.2">
      <c r="G36537" s="889"/>
    </row>
    <row r="36538" spans="7:7" ht="10.5" customHeight="1" x14ac:dyDescent="0.2">
      <c r="G36538" s="889"/>
    </row>
    <row r="36539" spans="7:7" ht="10.5" customHeight="1" x14ac:dyDescent="0.2">
      <c r="G36539" s="889"/>
    </row>
    <row r="36540" spans="7:7" ht="10.5" customHeight="1" x14ac:dyDescent="0.2">
      <c r="G36540" s="889"/>
    </row>
    <row r="36541" spans="7:7" ht="10.5" customHeight="1" x14ac:dyDescent="0.2">
      <c r="G36541" s="889"/>
    </row>
    <row r="36542" spans="7:7" ht="10.5" customHeight="1" x14ac:dyDescent="0.2">
      <c r="G36542" s="889"/>
    </row>
    <row r="36543" spans="7:7" ht="10.5" customHeight="1" x14ac:dyDescent="0.2">
      <c r="G36543" s="889"/>
    </row>
    <row r="36544" spans="7:7" ht="10.5" customHeight="1" x14ac:dyDescent="0.2">
      <c r="G36544" s="889"/>
    </row>
    <row r="36545" spans="7:7" ht="10.5" customHeight="1" x14ac:dyDescent="0.2">
      <c r="G36545" s="889"/>
    </row>
    <row r="36546" spans="7:7" ht="10.5" customHeight="1" x14ac:dyDescent="0.2">
      <c r="G36546" s="889"/>
    </row>
    <row r="36547" spans="7:7" ht="10.5" customHeight="1" x14ac:dyDescent="0.2">
      <c r="G36547" s="889"/>
    </row>
    <row r="36548" spans="7:7" ht="10.5" customHeight="1" x14ac:dyDescent="0.2">
      <c r="G36548" s="889"/>
    </row>
    <row r="36549" spans="7:7" ht="10.5" customHeight="1" x14ac:dyDescent="0.2">
      <c r="G36549" s="889"/>
    </row>
    <row r="36550" spans="7:7" ht="10.5" customHeight="1" x14ac:dyDescent="0.2">
      <c r="G36550" s="889"/>
    </row>
    <row r="36551" spans="7:7" ht="10.5" customHeight="1" x14ac:dyDescent="0.2">
      <c r="G36551" s="889"/>
    </row>
    <row r="36552" spans="7:7" ht="10.5" customHeight="1" x14ac:dyDescent="0.2">
      <c r="G36552" s="889"/>
    </row>
    <row r="36553" spans="7:7" ht="10.5" customHeight="1" x14ac:dyDescent="0.2">
      <c r="G36553" s="889"/>
    </row>
    <row r="36554" spans="7:7" ht="10.5" customHeight="1" x14ac:dyDescent="0.2">
      <c r="G36554" s="889"/>
    </row>
    <row r="36555" spans="7:7" ht="10.5" customHeight="1" x14ac:dyDescent="0.2">
      <c r="G36555" s="889"/>
    </row>
    <row r="36556" spans="7:7" ht="10.5" customHeight="1" x14ac:dyDescent="0.2">
      <c r="G36556" s="889"/>
    </row>
    <row r="36557" spans="7:7" ht="10.5" customHeight="1" x14ac:dyDescent="0.2">
      <c r="G36557" s="889"/>
    </row>
    <row r="36558" spans="7:7" ht="10.5" customHeight="1" x14ac:dyDescent="0.2">
      <c r="G36558" s="889"/>
    </row>
    <row r="36559" spans="7:7" ht="10.5" customHeight="1" x14ac:dyDescent="0.2">
      <c r="G36559" s="889"/>
    </row>
    <row r="36560" spans="7:7" ht="10.5" customHeight="1" x14ac:dyDescent="0.2">
      <c r="G36560" s="889"/>
    </row>
    <row r="36561" spans="7:7" ht="10.5" customHeight="1" x14ac:dyDescent="0.2">
      <c r="G36561" s="889"/>
    </row>
    <row r="36562" spans="7:7" ht="10.5" customHeight="1" x14ac:dyDescent="0.2">
      <c r="G36562" s="889"/>
    </row>
    <row r="36563" spans="7:7" ht="10.5" customHeight="1" x14ac:dyDescent="0.2">
      <c r="G36563" s="889"/>
    </row>
    <row r="36564" spans="7:7" ht="10.5" customHeight="1" x14ac:dyDescent="0.2">
      <c r="G36564" s="889"/>
    </row>
    <row r="36565" spans="7:7" ht="10.5" customHeight="1" x14ac:dyDescent="0.2">
      <c r="G36565" s="889"/>
    </row>
    <row r="36566" spans="7:7" ht="10.5" customHeight="1" x14ac:dyDescent="0.2">
      <c r="G36566" s="889"/>
    </row>
    <row r="36567" spans="7:7" ht="10.5" customHeight="1" x14ac:dyDescent="0.2">
      <c r="G36567" s="889"/>
    </row>
    <row r="36568" spans="7:7" ht="10.5" customHeight="1" x14ac:dyDescent="0.2">
      <c r="G36568" s="889"/>
    </row>
    <row r="36569" spans="7:7" ht="10.5" customHeight="1" x14ac:dyDescent="0.2">
      <c r="G36569" s="889"/>
    </row>
    <row r="36570" spans="7:7" ht="10.5" customHeight="1" x14ac:dyDescent="0.2">
      <c r="G36570" s="889"/>
    </row>
    <row r="36571" spans="7:7" ht="10.5" customHeight="1" x14ac:dyDescent="0.2">
      <c r="G36571" s="889"/>
    </row>
    <row r="36572" spans="7:7" ht="10.5" customHeight="1" x14ac:dyDescent="0.2">
      <c r="G36572" s="889"/>
    </row>
    <row r="36573" spans="7:7" ht="10.5" customHeight="1" x14ac:dyDescent="0.2">
      <c r="G36573" s="889"/>
    </row>
    <row r="36574" spans="7:7" ht="10.5" customHeight="1" x14ac:dyDescent="0.2">
      <c r="G36574" s="889"/>
    </row>
    <row r="36575" spans="7:7" ht="10.5" customHeight="1" x14ac:dyDescent="0.2">
      <c r="G36575" s="889"/>
    </row>
    <row r="36576" spans="7:7" ht="10.5" customHeight="1" x14ac:dyDescent="0.2">
      <c r="G36576" s="889"/>
    </row>
    <row r="36577" spans="7:7" ht="10.5" customHeight="1" x14ac:dyDescent="0.2">
      <c r="G36577" s="889"/>
    </row>
    <row r="36578" spans="7:7" ht="10.5" customHeight="1" x14ac:dyDescent="0.2">
      <c r="G36578" s="889"/>
    </row>
    <row r="36579" spans="7:7" ht="10.5" customHeight="1" x14ac:dyDescent="0.2">
      <c r="G36579" s="889"/>
    </row>
    <row r="36580" spans="7:7" ht="10.5" customHeight="1" x14ac:dyDescent="0.2">
      <c r="G36580" s="889"/>
    </row>
    <row r="36581" spans="7:7" ht="10.5" customHeight="1" x14ac:dyDescent="0.2">
      <c r="G36581" s="889"/>
    </row>
    <row r="36582" spans="7:7" ht="10.5" customHeight="1" x14ac:dyDescent="0.2">
      <c r="G36582" s="889"/>
    </row>
    <row r="36583" spans="7:7" ht="10.5" customHeight="1" x14ac:dyDescent="0.2">
      <c r="G36583" s="889"/>
    </row>
    <row r="36584" spans="7:7" ht="10.5" customHeight="1" x14ac:dyDescent="0.2">
      <c r="G36584" s="889"/>
    </row>
    <row r="36585" spans="7:7" ht="10.5" customHeight="1" x14ac:dyDescent="0.2">
      <c r="G36585" s="889"/>
    </row>
    <row r="36586" spans="7:7" ht="10.5" customHeight="1" x14ac:dyDescent="0.2">
      <c r="G36586" s="889"/>
    </row>
    <row r="36587" spans="7:7" ht="10.5" customHeight="1" x14ac:dyDescent="0.2">
      <c r="G36587" s="889"/>
    </row>
    <row r="36588" spans="7:7" ht="10.5" customHeight="1" x14ac:dyDescent="0.2">
      <c r="G36588" s="889"/>
    </row>
    <row r="36589" spans="7:7" ht="10.5" customHeight="1" x14ac:dyDescent="0.2">
      <c r="G36589" s="889"/>
    </row>
    <row r="36590" spans="7:7" ht="10.5" customHeight="1" x14ac:dyDescent="0.2">
      <c r="G36590" s="889"/>
    </row>
    <row r="36591" spans="7:7" ht="10.5" customHeight="1" x14ac:dyDescent="0.2">
      <c r="G36591" s="889"/>
    </row>
    <row r="36592" spans="7:7" ht="10.5" customHeight="1" x14ac:dyDescent="0.2">
      <c r="G36592" s="889"/>
    </row>
    <row r="36593" spans="7:7" ht="10.5" customHeight="1" x14ac:dyDescent="0.2">
      <c r="G36593" s="889"/>
    </row>
    <row r="36594" spans="7:7" ht="10.5" customHeight="1" x14ac:dyDescent="0.2">
      <c r="G36594" s="889"/>
    </row>
    <row r="36595" spans="7:7" ht="10.5" customHeight="1" x14ac:dyDescent="0.2">
      <c r="G36595" s="889"/>
    </row>
    <row r="36596" spans="7:7" ht="10.5" customHeight="1" x14ac:dyDescent="0.2">
      <c r="G36596" s="889"/>
    </row>
    <row r="36597" spans="7:7" ht="10.5" customHeight="1" x14ac:dyDescent="0.2">
      <c r="G36597" s="889"/>
    </row>
    <row r="36598" spans="7:7" ht="10.5" customHeight="1" x14ac:dyDescent="0.2">
      <c r="G36598" s="889"/>
    </row>
    <row r="36599" spans="7:7" ht="10.5" customHeight="1" x14ac:dyDescent="0.2">
      <c r="G36599" s="889"/>
    </row>
    <row r="36600" spans="7:7" ht="10.5" customHeight="1" x14ac:dyDescent="0.2">
      <c r="G36600" s="889"/>
    </row>
    <row r="36601" spans="7:7" ht="10.5" customHeight="1" x14ac:dyDescent="0.2">
      <c r="G36601" s="889"/>
    </row>
    <row r="36602" spans="7:7" ht="10.5" customHeight="1" x14ac:dyDescent="0.2">
      <c r="G36602" s="889"/>
    </row>
    <row r="36603" spans="7:7" ht="10.5" customHeight="1" x14ac:dyDescent="0.2">
      <c r="G36603" s="889"/>
    </row>
    <row r="36604" spans="7:7" ht="10.5" customHeight="1" x14ac:dyDescent="0.2">
      <c r="G36604" s="889"/>
    </row>
    <row r="36605" spans="7:7" ht="10.5" customHeight="1" x14ac:dyDescent="0.2">
      <c r="G36605" s="889"/>
    </row>
    <row r="36606" spans="7:7" ht="10.5" customHeight="1" x14ac:dyDescent="0.2">
      <c r="G36606" s="889"/>
    </row>
    <row r="36607" spans="7:7" ht="10.5" customHeight="1" x14ac:dyDescent="0.2">
      <c r="G36607" s="889"/>
    </row>
    <row r="36608" spans="7:7" ht="10.5" customHeight="1" x14ac:dyDescent="0.2">
      <c r="G36608" s="889"/>
    </row>
    <row r="36609" spans="7:7" ht="10.5" customHeight="1" x14ac:dyDescent="0.2">
      <c r="G36609" s="889"/>
    </row>
    <row r="36610" spans="7:7" ht="10.5" customHeight="1" x14ac:dyDescent="0.2">
      <c r="G36610" s="889"/>
    </row>
    <row r="36611" spans="7:7" ht="10.5" customHeight="1" x14ac:dyDescent="0.2">
      <c r="G36611" s="889"/>
    </row>
    <row r="36612" spans="7:7" ht="10.5" customHeight="1" x14ac:dyDescent="0.2">
      <c r="G36612" s="889"/>
    </row>
    <row r="36613" spans="7:7" ht="10.5" customHeight="1" x14ac:dyDescent="0.2">
      <c r="G36613" s="889"/>
    </row>
    <row r="36614" spans="7:7" ht="10.5" customHeight="1" x14ac:dyDescent="0.2">
      <c r="G36614" s="889"/>
    </row>
    <row r="36615" spans="7:7" ht="10.5" customHeight="1" x14ac:dyDescent="0.2">
      <c r="G36615" s="889"/>
    </row>
    <row r="36616" spans="7:7" ht="10.5" customHeight="1" x14ac:dyDescent="0.2">
      <c r="G36616" s="889"/>
    </row>
    <row r="36617" spans="7:7" ht="10.5" customHeight="1" x14ac:dyDescent="0.2">
      <c r="G36617" s="889"/>
    </row>
    <row r="36618" spans="7:7" ht="10.5" customHeight="1" x14ac:dyDescent="0.2">
      <c r="G36618" s="889"/>
    </row>
    <row r="36619" spans="7:7" ht="10.5" customHeight="1" x14ac:dyDescent="0.2">
      <c r="G36619" s="889"/>
    </row>
    <row r="36620" spans="7:7" ht="10.5" customHeight="1" x14ac:dyDescent="0.2">
      <c r="G36620" s="889"/>
    </row>
    <row r="36621" spans="7:7" ht="10.5" customHeight="1" x14ac:dyDescent="0.2">
      <c r="G36621" s="889"/>
    </row>
    <row r="36622" spans="7:7" ht="10.5" customHeight="1" x14ac:dyDescent="0.2">
      <c r="G36622" s="889"/>
    </row>
    <row r="36623" spans="7:7" ht="10.5" customHeight="1" x14ac:dyDescent="0.2">
      <c r="G36623" s="889"/>
    </row>
    <row r="36624" spans="7:7" ht="10.5" customHeight="1" x14ac:dyDescent="0.2">
      <c r="G36624" s="889"/>
    </row>
    <row r="36625" spans="7:7" ht="10.5" customHeight="1" x14ac:dyDescent="0.2">
      <c r="G36625" s="889"/>
    </row>
    <row r="36626" spans="7:7" ht="10.5" customHeight="1" x14ac:dyDescent="0.2">
      <c r="G36626" s="889"/>
    </row>
    <row r="36627" spans="7:7" ht="10.5" customHeight="1" x14ac:dyDescent="0.2">
      <c r="G36627" s="889"/>
    </row>
    <row r="36628" spans="7:7" ht="10.5" customHeight="1" x14ac:dyDescent="0.2">
      <c r="G36628" s="889"/>
    </row>
    <row r="36629" spans="7:7" ht="10.5" customHeight="1" x14ac:dyDescent="0.2">
      <c r="G36629" s="889"/>
    </row>
    <row r="36630" spans="7:7" ht="10.5" customHeight="1" x14ac:dyDescent="0.2">
      <c r="G36630" s="889"/>
    </row>
    <row r="36631" spans="7:7" ht="10.5" customHeight="1" x14ac:dyDescent="0.2">
      <c r="G36631" s="889"/>
    </row>
    <row r="36632" spans="7:7" ht="10.5" customHeight="1" x14ac:dyDescent="0.2">
      <c r="G36632" s="889"/>
    </row>
    <row r="36633" spans="7:7" ht="10.5" customHeight="1" x14ac:dyDescent="0.2">
      <c r="G36633" s="889"/>
    </row>
    <row r="36634" spans="7:7" ht="10.5" customHeight="1" x14ac:dyDescent="0.2">
      <c r="G36634" s="889"/>
    </row>
    <row r="36635" spans="7:7" ht="10.5" customHeight="1" x14ac:dyDescent="0.2">
      <c r="G36635" s="889"/>
    </row>
    <row r="36636" spans="7:7" ht="10.5" customHeight="1" x14ac:dyDescent="0.2">
      <c r="G36636" s="889"/>
    </row>
    <row r="36637" spans="7:7" ht="10.5" customHeight="1" x14ac:dyDescent="0.2">
      <c r="G36637" s="889"/>
    </row>
    <row r="36638" spans="7:7" ht="10.5" customHeight="1" x14ac:dyDescent="0.2">
      <c r="G36638" s="889"/>
    </row>
    <row r="36639" spans="7:7" ht="10.5" customHeight="1" x14ac:dyDescent="0.2">
      <c r="G36639" s="889"/>
    </row>
    <row r="36640" spans="7:7" ht="10.5" customHeight="1" x14ac:dyDescent="0.2">
      <c r="G36640" s="889"/>
    </row>
    <row r="36641" spans="7:7" ht="10.5" customHeight="1" x14ac:dyDescent="0.2">
      <c r="G36641" s="889"/>
    </row>
    <row r="36642" spans="7:7" ht="10.5" customHeight="1" x14ac:dyDescent="0.2">
      <c r="G36642" s="889"/>
    </row>
    <row r="36643" spans="7:7" ht="10.5" customHeight="1" x14ac:dyDescent="0.2">
      <c r="G36643" s="889"/>
    </row>
    <row r="36644" spans="7:7" ht="10.5" customHeight="1" x14ac:dyDescent="0.2">
      <c r="G36644" s="889"/>
    </row>
    <row r="36645" spans="7:7" ht="10.5" customHeight="1" x14ac:dyDescent="0.2">
      <c r="G36645" s="889"/>
    </row>
    <row r="36646" spans="7:7" ht="10.5" customHeight="1" x14ac:dyDescent="0.2">
      <c r="G36646" s="889"/>
    </row>
    <row r="36647" spans="7:7" ht="10.5" customHeight="1" x14ac:dyDescent="0.2">
      <c r="G36647" s="889"/>
    </row>
    <row r="36648" spans="7:7" ht="10.5" customHeight="1" x14ac:dyDescent="0.2">
      <c r="G36648" s="889"/>
    </row>
    <row r="36649" spans="7:7" ht="10.5" customHeight="1" x14ac:dyDescent="0.2">
      <c r="G36649" s="889"/>
    </row>
    <row r="36650" spans="7:7" ht="10.5" customHeight="1" x14ac:dyDescent="0.2">
      <c r="G36650" s="889"/>
    </row>
    <row r="36651" spans="7:7" ht="10.5" customHeight="1" x14ac:dyDescent="0.2">
      <c r="G36651" s="889"/>
    </row>
    <row r="36652" spans="7:7" ht="10.5" customHeight="1" x14ac:dyDescent="0.2">
      <c r="G36652" s="889"/>
    </row>
    <row r="36653" spans="7:7" ht="10.5" customHeight="1" x14ac:dyDescent="0.2">
      <c r="G36653" s="889"/>
    </row>
    <row r="36654" spans="7:7" ht="10.5" customHeight="1" x14ac:dyDescent="0.2">
      <c r="G36654" s="889"/>
    </row>
    <row r="36655" spans="7:7" ht="10.5" customHeight="1" x14ac:dyDescent="0.2">
      <c r="G36655" s="889"/>
    </row>
    <row r="36656" spans="7:7" ht="10.5" customHeight="1" x14ac:dyDescent="0.2">
      <c r="G36656" s="889"/>
    </row>
    <row r="36657" spans="7:7" ht="10.5" customHeight="1" x14ac:dyDescent="0.2">
      <c r="G36657" s="889"/>
    </row>
    <row r="36658" spans="7:7" ht="10.5" customHeight="1" x14ac:dyDescent="0.2">
      <c r="G36658" s="889"/>
    </row>
    <row r="36659" spans="7:7" ht="10.5" customHeight="1" x14ac:dyDescent="0.2">
      <c r="G36659" s="889"/>
    </row>
    <row r="36660" spans="7:7" ht="10.5" customHeight="1" x14ac:dyDescent="0.2">
      <c r="G36660" s="889"/>
    </row>
    <row r="36661" spans="7:7" ht="10.5" customHeight="1" x14ac:dyDescent="0.2">
      <c r="G36661" s="889"/>
    </row>
    <row r="36662" spans="7:7" ht="10.5" customHeight="1" x14ac:dyDescent="0.2">
      <c r="G36662" s="889"/>
    </row>
    <row r="36663" spans="7:7" ht="10.5" customHeight="1" x14ac:dyDescent="0.2">
      <c r="G36663" s="889"/>
    </row>
    <row r="36664" spans="7:7" ht="10.5" customHeight="1" x14ac:dyDescent="0.2">
      <c r="G36664" s="889"/>
    </row>
    <row r="36665" spans="7:7" ht="10.5" customHeight="1" x14ac:dyDescent="0.2">
      <c r="G36665" s="889"/>
    </row>
    <row r="36666" spans="7:7" ht="10.5" customHeight="1" x14ac:dyDescent="0.2">
      <c r="G36666" s="889"/>
    </row>
    <row r="36667" spans="7:7" ht="10.5" customHeight="1" x14ac:dyDescent="0.2">
      <c r="G36667" s="889"/>
    </row>
    <row r="36668" spans="7:7" ht="10.5" customHeight="1" x14ac:dyDescent="0.2">
      <c r="G36668" s="889"/>
    </row>
    <row r="36669" spans="7:7" ht="10.5" customHeight="1" x14ac:dyDescent="0.2">
      <c r="G36669" s="889"/>
    </row>
    <row r="36670" spans="7:7" ht="10.5" customHeight="1" x14ac:dyDescent="0.2">
      <c r="G36670" s="889"/>
    </row>
    <row r="36671" spans="7:7" ht="10.5" customHeight="1" x14ac:dyDescent="0.2">
      <c r="G36671" s="889"/>
    </row>
    <row r="36672" spans="7:7" ht="10.5" customHeight="1" x14ac:dyDescent="0.2">
      <c r="G36672" s="889"/>
    </row>
    <row r="36673" spans="7:7" ht="10.5" customHeight="1" x14ac:dyDescent="0.2">
      <c r="G36673" s="889"/>
    </row>
    <row r="36674" spans="7:7" ht="10.5" customHeight="1" x14ac:dyDescent="0.2">
      <c r="G36674" s="889"/>
    </row>
    <row r="36675" spans="7:7" ht="10.5" customHeight="1" x14ac:dyDescent="0.2">
      <c r="G36675" s="889"/>
    </row>
    <row r="36676" spans="7:7" ht="10.5" customHeight="1" x14ac:dyDescent="0.2">
      <c r="G36676" s="889"/>
    </row>
    <row r="36677" spans="7:7" ht="10.5" customHeight="1" x14ac:dyDescent="0.2">
      <c r="G36677" s="889"/>
    </row>
    <row r="36678" spans="7:7" ht="10.5" customHeight="1" x14ac:dyDescent="0.2">
      <c r="G36678" s="889"/>
    </row>
    <row r="36679" spans="7:7" ht="10.5" customHeight="1" x14ac:dyDescent="0.2">
      <c r="G36679" s="889"/>
    </row>
    <row r="36680" spans="7:7" ht="10.5" customHeight="1" x14ac:dyDescent="0.2">
      <c r="G36680" s="889"/>
    </row>
    <row r="36681" spans="7:7" ht="10.5" customHeight="1" x14ac:dyDescent="0.2">
      <c r="G36681" s="889"/>
    </row>
    <row r="36682" spans="7:7" ht="10.5" customHeight="1" x14ac:dyDescent="0.2">
      <c r="G36682" s="889"/>
    </row>
    <row r="36683" spans="7:7" ht="10.5" customHeight="1" x14ac:dyDescent="0.2">
      <c r="G36683" s="889"/>
    </row>
    <row r="36684" spans="7:7" ht="10.5" customHeight="1" x14ac:dyDescent="0.2">
      <c r="G36684" s="889"/>
    </row>
    <row r="36685" spans="7:7" ht="10.5" customHeight="1" x14ac:dyDescent="0.2">
      <c r="G36685" s="889"/>
    </row>
    <row r="36686" spans="7:7" ht="10.5" customHeight="1" x14ac:dyDescent="0.2">
      <c r="G36686" s="889"/>
    </row>
    <row r="36687" spans="7:7" ht="10.5" customHeight="1" x14ac:dyDescent="0.2">
      <c r="G36687" s="889"/>
    </row>
    <row r="36688" spans="7:7" ht="10.5" customHeight="1" x14ac:dyDescent="0.2">
      <c r="G36688" s="889"/>
    </row>
    <row r="36689" spans="7:7" ht="10.5" customHeight="1" x14ac:dyDescent="0.2">
      <c r="G36689" s="889"/>
    </row>
    <row r="36690" spans="7:7" ht="10.5" customHeight="1" x14ac:dyDescent="0.2">
      <c r="G36690" s="889"/>
    </row>
    <row r="36691" spans="7:7" ht="10.5" customHeight="1" x14ac:dyDescent="0.2">
      <c r="G36691" s="889"/>
    </row>
    <row r="36692" spans="7:7" ht="10.5" customHeight="1" x14ac:dyDescent="0.2">
      <c r="G36692" s="889"/>
    </row>
    <row r="36693" spans="7:7" ht="10.5" customHeight="1" x14ac:dyDescent="0.2">
      <c r="G36693" s="889"/>
    </row>
    <row r="36694" spans="7:7" ht="10.5" customHeight="1" x14ac:dyDescent="0.2">
      <c r="G36694" s="889"/>
    </row>
    <row r="36695" spans="7:7" ht="10.5" customHeight="1" x14ac:dyDescent="0.2">
      <c r="G36695" s="889"/>
    </row>
    <row r="36696" spans="7:7" ht="10.5" customHeight="1" x14ac:dyDescent="0.2">
      <c r="G36696" s="889"/>
    </row>
    <row r="36697" spans="7:7" ht="10.5" customHeight="1" x14ac:dyDescent="0.2">
      <c r="G36697" s="889"/>
    </row>
    <row r="36698" spans="7:7" ht="10.5" customHeight="1" x14ac:dyDescent="0.2">
      <c r="G36698" s="889"/>
    </row>
    <row r="36699" spans="7:7" ht="10.5" customHeight="1" x14ac:dyDescent="0.2">
      <c r="G36699" s="889"/>
    </row>
    <row r="36700" spans="7:7" ht="10.5" customHeight="1" x14ac:dyDescent="0.2">
      <c r="G36700" s="889"/>
    </row>
    <row r="36701" spans="7:7" ht="10.5" customHeight="1" x14ac:dyDescent="0.2">
      <c r="G36701" s="889"/>
    </row>
    <row r="36702" spans="7:7" ht="10.5" customHeight="1" x14ac:dyDescent="0.2">
      <c r="G36702" s="889"/>
    </row>
    <row r="36703" spans="7:7" ht="10.5" customHeight="1" x14ac:dyDescent="0.2">
      <c r="G36703" s="889"/>
    </row>
    <row r="36704" spans="7:7" ht="10.5" customHeight="1" x14ac:dyDescent="0.2">
      <c r="G36704" s="889"/>
    </row>
    <row r="36705" spans="7:7" ht="10.5" customHeight="1" x14ac:dyDescent="0.2">
      <c r="G36705" s="889"/>
    </row>
    <row r="36706" spans="7:7" ht="10.5" customHeight="1" x14ac:dyDescent="0.2">
      <c r="G36706" s="889"/>
    </row>
    <row r="36707" spans="7:7" ht="10.5" customHeight="1" x14ac:dyDescent="0.2">
      <c r="G36707" s="889"/>
    </row>
    <row r="36708" spans="7:7" ht="10.5" customHeight="1" x14ac:dyDescent="0.2">
      <c r="G36708" s="889"/>
    </row>
    <row r="36709" spans="7:7" ht="10.5" customHeight="1" x14ac:dyDescent="0.2">
      <c r="G36709" s="889"/>
    </row>
    <row r="36710" spans="7:7" ht="10.5" customHeight="1" x14ac:dyDescent="0.2">
      <c r="G36710" s="889"/>
    </row>
    <row r="36711" spans="7:7" ht="10.5" customHeight="1" x14ac:dyDescent="0.2">
      <c r="G36711" s="889"/>
    </row>
    <row r="36712" spans="7:7" ht="10.5" customHeight="1" x14ac:dyDescent="0.2">
      <c r="G36712" s="889"/>
    </row>
    <row r="36713" spans="7:7" ht="10.5" customHeight="1" x14ac:dyDescent="0.2">
      <c r="G36713" s="889"/>
    </row>
    <row r="36714" spans="7:7" ht="10.5" customHeight="1" x14ac:dyDescent="0.2">
      <c r="G36714" s="889"/>
    </row>
    <row r="36715" spans="7:7" ht="10.5" customHeight="1" x14ac:dyDescent="0.2">
      <c r="G36715" s="889"/>
    </row>
    <row r="36716" spans="7:7" ht="10.5" customHeight="1" x14ac:dyDescent="0.2">
      <c r="G36716" s="889"/>
    </row>
    <row r="36717" spans="7:7" ht="10.5" customHeight="1" x14ac:dyDescent="0.2">
      <c r="G36717" s="889"/>
    </row>
    <row r="36718" spans="7:7" ht="10.5" customHeight="1" x14ac:dyDescent="0.2">
      <c r="G36718" s="889"/>
    </row>
    <row r="36719" spans="7:7" ht="10.5" customHeight="1" x14ac:dyDescent="0.2">
      <c r="G36719" s="889"/>
    </row>
    <row r="36720" spans="7:7" ht="10.5" customHeight="1" x14ac:dyDescent="0.2">
      <c r="G36720" s="889"/>
    </row>
    <row r="36721" spans="7:7" ht="10.5" customHeight="1" x14ac:dyDescent="0.2">
      <c r="G36721" s="889"/>
    </row>
    <row r="36722" spans="7:7" ht="10.5" customHeight="1" x14ac:dyDescent="0.2">
      <c r="G36722" s="889"/>
    </row>
    <row r="36723" spans="7:7" ht="10.5" customHeight="1" x14ac:dyDescent="0.2">
      <c r="G36723" s="889"/>
    </row>
    <row r="36724" spans="7:7" ht="10.5" customHeight="1" x14ac:dyDescent="0.2">
      <c r="G36724" s="889"/>
    </row>
    <row r="36725" spans="7:7" ht="10.5" customHeight="1" x14ac:dyDescent="0.2">
      <c r="G36725" s="889"/>
    </row>
    <row r="36726" spans="7:7" ht="10.5" customHeight="1" x14ac:dyDescent="0.2">
      <c r="G36726" s="889"/>
    </row>
    <row r="36727" spans="7:7" ht="10.5" customHeight="1" x14ac:dyDescent="0.2">
      <c r="G36727" s="889"/>
    </row>
    <row r="36728" spans="7:7" ht="10.5" customHeight="1" x14ac:dyDescent="0.2">
      <c r="G36728" s="889"/>
    </row>
    <row r="36729" spans="7:7" ht="10.5" customHeight="1" x14ac:dyDescent="0.2">
      <c r="G36729" s="889"/>
    </row>
    <row r="36730" spans="7:7" ht="10.5" customHeight="1" x14ac:dyDescent="0.2">
      <c r="G36730" s="889"/>
    </row>
    <row r="36731" spans="7:7" ht="10.5" customHeight="1" x14ac:dyDescent="0.2">
      <c r="G36731" s="889"/>
    </row>
    <row r="36732" spans="7:7" ht="10.5" customHeight="1" x14ac:dyDescent="0.2">
      <c r="G36732" s="889"/>
    </row>
    <row r="36733" spans="7:7" ht="10.5" customHeight="1" x14ac:dyDescent="0.2">
      <c r="G36733" s="889"/>
    </row>
    <row r="36734" spans="7:7" ht="10.5" customHeight="1" x14ac:dyDescent="0.2">
      <c r="G36734" s="889"/>
    </row>
    <row r="36735" spans="7:7" ht="10.5" customHeight="1" x14ac:dyDescent="0.2">
      <c r="G36735" s="889"/>
    </row>
    <row r="36736" spans="7:7" ht="10.5" customHeight="1" x14ac:dyDescent="0.2">
      <c r="G36736" s="889"/>
    </row>
    <row r="36737" spans="7:7" ht="10.5" customHeight="1" x14ac:dyDescent="0.2">
      <c r="G36737" s="889"/>
    </row>
    <row r="36738" spans="7:7" ht="10.5" customHeight="1" x14ac:dyDescent="0.2">
      <c r="G36738" s="889"/>
    </row>
    <row r="36739" spans="7:7" ht="10.5" customHeight="1" x14ac:dyDescent="0.2">
      <c r="G36739" s="889"/>
    </row>
    <row r="36740" spans="7:7" ht="10.5" customHeight="1" x14ac:dyDescent="0.2">
      <c r="G36740" s="889"/>
    </row>
    <row r="36741" spans="7:7" ht="10.5" customHeight="1" x14ac:dyDescent="0.2">
      <c r="G36741" s="889"/>
    </row>
    <row r="36742" spans="7:7" ht="10.5" customHeight="1" x14ac:dyDescent="0.2">
      <c r="G36742" s="889"/>
    </row>
    <row r="36743" spans="7:7" ht="10.5" customHeight="1" x14ac:dyDescent="0.2">
      <c r="G36743" s="889"/>
    </row>
    <row r="36744" spans="7:7" ht="10.5" customHeight="1" x14ac:dyDescent="0.2">
      <c r="G36744" s="889"/>
    </row>
    <row r="36745" spans="7:7" ht="10.5" customHeight="1" x14ac:dyDescent="0.2">
      <c r="G36745" s="889"/>
    </row>
    <row r="36746" spans="7:7" ht="10.5" customHeight="1" x14ac:dyDescent="0.2">
      <c r="G36746" s="889"/>
    </row>
    <row r="36747" spans="7:7" ht="10.5" customHeight="1" x14ac:dyDescent="0.2">
      <c r="G36747" s="889"/>
    </row>
    <row r="36748" spans="7:7" ht="10.5" customHeight="1" x14ac:dyDescent="0.2">
      <c r="G36748" s="889"/>
    </row>
    <row r="36749" spans="7:7" ht="10.5" customHeight="1" x14ac:dyDescent="0.2">
      <c r="G36749" s="889"/>
    </row>
    <row r="36750" spans="7:7" ht="10.5" customHeight="1" x14ac:dyDescent="0.2">
      <c r="G36750" s="889"/>
    </row>
    <row r="36751" spans="7:7" ht="10.5" customHeight="1" x14ac:dyDescent="0.2">
      <c r="G36751" s="889"/>
    </row>
    <row r="36752" spans="7:7" ht="10.5" customHeight="1" x14ac:dyDescent="0.2">
      <c r="G36752" s="889"/>
    </row>
    <row r="36753" spans="7:7" ht="10.5" customHeight="1" x14ac:dyDescent="0.2">
      <c r="G36753" s="889"/>
    </row>
    <row r="36754" spans="7:7" ht="10.5" customHeight="1" x14ac:dyDescent="0.2">
      <c r="G36754" s="889"/>
    </row>
    <row r="36755" spans="7:7" ht="10.5" customHeight="1" x14ac:dyDescent="0.2">
      <c r="G36755" s="889"/>
    </row>
    <row r="36756" spans="7:7" ht="10.5" customHeight="1" x14ac:dyDescent="0.2">
      <c r="G36756" s="889"/>
    </row>
    <row r="36757" spans="7:7" ht="10.5" customHeight="1" x14ac:dyDescent="0.2">
      <c r="G36757" s="889"/>
    </row>
    <row r="36758" spans="7:7" ht="10.5" customHeight="1" x14ac:dyDescent="0.2">
      <c r="G36758" s="889"/>
    </row>
    <row r="36759" spans="7:7" ht="10.5" customHeight="1" x14ac:dyDescent="0.2">
      <c r="G36759" s="889"/>
    </row>
    <row r="36760" spans="7:7" ht="10.5" customHeight="1" x14ac:dyDescent="0.2">
      <c r="G36760" s="889"/>
    </row>
    <row r="36761" spans="7:7" ht="10.5" customHeight="1" x14ac:dyDescent="0.2">
      <c r="G36761" s="889"/>
    </row>
    <row r="36762" spans="7:7" ht="10.5" customHeight="1" x14ac:dyDescent="0.2">
      <c r="G36762" s="889"/>
    </row>
    <row r="36763" spans="7:7" ht="10.5" customHeight="1" x14ac:dyDescent="0.2">
      <c r="G36763" s="889"/>
    </row>
    <row r="36764" spans="7:7" ht="10.5" customHeight="1" x14ac:dyDescent="0.2">
      <c r="G36764" s="889"/>
    </row>
    <row r="36765" spans="7:7" ht="10.5" customHeight="1" x14ac:dyDescent="0.2">
      <c r="G36765" s="889"/>
    </row>
    <row r="36766" spans="7:7" ht="10.5" customHeight="1" x14ac:dyDescent="0.2">
      <c r="G36766" s="889"/>
    </row>
    <row r="36767" spans="7:7" ht="10.5" customHeight="1" x14ac:dyDescent="0.2">
      <c r="G36767" s="889"/>
    </row>
    <row r="36768" spans="7:7" ht="10.5" customHeight="1" x14ac:dyDescent="0.2">
      <c r="G36768" s="889"/>
    </row>
    <row r="36769" spans="7:7" ht="10.5" customHeight="1" x14ac:dyDescent="0.2">
      <c r="G36769" s="889"/>
    </row>
    <row r="36770" spans="7:7" ht="10.5" customHeight="1" x14ac:dyDescent="0.2">
      <c r="G36770" s="889"/>
    </row>
    <row r="36771" spans="7:7" ht="10.5" customHeight="1" x14ac:dyDescent="0.2">
      <c r="G36771" s="889"/>
    </row>
    <row r="36772" spans="7:7" ht="10.5" customHeight="1" x14ac:dyDescent="0.2">
      <c r="G36772" s="889"/>
    </row>
    <row r="36773" spans="7:7" ht="10.5" customHeight="1" x14ac:dyDescent="0.2">
      <c r="G36773" s="889"/>
    </row>
    <row r="36774" spans="7:7" ht="10.5" customHeight="1" x14ac:dyDescent="0.2">
      <c r="G36774" s="889"/>
    </row>
    <row r="36775" spans="7:7" ht="10.5" customHeight="1" x14ac:dyDescent="0.2">
      <c r="G36775" s="889"/>
    </row>
    <row r="36776" spans="7:7" ht="10.5" customHeight="1" x14ac:dyDescent="0.2">
      <c r="G36776" s="889"/>
    </row>
    <row r="36777" spans="7:7" ht="10.5" customHeight="1" x14ac:dyDescent="0.2">
      <c r="G36777" s="889"/>
    </row>
    <row r="36778" spans="7:7" ht="10.5" customHeight="1" x14ac:dyDescent="0.2">
      <c r="G36778" s="889"/>
    </row>
    <row r="36779" spans="7:7" ht="10.5" customHeight="1" x14ac:dyDescent="0.2">
      <c r="G36779" s="889"/>
    </row>
    <row r="36780" spans="7:7" ht="10.5" customHeight="1" x14ac:dyDescent="0.2">
      <c r="G36780" s="889"/>
    </row>
    <row r="36781" spans="7:7" ht="10.5" customHeight="1" x14ac:dyDescent="0.2">
      <c r="G36781" s="889"/>
    </row>
    <row r="36782" spans="7:7" ht="10.5" customHeight="1" x14ac:dyDescent="0.2">
      <c r="G36782" s="889"/>
    </row>
    <row r="36783" spans="7:7" ht="10.5" customHeight="1" x14ac:dyDescent="0.2">
      <c r="G36783" s="889"/>
    </row>
    <row r="36784" spans="7:7" ht="10.5" customHeight="1" x14ac:dyDescent="0.2">
      <c r="G36784" s="889"/>
    </row>
    <row r="36785" spans="7:7" ht="10.5" customHeight="1" x14ac:dyDescent="0.2">
      <c r="G36785" s="889"/>
    </row>
    <row r="36786" spans="7:7" ht="10.5" customHeight="1" x14ac:dyDescent="0.2">
      <c r="G36786" s="889"/>
    </row>
    <row r="36787" spans="7:7" ht="10.5" customHeight="1" x14ac:dyDescent="0.2">
      <c r="G36787" s="889"/>
    </row>
    <row r="36788" spans="7:7" ht="10.5" customHeight="1" x14ac:dyDescent="0.2">
      <c r="G36788" s="889"/>
    </row>
    <row r="36789" spans="7:7" ht="10.5" customHeight="1" x14ac:dyDescent="0.2">
      <c r="G36789" s="889"/>
    </row>
    <row r="36790" spans="7:7" ht="10.5" customHeight="1" x14ac:dyDescent="0.2">
      <c r="G36790" s="889"/>
    </row>
    <row r="36791" spans="7:7" ht="10.5" customHeight="1" x14ac:dyDescent="0.2">
      <c r="G36791" s="889"/>
    </row>
    <row r="36792" spans="7:7" ht="10.5" customHeight="1" x14ac:dyDescent="0.2">
      <c r="G36792" s="889"/>
    </row>
    <row r="36793" spans="7:7" ht="10.5" customHeight="1" x14ac:dyDescent="0.2">
      <c r="G36793" s="889"/>
    </row>
    <row r="36794" spans="7:7" ht="10.5" customHeight="1" x14ac:dyDescent="0.2">
      <c r="G36794" s="889"/>
    </row>
    <row r="36795" spans="7:7" ht="10.5" customHeight="1" x14ac:dyDescent="0.2">
      <c r="G36795" s="889"/>
    </row>
    <row r="36796" spans="7:7" ht="10.5" customHeight="1" x14ac:dyDescent="0.2">
      <c r="G36796" s="889"/>
    </row>
    <row r="36797" spans="7:7" ht="10.5" customHeight="1" x14ac:dyDescent="0.2">
      <c r="G36797" s="889"/>
    </row>
    <row r="36798" spans="7:7" ht="10.5" customHeight="1" x14ac:dyDescent="0.2">
      <c r="G36798" s="889"/>
    </row>
    <row r="36799" spans="7:7" ht="10.5" customHeight="1" x14ac:dyDescent="0.2">
      <c r="G36799" s="889"/>
    </row>
    <row r="36800" spans="7:7" ht="10.5" customHeight="1" x14ac:dyDescent="0.2">
      <c r="G36800" s="889"/>
    </row>
    <row r="36801" spans="7:7" ht="10.5" customHeight="1" x14ac:dyDescent="0.2">
      <c r="G36801" s="889"/>
    </row>
    <row r="36802" spans="7:7" ht="10.5" customHeight="1" x14ac:dyDescent="0.2">
      <c r="G36802" s="889"/>
    </row>
    <row r="36803" spans="7:7" ht="10.5" customHeight="1" x14ac:dyDescent="0.2">
      <c r="G36803" s="889"/>
    </row>
    <row r="36804" spans="7:7" ht="10.5" customHeight="1" x14ac:dyDescent="0.2">
      <c r="G36804" s="889"/>
    </row>
    <row r="36805" spans="7:7" ht="10.5" customHeight="1" x14ac:dyDescent="0.2">
      <c r="G36805" s="889"/>
    </row>
    <row r="36806" spans="7:7" ht="10.5" customHeight="1" x14ac:dyDescent="0.2">
      <c r="G36806" s="889"/>
    </row>
    <row r="36807" spans="7:7" ht="10.5" customHeight="1" x14ac:dyDescent="0.2">
      <c r="G36807" s="889"/>
    </row>
    <row r="36808" spans="7:7" ht="10.5" customHeight="1" x14ac:dyDescent="0.2">
      <c r="G36808" s="889"/>
    </row>
    <row r="36809" spans="7:7" ht="10.5" customHeight="1" x14ac:dyDescent="0.2">
      <c r="G36809" s="889"/>
    </row>
    <row r="36810" spans="7:7" ht="10.5" customHeight="1" x14ac:dyDescent="0.2">
      <c r="G36810" s="889"/>
    </row>
    <row r="36811" spans="7:7" ht="10.5" customHeight="1" x14ac:dyDescent="0.2">
      <c r="G36811" s="889"/>
    </row>
    <row r="36812" spans="7:7" ht="10.5" customHeight="1" x14ac:dyDescent="0.2">
      <c r="G36812" s="889"/>
    </row>
    <row r="36813" spans="7:7" ht="10.5" customHeight="1" x14ac:dyDescent="0.2">
      <c r="G36813" s="889"/>
    </row>
    <row r="36814" spans="7:7" ht="10.5" customHeight="1" x14ac:dyDescent="0.2">
      <c r="G36814" s="889"/>
    </row>
    <row r="36815" spans="7:7" ht="10.5" customHeight="1" x14ac:dyDescent="0.2">
      <c r="G36815" s="889"/>
    </row>
    <row r="36816" spans="7:7" ht="10.5" customHeight="1" x14ac:dyDescent="0.2">
      <c r="G36816" s="889"/>
    </row>
    <row r="36817" spans="7:7" ht="10.5" customHeight="1" x14ac:dyDescent="0.2">
      <c r="G36817" s="889"/>
    </row>
    <row r="36818" spans="7:7" ht="10.5" customHeight="1" x14ac:dyDescent="0.2">
      <c r="G36818" s="889"/>
    </row>
    <row r="36819" spans="7:7" ht="10.5" customHeight="1" x14ac:dyDescent="0.2">
      <c r="G36819" s="889"/>
    </row>
    <row r="36820" spans="7:7" ht="10.5" customHeight="1" x14ac:dyDescent="0.2">
      <c r="G36820" s="889"/>
    </row>
    <row r="36821" spans="7:7" ht="10.5" customHeight="1" x14ac:dyDescent="0.2">
      <c r="G36821" s="889"/>
    </row>
    <row r="36822" spans="7:7" ht="10.5" customHeight="1" x14ac:dyDescent="0.2">
      <c r="G36822" s="889"/>
    </row>
    <row r="36823" spans="7:7" ht="10.5" customHeight="1" x14ac:dyDescent="0.2">
      <c r="G36823" s="889"/>
    </row>
    <row r="36824" spans="7:7" ht="10.5" customHeight="1" x14ac:dyDescent="0.2">
      <c r="G36824" s="889"/>
    </row>
    <row r="36825" spans="7:7" ht="10.5" customHeight="1" x14ac:dyDescent="0.2">
      <c r="G36825" s="889"/>
    </row>
    <row r="36826" spans="7:7" ht="10.5" customHeight="1" x14ac:dyDescent="0.2">
      <c r="G36826" s="889"/>
    </row>
    <row r="36827" spans="7:7" ht="10.5" customHeight="1" x14ac:dyDescent="0.2">
      <c r="G36827" s="889"/>
    </row>
    <row r="36828" spans="7:7" ht="10.5" customHeight="1" x14ac:dyDescent="0.2">
      <c r="G36828" s="889"/>
    </row>
    <row r="36829" spans="7:7" ht="10.5" customHeight="1" x14ac:dyDescent="0.2">
      <c r="G36829" s="889"/>
    </row>
    <row r="36830" spans="7:7" ht="10.5" customHeight="1" x14ac:dyDescent="0.2">
      <c r="G36830" s="889"/>
    </row>
    <row r="36831" spans="7:7" ht="10.5" customHeight="1" x14ac:dyDescent="0.2">
      <c r="G36831" s="889"/>
    </row>
    <row r="36832" spans="7:7" ht="10.5" customHeight="1" x14ac:dyDescent="0.2">
      <c r="G36832" s="889"/>
    </row>
    <row r="36833" spans="7:7" ht="10.5" customHeight="1" x14ac:dyDescent="0.2">
      <c r="G36833" s="889"/>
    </row>
    <row r="36834" spans="7:7" ht="10.5" customHeight="1" x14ac:dyDescent="0.2">
      <c r="G36834" s="889"/>
    </row>
    <row r="36835" spans="7:7" ht="10.5" customHeight="1" x14ac:dyDescent="0.2">
      <c r="G36835" s="889"/>
    </row>
    <row r="36836" spans="7:7" ht="10.5" customHeight="1" x14ac:dyDescent="0.2">
      <c r="G36836" s="889"/>
    </row>
    <row r="36837" spans="7:7" ht="10.5" customHeight="1" x14ac:dyDescent="0.2">
      <c r="G36837" s="889"/>
    </row>
    <row r="36838" spans="7:7" ht="10.5" customHeight="1" x14ac:dyDescent="0.2">
      <c r="G36838" s="889"/>
    </row>
    <row r="36839" spans="7:7" ht="10.5" customHeight="1" x14ac:dyDescent="0.2">
      <c r="G36839" s="889"/>
    </row>
    <row r="36840" spans="7:7" ht="10.5" customHeight="1" x14ac:dyDescent="0.2">
      <c r="G36840" s="889"/>
    </row>
    <row r="36841" spans="7:7" ht="10.5" customHeight="1" x14ac:dyDescent="0.2">
      <c r="G36841" s="889"/>
    </row>
    <row r="36842" spans="7:7" ht="10.5" customHeight="1" x14ac:dyDescent="0.2">
      <c r="G36842" s="889"/>
    </row>
    <row r="36843" spans="7:7" ht="10.5" customHeight="1" x14ac:dyDescent="0.2">
      <c r="G36843" s="889"/>
    </row>
    <row r="36844" spans="7:7" ht="10.5" customHeight="1" x14ac:dyDescent="0.2">
      <c r="G36844" s="889"/>
    </row>
    <row r="36845" spans="7:7" ht="10.5" customHeight="1" x14ac:dyDescent="0.2">
      <c r="G36845" s="889"/>
    </row>
    <row r="36846" spans="7:7" ht="10.5" customHeight="1" x14ac:dyDescent="0.2">
      <c r="G36846" s="889"/>
    </row>
    <row r="36847" spans="7:7" ht="10.5" customHeight="1" x14ac:dyDescent="0.2">
      <c r="G36847" s="889"/>
    </row>
    <row r="36848" spans="7:7" ht="10.5" customHeight="1" x14ac:dyDescent="0.2">
      <c r="G36848" s="889"/>
    </row>
    <row r="36849" spans="7:7" ht="10.5" customHeight="1" x14ac:dyDescent="0.2">
      <c r="G36849" s="889"/>
    </row>
    <row r="36850" spans="7:7" ht="10.5" customHeight="1" x14ac:dyDescent="0.2">
      <c r="G36850" s="889"/>
    </row>
    <row r="36851" spans="7:7" ht="10.5" customHeight="1" x14ac:dyDescent="0.2">
      <c r="G36851" s="889"/>
    </row>
    <row r="36852" spans="7:7" ht="10.5" customHeight="1" x14ac:dyDescent="0.2">
      <c r="G36852" s="889"/>
    </row>
    <row r="36853" spans="7:7" ht="10.5" customHeight="1" x14ac:dyDescent="0.2">
      <c r="G36853" s="889"/>
    </row>
    <row r="36854" spans="7:7" ht="10.5" customHeight="1" x14ac:dyDescent="0.2">
      <c r="G36854" s="889"/>
    </row>
    <row r="36855" spans="7:7" ht="10.5" customHeight="1" x14ac:dyDescent="0.2">
      <c r="G36855" s="889"/>
    </row>
    <row r="36856" spans="7:7" ht="10.5" customHeight="1" x14ac:dyDescent="0.2">
      <c r="G36856" s="889"/>
    </row>
    <row r="36857" spans="7:7" ht="10.5" customHeight="1" x14ac:dyDescent="0.2">
      <c r="G36857" s="889"/>
    </row>
    <row r="36858" spans="7:7" ht="10.5" customHeight="1" x14ac:dyDescent="0.2">
      <c r="G36858" s="889"/>
    </row>
    <row r="36859" spans="7:7" ht="10.5" customHeight="1" x14ac:dyDescent="0.2">
      <c r="G36859" s="889"/>
    </row>
    <row r="36860" spans="7:7" ht="10.5" customHeight="1" x14ac:dyDescent="0.2">
      <c r="G36860" s="889"/>
    </row>
    <row r="36861" spans="7:7" ht="10.5" customHeight="1" x14ac:dyDescent="0.2">
      <c r="G36861" s="889"/>
    </row>
    <row r="36862" spans="7:7" ht="10.5" customHeight="1" x14ac:dyDescent="0.2">
      <c r="G36862" s="889"/>
    </row>
    <row r="36863" spans="7:7" ht="10.5" customHeight="1" x14ac:dyDescent="0.2">
      <c r="G36863" s="889"/>
    </row>
    <row r="36864" spans="7:7" ht="10.5" customHeight="1" x14ac:dyDescent="0.2">
      <c r="G36864" s="889"/>
    </row>
    <row r="36865" spans="7:7" ht="10.5" customHeight="1" x14ac:dyDescent="0.2">
      <c r="G36865" s="889"/>
    </row>
    <row r="36866" spans="7:7" ht="10.5" customHeight="1" x14ac:dyDescent="0.2">
      <c r="G36866" s="889"/>
    </row>
    <row r="36867" spans="7:7" ht="10.5" customHeight="1" x14ac:dyDescent="0.2">
      <c r="G36867" s="889"/>
    </row>
    <row r="36868" spans="7:7" ht="10.5" customHeight="1" x14ac:dyDescent="0.2">
      <c r="G36868" s="889"/>
    </row>
    <row r="36869" spans="7:7" ht="10.5" customHeight="1" x14ac:dyDescent="0.2">
      <c r="G36869" s="889"/>
    </row>
    <row r="36870" spans="7:7" ht="10.5" customHeight="1" x14ac:dyDescent="0.2">
      <c r="G36870" s="889"/>
    </row>
    <row r="36871" spans="7:7" ht="10.5" customHeight="1" x14ac:dyDescent="0.2">
      <c r="G36871" s="889"/>
    </row>
    <row r="36872" spans="7:7" ht="10.5" customHeight="1" x14ac:dyDescent="0.2">
      <c r="G36872" s="889"/>
    </row>
    <row r="36873" spans="7:7" ht="10.5" customHeight="1" x14ac:dyDescent="0.2">
      <c r="G36873" s="889"/>
    </row>
    <row r="36874" spans="7:7" ht="10.5" customHeight="1" x14ac:dyDescent="0.2">
      <c r="G36874" s="889"/>
    </row>
    <row r="36875" spans="7:7" ht="10.5" customHeight="1" x14ac:dyDescent="0.2">
      <c r="G36875" s="889"/>
    </row>
    <row r="36876" spans="7:7" ht="10.5" customHeight="1" x14ac:dyDescent="0.2">
      <c r="G36876" s="889"/>
    </row>
    <row r="36877" spans="7:7" ht="10.5" customHeight="1" x14ac:dyDescent="0.2">
      <c r="G36877" s="889"/>
    </row>
    <row r="36878" spans="7:7" ht="10.5" customHeight="1" x14ac:dyDescent="0.2">
      <c r="G36878" s="889"/>
    </row>
    <row r="36879" spans="7:7" ht="10.5" customHeight="1" x14ac:dyDescent="0.2">
      <c r="G36879" s="889"/>
    </row>
    <row r="36880" spans="7:7" ht="10.5" customHeight="1" x14ac:dyDescent="0.2">
      <c r="G36880" s="889"/>
    </row>
    <row r="36881" spans="7:7" ht="10.5" customHeight="1" x14ac:dyDescent="0.2">
      <c r="G36881" s="889"/>
    </row>
    <row r="36882" spans="7:7" ht="10.5" customHeight="1" x14ac:dyDescent="0.2">
      <c r="G36882" s="889"/>
    </row>
    <row r="36883" spans="7:7" ht="10.5" customHeight="1" x14ac:dyDescent="0.2">
      <c r="G36883" s="889"/>
    </row>
    <row r="36884" spans="7:7" ht="10.5" customHeight="1" x14ac:dyDescent="0.2">
      <c r="G36884" s="889"/>
    </row>
    <row r="36885" spans="7:7" ht="10.5" customHeight="1" x14ac:dyDescent="0.2">
      <c r="G36885" s="889"/>
    </row>
    <row r="36886" spans="7:7" ht="10.5" customHeight="1" x14ac:dyDescent="0.2">
      <c r="G36886" s="889"/>
    </row>
    <row r="36887" spans="7:7" ht="10.5" customHeight="1" x14ac:dyDescent="0.2">
      <c r="G36887" s="889"/>
    </row>
    <row r="36888" spans="7:7" ht="10.5" customHeight="1" x14ac:dyDescent="0.2">
      <c r="G36888" s="889"/>
    </row>
    <row r="36889" spans="7:7" ht="10.5" customHeight="1" x14ac:dyDescent="0.2">
      <c r="G36889" s="889"/>
    </row>
    <row r="36890" spans="7:7" ht="10.5" customHeight="1" x14ac:dyDescent="0.2">
      <c r="G36890" s="889"/>
    </row>
    <row r="36891" spans="7:7" ht="10.5" customHeight="1" x14ac:dyDescent="0.2">
      <c r="G36891" s="889"/>
    </row>
    <row r="36892" spans="7:7" ht="10.5" customHeight="1" x14ac:dyDescent="0.2">
      <c r="G36892" s="889"/>
    </row>
    <row r="36893" spans="7:7" ht="10.5" customHeight="1" x14ac:dyDescent="0.2">
      <c r="G36893" s="889"/>
    </row>
    <row r="36894" spans="7:7" ht="10.5" customHeight="1" x14ac:dyDescent="0.2">
      <c r="G36894" s="889"/>
    </row>
    <row r="36895" spans="7:7" ht="10.5" customHeight="1" x14ac:dyDescent="0.2">
      <c r="G36895" s="889"/>
    </row>
    <row r="36896" spans="7:7" ht="10.5" customHeight="1" x14ac:dyDescent="0.2">
      <c r="G36896" s="889"/>
    </row>
    <row r="36897" spans="7:7" ht="10.5" customHeight="1" x14ac:dyDescent="0.2">
      <c r="G36897" s="889"/>
    </row>
    <row r="36898" spans="7:7" ht="10.5" customHeight="1" x14ac:dyDescent="0.2">
      <c r="G36898" s="889"/>
    </row>
    <row r="36899" spans="7:7" ht="10.5" customHeight="1" x14ac:dyDescent="0.2">
      <c r="G36899" s="889"/>
    </row>
    <row r="36900" spans="7:7" ht="10.5" customHeight="1" x14ac:dyDescent="0.2">
      <c r="G36900" s="889"/>
    </row>
    <row r="36901" spans="7:7" ht="10.5" customHeight="1" x14ac:dyDescent="0.2">
      <c r="G36901" s="889"/>
    </row>
    <row r="36902" spans="7:7" ht="10.5" customHeight="1" x14ac:dyDescent="0.2">
      <c r="G36902" s="889"/>
    </row>
    <row r="36903" spans="7:7" ht="10.5" customHeight="1" x14ac:dyDescent="0.2">
      <c r="G36903" s="889"/>
    </row>
    <row r="36904" spans="7:7" ht="10.5" customHeight="1" x14ac:dyDescent="0.2">
      <c r="G36904" s="889"/>
    </row>
    <row r="36905" spans="7:7" ht="10.5" customHeight="1" x14ac:dyDescent="0.2">
      <c r="G36905" s="889"/>
    </row>
    <row r="36906" spans="7:7" ht="10.5" customHeight="1" x14ac:dyDescent="0.2">
      <c r="G36906" s="889"/>
    </row>
    <row r="36907" spans="7:7" ht="10.5" customHeight="1" x14ac:dyDescent="0.2">
      <c r="G36907" s="889"/>
    </row>
    <row r="36908" spans="7:7" ht="10.5" customHeight="1" x14ac:dyDescent="0.2">
      <c r="G36908" s="889"/>
    </row>
    <row r="36909" spans="7:7" ht="10.5" customHeight="1" x14ac:dyDescent="0.2">
      <c r="G36909" s="889"/>
    </row>
    <row r="36910" spans="7:7" ht="10.5" customHeight="1" x14ac:dyDescent="0.2">
      <c r="G36910" s="889"/>
    </row>
    <row r="36911" spans="7:7" ht="10.5" customHeight="1" x14ac:dyDescent="0.2">
      <c r="G36911" s="889"/>
    </row>
    <row r="36912" spans="7:7" ht="10.5" customHeight="1" x14ac:dyDescent="0.2">
      <c r="G36912" s="889"/>
    </row>
    <row r="36913" spans="7:7" ht="10.5" customHeight="1" x14ac:dyDescent="0.2">
      <c r="G36913" s="889"/>
    </row>
    <row r="36914" spans="7:7" ht="10.5" customHeight="1" x14ac:dyDescent="0.2">
      <c r="G36914" s="889"/>
    </row>
    <row r="36915" spans="7:7" ht="10.5" customHeight="1" x14ac:dyDescent="0.2">
      <c r="G36915" s="889"/>
    </row>
    <row r="36916" spans="7:7" ht="10.5" customHeight="1" x14ac:dyDescent="0.2">
      <c r="G36916" s="889"/>
    </row>
    <row r="36917" spans="7:7" ht="10.5" customHeight="1" x14ac:dyDescent="0.2">
      <c r="G36917" s="889"/>
    </row>
    <row r="36918" spans="7:7" ht="10.5" customHeight="1" x14ac:dyDescent="0.2">
      <c r="G36918" s="889"/>
    </row>
    <row r="36919" spans="7:7" ht="10.5" customHeight="1" x14ac:dyDescent="0.2">
      <c r="G36919" s="889"/>
    </row>
    <row r="36920" spans="7:7" ht="10.5" customHeight="1" x14ac:dyDescent="0.2">
      <c r="G36920" s="889"/>
    </row>
    <row r="36921" spans="7:7" ht="10.5" customHeight="1" x14ac:dyDescent="0.2">
      <c r="G36921" s="889"/>
    </row>
    <row r="36922" spans="7:7" ht="10.5" customHeight="1" x14ac:dyDescent="0.2">
      <c r="G36922" s="889"/>
    </row>
    <row r="36923" spans="7:7" ht="10.5" customHeight="1" x14ac:dyDescent="0.2">
      <c r="G36923" s="889"/>
    </row>
    <row r="36924" spans="7:7" ht="10.5" customHeight="1" x14ac:dyDescent="0.2">
      <c r="G36924" s="889"/>
    </row>
    <row r="36925" spans="7:7" ht="10.5" customHeight="1" x14ac:dyDescent="0.2">
      <c r="G36925" s="889"/>
    </row>
    <row r="36926" spans="7:7" ht="10.5" customHeight="1" x14ac:dyDescent="0.2">
      <c r="G36926" s="889"/>
    </row>
    <row r="36927" spans="7:7" ht="10.5" customHeight="1" x14ac:dyDescent="0.2">
      <c r="G36927" s="889"/>
    </row>
    <row r="36928" spans="7:7" ht="10.5" customHeight="1" x14ac:dyDescent="0.2">
      <c r="G36928" s="889"/>
    </row>
    <row r="36929" spans="7:7" ht="10.5" customHeight="1" x14ac:dyDescent="0.2">
      <c r="G36929" s="889"/>
    </row>
    <row r="36930" spans="7:7" ht="10.5" customHeight="1" x14ac:dyDescent="0.2">
      <c r="G36930" s="889"/>
    </row>
    <row r="36931" spans="7:7" ht="10.5" customHeight="1" x14ac:dyDescent="0.2">
      <c r="G36931" s="889"/>
    </row>
    <row r="36932" spans="7:7" ht="10.5" customHeight="1" x14ac:dyDescent="0.2">
      <c r="G36932" s="889"/>
    </row>
    <row r="36933" spans="7:7" ht="10.5" customHeight="1" x14ac:dyDescent="0.2">
      <c r="G36933" s="889"/>
    </row>
    <row r="36934" spans="7:7" ht="10.5" customHeight="1" x14ac:dyDescent="0.2">
      <c r="G36934" s="889"/>
    </row>
    <row r="36935" spans="7:7" ht="10.5" customHeight="1" x14ac:dyDescent="0.2">
      <c r="G36935" s="889"/>
    </row>
    <row r="36936" spans="7:7" ht="10.5" customHeight="1" x14ac:dyDescent="0.2">
      <c r="G36936" s="889"/>
    </row>
    <row r="36937" spans="7:7" ht="10.5" customHeight="1" x14ac:dyDescent="0.2">
      <c r="G36937" s="889"/>
    </row>
    <row r="36938" spans="7:7" ht="10.5" customHeight="1" x14ac:dyDescent="0.2">
      <c r="G36938" s="889"/>
    </row>
    <row r="36939" spans="7:7" ht="10.5" customHeight="1" x14ac:dyDescent="0.2">
      <c r="G36939" s="889"/>
    </row>
    <row r="36940" spans="7:7" ht="10.5" customHeight="1" x14ac:dyDescent="0.2">
      <c r="G36940" s="889"/>
    </row>
    <row r="36941" spans="7:7" ht="10.5" customHeight="1" x14ac:dyDescent="0.2">
      <c r="G36941" s="889"/>
    </row>
    <row r="36942" spans="7:7" ht="10.5" customHeight="1" x14ac:dyDescent="0.2">
      <c r="G36942" s="889"/>
    </row>
    <row r="36943" spans="7:7" ht="10.5" customHeight="1" x14ac:dyDescent="0.2">
      <c r="G36943" s="889"/>
    </row>
    <row r="36944" spans="7:7" ht="10.5" customHeight="1" x14ac:dyDescent="0.2">
      <c r="G36944" s="889"/>
    </row>
    <row r="36945" spans="7:7" ht="10.5" customHeight="1" x14ac:dyDescent="0.2">
      <c r="G36945" s="889"/>
    </row>
    <row r="36946" spans="7:7" ht="10.5" customHeight="1" x14ac:dyDescent="0.2">
      <c r="G36946" s="889"/>
    </row>
    <row r="36947" spans="7:7" ht="10.5" customHeight="1" x14ac:dyDescent="0.2">
      <c r="G36947" s="889"/>
    </row>
    <row r="36948" spans="7:7" ht="10.5" customHeight="1" x14ac:dyDescent="0.2">
      <c r="G36948" s="889"/>
    </row>
    <row r="36949" spans="7:7" ht="10.5" customHeight="1" x14ac:dyDescent="0.2">
      <c r="G36949" s="889"/>
    </row>
    <row r="36950" spans="7:7" ht="10.5" customHeight="1" x14ac:dyDescent="0.2">
      <c r="G36950" s="889"/>
    </row>
    <row r="36951" spans="7:7" ht="10.5" customHeight="1" x14ac:dyDescent="0.2">
      <c r="G36951" s="889"/>
    </row>
    <row r="36952" spans="7:7" ht="10.5" customHeight="1" x14ac:dyDescent="0.2">
      <c r="G36952" s="889"/>
    </row>
    <row r="36953" spans="7:7" ht="10.5" customHeight="1" x14ac:dyDescent="0.2">
      <c r="G36953" s="889"/>
    </row>
    <row r="36954" spans="7:7" ht="10.5" customHeight="1" x14ac:dyDescent="0.2">
      <c r="G36954" s="889"/>
    </row>
    <row r="36955" spans="7:7" ht="10.5" customHeight="1" x14ac:dyDescent="0.2">
      <c r="G36955" s="889"/>
    </row>
    <row r="36956" spans="7:7" ht="10.5" customHeight="1" x14ac:dyDescent="0.2">
      <c r="G36956" s="889"/>
    </row>
    <row r="36957" spans="7:7" ht="10.5" customHeight="1" x14ac:dyDescent="0.2">
      <c r="G36957" s="889"/>
    </row>
    <row r="36958" spans="7:7" ht="10.5" customHeight="1" x14ac:dyDescent="0.2">
      <c r="G36958" s="889"/>
    </row>
    <row r="36959" spans="7:7" ht="10.5" customHeight="1" x14ac:dyDescent="0.2">
      <c r="G36959" s="889"/>
    </row>
    <row r="36960" spans="7:7" ht="10.5" customHeight="1" x14ac:dyDescent="0.2">
      <c r="G36960" s="889"/>
    </row>
    <row r="36961" spans="7:7" ht="10.5" customHeight="1" x14ac:dyDescent="0.2">
      <c r="G36961" s="889"/>
    </row>
    <row r="36962" spans="7:7" ht="10.5" customHeight="1" x14ac:dyDescent="0.2">
      <c r="G36962" s="889"/>
    </row>
    <row r="36963" spans="7:7" ht="10.5" customHeight="1" x14ac:dyDescent="0.2">
      <c r="G36963" s="889"/>
    </row>
    <row r="36964" spans="7:7" ht="10.5" customHeight="1" x14ac:dyDescent="0.2">
      <c r="G36964" s="889"/>
    </row>
    <row r="36965" spans="7:7" ht="10.5" customHeight="1" x14ac:dyDescent="0.2">
      <c r="G36965" s="889"/>
    </row>
    <row r="36966" spans="7:7" ht="10.5" customHeight="1" x14ac:dyDescent="0.2">
      <c r="G36966" s="889"/>
    </row>
    <row r="36967" spans="7:7" ht="10.5" customHeight="1" x14ac:dyDescent="0.2">
      <c r="G36967" s="889"/>
    </row>
    <row r="36968" spans="7:7" ht="10.5" customHeight="1" x14ac:dyDescent="0.2">
      <c r="G36968" s="889"/>
    </row>
    <row r="36969" spans="7:7" ht="10.5" customHeight="1" x14ac:dyDescent="0.2">
      <c r="G36969" s="889"/>
    </row>
    <row r="36970" spans="7:7" ht="10.5" customHeight="1" x14ac:dyDescent="0.2">
      <c r="G36970" s="889"/>
    </row>
    <row r="36971" spans="7:7" ht="10.5" customHeight="1" x14ac:dyDescent="0.2">
      <c r="G36971" s="889"/>
    </row>
    <row r="36972" spans="7:7" ht="10.5" customHeight="1" x14ac:dyDescent="0.2">
      <c r="G36972" s="889"/>
    </row>
    <row r="36973" spans="7:7" ht="10.5" customHeight="1" x14ac:dyDescent="0.2">
      <c r="G36973" s="889"/>
    </row>
    <row r="36974" spans="7:7" ht="10.5" customHeight="1" x14ac:dyDescent="0.2">
      <c r="G36974" s="889"/>
    </row>
    <row r="36975" spans="7:7" ht="10.5" customHeight="1" x14ac:dyDescent="0.2">
      <c r="G36975" s="889"/>
    </row>
    <row r="36976" spans="7:7" ht="10.5" customHeight="1" x14ac:dyDescent="0.2">
      <c r="G36976" s="889"/>
    </row>
    <row r="36977" spans="7:7" ht="10.5" customHeight="1" x14ac:dyDescent="0.2">
      <c r="G36977" s="889"/>
    </row>
    <row r="36978" spans="7:7" ht="10.5" customHeight="1" x14ac:dyDescent="0.2">
      <c r="G36978" s="889"/>
    </row>
    <row r="36979" spans="7:7" ht="10.5" customHeight="1" x14ac:dyDescent="0.2">
      <c r="G36979" s="889"/>
    </row>
    <row r="36980" spans="7:7" ht="10.5" customHeight="1" x14ac:dyDescent="0.2">
      <c r="G36980" s="889"/>
    </row>
    <row r="36981" spans="7:7" ht="10.5" customHeight="1" x14ac:dyDescent="0.2">
      <c r="G36981" s="889"/>
    </row>
    <row r="36982" spans="7:7" ht="10.5" customHeight="1" x14ac:dyDescent="0.2">
      <c r="G36982" s="889"/>
    </row>
    <row r="36983" spans="7:7" ht="10.5" customHeight="1" x14ac:dyDescent="0.2">
      <c r="G36983" s="889"/>
    </row>
    <row r="36984" spans="7:7" ht="10.5" customHeight="1" x14ac:dyDescent="0.2">
      <c r="G36984" s="889"/>
    </row>
    <row r="36985" spans="7:7" ht="10.5" customHeight="1" x14ac:dyDescent="0.2">
      <c r="G36985" s="889"/>
    </row>
    <row r="36986" spans="7:7" ht="10.5" customHeight="1" x14ac:dyDescent="0.2">
      <c r="G36986" s="889"/>
    </row>
    <row r="36987" spans="7:7" ht="10.5" customHeight="1" x14ac:dyDescent="0.2">
      <c r="G36987" s="889"/>
    </row>
    <row r="36988" spans="7:7" ht="10.5" customHeight="1" x14ac:dyDescent="0.2">
      <c r="G36988" s="889"/>
    </row>
    <row r="36989" spans="7:7" ht="10.5" customHeight="1" x14ac:dyDescent="0.2">
      <c r="G36989" s="889"/>
    </row>
    <row r="36990" spans="7:7" ht="10.5" customHeight="1" x14ac:dyDescent="0.2">
      <c r="G36990" s="889"/>
    </row>
    <row r="36991" spans="7:7" ht="10.5" customHeight="1" x14ac:dyDescent="0.2">
      <c r="G36991" s="889"/>
    </row>
    <row r="36992" spans="7:7" ht="10.5" customHeight="1" x14ac:dyDescent="0.2">
      <c r="G36992" s="889"/>
    </row>
    <row r="36993" spans="7:7" ht="10.5" customHeight="1" x14ac:dyDescent="0.2">
      <c r="G36993" s="889"/>
    </row>
    <row r="36994" spans="7:7" ht="10.5" customHeight="1" x14ac:dyDescent="0.2">
      <c r="G36994" s="889"/>
    </row>
    <row r="36995" spans="7:7" ht="10.5" customHeight="1" x14ac:dyDescent="0.2">
      <c r="G36995" s="889"/>
    </row>
    <row r="36996" spans="7:7" ht="10.5" customHeight="1" x14ac:dyDescent="0.2">
      <c r="G36996" s="889"/>
    </row>
    <row r="36997" spans="7:7" ht="10.5" customHeight="1" x14ac:dyDescent="0.2">
      <c r="G36997" s="889"/>
    </row>
    <row r="36998" spans="7:7" ht="10.5" customHeight="1" x14ac:dyDescent="0.2">
      <c r="G36998" s="889"/>
    </row>
    <row r="36999" spans="7:7" ht="10.5" customHeight="1" x14ac:dyDescent="0.2">
      <c r="G36999" s="889"/>
    </row>
    <row r="37000" spans="7:7" ht="10.5" customHeight="1" x14ac:dyDescent="0.2">
      <c r="G37000" s="889"/>
    </row>
    <row r="37001" spans="7:7" ht="10.5" customHeight="1" x14ac:dyDescent="0.2">
      <c r="G37001" s="889"/>
    </row>
    <row r="37002" spans="7:7" ht="10.5" customHeight="1" x14ac:dyDescent="0.2">
      <c r="G37002" s="889"/>
    </row>
    <row r="37003" spans="7:7" ht="10.5" customHeight="1" x14ac:dyDescent="0.2">
      <c r="G37003" s="889"/>
    </row>
    <row r="37004" spans="7:7" ht="10.5" customHeight="1" x14ac:dyDescent="0.2">
      <c r="G37004" s="889"/>
    </row>
    <row r="37005" spans="7:7" ht="10.5" customHeight="1" x14ac:dyDescent="0.2">
      <c r="G37005" s="889"/>
    </row>
    <row r="37006" spans="7:7" ht="10.5" customHeight="1" x14ac:dyDescent="0.2">
      <c r="G37006" s="889"/>
    </row>
    <row r="37007" spans="7:7" ht="10.5" customHeight="1" x14ac:dyDescent="0.2">
      <c r="G37007" s="889"/>
    </row>
    <row r="37008" spans="7:7" ht="10.5" customHeight="1" x14ac:dyDescent="0.2">
      <c r="G37008" s="889"/>
    </row>
    <row r="37009" spans="7:7" ht="10.5" customHeight="1" x14ac:dyDescent="0.2">
      <c r="G37009" s="889"/>
    </row>
    <row r="37010" spans="7:7" ht="10.5" customHeight="1" x14ac:dyDescent="0.2">
      <c r="G37010" s="889"/>
    </row>
    <row r="37011" spans="7:7" ht="10.5" customHeight="1" x14ac:dyDescent="0.2">
      <c r="G37011" s="889"/>
    </row>
    <row r="37012" spans="7:7" ht="10.5" customHeight="1" x14ac:dyDescent="0.2">
      <c r="G37012" s="889"/>
    </row>
    <row r="37013" spans="7:7" ht="10.5" customHeight="1" x14ac:dyDescent="0.2">
      <c r="G37013" s="889"/>
    </row>
    <row r="37014" spans="7:7" ht="10.5" customHeight="1" x14ac:dyDescent="0.2">
      <c r="G37014" s="889"/>
    </row>
    <row r="37015" spans="7:7" ht="10.5" customHeight="1" x14ac:dyDescent="0.2">
      <c r="G37015" s="889"/>
    </row>
    <row r="37016" spans="7:7" ht="10.5" customHeight="1" x14ac:dyDescent="0.2">
      <c r="G37016" s="889"/>
    </row>
    <row r="37017" spans="7:7" ht="10.5" customHeight="1" x14ac:dyDescent="0.2">
      <c r="G37017" s="889"/>
    </row>
    <row r="37018" spans="7:7" ht="10.5" customHeight="1" x14ac:dyDescent="0.2">
      <c r="G37018" s="889"/>
    </row>
    <row r="37019" spans="7:7" ht="10.5" customHeight="1" x14ac:dyDescent="0.2">
      <c r="G37019" s="889"/>
    </row>
    <row r="37020" spans="7:7" ht="10.5" customHeight="1" x14ac:dyDescent="0.2">
      <c r="G37020" s="889"/>
    </row>
    <row r="37021" spans="7:7" ht="10.5" customHeight="1" x14ac:dyDescent="0.2">
      <c r="G37021" s="889"/>
    </row>
    <row r="37022" spans="7:7" ht="10.5" customHeight="1" x14ac:dyDescent="0.2">
      <c r="G37022" s="889"/>
    </row>
    <row r="37023" spans="7:7" ht="10.5" customHeight="1" x14ac:dyDescent="0.2">
      <c r="G37023" s="889"/>
    </row>
    <row r="37024" spans="7:7" ht="10.5" customHeight="1" x14ac:dyDescent="0.2">
      <c r="G37024" s="889"/>
    </row>
    <row r="37025" spans="7:7" ht="10.5" customHeight="1" x14ac:dyDescent="0.2">
      <c r="G37025" s="889"/>
    </row>
    <row r="37026" spans="7:7" ht="10.5" customHeight="1" x14ac:dyDescent="0.2">
      <c r="G37026" s="889"/>
    </row>
    <row r="37027" spans="7:7" ht="10.5" customHeight="1" x14ac:dyDescent="0.2">
      <c r="G37027" s="889"/>
    </row>
    <row r="37028" spans="7:7" ht="10.5" customHeight="1" x14ac:dyDescent="0.2">
      <c r="G37028" s="889"/>
    </row>
    <row r="37029" spans="7:7" ht="10.5" customHeight="1" x14ac:dyDescent="0.2">
      <c r="G37029" s="889"/>
    </row>
    <row r="37030" spans="7:7" ht="10.5" customHeight="1" x14ac:dyDescent="0.2">
      <c r="G37030" s="889"/>
    </row>
    <row r="37031" spans="7:7" ht="10.5" customHeight="1" x14ac:dyDescent="0.2">
      <c r="G37031" s="889"/>
    </row>
    <row r="37032" spans="7:7" ht="10.5" customHeight="1" x14ac:dyDescent="0.2">
      <c r="G37032" s="889"/>
    </row>
    <row r="37033" spans="7:7" ht="10.5" customHeight="1" x14ac:dyDescent="0.2">
      <c r="G37033" s="889"/>
    </row>
    <row r="37034" spans="7:7" ht="10.5" customHeight="1" x14ac:dyDescent="0.2">
      <c r="G37034" s="889"/>
    </row>
    <row r="37035" spans="7:7" ht="10.5" customHeight="1" x14ac:dyDescent="0.2">
      <c r="G37035" s="889"/>
    </row>
    <row r="37036" spans="7:7" ht="10.5" customHeight="1" x14ac:dyDescent="0.2">
      <c r="G37036" s="889"/>
    </row>
    <row r="37037" spans="7:7" ht="10.5" customHeight="1" x14ac:dyDescent="0.2">
      <c r="G37037" s="889"/>
    </row>
    <row r="37038" spans="7:7" ht="10.5" customHeight="1" x14ac:dyDescent="0.2">
      <c r="G37038" s="889"/>
    </row>
    <row r="37039" spans="7:7" ht="10.5" customHeight="1" x14ac:dyDescent="0.2">
      <c r="G37039" s="889"/>
    </row>
    <row r="37040" spans="7:7" ht="10.5" customHeight="1" x14ac:dyDescent="0.2">
      <c r="G37040" s="889"/>
    </row>
    <row r="37041" spans="7:7" ht="10.5" customHeight="1" x14ac:dyDescent="0.2">
      <c r="G37041" s="889"/>
    </row>
    <row r="37042" spans="7:7" ht="10.5" customHeight="1" x14ac:dyDescent="0.2">
      <c r="G37042" s="889"/>
    </row>
    <row r="37043" spans="7:7" ht="10.5" customHeight="1" x14ac:dyDescent="0.2">
      <c r="G37043" s="889"/>
    </row>
    <row r="37044" spans="7:7" ht="10.5" customHeight="1" x14ac:dyDescent="0.2">
      <c r="G37044" s="889"/>
    </row>
    <row r="37045" spans="7:7" ht="10.5" customHeight="1" x14ac:dyDescent="0.2">
      <c r="G37045" s="889"/>
    </row>
    <row r="37046" spans="7:7" ht="10.5" customHeight="1" x14ac:dyDescent="0.2">
      <c r="G37046" s="889"/>
    </row>
    <row r="37047" spans="7:7" ht="10.5" customHeight="1" x14ac:dyDescent="0.2">
      <c r="G37047" s="889"/>
    </row>
    <row r="37048" spans="7:7" ht="10.5" customHeight="1" x14ac:dyDescent="0.2">
      <c r="G37048" s="889"/>
    </row>
    <row r="37049" spans="7:7" ht="10.5" customHeight="1" x14ac:dyDescent="0.2">
      <c r="G37049" s="889"/>
    </row>
    <row r="37050" spans="7:7" ht="10.5" customHeight="1" x14ac:dyDescent="0.2">
      <c r="G37050" s="889"/>
    </row>
    <row r="37051" spans="7:7" ht="10.5" customHeight="1" x14ac:dyDescent="0.2">
      <c r="G37051" s="889"/>
    </row>
    <row r="37052" spans="7:7" ht="10.5" customHeight="1" x14ac:dyDescent="0.2">
      <c r="G37052" s="889"/>
    </row>
    <row r="37053" spans="7:7" ht="10.5" customHeight="1" x14ac:dyDescent="0.2">
      <c r="G37053" s="889"/>
    </row>
    <row r="37054" spans="7:7" ht="10.5" customHeight="1" x14ac:dyDescent="0.2">
      <c r="G37054" s="889"/>
    </row>
    <row r="37055" spans="7:7" ht="10.5" customHeight="1" x14ac:dyDescent="0.2">
      <c r="G37055" s="889"/>
    </row>
    <row r="37056" spans="7:7" ht="10.5" customHeight="1" x14ac:dyDescent="0.2">
      <c r="G37056" s="889"/>
    </row>
    <row r="37057" spans="7:7" ht="10.5" customHeight="1" x14ac:dyDescent="0.2">
      <c r="G37057" s="889"/>
    </row>
    <row r="37058" spans="7:7" ht="10.5" customHeight="1" x14ac:dyDescent="0.2">
      <c r="G37058" s="889"/>
    </row>
    <row r="37059" spans="7:7" ht="10.5" customHeight="1" x14ac:dyDescent="0.2">
      <c r="G37059" s="889"/>
    </row>
    <row r="37060" spans="7:7" ht="10.5" customHeight="1" x14ac:dyDescent="0.2">
      <c r="G37060" s="889"/>
    </row>
    <row r="37061" spans="7:7" ht="10.5" customHeight="1" x14ac:dyDescent="0.2">
      <c r="G37061" s="889"/>
    </row>
    <row r="37062" spans="7:7" ht="10.5" customHeight="1" x14ac:dyDescent="0.2">
      <c r="G37062" s="889"/>
    </row>
    <row r="37063" spans="7:7" ht="10.5" customHeight="1" x14ac:dyDescent="0.2">
      <c r="G37063" s="889"/>
    </row>
    <row r="37064" spans="7:7" ht="10.5" customHeight="1" x14ac:dyDescent="0.2">
      <c r="G37064" s="889"/>
    </row>
    <row r="37065" spans="7:7" ht="10.5" customHeight="1" x14ac:dyDescent="0.2">
      <c r="G37065" s="889"/>
    </row>
    <row r="37066" spans="7:7" ht="10.5" customHeight="1" x14ac:dyDescent="0.2">
      <c r="G37066" s="889"/>
    </row>
    <row r="37067" spans="7:7" ht="10.5" customHeight="1" x14ac:dyDescent="0.2">
      <c r="G37067" s="889"/>
    </row>
    <row r="37068" spans="7:7" ht="10.5" customHeight="1" x14ac:dyDescent="0.2">
      <c r="G37068" s="889"/>
    </row>
    <row r="37069" spans="7:7" ht="10.5" customHeight="1" x14ac:dyDescent="0.2">
      <c r="G37069" s="889"/>
    </row>
    <row r="37070" spans="7:7" ht="10.5" customHeight="1" x14ac:dyDescent="0.2">
      <c r="G37070" s="889"/>
    </row>
    <row r="37071" spans="7:7" ht="10.5" customHeight="1" x14ac:dyDescent="0.2">
      <c r="G37071" s="889"/>
    </row>
    <row r="37072" spans="7:7" ht="10.5" customHeight="1" x14ac:dyDescent="0.2">
      <c r="G37072" s="889"/>
    </row>
    <row r="37073" spans="7:7" ht="10.5" customHeight="1" x14ac:dyDescent="0.2">
      <c r="G37073" s="889"/>
    </row>
    <row r="37074" spans="7:7" ht="10.5" customHeight="1" x14ac:dyDescent="0.2">
      <c r="G37074" s="889"/>
    </row>
    <row r="37075" spans="7:7" ht="10.5" customHeight="1" x14ac:dyDescent="0.2">
      <c r="G37075" s="889"/>
    </row>
    <row r="37076" spans="7:7" ht="10.5" customHeight="1" x14ac:dyDescent="0.2">
      <c r="G37076" s="889"/>
    </row>
    <row r="37077" spans="7:7" ht="10.5" customHeight="1" x14ac:dyDescent="0.2">
      <c r="G37077" s="889"/>
    </row>
    <row r="37078" spans="7:7" ht="10.5" customHeight="1" x14ac:dyDescent="0.2">
      <c r="G37078" s="889"/>
    </row>
    <row r="37079" spans="7:7" ht="10.5" customHeight="1" x14ac:dyDescent="0.2">
      <c r="G37079" s="889"/>
    </row>
    <row r="37080" spans="7:7" ht="10.5" customHeight="1" x14ac:dyDescent="0.2">
      <c r="G37080" s="889"/>
    </row>
    <row r="37081" spans="7:7" ht="10.5" customHeight="1" x14ac:dyDescent="0.2">
      <c r="G37081" s="889"/>
    </row>
    <row r="37082" spans="7:7" ht="10.5" customHeight="1" x14ac:dyDescent="0.2">
      <c r="G37082" s="889"/>
    </row>
    <row r="37083" spans="7:7" ht="10.5" customHeight="1" x14ac:dyDescent="0.2">
      <c r="G37083" s="889"/>
    </row>
    <row r="37084" spans="7:7" ht="10.5" customHeight="1" x14ac:dyDescent="0.2">
      <c r="G37084" s="889"/>
    </row>
    <row r="37085" spans="7:7" ht="10.5" customHeight="1" x14ac:dyDescent="0.2">
      <c r="G37085" s="889"/>
    </row>
    <row r="37086" spans="7:7" ht="10.5" customHeight="1" x14ac:dyDescent="0.2">
      <c r="G37086" s="889"/>
    </row>
    <row r="37087" spans="7:7" ht="10.5" customHeight="1" x14ac:dyDescent="0.2">
      <c r="G37087" s="889"/>
    </row>
    <row r="37088" spans="7:7" ht="10.5" customHeight="1" x14ac:dyDescent="0.2">
      <c r="G37088" s="889"/>
    </row>
    <row r="37089" spans="7:7" ht="10.5" customHeight="1" x14ac:dyDescent="0.2">
      <c r="G37089" s="889"/>
    </row>
    <row r="37090" spans="7:7" ht="10.5" customHeight="1" x14ac:dyDescent="0.2">
      <c r="G37090" s="889"/>
    </row>
    <row r="37091" spans="7:7" ht="10.5" customHeight="1" x14ac:dyDescent="0.2">
      <c r="G37091" s="889"/>
    </row>
    <row r="37092" spans="7:7" ht="10.5" customHeight="1" x14ac:dyDescent="0.2">
      <c r="G37092" s="889"/>
    </row>
    <row r="37093" spans="7:7" ht="10.5" customHeight="1" x14ac:dyDescent="0.2">
      <c r="G37093" s="889"/>
    </row>
    <row r="37094" spans="7:7" ht="10.5" customHeight="1" x14ac:dyDescent="0.2">
      <c r="G37094" s="889"/>
    </row>
    <row r="37095" spans="7:7" ht="10.5" customHeight="1" x14ac:dyDescent="0.2">
      <c r="G37095" s="889"/>
    </row>
    <row r="37096" spans="7:7" ht="10.5" customHeight="1" x14ac:dyDescent="0.2">
      <c r="G37096" s="889"/>
    </row>
    <row r="37097" spans="7:7" ht="10.5" customHeight="1" x14ac:dyDescent="0.2">
      <c r="G37097" s="889"/>
    </row>
    <row r="37098" spans="7:7" ht="10.5" customHeight="1" x14ac:dyDescent="0.2">
      <c r="G37098" s="889"/>
    </row>
    <row r="37099" spans="7:7" ht="10.5" customHeight="1" x14ac:dyDescent="0.2">
      <c r="G37099" s="889"/>
    </row>
    <row r="37100" spans="7:7" ht="10.5" customHeight="1" x14ac:dyDescent="0.2">
      <c r="G37100" s="889"/>
    </row>
    <row r="37101" spans="7:7" ht="10.5" customHeight="1" x14ac:dyDescent="0.2">
      <c r="G37101" s="889"/>
    </row>
    <row r="37102" spans="7:7" ht="10.5" customHeight="1" x14ac:dyDescent="0.2">
      <c r="G37102" s="889"/>
    </row>
    <row r="37103" spans="7:7" ht="10.5" customHeight="1" x14ac:dyDescent="0.2">
      <c r="G37103" s="889"/>
    </row>
    <row r="37104" spans="7:7" ht="10.5" customHeight="1" x14ac:dyDescent="0.2">
      <c r="G37104" s="889"/>
    </row>
    <row r="37105" spans="7:7" ht="10.5" customHeight="1" x14ac:dyDescent="0.2">
      <c r="G37105" s="889"/>
    </row>
    <row r="37106" spans="7:7" ht="10.5" customHeight="1" x14ac:dyDescent="0.2">
      <c r="G37106" s="889"/>
    </row>
    <row r="37107" spans="7:7" ht="10.5" customHeight="1" x14ac:dyDescent="0.2">
      <c r="G37107" s="889"/>
    </row>
    <row r="37108" spans="7:7" ht="10.5" customHeight="1" x14ac:dyDescent="0.2">
      <c r="G37108" s="889"/>
    </row>
    <row r="37109" spans="7:7" ht="10.5" customHeight="1" x14ac:dyDescent="0.2">
      <c r="G37109" s="889"/>
    </row>
    <row r="37110" spans="7:7" ht="10.5" customHeight="1" x14ac:dyDescent="0.2">
      <c r="G37110" s="889"/>
    </row>
    <row r="37111" spans="7:7" ht="10.5" customHeight="1" x14ac:dyDescent="0.2">
      <c r="G37111" s="889"/>
    </row>
    <row r="37112" spans="7:7" ht="10.5" customHeight="1" x14ac:dyDescent="0.2">
      <c r="G37112" s="889"/>
    </row>
    <row r="37113" spans="7:7" ht="10.5" customHeight="1" x14ac:dyDescent="0.2">
      <c r="G37113" s="889"/>
    </row>
    <row r="37114" spans="7:7" ht="10.5" customHeight="1" x14ac:dyDescent="0.2">
      <c r="G37114" s="889"/>
    </row>
    <row r="37115" spans="7:7" ht="10.5" customHeight="1" x14ac:dyDescent="0.2">
      <c r="G37115" s="889"/>
    </row>
    <row r="37116" spans="7:7" ht="10.5" customHeight="1" x14ac:dyDescent="0.2">
      <c r="G37116" s="889"/>
    </row>
    <row r="37117" spans="7:7" ht="10.5" customHeight="1" x14ac:dyDescent="0.2">
      <c r="G37117" s="889"/>
    </row>
    <row r="37118" spans="7:7" ht="10.5" customHeight="1" x14ac:dyDescent="0.2">
      <c r="G37118" s="889"/>
    </row>
    <row r="37119" spans="7:7" ht="10.5" customHeight="1" x14ac:dyDescent="0.2">
      <c r="G37119" s="889"/>
    </row>
    <row r="37120" spans="7:7" ht="10.5" customHeight="1" x14ac:dyDescent="0.2">
      <c r="G37120" s="889"/>
    </row>
    <row r="37121" spans="7:7" ht="10.5" customHeight="1" x14ac:dyDescent="0.2">
      <c r="G37121" s="889"/>
    </row>
    <row r="37122" spans="7:7" ht="10.5" customHeight="1" x14ac:dyDescent="0.2">
      <c r="G37122" s="889"/>
    </row>
    <row r="37123" spans="7:7" ht="10.5" customHeight="1" x14ac:dyDescent="0.2">
      <c r="G37123" s="889"/>
    </row>
    <row r="37124" spans="7:7" ht="10.5" customHeight="1" x14ac:dyDescent="0.2">
      <c r="G37124" s="889"/>
    </row>
    <row r="37125" spans="7:7" ht="10.5" customHeight="1" x14ac:dyDescent="0.2">
      <c r="G37125" s="889"/>
    </row>
    <row r="37126" spans="7:7" ht="10.5" customHeight="1" x14ac:dyDescent="0.2">
      <c r="G37126" s="889"/>
    </row>
    <row r="37127" spans="7:7" ht="10.5" customHeight="1" x14ac:dyDescent="0.2">
      <c r="G37127" s="889"/>
    </row>
    <row r="37128" spans="7:7" ht="10.5" customHeight="1" x14ac:dyDescent="0.2">
      <c r="G37128" s="889"/>
    </row>
    <row r="37129" spans="7:7" ht="10.5" customHeight="1" x14ac:dyDescent="0.2">
      <c r="G37129" s="889"/>
    </row>
    <row r="37130" spans="7:7" ht="10.5" customHeight="1" x14ac:dyDescent="0.2">
      <c r="G37130" s="889"/>
    </row>
    <row r="37131" spans="7:7" ht="10.5" customHeight="1" x14ac:dyDescent="0.2">
      <c r="G37131" s="889"/>
    </row>
    <row r="37132" spans="7:7" ht="10.5" customHeight="1" x14ac:dyDescent="0.2">
      <c r="G37132" s="889"/>
    </row>
    <row r="37133" spans="7:7" ht="10.5" customHeight="1" x14ac:dyDescent="0.2">
      <c r="G37133" s="889"/>
    </row>
    <row r="37134" spans="7:7" ht="10.5" customHeight="1" x14ac:dyDescent="0.2">
      <c r="G37134" s="889"/>
    </row>
    <row r="37135" spans="7:7" ht="10.5" customHeight="1" x14ac:dyDescent="0.2">
      <c r="G37135" s="889"/>
    </row>
    <row r="37136" spans="7:7" ht="10.5" customHeight="1" x14ac:dyDescent="0.2">
      <c r="G37136" s="889"/>
    </row>
    <row r="37137" spans="7:7" ht="10.5" customHeight="1" x14ac:dyDescent="0.2">
      <c r="G37137" s="889"/>
    </row>
    <row r="37138" spans="7:7" ht="10.5" customHeight="1" x14ac:dyDescent="0.2">
      <c r="G37138" s="889"/>
    </row>
    <row r="37139" spans="7:7" ht="10.5" customHeight="1" x14ac:dyDescent="0.2">
      <c r="G37139" s="889"/>
    </row>
    <row r="37140" spans="7:7" ht="10.5" customHeight="1" x14ac:dyDescent="0.2">
      <c r="G37140" s="889"/>
    </row>
    <row r="37141" spans="7:7" ht="10.5" customHeight="1" x14ac:dyDescent="0.2">
      <c r="G37141" s="889"/>
    </row>
    <row r="37142" spans="7:7" ht="10.5" customHeight="1" x14ac:dyDescent="0.2">
      <c r="G37142" s="889"/>
    </row>
    <row r="37143" spans="7:7" ht="10.5" customHeight="1" x14ac:dyDescent="0.2">
      <c r="G37143" s="889"/>
    </row>
    <row r="37144" spans="7:7" ht="10.5" customHeight="1" x14ac:dyDescent="0.2">
      <c r="G37144" s="889"/>
    </row>
    <row r="37145" spans="7:7" ht="10.5" customHeight="1" x14ac:dyDescent="0.2">
      <c r="G37145" s="889"/>
    </row>
    <row r="37146" spans="7:7" ht="10.5" customHeight="1" x14ac:dyDescent="0.2">
      <c r="G37146" s="889"/>
    </row>
    <row r="37147" spans="7:7" ht="10.5" customHeight="1" x14ac:dyDescent="0.2">
      <c r="G37147" s="889"/>
    </row>
    <row r="37148" spans="7:7" ht="10.5" customHeight="1" x14ac:dyDescent="0.2">
      <c r="G37148" s="889"/>
    </row>
    <row r="37149" spans="7:7" ht="10.5" customHeight="1" x14ac:dyDescent="0.2">
      <c r="G37149" s="889"/>
    </row>
    <row r="37150" spans="7:7" ht="10.5" customHeight="1" x14ac:dyDescent="0.2">
      <c r="G37150" s="889"/>
    </row>
    <row r="37151" spans="7:7" ht="10.5" customHeight="1" x14ac:dyDescent="0.2">
      <c r="G37151" s="889"/>
    </row>
    <row r="37152" spans="7:7" ht="10.5" customHeight="1" x14ac:dyDescent="0.2">
      <c r="G37152" s="889"/>
    </row>
    <row r="37153" spans="7:7" ht="10.5" customHeight="1" x14ac:dyDescent="0.2">
      <c r="G37153" s="889"/>
    </row>
    <row r="37154" spans="7:7" ht="10.5" customHeight="1" x14ac:dyDescent="0.2">
      <c r="G37154" s="889"/>
    </row>
    <row r="37155" spans="7:7" ht="10.5" customHeight="1" x14ac:dyDescent="0.2">
      <c r="G37155" s="889"/>
    </row>
    <row r="37156" spans="7:7" ht="10.5" customHeight="1" x14ac:dyDescent="0.2">
      <c r="G37156" s="889"/>
    </row>
    <row r="37157" spans="7:7" ht="10.5" customHeight="1" x14ac:dyDescent="0.2">
      <c r="G37157" s="889"/>
    </row>
    <row r="37158" spans="7:7" ht="10.5" customHeight="1" x14ac:dyDescent="0.2">
      <c r="G37158" s="889"/>
    </row>
    <row r="37159" spans="7:7" ht="10.5" customHeight="1" x14ac:dyDescent="0.2">
      <c r="G37159" s="889"/>
    </row>
    <row r="37160" spans="7:7" ht="10.5" customHeight="1" x14ac:dyDescent="0.2">
      <c r="G37160" s="889"/>
    </row>
    <row r="37161" spans="7:7" ht="10.5" customHeight="1" x14ac:dyDescent="0.2">
      <c r="G37161" s="889"/>
    </row>
    <row r="37162" spans="7:7" ht="10.5" customHeight="1" x14ac:dyDescent="0.2">
      <c r="G37162" s="889"/>
    </row>
    <row r="37163" spans="7:7" ht="10.5" customHeight="1" x14ac:dyDescent="0.2">
      <c r="G37163" s="889"/>
    </row>
    <row r="37164" spans="7:7" ht="10.5" customHeight="1" x14ac:dyDescent="0.2">
      <c r="G37164" s="889"/>
    </row>
    <row r="37165" spans="7:7" ht="10.5" customHeight="1" x14ac:dyDescent="0.2">
      <c r="G37165" s="889"/>
    </row>
    <row r="37166" spans="7:7" ht="10.5" customHeight="1" x14ac:dyDescent="0.2">
      <c r="G37166" s="889"/>
    </row>
    <row r="37167" spans="7:7" ht="10.5" customHeight="1" x14ac:dyDescent="0.2">
      <c r="G37167" s="889"/>
    </row>
    <row r="37168" spans="7:7" ht="10.5" customHeight="1" x14ac:dyDescent="0.2">
      <c r="G37168" s="889"/>
    </row>
    <row r="37169" spans="7:7" ht="10.5" customHeight="1" x14ac:dyDescent="0.2">
      <c r="G37169" s="889"/>
    </row>
    <row r="37170" spans="7:7" ht="10.5" customHeight="1" x14ac:dyDescent="0.2">
      <c r="G37170" s="889"/>
    </row>
    <row r="37171" spans="7:7" ht="10.5" customHeight="1" x14ac:dyDescent="0.2">
      <c r="G37171" s="889"/>
    </row>
    <row r="37172" spans="7:7" ht="10.5" customHeight="1" x14ac:dyDescent="0.2">
      <c r="G37172" s="889"/>
    </row>
    <row r="37173" spans="7:7" ht="10.5" customHeight="1" x14ac:dyDescent="0.2">
      <c r="G37173" s="889"/>
    </row>
    <row r="37174" spans="7:7" ht="10.5" customHeight="1" x14ac:dyDescent="0.2">
      <c r="G37174" s="889"/>
    </row>
    <row r="37175" spans="7:7" ht="10.5" customHeight="1" x14ac:dyDescent="0.2">
      <c r="G37175" s="889"/>
    </row>
    <row r="37176" spans="7:7" ht="10.5" customHeight="1" x14ac:dyDescent="0.2">
      <c r="G37176" s="889"/>
    </row>
    <row r="37177" spans="7:7" ht="10.5" customHeight="1" x14ac:dyDescent="0.2">
      <c r="G37177" s="889"/>
    </row>
    <row r="37178" spans="7:7" ht="10.5" customHeight="1" x14ac:dyDescent="0.2">
      <c r="G37178" s="889"/>
    </row>
    <row r="37179" spans="7:7" ht="10.5" customHeight="1" x14ac:dyDescent="0.2">
      <c r="G37179" s="889"/>
    </row>
    <row r="37180" spans="7:7" ht="10.5" customHeight="1" x14ac:dyDescent="0.2">
      <c r="G37180" s="889"/>
    </row>
    <row r="37181" spans="7:7" ht="10.5" customHeight="1" x14ac:dyDescent="0.2">
      <c r="G37181" s="889"/>
    </row>
    <row r="37182" spans="7:7" ht="10.5" customHeight="1" x14ac:dyDescent="0.2">
      <c r="G37182" s="889"/>
    </row>
    <row r="37183" spans="7:7" ht="10.5" customHeight="1" x14ac:dyDescent="0.2">
      <c r="G37183" s="889"/>
    </row>
    <row r="37184" spans="7:7" ht="10.5" customHeight="1" x14ac:dyDescent="0.2">
      <c r="G37184" s="889"/>
    </row>
    <row r="37185" spans="7:7" ht="10.5" customHeight="1" x14ac:dyDescent="0.2">
      <c r="G37185" s="889"/>
    </row>
    <row r="37186" spans="7:7" ht="10.5" customHeight="1" x14ac:dyDescent="0.2">
      <c r="G37186" s="889"/>
    </row>
    <row r="37187" spans="7:7" ht="10.5" customHeight="1" x14ac:dyDescent="0.2">
      <c r="G37187" s="889"/>
    </row>
    <row r="37188" spans="7:7" ht="10.5" customHeight="1" x14ac:dyDescent="0.2">
      <c r="G37188" s="889"/>
    </row>
    <row r="37189" spans="7:7" ht="10.5" customHeight="1" x14ac:dyDescent="0.2">
      <c r="G37189" s="889"/>
    </row>
    <row r="37190" spans="7:7" ht="10.5" customHeight="1" x14ac:dyDescent="0.2">
      <c r="G37190" s="889"/>
    </row>
    <row r="37191" spans="7:7" ht="10.5" customHeight="1" x14ac:dyDescent="0.2">
      <c r="G37191" s="889"/>
    </row>
    <row r="37192" spans="7:7" ht="10.5" customHeight="1" x14ac:dyDescent="0.2">
      <c r="G37192" s="889"/>
    </row>
    <row r="37193" spans="7:7" ht="10.5" customHeight="1" x14ac:dyDescent="0.2">
      <c r="G37193" s="889"/>
    </row>
    <row r="37194" spans="7:7" ht="10.5" customHeight="1" x14ac:dyDescent="0.2">
      <c r="G37194" s="889"/>
    </row>
    <row r="37195" spans="7:7" ht="10.5" customHeight="1" x14ac:dyDescent="0.2">
      <c r="G37195" s="889"/>
    </row>
    <row r="37196" spans="7:7" ht="10.5" customHeight="1" x14ac:dyDescent="0.2">
      <c r="G37196" s="889"/>
    </row>
    <row r="37197" spans="7:7" ht="10.5" customHeight="1" x14ac:dyDescent="0.2">
      <c r="G37197" s="889"/>
    </row>
    <row r="37198" spans="7:7" ht="10.5" customHeight="1" x14ac:dyDescent="0.2">
      <c r="G37198" s="889"/>
    </row>
    <row r="37199" spans="7:7" ht="10.5" customHeight="1" x14ac:dyDescent="0.2">
      <c r="G37199" s="889"/>
    </row>
    <row r="37200" spans="7:7" ht="10.5" customHeight="1" x14ac:dyDescent="0.2">
      <c r="G37200" s="889"/>
    </row>
    <row r="37201" spans="7:7" ht="10.5" customHeight="1" x14ac:dyDescent="0.2">
      <c r="G37201" s="889"/>
    </row>
    <row r="37202" spans="7:7" ht="10.5" customHeight="1" x14ac:dyDescent="0.2">
      <c r="G37202" s="889"/>
    </row>
    <row r="37203" spans="7:7" ht="10.5" customHeight="1" x14ac:dyDescent="0.2">
      <c r="G37203" s="889"/>
    </row>
    <row r="37204" spans="7:7" ht="10.5" customHeight="1" x14ac:dyDescent="0.2">
      <c r="G37204" s="889"/>
    </row>
    <row r="37205" spans="7:7" ht="10.5" customHeight="1" x14ac:dyDescent="0.2">
      <c r="G37205" s="889"/>
    </row>
    <row r="37206" spans="7:7" ht="10.5" customHeight="1" x14ac:dyDescent="0.2">
      <c r="G37206" s="889"/>
    </row>
    <row r="37207" spans="7:7" ht="10.5" customHeight="1" x14ac:dyDescent="0.2">
      <c r="G37207" s="889"/>
    </row>
    <row r="37208" spans="7:7" ht="10.5" customHeight="1" x14ac:dyDescent="0.2">
      <c r="G37208" s="889"/>
    </row>
    <row r="37209" spans="7:7" ht="10.5" customHeight="1" x14ac:dyDescent="0.2">
      <c r="G37209" s="889"/>
    </row>
    <row r="37210" spans="7:7" ht="10.5" customHeight="1" x14ac:dyDescent="0.2">
      <c r="G37210" s="889"/>
    </row>
    <row r="37211" spans="7:7" ht="10.5" customHeight="1" x14ac:dyDescent="0.2">
      <c r="G37211" s="889"/>
    </row>
    <row r="37212" spans="7:7" ht="10.5" customHeight="1" x14ac:dyDescent="0.2">
      <c r="G37212" s="889"/>
    </row>
    <row r="37213" spans="7:7" ht="10.5" customHeight="1" x14ac:dyDescent="0.2">
      <c r="G37213" s="889"/>
    </row>
    <row r="37214" spans="7:7" ht="10.5" customHeight="1" x14ac:dyDescent="0.2">
      <c r="G37214" s="889"/>
    </row>
    <row r="37215" spans="7:7" ht="10.5" customHeight="1" x14ac:dyDescent="0.2">
      <c r="G37215" s="889"/>
    </row>
    <row r="37216" spans="7:7" ht="10.5" customHeight="1" x14ac:dyDescent="0.2">
      <c r="G37216" s="889"/>
    </row>
    <row r="37217" spans="7:7" ht="10.5" customHeight="1" x14ac:dyDescent="0.2">
      <c r="G37217" s="889"/>
    </row>
    <row r="37218" spans="7:7" ht="10.5" customHeight="1" x14ac:dyDescent="0.2">
      <c r="G37218" s="889"/>
    </row>
    <row r="37219" spans="7:7" ht="10.5" customHeight="1" x14ac:dyDescent="0.2">
      <c r="G37219" s="889"/>
    </row>
    <row r="37220" spans="7:7" ht="10.5" customHeight="1" x14ac:dyDescent="0.2">
      <c r="G37220" s="889"/>
    </row>
    <row r="37221" spans="7:7" ht="10.5" customHeight="1" x14ac:dyDescent="0.2">
      <c r="G37221" s="889"/>
    </row>
    <row r="37222" spans="7:7" ht="10.5" customHeight="1" x14ac:dyDescent="0.2">
      <c r="G37222" s="889"/>
    </row>
    <row r="37223" spans="7:7" ht="10.5" customHeight="1" x14ac:dyDescent="0.2">
      <c r="G37223" s="889"/>
    </row>
    <row r="37224" spans="7:7" ht="10.5" customHeight="1" x14ac:dyDescent="0.2">
      <c r="G37224" s="889"/>
    </row>
    <row r="37225" spans="7:7" ht="10.5" customHeight="1" x14ac:dyDescent="0.2">
      <c r="G37225" s="889"/>
    </row>
    <row r="37226" spans="7:7" ht="10.5" customHeight="1" x14ac:dyDescent="0.2">
      <c r="G37226" s="889"/>
    </row>
    <row r="37227" spans="7:7" ht="10.5" customHeight="1" x14ac:dyDescent="0.2">
      <c r="G37227" s="889"/>
    </row>
    <row r="37228" spans="7:7" ht="10.5" customHeight="1" x14ac:dyDescent="0.2">
      <c r="G37228" s="889"/>
    </row>
    <row r="37229" spans="7:7" ht="10.5" customHeight="1" x14ac:dyDescent="0.2">
      <c r="G37229" s="889"/>
    </row>
    <row r="37230" spans="7:7" ht="10.5" customHeight="1" x14ac:dyDescent="0.2">
      <c r="G37230" s="889"/>
    </row>
    <row r="37231" spans="7:7" ht="10.5" customHeight="1" x14ac:dyDescent="0.2">
      <c r="G37231" s="889"/>
    </row>
    <row r="37232" spans="7:7" ht="10.5" customHeight="1" x14ac:dyDescent="0.2">
      <c r="G37232" s="889"/>
    </row>
    <row r="37233" spans="7:7" ht="10.5" customHeight="1" x14ac:dyDescent="0.2">
      <c r="G37233" s="889"/>
    </row>
    <row r="37234" spans="7:7" ht="10.5" customHeight="1" x14ac:dyDescent="0.2">
      <c r="G37234" s="889"/>
    </row>
    <row r="37235" spans="7:7" ht="10.5" customHeight="1" x14ac:dyDescent="0.2">
      <c r="G37235" s="889"/>
    </row>
    <row r="37236" spans="7:7" ht="10.5" customHeight="1" x14ac:dyDescent="0.2">
      <c r="G37236" s="889"/>
    </row>
    <row r="37237" spans="7:7" ht="10.5" customHeight="1" x14ac:dyDescent="0.2">
      <c r="G37237" s="889"/>
    </row>
    <row r="37238" spans="7:7" ht="10.5" customHeight="1" x14ac:dyDescent="0.2">
      <c r="G37238" s="889"/>
    </row>
    <row r="37239" spans="7:7" ht="10.5" customHeight="1" x14ac:dyDescent="0.2">
      <c r="G37239" s="889"/>
    </row>
    <row r="37240" spans="7:7" ht="10.5" customHeight="1" x14ac:dyDescent="0.2">
      <c r="G37240" s="889"/>
    </row>
    <row r="37241" spans="7:7" ht="10.5" customHeight="1" x14ac:dyDescent="0.2">
      <c r="G37241" s="889"/>
    </row>
    <row r="37242" spans="7:7" ht="10.5" customHeight="1" x14ac:dyDescent="0.2">
      <c r="G37242" s="889"/>
    </row>
    <row r="37243" spans="7:7" ht="10.5" customHeight="1" x14ac:dyDescent="0.2">
      <c r="G37243" s="889"/>
    </row>
    <row r="37244" spans="7:7" ht="10.5" customHeight="1" x14ac:dyDescent="0.2">
      <c r="G37244" s="889"/>
    </row>
    <row r="37245" spans="7:7" ht="10.5" customHeight="1" x14ac:dyDescent="0.2">
      <c r="G37245" s="889"/>
    </row>
    <row r="37246" spans="7:7" ht="10.5" customHeight="1" x14ac:dyDescent="0.2">
      <c r="G37246" s="889"/>
    </row>
    <row r="37247" spans="7:7" ht="10.5" customHeight="1" x14ac:dyDescent="0.2">
      <c r="G37247" s="889"/>
    </row>
    <row r="37248" spans="7:7" ht="10.5" customHeight="1" x14ac:dyDescent="0.2">
      <c r="G37248" s="889"/>
    </row>
    <row r="37249" spans="7:7" ht="10.5" customHeight="1" x14ac:dyDescent="0.2">
      <c r="G37249" s="889"/>
    </row>
    <row r="37250" spans="7:7" ht="10.5" customHeight="1" x14ac:dyDescent="0.2">
      <c r="G37250" s="889"/>
    </row>
    <row r="37251" spans="7:7" ht="10.5" customHeight="1" x14ac:dyDescent="0.2">
      <c r="G37251" s="889"/>
    </row>
    <row r="37252" spans="7:7" ht="10.5" customHeight="1" x14ac:dyDescent="0.2">
      <c r="G37252" s="889"/>
    </row>
    <row r="37253" spans="7:7" ht="10.5" customHeight="1" x14ac:dyDescent="0.2">
      <c r="G37253" s="889"/>
    </row>
    <row r="37254" spans="7:7" ht="10.5" customHeight="1" x14ac:dyDescent="0.2">
      <c r="G37254" s="889"/>
    </row>
    <row r="37255" spans="7:7" ht="10.5" customHeight="1" x14ac:dyDescent="0.2">
      <c r="G37255" s="889"/>
    </row>
    <row r="37256" spans="7:7" ht="10.5" customHeight="1" x14ac:dyDescent="0.2">
      <c r="G37256" s="889"/>
    </row>
    <row r="37257" spans="7:7" ht="10.5" customHeight="1" x14ac:dyDescent="0.2">
      <c r="G37257" s="889"/>
    </row>
    <row r="37258" spans="7:7" ht="10.5" customHeight="1" x14ac:dyDescent="0.2">
      <c r="G37258" s="889"/>
    </row>
    <row r="37259" spans="7:7" ht="10.5" customHeight="1" x14ac:dyDescent="0.2">
      <c r="G37259" s="889"/>
    </row>
    <row r="37260" spans="7:7" ht="10.5" customHeight="1" x14ac:dyDescent="0.2">
      <c r="G37260" s="889"/>
    </row>
    <row r="37261" spans="7:7" ht="10.5" customHeight="1" x14ac:dyDescent="0.2">
      <c r="G37261" s="889"/>
    </row>
    <row r="37262" spans="7:7" ht="10.5" customHeight="1" x14ac:dyDescent="0.2">
      <c r="G37262" s="889"/>
    </row>
    <row r="37263" spans="7:7" ht="10.5" customHeight="1" x14ac:dyDescent="0.2">
      <c r="G37263" s="889"/>
    </row>
    <row r="37264" spans="7:7" ht="10.5" customHeight="1" x14ac:dyDescent="0.2">
      <c r="G37264" s="889"/>
    </row>
    <row r="37265" spans="7:7" ht="10.5" customHeight="1" x14ac:dyDescent="0.2">
      <c r="G37265" s="889"/>
    </row>
    <row r="37266" spans="7:7" ht="10.5" customHeight="1" x14ac:dyDescent="0.2">
      <c r="G37266" s="889"/>
    </row>
    <row r="37267" spans="7:7" ht="10.5" customHeight="1" x14ac:dyDescent="0.2">
      <c r="G37267" s="889"/>
    </row>
    <row r="37268" spans="7:7" ht="10.5" customHeight="1" x14ac:dyDescent="0.2">
      <c r="G37268" s="889"/>
    </row>
    <row r="37269" spans="7:7" ht="10.5" customHeight="1" x14ac:dyDescent="0.2">
      <c r="G37269" s="889"/>
    </row>
    <row r="37270" spans="7:7" ht="10.5" customHeight="1" x14ac:dyDescent="0.2">
      <c r="G37270" s="889"/>
    </row>
    <row r="37271" spans="7:7" ht="10.5" customHeight="1" x14ac:dyDescent="0.2">
      <c r="G37271" s="889"/>
    </row>
    <row r="37272" spans="7:7" ht="10.5" customHeight="1" x14ac:dyDescent="0.2">
      <c r="G37272" s="889"/>
    </row>
    <row r="37273" spans="7:7" ht="10.5" customHeight="1" x14ac:dyDescent="0.2">
      <c r="G37273" s="889"/>
    </row>
    <row r="37274" spans="7:7" ht="10.5" customHeight="1" x14ac:dyDescent="0.2">
      <c r="G37274" s="889"/>
    </row>
    <row r="37275" spans="7:7" ht="10.5" customHeight="1" x14ac:dyDescent="0.2">
      <c r="G37275" s="889"/>
    </row>
    <row r="37276" spans="7:7" ht="10.5" customHeight="1" x14ac:dyDescent="0.2">
      <c r="G37276" s="889"/>
    </row>
    <row r="37277" spans="7:7" ht="10.5" customHeight="1" x14ac:dyDescent="0.2">
      <c r="G37277" s="889"/>
    </row>
    <row r="37278" spans="7:7" ht="10.5" customHeight="1" x14ac:dyDescent="0.2">
      <c r="G37278" s="889"/>
    </row>
    <row r="37279" spans="7:7" ht="10.5" customHeight="1" x14ac:dyDescent="0.2">
      <c r="G37279" s="889"/>
    </row>
    <row r="37280" spans="7:7" ht="10.5" customHeight="1" x14ac:dyDescent="0.2">
      <c r="G37280" s="889"/>
    </row>
    <row r="37281" spans="7:7" ht="10.5" customHeight="1" x14ac:dyDescent="0.2">
      <c r="G37281" s="889"/>
    </row>
    <row r="37282" spans="7:7" ht="10.5" customHeight="1" x14ac:dyDescent="0.2">
      <c r="G37282" s="889"/>
    </row>
    <row r="37283" spans="7:7" ht="10.5" customHeight="1" x14ac:dyDescent="0.2">
      <c r="G37283" s="889"/>
    </row>
    <row r="37284" spans="7:7" ht="10.5" customHeight="1" x14ac:dyDescent="0.2">
      <c r="G37284" s="889"/>
    </row>
    <row r="37285" spans="7:7" ht="10.5" customHeight="1" x14ac:dyDescent="0.2">
      <c r="G37285" s="889"/>
    </row>
    <row r="37286" spans="7:7" ht="10.5" customHeight="1" x14ac:dyDescent="0.2">
      <c r="G37286" s="889"/>
    </row>
    <row r="37287" spans="7:7" ht="10.5" customHeight="1" x14ac:dyDescent="0.2">
      <c r="G37287" s="889"/>
    </row>
    <row r="37288" spans="7:7" ht="10.5" customHeight="1" x14ac:dyDescent="0.2">
      <c r="G37288" s="889"/>
    </row>
    <row r="37289" spans="7:7" ht="10.5" customHeight="1" x14ac:dyDescent="0.2">
      <c r="G37289" s="889"/>
    </row>
    <row r="37290" spans="7:7" ht="10.5" customHeight="1" x14ac:dyDescent="0.2">
      <c r="G37290" s="889"/>
    </row>
    <row r="37291" spans="7:7" ht="10.5" customHeight="1" x14ac:dyDescent="0.2">
      <c r="G37291" s="889"/>
    </row>
    <row r="37292" spans="7:7" ht="10.5" customHeight="1" x14ac:dyDescent="0.2">
      <c r="G37292" s="889"/>
    </row>
    <row r="37293" spans="7:7" ht="10.5" customHeight="1" x14ac:dyDescent="0.2">
      <c r="G37293" s="889"/>
    </row>
    <row r="37294" spans="7:7" ht="10.5" customHeight="1" x14ac:dyDescent="0.2">
      <c r="G37294" s="889"/>
    </row>
    <row r="37295" spans="7:7" ht="10.5" customHeight="1" x14ac:dyDescent="0.2">
      <c r="G37295" s="889"/>
    </row>
    <row r="37296" spans="7:7" ht="10.5" customHeight="1" x14ac:dyDescent="0.2">
      <c r="G37296" s="889"/>
    </row>
    <row r="37297" spans="7:7" ht="10.5" customHeight="1" x14ac:dyDescent="0.2">
      <c r="G37297" s="889"/>
    </row>
    <row r="37298" spans="7:7" ht="10.5" customHeight="1" x14ac:dyDescent="0.2">
      <c r="G37298" s="889"/>
    </row>
    <row r="37299" spans="7:7" ht="10.5" customHeight="1" x14ac:dyDescent="0.2">
      <c r="G37299" s="889"/>
    </row>
    <row r="37300" spans="7:7" ht="10.5" customHeight="1" x14ac:dyDescent="0.2">
      <c r="G37300" s="889"/>
    </row>
    <row r="37301" spans="7:7" ht="10.5" customHeight="1" x14ac:dyDescent="0.2">
      <c r="G37301" s="889"/>
    </row>
    <row r="37302" spans="7:7" ht="10.5" customHeight="1" x14ac:dyDescent="0.2">
      <c r="G37302" s="889"/>
    </row>
    <row r="37303" spans="7:7" ht="10.5" customHeight="1" x14ac:dyDescent="0.2">
      <c r="G37303" s="889"/>
    </row>
    <row r="37304" spans="7:7" ht="10.5" customHeight="1" x14ac:dyDescent="0.2">
      <c r="G37304" s="889"/>
    </row>
    <row r="37305" spans="7:7" ht="10.5" customHeight="1" x14ac:dyDescent="0.2">
      <c r="G37305" s="889"/>
    </row>
    <row r="37306" spans="7:7" ht="10.5" customHeight="1" x14ac:dyDescent="0.2">
      <c r="G37306" s="889"/>
    </row>
    <row r="37307" spans="7:7" ht="10.5" customHeight="1" x14ac:dyDescent="0.2">
      <c r="G37307" s="889"/>
    </row>
    <row r="37308" spans="7:7" ht="10.5" customHeight="1" x14ac:dyDescent="0.2">
      <c r="G37308" s="889"/>
    </row>
    <row r="37309" spans="7:7" ht="10.5" customHeight="1" x14ac:dyDescent="0.2">
      <c r="G37309" s="889"/>
    </row>
    <row r="37310" spans="7:7" ht="10.5" customHeight="1" x14ac:dyDescent="0.2">
      <c r="G37310" s="889"/>
    </row>
    <row r="37311" spans="7:7" ht="10.5" customHeight="1" x14ac:dyDescent="0.2">
      <c r="G37311" s="889"/>
    </row>
    <row r="37312" spans="7:7" ht="10.5" customHeight="1" x14ac:dyDescent="0.2">
      <c r="G37312" s="889"/>
    </row>
    <row r="37313" spans="7:7" ht="10.5" customHeight="1" x14ac:dyDescent="0.2">
      <c r="G37313" s="889"/>
    </row>
    <row r="37314" spans="7:7" ht="10.5" customHeight="1" x14ac:dyDescent="0.2">
      <c r="G37314" s="889"/>
    </row>
    <row r="37315" spans="7:7" ht="10.5" customHeight="1" x14ac:dyDescent="0.2">
      <c r="G37315" s="889"/>
    </row>
    <row r="37316" spans="7:7" ht="10.5" customHeight="1" x14ac:dyDescent="0.2">
      <c r="G37316" s="889"/>
    </row>
    <row r="37317" spans="7:7" ht="10.5" customHeight="1" x14ac:dyDescent="0.2">
      <c r="G37317" s="889"/>
    </row>
    <row r="37318" spans="7:7" ht="10.5" customHeight="1" x14ac:dyDescent="0.2">
      <c r="G37318" s="889"/>
    </row>
    <row r="37319" spans="7:7" ht="10.5" customHeight="1" x14ac:dyDescent="0.2">
      <c r="G37319" s="889"/>
    </row>
    <row r="37320" spans="7:7" ht="10.5" customHeight="1" x14ac:dyDescent="0.2">
      <c r="G37320" s="889"/>
    </row>
    <row r="37321" spans="7:7" ht="10.5" customHeight="1" x14ac:dyDescent="0.2">
      <c r="G37321" s="889"/>
    </row>
    <row r="37322" spans="7:7" ht="10.5" customHeight="1" x14ac:dyDescent="0.2">
      <c r="G37322" s="889"/>
    </row>
    <row r="37323" spans="7:7" ht="10.5" customHeight="1" x14ac:dyDescent="0.2">
      <c r="G37323" s="889"/>
    </row>
    <row r="37324" spans="7:7" ht="10.5" customHeight="1" x14ac:dyDescent="0.2">
      <c r="G37324" s="889"/>
    </row>
    <row r="37325" spans="7:7" ht="10.5" customHeight="1" x14ac:dyDescent="0.2">
      <c r="G37325" s="889"/>
    </row>
    <row r="37326" spans="7:7" ht="10.5" customHeight="1" x14ac:dyDescent="0.2">
      <c r="G37326" s="889"/>
    </row>
    <row r="37327" spans="7:7" ht="10.5" customHeight="1" x14ac:dyDescent="0.2">
      <c r="G37327" s="889"/>
    </row>
    <row r="37328" spans="7:7" ht="10.5" customHeight="1" x14ac:dyDescent="0.2">
      <c r="G37328" s="889"/>
    </row>
    <row r="37329" spans="7:7" ht="10.5" customHeight="1" x14ac:dyDescent="0.2">
      <c r="G37329" s="889"/>
    </row>
    <row r="37330" spans="7:7" ht="10.5" customHeight="1" x14ac:dyDescent="0.2">
      <c r="G37330" s="889"/>
    </row>
    <row r="37331" spans="7:7" ht="10.5" customHeight="1" x14ac:dyDescent="0.2">
      <c r="G37331" s="889"/>
    </row>
    <row r="37332" spans="7:7" ht="10.5" customHeight="1" x14ac:dyDescent="0.2">
      <c r="G37332" s="889"/>
    </row>
    <row r="37333" spans="7:7" ht="10.5" customHeight="1" x14ac:dyDescent="0.2">
      <c r="G37333" s="889"/>
    </row>
    <row r="37334" spans="7:7" ht="10.5" customHeight="1" x14ac:dyDescent="0.2">
      <c r="G37334" s="889"/>
    </row>
    <row r="37335" spans="7:7" ht="10.5" customHeight="1" x14ac:dyDescent="0.2">
      <c r="G37335" s="889"/>
    </row>
    <row r="37336" spans="7:7" ht="10.5" customHeight="1" x14ac:dyDescent="0.2">
      <c r="G37336" s="889"/>
    </row>
    <row r="37337" spans="7:7" ht="10.5" customHeight="1" x14ac:dyDescent="0.2">
      <c r="G37337" s="889"/>
    </row>
    <row r="37338" spans="7:7" ht="10.5" customHeight="1" x14ac:dyDescent="0.2">
      <c r="G37338" s="889"/>
    </row>
    <row r="37339" spans="7:7" ht="10.5" customHeight="1" x14ac:dyDescent="0.2">
      <c r="G37339" s="889"/>
    </row>
    <row r="37340" spans="7:7" ht="10.5" customHeight="1" x14ac:dyDescent="0.2">
      <c r="G37340" s="889"/>
    </row>
    <row r="37341" spans="7:7" ht="10.5" customHeight="1" x14ac:dyDescent="0.2">
      <c r="G37341" s="889"/>
    </row>
    <row r="37342" spans="7:7" ht="10.5" customHeight="1" x14ac:dyDescent="0.2">
      <c r="G37342" s="889"/>
    </row>
    <row r="37343" spans="7:7" ht="10.5" customHeight="1" x14ac:dyDescent="0.2">
      <c r="G37343" s="889"/>
    </row>
    <row r="37344" spans="7:7" ht="10.5" customHeight="1" x14ac:dyDescent="0.2">
      <c r="G37344" s="889"/>
    </row>
    <row r="37345" spans="7:7" ht="10.5" customHeight="1" x14ac:dyDescent="0.2">
      <c r="G37345" s="889"/>
    </row>
    <row r="37346" spans="7:7" ht="10.5" customHeight="1" x14ac:dyDescent="0.2">
      <c r="G37346" s="889"/>
    </row>
    <row r="37347" spans="7:7" ht="10.5" customHeight="1" x14ac:dyDescent="0.2">
      <c r="G37347" s="889"/>
    </row>
    <row r="37348" spans="7:7" ht="10.5" customHeight="1" x14ac:dyDescent="0.2">
      <c r="G37348" s="889"/>
    </row>
    <row r="37349" spans="7:7" ht="10.5" customHeight="1" x14ac:dyDescent="0.2">
      <c r="G37349" s="889"/>
    </row>
    <row r="37350" spans="7:7" ht="10.5" customHeight="1" x14ac:dyDescent="0.2">
      <c r="G37350" s="889"/>
    </row>
    <row r="37351" spans="7:7" ht="10.5" customHeight="1" x14ac:dyDescent="0.2">
      <c r="G37351" s="889"/>
    </row>
    <row r="37352" spans="7:7" ht="10.5" customHeight="1" x14ac:dyDescent="0.2">
      <c r="G37352" s="889"/>
    </row>
    <row r="37353" spans="7:7" ht="10.5" customHeight="1" x14ac:dyDescent="0.2">
      <c r="G37353" s="889"/>
    </row>
    <row r="37354" spans="7:7" ht="10.5" customHeight="1" x14ac:dyDescent="0.2">
      <c r="G37354" s="889"/>
    </row>
    <row r="37355" spans="7:7" ht="10.5" customHeight="1" x14ac:dyDescent="0.2">
      <c r="G37355" s="889"/>
    </row>
    <row r="37356" spans="7:7" ht="10.5" customHeight="1" x14ac:dyDescent="0.2">
      <c r="G37356" s="889"/>
    </row>
    <row r="37357" spans="7:7" ht="10.5" customHeight="1" x14ac:dyDescent="0.2">
      <c r="G37357" s="889"/>
    </row>
    <row r="37358" spans="7:7" ht="10.5" customHeight="1" x14ac:dyDescent="0.2">
      <c r="G37358" s="889"/>
    </row>
    <row r="37359" spans="7:7" ht="10.5" customHeight="1" x14ac:dyDescent="0.2">
      <c r="G37359" s="889"/>
    </row>
    <row r="37360" spans="7:7" ht="10.5" customHeight="1" x14ac:dyDescent="0.2">
      <c r="G37360" s="889"/>
    </row>
    <row r="37361" spans="7:7" ht="10.5" customHeight="1" x14ac:dyDescent="0.2">
      <c r="G37361" s="889"/>
    </row>
    <row r="37362" spans="7:7" ht="10.5" customHeight="1" x14ac:dyDescent="0.2">
      <c r="G37362" s="889"/>
    </row>
    <row r="37363" spans="7:7" ht="10.5" customHeight="1" x14ac:dyDescent="0.2">
      <c r="G37363" s="889"/>
    </row>
    <row r="37364" spans="7:7" ht="10.5" customHeight="1" x14ac:dyDescent="0.2">
      <c r="G37364" s="889"/>
    </row>
    <row r="37365" spans="7:7" ht="10.5" customHeight="1" x14ac:dyDescent="0.2">
      <c r="G37365" s="889"/>
    </row>
    <row r="37366" spans="7:7" ht="10.5" customHeight="1" x14ac:dyDescent="0.2">
      <c r="G37366" s="889"/>
    </row>
    <row r="37367" spans="7:7" ht="10.5" customHeight="1" x14ac:dyDescent="0.2">
      <c r="G37367" s="889"/>
    </row>
    <row r="37368" spans="7:7" ht="10.5" customHeight="1" x14ac:dyDescent="0.2">
      <c r="G37368" s="889"/>
    </row>
    <row r="37369" spans="7:7" ht="10.5" customHeight="1" x14ac:dyDescent="0.2">
      <c r="G37369" s="889"/>
    </row>
    <row r="37370" spans="7:7" ht="10.5" customHeight="1" x14ac:dyDescent="0.2">
      <c r="G37370" s="889"/>
    </row>
    <row r="37371" spans="7:7" ht="10.5" customHeight="1" x14ac:dyDescent="0.2">
      <c r="G37371" s="889"/>
    </row>
    <row r="37372" spans="7:7" ht="10.5" customHeight="1" x14ac:dyDescent="0.2">
      <c r="G37372" s="889"/>
    </row>
    <row r="37373" spans="7:7" ht="10.5" customHeight="1" x14ac:dyDescent="0.2">
      <c r="G37373" s="889"/>
    </row>
    <row r="37374" spans="7:7" ht="10.5" customHeight="1" x14ac:dyDescent="0.2">
      <c r="G37374" s="889"/>
    </row>
    <row r="37375" spans="7:7" ht="10.5" customHeight="1" x14ac:dyDescent="0.2">
      <c r="G37375" s="889"/>
    </row>
    <row r="37376" spans="7:7" ht="10.5" customHeight="1" x14ac:dyDescent="0.2">
      <c r="G37376" s="889"/>
    </row>
    <row r="37377" spans="7:7" ht="10.5" customHeight="1" x14ac:dyDescent="0.2">
      <c r="G37377" s="889"/>
    </row>
    <row r="37378" spans="7:7" ht="10.5" customHeight="1" x14ac:dyDescent="0.2">
      <c r="G37378" s="889"/>
    </row>
    <row r="37379" spans="7:7" ht="10.5" customHeight="1" x14ac:dyDescent="0.2">
      <c r="G37379" s="889"/>
    </row>
    <row r="37380" spans="7:7" ht="10.5" customHeight="1" x14ac:dyDescent="0.2">
      <c r="G37380" s="889"/>
    </row>
    <row r="37381" spans="7:7" ht="10.5" customHeight="1" x14ac:dyDescent="0.2">
      <c r="G37381" s="889"/>
    </row>
    <row r="37382" spans="7:7" ht="10.5" customHeight="1" x14ac:dyDescent="0.2">
      <c r="G37382" s="889"/>
    </row>
    <row r="37383" spans="7:7" ht="10.5" customHeight="1" x14ac:dyDescent="0.2">
      <c r="G37383" s="889"/>
    </row>
    <row r="37384" spans="7:7" ht="10.5" customHeight="1" x14ac:dyDescent="0.2">
      <c r="G37384" s="889"/>
    </row>
    <row r="37385" spans="7:7" ht="10.5" customHeight="1" x14ac:dyDescent="0.2">
      <c r="G37385" s="889"/>
    </row>
    <row r="37386" spans="7:7" ht="10.5" customHeight="1" x14ac:dyDescent="0.2">
      <c r="G37386" s="889"/>
    </row>
    <row r="37387" spans="7:7" ht="10.5" customHeight="1" x14ac:dyDescent="0.2">
      <c r="G37387" s="889"/>
    </row>
    <row r="37388" spans="7:7" ht="10.5" customHeight="1" x14ac:dyDescent="0.2">
      <c r="G37388" s="889"/>
    </row>
    <row r="37389" spans="7:7" ht="10.5" customHeight="1" x14ac:dyDescent="0.2">
      <c r="G37389" s="889"/>
    </row>
    <row r="37390" spans="7:7" ht="10.5" customHeight="1" x14ac:dyDescent="0.2">
      <c r="G37390" s="889"/>
    </row>
    <row r="37391" spans="7:7" ht="10.5" customHeight="1" x14ac:dyDescent="0.2">
      <c r="G37391" s="889"/>
    </row>
    <row r="37392" spans="7:7" ht="10.5" customHeight="1" x14ac:dyDescent="0.2">
      <c r="G37392" s="889"/>
    </row>
    <row r="37393" spans="7:7" ht="10.5" customHeight="1" x14ac:dyDescent="0.2">
      <c r="G37393" s="889"/>
    </row>
    <row r="37394" spans="7:7" ht="10.5" customHeight="1" x14ac:dyDescent="0.2">
      <c r="G37394" s="889"/>
    </row>
    <row r="37395" spans="7:7" ht="10.5" customHeight="1" x14ac:dyDescent="0.2">
      <c r="G37395" s="889"/>
    </row>
    <row r="37396" spans="7:7" ht="10.5" customHeight="1" x14ac:dyDescent="0.2">
      <c r="G37396" s="889"/>
    </row>
    <row r="37397" spans="7:7" ht="10.5" customHeight="1" x14ac:dyDescent="0.2">
      <c r="G37397" s="889"/>
    </row>
    <row r="37398" spans="7:7" ht="10.5" customHeight="1" x14ac:dyDescent="0.2">
      <c r="G37398" s="889"/>
    </row>
    <row r="37399" spans="7:7" ht="10.5" customHeight="1" x14ac:dyDescent="0.2">
      <c r="G37399" s="889"/>
    </row>
    <row r="37400" spans="7:7" ht="10.5" customHeight="1" x14ac:dyDescent="0.2">
      <c r="G37400" s="889"/>
    </row>
    <row r="37401" spans="7:7" ht="10.5" customHeight="1" x14ac:dyDescent="0.2">
      <c r="G37401" s="889"/>
    </row>
    <row r="37402" spans="7:7" ht="10.5" customHeight="1" x14ac:dyDescent="0.2">
      <c r="G37402" s="889"/>
    </row>
    <row r="37403" spans="7:7" ht="10.5" customHeight="1" x14ac:dyDescent="0.2">
      <c r="G37403" s="889"/>
    </row>
    <row r="37404" spans="7:7" ht="10.5" customHeight="1" x14ac:dyDescent="0.2">
      <c r="G37404" s="889"/>
    </row>
    <row r="37405" spans="7:7" ht="10.5" customHeight="1" x14ac:dyDescent="0.2">
      <c r="G37405" s="889"/>
    </row>
    <row r="37406" spans="7:7" ht="10.5" customHeight="1" x14ac:dyDescent="0.2">
      <c r="G37406" s="889"/>
    </row>
    <row r="37407" spans="7:7" ht="10.5" customHeight="1" x14ac:dyDescent="0.2">
      <c r="G37407" s="889"/>
    </row>
    <row r="37408" spans="7:7" ht="10.5" customHeight="1" x14ac:dyDescent="0.2">
      <c r="G37408" s="889"/>
    </row>
    <row r="37409" spans="7:7" ht="10.5" customHeight="1" x14ac:dyDescent="0.2">
      <c r="G37409" s="889"/>
    </row>
    <row r="37410" spans="7:7" ht="10.5" customHeight="1" x14ac:dyDescent="0.2">
      <c r="G37410" s="889"/>
    </row>
    <row r="37411" spans="7:7" ht="10.5" customHeight="1" x14ac:dyDescent="0.2">
      <c r="G37411" s="889"/>
    </row>
    <row r="37412" spans="7:7" ht="10.5" customHeight="1" x14ac:dyDescent="0.2">
      <c r="G37412" s="889"/>
    </row>
    <row r="37413" spans="7:7" ht="10.5" customHeight="1" x14ac:dyDescent="0.2">
      <c r="G37413" s="889"/>
    </row>
    <row r="37414" spans="7:7" ht="10.5" customHeight="1" x14ac:dyDescent="0.2">
      <c r="G37414" s="889"/>
    </row>
    <row r="37415" spans="7:7" ht="10.5" customHeight="1" x14ac:dyDescent="0.2">
      <c r="G37415" s="889"/>
    </row>
    <row r="37416" spans="7:7" ht="10.5" customHeight="1" x14ac:dyDescent="0.2">
      <c r="G37416" s="889"/>
    </row>
    <row r="37417" spans="7:7" ht="10.5" customHeight="1" x14ac:dyDescent="0.2">
      <c r="G37417" s="889"/>
    </row>
    <row r="37418" spans="7:7" ht="10.5" customHeight="1" x14ac:dyDescent="0.2">
      <c r="G37418" s="889"/>
    </row>
    <row r="37419" spans="7:7" ht="10.5" customHeight="1" x14ac:dyDescent="0.2">
      <c r="G37419" s="889"/>
    </row>
    <row r="37420" spans="7:7" ht="10.5" customHeight="1" x14ac:dyDescent="0.2">
      <c r="G37420" s="889"/>
    </row>
    <row r="37421" spans="7:7" ht="10.5" customHeight="1" x14ac:dyDescent="0.2">
      <c r="G37421" s="889"/>
    </row>
    <row r="37422" spans="7:7" ht="10.5" customHeight="1" x14ac:dyDescent="0.2">
      <c r="G37422" s="889"/>
    </row>
    <row r="37423" spans="7:7" ht="10.5" customHeight="1" x14ac:dyDescent="0.2">
      <c r="G37423" s="889"/>
    </row>
    <row r="37424" spans="7:7" ht="10.5" customHeight="1" x14ac:dyDescent="0.2">
      <c r="G37424" s="889"/>
    </row>
    <row r="37425" spans="7:7" ht="10.5" customHeight="1" x14ac:dyDescent="0.2">
      <c r="G37425" s="889"/>
    </row>
    <row r="37426" spans="7:7" ht="10.5" customHeight="1" x14ac:dyDescent="0.2">
      <c r="G37426" s="889"/>
    </row>
    <row r="37427" spans="7:7" ht="10.5" customHeight="1" x14ac:dyDescent="0.2">
      <c r="G37427" s="889"/>
    </row>
    <row r="37428" spans="7:7" ht="10.5" customHeight="1" x14ac:dyDescent="0.2">
      <c r="G37428" s="889"/>
    </row>
    <row r="37429" spans="7:7" ht="10.5" customHeight="1" x14ac:dyDescent="0.2">
      <c r="G37429" s="889"/>
    </row>
    <row r="37430" spans="7:7" ht="10.5" customHeight="1" x14ac:dyDescent="0.2">
      <c r="G37430" s="889"/>
    </row>
    <row r="37431" spans="7:7" ht="10.5" customHeight="1" x14ac:dyDescent="0.2">
      <c r="G37431" s="889"/>
    </row>
    <row r="37432" spans="7:7" ht="10.5" customHeight="1" x14ac:dyDescent="0.2">
      <c r="G37432" s="889"/>
    </row>
    <row r="37433" spans="7:7" ht="10.5" customHeight="1" x14ac:dyDescent="0.2">
      <c r="G37433" s="889"/>
    </row>
    <row r="37434" spans="7:7" ht="10.5" customHeight="1" x14ac:dyDescent="0.2">
      <c r="G37434" s="889"/>
    </row>
    <row r="37435" spans="7:7" ht="10.5" customHeight="1" x14ac:dyDescent="0.2">
      <c r="G37435" s="889"/>
    </row>
    <row r="37436" spans="7:7" ht="10.5" customHeight="1" x14ac:dyDescent="0.2">
      <c r="G37436" s="889"/>
    </row>
    <row r="37437" spans="7:7" ht="10.5" customHeight="1" x14ac:dyDescent="0.2">
      <c r="G37437" s="889"/>
    </row>
    <row r="37438" spans="7:7" ht="10.5" customHeight="1" x14ac:dyDescent="0.2">
      <c r="G37438" s="889"/>
    </row>
    <row r="37439" spans="7:7" ht="10.5" customHeight="1" x14ac:dyDescent="0.2">
      <c r="G37439" s="889"/>
    </row>
    <row r="37440" spans="7:7" ht="10.5" customHeight="1" x14ac:dyDescent="0.2">
      <c r="G37440" s="889"/>
    </row>
    <row r="37441" spans="7:7" ht="10.5" customHeight="1" x14ac:dyDescent="0.2">
      <c r="G37441" s="889"/>
    </row>
    <row r="37442" spans="7:7" ht="10.5" customHeight="1" x14ac:dyDescent="0.2">
      <c r="G37442" s="889"/>
    </row>
    <row r="37443" spans="7:7" ht="10.5" customHeight="1" x14ac:dyDescent="0.2">
      <c r="G37443" s="889"/>
    </row>
    <row r="37444" spans="7:7" ht="10.5" customHeight="1" x14ac:dyDescent="0.2">
      <c r="G37444" s="889"/>
    </row>
    <row r="37445" spans="7:7" ht="10.5" customHeight="1" x14ac:dyDescent="0.2">
      <c r="G37445" s="889"/>
    </row>
    <row r="37446" spans="7:7" ht="10.5" customHeight="1" x14ac:dyDescent="0.2">
      <c r="G37446" s="889"/>
    </row>
    <row r="37447" spans="7:7" ht="10.5" customHeight="1" x14ac:dyDescent="0.2">
      <c r="G37447" s="889"/>
    </row>
    <row r="37448" spans="7:7" ht="10.5" customHeight="1" x14ac:dyDescent="0.2">
      <c r="G37448" s="889"/>
    </row>
    <row r="37449" spans="7:7" ht="10.5" customHeight="1" x14ac:dyDescent="0.2">
      <c r="G37449" s="889"/>
    </row>
    <row r="37450" spans="7:7" ht="10.5" customHeight="1" x14ac:dyDescent="0.2">
      <c r="G37450" s="889"/>
    </row>
    <row r="37451" spans="7:7" ht="10.5" customHeight="1" x14ac:dyDescent="0.2">
      <c r="G37451" s="889"/>
    </row>
    <row r="37452" spans="7:7" ht="10.5" customHeight="1" x14ac:dyDescent="0.2">
      <c r="G37452" s="889"/>
    </row>
    <row r="37453" spans="7:7" ht="10.5" customHeight="1" x14ac:dyDescent="0.2">
      <c r="G37453" s="889"/>
    </row>
    <row r="37454" spans="7:7" ht="10.5" customHeight="1" x14ac:dyDescent="0.2">
      <c r="G37454" s="889"/>
    </row>
    <row r="37455" spans="7:7" ht="10.5" customHeight="1" x14ac:dyDescent="0.2">
      <c r="G37455" s="889"/>
    </row>
    <row r="37456" spans="7:7" ht="10.5" customHeight="1" x14ac:dyDescent="0.2">
      <c r="G37456" s="889"/>
    </row>
    <row r="37457" spans="7:7" ht="10.5" customHeight="1" x14ac:dyDescent="0.2">
      <c r="G37457" s="889"/>
    </row>
    <row r="37458" spans="7:7" ht="10.5" customHeight="1" x14ac:dyDescent="0.2">
      <c r="G37458" s="889"/>
    </row>
    <row r="37459" spans="7:7" ht="10.5" customHeight="1" x14ac:dyDescent="0.2">
      <c r="G37459" s="889"/>
    </row>
    <row r="37460" spans="7:7" ht="10.5" customHeight="1" x14ac:dyDescent="0.2">
      <c r="G37460" s="889"/>
    </row>
    <row r="37461" spans="7:7" ht="10.5" customHeight="1" x14ac:dyDescent="0.2">
      <c r="G37461" s="889"/>
    </row>
    <row r="37462" spans="7:7" ht="10.5" customHeight="1" x14ac:dyDescent="0.2">
      <c r="G37462" s="889"/>
    </row>
    <row r="37463" spans="7:7" ht="10.5" customHeight="1" x14ac:dyDescent="0.2">
      <c r="G37463" s="889"/>
    </row>
    <row r="37464" spans="7:7" ht="10.5" customHeight="1" x14ac:dyDescent="0.2">
      <c r="G37464" s="889"/>
    </row>
    <row r="37465" spans="7:7" ht="10.5" customHeight="1" x14ac:dyDescent="0.2">
      <c r="G37465" s="889"/>
    </row>
    <row r="37466" spans="7:7" ht="10.5" customHeight="1" x14ac:dyDescent="0.2">
      <c r="G37466" s="889"/>
    </row>
    <row r="37467" spans="7:7" ht="10.5" customHeight="1" x14ac:dyDescent="0.2">
      <c r="G37467" s="889"/>
    </row>
    <row r="37468" spans="7:7" ht="10.5" customHeight="1" x14ac:dyDescent="0.2">
      <c r="G37468" s="889"/>
    </row>
    <row r="37469" spans="7:7" ht="10.5" customHeight="1" x14ac:dyDescent="0.2">
      <c r="G37469" s="889"/>
    </row>
    <row r="37470" spans="7:7" ht="10.5" customHeight="1" x14ac:dyDescent="0.2">
      <c r="G37470" s="889"/>
    </row>
    <row r="37471" spans="7:7" ht="10.5" customHeight="1" x14ac:dyDescent="0.2">
      <c r="G37471" s="889"/>
    </row>
    <row r="37472" spans="7:7" ht="10.5" customHeight="1" x14ac:dyDescent="0.2">
      <c r="G37472" s="889"/>
    </row>
    <row r="37473" spans="7:7" ht="10.5" customHeight="1" x14ac:dyDescent="0.2">
      <c r="G37473" s="889"/>
    </row>
    <row r="37474" spans="7:7" ht="10.5" customHeight="1" x14ac:dyDescent="0.2">
      <c r="G37474" s="889"/>
    </row>
    <row r="37475" spans="7:7" ht="10.5" customHeight="1" x14ac:dyDescent="0.2">
      <c r="G37475" s="889"/>
    </row>
    <row r="37476" spans="7:7" ht="10.5" customHeight="1" x14ac:dyDescent="0.2">
      <c r="G37476" s="889"/>
    </row>
    <row r="37477" spans="7:7" ht="10.5" customHeight="1" x14ac:dyDescent="0.2">
      <c r="G37477" s="889"/>
    </row>
    <row r="37478" spans="7:7" ht="10.5" customHeight="1" x14ac:dyDescent="0.2">
      <c r="G37478" s="889"/>
    </row>
    <row r="37479" spans="7:7" ht="10.5" customHeight="1" x14ac:dyDescent="0.2">
      <c r="G37479" s="889"/>
    </row>
    <row r="37480" spans="7:7" ht="10.5" customHeight="1" x14ac:dyDescent="0.2">
      <c r="G37480" s="889"/>
    </row>
    <row r="37481" spans="7:7" ht="10.5" customHeight="1" x14ac:dyDescent="0.2">
      <c r="G37481" s="889"/>
    </row>
    <row r="37482" spans="7:7" ht="10.5" customHeight="1" x14ac:dyDescent="0.2">
      <c r="G37482" s="889"/>
    </row>
    <row r="37483" spans="7:7" ht="10.5" customHeight="1" x14ac:dyDescent="0.2">
      <c r="G37483" s="889"/>
    </row>
    <row r="37484" spans="7:7" ht="10.5" customHeight="1" x14ac:dyDescent="0.2">
      <c r="G37484" s="889"/>
    </row>
    <row r="37485" spans="7:7" ht="10.5" customHeight="1" x14ac:dyDescent="0.2">
      <c r="G37485" s="889"/>
    </row>
    <row r="37486" spans="7:7" ht="10.5" customHeight="1" x14ac:dyDescent="0.2">
      <c r="G37486" s="889"/>
    </row>
    <row r="37487" spans="7:7" ht="10.5" customHeight="1" x14ac:dyDescent="0.2">
      <c r="G37487" s="889"/>
    </row>
    <row r="37488" spans="7:7" ht="10.5" customHeight="1" x14ac:dyDescent="0.2">
      <c r="G37488" s="889"/>
    </row>
    <row r="37489" spans="7:7" ht="10.5" customHeight="1" x14ac:dyDescent="0.2">
      <c r="G37489" s="889"/>
    </row>
    <row r="37490" spans="7:7" ht="10.5" customHeight="1" x14ac:dyDescent="0.2">
      <c r="G37490" s="889"/>
    </row>
    <row r="37491" spans="7:7" ht="10.5" customHeight="1" x14ac:dyDescent="0.2">
      <c r="G37491" s="889"/>
    </row>
    <row r="37492" spans="7:7" ht="10.5" customHeight="1" x14ac:dyDescent="0.2">
      <c r="G37492" s="889"/>
    </row>
    <row r="37493" spans="7:7" ht="10.5" customHeight="1" x14ac:dyDescent="0.2">
      <c r="G37493" s="889"/>
    </row>
    <row r="37494" spans="7:7" ht="10.5" customHeight="1" x14ac:dyDescent="0.2">
      <c r="G37494" s="889"/>
    </row>
    <row r="37495" spans="7:7" ht="10.5" customHeight="1" x14ac:dyDescent="0.2">
      <c r="G37495" s="889"/>
    </row>
    <row r="37496" spans="7:7" ht="10.5" customHeight="1" x14ac:dyDescent="0.2">
      <c r="G37496" s="889"/>
    </row>
    <row r="37497" spans="7:7" ht="10.5" customHeight="1" x14ac:dyDescent="0.2">
      <c r="G37497" s="889"/>
    </row>
    <row r="37498" spans="7:7" ht="10.5" customHeight="1" x14ac:dyDescent="0.2">
      <c r="G37498" s="889"/>
    </row>
    <row r="37499" spans="7:7" ht="10.5" customHeight="1" x14ac:dyDescent="0.2">
      <c r="G37499" s="889"/>
    </row>
    <row r="37500" spans="7:7" ht="10.5" customHeight="1" x14ac:dyDescent="0.2">
      <c r="G37500" s="889"/>
    </row>
    <row r="37501" spans="7:7" ht="10.5" customHeight="1" x14ac:dyDescent="0.2">
      <c r="G37501" s="889"/>
    </row>
    <row r="37502" spans="7:7" ht="10.5" customHeight="1" x14ac:dyDescent="0.2">
      <c r="G37502" s="889"/>
    </row>
    <row r="37503" spans="7:7" ht="10.5" customHeight="1" x14ac:dyDescent="0.2">
      <c r="G37503" s="889"/>
    </row>
    <row r="37504" spans="7:7" ht="10.5" customHeight="1" x14ac:dyDescent="0.2">
      <c r="G37504" s="889"/>
    </row>
    <row r="37505" spans="7:7" ht="10.5" customHeight="1" x14ac:dyDescent="0.2">
      <c r="G37505" s="889"/>
    </row>
    <row r="37506" spans="7:7" ht="10.5" customHeight="1" x14ac:dyDescent="0.2">
      <c r="G37506" s="889"/>
    </row>
    <row r="37507" spans="7:7" ht="10.5" customHeight="1" x14ac:dyDescent="0.2">
      <c r="G37507" s="889"/>
    </row>
    <row r="37508" spans="7:7" ht="10.5" customHeight="1" x14ac:dyDescent="0.2">
      <c r="G37508" s="889"/>
    </row>
    <row r="37509" spans="7:7" ht="10.5" customHeight="1" x14ac:dyDescent="0.2">
      <c r="G37509" s="889"/>
    </row>
    <row r="37510" spans="7:7" ht="10.5" customHeight="1" x14ac:dyDescent="0.2">
      <c r="G37510" s="889"/>
    </row>
    <row r="37511" spans="7:7" ht="10.5" customHeight="1" x14ac:dyDescent="0.2">
      <c r="G37511" s="889"/>
    </row>
    <row r="37512" spans="7:7" ht="10.5" customHeight="1" x14ac:dyDescent="0.2">
      <c r="G37512" s="889"/>
    </row>
    <row r="37513" spans="7:7" ht="10.5" customHeight="1" x14ac:dyDescent="0.2">
      <c r="G37513" s="889"/>
    </row>
    <row r="37514" spans="7:7" ht="10.5" customHeight="1" x14ac:dyDescent="0.2">
      <c r="G37514" s="889"/>
    </row>
    <row r="37515" spans="7:7" ht="10.5" customHeight="1" x14ac:dyDescent="0.2">
      <c r="G37515" s="889"/>
    </row>
    <row r="37516" spans="7:7" ht="10.5" customHeight="1" x14ac:dyDescent="0.2">
      <c r="G37516" s="889"/>
    </row>
    <row r="37517" spans="7:7" ht="10.5" customHeight="1" x14ac:dyDescent="0.2">
      <c r="G37517" s="889"/>
    </row>
    <row r="37518" spans="7:7" ht="10.5" customHeight="1" x14ac:dyDescent="0.2">
      <c r="G37518" s="889"/>
    </row>
    <row r="37519" spans="7:7" ht="10.5" customHeight="1" x14ac:dyDescent="0.2">
      <c r="G37519" s="889"/>
    </row>
    <row r="37520" spans="7:7" ht="10.5" customHeight="1" x14ac:dyDescent="0.2">
      <c r="G37520" s="889"/>
    </row>
    <row r="37521" spans="7:7" ht="10.5" customHeight="1" x14ac:dyDescent="0.2">
      <c r="G37521" s="889"/>
    </row>
    <row r="37522" spans="7:7" ht="10.5" customHeight="1" x14ac:dyDescent="0.2">
      <c r="G37522" s="889"/>
    </row>
    <row r="37523" spans="7:7" ht="10.5" customHeight="1" x14ac:dyDescent="0.2">
      <c r="G37523" s="889"/>
    </row>
    <row r="37524" spans="7:7" ht="10.5" customHeight="1" x14ac:dyDescent="0.2">
      <c r="G37524" s="889"/>
    </row>
    <row r="37525" spans="7:7" ht="10.5" customHeight="1" x14ac:dyDescent="0.2">
      <c r="G37525" s="889"/>
    </row>
    <row r="37526" spans="7:7" ht="10.5" customHeight="1" x14ac:dyDescent="0.2">
      <c r="G37526" s="889"/>
    </row>
    <row r="37527" spans="7:7" ht="10.5" customHeight="1" x14ac:dyDescent="0.2">
      <c r="G37527" s="889"/>
    </row>
    <row r="37528" spans="7:7" ht="10.5" customHeight="1" x14ac:dyDescent="0.2">
      <c r="G37528" s="889"/>
    </row>
    <row r="37529" spans="7:7" ht="10.5" customHeight="1" x14ac:dyDescent="0.2">
      <c r="G37529" s="889"/>
    </row>
    <row r="37530" spans="7:7" ht="10.5" customHeight="1" x14ac:dyDescent="0.2">
      <c r="G37530" s="889"/>
    </row>
    <row r="37531" spans="7:7" ht="10.5" customHeight="1" x14ac:dyDescent="0.2">
      <c r="G37531" s="889"/>
    </row>
    <row r="37532" spans="7:7" ht="10.5" customHeight="1" x14ac:dyDescent="0.2">
      <c r="G37532" s="889"/>
    </row>
    <row r="37533" spans="7:7" ht="10.5" customHeight="1" x14ac:dyDescent="0.2">
      <c r="G37533" s="889"/>
    </row>
    <row r="37534" spans="7:7" ht="10.5" customHeight="1" x14ac:dyDescent="0.2">
      <c r="G37534" s="889"/>
    </row>
    <row r="37535" spans="7:7" ht="10.5" customHeight="1" x14ac:dyDescent="0.2">
      <c r="G37535" s="889"/>
    </row>
    <row r="37536" spans="7:7" ht="10.5" customHeight="1" x14ac:dyDescent="0.2">
      <c r="G37536" s="889"/>
    </row>
    <row r="37537" spans="7:7" ht="10.5" customHeight="1" x14ac:dyDescent="0.2">
      <c r="G37537" s="889"/>
    </row>
    <row r="37538" spans="7:7" ht="10.5" customHeight="1" x14ac:dyDescent="0.2">
      <c r="G37538" s="889"/>
    </row>
    <row r="37539" spans="7:7" ht="10.5" customHeight="1" x14ac:dyDescent="0.2">
      <c r="G37539" s="889"/>
    </row>
    <row r="37540" spans="7:7" ht="10.5" customHeight="1" x14ac:dyDescent="0.2">
      <c r="G37540" s="889"/>
    </row>
    <row r="37541" spans="7:7" ht="10.5" customHeight="1" x14ac:dyDescent="0.2">
      <c r="G37541" s="889"/>
    </row>
    <row r="37542" spans="7:7" ht="10.5" customHeight="1" x14ac:dyDescent="0.2">
      <c r="G37542" s="889"/>
    </row>
    <row r="37543" spans="7:7" ht="10.5" customHeight="1" x14ac:dyDescent="0.2">
      <c r="G37543" s="889"/>
    </row>
    <row r="37544" spans="7:7" ht="10.5" customHeight="1" x14ac:dyDescent="0.2">
      <c r="G37544" s="889"/>
    </row>
    <row r="37545" spans="7:7" ht="10.5" customHeight="1" x14ac:dyDescent="0.2">
      <c r="G37545" s="889"/>
    </row>
    <row r="37546" spans="7:7" ht="10.5" customHeight="1" x14ac:dyDescent="0.2">
      <c r="G37546" s="889"/>
    </row>
    <row r="37547" spans="7:7" ht="10.5" customHeight="1" x14ac:dyDescent="0.2">
      <c r="G37547" s="889"/>
    </row>
    <row r="37548" spans="7:7" ht="10.5" customHeight="1" x14ac:dyDescent="0.2">
      <c r="G37548" s="889"/>
    </row>
    <row r="37549" spans="7:7" ht="10.5" customHeight="1" x14ac:dyDescent="0.2">
      <c r="G37549" s="889"/>
    </row>
    <row r="37550" spans="7:7" ht="10.5" customHeight="1" x14ac:dyDescent="0.2">
      <c r="G37550" s="889"/>
    </row>
    <row r="37551" spans="7:7" ht="10.5" customHeight="1" x14ac:dyDescent="0.2">
      <c r="G37551" s="889"/>
    </row>
    <row r="37552" spans="7:7" ht="10.5" customHeight="1" x14ac:dyDescent="0.2">
      <c r="G37552" s="889"/>
    </row>
    <row r="37553" spans="7:7" ht="10.5" customHeight="1" x14ac:dyDescent="0.2">
      <c r="G37553" s="889"/>
    </row>
    <row r="37554" spans="7:7" ht="10.5" customHeight="1" x14ac:dyDescent="0.2">
      <c r="G37554" s="889"/>
    </row>
    <row r="37555" spans="7:7" ht="10.5" customHeight="1" x14ac:dyDescent="0.2">
      <c r="G37555" s="889"/>
    </row>
    <row r="37556" spans="7:7" ht="10.5" customHeight="1" x14ac:dyDescent="0.2">
      <c r="G37556" s="889"/>
    </row>
    <row r="37557" spans="7:7" ht="10.5" customHeight="1" x14ac:dyDescent="0.2">
      <c r="G37557" s="889"/>
    </row>
    <row r="37558" spans="7:7" ht="10.5" customHeight="1" x14ac:dyDescent="0.2">
      <c r="G37558" s="889"/>
    </row>
    <row r="37559" spans="7:7" ht="10.5" customHeight="1" x14ac:dyDescent="0.2">
      <c r="G37559" s="889"/>
    </row>
    <row r="37560" spans="7:7" ht="10.5" customHeight="1" x14ac:dyDescent="0.2">
      <c r="G37560" s="889"/>
    </row>
    <row r="37561" spans="7:7" ht="10.5" customHeight="1" x14ac:dyDescent="0.2">
      <c r="G37561" s="889"/>
    </row>
    <row r="37562" spans="7:7" ht="10.5" customHeight="1" x14ac:dyDescent="0.2">
      <c r="G37562" s="889"/>
    </row>
    <row r="37563" spans="7:7" ht="10.5" customHeight="1" x14ac:dyDescent="0.2">
      <c r="G37563" s="889"/>
    </row>
    <row r="37564" spans="7:7" ht="10.5" customHeight="1" x14ac:dyDescent="0.2">
      <c r="G37564" s="889"/>
    </row>
    <row r="37565" spans="7:7" ht="10.5" customHeight="1" x14ac:dyDescent="0.2">
      <c r="G37565" s="889"/>
    </row>
    <row r="37566" spans="7:7" ht="10.5" customHeight="1" x14ac:dyDescent="0.2">
      <c r="G37566" s="889"/>
    </row>
    <row r="37567" spans="7:7" ht="10.5" customHeight="1" x14ac:dyDescent="0.2">
      <c r="G37567" s="889"/>
    </row>
    <row r="37568" spans="7:7" ht="10.5" customHeight="1" x14ac:dyDescent="0.2">
      <c r="G37568" s="889"/>
    </row>
    <row r="37569" spans="7:7" ht="10.5" customHeight="1" x14ac:dyDescent="0.2">
      <c r="G37569" s="889"/>
    </row>
    <row r="37570" spans="7:7" ht="10.5" customHeight="1" x14ac:dyDescent="0.2">
      <c r="G37570" s="889"/>
    </row>
    <row r="37571" spans="7:7" ht="10.5" customHeight="1" x14ac:dyDescent="0.2">
      <c r="G37571" s="889"/>
    </row>
    <row r="37572" spans="7:7" ht="10.5" customHeight="1" x14ac:dyDescent="0.2">
      <c r="G37572" s="889"/>
    </row>
    <row r="37573" spans="7:7" ht="10.5" customHeight="1" x14ac:dyDescent="0.2">
      <c r="G37573" s="889"/>
    </row>
    <row r="37574" spans="7:7" ht="10.5" customHeight="1" x14ac:dyDescent="0.2">
      <c r="G37574" s="889"/>
    </row>
    <row r="37575" spans="7:7" ht="10.5" customHeight="1" x14ac:dyDescent="0.2">
      <c r="G37575" s="889"/>
    </row>
    <row r="37576" spans="7:7" ht="10.5" customHeight="1" x14ac:dyDescent="0.2">
      <c r="G37576" s="889"/>
    </row>
    <row r="37577" spans="7:7" ht="10.5" customHeight="1" x14ac:dyDescent="0.2">
      <c r="G37577" s="889"/>
    </row>
    <row r="37578" spans="7:7" ht="10.5" customHeight="1" x14ac:dyDescent="0.2">
      <c r="G37578" s="889"/>
    </row>
    <row r="37579" spans="7:7" ht="10.5" customHeight="1" x14ac:dyDescent="0.2">
      <c r="G37579" s="889"/>
    </row>
    <row r="37580" spans="7:7" ht="10.5" customHeight="1" x14ac:dyDescent="0.2">
      <c r="G37580" s="889"/>
    </row>
    <row r="37581" spans="7:7" ht="10.5" customHeight="1" x14ac:dyDescent="0.2">
      <c r="G37581" s="889"/>
    </row>
    <row r="37582" spans="7:7" ht="10.5" customHeight="1" x14ac:dyDescent="0.2">
      <c r="G37582" s="889"/>
    </row>
    <row r="37583" spans="7:7" ht="10.5" customHeight="1" x14ac:dyDescent="0.2">
      <c r="G37583" s="889"/>
    </row>
    <row r="37584" spans="7:7" ht="10.5" customHeight="1" x14ac:dyDescent="0.2">
      <c r="G37584" s="889"/>
    </row>
    <row r="37585" spans="7:7" ht="10.5" customHeight="1" x14ac:dyDescent="0.2">
      <c r="G37585" s="889"/>
    </row>
    <row r="37586" spans="7:7" ht="10.5" customHeight="1" x14ac:dyDescent="0.2">
      <c r="G37586" s="889"/>
    </row>
    <row r="37587" spans="7:7" ht="10.5" customHeight="1" x14ac:dyDescent="0.2">
      <c r="G37587" s="889"/>
    </row>
    <row r="37588" spans="7:7" ht="10.5" customHeight="1" x14ac:dyDescent="0.2">
      <c r="G37588" s="889"/>
    </row>
    <row r="37589" spans="7:7" ht="10.5" customHeight="1" x14ac:dyDescent="0.2">
      <c r="G37589" s="889"/>
    </row>
    <row r="37590" spans="7:7" ht="10.5" customHeight="1" x14ac:dyDescent="0.2">
      <c r="G37590" s="889"/>
    </row>
    <row r="37591" spans="7:7" ht="10.5" customHeight="1" x14ac:dyDescent="0.2">
      <c r="G37591" s="889"/>
    </row>
    <row r="37592" spans="7:7" ht="10.5" customHeight="1" x14ac:dyDescent="0.2">
      <c r="G37592" s="889"/>
    </row>
    <row r="37593" spans="7:7" ht="10.5" customHeight="1" x14ac:dyDescent="0.2">
      <c r="G37593" s="889"/>
    </row>
    <row r="37594" spans="7:7" ht="10.5" customHeight="1" x14ac:dyDescent="0.2">
      <c r="G37594" s="889"/>
    </row>
    <row r="37595" spans="7:7" ht="10.5" customHeight="1" x14ac:dyDescent="0.2">
      <c r="G37595" s="889"/>
    </row>
    <row r="37596" spans="7:7" ht="10.5" customHeight="1" x14ac:dyDescent="0.2">
      <c r="G37596" s="889"/>
    </row>
    <row r="37597" spans="7:7" ht="10.5" customHeight="1" x14ac:dyDescent="0.2">
      <c r="G37597" s="889"/>
    </row>
    <row r="37598" spans="7:7" ht="10.5" customHeight="1" x14ac:dyDescent="0.2">
      <c r="G37598" s="889"/>
    </row>
    <row r="37599" spans="7:7" ht="10.5" customHeight="1" x14ac:dyDescent="0.2">
      <c r="G37599" s="889"/>
    </row>
    <row r="37600" spans="7:7" ht="10.5" customHeight="1" x14ac:dyDescent="0.2">
      <c r="G37600" s="889"/>
    </row>
    <row r="37601" spans="7:7" ht="10.5" customHeight="1" x14ac:dyDescent="0.2">
      <c r="G37601" s="889"/>
    </row>
    <row r="37602" spans="7:7" ht="10.5" customHeight="1" x14ac:dyDescent="0.2">
      <c r="G37602" s="889"/>
    </row>
    <row r="37603" spans="7:7" ht="10.5" customHeight="1" x14ac:dyDescent="0.2">
      <c r="G37603" s="889"/>
    </row>
    <row r="37604" spans="7:7" ht="10.5" customHeight="1" x14ac:dyDescent="0.2">
      <c r="G37604" s="889"/>
    </row>
    <row r="37605" spans="7:7" ht="10.5" customHeight="1" x14ac:dyDescent="0.2">
      <c r="G37605" s="889"/>
    </row>
    <row r="37606" spans="7:7" ht="10.5" customHeight="1" x14ac:dyDescent="0.2">
      <c r="G37606" s="889"/>
    </row>
    <row r="37607" spans="7:7" ht="10.5" customHeight="1" x14ac:dyDescent="0.2">
      <c r="G37607" s="889"/>
    </row>
    <row r="37608" spans="7:7" ht="10.5" customHeight="1" x14ac:dyDescent="0.2">
      <c r="G37608" s="889"/>
    </row>
    <row r="37609" spans="7:7" ht="10.5" customHeight="1" x14ac:dyDescent="0.2">
      <c r="G37609" s="889"/>
    </row>
    <row r="37610" spans="7:7" ht="10.5" customHeight="1" x14ac:dyDescent="0.2">
      <c r="G37610" s="889"/>
    </row>
    <row r="37611" spans="7:7" ht="10.5" customHeight="1" x14ac:dyDescent="0.2">
      <c r="G37611" s="889"/>
    </row>
    <row r="37612" spans="7:7" ht="10.5" customHeight="1" x14ac:dyDescent="0.2">
      <c r="G37612" s="889"/>
    </row>
    <row r="37613" spans="7:7" ht="10.5" customHeight="1" x14ac:dyDescent="0.2">
      <c r="G37613" s="889"/>
    </row>
    <row r="37614" spans="7:7" ht="10.5" customHeight="1" x14ac:dyDescent="0.2">
      <c r="G37614" s="889"/>
    </row>
    <row r="37615" spans="7:7" ht="10.5" customHeight="1" x14ac:dyDescent="0.2">
      <c r="G37615" s="889"/>
    </row>
    <row r="37616" spans="7:7" ht="10.5" customHeight="1" x14ac:dyDescent="0.2">
      <c r="G37616" s="889"/>
    </row>
    <row r="37617" spans="7:7" ht="10.5" customHeight="1" x14ac:dyDescent="0.2">
      <c r="G37617" s="889"/>
    </row>
    <row r="37618" spans="7:7" ht="10.5" customHeight="1" x14ac:dyDescent="0.2">
      <c r="G37618" s="889"/>
    </row>
    <row r="37619" spans="7:7" ht="10.5" customHeight="1" x14ac:dyDescent="0.2">
      <c r="G37619" s="889"/>
    </row>
    <row r="37620" spans="7:7" ht="10.5" customHeight="1" x14ac:dyDescent="0.2">
      <c r="G37620" s="889"/>
    </row>
    <row r="37621" spans="7:7" ht="10.5" customHeight="1" x14ac:dyDescent="0.2">
      <c r="G37621" s="889"/>
    </row>
    <row r="37622" spans="7:7" ht="10.5" customHeight="1" x14ac:dyDescent="0.2">
      <c r="G37622" s="889"/>
    </row>
    <row r="37623" spans="7:7" ht="10.5" customHeight="1" x14ac:dyDescent="0.2">
      <c r="G37623" s="889"/>
    </row>
    <row r="37624" spans="7:7" ht="10.5" customHeight="1" x14ac:dyDescent="0.2">
      <c r="G37624" s="889"/>
    </row>
    <row r="37625" spans="7:7" ht="10.5" customHeight="1" x14ac:dyDescent="0.2">
      <c r="G37625" s="889"/>
    </row>
    <row r="37626" spans="7:7" ht="10.5" customHeight="1" x14ac:dyDescent="0.2">
      <c r="G37626" s="889"/>
    </row>
    <row r="37627" spans="7:7" ht="10.5" customHeight="1" x14ac:dyDescent="0.2">
      <c r="G37627" s="889"/>
    </row>
    <row r="37628" spans="7:7" ht="10.5" customHeight="1" x14ac:dyDescent="0.2">
      <c r="G37628" s="889"/>
    </row>
    <row r="37629" spans="7:7" ht="10.5" customHeight="1" x14ac:dyDescent="0.2">
      <c r="G37629" s="889"/>
    </row>
    <row r="37630" spans="7:7" ht="10.5" customHeight="1" x14ac:dyDescent="0.2">
      <c r="G37630" s="889"/>
    </row>
    <row r="37631" spans="7:7" ht="10.5" customHeight="1" x14ac:dyDescent="0.2">
      <c r="G37631" s="889"/>
    </row>
    <row r="37632" spans="7:7" ht="10.5" customHeight="1" x14ac:dyDescent="0.2">
      <c r="G37632" s="889"/>
    </row>
    <row r="37633" spans="7:7" ht="10.5" customHeight="1" x14ac:dyDescent="0.2">
      <c r="G37633" s="889"/>
    </row>
    <row r="37634" spans="7:7" ht="10.5" customHeight="1" x14ac:dyDescent="0.2">
      <c r="G37634" s="889"/>
    </row>
    <row r="37635" spans="7:7" ht="10.5" customHeight="1" x14ac:dyDescent="0.2">
      <c r="G37635" s="889"/>
    </row>
    <row r="37636" spans="7:7" ht="10.5" customHeight="1" x14ac:dyDescent="0.2">
      <c r="G37636" s="889"/>
    </row>
    <row r="37637" spans="7:7" ht="10.5" customHeight="1" x14ac:dyDescent="0.2">
      <c r="G37637" s="889"/>
    </row>
    <row r="37638" spans="7:7" ht="10.5" customHeight="1" x14ac:dyDescent="0.2">
      <c r="G37638" s="889"/>
    </row>
    <row r="37639" spans="7:7" ht="10.5" customHeight="1" x14ac:dyDescent="0.2">
      <c r="G37639" s="889"/>
    </row>
    <row r="37640" spans="7:7" ht="10.5" customHeight="1" x14ac:dyDescent="0.2">
      <c r="G37640" s="889"/>
    </row>
    <row r="37641" spans="7:7" ht="10.5" customHeight="1" x14ac:dyDescent="0.2">
      <c r="G37641" s="889"/>
    </row>
    <row r="37642" spans="7:7" ht="10.5" customHeight="1" x14ac:dyDescent="0.2">
      <c r="G37642" s="889"/>
    </row>
    <row r="37643" spans="7:7" ht="10.5" customHeight="1" x14ac:dyDescent="0.2">
      <c r="G37643" s="889"/>
    </row>
    <row r="37644" spans="7:7" ht="10.5" customHeight="1" x14ac:dyDescent="0.2">
      <c r="G37644" s="889"/>
    </row>
    <row r="37645" spans="7:7" ht="10.5" customHeight="1" x14ac:dyDescent="0.2">
      <c r="G37645" s="889"/>
    </row>
    <row r="37646" spans="7:7" ht="10.5" customHeight="1" x14ac:dyDescent="0.2">
      <c r="G37646" s="889"/>
    </row>
    <row r="37647" spans="7:7" ht="10.5" customHeight="1" x14ac:dyDescent="0.2">
      <c r="G37647" s="889"/>
    </row>
    <row r="37648" spans="7:7" ht="10.5" customHeight="1" x14ac:dyDescent="0.2">
      <c r="G37648" s="889"/>
    </row>
    <row r="37649" spans="7:7" ht="10.5" customHeight="1" x14ac:dyDescent="0.2">
      <c r="G37649" s="889"/>
    </row>
    <row r="37650" spans="7:7" ht="10.5" customHeight="1" x14ac:dyDescent="0.2">
      <c r="G37650" s="889"/>
    </row>
    <row r="37651" spans="7:7" ht="10.5" customHeight="1" x14ac:dyDescent="0.2">
      <c r="G37651" s="889"/>
    </row>
    <row r="37652" spans="7:7" ht="10.5" customHeight="1" x14ac:dyDescent="0.2">
      <c r="G37652" s="889"/>
    </row>
    <row r="37653" spans="7:7" ht="10.5" customHeight="1" x14ac:dyDescent="0.2">
      <c r="G37653" s="889"/>
    </row>
    <row r="37654" spans="7:7" ht="10.5" customHeight="1" x14ac:dyDescent="0.2">
      <c r="G37654" s="889"/>
    </row>
    <row r="37655" spans="7:7" ht="10.5" customHeight="1" x14ac:dyDescent="0.2">
      <c r="G37655" s="889"/>
    </row>
    <row r="37656" spans="7:7" ht="10.5" customHeight="1" x14ac:dyDescent="0.2">
      <c r="G37656" s="889"/>
    </row>
    <row r="37657" spans="7:7" ht="10.5" customHeight="1" x14ac:dyDescent="0.2">
      <c r="G37657" s="889"/>
    </row>
    <row r="37658" spans="7:7" ht="10.5" customHeight="1" x14ac:dyDescent="0.2">
      <c r="G37658" s="889"/>
    </row>
    <row r="37659" spans="7:7" ht="10.5" customHeight="1" x14ac:dyDescent="0.2">
      <c r="G37659" s="889"/>
    </row>
    <row r="37660" spans="7:7" ht="10.5" customHeight="1" x14ac:dyDescent="0.2">
      <c r="G37660" s="889"/>
    </row>
    <row r="37661" spans="7:7" ht="10.5" customHeight="1" x14ac:dyDescent="0.2">
      <c r="G37661" s="889"/>
    </row>
    <row r="37662" spans="7:7" ht="10.5" customHeight="1" x14ac:dyDescent="0.2">
      <c r="G37662" s="889"/>
    </row>
    <row r="37663" spans="7:7" ht="10.5" customHeight="1" x14ac:dyDescent="0.2">
      <c r="G37663" s="889"/>
    </row>
    <row r="37664" spans="7:7" ht="10.5" customHeight="1" x14ac:dyDescent="0.2">
      <c r="G37664" s="889"/>
    </row>
    <row r="37665" spans="7:7" ht="10.5" customHeight="1" x14ac:dyDescent="0.2">
      <c r="G37665" s="889"/>
    </row>
    <row r="37666" spans="7:7" ht="10.5" customHeight="1" x14ac:dyDescent="0.2">
      <c r="G37666" s="889"/>
    </row>
    <row r="37667" spans="7:7" ht="10.5" customHeight="1" x14ac:dyDescent="0.2">
      <c r="G37667" s="889"/>
    </row>
    <row r="37668" spans="7:7" ht="10.5" customHeight="1" x14ac:dyDescent="0.2">
      <c r="G37668" s="889"/>
    </row>
    <row r="37669" spans="7:7" ht="10.5" customHeight="1" x14ac:dyDescent="0.2">
      <c r="G37669" s="889"/>
    </row>
    <row r="37670" spans="7:7" ht="10.5" customHeight="1" x14ac:dyDescent="0.2">
      <c r="G37670" s="889"/>
    </row>
    <row r="37671" spans="7:7" ht="10.5" customHeight="1" x14ac:dyDescent="0.2">
      <c r="G37671" s="889"/>
    </row>
    <row r="37672" spans="7:7" ht="10.5" customHeight="1" x14ac:dyDescent="0.2">
      <c r="G37672" s="889"/>
    </row>
    <row r="37673" spans="7:7" ht="10.5" customHeight="1" x14ac:dyDescent="0.2">
      <c r="G37673" s="889"/>
    </row>
    <row r="37674" spans="7:7" ht="10.5" customHeight="1" x14ac:dyDescent="0.2">
      <c r="G37674" s="889"/>
    </row>
    <row r="37675" spans="7:7" ht="10.5" customHeight="1" x14ac:dyDescent="0.2">
      <c r="G37675" s="889"/>
    </row>
    <row r="37676" spans="7:7" ht="10.5" customHeight="1" x14ac:dyDescent="0.2">
      <c r="G37676" s="889"/>
    </row>
    <row r="37677" spans="7:7" ht="10.5" customHeight="1" x14ac:dyDescent="0.2">
      <c r="G37677" s="889"/>
    </row>
    <row r="37678" spans="7:7" ht="10.5" customHeight="1" x14ac:dyDescent="0.2">
      <c r="G37678" s="889"/>
    </row>
    <row r="37679" spans="7:7" ht="10.5" customHeight="1" x14ac:dyDescent="0.2">
      <c r="G37679" s="889"/>
    </row>
    <row r="37680" spans="7:7" ht="10.5" customHeight="1" x14ac:dyDescent="0.2">
      <c r="G37680" s="889"/>
    </row>
    <row r="37681" spans="7:7" ht="10.5" customHeight="1" x14ac:dyDescent="0.2">
      <c r="G37681" s="889"/>
    </row>
    <row r="37682" spans="7:7" ht="10.5" customHeight="1" x14ac:dyDescent="0.2">
      <c r="G37682" s="889"/>
    </row>
    <row r="37683" spans="7:7" ht="10.5" customHeight="1" x14ac:dyDescent="0.2">
      <c r="G37683" s="889"/>
    </row>
    <row r="37684" spans="7:7" ht="10.5" customHeight="1" x14ac:dyDescent="0.2">
      <c r="G37684" s="889"/>
    </row>
    <row r="37685" spans="7:7" ht="10.5" customHeight="1" x14ac:dyDescent="0.2">
      <c r="G37685" s="889"/>
    </row>
    <row r="37686" spans="7:7" ht="10.5" customHeight="1" x14ac:dyDescent="0.2">
      <c r="G37686" s="889"/>
    </row>
    <row r="37687" spans="7:7" ht="10.5" customHeight="1" x14ac:dyDescent="0.2">
      <c r="G37687" s="889"/>
    </row>
    <row r="37688" spans="7:7" ht="10.5" customHeight="1" x14ac:dyDescent="0.2">
      <c r="G37688" s="889"/>
    </row>
    <row r="37689" spans="7:7" ht="10.5" customHeight="1" x14ac:dyDescent="0.2">
      <c r="G37689" s="889"/>
    </row>
    <row r="37690" spans="7:7" ht="10.5" customHeight="1" x14ac:dyDescent="0.2">
      <c r="G37690" s="889"/>
    </row>
    <row r="37691" spans="7:7" ht="10.5" customHeight="1" x14ac:dyDescent="0.2">
      <c r="G37691" s="889"/>
    </row>
    <row r="37692" spans="7:7" ht="10.5" customHeight="1" x14ac:dyDescent="0.2">
      <c r="G37692" s="889"/>
    </row>
    <row r="37693" spans="7:7" ht="10.5" customHeight="1" x14ac:dyDescent="0.2">
      <c r="G37693" s="889"/>
    </row>
    <row r="37694" spans="7:7" ht="10.5" customHeight="1" x14ac:dyDescent="0.2">
      <c r="G37694" s="889"/>
    </row>
    <row r="37695" spans="7:7" ht="10.5" customHeight="1" x14ac:dyDescent="0.2">
      <c r="G37695" s="889"/>
    </row>
    <row r="37696" spans="7:7" ht="10.5" customHeight="1" x14ac:dyDescent="0.2">
      <c r="G37696" s="889"/>
    </row>
    <row r="37697" spans="7:7" ht="10.5" customHeight="1" x14ac:dyDescent="0.2">
      <c r="G37697" s="889"/>
    </row>
    <row r="37698" spans="7:7" ht="10.5" customHeight="1" x14ac:dyDescent="0.2">
      <c r="G37698" s="889"/>
    </row>
    <row r="37699" spans="7:7" ht="10.5" customHeight="1" x14ac:dyDescent="0.2">
      <c r="G37699" s="889"/>
    </row>
    <row r="37700" spans="7:7" ht="10.5" customHeight="1" x14ac:dyDescent="0.2">
      <c r="G37700" s="889"/>
    </row>
    <row r="37701" spans="7:7" ht="10.5" customHeight="1" x14ac:dyDescent="0.2">
      <c r="G37701" s="889"/>
    </row>
    <row r="37702" spans="7:7" ht="10.5" customHeight="1" x14ac:dyDescent="0.2">
      <c r="G37702" s="889"/>
    </row>
    <row r="37703" spans="7:7" ht="10.5" customHeight="1" x14ac:dyDescent="0.2">
      <c r="G37703" s="889"/>
    </row>
    <row r="37704" spans="7:7" ht="10.5" customHeight="1" x14ac:dyDescent="0.2">
      <c r="G37704" s="889"/>
    </row>
    <row r="37705" spans="7:7" ht="10.5" customHeight="1" x14ac:dyDescent="0.2">
      <c r="G37705" s="889"/>
    </row>
    <row r="37706" spans="7:7" ht="10.5" customHeight="1" x14ac:dyDescent="0.2">
      <c r="G37706" s="889"/>
    </row>
    <row r="37707" spans="7:7" ht="10.5" customHeight="1" x14ac:dyDescent="0.2">
      <c r="G37707" s="889"/>
    </row>
    <row r="37708" spans="7:7" ht="10.5" customHeight="1" x14ac:dyDescent="0.2">
      <c r="G37708" s="889"/>
    </row>
    <row r="37709" spans="7:7" ht="10.5" customHeight="1" x14ac:dyDescent="0.2">
      <c r="G37709" s="889"/>
    </row>
    <row r="37710" spans="7:7" ht="10.5" customHeight="1" x14ac:dyDescent="0.2">
      <c r="G37710" s="889"/>
    </row>
    <row r="37711" spans="7:7" ht="10.5" customHeight="1" x14ac:dyDescent="0.2">
      <c r="G37711" s="889"/>
    </row>
    <row r="37712" spans="7:7" ht="10.5" customHeight="1" x14ac:dyDescent="0.2">
      <c r="G37712" s="889"/>
    </row>
    <row r="37713" spans="7:7" ht="10.5" customHeight="1" x14ac:dyDescent="0.2">
      <c r="G37713" s="889"/>
    </row>
    <row r="37714" spans="7:7" ht="10.5" customHeight="1" x14ac:dyDescent="0.2">
      <c r="G37714" s="889"/>
    </row>
    <row r="37715" spans="7:7" ht="10.5" customHeight="1" x14ac:dyDescent="0.2">
      <c r="G37715" s="889"/>
    </row>
    <row r="37716" spans="7:7" ht="10.5" customHeight="1" x14ac:dyDescent="0.2">
      <c r="G37716" s="889"/>
    </row>
    <row r="37717" spans="7:7" ht="10.5" customHeight="1" x14ac:dyDescent="0.2">
      <c r="G37717" s="889"/>
    </row>
    <row r="37718" spans="7:7" ht="10.5" customHeight="1" x14ac:dyDescent="0.2">
      <c r="G37718" s="889"/>
    </row>
    <row r="37719" spans="7:7" ht="10.5" customHeight="1" x14ac:dyDescent="0.2">
      <c r="G37719" s="889"/>
    </row>
    <row r="37720" spans="7:7" ht="10.5" customHeight="1" x14ac:dyDescent="0.2">
      <c r="G37720" s="889"/>
    </row>
    <row r="37721" spans="7:7" ht="10.5" customHeight="1" x14ac:dyDescent="0.2">
      <c r="G37721" s="889"/>
    </row>
    <row r="37722" spans="7:7" ht="10.5" customHeight="1" x14ac:dyDescent="0.2">
      <c r="G37722" s="889"/>
    </row>
    <row r="37723" spans="7:7" ht="10.5" customHeight="1" x14ac:dyDescent="0.2">
      <c r="G37723" s="889"/>
    </row>
    <row r="37724" spans="7:7" ht="10.5" customHeight="1" x14ac:dyDescent="0.2">
      <c r="G37724" s="889"/>
    </row>
    <row r="37725" spans="7:7" ht="10.5" customHeight="1" x14ac:dyDescent="0.2">
      <c r="G37725" s="889"/>
    </row>
    <row r="37726" spans="7:7" ht="10.5" customHeight="1" x14ac:dyDescent="0.2">
      <c r="G37726" s="889"/>
    </row>
    <row r="37727" spans="7:7" ht="10.5" customHeight="1" x14ac:dyDescent="0.2">
      <c r="G37727" s="889"/>
    </row>
    <row r="37728" spans="7:7" ht="10.5" customHeight="1" x14ac:dyDescent="0.2">
      <c r="G37728" s="889"/>
    </row>
    <row r="37729" spans="7:7" ht="10.5" customHeight="1" x14ac:dyDescent="0.2">
      <c r="G37729" s="889"/>
    </row>
    <row r="37730" spans="7:7" ht="10.5" customHeight="1" x14ac:dyDescent="0.2">
      <c r="G37730" s="889"/>
    </row>
    <row r="37731" spans="7:7" ht="10.5" customHeight="1" x14ac:dyDescent="0.2">
      <c r="G37731" s="889"/>
    </row>
    <row r="37732" spans="7:7" ht="10.5" customHeight="1" x14ac:dyDescent="0.2">
      <c r="G37732" s="889"/>
    </row>
    <row r="37733" spans="7:7" ht="10.5" customHeight="1" x14ac:dyDescent="0.2">
      <c r="G37733" s="889"/>
    </row>
    <row r="37734" spans="7:7" ht="10.5" customHeight="1" x14ac:dyDescent="0.2">
      <c r="G37734" s="889"/>
    </row>
    <row r="37735" spans="7:7" ht="10.5" customHeight="1" x14ac:dyDescent="0.2">
      <c r="G37735" s="889"/>
    </row>
    <row r="37736" spans="7:7" ht="10.5" customHeight="1" x14ac:dyDescent="0.2">
      <c r="G37736" s="889"/>
    </row>
    <row r="37737" spans="7:7" ht="10.5" customHeight="1" x14ac:dyDescent="0.2">
      <c r="G37737" s="889"/>
    </row>
    <row r="37738" spans="7:7" ht="10.5" customHeight="1" x14ac:dyDescent="0.2">
      <c r="G37738" s="889"/>
    </row>
    <row r="37739" spans="7:7" ht="10.5" customHeight="1" x14ac:dyDescent="0.2">
      <c r="G37739" s="889"/>
    </row>
    <row r="37740" spans="7:7" ht="10.5" customHeight="1" x14ac:dyDescent="0.2">
      <c r="G37740" s="889"/>
    </row>
    <row r="37741" spans="7:7" ht="10.5" customHeight="1" x14ac:dyDescent="0.2">
      <c r="G37741" s="889"/>
    </row>
    <row r="37742" spans="7:7" ht="10.5" customHeight="1" x14ac:dyDescent="0.2">
      <c r="G37742" s="889"/>
    </row>
    <row r="37743" spans="7:7" ht="10.5" customHeight="1" x14ac:dyDescent="0.2">
      <c r="G37743" s="889"/>
    </row>
    <row r="37744" spans="7:7" ht="10.5" customHeight="1" x14ac:dyDescent="0.2">
      <c r="G37744" s="889"/>
    </row>
    <row r="37745" spans="7:7" ht="10.5" customHeight="1" x14ac:dyDescent="0.2">
      <c r="G37745" s="889"/>
    </row>
    <row r="37746" spans="7:7" ht="10.5" customHeight="1" x14ac:dyDescent="0.2">
      <c r="G37746" s="889"/>
    </row>
    <row r="37747" spans="7:7" ht="10.5" customHeight="1" x14ac:dyDescent="0.2">
      <c r="G37747" s="889"/>
    </row>
    <row r="37748" spans="7:7" ht="10.5" customHeight="1" x14ac:dyDescent="0.2">
      <c r="G37748" s="889"/>
    </row>
    <row r="37749" spans="7:7" ht="10.5" customHeight="1" x14ac:dyDescent="0.2">
      <c r="G37749" s="889"/>
    </row>
    <row r="37750" spans="7:7" ht="10.5" customHeight="1" x14ac:dyDescent="0.2">
      <c r="G37750" s="889"/>
    </row>
    <row r="37751" spans="7:7" ht="10.5" customHeight="1" x14ac:dyDescent="0.2">
      <c r="G37751" s="889"/>
    </row>
    <row r="37752" spans="7:7" ht="10.5" customHeight="1" x14ac:dyDescent="0.2">
      <c r="G37752" s="889"/>
    </row>
    <row r="37753" spans="7:7" ht="10.5" customHeight="1" x14ac:dyDescent="0.2">
      <c r="G37753" s="889"/>
    </row>
    <row r="37754" spans="7:7" ht="10.5" customHeight="1" x14ac:dyDescent="0.2">
      <c r="G37754" s="889"/>
    </row>
    <row r="37755" spans="7:7" ht="10.5" customHeight="1" x14ac:dyDescent="0.2">
      <c r="G37755" s="889"/>
    </row>
    <row r="37756" spans="7:7" ht="10.5" customHeight="1" x14ac:dyDescent="0.2">
      <c r="G37756" s="889"/>
    </row>
    <row r="37757" spans="7:7" ht="10.5" customHeight="1" x14ac:dyDescent="0.2">
      <c r="G37757" s="889"/>
    </row>
    <row r="37758" spans="7:7" ht="10.5" customHeight="1" x14ac:dyDescent="0.2">
      <c r="G37758" s="889"/>
    </row>
    <row r="37759" spans="7:7" ht="10.5" customHeight="1" x14ac:dyDescent="0.2">
      <c r="G37759" s="889"/>
    </row>
    <row r="37760" spans="7:7" ht="10.5" customHeight="1" x14ac:dyDescent="0.2">
      <c r="G37760" s="889"/>
    </row>
    <row r="37761" spans="7:7" ht="10.5" customHeight="1" x14ac:dyDescent="0.2">
      <c r="G37761" s="889"/>
    </row>
    <row r="37762" spans="7:7" ht="10.5" customHeight="1" x14ac:dyDescent="0.2">
      <c r="G37762" s="889"/>
    </row>
    <row r="37763" spans="7:7" ht="10.5" customHeight="1" x14ac:dyDescent="0.2">
      <c r="G37763" s="889"/>
    </row>
    <row r="37764" spans="7:7" ht="10.5" customHeight="1" x14ac:dyDescent="0.2">
      <c r="G37764" s="889"/>
    </row>
    <row r="37765" spans="7:7" ht="10.5" customHeight="1" x14ac:dyDescent="0.2">
      <c r="G37765" s="889"/>
    </row>
    <row r="37766" spans="7:7" ht="10.5" customHeight="1" x14ac:dyDescent="0.2">
      <c r="G37766" s="889"/>
    </row>
    <row r="37767" spans="7:7" ht="10.5" customHeight="1" x14ac:dyDescent="0.2">
      <c r="G37767" s="889"/>
    </row>
    <row r="37768" spans="7:7" ht="10.5" customHeight="1" x14ac:dyDescent="0.2">
      <c r="G37768" s="889"/>
    </row>
    <row r="37769" spans="7:7" ht="10.5" customHeight="1" x14ac:dyDescent="0.2">
      <c r="G37769" s="889"/>
    </row>
    <row r="37770" spans="7:7" ht="10.5" customHeight="1" x14ac:dyDescent="0.2">
      <c r="G37770" s="889"/>
    </row>
    <row r="37771" spans="7:7" ht="10.5" customHeight="1" x14ac:dyDescent="0.2">
      <c r="G37771" s="889"/>
    </row>
    <row r="37772" spans="7:7" ht="10.5" customHeight="1" x14ac:dyDescent="0.2">
      <c r="G37772" s="889"/>
    </row>
    <row r="37773" spans="7:7" ht="10.5" customHeight="1" x14ac:dyDescent="0.2">
      <c r="G37773" s="889"/>
    </row>
    <row r="37774" spans="7:7" ht="10.5" customHeight="1" x14ac:dyDescent="0.2">
      <c r="G37774" s="889"/>
    </row>
    <row r="37775" spans="7:7" ht="10.5" customHeight="1" x14ac:dyDescent="0.2">
      <c r="G37775" s="889"/>
    </row>
    <row r="37776" spans="7:7" ht="10.5" customHeight="1" x14ac:dyDescent="0.2">
      <c r="G37776" s="889"/>
    </row>
    <row r="37777" spans="7:7" ht="10.5" customHeight="1" x14ac:dyDescent="0.2">
      <c r="G37777" s="889"/>
    </row>
    <row r="37778" spans="7:7" ht="10.5" customHeight="1" x14ac:dyDescent="0.2">
      <c r="G37778" s="889"/>
    </row>
    <row r="37779" spans="7:7" ht="10.5" customHeight="1" x14ac:dyDescent="0.2">
      <c r="G37779" s="889"/>
    </row>
    <row r="37780" spans="7:7" ht="10.5" customHeight="1" x14ac:dyDescent="0.2">
      <c r="G37780" s="889"/>
    </row>
    <row r="37781" spans="7:7" ht="10.5" customHeight="1" x14ac:dyDescent="0.2">
      <c r="G37781" s="889"/>
    </row>
    <row r="37782" spans="7:7" ht="10.5" customHeight="1" x14ac:dyDescent="0.2">
      <c r="G37782" s="889"/>
    </row>
    <row r="37783" spans="7:7" ht="10.5" customHeight="1" x14ac:dyDescent="0.2">
      <c r="G37783" s="889"/>
    </row>
    <row r="37784" spans="7:7" ht="10.5" customHeight="1" x14ac:dyDescent="0.2">
      <c r="G37784" s="889"/>
    </row>
    <row r="37785" spans="7:7" ht="10.5" customHeight="1" x14ac:dyDescent="0.2">
      <c r="G37785" s="889"/>
    </row>
    <row r="37786" spans="7:7" ht="10.5" customHeight="1" x14ac:dyDescent="0.2">
      <c r="G37786" s="889"/>
    </row>
    <row r="37787" spans="7:7" ht="10.5" customHeight="1" x14ac:dyDescent="0.2">
      <c r="G37787" s="889"/>
    </row>
    <row r="37788" spans="7:7" ht="10.5" customHeight="1" x14ac:dyDescent="0.2">
      <c r="G37788" s="889"/>
    </row>
    <row r="37789" spans="7:7" ht="10.5" customHeight="1" x14ac:dyDescent="0.2">
      <c r="G37789" s="889"/>
    </row>
    <row r="37790" spans="7:7" ht="10.5" customHeight="1" x14ac:dyDescent="0.2">
      <c r="G37790" s="889"/>
    </row>
    <row r="37791" spans="7:7" ht="10.5" customHeight="1" x14ac:dyDescent="0.2">
      <c r="G37791" s="889"/>
    </row>
    <row r="37792" spans="7:7" ht="10.5" customHeight="1" x14ac:dyDescent="0.2">
      <c r="G37792" s="889"/>
    </row>
    <row r="37793" spans="7:7" ht="10.5" customHeight="1" x14ac:dyDescent="0.2">
      <c r="G37793" s="889"/>
    </row>
    <row r="37794" spans="7:7" ht="10.5" customHeight="1" x14ac:dyDescent="0.2">
      <c r="G37794" s="889"/>
    </row>
    <row r="37795" spans="7:7" ht="10.5" customHeight="1" x14ac:dyDescent="0.2">
      <c r="G37795" s="889"/>
    </row>
    <row r="37796" spans="7:7" ht="10.5" customHeight="1" x14ac:dyDescent="0.2">
      <c r="G37796" s="889"/>
    </row>
    <row r="37797" spans="7:7" ht="10.5" customHeight="1" x14ac:dyDescent="0.2">
      <c r="G37797" s="889"/>
    </row>
    <row r="37798" spans="7:7" ht="10.5" customHeight="1" x14ac:dyDescent="0.2">
      <c r="G37798" s="889"/>
    </row>
    <row r="37799" spans="7:7" ht="10.5" customHeight="1" x14ac:dyDescent="0.2">
      <c r="G37799" s="889"/>
    </row>
    <row r="37800" spans="7:7" ht="10.5" customHeight="1" x14ac:dyDescent="0.2">
      <c r="G37800" s="889"/>
    </row>
    <row r="37801" spans="7:7" ht="10.5" customHeight="1" x14ac:dyDescent="0.2">
      <c r="G37801" s="889"/>
    </row>
    <row r="37802" spans="7:7" ht="10.5" customHeight="1" x14ac:dyDescent="0.2">
      <c r="G37802" s="889"/>
    </row>
    <row r="37803" spans="7:7" ht="10.5" customHeight="1" x14ac:dyDescent="0.2">
      <c r="G37803" s="889"/>
    </row>
    <row r="37804" spans="7:7" ht="10.5" customHeight="1" x14ac:dyDescent="0.2">
      <c r="G37804" s="889"/>
    </row>
    <row r="37805" spans="7:7" ht="10.5" customHeight="1" x14ac:dyDescent="0.2">
      <c r="G37805" s="889"/>
    </row>
    <row r="37806" spans="7:7" ht="10.5" customHeight="1" x14ac:dyDescent="0.2">
      <c r="G37806" s="889"/>
    </row>
    <row r="37807" spans="7:7" ht="10.5" customHeight="1" x14ac:dyDescent="0.2">
      <c r="G37807" s="889"/>
    </row>
    <row r="37808" spans="7:7" ht="10.5" customHeight="1" x14ac:dyDescent="0.2">
      <c r="G37808" s="889"/>
    </row>
    <row r="37809" spans="7:7" ht="10.5" customHeight="1" x14ac:dyDescent="0.2">
      <c r="G37809" s="889"/>
    </row>
    <row r="37810" spans="7:7" ht="10.5" customHeight="1" x14ac:dyDescent="0.2">
      <c r="G37810" s="889"/>
    </row>
    <row r="37811" spans="7:7" ht="10.5" customHeight="1" x14ac:dyDescent="0.2">
      <c r="G37811" s="889"/>
    </row>
    <row r="37812" spans="7:7" ht="10.5" customHeight="1" x14ac:dyDescent="0.2">
      <c r="G37812" s="889"/>
    </row>
    <row r="37813" spans="7:7" ht="10.5" customHeight="1" x14ac:dyDescent="0.2">
      <c r="G37813" s="889"/>
    </row>
    <row r="37814" spans="7:7" ht="10.5" customHeight="1" x14ac:dyDescent="0.2">
      <c r="G37814" s="889"/>
    </row>
    <row r="37815" spans="7:7" ht="10.5" customHeight="1" x14ac:dyDescent="0.2">
      <c r="G37815" s="889"/>
    </row>
    <row r="37816" spans="7:7" ht="10.5" customHeight="1" x14ac:dyDescent="0.2">
      <c r="G37816" s="889"/>
    </row>
    <row r="37817" spans="7:7" ht="10.5" customHeight="1" x14ac:dyDescent="0.2">
      <c r="G37817" s="889"/>
    </row>
    <row r="37818" spans="7:7" ht="10.5" customHeight="1" x14ac:dyDescent="0.2">
      <c r="G37818" s="889"/>
    </row>
    <row r="37819" spans="7:7" ht="10.5" customHeight="1" x14ac:dyDescent="0.2">
      <c r="G37819" s="889"/>
    </row>
    <row r="37820" spans="7:7" ht="10.5" customHeight="1" x14ac:dyDescent="0.2">
      <c r="G37820" s="889"/>
    </row>
    <row r="37821" spans="7:7" ht="10.5" customHeight="1" x14ac:dyDescent="0.2">
      <c r="G37821" s="889"/>
    </row>
    <row r="37822" spans="7:7" ht="10.5" customHeight="1" x14ac:dyDescent="0.2">
      <c r="G37822" s="889"/>
    </row>
    <row r="37823" spans="7:7" ht="10.5" customHeight="1" x14ac:dyDescent="0.2">
      <c r="G37823" s="889"/>
    </row>
    <row r="37824" spans="7:7" ht="10.5" customHeight="1" x14ac:dyDescent="0.2">
      <c r="G37824" s="889"/>
    </row>
    <row r="37825" spans="7:7" ht="10.5" customHeight="1" x14ac:dyDescent="0.2">
      <c r="G37825" s="889"/>
    </row>
    <row r="37826" spans="7:7" ht="10.5" customHeight="1" x14ac:dyDescent="0.2">
      <c r="G37826" s="889"/>
    </row>
    <row r="37827" spans="7:7" ht="10.5" customHeight="1" x14ac:dyDescent="0.2">
      <c r="G37827" s="889"/>
    </row>
    <row r="37828" spans="7:7" ht="10.5" customHeight="1" x14ac:dyDescent="0.2">
      <c r="G37828" s="889"/>
    </row>
    <row r="37829" spans="7:7" ht="10.5" customHeight="1" x14ac:dyDescent="0.2">
      <c r="G37829" s="889"/>
    </row>
    <row r="37830" spans="7:7" ht="10.5" customHeight="1" x14ac:dyDescent="0.2">
      <c r="G37830" s="889"/>
    </row>
    <row r="37831" spans="7:7" ht="10.5" customHeight="1" x14ac:dyDescent="0.2">
      <c r="G37831" s="889"/>
    </row>
    <row r="37832" spans="7:7" ht="10.5" customHeight="1" x14ac:dyDescent="0.2">
      <c r="G37832" s="889"/>
    </row>
    <row r="37833" spans="7:7" ht="10.5" customHeight="1" x14ac:dyDescent="0.2">
      <c r="G37833" s="889"/>
    </row>
    <row r="37834" spans="7:7" ht="10.5" customHeight="1" x14ac:dyDescent="0.2">
      <c r="G37834" s="889"/>
    </row>
    <row r="37835" spans="7:7" ht="10.5" customHeight="1" x14ac:dyDescent="0.2">
      <c r="G37835" s="889"/>
    </row>
    <row r="37836" spans="7:7" ht="10.5" customHeight="1" x14ac:dyDescent="0.2">
      <c r="G37836" s="889"/>
    </row>
    <row r="37837" spans="7:7" ht="10.5" customHeight="1" x14ac:dyDescent="0.2">
      <c r="G37837" s="889"/>
    </row>
    <row r="37838" spans="7:7" ht="10.5" customHeight="1" x14ac:dyDescent="0.2">
      <c r="G37838" s="889"/>
    </row>
    <row r="37839" spans="7:7" ht="10.5" customHeight="1" x14ac:dyDescent="0.2">
      <c r="G37839" s="889"/>
    </row>
    <row r="37840" spans="7:7" ht="10.5" customHeight="1" x14ac:dyDescent="0.2">
      <c r="G37840" s="889"/>
    </row>
    <row r="37841" spans="7:7" ht="10.5" customHeight="1" x14ac:dyDescent="0.2">
      <c r="G37841" s="889"/>
    </row>
    <row r="37842" spans="7:7" ht="10.5" customHeight="1" x14ac:dyDescent="0.2">
      <c r="G37842" s="889"/>
    </row>
    <row r="37843" spans="7:7" ht="10.5" customHeight="1" x14ac:dyDescent="0.2">
      <c r="G37843" s="889"/>
    </row>
    <row r="37844" spans="7:7" ht="10.5" customHeight="1" x14ac:dyDescent="0.2">
      <c r="G37844" s="889"/>
    </row>
    <row r="37845" spans="7:7" ht="10.5" customHeight="1" x14ac:dyDescent="0.2">
      <c r="G37845" s="889"/>
    </row>
    <row r="37846" spans="7:7" ht="10.5" customHeight="1" x14ac:dyDescent="0.2">
      <c r="G37846" s="889"/>
    </row>
    <row r="37847" spans="7:7" ht="10.5" customHeight="1" x14ac:dyDescent="0.2">
      <c r="G37847" s="889"/>
    </row>
    <row r="37848" spans="7:7" ht="10.5" customHeight="1" x14ac:dyDescent="0.2">
      <c r="G37848" s="889"/>
    </row>
    <row r="37849" spans="7:7" ht="10.5" customHeight="1" x14ac:dyDescent="0.2">
      <c r="G37849" s="889"/>
    </row>
    <row r="37850" spans="7:7" ht="10.5" customHeight="1" x14ac:dyDescent="0.2">
      <c r="G37850" s="889"/>
    </row>
    <row r="37851" spans="7:7" ht="10.5" customHeight="1" x14ac:dyDescent="0.2">
      <c r="G37851" s="889"/>
    </row>
    <row r="37852" spans="7:7" ht="10.5" customHeight="1" x14ac:dyDescent="0.2">
      <c r="G37852" s="889"/>
    </row>
    <row r="37853" spans="7:7" ht="10.5" customHeight="1" x14ac:dyDescent="0.2">
      <c r="G37853" s="889"/>
    </row>
    <row r="37854" spans="7:7" ht="10.5" customHeight="1" x14ac:dyDescent="0.2">
      <c r="G37854" s="889"/>
    </row>
    <row r="37855" spans="7:7" ht="10.5" customHeight="1" x14ac:dyDescent="0.2">
      <c r="G37855" s="889"/>
    </row>
    <row r="37856" spans="7:7" ht="10.5" customHeight="1" x14ac:dyDescent="0.2">
      <c r="G37856" s="889"/>
    </row>
    <row r="37857" spans="7:7" ht="10.5" customHeight="1" x14ac:dyDescent="0.2">
      <c r="G37857" s="889"/>
    </row>
    <row r="37858" spans="7:7" ht="10.5" customHeight="1" x14ac:dyDescent="0.2">
      <c r="G37858" s="889"/>
    </row>
    <row r="37859" spans="7:7" ht="10.5" customHeight="1" x14ac:dyDescent="0.2">
      <c r="G37859" s="889"/>
    </row>
    <row r="37860" spans="7:7" ht="10.5" customHeight="1" x14ac:dyDescent="0.2">
      <c r="G37860" s="889"/>
    </row>
    <row r="37861" spans="7:7" ht="10.5" customHeight="1" x14ac:dyDescent="0.2">
      <c r="G37861" s="889"/>
    </row>
    <row r="37862" spans="7:7" ht="10.5" customHeight="1" x14ac:dyDescent="0.2">
      <c r="G37862" s="889"/>
    </row>
    <row r="37863" spans="7:7" ht="10.5" customHeight="1" x14ac:dyDescent="0.2">
      <c r="G37863" s="889"/>
    </row>
    <row r="37864" spans="7:7" ht="10.5" customHeight="1" x14ac:dyDescent="0.2">
      <c r="G37864" s="889"/>
    </row>
    <row r="37865" spans="7:7" ht="10.5" customHeight="1" x14ac:dyDescent="0.2">
      <c r="G37865" s="889"/>
    </row>
    <row r="37866" spans="7:7" ht="10.5" customHeight="1" x14ac:dyDescent="0.2">
      <c r="G37866" s="889"/>
    </row>
    <row r="37867" spans="7:7" ht="10.5" customHeight="1" x14ac:dyDescent="0.2">
      <c r="G37867" s="889"/>
    </row>
    <row r="37868" spans="7:7" ht="10.5" customHeight="1" x14ac:dyDescent="0.2">
      <c r="G37868" s="889"/>
    </row>
    <row r="37869" spans="7:7" ht="10.5" customHeight="1" x14ac:dyDescent="0.2">
      <c r="G37869" s="889"/>
    </row>
    <row r="37870" spans="7:7" ht="10.5" customHeight="1" x14ac:dyDescent="0.2">
      <c r="G37870" s="889"/>
    </row>
    <row r="37871" spans="7:7" ht="10.5" customHeight="1" x14ac:dyDescent="0.2">
      <c r="G37871" s="889"/>
    </row>
    <row r="37872" spans="7:7" ht="10.5" customHeight="1" x14ac:dyDescent="0.2">
      <c r="G37872" s="889"/>
    </row>
    <row r="37873" spans="7:7" ht="10.5" customHeight="1" x14ac:dyDescent="0.2">
      <c r="G37873" s="889"/>
    </row>
    <row r="37874" spans="7:7" ht="10.5" customHeight="1" x14ac:dyDescent="0.2">
      <c r="G37874" s="889"/>
    </row>
    <row r="37875" spans="7:7" ht="10.5" customHeight="1" x14ac:dyDescent="0.2">
      <c r="G37875" s="889"/>
    </row>
    <row r="37876" spans="7:7" ht="10.5" customHeight="1" x14ac:dyDescent="0.2">
      <c r="G37876" s="889"/>
    </row>
    <row r="37877" spans="7:7" ht="10.5" customHeight="1" x14ac:dyDescent="0.2">
      <c r="G37877" s="889"/>
    </row>
    <row r="37878" spans="7:7" ht="10.5" customHeight="1" x14ac:dyDescent="0.2">
      <c r="G37878" s="889"/>
    </row>
    <row r="37879" spans="7:7" ht="10.5" customHeight="1" x14ac:dyDescent="0.2">
      <c r="G37879" s="889"/>
    </row>
    <row r="37880" spans="7:7" ht="10.5" customHeight="1" x14ac:dyDescent="0.2">
      <c r="G37880" s="889"/>
    </row>
    <row r="37881" spans="7:7" ht="10.5" customHeight="1" x14ac:dyDescent="0.2">
      <c r="G37881" s="889"/>
    </row>
    <row r="37882" spans="7:7" ht="10.5" customHeight="1" x14ac:dyDescent="0.2">
      <c r="G37882" s="889"/>
    </row>
    <row r="37883" spans="7:7" ht="10.5" customHeight="1" x14ac:dyDescent="0.2">
      <c r="G37883" s="889"/>
    </row>
    <row r="37884" spans="7:7" ht="10.5" customHeight="1" x14ac:dyDescent="0.2">
      <c r="G37884" s="889"/>
    </row>
    <row r="37885" spans="7:7" ht="10.5" customHeight="1" x14ac:dyDescent="0.2">
      <c r="G37885" s="889"/>
    </row>
    <row r="37886" spans="7:7" ht="10.5" customHeight="1" x14ac:dyDescent="0.2">
      <c r="G37886" s="889"/>
    </row>
    <row r="37887" spans="7:7" ht="10.5" customHeight="1" x14ac:dyDescent="0.2">
      <c r="G37887" s="889"/>
    </row>
    <row r="37888" spans="7:7" ht="10.5" customHeight="1" x14ac:dyDescent="0.2">
      <c r="G37888" s="889"/>
    </row>
    <row r="37889" spans="7:7" ht="10.5" customHeight="1" x14ac:dyDescent="0.2">
      <c r="G37889" s="889"/>
    </row>
    <row r="37890" spans="7:7" ht="10.5" customHeight="1" x14ac:dyDescent="0.2">
      <c r="G37890" s="889"/>
    </row>
    <row r="37891" spans="7:7" ht="10.5" customHeight="1" x14ac:dyDescent="0.2">
      <c r="G37891" s="889"/>
    </row>
    <row r="37892" spans="7:7" ht="10.5" customHeight="1" x14ac:dyDescent="0.2">
      <c r="G37892" s="889"/>
    </row>
    <row r="37893" spans="7:7" ht="10.5" customHeight="1" x14ac:dyDescent="0.2">
      <c r="G37893" s="889"/>
    </row>
    <row r="37894" spans="7:7" ht="10.5" customHeight="1" x14ac:dyDescent="0.2">
      <c r="G37894" s="889"/>
    </row>
    <row r="37895" spans="7:7" ht="10.5" customHeight="1" x14ac:dyDescent="0.2">
      <c r="G37895" s="889"/>
    </row>
    <row r="37896" spans="7:7" ht="10.5" customHeight="1" x14ac:dyDescent="0.2">
      <c r="G37896" s="889"/>
    </row>
    <row r="37897" spans="7:7" ht="10.5" customHeight="1" x14ac:dyDescent="0.2">
      <c r="G37897" s="889"/>
    </row>
    <row r="37898" spans="7:7" ht="10.5" customHeight="1" x14ac:dyDescent="0.2">
      <c r="G37898" s="889"/>
    </row>
    <row r="37899" spans="7:7" ht="10.5" customHeight="1" x14ac:dyDescent="0.2">
      <c r="G37899" s="889"/>
    </row>
    <row r="37900" spans="7:7" ht="10.5" customHeight="1" x14ac:dyDescent="0.2">
      <c r="G37900" s="889"/>
    </row>
    <row r="37901" spans="7:7" ht="10.5" customHeight="1" x14ac:dyDescent="0.2">
      <c r="G37901" s="889"/>
    </row>
    <row r="37902" spans="7:7" ht="10.5" customHeight="1" x14ac:dyDescent="0.2">
      <c r="G37902" s="889"/>
    </row>
    <row r="37903" spans="7:7" ht="10.5" customHeight="1" x14ac:dyDescent="0.2">
      <c r="G37903" s="889"/>
    </row>
    <row r="37904" spans="7:7" ht="10.5" customHeight="1" x14ac:dyDescent="0.2">
      <c r="G37904" s="889"/>
    </row>
    <row r="37905" spans="7:7" ht="10.5" customHeight="1" x14ac:dyDescent="0.2">
      <c r="G37905" s="889"/>
    </row>
    <row r="37906" spans="7:7" ht="10.5" customHeight="1" x14ac:dyDescent="0.2">
      <c r="G37906" s="889"/>
    </row>
    <row r="37907" spans="7:7" ht="10.5" customHeight="1" x14ac:dyDescent="0.2">
      <c r="G37907" s="889"/>
    </row>
    <row r="37908" spans="7:7" ht="10.5" customHeight="1" x14ac:dyDescent="0.2">
      <c r="G37908" s="889"/>
    </row>
    <row r="37909" spans="7:7" ht="10.5" customHeight="1" x14ac:dyDescent="0.2">
      <c r="G37909" s="889"/>
    </row>
    <row r="37910" spans="7:7" ht="10.5" customHeight="1" x14ac:dyDescent="0.2">
      <c r="G37910" s="889"/>
    </row>
    <row r="37911" spans="7:7" ht="10.5" customHeight="1" x14ac:dyDescent="0.2">
      <c r="G37911" s="889"/>
    </row>
    <row r="37912" spans="7:7" ht="10.5" customHeight="1" x14ac:dyDescent="0.2">
      <c r="G37912" s="889"/>
    </row>
    <row r="37913" spans="7:7" ht="10.5" customHeight="1" x14ac:dyDescent="0.2">
      <c r="G37913" s="889"/>
    </row>
    <row r="37914" spans="7:7" ht="10.5" customHeight="1" x14ac:dyDescent="0.2">
      <c r="G37914" s="889"/>
    </row>
    <row r="37915" spans="7:7" ht="10.5" customHeight="1" x14ac:dyDescent="0.2">
      <c r="G37915" s="889"/>
    </row>
    <row r="37916" spans="7:7" ht="10.5" customHeight="1" x14ac:dyDescent="0.2">
      <c r="G37916" s="889"/>
    </row>
    <row r="37917" spans="7:7" ht="10.5" customHeight="1" x14ac:dyDescent="0.2">
      <c r="G37917" s="889"/>
    </row>
    <row r="37918" spans="7:7" ht="10.5" customHeight="1" x14ac:dyDescent="0.2">
      <c r="G37918" s="889"/>
    </row>
    <row r="37919" spans="7:7" ht="10.5" customHeight="1" x14ac:dyDescent="0.2">
      <c r="G37919" s="889"/>
    </row>
    <row r="37920" spans="7:7" ht="10.5" customHeight="1" x14ac:dyDescent="0.2">
      <c r="G37920" s="889"/>
    </row>
    <row r="37921" spans="7:7" ht="10.5" customHeight="1" x14ac:dyDescent="0.2">
      <c r="G37921" s="889"/>
    </row>
    <row r="37922" spans="7:7" ht="10.5" customHeight="1" x14ac:dyDescent="0.2">
      <c r="G37922" s="889"/>
    </row>
    <row r="37923" spans="7:7" ht="10.5" customHeight="1" x14ac:dyDescent="0.2">
      <c r="G37923" s="889"/>
    </row>
    <row r="37924" spans="7:7" ht="10.5" customHeight="1" x14ac:dyDescent="0.2">
      <c r="G37924" s="889"/>
    </row>
    <row r="37925" spans="7:7" ht="10.5" customHeight="1" x14ac:dyDescent="0.2">
      <c r="G37925" s="889"/>
    </row>
    <row r="37926" spans="7:7" ht="10.5" customHeight="1" x14ac:dyDescent="0.2">
      <c r="G37926" s="889"/>
    </row>
    <row r="37927" spans="7:7" ht="10.5" customHeight="1" x14ac:dyDescent="0.2">
      <c r="G37927" s="889"/>
    </row>
    <row r="37928" spans="7:7" ht="10.5" customHeight="1" x14ac:dyDescent="0.2">
      <c r="G37928" s="889"/>
    </row>
    <row r="37929" spans="7:7" ht="10.5" customHeight="1" x14ac:dyDescent="0.2">
      <c r="G37929" s="889"/>
    </row>
    <row r="37930" spans="7:7" ht="10.5" customHeight="1" x14ac:dyDescent="0.2">
      <c r="G37930" s="889"/>
    </row>
    <row r="37931" spans="7:7" ht="10.5" customHeight="1" x14ac:dyDescent="0.2">
      <c r="G37931" s="889"/>
    </row>
    <row r="37932" spans="7:7" ht="10.5" customHeight="1" x14ac:dyDescent="0.2">
      <c r="G37932" s="889"/>
    </row>
    <row r="37933" spans="7:7" ht="10.5" customHeight="1" x14ac:dyDescent="0.2">
      <c r="G37933" s="889"/>
    </row>
    <row r="37934" spans="7:7" ht="10.5" customHeight="1" x14ac:dyDescent="0.2">
      <c r="G37934" s="889"/>
    </row>
    <row r="37935" spans="7:7" ht="10.5" customHeight="1" x14ac:dyDescent="0.2">
      <c r="G37935" s="889"/>
    </row>
    <row r="37936" spans="7:7" ht="10.5" customHeight="1" x14ac:dyDescent="0.2">
      <c r="G37936" s="889"/>
    </row>
    <row r="37937" spans="7:7" ht="10.5" customHeight="1" x14ac:dyDescent="0.2">
      <c r="G37937" s="889"/>
    </row>
    <row r="37938" spans="7:7" ht="10.5" customHeight="1" x14ac:dyDescent="0.2">
      <c r="G37938" s="889"/>
    </row>
    <row r="37939" spans="7:7" ht="10.5" customHeight="1" x14ac:dyDescent="0.2">
      <c r="G37939" s="889"/>
    </row>
    <row r="37940" spans="7:7" ht="10.5" customHeight="1" x14ac:dyDescent="0.2">
      <c r="G37940" s="889"/>
    </row>
    <row r="37941" spans="7:7" ht="10.5" customHeight="1" x14ac:dyDescent="0.2">
      <c r="G37941" s="889"/>
    </row>
    <row r="37942" spans="7:7" ht="10.5" customHeight="1" x14ac:dyDescent="0.2">
      <c r="G37942" s="889"/>
    </row>
    <row r="37943" spans="7:7" ht="10.5" customHeight="1" x14ac:dyDescent="0.2">
      <c r="G37943" s="889"/>
    </row>
    <row r="37944" spans="7:7" ht="10.5" customHeight="1" x14ac:dyDescent="0.2">
      <c r="G37944" s="889"/>
    </row>
    <row r="37945" spans="7:7" ht="10.5" customHeight="1" x14ac:dyDescent="0.2">
      <c r="G37945" s="889"/>
    </row>
    <row r="37946" spans="7:7" ht="10.5" customHeight="1" x14ac:dyDescent="0.2">
      <c r="G37946" s="889"/>
    </row>
    <row r="37947" spans="7:7" ht="10.5" customHeight="1" x14ac:dyDescent="0.2">
      <c r="G37947" s="889"/>
    </row>
    <row r="37948" spans="7:7" ht="10.5" customHeight="1" x14ac:dyDescent="0.2">
      <c r="G37948" s="889"/>
    </row>
    <row r="37949" spans="7:7" ht="10.5" customHeight="1" x14ac:dyDescent="0.2">
      <c r="G37949" s="889"/>
    </row>
    <row r="37950" spans="7:7" ht="10.5" customHeight="1" x14ac:dyDescent="0.2">
      <c r="G37950" s="889"/>
    </row>
    <row r="37951" spans="7:7" ht="10.5" customHeight="1" x14ac:dyDescent="0.2">
      <c r="G37951" s="889"/>
    </row>
    <row r="37952" spans="7:7" ht="10.5" customHeight="1" x14ac:dyDescent="0.2">
      <c r="G37952" s="889"/>
    </row>
    <row r="37953" spans="7:7" ht="10.5" customHeight="1" x14ac:dyDescent="0.2">
      <c r="G37953" s="889"/>
    </row>
    <row r="37954" spans="7:7" ht="10.5" customHeight="1" x14ac:dyDescent="0.2">
      <c r="G37954" s="889"/>
    </row>
    <row r="37955" spans="7:7" ht="10.5" customHeight="1" x14ac:dyDescent="0.2">
      <c r="G37955" s="889"/>
    </row>
    <row r="37956" spans="7:7" ht="10.5" customHeight="1" x14ac:dyDescent="0.2">
      <c r="G37956" s="889"/>
    </row>
    <row r="37957" spans="7:7" ht="10.5" customHeight="1" x14ac:dyDescent="0.2">
      <c r="G37957" s="889"/>
    </row>
    <row r="37958" spans="7:7" ht="10.5" customHeight="1" x14ac:dyDescent="0.2">
      <c r="G37958" s="889"/>
    </row>
    <row r="37959" spans="7:7" ht="10.5" customHeight="1" x14ac:dyDescent="0.2">
      <c r="G37959" s="889"/>
    </row>
    <row r="37960" spans="7:7" ht="10.5" customHeight="1" x14ac:dyDescent="0.2">
      <c r="G37960" s="889"/>
    </row>
    <row r="37961" spans="7:7" ht="10.5" customHeight="1" x14ac:dyDescent="0.2">
      <c r="G37961" s="889"/>
    </row>
    <row r="37962" spans="7:7" ht="10.5" customHeight="1" x14ac:dyDescent="0.2">
      <c r="G37962" s="889"/>
    </row>
    <row r="37963" spans="7:7" ht="10.5" customHeight="1" x14ac:dyDescent="0.2">
      <c r="G37963" s="889"/>
    </row>
    <row r="37964" spans="7:7" ht="10.5" customHeight="1" x14ac:dyDescent="0.2">
      <c r="G37964" s="889"/>
    </row>
    <row r="37965" spans="7:7" ht="10.5" customHeight="1" x14ac:dyDescent="0.2">
      <c r="G37965" s="889"/>
    </row>
    <row r="37966" spans="7:7" ht="10.5" customHeight="1" x14ac:dyDescent="0.2">
      <c r="G37966" s="889"/>
    </row>
    <row r="37967" spans="7:7" ht="10.5" customHeight="1" x14ac:dyDescent="0.2">
      <c r="G37967" s="889"/>
    </row>
    <row r="37968" spans="7:7" ht="10.5" customHeight="1" x14ac:dyDescent="0.2">
      <c r="G37968" s="889"/>
    </row>
    <row r="37969" spans="7:7" ht="10.5" customHeight="1" x14ac:dyDescent="0.2">
      <c r="G37969" s="889"/>
    </row>
    <row r="37970" spans="7:7" ht="10.5" customHeight="1" x14ac:dyDescent="0.2">
      <c r="G37970" s="889"/>
    </row>
    <row r="37971" spans="7:7" ht="10.5" customHeight="1" x14ac:dyDescent="0.2">
      <c r="G37971" s="889"/>
    </row>
    <row r="37972" spans="7:7" ht="10.5" customHeight="1" x14ac:dyDescent="0.2">
      <c r="G37972" s="889"/>
    </row>
    <row r="37973" spans="7:7" ht="10.5" customHeight="1" x14ac:dyDescent="0.2">
      <c r="G37973" s="889"/>
    </row>
    <row r="37974" spans="7:7" ht="10.5" customHeight="1" x14ac:dyDescent="0.2">
      <c r="G37974" s="889"/>
    </row>
    <row r="37975" spans="7:7" ht="10.5" customHeight="1" x14ac:dyDescent="0.2">
      <c r="G37975" s="889"/>
    </row>
    <row r="37976" spans="7:7" ht="10.5" customHeight="1" x14ac:dyDescent="0.2">
      <c r="G37976" s="889"/>
    </row>
    <row r="37977" spans="7:7" ht="10.5" customHeight="1" x14ac:dyDescent="0.2">
      <c r="G37977" s="889"/>
    </row>
    <row r="37978" spans="7:7" ht="10.5" customHeight="1" x14ac:dyDescent="0.2">
      <c r="G37978" s="889"/>
    </row>
    <row r="37979" spans="7:7" ht="10.5" customHeight="1" x14ac:dyDescent="0.2">
      <c r="G37979" s="889"/>
    </row>
    <row r="37980" spans="7:7" ht="10.5" customHeight="1" x14ac:dyDescent="0.2">
      <c r="G37980" s="889"/>
    </row>
    <row r="37981" spans="7:7" ht="10.5" customHeight="1" x14ac:dyDescent="0.2">
      <c r="G37981" s="889"/>
    </row>
    <row r="37982" spans="7:7" ht="10.5" customHeight="1" x14ac:dyDescent="0.2">
      <c r="G37982" s="889"/>
    </row>
    <row r="37983" spans="7:7" ht="10.5" customHeight="1" x14ac:dyDescent="0.2">
      <c r="G37983" s="889"/>
    </row>
    <row r="37984" spans="7:7" ht="10.5" customHeight="1" x14ac:dyDescent="0.2">
      <c r="G37984" s="889"/>
    </row>
    <row r="37985" spans="7:7" ht="10.5" customHeight="1" x14ac:dyDescent="0.2">
      <c r="G37985" s="889"/>
    </row>
    <row r="37986" spans="7:7" ht="10.5" customHeight="1" x14ac:dyDescent="0.2">
      <c r="G37986" s="889"/>
    </row>
    <row r="37987" spans="7:7" ht="10.5" customHeight="1" x14ac:dyDescent="0.2">
      <c r="G37987" s="889"/>
    </row>
    <row r="37988" spans="7:7" ht="10.5" customHeight="1" x14ac:dyDescent="0.2">
      <c r="G37988" s="889"/>
    </row>
    <row r="37989" spans="7:7" ht="10.5" customHeight="1" x14ac:dyDescent="0.2">
      <c r="G37989" s="889"/>
    </row>
    <row r="37990" spans="7:7" ht="10.5" customHeight="1" x14ac:dyDescent="0.2">
      <c r="G37990" s="889"/>
    </row>
    <row r="37991" spans="7:7" ht="10.5" customHeight="1" x14ac:dyDescent="0.2">
      <c r="G37991" s="889"/>
    </row>
    <row r="37992" spans="7:7" ht="10.5" customHeight="1" x14ac:dyDescent="0.2">
      <c r="G37992" s="889"/>
    </row>
    <row r="37993" spans="7:7" ht="10.5" customHeight="1" x14ac:dyDescent="0.2">
      <c r="G37993" s="889"/>
    </row>
    <row r="37994" spans="7:7" ht="10.5" customHeight="1" x14ac:dyDescent="0.2">
      <c r="G37994" s="889"/>
    </row>
    <row r="37995" spans="7:7" ht="10.5" customHeight="1" x14ac:dyDescent="0.2">
      <c r="G37995" s="889"/>
    </row>
    <row r="37996" spans="7:7" ht="10.5" customHeight="1" x14ac:dyDescent="0.2">
      <c r="G37996" s="889"/>
    </row>
    <row r="37997" spans="7:7" ht="10.5" customHeight="1" x14ac:dyDescent="0.2">
      <c r="G37997" s="889"/>
    </row>
    <row r="37998" spans="7:7" ht="10.5" customHeight="1" x14ac:dyDescent="0.2">
      <c r="G37998" s="889"/>
    </row>
    <row r="37999" spans="7:7" ht="10.5" customHeight="1" x14ac:dyDescent="0.2">
      <c r="G37999" s="889"/>
    </row>
    <row r="38000" spans="7:7" ht="10.5" customHeight="1" x14ac:dyDescent="0.2">
      <c r="G38000" s="889"/>
    </row>
    <row r="38001" spans="7:7" ht="10.5" customHeight="1" x14ac:dyDescent="0.2">
      <c r="G38001" s="889"/>
    </row>
    <row r="38002" spans="7:7" ht="10.5" customHeight="1" x14ac:dyDescent="0.2">
      <c r="G38002" s="889"/>
    </row>
    <row r="38003" spans="7:7" ht="10.5" customHeight="1" x14ac:dyDescent="0.2">
      <c r="G38003" s="889"/>
    </row>
    <row r="38004" spans="7:7" ht="10.5" customHeight="1" x14ac:dyDescent="0.2">
      <c r="G38004" s="889"/>
    </row>
    <row r="38005" spans="7:7" ht="10.5" customHeight="1" x14ac:dyDescent="0.2">
      <c r="G38005" s="889"/>
    </row>
    <row r="38006" spans="7:7" ht="10.5" customHeight="1" x14ac:dyDescent="0.2">
      <c r="G38006" s="889"/>
    </row>
    <row r="38007" spans="7:7" ht="10.5" customHeight="1" x14ac:dyDescent="0.2">
      <c r="G38007" s="889"/>
    </row>
    <row r="38008" spans="7:7" ht="10.5" customHeight="1" x14ac:dyDescent="0.2">
      <c r="G38008" s="889"/>
    </row>
    <row r="38009" spans="7:7" ht="10.5" customHeight="1" x14ac:dyDescent="0.2">
      <c r="G38009" s="889"/>
    </row>
    <row r="38010" spans="7:7" ht="10.5" customHeight="1" x14ac:dyDescent="0.2">
      <c r="G38010" s="889"/>
    </row>
    <row r="38011" spans="7:7" ht="10.5" customHeight="1" x14ac:dyDescent="0.2">
      <c r="G38011" s="889"/>
    </row>
    <row r="38012" spans="7:7" ht="10.5" customHeight="1" x14ac:dyDescent="0.2">
      <c r="G38012" s="889"/>
    </row>
    <row r="38013" spans="7:7" ht="10.5" customHeight="1" x14ac:dyDescent="0.2">
      <c r="G38013" s="889"/>
    </row>
    <row r="38014" spans="7:7" ht="10.5" customHeight="1" x14ac:dyDescent="0.2">
      <c r="G38014" s="889"/>
    </row>
    <row r="38015" spans="7:7" ht="10.5" customHeight="1" x14ac:dyDescent="0.2">
      <c r="G38015" s="889"/>
    </row>
    <row r="38016" spans="7:7" ht="10.5" customHeight="1" x14ac:dyDescent="0.2">
      <c r="G38016" s="889"/>
    </row>
    <row r="38017" spans="7:7" ht="10.5" customHeight="1" x14ac:dyDescent="0.2">
      <c r="G38017" s="889"/>
    </row>
    <row r="38018" spans="7:7" ht="10.5" customHeight="1" x14ac:dyDescent="0.2">
      <c r="G38018" s="889"/>
    </row>
    <row r="38019" spans="7:7" ht="10.5" customHeight="1" x14ac:dyDescent="0.2">
      <c r="G38019" s="889"/>
    </row>
    <row r="38020" spans="7:7" ht="10.5" customHeight="1" x14ac:dyDescent="0.2">
      <c r="G38020" s="889"/>
    </row>
    <row r="38021" spans="7:7" ht="10.5" customHeight="1" x14ac:dyDescent="0.2">
      <c r="G38021" s="889"/>
    </row>
    <row r="38022" spans="7:7" ht="10.5" customHeight="1" x14ac:dyDescent="0.2">
      <c r="G38022" s="889"/>
    </row>
    <row r="38023" spans="7:7" ht="10.5" customHeight="1" x14ac:dyDescent="0.2">
      <c r="G38023" s="889"/>
    </row>
    <row r="38024" spans="7:7" ht="10.5" customHeight="1" x14ac:dyDescent="0.2">
      <c r="G38024" s="889"/>
    </row>
    <row r="38025" spans="7:7" ht="10.5" customHeight="1" x14ac:dyDescent="0.2">
      <c r="G38025" s="889"/>
    </row>
    <row r="38026" spans="7:7" ht="10.5" customHeight="1" x14ac:dyDescent="0.2">
      <c r="G38026" s="889"/>
    </row>
    <row r="38027" spans="7:7" ht="10.5" customHeight="1" x14ac:dyDescent="0.2">
      <c r="G38027" s="889"/>
    </row>
    <row r="38028" spans="7:7" ht="10.5" customHeight="1" x14ac:dyDescent="0.2">
      <c r="G38028" s="889"/>
    </row>
    <row r="38029" spans="7:7" ht="10.5" customHeight="1" x14ac:dyDescent="0.2">
      <c r="G38029" s="889"/>
    </row>
    <row r="38030" spans="7:7" ht="10.5" customHeight="1" x14ac:dyDescent="0.2">
      <c r="G38030" s="889"/>
    </row>
    <row r="38031" spans="7:7" ht="10.5" customHeight="1" x14ac:dyDescent="0.2">
      <c r="G38031" s="889"/>
    </row>
    <row r="38032" spans="7:7" ht="10.5" customHeight="1" x14ac:dyDescent="0.2">
      <c r="G38032" s="889"/>
    </row>
    <row r="38033" spans="7:7" ht="10.5" customHeight="1" x14ac:dyDescent="0.2">
      <c r="G38033" s="889"/>
    </row>
    <row r="38034" spans="7:7" ht="10.5" customHeight="1" x14ac:dyDescent="0.2">
      <c r="G38034" s="889"/>
    </row>
    <row r="38035" spans="7:7" ht="10.5" customHeight="1" x14ac:dyDescent="0.2">
      <c r="G38035" s="889"/>
    </row>
    <row r="38036" spans="7:7" ht="10.5" customHeight="1" x14ac:dyDescent="0.2">
      <c r="G38036" s="889"/>
    </row>
    <row r="38037" spans="7:7" ht="10.5" customHeight="1" x14ac:dyDescent="0.2">
      <c r="G38037" s="889"/>
    </row>
    <row r="38038" spans="7:7" ht="10.5" customHeight="1" x14ac:dyDescent="0.2">
      <c r="G38038" s="889"/>
    </row>
    <row r="38039" spans="7:7" ht="10.5" customHeight="1" x14ac:dyDescent="0.2">
      <c r="G38039" s="889"/>
    </row>
    <row r="38040" spans="7:7" ht="10.5" customHeight="1" x14ac:dyDescent="0.2">
      <c r="G38040" s="889"/>
    </row>
    <row r="38041" spans="7:7" ht="10.5" customHeight="1" x14ac:dyDescent="0.2">
      <c r="G38041" s="889"/>
    </row>
    <row r="38042" spans="7:7" ht="10.5" customHeight="1" x14ac:dyDescent="0.2">
      <c r="G38042" s="889"/>
    </row>
    <row r="38043" spans="7:7" ht="10.5" customHeight="1" x14ac:dyDescent="0.2">
      <c r="G38043" s="889"/>
    </row>
    <row r="38044" spans="7:7" ht="10.5" customHeight="1" x14ac:dyDescent="0.2">
      <c r="G38044" s="889"/>
    </row>
    <row r="38045" spans="7:7" ht="10.5" customHeight="1" x14ac:dyDescent="0.2">
      <c r="G38045" s="889"/>
    </row>
    <row r="38046" spans="7:7" ht="10.5" customHeight="1" x14ac:dyDescent="0.2">
      <c r="G38046" s="889"/>
    </row>
    <row r="38047" spans="7:7" ht="10.5" customHeight="1" x14ac:dyDescent="0.2">
      <c r="G38047" s="889"/>
    </row>
    <row r="38048" spans="7:7" ht="10.5" customHeight="1" x14ac:dyDescent="0.2">
      <c r="G38048" s="889"/>
    </row>
    <row r="38049" spans="7:7" ht="10.5" customHeight="1" x14ac:dyDescent="0.2">
      <c r="G38049" s="889"/>
    </row>
    <row r="38050" spans="7:7" ht="10.5" customHeight="1" x14ac:dyDescent="0.2">
      <c r="G38050" s="889"/>
    </row>
    <row r="38051" spans="7:7" ht="10.5" customHeight="1" x14ac:dyDescent="0.2">
      <c r="G38051" s="889"/>
    </row>
    <row r="38052" spans="7:7" ht="10.5" customHeight="1" x14ac:dyDescent="0.2">
      <c r="G38052" s="889"/>
    </row>
    <row r="38053" spans="7:7" ht="10.5" customHeight="1" x14ac:dyDescent="0.2">
      <c r="G38053" s="889"/>
    </row>
    <row r="38054" spans="7:7" ht="10.5" customHeight="1" x14ac:dyDescent="0.2">
      <c r="G38054" s="889"/>
    </row>
    <row r="38055" spans="7:7" ht="10.5" customHeight="1" x14ac:dyDescent="0.2">
      <c r="G38055" s="889"/>
    </row>
    <row r="38056" spans="7:7" ht="10.5" customHeight="1" x14ac:dyDescent="0.2">
      <c r="G38056" s="889"/>
    </row>
    <row r="38057" spans="7:7" ht="10.5" customHeight="1" x14ac:dyDescent="0.2">
      <c r="G38057" s="889"/>
    </row>
    <row r="38058" spans="7:7" ht="10.5" customHeight="1" x14ac:dyDescent="0.2">
      <c r="G38058" s="889"/>
    </row>
    <row r="38059" spans="7:7" ht="10.5" customHeight="1" x14ac:dyDescent="0.2">
      <c r="G38059" s="889"/>
    </row>
    <row r="38060" spans="7:7" ht="10.5" customHeight="1" x14ac:dyDescent="0.2">
      <c r="G38060" s="889"/>
    </row>
    <row r="38061" spans="7:7" ht="10.5" customHeight="1" x14ac:dyDescent="0.2">
      <c r="G38061" s="889"/>
    </row>
    <row r="38062" spans="7:7" ht="10.5" customHeight="1" x14ac:dyDescent="0.2">
      <c r="G38062" s="889"/>
    </row>
    <row r="38063" spans="7:7" ht="10.5" customHeight="1" x14ac:dyDescent="0.2">
      <c r="G38063" s="889"/>
    </row>
    <row r="38064" spans="7:7" ht="10.5" customHeight="1" x14ac:dyDescent="0.2">
      <c r="G38064" s="889"/>
    </row>
    <row r="38065" spans="7:7" ht="10.5" customHeight="1" x14ac:dyDescent="0.2">
      <c r="G38065" s="889"/>
    </row>
    <row r="38066" spans="7:7" ht="10.5" customHeight="1" x14ac:dyDescent="0.2">
      <c r="G38066" s="889"/>
    </row>
    <row r="38067" spans="7:7" ht="10.5" customHeight="1" x14ac:dyDescent="0.2">
      <c r="G38067" s="889"/>
    </row>
    <row r="38068" spans="7:7" ht="10.5" customHeight="1" x14ac:dyDescent="0.2">
      <c r="G38068" s="889"/>
    </row>
    <row r="38069" spans="7:7" ht="10.5" customHeight="1" x14ac:dyDescent="0.2">
      <c r="G38069" s="889"/>
    </row>
    <row r="38070" spans="7:7" ht="10.5" customHeight="1" x14ac:dyDescent="0.2">
      <c r="G38070" s="889"/>
    </row>
    <row r="38071" spans="7:7" ht="10.5" customHeight="1" x14ac:dyDescent="0.2">
      <c r="G38071" s="889"/>
    </row>
    <row r="38072" spans="7:7" ht="10.5" customHeight="1" x14ac:dyDescent="0.2">
      <c r="G38072" s="889"/>
    </row>
    <row r="38073" spans="7:7" ht="10.5" customHeight="1" x14ac:dyDescent="0.2">
      <c r="G38073" s="889"/>
    </row>
    <row r="38074" spans="7:7" ht="10.5" customHeight="1" x14ac:dyDescent="0.2">
      <c r="G38074" s="889"/>
    </row>
    <row r="38075" spans="7:7" ht="10.5" customHeight="1" x14ac:dyDescent="0.2">
      <c r="G38075" s="889"/>
    </row>
    <row r="38076" spans="7:7" ht="10.5" customHeight="1" x14ac:dyDescent="0.2">
      <c r="G38076" s="889"/>
    </row>
    <row r="38077" spans="7:7" ht="10.5" customHeight="1" x14ac:dyDescent="0.2">
      <c r="G38077" s="889"/>
    </row>
    <row r="38078" spans="7:7" ht="10.5" customHeight="1" x14ac:dyDescent="0.2">
      <c r="G38078" s="889"/>
    </row>
    <row r="38079" spans="7:7" ht="10.5" customHeight="1" x14ac:dyDescent="0.2">
      <c r="G38079" s="889"/>
    </row>
    <row r="38080" spans="7:7" ht="10.5" customHeight="1" x14ac:dyDescent="0.2">
      <c r="G38080" s="889"/>
    </row>
    <row r="38081" spans="7:7" ht="10.5" customHeight="1" x14ac:dyDescent="0.2">
      <c r="G38081" s="889"/>
    </row>
    <row r="38082" spans="7:7" ht="10.5" customHeight="1" x14ac:dyDescent="0.2">
      <c r="G38082" s="889"/>
    </row>
    <row r="38083" spans="7:7" ht="10.5" customHeight="1" x14ac:dyDescent="0.2">
      <c r="G38083" s="889"/>
    </row>
    <row r="38084" spans="7:7" ht="10.5" customHeight="1" x14ac:dyDescent="0.2">
      <c r="G38084" s="889"/>
    </row>
    <row r="38085" spans="7:7" ht="10.5" customHeight="1" x14ac:dyDescent="0.2">
      <c r="G38085" s="889"/>
    </row>
    <row r="38086" spans="7:7" ht="10.5" customHeight="1" x14ac:dyDescent="0.2">
      <c r="G38086" s="889"/>
    </row>
    <row r="38087" spans="7:7" ht="10.5" customHeight="1" x14ac:dyDescent="0.2">
      <c r="G38087" s="889"/>
    </row>
    <row r="38088" spans="7:7" ht="10.5" customHeight="1" x14ac:dyDescent="0.2">
      <c r="G38088" s="889"/>
    </row>
    <row r="38089" spans="7:7" ht="10.5" customHeight="1" x14ac:dyDescent="0.2">
      <c r="G38089" s="889"/>
    </row>
    <row r="38090" spans="7:7" ht="10.5" customHeight="1" x14ac:dyDescent="0.2">
      <c r="G38090" s="889"/>
    </row>
    <row r="38091" spans="7:7" ht="10.5" customHeight="1" x14ac:dyDescent="0.2">
      <c r="G38091" s="889"/>
    </row>
    <row r="38092" spans="7:7" ht="10.5" customHeight="1" x14ac:dyDescent="0.2">
      <c r="G38092" s="889"/>
    </row>
    <row r="38093" spans="7:7" ht="10.5" customHeight="1" x14ac:dyDescent="0.2">
      <c r="G38093" s="889"/>
    </row>
    <row r="38094" spans="7:7" ht="10.5" customHeight="1" x14ac:dyDescent="0.2">
      <c r="G38094" s="889"/>
    </row>
    <row r="38095" spans="7:7" ht="10.5" customHeight="1" x14ac:dyDescent="0.2">
      <c r="G38095" s="889"/>
    </row>
    <row r="38096" spans="7:7" ht="10.5" customHeight="1" x14ac:dyDescent="0.2">
      <c r="G38096" s="889"/>
    </row>
    <row r="38097" spans="7:7" ht="10.5" customHeight="1" x14ac:dyDescent="0.2">
      <c r="G38097" s="889"/>
    </row>
    <row r="38098" spans="7:7" ht="10.5" customHeight="1" x14ac:dyDescent="0.2">
      <c r="G38098" s="889"/>
    </row>
    <row r="38099" spans="7:7" ht="10.5" customHeight="1" x14ac:dyDescent="0.2">
      <c r="G38099" s="889"/>
    </row>
    <row r="38100" spans="7:7" ht="10.5" customHeight="1" x14ac:dyDescent="0.2">
      <c r="G38100" s="889"/>
    </row>
    <row r="38101" spans="7:7" ht="10.5" customHeight="1" x14ac:dyDescent="0.2">
      <c r="G38101" s="889"/>
    </row>
    <row r="38102" spans="7:7" ht="10.5" customHeight="1" x14ac:dyDescent="0.2">
      <c r="G38102" s="889"/>
    </row>
    <row r="38103" spans="7:7" ht="10.5" customHeight="1" x14ac:dyDescent="0.2">
      <c r="G38103" s="889"/>
    </row>
    <row r="38104" spans="7:7" ht="10.5" customHeight="1" x14ac:dyDescent="0.2">
      <c r="G38104" s="889"/>
    </row>
    <row r="38105" spans="7:7" ht="10.5" customHeight="1" x14ac:dyDescent="0.2">
      <c r="G38105" s="889"/>
    </row>
    <row r="38106" spans="7:7" ht="10.5" customHeight="1" x14ac:dyDescent="0.2">
      <c r="G38106" s="889"/>
    </row>
    <row r="38107" spans="7:7" ht="10.5" customHeight="1" x14ac:dyDescent="0.2">
      <c r="G38107" s="889"/>
    </row>
    <row r="38108" spans="7:7" ht="10.5" customHeight="1" x14ac:dyDescent="0.2">
      <c r="G38108" s="889"/>
    </row>
    <row r="38109" spans="7:7" ht="10.5" customHeight="1" x14ac:dyDescent="0.2">
      <c r="G38109" s="889"/>
    </row>
    <row r="38110" spans="7:7" ht="10.5" customHeight="1" x14ac:dyDescent="0.2">
      <c r="G38110" s="889"/>
    </row>
    <row r="38111" spans="7:7" ht="10.5" customHeight="1" x14ac:dyDescent="0.2">
      <c r="G38111" s="889"/>
    </row>
    <row r="38112" spans="7:7" ht="10.5" customHeight="1" x14ac:dyDescent="0.2">
      <c r="G38112" s="889"/>
    </row>
    <row r="38113" spans="7:7" ht="10.5" customHeight="1" x14ac:dyDescent="0.2">
      <c r="G38113" s="889"/>
    </row>
    <row r="38114" spans="7:7" ht="10.5" customHeight="1" x14ac:dyDescent="0.2">
      <c r="G38114" s="889"/>
    </row>
    <row r="38115" spans="7:7" ht="10.5" customHeight="1" x14ac:dyDescent="0.2">
      <c r="G38115" s="889"/>
    </row>
    <row r="38116" spans="7:7" ht="10.5" customHeight="1" x14ac:dyDescent="0.2">
      <c r="G38116" s="889"/>
    </row>
    <row r="38117" spans="7:7" ht="10.5" customHeight="1" x14ac:dyDescent="0.2">
      <c r="G38117" s="889"/>
    </row>
    <row r="38118" spans="7:7" ht="10.5" customHeight="1" x14ac:dyDescent="0.2">
      <c r="G38118" s="889"/>
    </row>
    <row r="38119" spans="7:7" ht="10.5" customHeight="1" x14ac:dyDescent="0.2">
      <c r="G38119" s="889"/>
    </row>
    <row r="38120" spans="7:7" ht="10.5" customHeight="1" x14ac:dyDescent="0.2">
      <c r="G38120" s="889"/>
    </row>
    <row r="38121" spans="7:7" ht="10.5" customHeight="1" x14ac:dyDescent="0.2">
      <c r="G38121" s="889"/>
    </row>
    <row r="38122" spans="7:7" ht="10.5" customHeight="1" x14ac:dyDescent="0.2">
      <c r="G38122" s="889"/>
    </row>
    <row r="38123" spans="7:7" ht="10.5" customHeight="1" x14ac:dyDescent="0.2">
      <c r="G38123" s="889"/>
    </row>
    <row r="38124" spans="7:7" ht="10.5" customHeight="1" x14ac:dyDescent="0.2">
      <c r="G38124" s="889"/>
    </row>
    <row r="38125" spans="7:7" ht="10.5" customHeight="1" x14ac:dyDescent="0.2">
      <c r="G38125" s="889"/>
    </row>
    <row r="38126" spans="7:7" ht="10.5" customHeight="1" x14ac:dyDescent="0.2">
      <c r="G38126" s="889"/>
    </row>
    <row r="38127" spans="7:7" ht="10.5" customHeight="1" x14ac:dyDescent="0.2">
      <c r="G38127" s="889"/>
    </row>
    <row r="38128" spans="7:7" ht="10.5" customHeight="1" x14ac:dyDescent="0.2">
      <c r="G38128" s="889"/>
    </row>
    <row r="38129" spans="7:7" ht="10.5" customHeight="1" x14ac:dyDescent="0.2">
      <c r="G38129" s="889"/>
    </row>
    <row r="38130" spans="7:7" ht="10.5" customHeight="1" x14ac:dyDescent="0.2">
      <c r="G38130" s="889"/>
    </row>
    <row r="38131" spans="7:7" ht="10.5" customHeight="1" x14ac:dyDescent="0.2">
      <c r="G38131" s="889"/>
    </row>
    <row r="38132" spans="7:7" ht="10.5" customHeight="1" x14ac:dyDescent="0.2">
      <c r="G38132" s="889"/>
    </row>
    <row r="38133" spans="7:7" ht="10.5" customHeight="1" x14ac:dyDescent="0.2">
      <c r="G38133" s="889"/>
    </row>
    <row r="38134" spans="7:7" ht="10.5" customHeight="1" x14ac:dyDescent="0.2">
      <c r="G38134" s="889"/>
    </row>
    <row r="38135" spans="7:7" ht="10.5" customHeight="1" x14ac:dyDescent="0.2">
      <c r="G38135" s="889"/>
    </row>
    <row r="38136" spans="7:7" ht="10.5" customHeight="1" x14ac:dyDescent="0.2">
      <c r="G38136" s="889"/>
    </row>
    <row r="38137" spans="7:7" ht="10.5" customHeight="1" x14ac:dyDescent="0.2">
      <c r="G38137" s="889"/>
    </row>
    <row r="38138" spans="7:7" ht="10.5" customHeight="1" x14ac:dyDescent="0.2">
      <c r="G38138" s="889"/>
    </row>
    <row r="38139" spans="7:7" ht="10.5" customHeight="1" x14ac:dyDescent="0.2">
      <c r="G38139" s="889"/>
    </row>
    <row r="38140" spans="7:7" ht="10.5" customHeight="1" x14ac:dyDescent="0.2">
      <c r="G38140" s="889"/>
    </row>
    <row r="38141" spans="7:7" ht="10.5" customHeight="1" x14ac:dyDescent="0.2">
      <c r="G38141" s="889"/>
    </row>
    <row r="38142" spans="7:7" ht="10.5" customHeight="1" x14ac:dyDescent="0.2">
      <c r="G38142" s="889"/>
    </row>
    <row r="38143" spans="7:7" ht="10.5" customHeight="1" x14ac:dyDescent="0.2">
      <c r="G38143" s="889"/>
    </row>
    <row r="38144" spans="7:7" ht="10.5" customHeight="1" x14ac:dyDescent="0.2">
      <c r="G38144" s="889"/>
    </row>
    <row r="38145" spans="7:7" ht="10.5" customHeight="1" x14ac:dyDescent="0.2">
      <c r="G38145" s="889"/>
    </row>
    <row r="38146" spans="7:7" ht="10.5" customHeight="1" x14ac:dyDescent="0.2">
      <c r="G38146" s="889"/>
    </row>
    <row r="38147" spans="7:7" ht="10.5" customHeight="1" x14ac:dyDescent="0.2">
      <c r="G38147" s="889"/>
    </row>
    <row r="38148" spans="7:7" ht="10.5" customHeight="1" x14ac:dyDescent="0.2">
      <c r="G38148" s="889"/>
    </row>
    <row r="38149" spans="7:7" ht="10.5" customHeight="1" x14ac:dyDescent="0.2">
      <c r="G38149" s="889"/>
    </row>
    <row r="38150" spans="7:7" ht="10.5" customHeight="1" x14ac:dyDescent="0.2">
      <c r="G38150" s="889"/>
    </row>
    <row r="38151" spans="7:7" ht="10.5" customHeight="1" x14ac:dyDescent="0.2">
      <c r="G38151" s="889"/>
    </row>
    <row r="38152" spans="7:7" ht="10.5" customHeight="1" x14ac:dyDescent="0.2">
      <c r="G38152" s="889"/>
    </row>
    <row r="38153" spans="7:7" ht="10.5" customHeight="1" x14ac:dyDescent="0.2">
      <c r="G38153" s="889"/>
    </row>
    <row r="38154" spans="7:7" ht="10.5" customHeight="1" x14ac:dyDescent="0.2">
      <c r="G38154" s="889"/>
    </row>
    <row r="38155" spans="7:7" ht="10.5" customHeight="1" x14ac:dyDescent="0.2">
      <c r="G38155" s="889"/>
    </row>
    <row r="38156" spans="7:7" ht="10.5" customHeight="1" x14ac:dyDescent="0.2">
      <c r="G38156" s="889"/>
    </row>
    <row r="38157" spans="7:7" ht="10.5" customHeight="1" x14ac:dyDescent="0.2">
      <c r="G38157" s="889"/>
    </row>
    <row r="38158" spans="7:7" ht="10.5" customHeight="1" x14ac:dyDescent="0.2">
      <c r="G38158" s="889"/>
    </row>
    <row r="38159" spans="7:7" ht="10.5" customHeight="1" x14ac:dyDescent="0.2">
      <c r="G38159" s="889"/>
    </row>
    <row r="38160" spans="7:7" ht="10.5" customHeight="1" x14ac:dyDescent="0.2">
      <c r="G38160" s="889"/>
    </row>
    <row r="38161" spans="7:7" ht="10.5" customHeight="1" x14ac:dyDescent="0.2">
      <c r="G38161" s="889"/>
    </row>
    <row r="38162" spans="7:7" ht="10.5" customHeight="1" x14ac:dyDescent="0.2">
      <c r="G38162" s="889"/>
    </row>
    <row r="38163" spans="7:7" ht="10.5" customHeight="1" x14ac:dyDescent="0.2">
      <c r="G38163" s="889"/>
    </row>
    <row r="38164" spans="7:7" ht="10.5" customHeight="1" x14ac:dyDescent="0.2">
      <c r="G38164" s="889"/>
    </row>
    <row r="38165" spans="7:7" ht="10.5" customHeight="1" x14ac:dyDescent="0.2">
      <c r="G38165" s="889"/>
    </row>
    <row r="38166" spans="7:7" ht="10.5" customHeight="1" x14ac:dyDescent="0.2">
      <c r="G38166" s="889"/>
    </row>
    <row r="38167" spans="7:7" ht="10.5" customHeight="1" x14ac:dyDescent="0.2">
      <c r="G38167" s="889"/>
    </row>
    <row r="38168" spans="7:7" ht="10.5" customHeight="1" x14ac:dyDescent="0.2">
      <c r="G38168" s="889"/>
    </row>
    <row r="38169" spans="7:7" ht="10.5" customHeight="1" x14ac:dyDescent="0.2">
      <c r="G38169" s="889"/>
    </row>
    <row r="38170" spans="7:7" ht="10.5" customHeight="1" x14ac:dyDescent="0.2">
      <c r="G38170" s="889"/>
    </row>
    <row r="38171" spans="7:7" ht="10.5" customHeight="1" x14ac:dyDescent="0.2">
      <c r="G38171" s="889"/>
    </row>
    <row r="38172" spans="7:7" ht="10.5" customHeight="1" x14ac:dyDescent="0.2">
      <c r="G38172" s="889"/>
    </row>
    <row r="38173" spans="7:7" ht="10.5" customHeight="1" x14ac:dyDescent="0.2">
      <c r="G38173" s="889"/>
    </row>
    <row r="38174" spans="7:7" ht="10.5" customHeight="1" x14ac:dyDescent="0.2">
      <c r="G38174" s="889"/>
    </row>
    <row r="38175" spans="7:7" ht="10.5" customHeight="1" x14ac:dyDescent="0.2">
      <c r="G38175" s="889"/>
    </row>
    <row r="38176" spans="7:7" ht="10.5" customHeight="1" x14ac:dyDescent="0.2">
      <c r="G38176" s="889"/>
    </row>
    <row r="38177" spans="7:7" ht="10.5" customHeight="1" x14ac:dyDescent="0.2">
      <c r="G38177" s="889"/>
    </row>
    <row r="38178" spans="7:7" ht="10.5" customHeight="1" x14ac:dyDescent="0.2">
      <c r="G38178" s="889"/>
    </row>
    <row r="38179" spans="7:7" ht="10.5" customHeight="1" x14ac:dyDescent="0.2">
      <c r="G38179" s="889"/>
    </row>
    <row r="38180" spans="7:7" ht="10.5" customHeight="1" x14ac:dyDescent="0.2">
      <c r="G38180" s="889"/>
    </row>
    <row r="38181" spans="7:7" ht="10.5" customHeight="1" x14ac:dyDescent="0.2">
      <c r="G38181" s="889"/>
    </row>
    <row r="38182" spans="7:7" ht="10.5" customHeight="1" x14ac:dyDescent="0.2">
      <c r="G38182" s="889"/>
    </row>
    <row r="38183" spans="7:7" ht="10.5" customHeight="1" x14ac:dyDescent="0.2">
      <c r="G38183" s="889"/>
    </row>
    <row r="38184" spans="7:7" ht="10.5" customHeight="1" x14ac:dyDescent="0.2">
      <c r="G38184" s="889"/>
    </row>
    <row r="38185" spans="7:7" ht="10.5" customHeight="1" x14ac:dyDescent="0.2">
      <c r="G38185" s="889"/>
    </row>
    <row r="38186" spans="7:7" ht="10.5" customHeight="1" x14ac:dyDescent="0.2">
      <c r="G38186" s="889"/>
    </row>
    <row r="38187" spans="7:7" ht="10.5" customHeight="1" x14ac:dyDescent="0.2">
      <c r="G38187" s="889"/>
    </row>
    <row r="38188" spans="7:7" ht="10.5" customHeight="1" x14ac:dyDescent="0.2">
      <c r="G38188" s="889"/>
    </row>
    <row r="38189" spans="7:7" ht="10.5" customHeight="1" x14ac:dyDescent="0.2">
      <c r="G38189" s="889"/>
    </row>
    <row r="38190" spans="7:7" ht="10.5" customHeight="1" x14ac:dyDescent="0.2">
      <c r="G38190" s="889"/>
    </row>
    <row r="38191" spans="7:7" ht="10.5" customHeight="1" x14ac:dyDescent="0.2">
      <c r="G38191" s="889"/>
    </row>
    <row r="38192" spans="7:7" ht="10.5" customHeight="1" x14ac:dyDescent="0.2">
      <c r="G38192" s="889"/>
    </row>
    <row r="38193" spans="7:7" ht="10.5" customHeight="1" x14ac:dyDescent="0.2">
      <c r="G38193" s="889"/>
    </row>
    <row r="38194" spans="7:7" ht="10.5" customHeight="1" x14ac:dyDescent="0.2">
      <c r="G38194" s="889"/>
    </row>
    <row r="38195" spans="7:7" ht="10.5" customHeight="1" x14ac:dyDescent="0.2">
      <c r="G38195" s="889"/>
    </row>
    <row r="38196" spans="7:7" ht="10.5" customHeight="1" x14ac:dyDescent="0.2">
      <c r="G38196" s="889"/>
    </row>
    <row r="38197" spans="7:7" ht="10.5" customHeight="1" x14ac:dyDescent="0.2">
      <c r="G38197" s="889"/>
    </row>
    <row r="38198" spans="7:7" ht="10.5" customHeight="1" x14ac:dyDescent="0.2">
      <c r="G38198" s="889"/>
    </row>
    <row r="38199" spans="7:7" ht="10.5" customHeight="1" x14ac:dyDescent="0.2">
      <c r="G38199" s="889"/>
    </row>
    <row r="38200" spans="7:7" ht="10.5" customHeight="1" x14ac:dyDescent="0.2">
      <c r="G38200" s="889"/>
    </row>
    <row r="38201" spans="7:7" ht="10.5" customHeight="1" x14ac:dyDescent="0.2">
      <c r="G38201" s="889"/>
    </row>
    <row r="38202" spans="7:7" ht="10.5" customHeight="1" x14ac:dyDescent="0.2">
      <c r="G38202" s="889"/>
    </row>
    <row r="38203" spans="7:7" ht="10.5" customHeight="1" x14ac:dyDescent="0.2">
      <c r="G38203" s="889"/>
    </row>
    <row r="38204" spans="7:7" ht="10.5" customHeight="1" x14ac:dyDescent="0.2">
      <c r="G38204" s="889"/>
    </row>
    <row r="38205" spans="7:7" ht="10.5" customHeight="1" x14ac:dyDescent="0.2">
      <c r="G38205" s="889"/>
    </row>
    <row r="38206" spans="7:7" ht="10.5" customHeight="1" x14ac:dyDescent="0.2">
      <c r="G38206" s="889"/>
    </row>
    <row r="38207" spans="7:7" ht="10.5" customHeight="1" x14ac:dyDescent="0.2">
      <c r="G38207" s="889"/>
    </row>
    <row r="38208" spans="7:7" ht="10.5" customHeight="1" x14ac:dyDescent="0.2">
      <c r="G38208" s="889"/>
    </row>
    <row r="38209" spans="7:7" ht="10.5" customHeight="1" x14ac:dyDescent="0.2">
      <c r="G38209" s="889"/>
    </row>
    <row r="38210" spans="7:7" ht="10.5" customHeight="1" x14ac:dyDescent="0.2">
      <c r="G38210" s="889"/>
    </row>
    <row r="38211" spans="7:7" ht="10.5" customHeight="1" x14ac:dyDescent="0.2">
      <c r="G38211" s="889"/>
    </row>
    <row r="38212" spans="7:7" ht="10.5" customHeight="1" x14ac:dyDescent="0.2">
      <c r="G38212" s="889"/>
    </row>
    <row r="38213" spans="7:7" ht="10.5" customHeight="1" x14ac:dyDescent="0.2">
      <c r="G38213" s="889"/>
    </row>
    <row r="38214" spans="7:7" ht="10.5" customHeight="1" x14ac:dyDescent="0.2">
      <c r="G38214" s="889"/>
    </row>
    <row r="38215" spans="7:7" ht="10.5" customHeight="1" x14ac:dyDescent="0.2">
      <c r="G38215" s="889"/>
    </row>
    <row r="38216" spans="7:7" ht="10.5" customHeight="1" x14ac:dyDescent="0.2">
      <c r="G38216" s="889"/>
    </row>
    <row r="38217" spans="7:7" ht="10.5" customHeight="1" x14ac:dyDescent="0.2">
      <c r="G38217" s="889"/>
    </row>
    <row r="38218" spans="7:7" ht="10.5" customHeight="1" x14ac:dyDescent="0.2">
      <c r="G38218" s="889"/>
    </row>
    <row r="38219" spans="7:7" ht="10.5" customHeight="1" x14ac:dyDescent="0.2">
      <c r="G38219" s="889"/>
    </row>
    <row r="38220" spans="7:7" ht="10.5" customHeight="1" x14ac:dyDescent="0.2">
      <c r="G38220" s="889"/>
    </row>
    <row r="38221" spans="7:7" ht="10.5" customHeight="1" x14ac:dyDescent="0.2">
      <c r="G38221" s="889"/>
    </row>
    <row r="38222" spans="7:7" ht="10.5" customHeight="1" x14ac:dyDescent="0.2">
      <c r="G38222" s="889"/>
    </row>
    <row r="38223" spans="7:7" ht="10.5" customHeight="1" x14ac:dyDescent="0.2">
      <c r="G38223" s="889"/>
    </row>
    <row r="38224" spans="7:7" ht="10.5" customHeight="1" x14ac:dyDescent="0.2">
      <c r="G38224" s="889"/>
    </row>
    <row r="38225" spans="7:7" ht="10.5" customHeight="1" x14ac:dyDescent="0.2">
      <c r="G38225" s="889"/>
    </row>
    <row r="38226" spans="7:7" ht="10.5" customHeight="1" x14ac:dyDescent="0.2">
      <c r="G38226" s="889"/>
    </row>
    <row r="38227" spans="7:7" ht="10.5" customHeight="1" x14ac:dyDescent="0.2">
      <c r="G38227" s="889"/>
    </row>
    <row r="38228" spans="7:7" ht="10.5" customHeight="1" x14ac:dyDescent="0.2">
      <c r="G38228" s="889"/>
    </row>
    <row r="38229" spans="7:7" ht="10.5" customHeight="1" x14ac:dyDescent="0.2">
      <c r="G38229" s="889"/>
    </row>
    <row r="38230" spans="7:7" ht="10.5" customHeight="1" x14ac:dyDescent="0.2">
      <c r="G38230" s="889"/>
    </row>
    <row r="38231" spans="7:7" ht="10.5" customHeight="1" x14ac:dyDescent="0.2">
      <c r="G38231" s="889"/>
    </row>
    <row r="38232" spans="7:7" ht="10.5" customHeight="1" x14ac:dyDescent="0.2">
      <c r="G38232" s="889"/>
    </row>
    <row r="38233" spans="7:7" ht="10.5" customHeight="1" x14ac:dyDescent="0.2">
      <c r="G38233" s="889"/>
    </row>
    <row r="38234" spans="7:7" ht="10.5" customHeight="1" x14ac:dyDescent="0.2">
      <c r="G38234" s="889"/>
    </row>
    <row r="38235" spans="7:7" ht="10.5" customHeight="1" x14ac:dyDescent="0.2">
      <c r="G38235" s="889"/>
    </row>
    <row r="38236" spans="7:7" ht="10.5" customHeight="1" x14ac:dyDescent="0.2">
      <c r="G38236" s="889"/>
    </row>
    <row r="38237" spans="7:7" ht="10.5" customHeight="1" x14ac:dyDescent="0.2">
      <c r="G38237" s="889"/>
    </row>
    <row r="38238" spans="7:7" ht="10.5" customHeight="1" x14ac:dyDescent="0.2">
      <c r="G38238" s="889"/>
    </row>
    <row r="38239" spans="7:7" ht="10.5" customHeight="1" x14ac:dyDescent="0.2">
      <c r="G38239" s="889"/>
    </row>
    <row r="38240" spans="7:7" ht="10.5" customHeight="1" x14ac:dyDescent="0.2">
      <c r="G38240" s="889"/>
    </row>
    <row r="38241" spans="7:7" ht="10.5" customHeight="1" x14ac:dyDescent="0.2">
      <c r="G38241" s="889"/>
    </row>
    <row r="38242" spans="7:7" ht="10.5" customHeight="1" x14ac:dyDescent="0.2">
      <c r="G38242" s="889"/>
    </row>
    <row r="38243" spans="7:7" ht="10.5" customHeight="1" x14ac:dyDescent="0.2">
      <c r="G38243" s="889"/>
    </row>
    <row r="38244" spans="7:7" ht="10.5" customHeight="1" x14ac:dyDescent="0.2">
      <c r="G38244" s="889"/>
    </row>
    <row r="38245" spans="7:7" ht="10.5" customHeight="1" x14ac:dyDescent="0.2">
      <c r="G38245" s="889"/>
    </row>
    <row r="38246" spans="7:7" ht="10.5" customHeight="1" x14ac:dyDescent="0.2">
      <c r="G38246" s="889"/>
    </row>
    <row r="38247" spans="7:7" ht="10.5" customHeight="1" x14ac:dyDescent="0.2">
      <c r="G38247" s="889"/>
    </row>
    <row r="38248" spans="7:7" ht="10.5" customHeight="1" x14ac:dyDescent="0.2">
      <c r="G38248" s="889"/>
    </row>
    <row r="38249" spans="7:7" ht="10.5" customHeight="1" x14ac:dyDescent="0.2">
      <c r="G38249" s="889"/>
    </row>
    <row r="38250" spans="7:7" ht="10.5" customHeight="1" x14ac:dyDescent="0.2">
      <c r="G38250" s="889"/>
    </row>
    <row r="38251" spans="7:7" ht="10.5" customHeight="1" x14ac:dyDescent="0.2">
      <c r="G38251" s="889"/>
    </row>
    <row r="38252" spans="7:7" ht="10.5" customHeight="1" x14ac:dyDescent="0.2">
      <c r="G38252" s="889"/>
    </row>
    <row r="38253" spans="7:7" ht="10.5" customHeight="1" x14ac:dyDescent="0.2">
      <c r="G38253" s="889"/>
    </row>
    <row r="38254" spans="7:7" ht="10.5" customHeight="1" x14ac:dyDescent="0.2">
      <c r="G38254" s="889"/>
    </row>
    <row r="38255" spans="7:7" ht="10.5" customHeight="1" x14ac:dyDescent="0.2">
      <c r="G38255" s="889"/>
    </row>
    <row r="38256" spans="7:7" ht="10.5" customHeight="1" x14ac:dyDescent="0.2">
      <c r="G38256" s="889"/>
    </row>
    <row r="38257" spans="7:7" ht="10.5" customHeight="1" x14ac:dyDescent="0.2">
      <c r="G38257" s="889"/>
    </row>
    <row r="38258" spans="7:7" ht="10.5" customHeight="1" x14ac:dyDescent="0.2">
      <c r="G38258" s="889"/>
    </row>
    <row r="38259" spans="7:7" ht="10.5" customHeight="1" x14ac:dyDescent="0.2">
      <c r="G38259" s="889"/>
    </row>
    <row r="38260" spans="7:7" ht="10.5" customHeight="1" x14ac:dyDescent="0.2">
      <c r="G38260" s="889"/>
    </row>
    <row r="38261" spans="7:7" ht="10.5" customHeight="1" x14ac:dyDescent="0.2">
      <c r="G38261" s="889"/>
    </row>
    <row r="38262" spans="7:7" ht="10.5" customHeight="1" x14ac:dyDescent="0.2">
      <c r="G38262" s="889"/>
    </row>
    <row r="38263" spans="7:7" ht="10.5" customHeight="1" x14ac:dyDescent="0.2">
      <c r="G38263" s="889"/>
    </row>
    <row r="38264" spans="7:7" ht="10.5" customHeight="1" x14ac:dyDescent="0.2">
      <c r="G38264" s="889"/>
    </row>
    <row r="38265" spans="7:7" ht="10.5" customHeight="1" x14ac:dyDescent="0.2">
      <c r="G38265" s="889"/>
    </row>
    <row r="38266" spans="7:7" ht="10.5" customHeight="1" x14ac:dyDescent="0.2">
      <c r="G38266" s="889"/>
    </row>
    <row r="38267" spans="7:7" ht="10.5" customHeight="1" x14ac:dyDescent="0.2">
      <c r="G38267" s="889"/>
    </row>
    <row r="38268" spans="7:7" ht="10.5" customHeight="1" x14ac:dyDescent="0.2">
      <c r="G38268" s="889"/>
    </row>
    <row r="38269" spans="7:7" ht="10.5" customHeight="1" x14ac:dyDescent="0.2">
      <c r="G38269" s="889"/>
    </row>
    <row r="38270" spans="7:7" ht="10.5" customHeight="1" x14ac:dyDescent="0.2">
      <c r="G38270" s="889"/>
    </row>
    <row r="38271" spans="7:7" ht="10.5" customHeight="1" x14ac:dyDescent="0.2">
      <c r="G38271" s="889"/>
    </row>
    <row r="38272" spans="7:7" ht="10.5" customHeight="1" x14ac:dyDescent="0.2">
      <c r="G38272" s="889"/>
    </row>
    <row r="38273" spans="7:7" ht="10.5" customHeight="1" x14ac:dyDescent="0.2">
      <c r="G38273" s="889"/>
    </row>
    <row r="38274" spans="7:7" ht="10.5" customHeight="1" x14ac:dyDescent="0.2">
      <c r="G38274" s="889"/>
    </row>
    <row r="38275" spans="7:7" ht="10.5" customHeight="1" x14ac:dyDescent="0.2">
      <c r="G38275" s="889"/>
    </row>
    <row r="38276" spans="7:7" ht="10.5" customHeight="1" x14ac:dyDescent="0.2">
      <c r="G38276" s="889"/>
    </row>
    <row r="38277" spans="7:7" ht="10.5" customHeight="1" x14ac:dyDescent="0.2">
      <c r="G38277" s="889"/>
    </row>
    <row r="38278" spans="7:7" ht="10.5" customHeight="1" x14ac:dyDescent="0.2">
      <c r="G38278" s="889"/>
    </row>
    <row r="38279" spans="7:7" ht="10.5" customHeight="1" x14ac:dyDescent="0.2">
      <c r="G38279" s="889"/>
    </row>
    <row r="38280" spans="7:7" ht="10.5" customHeight="1" x14ac:dyDescent="0.2">
      <c r="G38280" s="889"/>
    </row>
    <row r="38281" spans="7:7" ht="10.5" customHeight="1" x14ac:dyDescent="0.2">
      <c r="G38281" s="889"/>
    </row>
    <row r="38282" spans="7:7" ht="10.5" customHeight="1" x14ac:dyDescent="0.2">
      <c r="G38282" s="889"/>
    </row>
    <row r="38283" spans="7:7" ht="10.5" customHeight="1" x14ac:dyDescent="0.2">
      <c r="G38283" s="889"/>
    </row>
    <row r="38284" spans="7:7" ht="10.5" customHeight="1" x14ac:dyDescent="0.2">
      <c r="G38284" s="889"/>
    </row>
    <row r="38285" spans="7:7" ht="10.5" customHeight="1" x14ac:dyDescent="0.2">
      <c r="G38285" s="889"/>
    </row>
    <row r="38286" spans="7:7" ht="10.5" customHeight="1" x14ac:dyDescent="0.2">
      <c r="G38286" s="889"/>
    </row>
    <row r="38287" spans="7:7" ht="10.5" customHeight="1" x14ac:dyDescent="0.2">
      <c r="G38287" s="889"/>
    </row>
    <row r="38288" spans="7:7" ht="10.5" customHeight="1" x14ac:dyDescent="0.2">
      <c r="G38288" s="889"/>
    </row>
    <row r="38289" spans="7:7" ht="10.5" customHeight="1" x14ac:dyDescent="0.2">
      <c r="G38289" s="889"/>
    </row>
    <row r="38290" spans="7:7" ht="10.5" customHeight="1" x14ac:dyDescent="0.2">
      <c r="G38290" s="889"/>
    </row>
    <row r="38291" spans="7:7" ht="10.5" customHeight="1" x14ac:dyDescent="0.2">
      <c r="G38291" s="889"/>
    </row>
    <row r="38292" spans="7:7" ht="10.5" customHeight="1" x14ac:dyDescent="0.2">
      <c r="G38292" s="889"/>
    </row>
    <row r="38293" spans="7:7" ht="10.5" customHeight="1" x14ac:dyDescent="0.2">
      <c r="G38293" s="889"/>
    </row>
    <row r="38294" spans="7:7" ht="10.5" customHeight="1" x14ac:dyDescent="0.2">
      <c r="G38294" s="889"/>
    </row>
    <row r="38295" spans="7:7" ht="10.5" customHeight="1" x14ac:dyDescent="0.2">
      <c r="G38295" s="889"/>
    </row>
    <row r="38296" spans="7:7" ht="10.5" customHeight="1" x14ac:dyDescent="0.2">
      <c r="G38296" s="889"/>
    </row>
    <row r="38297" spans="7:7" ht="10.5" customHeight="1" x14ac:dyDescent="0.2">
      <c r="G38297" s="889"/>
    </row>
    <row r="38298" spans="7:7" ht="10.5" customHeight="1" x14ac:dyDescent="0.2">
      <c r="G38298" s="889"/>
    </row>
    <row r="38299" spans="7:7" ht="10.5" customHeight="1" x14ac:dyDescent="0.2">
      <c r="G38299" s="889"/>
    </row>
    <row r="38300" spans="7:7" ht="10.5" customHeight="1" x14ac:dyDescent="0.2">
      <c r="G38300" s="889"/>
    </row>
    <row r="38301" spans="7:7" ht="10.5" customHeight="1" x14ac:dyDescent="0.2">
      <c r="G38301" s="889"/>
    </row>
    <row r="38302" spans="7:7" ht="10.5" customHeight="1" x14ac:dyDescent="0.2">
      <c r="G38302" s="889"/>
    </row>
    <row r="38303" spans="7:7" ht="10.5" customHeight="1" x14ac:dyDescent="0.2">
      <c r="G38303" s="889"/>
    </row>
    <row r="38304" spans="7:7" ht="10.5" customHeight="1" x14ac:dyDescent="0.2">
      <c r="G38304" s="889"/>
    </row>
    <row r="38305" spans="7:7" ht="10.5" customHeight="1" x14ac:dyDescent="0.2">
      <c r="G38305" s="889"/>
    </row>
    <row r="38306" spans="7:7" ht="10.5" customHeight="1" x14ac:dyDescent="0.2">
      <c r="G38306" s="889"/>
    </row>
    <row r="38307" spans="7:7" ht="10.5" customHeight="1" x14ac:dyDescent="0.2">
      <c r="G38307" s="889"/>
    </row>
    <row r="38308" spans="7:7" ht="10.5" customHeight="1" x14ac:dyDescent="0.2">
      <c r="G38308" s="889"/>
    </row>
    <row r="38309" spans="7:7" ht="10.5" customHeight="1" x14ac:dyDescent="0.2">
      <c r="G38309" s="889"/>
    </row>
    <row r="38310" spans="7:7" ht="10.5" customHeight="1" x14ac:dyDescent="0.2">
      <c r="G38310" s="889"/>
    </row>
    <row r="38311" spans="7:7" ht="10.5" customHeight="1" x14ac:dyDescent="0.2">
      <c r="G38311" s="889"/>
    </row>
    <row r="38312" spans="7:7" ht="10.5" customHeight="1" x14ac:dyDescent="0.2">
      <c r="G38312" s="889"/>
    </row>
    <row r="38313" spans="7:7" ht="10.5" customHeight="1" x14ac:dyDescent="0.2">
      <c r="G38313" s="889"/>
    </row>
    <row r="38314" spans="7:7" ht="10.5" customHeight="1" x14ac:dyDescent="0.2">
      <c r="G38314" s="889"/>
    </row>
    <row r="38315" spans="7:7" ht="10.5" customHeight="1" x14ac:dyDescent="0.2">
      <c r="G38315" s="889"/>
    </row>
    <row r="38316" spans="7:7" ht="10.5" customHeight="1" x14ac:dyDescent="0.2">
      <c r="G38316" s="889"/>
    </row>
    <row r="38317" spans="7:7" ht="10.5" customHeight="1" x14ac:dyDescent="0.2">
      <c r="G38317" s="889"/>
    </row>
    <row r="38318" spans="7:7" ht="10.5" customHeight="1" x14ac:dyDescent="0.2">
      <c r="G38318" s="889"/>
    </row>
    <row r="38319" spans="7:7" ht="10.5" customHeight="1" x14ac:dyDescent="0.2">
      <c r="G38319" s="889"/>
    </row>
    <row r="38320" spans="7:7" ht="10.5" customHeight="1" x14ac:dyDescent="0.2">
      <c r="G38320" s="889"/>
    </row>
    <row r="38321" spans="7:7" ht="10.5" customHeight="1" x14ac:dyDescent="0.2">
      <c r="G38321" s="889"/>
    </row>
    <row r="38322" spans="7:7" ht="10.5" customHeight="1" x14ac:dyDescent="0.2">
      <c r="G38322" s="889"/>
    </row>
    <row r="38323" spans="7:7" ht="10.5" customHeight="1" x14ac:dyDescent="0.2">
      <c r="G38323" s="889"/>
    </row>
    <row r="38324" spans="7:7" ht="10.5" customHeight="1" x14ac:dyDescent="0.2">
      <c r="G38324" s="889"/>
    </row>
    <row r="38325" spans="7:7" ht="10.5" customHeight="1" x14ac:dyDescent="0.2">
      <c r="G38325" s="889"/>
    </row>
    <row r="38326" spans="7:7" ht="10.5" customHeight="1" x14ac:dyDescent="0.2">
      <c r="G38326" s="889"/>
    </row>
    <row r="38327" spans="7:7" ht="10.5" customHeight="1" x14ac:dyDescent="0.2">
      <c r="G38327" s="889"/>
    </row>
    <row r="38328" spans="7:7" ht="10.5" customHeight="1" x14ac:dyDescent="0.2">
      <c r="G38328" s="889"/>
    </row>
    <row r="38329" spans="7:7" ht="10.5" customHeight="1" x14ac:dyDescent="0.2">
      <c r="G38329" s="889"/>
    </row>
    <row r="38330" spans="7:7" ht="10.5" customHeight="1" x14ac:dyDescent="0.2">
      <c r="G38330" s="889"/>
    </row>
    <row r="38331" spans="7:7" ht="10.5" customHeight="1" x14ac:dyDescent="0.2">
      <c r="G38331" s="889"/>
    </row>
    <row r="38332" spans="7:7" ht="10.5" customHeight="1" x14ac:dyDescent="0.2">
      <c r="G38332" s="889"/>
    </row>
    <row r="38333" spans="7:7" ht="10.5" customHeight="1" x14ac:dyDescent="0.2">
      <c r="G38333" s="889"/>
    </row>
    <row r="38334" spans="7:7" ht="10.5" customHeight="1" x14ac:dyDescent="0.2">
      <c r="G38334" s="889"/>
    </row>
    <row r="38335" spans="7:7" ht="10.5" customHeight="1" x14ac:dyDescent="0.2">
      <c r="G38335" s="889"/>
    </row>
    <row r="38336" spans="7:7" ht="10.5" customHeight="1" x14ac:dyDescent="0.2">
      <c r="G38336" s="889"/>
    </row>
    <row r="38337" spans="7:7" ht="10.5" customHeight="1" x14ac:dyDescent="0.2">
      <c r="G38337" s="889"/>
    </row>
    <row r="38338" spans="7:7" ht="10.5" customHeight="1" x14ac:dyDescent="0.2">
      <c r="G38338" s="889"/>
    </row>
    <row r="38339" spans="7:7" ht="10.5" customHeight="1" x14ac:dyDescent="0.2">
      <c r="G38339" s="889"/>
    </row>
    <row r="38340" spans="7:7" ht="10.5" customHeight="1" x14ac:dyDescent="0.2">
      <c r="G38340" s="889"/>
    </row>
    <row r="38341" spans="7:7" ht="10.5" customHeight="1" x14ac:dyDescent="0.2">
      <c r="G38341" s="889"/>
    </row>
    <row r="38342" spans="7:7" ht="10.5" customHeight="1" x14ac:dyDescent="0.2">
      <c r="G38342" s="889"/>
    </row>
    <row r="38343" spans="7:7" ht="10.5" customHeight="1" x14ac:dyDescent="0.2">
      <c r="G38343" s="889"/>
    </row>
    <row r="38344" spans="7:7" ht="10.5" customHeight="1" x14ac:dyDescent="0.2">
      <c r="G38344" s="889"/>
    </row>
    <row r="38345" spans="7:7" ht="10.5" customHeight="1" x14ac:dyDescent="0.2">
      <c r="G38345" s="889"/>
    </row>
    <row r="38346" spans="7:7" ht="10.5" customHeight="1" x14ac:dyDescent="0.2">
      <c r="G38346" s="889"/>
    </row>
    <row r="38347" spans="7:7" ht="10.5" customHeight="1" x14ac:dyDescent="0.2">
      <c r="G38347" s="889"/>
    </row>
    <row r="38348" spans="7:7" ht="10.5" customHeight="1" x14ac:dyDescent="0.2">
      <c r="G38348" s="889"/>
    </row>
    <row r="38349" spans="7:7" ht="10.5" customHeight="1" x14ac:dyDescent="0.2">
      <c r="G38349" s="889"/>
    </row>
    <row r="38350" spans="7:7" ht="10.5" customHeight="1" x14ac:dyDescent="0.2">
      <c r="G38350" s="889"/>
    </row>
    <row r="38351" spans="7:7" ht="10.5" customHeight="1" x14ac:dyDescent="0.2">
      <c r="G38351" s="889"/>
    </row>
    <row r="38352" spans="7:7" ht="10.5" customHeight="1" x14ac:dyDescent="0.2">
      <c r="G38352" s="889"/>
    </row>
    <row r="38353" spans="7:7" ht="10.5" customHeight="1" x14ac:dyDescent="0.2">
      <c r="G38353" s="889"/>
    </row>
    <row r="38354" spans="7:7" ht="10.5" customHeight="1" x14ac:dyDescent="0.2">
      <c r="G38354" s="889"/>
    </row>
    <row r="38355" spans="7:7" ht="10.5" customHeight="1" x14ac:dyDescent="0.2">
      <c r="G38355" s="889"/>
    </row>
    <row r="38356" spans="7:7" ht="10.5" customHeight="1" x14ac:dyDescent="0.2">
      <c r="G38356" s="889"/>
    </row>
    <row r="38357" spans="7:7" ht="10.5" customHeight="1" x14ac:dyDescent="0.2">
      <c r="G38357" s="889"/>
    </row>
    <row r="38358" spans="7:7" ht="10.5" customHeight="1" x14ac:dyDescent="0.2">
      <c r="G38358" s="889"/>
    </row>
    <row r="38359" spans="7:7" ht="10.5" customHeight="1" x14ac:dyDescent="0.2">
      <c r="G38359" s="889"/>
    </row>
    <row r="38360" spans="7:7" ht="10.5" customHeight="1" x14ac:dyDescent="0.2">
      <c r="G38360" s="889"/>
    </row>
    <row r="38361" spans="7:7" ht="10.5" customHeight="1" x14ac:dyDescent="0.2">
      <c r="G38361" s="889"/>
    </row>
    <row r="38362" spans="7:7" ht="10.5" customHeight="1" x14ac:dyDescent="0.2">
      <c r="G38362" s="889"/>
    </row>
    <row r="38363" spans="7:7" ht="10.5" customHeight="1" x14ac:dyDescent="0.2">
      <c r="G38363" s="889"/>
    </row>
    <row r="38364" spans="7:7" ht="10.5" customHeight="1" x14ac:dyDescent="0.2">
      <c r="G38364" s="889"/>
    </row>
    <row r="38365" spans="7:7" ht="10.5" customHeight="1" x14ac:dyDescent="0.2">
      <c r="G38365" s="889"/>
    </row>
    <row r="38366" spans="7:7" ht="10.5" customHeight="1" x14ac:dyDescent="0.2">
      <c r="G38366" s="889"/>
    </row>
    <row r="38367" spans="7:7" ht="10.5" customHeight="1" x14ac:dyDescent="0.2">
      <c r="G38367" s="889"/>
    </row>
    <row r="38368" spans="7:7" ht="10.5" customHeight="1" x14ac:dyDescent="0.2">
      <c r="G38368" s="889"/>
    </row>
    <row r="38369" spans="7:7" ht="10.5" customHeight="1" x14ac:dyDescent="0.2">
      <c r="G38369" s="889"/>
    </row>
    <row r="38370" spans="7:7" ht="10.5" customHeight="1" x14ac:dyDescent="0.2">
      <c r="G38370" s="889"/>
    </row>
    <row r="38371" spans="7:7" ht="10.5" customHeight="1" x14ac:dyDescent="0.2">
      <c r="G38371" s="889"/>
    </row>
    <row r="38372" spans="7:7" ht="10.5" customHeight="1" x14ac:dyDescent="0.2">
      <c r="G38372" s="889"/>
    </row>
    <row r="38373" spans="7:7" ht="10.5" customHeight="1" x14ac:dyDescent="0.2">
      <c r="G38373" s="889"/>
    </row>
    <row r="38374" spans="7:7" ht="10.5" customHeight="1" x14ac:dyDescent="0.2">
      <c r="G38374" s="889"/>
    </row>
    <row r="38375" spans="7:7" ht="10.5" customHeight="1" x14ac:dyDescent="0.2">
      <c r="G38375" s="889"/>
    </row>
    <row r="38376" spans="7:7" ht="10.5" customHeight="1" x14ac:dyDescent="0.2">
      <c r="G38376" s="889"/>
    </row>
    <row r="38377" spans="7:7" ht="10.5" customHeight="1" x14ac:dyDescent="0.2">
      <c r="G38377" s="889"/>
    </row>
    <row r="38378" spans="7:7" ht="10.5" customHeight="1" x14ac:dyDescent="0.2">
      <c r="G38378" s="889"/>
    </row>
    <row r="38379" spans="7:7" ht="10.5" customHeight="1" x14ac:dyDescent="0.2">
      <c r="G38379" s="889"/>
    </row>
    <row r="38380" spans="7:7" ht="10.5" customHeight="1" x14ac:dyDescent="0.2">
      <c r="G38380" s="889"/>
    </row>
    <row r="38381" spans="7:7" ht="10.5" customHeight="1" x14ac:dyDescent="0.2">
      <c r="G38381" s="889"/>
    </row>
    <row r="38382" spans="7:7" ht="10.5" customHeight="1" x14ac:dyDescent="0.2">
      <c r="G38382" s="889"/>
    </row>
    <row r="38383" spans="7:7" ht="10.5" customHeight="1" x14ac:dyDescent="0.2">
      <c r="G38383" s="889"/>
    </row>
    <row r="38384" spans="7:7" ht="10.5" customHeight="1" x14ac:dyDescent="0.2">
      <c r="G38384" s="889"/>
    </row>
    <row r="38385" spans="7:7" ht="10.5" customHeight="1" x14ac:dyDescent="0.2">
      <c r="G38385" s="889"/>
    </row>
    <row r="38386" spans="7:7" ht="10.5" customHeight="1" x14ac:dyDescent="0.2">
      <c r="G38386" s="889"/>
    </row>
    <row r="38387" spans="7:7" ht="10.5" customHeight="1" x14ac:dyDescent="0.2">
      <c r="G38387" s="889"/>
    </row>
    <row r="38388" spans="7:7" ht="10.5" customHeight="1" x14ac:dyDescent="0.2">
      <c r="G38388" s="889"/>
    </row>
    <row r="38389" spans="7:7" ht="10.5" customHeight="1" x14ac:dyDescent="0.2">
      <c r="G38389" s="889"/>
    </row>
    <row r="38390" spans="7:7" ht="10.5" customHeight="1" x14ac:dyDescent="0.2">
      <c r="G38390" s="889"/>
    </row>
    <row r="38391" spans="7:7" ht="10.5" customHeight="1" x14ac:dyDescent="0.2">
      <c r="G38391" s="889"/>
    </row>
    <row r="38392" spans="7:7" ht="10.5" customHeight="1" x14ac:dyDescent="0.2">
      <c r="G38392" s="889"/>
    </row>
    <row r="38393" spans="7:7" ht="10.5" customHeight="1" x14ac:dyDescent="0.2">
      <c r="G38393" s="889"/>
    </row>
    <row r="38394" spans="7:7" ht="10.5" customHeight="1" x14ac:dyDescent="0.2">
      <c r="G38394" s="889"/>
    </row>
    <row r="38395" spans="7:7" ht="10.5" customHeight="1" x14ac:dyDescent="0.2">
      <c r="G38395" s="889"/>
    </row>
    <row r="38396" spans="7:7" ht="10.5" customHeight="1" x14ac:dyDescent="0.2">
      <c r="G38396" s="889"/>
    </row>
    <row r="38397" spans="7:7" ht="10.5" customHeight="1" x14ac:dyDescent="0.2">
      <c r="G38397" s="889"/>
    </row>
    <row r="38398" spans="7:7" ht="10.5" customHeight="1" x14ac:dyDescent="0.2">
      <c r="G38398" s="889"/>
    </row>
    <row r="38399" spans="7:7" ht="10.5" customHeight="1" x14ac:dyDescent="0.2">
      <c r="G38399" s="889"/>
    </row>
    <row r="38400" spans="7:7" ht="10.5" customHeight="1" x14ac:dyDescent="0.2">
      <c r="G38400" s="889"/>
    </row>
    <row r="38401" spans="7:7" ht="10.5" customHeight="1" x14ac:dyDescent="0.2">
      <c r="G38401" s="889"/>
    </row>
    <row r="38402" spans="7:7" ht="10.5" customHeight="1" x14ac:dyDescent="0.2">
      <c r="G38402" s="889"/>
    </row>
    <row r="38403" spans="7:7" ht="10.5" customHeight="1" x14ac:dyDescent="0.2">
      <c r="G38403" s="889"/>
    </row>
    <row r="38404" spans="7:7" ht="10.5" customHeight="1" x14ac:dyDescent="0.2">
      <c r="G38404" s="889"/>
    </row>
    <row r="38405" spans="7:7" ht="10.5" customHeight="1" x14ac:dyDescent="0.2">
      <c r="G38405" s="889"/>
    </row>
    <row r="38406" spans="7:7" ht="10.5" customHeight="1" x14ac:dyDescent="0.2">
      <c r="G38406" s="889"/>
    </row>
    <row r="38407" spans="7:7" ht="10.5" customHeight="1" x14ac:dyDescent="0.2">
      <c r="G38407" s="889"/>
    </row>
    <row r="38408" spans="7:7" ht="10.5" customHeight="1" x14ac:dyDescent="0.2">
      <c r="G38408" s="889"/>
    </row>
    <row r="38409" spans="7:7" ht="10.5" customHeight="1" x14ac:dyDescent="0.2">
      <c r="G38409" s="889"/>
    </row>
    <row r="38410" spans="7:7" ht="10.5" customHeight="1" x14ac:dyDescent="0.2">
      <c r="G38410" s="889"/>
    </row>
    <row r="38411" spans="7:7" ht="10.5" customHeight="1" x14ac:dyDescent="0.2">
      <c r="G38411" s="889"/>
    </row>
    <row r="38412" spans="7:7" ht="10.5" customHeight="1" x14ac:dyDescent="0.2">
      <c r="G38412" s="889"/>
    </row>
    <row r="38413" spans="7:7" ht="10.5" customHeight="1" x14ac:dyDescent="0.2">
      <c r="G38413" s="889"/>
    </row>
    <row r="38414" spans="7:7" ht="10.5" customHeight="1" x14ac:dyDescent="0.2">
      <c r="G38414" s="889"/>
    </row>
    <row r="38415" spans="7:7" ht="10.5" customHeight="1" x14ac:dyDescent="0.2">
      <c r="G38415" s="889"/>
    </row>
    <row r="38416" spans="7:7" ht="10.5" customHeight="1" x14ac:dyDescent="0.2">
      <c r="G38416" s="889"/>
    </row>
    <row r="38417" spans="7:7" ht="10.5" customHeight="1" x14ac:dyDescent="0.2">
      <c r="G38417" s="889"/>
    </row>
    <row r="38418" spans="7:7" ht="10.5" customHeight="1" x14ac:dyDescent="0.2">
      <c r="G38418" s="889"/>
    </row>
    <row r="38419" spans="7:7" ht="10.5" customHeight="1" x14ac:dyDescent="0.2">
      <c r="G38419" s="889"/>
    </row>
    <row r="38420" spans="7:7" ht="10.5" customHeight="1" x14ac:dyDescent="0.2">
      <c r="G38420" s="889"/>
    </row>
    <row r="38421" spans="7:7" ht="10.5" customHeight="1" x14ac:dyDescent="0.2">
      <c r="G38421" s="889"/>
    </row>
    <row r="38422" spans="7:7" ht="10.5" customHeight="1" x14ac:dyDescent="0.2">
      <c r="G38422" s="889"/>
    </row>
    <row r="38423" spans="7:7" ht="10.5" customHeight="1" x14ac:dyDescent="0.2">
      <c r="G38423" s="889"/>
    </row>
    <row r="38424" spans="7:7" ht="10.5" customHeight="1" x14ac:dyDescent="0.2">
      <c r="G38424" s="889"/>
    </row>
    <row r="38425" spans="7:7" ht="10.5" customHeight="1" x14ac:dyDescent="0.2">
      <c r="G38425" s="889"/>
    </row>
    <row r="38426" spans="7:7" ht="10.5" customHeight="1" x14ac:dyDescent="0.2">
      <c r="G38426" s="889"/>
    </row>
    <row r="38427" spans="7:7" ht="10.5" customHeight="1" x14ac:dyDescent="0.2">
      <c r="G38427" s="889"/>
    </row>
    <row r="38428" spans="7:7" ht="10.5" customHeight="1" x14ac:dyDescent="0.2">
      <c r="G38428" s="889"/>
    </row>
    <row r="38429" spans="7:7" ht="10.5" customHeight="1" x14ac:dyDescent="0.2">
      <c r="G38429" s="889"/>
    </row>
    <row r="38430" spans="7:7" ht="10.5" customHeight="1" x14ac:dyDescent="0.2">
      <c r="G38430" s="889"/>
    </row>
    <row r="38431" spans="7:7" ht="10.5" customHeight="1" x14ac:dyDescent="0.2">
      <c r="G38431" s="889"/>
    </row>
    <row r="38432" spans="7:7" ht="10.5" customHeight="1" x14ac:dyDescent="0.2">
      <c r="G38432" s="889"/>
    </row>
    <row r="38433" spans="7:7" ht="10.5" customHeight="1" x14ac:dyDescent="0.2">
      <c r="G38433" s="889"/>
    </row>
    <row r="38434" spans="7:7" ht="10.5" customHeight="1" x14ac:dyDescent="0.2">
      <c r="G38434" s="889"/>
    </row>
    <row r="38435" spans="7:7" ht="10.5" customHeight="1" x14ac:dyDescent="0.2">
      <c r="G38435" s="889"/>
    </row>
    <row r="38436" spans="7:7" ht="10.5" customHeight="1" x14ac:dyDescent="0.2">
      <c r="G38436" s="889"/>
    </row>
    <row r="38437" spans="7:7" ht="10.5" customHeight="1" x14ac:dyDescent="0.2">
      <c r="G38437" s="889"/>
    </row>
    <row r="38438" spans="7:7" ht="10.5" customHeight="1" x14ac:dyDescent="0.2">
      <c r="G38438" s="889"/>
    </row>
    <row r="38439" spans="7:7" ht="10.5" customHeight="1" x14ac:dyDescent="0.2">
      <c r="G38439" s="889"/>
    </row>
    <row r="38440" spans="7:7" ht="10.5" customHeight="1" x14ac:dyDescent="0.2">
      <c r="G38440" s="889"/>
    </row>
    <row r="38441" spans="7:7" ht="10.5" customHeight="1" x14ac:dyDescent="0.2">
      <c r="G38441" s="889"/>
    </row>
    <row r="38442" spans="7:7" ht="10.5" customHeight="1" x14ac:dyDescent="0.2">
      <c r="G38442" s="889"/>
    </row>
    <row r="38443" spans="7:7" ht="10.5" customHeight="1" x14ac:dyDescent="0.2">
      <c r="G38443" s="889"/>
    </row>
    <row r="38444" spans="7:7" ht="10.5" customHeight="1" x14ac:dyDescent="0.2">
      <c r="G38444" s="889"/>
    </row>
    <row r="38445" spans="7:7" ht="10.5" customHeight="1" x14ac:dyDescent="0.2">
      <c r="G38445" s="889"/>
    </row>
    <row r="38446" spans="7:7" ht="10.5" customHeight="1" x14ac:dyDescent="0.2">
      <c r="G38446" s="889"/>
    </row>
    <row r="38447" spans="7:7" ht="10.5" customHeight="1" x14ac:dyDescent="0.2">
      <c r="G38447" s="889"/>
    </row>
    <row r="38448" spans="7:7" ht="10.5" customHeight="1" x14ac:dyDescent="0.2">
      <c r="G38448" s="889"/>
    </row>
    <row r="38449" spans="7:7" ht="10.5" customHeight="1" x14ac:dyDescent="0.2">
      <c r="G38449" s="889"/>
    </row>
    <row r="38450" spans="7:7" ht="10.5" customHeight="1" x14ac:dyDescent="0.2">
      <c r="G38450" s="889"/>
    </row>
    <row r="38451" spans="7:7" ht="10.5" customHeight="1" x14ac:dyDescent="0.2">
      <c r="G38451" s="889"/>
    </row>
    <row r="38452" spans="7:7" ht="10.5" customHeight="1" x14ac:dyDescent="0.2">
      <c r="G38452" s="889"/>
    </row>
    <row r="38453" spans="7:7" ht="10.5" customHeight="1" x14ac:dyDescent="0.2">
      <c r="G38453" s="889"/>
    </row>
    <row r="38454" spans="7:7" ht="10.5" customHeight="1" x14ac:dyDescent="0.2">
      <c r="G38454" s="889"/>
    </row>
    <row r="38455" spans="7:7" ht="10.5" customHeight="1" x14ac:dyDescent="0.2">
      <c r="G38455" s="889"/>
    </row>
    <row r="38456" spans="7:7" ht="10.5" customHeight="1" x14ac:dyDescent="0.2">
      <c r="G38456" s="889"/>
    </row>
    <row r="38457" spans="7:7" ht="10.5" customHeight="1" x14ac:dyDescent="0.2">
      <c r="G38457" s="889"/>
    </row>
    <row r="38458" spans="7:7" ht="10.5" customHeight="1" x14ac:dyDescent="0.2">
      <c r="G38458" s="889"/>
    </row>
    <row r="38459" spans="7:7" ht="10.5" customHeight="1" x14ac:dyDescent="0.2">
      <c r="G38459" s="889"/>
    </row>
    <row r="38460" spans="7:7" ht="10.5" customHeight="1" x14ac:dyDescent="0.2">
      <c r="G38460" s="889"/>
    </row>
    <row r="38461" spans="7:7" ht="10.5" customHeight="1" x14ac:dyDescent="0.2">
      <c r="G38461" s="889"/>
    </row>
    <row r="38462" spans="7:7" ht="10.5" customHeight="1" x14ac:dyDescent="0.2">
      <c r="G38462" s="889"/>
    </row>
    <row r="38463" spans="7:7" ht="10.5" customHeight="1" x14ac:dyDescent="0.2">
      <c r="G38463" s="889"/>
    </row>
    <row r="38464" spans="7:7" ht="10.5" customHeight="1" x14ac:dyDescent="0.2">
      <c r="G38464" s="889"/>
    </row>
    <row r="38465" spans="7:7" ht="10.5" customHeight="1" x14ac:dyDescent="0.2">
      <c r="G38465" s="889"/>
    </row>
    <row r="38466" spans="7:7" ht="10.5" customHeight="1" x14ac:dyDescent="0.2">
      <c r="G38466" s="889"/>
    </row>
    <row r="38467" spans="7:7" ht="10.5" customHeight="1" x14ac:dyDescent="0.2">
      <c r="G38467" s="889"/>
    </row>
    <row r="38468" spans="7:7" ht="10.5" customHeight="1" x14ac:dyDescent="0.2">
      <c r="G38468" s="889"/>
    </row>
    <row r="38469" spans="7:7" ht="10.5" customHeight="1" x14ac:dyDescent="0.2">
      <c r="G38469" s="889"/>
    </row>
    <row r="38470" spans="7:7" ht="10.5" customHeight="1" x14ac:dyDescent="0.2">
      <c r="G38470" s="889"/>
    </row>
    <row r="38471" spans="7:7" ht="10.5" customHeight="1" x14ac:dyDescent="0.2">
      <c r="G38471" s="889"/>
    </row>
    <row r="38472" spans="7:7" ht="10.5" customHeight="1" x14ac:dyDescent="0.2">
      <c r="G38472" s="889"/>
    </row>
    <row r="38473" spans="7:7" ht="10.5" customHeight="1" x14ac:dyDescent="0.2">
      <c r="G38473" s="889"/>
    </row>
    <row r="38474" spans="7:7" ht="10.5" customHeight="1" x14ac:dyDescent="0.2">
      <c r="G38474" s="889"/>
    </row>
    <row r="38475" spans="7:7" ht="10.5" customHeight="1" x14ac:dyDescent="0.2">
      <c r="G38475" s="889"/>
    </row>
    <row r="38476" spans="7:7" ht="10.5" customHeight="1" x14ac:dyDescent="0.2">
      <c r="G38476" s="889"/>
    </row>
    <row r="38477" spans="7:7" ht="10.5" customHeight="1" x14ac:dyDescent="0.2">
      <c r="G38477" s="889"/>
    </row>
    <row r="38478" spans="7:7" ht="10.5" customHeight="1" x14ac:dyDescent="0.2">
      <c r="G38478" s="889"/>
    </row>
    <row r="38479" spans="7:7" ht="10.5" customHeight="1" x14ac:dyDescent="0.2">
      <c r="G38479" s="889"/>
    </row>
    <row r="38480" spans="7:7" ht="10.5" customHeight="1" x14ac:dyDescent="0.2">
      <c r="G38480" s="889"/>
    </row>
    <row r="38481" spans="7:7" ht="10.5" customHeight="1" x14ac:dyDescent="0.2">
      <c r="G38481" s="889"/>
    </row>
    <row r="38482" spans="7:7" ht="10.5" customHeight="1" x14ac:dyDescent="0.2">
      <c r="G38482" s="889"/>
    </row>
    <row r="38483" spans="7:7" ht="10.5" customHeight="1" x14ac:dyDescent="0.2">
      <c r="G38483" s="889"/>
    </row>
    <row r="38484" spans="7:7" ht="10.5" customHeight="1" x14ac:dyDescent="0.2">
      <c r="G38484" s="889"/>
    </row>
    <row r="38485" spans="7:7" ht="10.5" customHeight="1" x14ac:dyDescent="0.2">
      <c r="G38485" s="889"/>
    </row>
    <row r="38486" spans="7:7" ht="10.5" customHeight="1" x14ac:dyDescent="0.2">
      <c r="G38486" s="889"/>
    </row>
    <row r="38487" spans="7:7" ht="10.5" customHeight="1" x14ac:dyDescent="0.2">
      <c r="G38487" s="889"/>
    </row>
    <row r="38488" spans="7:7" ht="10.5" customHeight="1" x14ac:dyDescent="0.2">
      <c r="G38488" s="889"/>
    </row>
    <row r="38489" spans="7:7" ht="10.5" customHeight="1" x14ac:dyDescent="0.2">
      <c r="G38489" s="889"/>
    </row>
    <row r="38490" spans="7:7" ht="10.5" customHeight="1" x14ac:dyDescent="0.2">
      <c r="G38490" s="889"/>
    </row>
    <row r="38491" spans="7:7" ht="10.5" customHeight="1" x14ac:dyDescent="0.2">
      <c r="G38491" s="889"/>
    </row>
    <row r="38492" spans="7:7" ht="10.5" customHeight="1" x14ac:dyDescent="0.2">
      <c r="G38492" s="889"/>
    </row>
    <row r="38493" spans="7:7" ht="10.5" customHeight="1" x14ac:dyDescent="0.2">
      <c r="G38493" s="889"/>
    </row>
    <row r="38494" spans="7:7" ht="10.5" customHeight="1" x14ac:dyDescent="0.2">
      <c r="G38494" s="889"/>
    </row>
    <row r="38495" spans="7:7" ht="10.5" customHeight="1" x14ac:dyDescent="0.2">
      <c r="G38495" s="889"/>
    </row>
    <row r="38496" spans="7:7" ht="10.5" customHeight="1" x14ac:dyDescent="0.2">
      <c r="G38496" s="889"/>
    </row>
    <row r="38497" spans="7:7" ht="10.5" customHeight="1" x14ac:dyDescent="0.2">
      <c r="G38497" s="889"/>
    </row>
    <row r="38498" spans="7:7" ht="10.5" customHeight="1" x14ac:dyDescent="0.2">
      <c r="G38498" s="889"/>
    </row>
    <row r="38499" spans="7:7" ht="10.5" customHeight="1" x14ac:dyDescent="0.2">
      <c r="G38499" s="889"/>
    </row>
    <row r="38500" spans="7:7" ht="10.5" customHeight="1" x14ac:dyDescent="0.2">
      <c r="G38500" s="889"/>
    </row>
    <row r="38501" spans="7:7" ht="10.5" customHeight="1" x14ac:dyDescent="0.2">
      <c r="G38501" s="889"/>
    </row>
    <row r="38502" spans="7:7" ht="10.5" customHeight="1" x14ac:dyDescent="0.2">
      <c r="G38502" s="889"/>
    </row>
    <row r="38503" spans="7:7" ht="10.5" customHeight="1" x14ac:dyDescent="0.2">
      <c r="G38503" s="889"/>
    </row>
    <row r="38504" spans="7:7" ht="10.5" customHeight="1" x14ac:dyDescent="0.2">
      <c r="G38504" s="889"/>
    </row>
    <row r="38505" spans="7:7" ht="10.5" customHeight="1" x14ac:dyDescent="0.2">
      <c r="G38505" s="889"/>
    </row>
    <row r="38506" spans="7:7" ht="10.5" customHeight="1" x14ac:dyDescent="0.2">
      <c r="G38506" s="889"/>
    </row>
    <row r="38507" spans="7:7" ht="10.5" customHeight="1" x14ac:dyDescent="0.2">
      <c r="G38507" s="889"/>
    </row>
    <row r="38508" spans="7:7" ht="10.5" customHeight="1" x14ac:dyDescent="0.2">
      <c r="G38508" s="889"/>
    </row>
    <row r="38509" spans="7:7" ht="10.5" customHeight="1" x14ac:dyDescent="0.2">
      <c r="G38509" s="889"/>
    </row>
    <row r="38510" spans="7:7" ht="10.5" customHeight="1" x14ac:dyDescent="0.2">
      <c r="G38510" s="889"/>
    </row>
    <row r="38511" spans="7:7" ht="10.5" customHeight="1" x14ac:dyDescent="0.2">
      <c r="G38511" s="889"/>
    </row>
    <row r="38512" spans="7:7" ht="10.5" customHeight="1" x14ac:dyDescent="0.2">
      <c r="G38512" s="889"/>
    </row>
    <row r="38513" spans="7:7" ht="10.5" customHeight="1" x14ac:dyDescent="0.2">
      <c r="G38513" s="889"/>
    </row>
    <row r="38514" spans="7:7" ht="10.5" customHeight="1" x14ac:dyDescent="0.2">
      <c r="G38514" s="889"/>
    </row>
    <row r="38515" spans="7:7" ht="10.5" customHeight="1" x14ac:dyDescent="0.2">
      <c r="G38515" s="889"/>
    </row>
    <row r="38516" spans="7:7" ht="10.5" customHeight="1" x14ac:dyDescent="0.2">
      <c r="G38516" s="889"/>
    </row>
    <row r="38517" spans="7:7" ht="10.5" customHeight="1" x14ac:dyDescent="0.2">
      <c r="G38517" s="889"/>
    </row>
    <row r="38518" spans="7:7" ht="10.5" customHeight="1" x14ac:dyDescent="0.2">
      <c r="G38518" s="889"/>
    </row>
    <row r="38519" spans="7:7" ht="10.5" customHeight="1" x14ac:dyDescent="0.2">
      <c r="G38519" s="889"/>
    </row>
    <row r="38520" spans="7:7" ht="10.5" customHeight="1" x14ac:dyDescent="0.2">
      <c r="G38520" s="889"/>
    </row>
    <row r="38521" spans="7:7" ht="10.5" customHeight="1" x14ac:dyDescent="0.2">
      <c r="G38521" s="889"/>
    </row>
    <row r="38522" spans="7:7" ht="10.5" customHeight="1" x14ac:dyDescent="0.2">
      <c r="G38522" s="889"/>
    </row>
    <row r="38523" spans="7:7" ht="10.5" customHeight="1" x14ac:dyDescent="0.2">
      <c r="G38523" s="889"/>
    </row>
    <row r="38524" spans="7:7" ht="10.5" customHeight="1" x14ac:dyDescent="0.2">
      <c r="G38524" s="889"/>
    </row>
    <row r="38525" spans="7:7" ht="10.5" customHeight="1" x14ac:dyDescent="0.2">
      <c r="G38525" s="889"/>
    </row>
    <row r="38526" spans="7:7" ht="10.5" customHeight="1" x14ac:dyDescent="0.2">
      <c r="G38526" s="889"/>
    </row>
    <row r="38527" spans="7:7" ht="10.5" customHeight="1" x14ac:dyDescent="0.2">
      <c r="G38527" s="889"/>
    </row>
    <row r="38528" spans="7:7" ht="10.5" customHeight="1" x14ac:dyDescent="0.2">
      <c r="G38528" s="889"/>
    </row>
    <row r="38529" spans="7:7" ht="10.5" customHeight="1" x14ac:dyDescent="0.2">
      <c r="G38529" s="889"/>
    </row>
    <row r="38530" spans="7:7" ht="10.5" customHeight="1" x14ac:dyDescent="0.2">
      <c r="G38530" s="889"/>
    </row>
    <row r="38531" spans="7:7" ht="10.5" customHeight="1" x14ac:dyDescent="0.2">
      <c r="G38531" s="889"/>
    </row>
    <row r="38532" spans="7:7" ht="10.5" customHeight="1" x14ac:dyDescent="0.2">
      <c r="G38532" s="889"/>
    </row>
    <row r="38533" spans="7:7" ht="10.5" customHeight="1" x14ac:dyDescent="0.2">
      <c r="G38533" s="889"/>
    </row>
    <row r="38534" spans="7:7" ht="10.5" customHeight="1" x14ac:dyDescent="0.2">
      <c r="G38534" s="889"/>
    </row>
    <row r="38535" spans="7:7" ht="10.5" customHeight="1" x14ac:dyDescent="0.2">
      <c r="G38535" s="889"/>
    </row>
    <row r="38536" spans="7:7" ht="10.5" customHeight="1" x14ac:dyDescent="0.2">
      <c r="G38536" s="889"/>
    </row>
    <row r="38537" spans="7:7" ht="10.5" customHeight="1" x14ac:dyDescent="0.2">
      <c r="G38537" s="889"/>
    </row>
    <row r="38538" spans="7:7" ht="10.5" customHeight="1" x14ac:dyDescent="0.2">
      <c r="G38538" s="889"/>
    </row>
    <row r="38539" spans="7:7" ht="10.5" customHeight="1" x14ac:dyDescent="0.2">
      <c r="G38539" s="889"/>
    </row>
    <row r="38540" spans="7:7" ht="10.5" customHeight="1" x14ac:dyDescent="0.2">
      <c r="G38540" s="889"/>
    </row>
    <row r="38541" spans="7:7" ht="10.5" customHeight="1" x14ac:dyDescent="0.2">
      <c r="G38541" s="889"/>
    </row>
    <row r="38542" spans="7:7" ht="10.5" customHeight="1" x14ac:dyDescent="0.2">
      <c r="G38542" s="889"/>
    </row>
    <row r="38543" spans="7:7" ht="10.5" customHeight="1" x14ac:dyDescent="0.2">
      <c r="G38543" s="889"/>
    </row>
    <row r="38544" spans="7:7" ht="10.5" customHeight="1" x14ac:dyDescent="0.2">
      <c r="G38544" s="889"/>
    </row>
    <row r="38545" spans="7:7" ht="10.5" customHeight="1" x14ac:dyDescent="0.2">
      <c r="G38545" s="889"/>
    </row>
    <row r="38546" spans="7:7" ht="10.5" customHeight="1" x14ac:dyDescent="0.2">
      <c r="G38546" s="889"/>
    </row>
    <row r="38547" spans="7:7" ht="10.5" customHeight="1" x14ac:dyDescent="0.2">
      <c r="G38547" s="889"/>
    </row>
    <row r="38548" spans="7:7" ht="10.5" customHeight="1" x14ac:dyDescent="0.2">
      <c r="G38548" s="889"/>
    </row>
    <row r="38549" spans="7:7" ht="10.5" customHeight="1" x14ac:dyDescent="0.2">
      <c r="G38549" s="889"/>
    </row>
    <row r="38550" spans="7:7" ht="10.5" customHeight="1" x14ac:dyDescent="0.2">
      <c r="G38550" s="889"/>
    </row>
    <row r="38551" spans="7:7" ht="10.5" customHeight="1" x14ac:dyDescent="0.2">
      <c r="G38551" s="889"/>
    </row>
    <row r="38552" spans="7:7" ht="10.5" customHeight="1" x14ac:dyDescent="0.2">
      <c r="G38552" s="889"/>
    </row>
    <row r="38553" spans="7:7" ht="10.5" customHeight="1" x14ac:dyDescent="0.2">
      <c r="G38553" s="889"/>
    </row>
    <row r="38554" spans="7:7" ht="10.5" customHeight="1" x14ac:dyDescent="0.2">
      <c r="G38554" s="889"/>
    </row>
    <row r="38555" spans="7:7" ht="10.5" customHeight="1" x14ac:dyDescent="0.2">
      <c r="G38555" s="889"/>
    </row>
    <row r="38556" spans="7:7" ht="10.5" customHeight="1" x14ac:dyDescent="0.2">
      <c r="G38556" s="889"/>
    </row>
    <row r="38557" spans="7:7" ht="10.5" customHeight="1" x14ac:dyDescent="0.2">
      <c r="G38557" s="889"/>
    </row>
    <row r="38558" spans="7:7" ht="10.5" customHeight="1" x14ac:dyDescent="0.2">
      <c r="G38558" s="889"/>
    </row>
    <row r="38559" spans="7:7" ht="10.5" customHeight="1" x14ac:dyDescent="0.2">
      <c r="G38559" s="889"/>
    </row>
    <row r="38560" spans="7:7" ht="10.5" customHeight="1" x14ac:dyDescent="0.2">
      <c r="G38560" s="889"/>
    </row>
    <row r="38561" spans="7:7" ht="10.5" customHeight="1" x14ac:dyDescent="0.2">
      <c r="G38561" s="889"/>
    </row>
    <row r="38562" spans="7:7" ht="10.5" customHeight="1" x14ac:dyDescent="0.2">
      <c r="G38562" s="889"/>
    </row>
    <row r="38563" spans="7:7" ht="10.5" customHeight="1" x14ac:dyDescent="0.2">
      <c r="G38563" s="889"/>
    </row>
    <row r="38564" spans="7:7" ht="10.5" customHeight="1" x14ac:dyDescent="0.2">
      <c r="G38564" s="889"/>
    </row>
    <row r="38565" spans="7:7" ht="10.5" customHeight="1" x14ac:dyDescent="0.2">
      <c r="G38565" s="889"/>
    </row>
    <row r="38566" spans="7:7" ht="10.5" customHeight="1" x14ac:dyDescent="0.2">
      <c r="G38566" s="889"/>
    </row>
    <row r="38567" spans="7:7" ht="10.5" customHeight="1" x14ac:dyDescent="0.2">
      <c r="G38567" s="889"/>
    </row>
    <row r="38568" spans="7:7" ht="10.5" customHeight="1" x14ac:dyDescent="0.2">
      <c r="G38568" s="889"/>
    </row>
    <row r="38569" spans="7:7" ht="10.5" customHeight="1" x14ac:dyDescent="0.2">
      <c r="G38569" s="889"/>
    </row>
    <row r="38570" spans="7:7" ht="10.5" customHeight="1" x14ac:dyDescent="0.2">
      <c r="G38570" s="889"/>
    </row>
    <row r="38571" spans="7:7" ht="10.5" customHeight="1" x14ac:dyDescent="0.2">
      <c r="G38571" s="889"/>
    </row>
    <row r="38572" spans="7:7" ht="10.5" customHeight="1" x14ac:dyDescent="0.2">
      <c r="G38572" s="889"/>
    </row>
    <row r="38573" spans="7:7" ht="10.5" customHeight="1" x14ac:dyDescent="0.2">
      <c r="G38573" s="889"/>
    </row>
    <row r="38574" spans="7:7" ht="10.5" customHeight="1" x14ac:dyDescent="0.2">
      <c r="G38574" s="889"/>
    </row>
    <row r="38575" spans="7:7" ht="10.5" customHeight="1" x14ac:dyDescent="0.2">
      <c r="G38575" s="889"/>
    </row>
    <row r="38576" spans="7:7" ht="10.5" customHeight="1" x14ac:dyDescent="0.2">
      <c r="G38576" s="889"/>
    </row>
    <row r="38577" spans="7:7" ht="10.5" customHeight="1" x14ac:dyDescent="0.2">
      <c r="G38577" s="889"/>
    </row>
    <row r="38578" spans="7:7" ht="10.5" customHeight="1" x14ac:dyDescent="0.2">
      <c r="G38578" s="889"/>
    </row>
    <row r="38579" spans="7:7" ht="10.5" customHeight="1" x14ac:dyDescent="0.2">
      <c r="G38579" s="889"/>
    </row>
    <row r="38580" spans="7:7" ht="10.5" customHeight="1" x14ac:dyDescent="0.2">
      <c r="G38580" s="889"/>
    </row>
    <row r="38581" spans="7:7" ht="10.5" customHeight="1" x14ac:dyDescent="0.2">
      <c r="G38581" s="889"/>
    </row>
    <row r="38582" spans="7:7" ht="10.5" customHeight="1" x14ac:dyDescent="0.2">
      <c r="G38582" s="889"/>
    </row>
    <row r="38583" spans="7:7" ht="10.5" customHeight="1" x14ac:dyDescent="0.2">
      <c r="G38583" s="889"/>
    </row>
    <row r="38584" spans="7:7" ht="10.5" customHeight="1" x14ac:dyDescent="0.2">
      <c r="G38584" s="889"/>
    </row>
    <row r="38585" spans="7:7" ht="10.5" customHeight="1" x14ac:dyDescent="0.2">
      <c r="G38585" s="889"/>
    </row>
    <row r="38586" spans="7:7" ht="10.5" customHeight="1" x14ac:dyDescent="0.2">
      <c r="G38586" s="889"/>
    </row>
    <row r="38587" spans="7:7" ht="10.5" customHeight="1" x14ac:dyDescent="0.2">
      <c r="G38587" s="889"/>
    </row>
    <row r="38588" spans="7:7" ht="10.5" customHeight="1" x14ac:dyDescent="0.2">
      <c r="G38588" s="889"/>
    </row>
    <row r="38589" spans="7:7" ht="10.5" customHeight="1" x14ac:dyDescent="0.2">
      <c r="G38589" s="889"/>
    </row>
    <row r="38590" spans="7:7" ht="10.5" customHeight="1" x14ac:dyDescent="0.2">
      <c r="G38590" s="889"/>
    </row>
    <row r="38591" spans="7:7" ht="10.5" customHeight="1" x14ac:dyDescent="0.2">
      <c r="G38591" s="889"/>
    </row>
    <row r="38592" spans="7:7" ht="10.5" customHeight="1" x14ac:dyDescent="0.2">
      <c r="G38592" s="889"/>
    </row>
    <row r="38593" spans="7:7" ht="10.5" customHeight="1" x14ac:dyDescent="0.2">
      <c r="G38593" s="889"/>
    </row>
    <row r="38594" spans="7:7" ht="10.5" customHeight="1" x14ac:dyDescent="0.2">
      <c r="G38594" s="889"/>
    </row>
    <row r="38595" spans="7:7" ht="10.5" customHeight="1" x14ac:dyDescent="0.2">
      <c r="G38595" s="889"/>
    </row>
    <row r="38596" spans="7:7" ht="10.5" customHeight="1" x14ac:dyDescent="0.2">
      <c r="G38596" s="889"/>
    </row>
    <row r="38597" spans="7:7" ht="10.5" customHeight="1" x14ac:dyDescent="0.2">
      <c r="G38597" s="889"/>
    </row>
    <row r="38598" spans="7:7" ht="10.5" customHeight="1" x14ac:dyDescent="0.2">
      <c r="G38598" s="889"/>
    </row>
    <row r="38599" spans="7:7" ht="10.5" customHeight="1" x14ac:dyDescent="0.2">
      <c r="G38599" s="889"/>
    </row>
    <row r="38600" spans="7:7" ht="10.5" customHeight="1" x14ac:dyDescent="0.2">
      <c r="G38600" s="889"/>
    </row>
    <row r="38601" spans="7:7" ht="10.5" customHeight="1" x14ac:dyDescent="0.2">
      <c r="G38601" s="889"/>
    </row>
    <row r="38602" spans="7:7" ht="10.5" customHeight="1" x14ac:dyDescent="0.2">
      <c r="G38602" s="889"/>
    </row>
    <row r="38603" spans="7:7" ht="10.5" customHeight="1" x14ac:dyDescent="0.2">
      <c r="G38603" s="889"/>
    </row>
    <row r="38604" spans="7:7" ht="10.5" customHeight="1" x14ac:dyDescent="0.2">
      <c r="G38604" s="889"/>
    </row>
    <row r="38605" spans="7:7" ht="10.5" customHeight="1" x14ac:dyDescent="0.2">
      <c r="G38605" s="889"/>
    </row>
    <row r="38606" spans="7:7" ht="10.5" customHeight="1" x14ac:dyDescent="0.2">
      <c r="G38606" s="889"/>
    </row>
    <row r="38607" spans="7:7" ht="10.5" customHeight="1" x14ac:dyDescent="0.2">
      <c r="G38607" s="889"/>
    </row>
    <row r="38608" spans="7:7" ht="10.5" customHeight="1" x14ac:dyDescent="0.2">
      <c r="G38608" s="889"/>
    </row>
    <row r="38609" spans="7:7" ht="10.5" customHeight="1" x14ac:dyDescent="0.2">
      <c r="G38609" s="889"/>
    </row>
    <row r="38610" spans="7:7" ht="10.5" customHeight="1" x14ac:dyDescent="0.2">
      <c r="G38610" s="889"/>
    </row>
    <row r="38611" spans="7:7" ht="10.5" customHeight="1" x14ac:dyDescent="0.2">
      <c r="G38611" s="889"/>
    </row>
    <row r="38612" spans="7:7" ht="10.5" customHeight="1" x14ac:dyDescent="0.2">
      <c r="G38612" s="889"/>
    </row>
    <row r="38613" spans="7:7" ht="10.5" customHeight="1" x14ac:dyDescent="0.2">
      <c r="G38613" s="889"/>
    </row>
    <row r="38614" spans="7:7" ht="10.5" customHeight="1" x14ac:dyDescent="0.2">
      <c r="G38614" s="889"/>
    </row>
    <row r="38615" spans="7:7" ht="10.5" customHeight="1" x14ac:dyDescent="0.2">
      <c r="G38615" s="889"/>
    </row>
    <row r="38616" spans="7:7" ht="10.5" customHeight="1" x14ac:dyDescent="0.2">
      <c r="G38616" s="889"/>
    </row>
    <row r="38617" spans="7:7" ht="10.5" customHeight="1" x14ac:dyDescent="0.2">
      <c r="G38617" s="889"/>
    </row>
    <row r="38618" spans="7:7" ht="10.5" customHeight="1" x14ac:dyDescent="0.2">
      <c r="G38618" s="889"/>
    </row>
    <row r="38619" spans="7:7" ht="10.5" customHeight="1" x14ac:dyDescent="0.2">
      <c r="G38619" s="889"/>
    </row>
    <row r="38620" spans="7:7" ht="10.5" customHeight="1" x14ac:dyDescent="0.2">
      <c r="G38620" s="889"/>
    </row>
    <row r="38621" spans="7:7" ht="10.5" customHeight="1" x14ac:dyDescent="0.2">
      <c r="G38621" s="889"/>
    </row>
    <row r="38622" spans="7:7" ht="10.5" customHeight="1" x14ac:dyDescent="0.2">
      <c r="G38622" s="889"/>
    </row>
    <row r="38623" spans="7:7" ht="10.5" customHeight="1" x14ac:dyDescent="0.2">
      <c r="G38623" s="889"/>
    </row>
    <row r="38624" spans="7:7" ht="10.5" customHeight="1" x14ac:dyDescent="0.2">
      <c r="G38624" s="889"/>
    </row>
    <row r="38625" spans="7:7" ht="10.5" customHeight="1" x14ac:dyDescent="0.2">
      <c r="G38625" s="889"/>
    </row>
    <row r="38626" spans="7:7" ht="10.5" customHeight="1" x14ac:dyDescent="0.2">
      <c r="G38626" s="889"/>
    </row>
    <row r="38627" spans="7:7" ht="10.5" customHeight="1" x14ac:dyDescent="0.2">
      <c r="G38627" s="889"/>
    </row>
    <row r="38628" spans="7:7" ht="10.5" customHeight="1" x14ac:dyDescent="0.2">
      <c r="G38628" s="889"/>
    </row>
    <row r="38629" spans="7:7" ht="10.5" customHeight="1" x14ac:dyDescent="0.2">
      <c r="G38629" s="889"/>
    </row>
    <row r="38630" spans="7:7" ht="10.5" customHeight="1" x14ac:dyDescent="0.2">
      <c r="G38630" s="889"/>
    </row>
    <row r="38631" spans="7:7" ht="10.5" customHeight="1" x14ac:dyDescent="0.2">
      <c r="G38631" s="889"/>
    </row>
    <row r="38632" spans="7:7" ht="10.5" customHeight="1" x14ac:dyDescent="0.2">
      <c r="G38632" s="889"/>
    </row>
    <row r="38633" spans="7:7" ht="10.5" customHeight="1" x14ac:dyDescent="0.2">
      <c r="G38633" s="889"/>
    </row>
    <row r="38634" spans="7:7" ht="10.5" customHeight="1" x14ac:dyDescent="0.2">
      <c r="G38634" s="889"/>
    </row>
    <row r="38635" spans="7:7" ht="10.5" customHeight="1" x14ac:dyDescent="0.2">
      <c r="G38635" s="889"/>
    </row>
    <row r="38636" spans="7:7" ht="10.5" customHeight="1" x14ac:dyDescent="0.2">
      <c r="G38636" s="889"/>
    </row>
    <row r="38637" spans="7:7" ht="10.5" customHeight="1" x14ac:dyDescent="0.2">
      <c r="G38637" s="889"/>
    </row>
    <row r="38638" spans="7:7" ht="10.5" customHeight="1" x14ac:dyDescent="0.2">
      <c r="G38638" s="889"/>
    </row>
    <row r="38639" spans="7:7" ht="10.5" customHeight="1" x14ac:dyDescent="0.2">
      <c r="G38639" s="889"/>
    </row>
    <row r="38640" spans="7:7" ht="10.5" customHeight="1" x14ac:dyDescent="0.2">
      <c r="G38640" s="889"/>
    </row>
    <row r="38641" spans="7:7" ht="10.5" customHeight="1" x14ac:dyDescent="0.2">
      <c r="G38641" s="889"/>
    </row>
    <row r="38642" spans="7:7" ht="10.5" customHeight="1" x14ac:dyDescent="0.2">
      <c r="G38642" s="889"/>
    </row>
    <row r="38643" spans="7:7" ht="10.5" customHeight="1" x14ac:dyDescent="0.2">
      <c r="G38643" s="889"/>
    </row>
    <row r="38644" spans="7:7" ht="10.5" customHeight="1" x14ac:dyDescent="0.2">
      <c r="G38644" s="889"/>
    </row>
    <row r="38645" spans="7:7" ht="10.5" customHeight="1" x14ac:dyDescent="0.2">
      <c r="G38645" s="889"/>
    </row>
    <row r="38646" spans="7:7" ht="10.5" customHeight="1" x14ac:dyDescent="0.2">
      <c r="G38646" s="889"/>
    </row>
    <row r="38647" spans="7:7" ht="10.5" customHeight="1" x14ac:dyDescent="0.2">
      <c r="G38647" s="889"/>
    </row>
    <row r="38648" spans="7:7" ht="10.5" customHeight="1" x14ac:dyDescent="0.2">
      <c r="G38648" s="889"/>
    </row>
    <row r="38649" spans="7:7" ht="10.5" customHeight="1" x14ac:dyDescent="0.2">
      <c r="G38649" s="889"/>
    </row>
    <row r="38650" spans="7:7" ht="10.5" customHeight="1" x14ac:dyDescent="0.2">
      <c r="G38650" s="889"/>
    </row>
    <row r="38651" spans="7:7" ht="10.5" customHeight="1" x14ac:dyDescent="0.2">
      <c r="G38651" s="889"/>
    </row>
    <row r="38652" spans="7:7" ht="10.5" customHeight="1" x14ac:dyDescent="0.2">
      <c r="G38652" s="889"/>
    </row>
    <row r="38653" spans="7:7" ht="10.5" customHeight="1" x14ac:dyDescent="0.2">
      <c r="G38653" s="889"/>
    </row>
    <row r="38654" spans="7:7" ht="10.5" customHeight="1" x14ac:dyDescent="0.2">
      <c r="G38654" s="889"/>
    </row>
    <row r="38655" spans="7:7" ht="10.5" customHeight="1" x14ac:dyDescent="0.2">
      <c r="G38655" s="889"/>
    </row>
    <row r="38656" spans="7:7" ht="10.5" customHeight="1" x14ac:dyDescent="0.2">
      <c r="G38656" s="889"/>
    </row>
    <row r="38657" spans="7:7" ht="10.5" customHeight="1" x14ac:dyDescent="0.2">
      <c r="G38657" s="889"/>
    </row>
    <row r="38658" spans="7:7" ht="10.5" customHeight="1" x14ac:dyDescent="0.2">
      <c r="G38658" s="889"/>
    </row>
    <row r="38659" spans="7:7" ht="10.5" customHeight="1" x14ac:dyDescent="0.2">
      <c r="G38659" s="889"/>
    </row>
    <row r="38660" spans="7:7" ht="10.5" customHeight="1" x14ac:dyDescent="0.2">
      <c r="G38660" s="889"/>
    </row>
    <row r="38661" spans="7:7" ht="10.5" customHeight="1" x14ac:dyDescent="0.2">
      <c r="G38661" s="889"/>
    </row>
    <row r="38662" spans="7:7" ht="10.5" customHeight="1" x14ac:dyDescent="0.2">
      <c r="G38662" s="889"/>
    </row>
    <row r="38663" spans="7:7" ht="10.5" customHeight="1" x14ac:dyDescent="0.2">
      <c r="G38663" s="889"/>
    </row>
    <row r="38664" spans="7:7" ht="10.5" customHeight="1" x14ac:dyDescent="0.2">
      <c r="G38664" s="889"/>
    </row>
    <row r="38665" spans="7:7" ht="10.5" customHeight="1" x14ac:dyDescent="0.2">
      <c r="G38665" s="889"/>
    </row>
    <row r="38666" spans="7:7" ht="10.5" customHeight="1" x14ac:dyDescent="0.2">
      <c r="G38666" s="889"/>
    </row>
    <row r="38667" spans="7:7" ht="10.5" customHeight="1" x14ac:dyDescent="0.2">
      <c r="G38667" s="889"/>
    </row>
    <row r="38668" spans="7:7" ht="10.5" customHeight="1" x14ac:dyDescent="0.2">
      <c r="G38668" s="889"/>
    </row>
    <row r="38669" spans="7:7" ht="10.5" customHeight="1" x14ac:dyDescent="0.2">
      <c r="G38669" s="889"/>
    </row>
    <row r="38670" spans="7:7" ht="10.5" customHeight="1" x14ac:dyDescent="0.2">
      <c r="G38670" s="889"/>
    </row>
    <row r="38671" spans="7:7" ht="10.5" customHeight="1" x14ac:dyDescent="0.2">
      <c r="G38671" s="889"/>
    </row>
    <row r="38672" spans="7:7" ht="10.5" customHeight="1" x14ac:dyDescent="0.2">
      <c r="G38672" s="889"/>
    </row>
    <row r="38673" spans="7:7" ht="10.5" customHeight="1" x14ac:dyDescent="0.2">
      <c r="G38673" s="889"/>
    </row>
    <row r="38674" spans="7:7" ht="10.5" customHeight="1" x14ac:dyDescent="0.2">
      <c r="G38674" s="889"/>
    </row>
    <row r="38675" spans="7:7" ht="10.5" customHeight="1" x14ac:dyDescent="0.2">
      <c r="G38675" s="889"/>
    </row>
    <row r="38676" spans="7:7" ht="10.5" customHeight="1" x14ac:dyDescent="0.2">
      <c r="G38676" s="889"/>
    </row>
    <row r="38677" spans="7:7" ht="10.5" customHeight="1" x14ac:dyDescent="0.2">
      <c r="G38677" s="889"/>
    </row>
    <row r="38678" spans="7:7" ht="10.5" customHeight="1" x14ac:dyDescent="0.2">
      <c r="G38678" s="889"/>
    </row>
    <row r="38679" spans="7:7" ht="10.5" customHeight="1" x14ac:dyDescent="0.2">
      <c r="G38679" s="889"/>
    </row>
    <row r="38680" spans="7:7" ht="10.5" customHeight="1" x14ac:dyDescent="0.2">
      <c r="G38680" s="889"/>
    </row>
    <row r="38681" spans="7:7" ht="10.5" customHeight="1" x14ac:dyDescent="0.2">
      <c r="G38681" s="889"/>
    </row>
    <row r="38682" spans="7:7" ht="10.5" customHeight="1" x14ac:dyDescent="0.2">
      <c r="G38682" s="889"/>
    </row>
    <row r="38683" spans="7:7" ht="10.5" customHeight="1" x14ac:dyDescent="0.2">
      <c r="G38683" s="889"/>
    </row>
    <row r="38684" spans="7:7" ht="10.5" customHeight="1" x14ac:dyDescent="0.2">
      <c r="G38684" s="889"/>
    </row>
    <row r="38685" spans="7:7" ht="10.5" customHeight="1" x14ac:dyDescent="0.2">
      <c r="G38685" s="889"/>
    </row>
    <row r="38686" spans="7:7" ht="10.5" customHeight="1" x14ac:dyDescent="0.2">
      <c r="G38686" s="889"/>
    </row>
    <row r="38687" spans="7:7" ht="10.5" customHeight="1" x14ac:dyDescent="0.2">
      <c r="G38687" s="889"/>
    </row>
    <row r="38688" spans="7:7" ht="10.5" customHeight="1" x14ac:dyDescent="0.2">
      <c r="G38688" s="889"/>
    </row>
    <row r="38689" spans="7:7" ht="10.5" customHeight="1" x14ac:dyDescent="0.2">
      <c r="G38689" s="889"/>
    </row>
    <row r="38690" spans="7:7" ht="10.5" customHeight="1" x14ac:dyDescent="0.2">
      <c r="G38690" s="889"/>
    </row>
    <row r="38691" spans="7:7" ht="10.5" customHeight="1" x14ac:dyDescent="0.2">
      <c r="G38691" s="889"/>
    </row>
    <row r="38692" spans="7:7" ht="10.5" customHeight="1" x14ac:dyDescent="0.2">
      <c r="G38692" s="889"/>
    </row>
    <row r="38693" spans="7:7" ht="10.5" customHeight="1" x14ac:dyDescent="0.2">
      <c r="G38693" s="889"/>
    </row>
    <row r="38694" spans="7:7" ht="10.5" customHeight="1" x14ac:dyDescent="0.2">
      <c r="G38694" s="889"/>
    </row>
    <row r="38695" spans="7:7" ht="10.5" customHeight="1" x14ac:dyDescent="0.2">
      <c r="G38695" s="889"/>
    </row>
    <row r="38696" spans="7:7" ht="10.5" customHeight="1" x14ac:dyDescent="0.2">
      <c r="G38696" s="889"/>
    </row>
    <row r="38697" spans="7:7" ht="10.5" customHeight="1" x14ac:dyDescent="0.2">
      <c r="G38697" s="889"/>
    </row>
    <row r="38698" spans="7:7" ht="10.5" customHeight="1" x14ac:dyDescent="0.2">
      <c r="G38698" s="889"/>
    </row>
    <row r="38699" spans="7:7" ht="10.5" customHeight="1" x14ac:dyDescent="0.2">
      <c r="G38699" s="889"/>
    </row>
    <row r="38700" spans="7:7" ht="10.5" customHeight="1" x14ac:dyDescent="0.2">
      <c r="G38700" s="889"/>
    </row>
    <row r="38701" spans="7:7" ht="10.5" customHeight="1" x14ac:dyDescent="0.2">
      <c r="G38701" s="889"/>
    </row>
    <row r="38702" spans="7:7" ht="10.5" customHeight="1" x14ac:dyDescent="0.2">
      <c r="G38702" s="889"/>
    </row>
    <row r="38703" spans="7:7" ht="10.5" customHeight="1" x14ac:dyDescent="0.2">
      <c r="G38703" s="889"/>
    </row>
    <row r="38704" spans="7:7" ht="10.5" customHeight="1" x14ac:dyDescent="0.2">
      <c r="G38704" s="889"/>
    </row>
    <row r="38705" spans="7:7" ht="10.5" customHeight="1" x14ac:dyDescent="0.2">
      <c r="G38705" s="889"/>
    </row>
    <row r="38706" spans="7:7" ht="10.5" customHeight="1" x14ac:dyDescent="0.2">
      <c r="G38706" s="889"/>
    </row>
    <row r="38707" spans="7:7" ht="10.5" customHeight="1" x14ac:dyDescent="0.2">
      <c r="G38707" s="889"/>
    </row>
    <row r="38708" spans="7:7" ht="10.5" customHeight="1" x14ac:dyDescent="0.2">
      <c r="G38708" s="889"/>
    </row>
    <row r="38709" spans="7:7" ht="10.5" customHeight="1" x14ac:dyDescent="0.2">
      <c r="G38709" s="889"/>
    </row>
    <row r="38710" spans="7:7" ht="10.5" customHeight="1" x14ac:dyDescent="0.2">
      <c r="G38710" s="889"/>
    </row>
    <row r="38711" spans="7:7" ht="10.5" customHeight="1" x14ac:dyDescent="0.2">
      <c r="G38711" s="889"/>
    </row>
    <row r="38712" spans="7:7" ht="10.5" customHeight="1" x14ac:dyDescent="0.2">
      <c r="G38712" s="889"/>
    </row>
    <row r="38713" spans="7:7" ht="10.5" customHeight="1" x14ac:dyDescent="0.2">
      <c r="G38713" s="889"/>
    </row>
    <row r="38714" spans="7:7" ht="10.5" customHeight="1" x14ac:dyDescent="0.2">
      <c r="G38714" s="889"/>
    </row>
    <row r="38715" spans="7:7" ht="10.5" customHeight="1" x14ac:dyDescent="0.2">
      <c r="G38715" s="889"/>
    </row>
    <row r="38716" spans="7:7" ht="10.5" customHeight="1" x14ac:dyDescent="0.2">
      <c r="G38716" s="889"/>
    </row>
    <row r="38717" spans="7:7" ht="10.5" customHeight="1" x14ac:dyDescent="0.2">
      <c r="G38717" s="889"/>
    </row>
    <row r="38718" spans="7:7" ht="10.5" customHeight="1" x14ac:dyDescent="0.2">
      <c r="G38718" s="889"/>
    </row>
    <row r="38719" spans="7:7" ht="10.5" customHeight="1" x14ac:dyDescent="0.2">
      <c r="G38719" s="889"/>
    </row>
    <row r="38720" spans="7:7" ht="10.5" customHeight="1" x14ac:dyDescent="0.2">
      <c r="G38720" s="889"/>
    </row>
    <row r="38721" spans="7:7" ht="10.5" customHeight="1" x14ac:dyDescent="0.2">
      <c r="G38721" s="889"/>
    </row>
    <row r="38722" spans="7:7" ht="10.5" customHeight="1" x14ac:dyDescent="0.2">
      <c r="G38722" s="889"/>
    </row>
    <row r="38723" spans="7:7" ht="10.5" customHeight="1" x14ac:dyDescent="0.2">
      <c r="G38723" s="889"/>
    </row>
    <row r="38724" spans="7:7" ht="10.5" customHeight="1" x14ac:dyDescent="0.2">
      <c r="G38724" s="889"/>
    </row>
    <row r="38725" spans="7:7" ht="10.5" customHeight="1" x14ac:dyDescent="0.2">
      <c r="G38725" s="889"/>
    </row>
    <row r="38726" spans="7:7" ht="10.5" customHeight="1" x14ac:dyDescent="0.2">
      <c r="G38726" s="889"/>
    </row>
    <row r="38727" spans="7:7" ht="10.5" customHeight="1" x14ac:dyDescent="0.2">
      <c r="G38727" s="889"/>
    </row>
    <row r="38728" spans="7:7" ht="10.5" customHeight="1" x14ac:dyDescent="0.2">
      <c r="G38728" s="889"/>
    </row>
    <row r="38729" spans="7:7" ht="10.5" customHeight="1" x14ac:dyDescent="0.2">
      <c r="G38729" s="889"/>
    </row>
    <row r="38730" spans="7:7" ht="10.5" customHeight="1" x14ac:dyDescent="0.2">
      <c r="G38730" s="889"/>
    </row>
    <row r="38731" spans="7:7" ht="10.5" customHeight="1" x14ac:dyDescent="0.2">
      <c r="G38731" s="889"/>
    </row>
    <row r="38732" spans="7:7" ht="10.5" customHeight="1" x14ac:dyDescent="0.2">
      <c r="G38732" s="889"/>
    </row>
    <row r="38733" spans="7:7" ht="10.5" customHeight="1" x14ac:dyDescent="0.2">
      <c r="G38733" s="889"/>
    </row>
    <row r="38734" spans="7:7" ht="10.5" customHeight="1" x14ac:dyDescent="0.2">
      <c r="G38734" s="889"/>
    </row>
    <row r="38735" spans="7:7" ht="10.5" customHeight="1" x14ac:dyDescent="0.2">
      <c r="G38735" s="889"/>
    </row>
    <row r="38736" spans="7:7" ht="10.5" customHeight="1" x14ac:dyDescent="0.2">
      <c r="G38736" s="889"/>
    </row>
    <row r="38737" spans="7:7" ht="10.5" customHeight="1" x14ac:dyDescent="0.2">
      <c r="G38737" s="889"/>
    </row>
    <row r="38738" spans="7:7" ht="10.5" customHeight="1" x14ac:dyDescent="0.2">
      <c r="G38738" s="889"/>
    </row>
    <row r="38739" spans="7:7" ht="10.5" customHeight="1" x14ac:dyDescent="0.2">
      <c r="G38739" s="889"/>
    </row>
    <row r="38740" spans="7:7" ht="10.5" customHeight="1" x14ac:dyDescent="0.2">
      <c r="G38740" s="889"/>
    </row>
    <row r="38741" spans="7:7" ht="10.5" customHeight="1" x14ac:dyDescent="0.2">
      <c r="G38741" s="889"/>
    </row>
    <row r="38742" spans="7:7" ht="10.5" customHeight="1" x14ac:dyDescent="0.2">
      <c r="G38742" s="889"/>
    </row>
    <row r="38743" spans="7:7" ht="10.5" customHeight="1" x14ac:dyDescent="0.2">
      <c r="G38743" s="889"/>
    </row>
    <row r="38744" spans="7:7" ht="10.5" customHeight="1" x14ac:dyDescent="0.2">
      <c r="G38744" s="889"/>
    </row>
    <row r="38745" spans="7:7" ht="10.5" customHeight="1" x14ac:dyDescent="0.2">
      <c r="G38745" s="889"/>
    </row>
    <row r="38746" spans="7:7" ht="10.5" customHeight="1" x14ac:dyDescent="0.2">
      <c r="G38746" s="889"/>
    </row>
    <row r="38747" spans="7:7" ht="10.5" customHeight="1" x14ac:dyDescent="0.2">
      <c r="G38747" s="889"/>
    </row>
    <row r="38748" spans="7:7" ht="10.5" customHeight="1" x14ac:dyDescent="0.2">
      <c r="G38748" s="889"/>
    </row>
    <row r="38749" spans="7:7" ht="10.5" customHeight="1" x14ac:dyDescent="0.2">
      <c r="G38749" s="889"/>
    </row>
    <row r="38750" spans="7:7" ht="10.5" customHeight="1" x14ac:dyDescent="0.2">
      <c r="G38750" s="889"/>
    </row>
    <row r="38751" spans="7:7" ht="10.5" customHeight="1" x14ac:dyDescent="0.2">
      <c r="G38751" s="889"/>
    </row>
    <row r="38752" spans="7:7" ht="10.5" customHeight="1" x14ac:dyDescent="0.2">
      <c r="G38752" s="889"/>
    </row>
    <row r="38753" spans="7:7" ht="10.5" customHeight="1" x14ac:dyDescent="0.2">
      <c r="G38753" s="889"/>
    </row>
    <row r="38754" spans="7:7" ht="10.5" customHeight="1" x14ac:dyDescent="0.2">
      <c r="G38754" s="889"/>
    </row>
    <row r="38755" spans="7:7" ht="10.5" customHeight="1" x14ac:dyDescent="0.2">
      <c r="G38755" s="889"/>
    </row>
    <row r="38756" spans="7:7" ht="10.5" customHeight="1" x14ac:dyDescent="0.2">
      <c r="G38756" s="889"/>
    </row>
    <row r="38757" spans="7:7" ht="10.5" customHeight="1" x14ac:dyDescent="0.2">
      <c r="G38757" s="889"/>
    </row>
    <row r="38758" spans="7:7" ht="10.5" customHeight="1" x14ac:dyDescent="0.2">
      <c r="G38758" s="889"/>
    </row>
    <row r="38759" spans="7:7" ht="10.5" customHeight="1" x14ac:dyDescent="0.2">
      <c r="G38759" s="889"/>
    </row>
    <row r="38760" spans="7:7" ht="10.5" customHeight="1" x14ac:dyDescent="0.2">
      <c r="G38760" s="889"/>
    </row>
    <row r="38761" spans="7:7" ht="10.5" customHeight="1" x14ac:dyDescent="0.2">
      <c r="G38761" s="889"/>
    </row>
    <row r="38762" spans="7:7" ht="10.5" customHeight="1" x14ac:dyDescent="0.2">
      <c r="G38762" s="889"/>
    </row>
    <row r="38763" spans="7:7" ht="10.5" customHeight="1" x14ac:dyDescent="0.2">
      <c r="G38763" s="889"/>
    </row>
    <row r="38764" spans="7:7" ht="10.5" customHeight="1" x14ac:dyDescent="0.2">
      <c r="G38764" s="889"/>
    </row>
    <row r="38765" spans="7:7" ht="10.5" customHeight="1" x14ac:dyDescent="0.2">
      <c r="G38765" s="889"/>
    </row>
    <row r="38766" spans="7:7" ht="10.5" customHeight="1" x14ac:dyDescent="0.2">
      <c r="G38766" s="889"/>
    </row>
    <row r="38767" spans="7:7" ht="10.5" customHeight="1" x14ac:dyDescent="0.2">
      <c r="G38767" s="889"/>
    </row>
    <row r="38768" spans="7:7" ht="10.5" customHeight="1" x14ac:dyDescent="0.2">
      <c r="G38768" s="889"/>
    </row>
    <row r="38769" spans="7:7" ht="10.5" customHeight="1" x14ac:dyDescent="0.2">
      <c r="G38769" s="889"/>
    </row>
    <row r="38770" spans="7:7" ht="10.5" customHeight="1" x14ac:dyDescent="0.2">
      <c r="G38770" s="889"/>
    </row>
    <row r="38771" spans="7:7" ht="10.5" customHeight="1" x14ac:dyDescent="0.2">
      <c r="G38771" s="889"/>
    </row>
    <row r="38772" spans="7:7" ht="10.5" customHeight="1" x14ac:dyDescent="0.2">
      <c r="G38772" s="889"/>
    </row>
    <row r="38773" spans="7:7" ht="10.5" customHeight="1" x14ac:dyDescent="0.2">
      <c r="G38773" s="889"/>
    </row>
    <row r="38774" spans="7:7" ht="10.5" customHeight="1" x14ac:dyDescent="0.2">
      <c r="G38774" s="889"/>
    </row>
    <row r="38775" spans="7:7" ht="10.5" customHeight="1" x14ac:dyDescent="0.2">
      <c r="G38775" s="889"/>
    </row>
    <row r="38776" spans="7:7" ht="10.5" customHeight="1" x14ac:dyDescent="0.2">
      <c r="G38776" s="889"/>
    </row>
    <row r="38777" spans="7:7" ht="10.5" customHeight="1" x14ac:dyDescent="0.2">
      <c r="G38777" s="889"/>
    </row>
    <row r="38778" spans="7:7" ht="10.5" customHeight="1" x14ac:dyDescent="0.2">
      <c r="G38778" s="889"/>
    </row>
    <row r="38779" spans="7:7" ht="10.5" customHeight="1" x14ac:dyDescent="0.2">
      <c r="G38779" s="889"/>
    </row>
    <row r="38780" spans="7:7" ht="10.5" customHeight="1" x14ac:dyDescent="0.2">
      <c r="G38780" s="889"/>
    </row>
    <row r="38781" spans="7:7" ht="10.5" customHeight="1" x14ac:dyDescent="0.2">
      <c r="G38781" s="889"/>
    </row>
    <row r="38782" spans="7:7" ht="10.5" customHeight="1" x14ac:dyDescent="0.2">
      <c r="G38782" s="889"/>
    </row>
    <row r="38783" spans="7:7" ht="10.5" customHeight="1" x14ac:dyDescent="0.2">
      <c r="G38783" s="889"/>
    </row>
    <row r="38784" spans="7:7" ht="10.5" customHeight="1" x14ac:dyDescent="0.2">
      <c r="G38784" s="889"/>
    </row>
    <row r="38785" spans="7:7" ht="10.5" customHeight="1" x14ac:dyDescent="0.2">
      <c r="G38785" s="889"/>
    </row>
    <row r="38786" spans="7:7" ht="10.5" customHeight="1" x14ac:dyDescent="0.2">
      <c r="G38786" s="889"/>
    </row>
    <row r="38787" spans="7:7" ht="10.5" customHeight="1" x14ac:dyDescent="0.2">
      <c r="G38787" s="889"/>
    </row>
    <row r="38788" spans="7:7" ht="10.5" customHeight="1" x14ac:dyDescent="0.2">
      <c r="G38788" s="889"/>
    </row>
    <row r="38789" spans="7:7" ht="10.5" customHeight="1" x14ac:dyDescent="0.2">
      <c r="G38789" s="889"/>
    </row>
    <row r="38790" spans="7:7" ht="10.5" customHeight="1" x14ac:dyDescent="0.2">
      <c r="G38790" s="889"/>
    </row>
    <row r="38791" spans="7:7" ht="10.5" customHeight="1" x14ac:dyDescent="0.2">
      <c r="G38791" s="889"/>
    </row>
    <row r="38792" spans="7:7" ht="10.5" customHeight="1" x14ac:dyDescent="0.2">
      <c r="G38792" s="889"/>
    </row>
    <row r="38793" spans="7:7" ht="10.5" customHeight="1" x14ac:dyDescent="0.2">
      <c r="G38793" s="889"/>
    </row>
    <row r="38794" spans="7:7" ht="10.5" customHeight="1" x14ac:dyDescent="0.2">
      <c r="G38794" s="889"/>
    </row>
    <row r="38795" spans="7:7" ht="10.5" customHeight="1" x14ac:dyDescent="0.2">
      <c r="G38795" s="889"/>
    </row>
    <row r="38796" spans="7:7" ht="10.5" customHeight="1" x14ac:dyDescent="0.2">
      <c r="G38796" s="889"/>
    </row>
    <row r="38797" spans="7:7" ht="10.5" customHeight="1" x14ac:dyDescent="0.2">
      <c r="G38797" s="889"/>
    </row>
    <row r="38798" spans="7:7" ht="10.5" customHeight="1" x14ac:dyDescent="0.2">
      <c r="G38798" s="889"/>
    </row>
    <row r="38799" spans="7:7" ht="10.5" customHeight="1" x14ac:dyDescent="0.2">
      <c r="G38799" s="889"/>
    </row>
    <row r="38800" spans="7:7" ht="10.5" customHeight="1" x14ac:dyDescent="0.2">
      <c r="G38800" s="889"/>
    </row>
    <row r="38801" spans="7:7" ht="10.5" customHeight="1" x14ac:dyDescent="0.2">
      <c r="G38801" s="889"/>
    </row>
    <row r="38802" spans="7:7" ht="10.5" customHeight="1" x14ac:dyDescent="0.2">
      <c r="G38802" s="889"/>
    </row>
    <row r="38803" spans="7:7" ht="10.5" customHeight="1" x14ac:dyDescent="0.2">
      <c r="G38803" s="889"/>
    </row>
    <row r="38804" spans="7:7" ht="10.5" customHeight="1" x14ac:dyDescent="0.2">
      <c r="G38804" s="889"/>
    </row>
    <row r="38805" spans="7:7" ht="10.5" customHeight="1" x14ac:dyDescent="0.2">
      <c r="G38805" s="889"/>
    </row>
    <row r="38806" spans="7:7" ht="10.5" customHeight="1" x14ac:dyDescent="0.2">
      <c r="G38806" s="889"/>
    </row>
    <row r="38807" spans="7:7" ht="10.5" customHeight="1" x14ac:dyDescent="0.2">
      <c r="G38807" s="889"/>
    </row>
    <row r="38808" spans="7:7" ht="10.5" customHeight="1" x14ac:dyDescent="0.2">
      <c r="G38808" s="889"/>
    </row>
    <row r="38809" spans="7:7" ht="10.5" customHeight="1" x14ac:dyDescent="0.2">
      <c r="G38809" s="889"/>
    </row>
    <row r="38810" spans="7:7" ht="10.5" customHeight="1" x14ac:dyDescent="0.2">
      <c r="G38810" s="889"/>
    </row>
    <row r="38811" spans="7:7" ht="10.5" customHeight="1" x14ac:dyDescent="0.2">
      <c r="G38811" s="889"/>
    </row>
    <row r="38812" spans="7:7" ht="10.5" customHeight="1" x14ac:dyDescent="0.2">
      <c r="G38812" s="889"/>
    </row>
    <row r="38813" spans="7:7" ht="10.5" customHeight="1" x14ac:dyDescent="0.2">
      <c r="G38813" s="889"/>
    </row>
    <row r="38814" spans="7:7" ht="10.5" customHeight="1" x14ac:dyDescent="0.2">
      <c r="G38814" s="889"/>
    </row>
    <row r="38815" spans="7:7" ht="10.5" customHeight="1" x14ac:dyDescent="0.2">
      <c r="G38815" s="889"/>
    </row>
    <row r="38816" spans="7:7" ht="10.5" customHeight="1" x14ac:dyDescent="0.2">
      <c r="G38816" s="889"/>
    </row>
    <row r="38817" spans="7:7" ht="10.5" customHeight="1" x14ac:dyDescent="0.2">
      <c r="G38817" s="889"/>
    </row>
    <row r="38818" spans="7:7" ht="10.5" customHeight="1" x14ac:dyDescent="0.2">
      <c r="G38818" s="889"/>
    </row>
    <row r="38819" spans="7:7" ht="10.5" customHeight="1" x14ac:dyDescent="0.2">
      <c r="G38819" s="889"/>
    </row>
    <row r="38820" spans="7:7" ht="10.5" customHeight="1" x14ac:dyDescent="0.2">
      <c r="G38820" s="889"/>
    </row>
    <row r="38821" spans="7:7" ht="10.5" customHeight="1" x14ac:dyDescent="0.2">
      <c r="G38821" s="889"/>
    </row>
    <row r="38822" spans="7:7" ht="10.5" customHeight="1" x14ac:dyDescent="0.2">
      <c r="G38822" s="889"/>
    </row>
    <row r="38823" spans="7:7" ht="10.5" customHeight="1" x14ac:dyDescent="0.2">
      <c r="G38823" s="889"/>
    </row>
    <row r="38824" spans="7:7" ht="10.5" customHeight="1" x14ac:dyDescent="0.2">
      <c r="G38824" s="889"/>
    </row>
    <row r="38825" spans="7:7" ht="10.5" customHeight="1" x14ac:dyDescent="0.2">
      <c r="G38825" s="889"/>
    </row>
    <row r="38826" spans="7:7" ht="10.5" customHeight="1" x14ac:dyDescent="0.2">
      <c r="G38826" s="889"/>
    </row>
    <row r="38827" spans="7:7" ht="10.5" customHeight="1" x14ac:dyDescent="0.2">
      <c r="G38827" s="889"/>
    </row>
    <row r="38828" spans="7:7" ht="10.5" customHeight="1" x14ac:dyDescent="0.2">
      <c r="G38828" s="889"/>
    </row>
    <row r="38829" spans="7:7" ht="10.5" customHeight="1" x14ac:dyDescent="0.2">
      <c r="G38829" s="889"/>
    </row>
    <row r="38830" spans="7:7" ht="10.5" customHeight="1" x14ac:dyDescent="0.2">
      <c r="G38830" s="889"/>
    </row>
    <row r="38831" spans="7:7" ht="10.5" customHeight="1" x14ac:dyDescent="0.2">
      <c r="G38831" s="889"/>
    </row>
    <row r="38832" spans="7:7" ht="10.5" customHeight="1" x14ac:dyDescent="0.2">
      <c r="G38832" s="889"/>
    </row>
    <row r="38833" spans="7:7" ht="10.5" customHeight="1" x14ac:dyDescent="0.2">
      <c r="G38833" s="889"/>
    </row>
    <row r="38834" spans="7:7" ht="10.5" customHeight="1" x14ac:dyDescent="0.2">
      <c r="G38834" s="889"/>
    </row>
    <row r="38835" spans="7:7" ht="10.5" customHeight="1" x14ac:dyDescent="0.2">
      <c r="G38835" s="889"/>
    </row>
    <row r="38836" spans="7:7" ht="10.5" customHeight="1" x14ac:dyDescent="0.2">
      <c r="G38836" s="889"/>
    </row>
    <row r="38837" spans="7:7" ht="10.5" customHeight="1" x14ac:dyDescent="0.2">
      <c r="G38837" s="889"/>
    </row>
    <row r="38838" spans="7:7" ht="10.5" customHeight="1" x14ac:dyDescent="0.2">
      <c r="G38838" s="889"/>
    </row>
    <row r="38839" spans="7:7" ht="10.5" customHeight="1" x14ac:dyDescent="0.2">
      <c r="G38839" s="889"/>
    </row>
    <row r="38840" spans="7:7" ht="10.5" customHeight="1" x14ac:dyDescent="0.2">
      <c r="G38840" s="889"/>
    </row>
    <row r="38841" spans="7:7" ht="10.5" customHeight="1" x14ac:dyDescent="0.2">
      <c r="G38841" s="889"/>
    </row>
    <row r="38842" spans="7:7" ht="10.5" customHeight="1" x14ac:dyDescent="0.2">
      <c r="G38842" s="889"/>
    </row>
    <row r="38843" spans="7:7" ht="10.5" customHeight="1" x14ac:dyDescent="0.2">
      <c r="G38843" s="889"/>
    </row>
    <row r="38844" spans="7:7" ht="10.5" customHeight="1" x14ac:dyDescent="0.2">
      <c r="G38844" s="889"/>
    </row>
    <row r="38845" spans="7:7" ht="10.5" customHeight="1" x14ac:dyDescent="0.2">
      <c r="G38845" s="889"/>
    </row>
    <row r="38846" spans="7:7" ht="10.5" customHeight="1" x14ac:dyDescent="0.2">
      <c r="G38846" s="889"/>
    </row>
    <row r="38847" spans="7:7" ht="10.5" customHeight="1" x14ac:dyDescent="0.2">
      <c r="G38847" s="889"/>
    </row>
    <row r="38848" spans="7:7" ht="10.5" customHeight="1" x14ac:dyDescent="0.2">
      <c r="G38848" s="889"/>
    </row>
    <row r="38849" spans="7:7" ht="10.5" customHeight="1" x14ac:dyDescent="0.2">
      <c r="G38849" s="889"/>
    </row>
    <row r="38850" spans="7:7" ht="10.5" customHeight="1" x14ac:dyDescent="0.2">
      <c r="G38850" s="889"/>
    </row>
    <row r="38851" spans="7:7" ht="10.5" customHeight="1" x14ac:dyDescent="0.2">
      <c r="G38851" s="889"/>
    </row>
    <row r="38852" spans="7:7" ht="10.5" customHeight="1" x14ac:dyDescent="0.2">
      <c r="G38852" s="889"/>
    </row>
    <row r="38853" spans="7:7" ht="10.5" customHeight="1" x14ac:dyDescent="0.2">
      <c r="G38853" s="889"/>
    </row>
    <row r="38854" spans="7:7" ht="10.5" customHeight="1" x14ac:dyDescent="0.2">
      <c r="G38854" s="889"/>
    </row>
    <row r="38855" spans="7:7" ht="10.5" customHeight="1" x14ac:dyDescent="0.2">
      <c r="G38855" s="889"/>
    </row>
    <row r="38856" spans="7:7" ht="10.5" customHeight="1" x14ac:dyDescent="0.2">
      <c r="G38856" s="889"/>
    </row>
    <row r="38857" spans="7:7" ht="10.5" customHeight="1" x14ac:dyDescent="0.2">
      <c r="G38857" s="889"/>
    </row>
    <row r="38858" spans="7:7" ht="10.5" customHeight="1" x14ac:dyDescent="0.2">
      <c r="G38858" s="889"/>
    </row>
    <row r="38859" spans="7:7" ht="10.5" customHeight="1" x14ac:dyDescent="0.2">
      <c r="G38859" s="889"/>
    </row>
    <row r="38860" spans="7:7" ht="10.5" customHeight="1" x14ac:dyDescent="0.2">
      <c r="G38860" s="889"/>
    </row>
    <row r="38861" spans="7:7" ht="10.5" customHeight="1" x14ac:dyDescent="0.2">
      <c r="G38861" s="889"/>
    </row>
    <row r="38862" spans="7:7" ht="10.5" customHeight="1" x14ac:dyDescent="0.2">
      <c r="G38862" s="889"/>
    </row>
    <row r="38863" spans="7:7" ht="10.5" customHeight="1" x14ac:dyDescent="0.2">
      <c r="G38863" s="889"/>
    </row>
    <row r="38864" spans="7:7" ht="10.5" customHeight="1" x14ac:dyDescent="0.2">
      <c r="G38864" s="889"/>
    </row>
    <row r="38865" spans="7:7" ht="10.5" customHeight="1" x14ac:dyDescent="0.2">
      <c r="G38865" s="889"/>
    </row>
    <row r="38866" spans="7:7" ht="10.5" customHeight="1" x14ac:dyDescent="0.2">
      <c r="G38866" s="889"/>
    </row>
    <row r="38867" spans="7:7" ht="10.5" customHeight="1" x14ac:dyDescent="0.2">
      <c r="G38867" s="889"/>
    </row>
    <row r="38868" spans="7:7" ht="10.5" customHeight="1" x14ac:dyDescent="0.2">
      <c r="G38868" s="889"/>
    </row>
    <row r="38869" spans="7:7" ht="10.5" customHeight="1" x14ac:dyDescent="0.2">
      <c r="G38869" s="889"/>
    </row>
    <row r="38870" spans="7:7" ht="10.5" customHeight="1" x14ac:dyDescent="0.2">
      <c r="G38870" s="889"/>
    </row>
    <row r="38871" spans="7:7" ht="10.5" customHeight="1" x14ac:dyDescent="0.2">
      <c r="G38871" s="889"/>
    </row>
    <row r="38872" spans="7:7" ht="10.5" customHeight="1" x14ac:dyDescent="0.2">
      <c r="G38872" s="889"/>
    </row>
    <row r="38873" spans="7:7" ht="10.5" customHeight="1" x14ac:dyDescent="0.2">
      <c r="G38873" s="889"/>
    </row>
    <row r="38874" spans="7:7" ht="10.5" customHeight="1" x14ac:dyDescent="0.2">
      <c r="G38874" s="889"/>
    </row>
    <row r="38875" spans="7:7" ht="10.5" customHeight="1" x14ac:dyDescent="0.2">
      <c r="G38875" s="889"/>
    </row>
    <row r="38876" spans="7:7" ht="10.5" customHeight="1" x14ac:dyDescent="0.2">
      <c r="G38876" s="889"/>
    </row>
    <row r="38877" spans="7:7" ht="10.5" customHeight="1" x14ac:dyDescent="0.2">
      <c r="G38877" s="889"/>
    </row>
    <row r="38878" spans="7:7" ht="10.5" customHeight="1" x14ac:dyDescent="0.2">
      <c r="G38878" s="889"/>
    </row>
    <row r="38879" spans="7:7" ht="10.5" customHeight="1" x14ac:dyDescent="0.2">
      <c r="G38879" s="889"/>
    </row>
    <row r="38880" spans="7:7" ht="10.5" customHeight="1" x14ac:dyDescent="0.2">
      <c r="G38880" s="889"/>
    </row>
    <row r="38881" spans="7:7" ht="10.5" customHeight="1" x14ac:dyDescent="0.2">
      <c r="G38881" s="889"/>
    </row>
    <row r="38882" spans="7:7" ht="10.5" customHeight="1" x14ac:dyDescent="0.2">
      <c r="G38882" s="889"/>
    </row>
    <row r="38883" spans="7:7" ht="10.5" customHeight="1" x14ac:dyDescent="0.2">
      <c r="G38883" s="889"/>
    </row>
    <row r="38884" spans="7:7" ht="10.5" customHeight="1" x14ac:dyDescent="0.2">
      <c r="G38884" s="889"/>
    </row>
    <row r="38885" spans="7:7" ht="10.5" customHeight="1" x14ac:dyDescent="0.2">
      <c r="G38885" s="889"/>
    </row>
    <row r="38886" spans="7:7" ht="10.5" customHeight="1" x14ac:dyDescent="0.2">
      <c r="G38886" s="889"/>
    </row>
    <row r="38887" spans="7:7" ht="10.5" customHeight="1" x14ac:dyDescent="0.2">
      <c r="G38887" s="889"/>
    </row>
    <row r="38888" spans="7:7" ht="10.5" customHeight="1" x14ac:dyDescent="0.2">
      <c r="G38888" s="889"/>
    </row>
    <row r="38889" spans="7:7" ht="10.5" customHeight="1" x14ac:dyDescent="0.2">
      <c r="G38889" s="889"/>
    </row>
    <row r="38890" spans="7:7" ht="10.5" customHeight="1" x14ac:dyDescent="0.2">
      <c r="G38890" s="889"/>
    </row>
    <row r="38891" spans="7:7" ht="10.5" customHeight="1" x14ac:dyDescent="0.2">
      <c r="G38891" s="889"/>
    </row>
    <row r="38892" spans="7:7" ht="10.5" customHeight="1" x14ac:dyDescent="0.2">
      <c r="G38892" s="889"/>
    </row>
    <row r="38893" spans="7:7" ht="10.5" customHeight="1" x14ac:dyDescent="0.2">
      <c r="G38893" s="889"/>
    </row>
    <row r="38894" spans="7:7" ht="10.5" customHeight="1" x14ac:dyDescent="0.2">
      <c r="G38894" s="889"/>
    </row>
    <row r="38895" spans="7:7" ht="10.5" customHeight="1" x14ac:dyDescent="0.2">
      <c r="G38895" s="889"/>
    </row>
    <row r="38896" spans="7:7" ht="10.5" customHeight="1" x14ac:dyDescent="0.2">
      <c r="G38896" s="889"/>
    </row>
    <row r="38897" spans="7:7" ht="10.5" customHeight="1" x14ac:dyDescent="0.2">
      <c r="G38897" s="889"/>
    </row>
    <row r="38898" spans="7:7" ht="10.5" customHeight="1" x14ac:dyDescent="0.2">
      <c r="G38898" s="889"/>
    </row>
    <row r="38899" spans="7:7" ht="10.5" customHeight="1" x14ac:dyDescent="0.2">
      <c r="G38899" s="889"/>
    </row>
    <row r="38900" spans="7:7" ht="10.5" customHeight="1" x14ac:dyDescent="0.2">
      <c r="G38900" s="889"/>
    </row>
    <row r="38901" spans="7:7" ht="10.5" customHeight="1" x14ac:dyDescent="0.2">
      <c r="G38901" s="889"/>
    </row>
    <row r="38902" spans="7:7" ht="10.5" customHeight="1" x14ac:dyDescent="0.2">
      <c r="G38902" s="889"/>
    </row>
    <row r="38903" spans="7:7" ht="10.5" customHeight="1" x14ac:dyDescent="0.2">
      <c r="G38903" s="889"/>
    </row>
    <row r="38904" spans="7:7" ht="10.5" customHeight="1" x14ac:dyDescent="0.2">
      <c r="G38904" s="889"/>
    </row>
    <row r="38905" spans="7:7" ht="10.5" customHeight="1" x14ac:dyDescent="0.2">
      <c r="G38905" s="889"/>
    </row>
    <row r="38906" spans="7:7" ht="10.5" customHeight="1" x14ac:dyDescent="0.2">
      <c r="G38906" s="889"/>
    </row>
    <row r="38907" spans="7:7" ht="10.5" customHeight="1" x14ac:dyDescent="0.2">
      <c r="G38907" s="889"/>
    </row>
    <row r="38908" spans="7:7" ht="10.5" customHeight="1" x14ac:dyDescent="0.2">
      <c r="G38908" s="889"/>
    </row>
    <row r="38909" spans="7:7" ht="10.5" customHeight="1" x14ac:dyDescent="0.2">
      <c r="G38909" s="889"/>
    </row>
    <row r="38910" spans="7:7" ht="10.5" customHeight="1" x14ac:dyDescent="0.2">
      <c r="G38910" s="889"/>
    </row>
    <row r="38911" spans="7:7" ht="10.5" customHeight="1" x14ac:dyDescent="0.2">
      <c r="G38911" s="889"/>
    </row>
    <row r="38912" spans="7:7" ht="10.5" customHeight="1" x14ac:dyDescent="0.2">
      <c r="G38912" s="889"/>
    </row>
    <row r="38913" spans="7:7" ht="10.5" customHeight="1" x14ac:dyDescent="0.2">
      <c r="G38913" s="889"/>
    </row>
    <row r="38914" spans="7:7" ht="10.5" customHeight="1" x14ac:dyDescent="0.2">
      <c r="G38914" s="889"/>
    </row>
    <row r="38915" spans="7:7" ht="10.5" customHeight="1" x14ac:dyDescent="0.2">
      <c r="G38915" s="889"/>
    </row>
    <row r="38916" spans="7:7" ht="10.5" customHeight="1" x14ac:dyDescent="0.2">
      <c r="G38916" s="889"/>
    </row>
    <row r="38917" spans="7:7" ht="10.5" customHeight="1" x14ac:dyDescent="0.2">
      <c r="G38917" s="889"/>
    </row>
    <row r="38918" spans="7:7" ht="10.5" customHeight="1" x14ac:dyDescent="0.2">
      <c r="G38918" s="889"/>
    </row>
    <row r="38919" spans="7:7" ht="10.5" customHeight="1" x14ac:dyDescent="0.2">
      <c r="G38919" s="889"/>
    </row>
    <row r="38920" spans="7:7" ht="10.5" customHeight="1" x14ac:dyDescent="0.2">
      <c r="G38920" s="889"/>
    </row>
    <row r="38921" spans="7:7" ht="10.5" customHeight="1" x14ac:dyDescent="0.2">
      <c r="G38921" s="889"/>
    </row>
    <row r="38922" spans="7:7" ht="10.5" customHeight="1" x14ac:dyDescent="0.2">
      <c r="G38922" s="889"/>
    </row>
    <row r="38923" spans="7:7" ht="10.5" customHeight="1" x14ac:dyDescent="0.2">
      <c r="G38923" s="889"/>
    </row>
    <row r="38924" spans="7:7" ht="10.5" customHeight="1" x14ac:dyDescent="0.2">
      <c r="G38924" s="889"/>
    </row>
    <row r="38925" spans="7:7" ht="10.5" customHeight="1" x14ac:dyDescent="0.2">
      <c r="G38925" s="889"/>
    </row>
    <row r="38926" spans="7:7" ht="10.5" customHeight="1" x14ac:dyDescent="0.2">
      <c r="G38926" s="889"/>
    </row>
    <row r="38927" spans="7:7" ht="10.5" customHeight="1" x14ac:dyDescent="0.2">
      <c r="G38927" s="889"/>
    </row>
    <row r="38928" spans="7:7" ht="10.5" customHeight="1" x14ac:dyDescent="0.2">
      <c r="G38928" s="889"/>
    </row>
    <row r="38929" spans="7:7" ht="10.5" customHeight="1" x14ac:dyDescent="0.2">
      <c r="G38929" s="889"/>
    </row>
    <row r="38930" spans="7:7" ht="10.5" customHeight="1" x14ac:dyDescent="0.2">
      <c r="G38930" s="889"/>
    </row>
    <row r="38931" spans="7:7" ht="10.5" customHeight="1" x14ac:dyDescent="0.2">
      <c r="G38931" s="889"/>
    </row>
    <row r="38932" spans="7:7" ht="10.5" customHeight="1" x14ac:dyDescent="0.2">
      <c r="G38932" s="889"/>
    </row>
    <row r="38933" spans="7:7" ht="10.5" customHeight="1" x14ac:dyDescent="0.2">
      <c r="G38933" s="889"/>
    </row>
    <row r="38934" spans="7:7" ht="10.5" customHeight="1" x14ac:dyDescent="0.2">
      <c r="G38934" s="889"/>
    </row>
    <row r="38935" spans="7:7" ht="10.5" customHeight="1" x14ac:dyDescent="0.2">
      <c r="G38935" s="889"/>
    </row>
    <row r="38936" spans="7:7" ht="10.5" customHeight="1" x14ac:dyDescent="0.2">
      <c r="G38936" s="889"/>
    </row>
    <row r="38937" spans="7:7" ht="10.5" customHeight="1" x14ac:dyDescent="0.2">
      <c r="G38937" s="889"/>
    </row>
    <row r="38938" spans="7:7" ht="10.5" customHeight="1" x14ac:dyDescent="0.2">
      <c r="G38938" s="889"/>
    </row>
    <row r="38939" spans="7:7" ht="10.5" customHeight="1" x14ac:dyDescent="0.2">
      <c r="G38939" s="889"/>
    </row>
    <row r="38940" spans="7:7" ht="10.5" customHeight="1" x14ac:dyDescent="0.2">
      <c r="G38940" s="889"/>
    </row>
    <row r="38941" spans="7:7" ht="10.5" customHeight="1" x14ac:dyDescent="0.2">
      <c r="G38941" s="889"/>
    </row>
    <row r="38942" spans="7:7" ht="10.5" customHeight="1" x14ac:dyDescent="0.2">
      <c r="G38942" s="889"/>
    </row>
    <row r="38943" spans="7:7" ht="10.5" customHeight="1" x14ac:dyDescent="0.2">
      <c r="G38943" s="889"/>
    </row>
    <row r="38944" spans="7:7" ht="10.5" customHeight="1" x14ac:dyDescent="0.2">
      <c r="G38944" s="889"/>
    </row>
    <row r="38945" spans="7:7" ht="10.5" customHeight="1" x14ac:dyDescent="0.2">
      <c r="G38945" s="889"/>
    </row>
    <row r="38946" spans="7:7" ht="10.5" customHeight="1" x14ac:dyDescent="0.2">
      <c r="G38946" s="889"/>
    </row>
    <row r="38947" spans="7:7" ht="10.5" customHeight="1" x14ac:dyDescent="0.2">
      <c r="G38947" s="889"/>
    </row>
    <row r="38948" spans="7:7" ht="10.5" customHeight="1" x14ac:dyDescent="0.2">
      <c r="G38948" s="889"/>
    </row>
    <row r="38949" spans="7:7" ht="10.5" customHeight="1" x14ac:dyDescent="0.2">
      <c r="G38949" s="889"/>
    </row>
    <row r="38950" spans="7:7" ht="10.5" customHeight="1" x14ac:dyDescent="0.2">
      <c r="G38950" s="889"/>
    </row>
    <row r="38951" spans="7:7" ht="10.5" customHeight="1" x14ac:dyDescent="0.2">
      <c r="G38951" s="889"/>
    </row>
    <row r="38952" spans="7:7" ht="10.5" customHeight="1" x14ac:dyDescent="0.2">
      <c r="G38952" s="889"/>
    </row>
    <row r="38953" spans="7:7" ht="10.5" customHeight="1" x14ac:dyDescent="0.2">
      <c r="G38953" s="889"/>
    </row>
    <row r="38954" spans="7:7" ht="10.5" customHeight="1" x14ac:dyDescent="0.2">
      <c r="G38954" s="889"/>
    </row>
    <row r="38955" spans="7:7" ht="10.5" customHeight="1" x14ac:dyDescent="0.2">
      <c r="G38955" s="889"/>
    </row>
    <row r="38956" spans="7:7" ht="10.5" customHeight="1" x14ac:dyDescent="0.2">
      <c r="G38956" s="889"/>
    </row>
    <row r="38957" spans="7:7" ht="10.5" customHeight="1" x14ac:dyDescent="0.2">
      <c r="G38957" s="889"/>
    </row>
    <row r="38958" spans="7:7" ht="10.5" customHeight="1" x14ac:dyDescent="0.2">
      <c r="G38958" s="889"/>
    </row>
    <row r="38959" spans="7:7" ht="10.5" customHeight="1" x14ac:dyDescent="0.2">
      <c r="G38959" s="889"/>
    </row>
    <row r="38960" spans="7:7" ht="10.5" customHeight="1" x14ac:dyDescent="0.2">
      <c r="G38960" s="889"/>
    </row>
    <row r="38961" spans="7:7" ht="10.5" customHeight="1" x14ac:dyDescent="0.2">
      <c r="G38961" s="889"/>
    </row>
    <row r="38962" spans="7:7" ht="10.5" customHeight="1" x14ac:dyDescent="0.2">
      <c r="G38962" s="889"/>
    </row>
    <row r="38963" spans="7:7" ht="10.5" customHeight="1" x14ac:dyDescent="0.2">
      <c r="G38963" s="889"/>
    </row>
    <row r="38964" spans="7:7" ht="10.5" customHeight="1" x14ac:dyDescent="0.2">
      <c r="G38964" s="889"/>
    </row>
    <row r="38965" spans="7:7" ht="10.5" customHeight="1" x14ac:dyDescent="0.2">
      <c r="G38965" s="889"/>
    </row>
    <row r="38966" spans="7:7" ht="10.5" customHeight="1" x14ac:dyDescent="0.2">
      <c r="G38966" s="889"/>
    </row>
    <row r="38967" spans="7:7" ht="10.5" customHeight="1" x14ac:dyDescent="0.2">
      <c r="G38967" s="889"/>
    </row>
    <row r="38968" spans="7:7" ht="10.5" customHeight="1" x14ac:dyDescent="0.2">
      <c r="G38968" s="889"/>
    </row>
    <row r="38969" spans="7:7" ht="10.5" customHeight="1" x14ac:dyDescent="0.2">
      <c r="G38969" s="889"/>
    </row>
    <row r="38970" spans="7:7" ht="10.5" customHeight="1" x14ac:dyDescent="0.2">
      <c r="G38970" s="889"/>
    </row>
    <row r="38971" spans="7:7" ht="10.5" customHeight="1" x14ac:dyDescent="0.2">
      <c r="G38971" s="889"/>
    </row>
    <row r="38972" spans="7:7" ht="10.5" customHeight="1" x14ac:dyDescent="0.2">
      <c r="G38972" s="889"/>
    </row>
    <row r="38973" spans="7:7" ht="10.5" customHeight="1" x14ac:dyDescent="0.2">
      <c r="G38973" s="889"/>
    </row>
    <row r="38974" spans="7:7" ht="10.5" customHeight="1" x14ac:dyDescent="0.2">
      <c r="G38974" s="889"/>
    </row>
    <row r="38975" spans="7:7" ht="10.5" customHeight="1" x14ac:dyDescent="0.2">
      <c r="G38975" s="889"/>
    </row>
    <row r="38976" spans="7:7" ht="10.5" customHeight="1" x14ac:dyDescent="0.2">
      <c r="G38976" s="889"/>
    </row>
    <row r="38977" spans="7:7" ht="10.5" customHeight="1" x14ac:dyDescent="0.2">
      <c r="G38977" s="889"/>
    </row>
    <row r="38978" spans="7:7" ht="10.5" customHeight="1" x14ac:dyDescent="0.2">
      <c r="G38978" s="889"/>
    </row>
    <row r="38979" spans="7:7" ht="10.5" customHeight="1" x14ac:dyDescent="0.2">
      <c r="G38979" s="889"/>
    </row>
    <row r="38980" spans="7:7" ht="10.5" customHeight="1" x14ac:dyDescent="0.2">
      <c r="G38980" s="889"/>
    </row>
    <row r="38981" spans="7:7" ht="10.5" customHeight="1" x14ac:dyDescent="0.2">
      <c r="G38981" s="889"/>
    </row>
    <row r="38982" spans="7:7" ht="10.5" customHeight="1" x14ac:dyDescent="0.2">
      <c r="G38982" s="889"/>
    </row>
    <row r="38983" spans="7:7" ht="10.5" customHeight="1" x14ac:dyDescent="0.2">
      <c r="G38983" s="889"/>
    </row>
    <row r="38984" spans="7:7" ht="10.5" customHeight="1" x14ac:dyDescent="0.2">
      <c r="G38984" s="889"/>
    </row>
    <row r="38985" spans="7:7" ht="10.5" customHeight="1" x14ac:dyDescent="0.2">
      <c r="G38985" s="889"/>
    </row>
    <row r="38986" spans="7:7" ht="10.5" customHeight="1" x14ac:dyDescent="0.2">
      <c r="G38986" s="889"/>
    </row>
    <row r="38987" spans="7:7" ht="10.5" customHeight="1" x14ac:dyDescent="0.2">
      <c r="G38987" s="889"/>
    </row>
    <row r="38988" spans="7:7" ht="10.5" customHeight="1" x14ac:dyDescent="0.2">
      <c r="G38988" s="889"/>
    </row>
    <row r="38989" spans="7:7" ht="10.5" customHeight="1" x14ac:dyDescent="0.2">
      <c r="G38989" s="889"/>
    </row>
    <row r="38990" spans="7:7" ht="10.5" customHeight="1" x14ac:dyDescent="0.2">
      <c r="G38990" s="889"/>
    </row>
    <row r="38991" spans="7:7" ht="10.5" customHeight="1" x14ac:dyDescent="0.2">
      <c r="G38991" s="889"/>
    </row>
    <row r="38992" spans="7:7" ht="10.5" customHeight="1" x14ac:dyDescent="0.2">
      <c r="G38992" s="889"/>
    </row>
    <row r="38993" spans="7:7" ht="10.5" customHeight="1" x14ac:dyDescent="0.2">
      <c r="G38993" s="889"/>
    </row>
    <row r="38994" spans="7:7" ht="10.5" customHeight="1" x14ac:dyDescent="0.2">
      <c r="G38994" s="889"/>
    </row>
    <row r="38995" spans="7:7" ht="10.5" customHeight="1" x14ac:dyDescent="0.2">
      <c r="G38995" s="889"/>
    </row>
    <row r="38996" spans="7:7" ht="10.5" customHeight="1" x14ac:dyDescent="0.2">
      <c r="G38996" s="889"/>
    </row>
    <row r="38997" spans="7:7" ht="10.5" customHeight="1" x14ac:dyDescent="0.2">
      <c r="G38997" s="889"/>
    </row>
    <row r="38998" spans="7:7" ht="10.5" customHeight="1" x14ac:dyDescent="0.2">
      <c r="G38998" s="889"/>
    </row>
    <row r="38999" spans="7:7" ht="10.5" customHeight="1" x14ac:dyDescent="0.2">
      <c r="G38999" s="889"/>
    </row>
    <row r="39000" spans="7:7" ht="10.5" customHeight="1" x14ac:dyDescent="0.2">
      <c r="G39000" s="889"/>
    </row>
    <row r="39001" spans="7:7" ht="10.5" customHeight="1" x14ac:dyDescent="0.2">
      <c r="G39001" s="889"/>
    </row>
    <row r="39002" spans="7:7" ht="10.5" customHeight="1" x14ac:dyDescent="0.2">
      <c r="G39002" s="889"/>
    </row>
    <row r="39003" spans="7:7" ht="10.5" customHeight="1" x14ac:dyDescent="0.2">
      <c r="G39003" s="889"/>
    </row>
    <row r="39004" spans="7:7" ht="10.5" customHeight="1" x14ac:dyDescent="0.2">
      <c r="G39004" s="889"/>
    </row>
    <row r="39005" spans="7:7" ht="10.5" customHeight="1" x14ac:dyDescent="0.2">
      <c r="G39005" s="889"/>
    </row>
    <row r="39006" spans="7:7" ht="10.5" customHeight="1" x14ac:dyDescent="0.2">
      <c r="G39006" s="889"/>
    </row>
    <row r="39007" spans="7:7" ht="10.5" customHeight="1" x14ac:dyDescent="0.2">
      <c r="G39007" s="889"/>
    </row>
    <row r="39008" spans="7:7" ht="10.5" customHeight="1" x14ac:dyDescent="0.2">
      <c r="G39008" s="889"/>
    </row>
    <row r="39009" spans="7:7" ht="10.5" customHeight="1" x14ac:dyDescent="0.2">
      <c r="G39009" s="889"/>
    </row>
    <row r="39010" spans="7:7" ht="10.5" customHeight="1" x14ac:dyDescent="0.2">
      <c r="G39010" s="889"/>
    </row>
    <row r="39011" spans="7:7" ht="10.5" customHeight="1" x14ac:dyDescent="0.2">
      <c r="G39011" s="889"/>
    </row>
    <row r="39012" spans="7:7" ht="10.5" customHeight="1" x14ac:dyDescent="0.2">
      <c r="G39012" s="889"/>
    </row>
    <row r="39013" spans="7:7" ht="10.5" customHeight="1" x14ac:dyDescent="0.2">
      <c r="G39013" s="889"/>
    </row>
    <row r="39014" spans="7:7" ht="10.5" customHeight="1" x14ac:dyDescent="0.2">
      <c r="G39014" s="889"/>
    </row>
    <row r="39015" spans="7:7" ht="10.5" customHeight="1" x14ac:dyDescent="0.2">
      <c r="G39015" s="889"/>
    </row>
    <row r="39016" spans="7:7" ht="10.5" customHeight="1" x14ac:dyDescent="0.2">
      <c r="G39016" s="889"/>
    </row>
    <row r="39017" spans="7:7" ht="10.5" customHeight="1" x14ac:dyDescent="0.2">
      <c r="G39017" s="889"/>
    </row>
    <row r="39018" spans="7:7" ht="10.5" customHeight="1" x14ac:dyDescent="0.2">
      <c r="G39018" s="889"/>
    </row>
    <row r="39019" spans="7:7" ht="10.5" customHeight="1" x14ac:dyDescent="0.2">
      <c r="G39019" s="889"/>
    </row>
    <row r="39020" spans="7:7" ht="10.5" customHeight="1" x14ac:dyDescent="0.2">
      <c r="G39020" s="889"/>
    </row>
    <row r="39021" spans="7:7" ht="10.5" customHeight="1" x14ac:dyDescent="0.2">
      <c r="G39021" s="889"/>
    </row>
    <row r="39022" spans="7:7" ht="10.5" customHeight="1" x14ac:dyDescent="0.2">
      <c r="G39022" s="889"/>
    </row>
    <row r="39023" spans="7:7" ht="10.5" customHeight="1" x14ac:dyDescent="0.2">
      <c r="G39023" s="889"/>
    </row>
    <row r="39024" spans="7:7" ht="10.5" customHeight="1" x14ac:dyDescent="0.2">
      <c r="G39024" s="889"/>
    </row>
    <row r="39025" spans="7:7" ht="10.5" customHeight="1" x14ac:dyDescent="0.2">
      <c r="G39025" s="889"/>
    </row>
    <row r="39026" spans="7:7" ht="10.5" customHeight="1" x14ac:dyDescent="0.2">
      <c r="G39026" s="889"/>
    </row>
    <row r="39027" spans="7:7" ht="10.5" customHeight="1" x14ac:dyDescent="0.2">
      <c r="G39027" s="889"/>
    </row>
    <row r="39028" spans="7:7" ht="10.5" customHeight="1" x14ac:dyDescent="0.2">
      <c r="G39028" s="889"/>
    </row>
    <row r="39029" spans="7:7" ht="10.5" customHeight="1" x14ac:dyDescent="0.2">
      <c r="G39029" s="889"/>
    </row>
    <row r="39030" spans="7:7" ht="10.5" customHeight="1" x14ac:dyDescent="0.2">
      <c r="G39030" s="889"/>
    </row>
    <row r="39031" spans="7:7" ht="10.5" customHeight="1" x14ac:dyDescent="0.2">
      <c r="G39031" s="889"/>
    </row>
    <row r="39032" spans="7:7" ht="10.5" customHeight="1" x14ac:dyDescent="0.2">
      <c r="G39032" s="889"/>
    </row>
    <row r="39033" spans="7:7" ht="10.5" customHeight="1" x14ac:dyDescent="0.2">
      <c r="G39033" s="889"/>
    </row>
    <row r="39034" spans="7:7" ht="10.5" customHeight="1" x14ac:dyDescent="0.2">
      <c r="G39034" s="889"/>
    </row>
    <row r="39035" spans="7:7" ht="10.5" customHeight="1" x14ac:dyDescent="0.2">
      <c r="G39035" s="889"/>
    </row>
    <row r="39036" spans="7:7" ht="10.5" customHeight="1" x14ac:dyDescent="0.2">
      <c r="G39036" s="889"/>
    </row>
    <row r="39037" spans="7:7" ht="10.5" customHeight="1" x14ac:dyDescent="0.2">
      <c r="G39037" s="889"/>
    </row>
    <row r="39038" spans="7:7" ht="10.5" customHeight="1" x14ac:dyDescent="0.2">
      <c r="G39038" s="889"/>
    </row>
    <row r="39039" spans="7:7" ht="10.5" customHeight="1" x14ac:dyDescent="0.2">
      <c r="G39039" s="889"/>
    </row>
    <row r="39040" spans="7:7" ht="10.5" customHeight="1" x14ac:dyDescent="0.2">
      <c r="G39040" s="889"/>
    </row>
    <row r="39041" spans="7:7" ht="10.5" customHeight="1" x14ac:dyDescent="0.2">
      <c r="G39041" s="889"/>
    </row>
    <row r="39042" spans="7:7" ht="10.5" customHeight="1" x14ac:dyDescent="0.2">
      <c r="G39042" s="889"/>
    </row>
    <row r="39043" spans="7:7" ht="10.5" customHeight="1" x14ac:dyDescent="0.2">
      <c r="G39043" s="889"/>
    </row>
    <row r="39044" spans="7:7" ht="10.5" customHeight="1" x14ac:dyDescent="0.2">
      <c r="G39044" s="889"/>
    </row>
    <row r="39045" spans="7:7" ht="10.5" customHeight="1" x14ac:dyDescent="0.2">
      <c r="G39045" s="889"/>
    </row>
    <row r="39046" spans="7:7" ht="10.5" customHeight="1" x14ac:dyDescent="0.2">
      <c r="G39046" s="889"/>
    </row>
    <row r="39047" spans="7:7" ht="10.5" customHeight="1" x14ac:dyDescent="0.2">
      <c r="G39047" s="889"/>
    </row>
    <row r="39048" spans="7:7" ht="10.5" customHeight="1" x14ac:dyDescent="0.2">
      <c r="G39048" s="889"/>
    </row>
    <row r="39049" spans="7:7" ht="10.5" customHeight="1" x14ac:dyDescent="0.2">
      <c r="G39049" s="889"/>
    </row>
    <row r="39050" spans="7:7" ht="10.5" customHeight="1" x14ac:dyDescent="0.2">
      <c r="G39050" s="889"/>
    </row>
    <row r="39051" spans="7:7" ht="10.5" customHeight="1" x14ac:dyDescent="0.2">
      <c r="G39051" s="889"/>
    </row>
    <row r="39052" spans="7:7" ht="10.5" customHeight="1" x14ac:dyDescent="0.2">
      <c r="G39052" s="889"/>
    </row>
    <row r="39053" spans="7:7" ht="10.5" customHeight="1" x14ac:dyDescent="0.2">
      <c r="G39053" s="889"/>
    </row>
    <row r="39054" spans="7:7" ht="10.5" customHeight="1" x14ac:dyDescent="0.2">
      <c r="G39054" s="889"/>
    </row>
    <row r="39055" spans="7:7" ht="10.5" customHeight="1" x14ac:dyDescent="0.2">
      <c r="G39055" s="889"/>
    </row>
    <row r="39056" spans="7:7" ht="10.5" customHeight="1" x14ac:dyDescent="0.2">
      <c r="G39056" s="889"/>
    </row>
    <row r="39057" spans="7:7" ht="10.5" customHeight="1" x14ac:dyDescent="0.2">
      <c r="G39057" s="889"/>
    </row>
    <row r="39058" spans="7:7" ht="10.5" customHeight="1" x14ac:dyDescent="0.2">
      <c r="G39058" s="889"/>
    </row>
    <row r="39059" spans="7:7" ht="10.5" customHeight="1" x14ac:dyDescent="0.2">
      <c r="G39059" s="889"/>
    </row>
    <row r="39060" spans="7:7" ht="10.5" customHeight="1" x14ac:dyDescent="0.2">
      <c r="G39060" s="889"/>
    </row>
    <row r="39061" spans="7:7" ht="10.5" customHeight="1" x14ac:dyDescent="0.2">
      <c r="G39061" s="889"/>
    </row>
    <row r="39062" spans="7:7" ht="10.5" customHeight="1" x14ac:dyDescent="0.2">
      <c r="G39062" s="889"/>
    </row>
    <row r="39063" spans="7:7" ht="10.5" customHeight="1" x14ac:dyDescent="0.2">
      <c r="G39063" s="889"/>
    </row>
    <row r="39064" spans="7:7" ht="10.5" customHeight="1" x14ac:dyDescent="0.2">
      <c r="G39064" s="889"/>
    </row>
    <row r="39065" spans="7:7" ht="10.5" customHeight="1" x14ac:dyDescent="0.2">
      <c r="G39065" s="889"/>
    </row>
    <row r="39066" spans="7:7" ht="10.5" customHeight="1" x14ac:dyDescent="0.2">
      <c r="G39066" s="889"/>
    </row>
    <row r="39067" spans="7:7" ht="10.5" customHeight="1" x14ac:dyDescent="0.2">
      <c r="G39067" s="889"/>
    </row>
    <row r="39068" spans="7:7" ht="10.5" customHeight="1" x14ac:dyDescent="0.2">
      <c r="G39068" s="889"/>
    </row>
    <row r="39069" spans="7:7" ht="10.5" customHeight="1" x14ac:dyDescent="0.2">
      <c r="G39069" s="889"/>
    </row>
    <row r="39070" spans="7:7" ht="10.5" customHeight="1" x14ac:dyDescent="0.2">
      <c r="G39070" s="889"/>
    </row>
    <row r="39071" spans="7:7" ht="10.5" customHeight="1" x14ac:dyDescent="0.2">
      <c r="G39071" s="889"/>
    </row>
    <row r="39072" spans="7:7" ht="10.5" customHeight="1" x14ac:dyDescent="0.2">
      <c r="G39072" s="889"/>
    </row>
    <row r="39073" spans="7:7" ht="10.5" customHeight="1" x14ac:dyDescent="0.2">
      <c r="G39073" s="889"/>
    </row>
    <row r="39074" spans="7:7" ht="10.5" customHeight="1" x14ac:dyDescent="0.2">
      <c r="G39074" s="889"/>
    </row>
    <row r="39075" spans="7:7" ht="10.5" customHeight="1" x14ac:dyDescent="0.2">
      <c r="G39075" s="889"/>
    </row>
    <row r="39076" spans="7:7" ht="10.5" customHeight="1" x14ac:dyDescent="0.2">
      <c r="G39076" s="889"/>
    </row>
    <row r="39077" spans="7:7" ht="10.5" customHeight="1" x14ac:dyDescent="0.2">
      <c r="G39077" s="889"/>
    </row>
    <row r="39078" spans="7:7" ht="10.5" customHeight="1" x14ac:dyDescent="0.2">
      <c r="G39078" s="889"/>
    </row>
    <row r="39079" spans="7:7" ht="10.5" customHeight="1" x14ac:dyDescent="0.2">
      <c r="G39079" s="889"/>
    </row>
    <row r="39080" spans="7:7" ht="10.5" customHeight="1" x14ac:dyDescent="0.2">
      <c r="G39080" s="889"/>
    </row>
    <row r="39081" spans="7:7" ht="10.5" customHeight="1" x14ac:dyDescent="0.2">
      <c r="G39081" s="889"/>
    </row>
    <row r="39082" spans="7:7" ht="10.5" customHeight="1" x14ac:dyDescent="0.2">
      <c r="G39082" s="889"/>
    </row>
    <row r="39083" spans="7:7" ht="10.5" customHeight="1" x14ac:dyDescent="0.2">
      <c r="G39083" s="889"/>
    </row>
    <row r="39084" spans="7:7" ht="10.5" customHeight="1" x14ac:dyDescent="0.2">
      <c r="G39084" s="889"/>
    </row>
    <row r="39085" spans="7:7" ht="10.5" customHeight="1" x14ac:dyDescent="0.2">
      <c r="G39085" s="889"/>
    </row>
    <row r="39086" spans="7:7" ht="10.5" customHeight="1" x14ac:dyDescent="0.2">
      <c r="G39086" s="889"/>
    </row>
    <row r="39087" spans="7:7" ht="10.5" customHeight="1" x14ac:dyDescent="0.2">
      <c r="G39087" s="889"/>
    </row>
    <row r="39088" spans="7:7" ht="10.5" customHeight="1" x14ac:dyDescent="0.2">
      <c r="G39088" s="889"/>
    </row>
    <row r="39089" spans="7:7" ht="10.5" customHeight="1" x14ac:dyDescent="0.2">
      <c r="G39089" s="889"/>
    </row>
    <row r="39090" spans="7:7" ht="10.5" customHeight="1" x14ac:dyDescent="0.2">
      <c r="G39090" s="889"/>
    </row>
    <row r="39091" spans="7:7" ht="10.5" customHeight="1" x14ac:dyDescent="0.2">
      <c r="G39091" s="889"/>
    </row>
    <row r="39092" spans="7:7" ht="10.5" customHeight="1" x14ac:dyDescent="0.2">
      <c r="G39092" s="889"/>
    </row>
    <row r="39093" spans="7:7" ht="10.5" customHeight="1" x14ac:dyDescent="0.2">
      <c r="G39093" s="889"/>
    </row>
    <row r="39094" spans="7:7" ht="10.5" customHeight="1" x14ac:dyDescent="0.2">
      <c r="G39094" s="889"/>
    </row>
    <row r="39095" spans="7:7" ht="10.5" customHeight="1" x14ac:dyDescent="0.2">
      <c r="G39095" s="889"/>
    </row>
    <row r="39096" spans="7:7" ht="10.5" customHeight="1" x14ac:dyDescent="0.2">
      <c r="G39096" s="889"/>
    </row>
    <row r="39097" spans="7:7" ht="10.5" customHeight="1" x14ac:dyDescent="0.2">
      <c r="G39097" s="889"/>
    </row>
    <row r="39098" spans="7:7" ht="10.5" customHeight="1" x14ac:dyDescent="0.2">
      <c r="G39098" s="889"/>
    </row>
    <row r="39099" spans="7:7" ht="10.5" customHeight="1" x14ac:dyDescent="0.2">
      <c r="G39099" s="889"/>
    </row>
    <row r="39100" spans="7:7" ht="10.5" customHeight="1" x14ac:dyDescent="0.2">
      <c r="G39100" s="889"/>
    </row>
    <row r="39101" spans="7:7" ht="10.5" customHeight="1" x14ac:dyDescent="0.2">
      <c r="G39101" s="889"/>
    </row>
    <row r="39102" spans="7:7" ht="10.5" customHeight="1" x14ac:dyDescent="0.2">
      <c r="G39102" s="889"/>
    </row>
    <row r="39103" spans="7:7" ht="10.5" customHeight="1" x14ac:dyDescent="0.2">
      <c r="G39103" s="889"/>
    </row>
    <row r="39104" spans="7:7" ht="10.5" customHeight="1" x14ac:dyDescent="0.2">
      <c r="G39104" s="889"/>
    </row>
    <row r="39105" spans="7:7" ht="10.5" customHeight="1" x14ac:dyDescent="0.2">
      <c r="G39105" s="889"/>
    </row>
    <row r="39106" spans="7:7" ht="10.5" customHeight="1" x14ac:dyDescent="0.2">
      <c r="G39106" s="889"/>
    </row>
    <row r="39107" spans="7:7" ht="10.5" customHeight="1" x14ac:dyDescent="0.2">
      <c r="G39107" s="889"/>
    </row>
    <row r="39108" spans="7:7" ht="10.5" customHeight="1" x14ac:dyDescent="0.2">
      <c r="G39108" s="889"/>
    </row>
    <row r="39109" spans="7:7" ht="10.5" customHeight="1" x14ac:dyDescent="0.2">
      <c r="G39109" s="889"/>
    </row>
    <row r="39110" spans="7:7" ht="10.5" customHeight="1" x14ac:dyDescent="0.2">
      <c r="G39110" s="889"/>
    </row>
    <row r="39111" spans="7:7" ht="10.5" customHeight="1" x14ac:dyDescent="0.2">
      <c r="G39111" s="889"/>
    </row>
    <row r="39112" spans="7:7" ht="10.5" customHeight="1" x14ac:dyDescent="0.2">
      <c r="G39112" s="889"/>
    </row>
    <row r="39113" spans="7:7" ht="10.5" customHeight="1" x14ac:dyDescent="0.2">
      <c r="G39113" s="889"/>
    </row>
    <row r="39114" spans="7:7" ht="10.5" customHeight="1" x14ac:dyDescent="0.2">
      <c r="G39114" s="889"/>
    </row>
    <row r="39115" spans="7:7" ht="10.5" customHeight="1" x14ac:dyDescent="0.2">
      <c r="G39115" s="889"/>
    </row>
    <row r="39116" spans="7:7" ht="10.5" customHeight="1" x14ac:dyDescent="0.2">
      <c r="G39116" s="889"/>
    </row>
    <row r="39117" spans="7:7" ht="10.5" customHeight="1" x14ac:dyDescent="0.2">
      <c r="G39117" s="889"/>
    </row>
    <row r="39118" spans="7:7" ht="10.5" customHeight="1" x14ac:dyDescent="0.2">
      <c r="G39118" s="889"/>
    </row>
    <row r="39119" spans="7:7" ht="10.5" customHeight="1" x14ac:dyDescent="0.2">
      <c r="G39119" s="889"/>
    </row>
    <row r="39120" spans="7:7" ht="10.5" customHeight="1" x14ac:dyDescent="0.2">
      <c r="G39120" s="889"/>
    </row>
    <row r="39121" spans="7:7" ht="10.5" customHeight="1" x14ac:dyDescent="0.2">
      <c r="G39121" s="889"/>
    </row>
    <row r="39122" spans="7:7" ht="10.5" customHeight="1" x14ac:dyDescent="0.2">
      <c r="G39122" s="889"/>
    </row>
    <row r="39123" spans="7:7" ht="10.5" customHeight="1" x14ac:dyDescent="0.2">
      <c r="G39123" s="889"/>
    </row>
    <row r="39124" spans="7:7" ht="10.5" customHeight="1" x14ac:dyDescent="0.2">
      <c r="G39124" s="889"/>
    </row>
    <row r="39125" spans="7:7" ht="10.5" customHeight="1" x14ac:dyDescent="0.2">
      <c r="G39125" s="889"/>
    </row>
    <row r="39126" spans="7:7" ht="10.5" customHeight="1" x14ac:dyDescent="0.2">
      <c r="G39126" s="889"/>
    </row>
    <row r="39127" spans="7:7" ht="10.5" customHeight="1" x14ac:dyDescent="0.2">
      <c r="G39127" s="889"/>
    </row>
    <row r="39128" spans="7:7" ht="10.5" customHeight="1" x14ac:dyDescent="0.2">
      <c r="G39128" s="889"/>
    </row>
    <row r="39129" spans="7:7" ht="10.5" customHeight="1" x14ac:dyDescent="0.2">
      <c r="G39129" s="889"/>
    </row>
    <row r="39130" spans="7:7" ht="10.5" customHeight="1" x14ac:dyDescent="0.2">
      <c r="G39130" s="889"/>
    </row>
    <row r="39131" spans="7:7" ht="10.5" customHeight="1" x14ac:dyDescent="0.2">
      <c r="G39131" s="889"/>
    </row>
    <row r="39132" spans="7:7" ht="10.5" customHeight="1" x14ac:dyDescent="0.2">
      <c r="G39132" s="889"/>
    </row>
    <row r="39133" spans="7:7" ht="10.5" customHeight="1" x14ac:dyDescent="0.2">
      <c r="G39133" s="889"/>
    </row>
    <row r="39134" spans="7:7" ht="10.5" customHeight="1" x14ac:dyDescent="0.2">
      <c r="G39134" s="889"/>
    </row>
    <row r="39135" spans="7:7" ht="10.5" customHeight="1" x14ac:dyDescent="0.2">
      <c r="G39135" s="889"/>
    </row>
    <row r="39136" spans="7:7" ht="10.5" customHeight="1" x14ac:dyDescent="0.2">
      <c r="G39136" s="889"/>
    </row>
    <row r="39137" spans="7:7" ht="10.5" customHeight="1" x14ac:dyDescent="0.2">
      <c r="G39137" s="889"/>
    </row>
    <row r="39138" spans="7:7" ht="10.5" customHeight="1" x14ac:dyDescent="0.2">
      <c r="G39138" s="889"/>
    </row>
    <row r="39139" spans="7:7" ht="10.5" customHeight="1" x14ac:dyDescent="0.2">
      <c r="G39139" s="889"/>
    </row>
    <row r="39140" spans="7:7" ht="10.5" customHeight="1" x14ac:dyDescent="0.2">
      <c r="G39140" s="889"/>
    </row>
    <row r="39141" spans="7:7" ht="10.5" customHeight="1" x14ac:dyDescent="0.2">
      <c r="G39141" s="889"/>
    </row>
    <row r="39142" spans="7:7" ht="10.5" customHeight="1" x14ac:dyDescent="0.2">
      <c r="G39142" s="889"/>
    </row>
    <row r="39143" spans="7:7" ht="10.5" customHeight="1" x14ac:dyDescent="0.2">
      <c r="G39143" s="889"/>
    </row>
    <row r="39144" spans="7:7" ht="10.5" customHeight="1" x14ac:dyDescent="0.2">
      <c r="G39144" s="889"/>
    </row>
    <row r="39145" spans="7:7" ht="10.5" customHeight="1" x14ac:dyDescent="0.2">
      <c r="G39145" s="889"/>
    </row>
    <row r="39146" spans="7:7" ht="10.5" customHeight="1" x14ac:dyDescent="0.2">
      <c r="G39146" s="889"/>
    </row>
    <row r="39147" spans="7:7" ht="10.5" customHeight="1" x14ac:dyDescent="0.2">
      <c r="G39147" s="889"/>
    </row>
    <row r="39148" spans="7:7" ht="10.5" customHeight="1" x14ac:dyDescent="0.2">
      <c r="G39148" s="889"/>
    </row>
    <row r="39149" spans="7:7" ht="10.5" customHeight="1" x14ac:dyDescent="0.2">
      <c r="G39149" s="889"/>
    </row>
    <row r="39150" spans="7:7" ht="10.5" customHeight="1" x14ac:dyDescent="0.2">
      <c r="G39150" s="889"/>
    </row>
    <row r="39151" spans="7:7" ht="10.5" customHeight="1" x14ac:dyDescent="0.2">
      <c r="G39151" s="889"/>
    </row>
    <row r="39152" spans="7:7" ht="10.5" customHeight="1" x14ac:dyDescent="0.2">
      <c r="G39152" s="889"/>
    </row>
    <row r="39153" spans="7:7" ht="10.5" customHeight="1" x14ac:dyDescent="0.2">
      <c r="G39153" s="889"/>
    </row>
    <row r="39154" spans="7:7" ht="10.5" customHeight="1" x14ac:dyDescent="0.2">
      <c r="G39154" s="889"/>
    </row>
    <row r="39155" spans="7:7" ht="10.5" customHeight="1" x14ac:dyDescent="0.2">
      <c r="G39155" s="889"/>
    </row>
    <row r="39156" spans="7:7" ht="10.5" customHeight="1" x14ac:dyDescent="0.2">
      <c r="G39156" s="889"/>
    </row>
    <row r="39157" spans="7:7" ht="10.5" customHeight="1" x14ac:dyDescent="0.2">
      <c r="G39157" s="889"/>
    </row>
    <row r="39158" spans="7:7" ht="10.5" customHeight="1" x14ac:dyDescent="0.2">
      <c r="G39158" s="889"/>
    </row>
    <row r="39159" spans="7:7" ht="10.5" customHeight="1" x14ac:dyDescent="0.2">
      <c r="G39159" s="889"/>
    </row>
    <row r="39160" spans="7:7" ht="10.5" customHeight="1" x14ac:dyDescent="0.2">
      <c r="G39160" s="889"/>
    </row>
    <row r="39161" spans="7:7" ht="10.5" customHeight="1" x14ac:dyDescent="0.2">
      <c r="G39161" s="889"/>
    </row>
    <row r="39162" spans="7:7" ht="10.5" customHeight="1" x14ac:dyDescent="0.2">
      <c r="G39162" s="889"/>
    </row>
    <row r="39163" spans="7:7" ht="10.5" customHeight="1" x14ac:dyDescent="0.2">
      <c r="G39163" s="889"/>
    </row>
    <row r="39164" spans="7:7" ht="10.5" customHeight="1" x14ac:dyDescent="0.2">
      <c r="G39164" s="889"/>
    </row>
    <row r="39165" spans="7:7" ht="10.5" customHeight="1" x14ac:dyDescent="0.2">
      <c r="G39165" s="889"/>
    </row>
    <row r="39166" spans="7:7" ht="10.5" customHeight="1" x14ac:dyDescent="0.2">
      <c r="G39166" s="889"/>
    </row>
    <row r="39167" spans="7:7" ht="10.5" customHeight="1" x14ac:dyDescent="0.2">
      <c r="G39167" s="889"/>
    </row>
    <row r="39168" spans="7:7" ht="10.5" customHeight="1" x14ac:dyDescent="0.2">
      <c r="G39168" s="889"/>
    </row>
    <row r="39169" spans="7:7" ht="10.5" customHeight="1" x14ac:dyDescent="0.2">
      <c r="G39169" s="889"/>
    </row>
    <row r="39170" spans="7:7" ht="10.5" customHeight="1" x14ac:dyDescent="0.2">
      <c r="G39170" s="889"/>
    </row>
    <row r="39171" spans="7:7" ht="10.5" customHeight="1" x14ac:dyDescent="0.2">
      <c r="G39171" s="889"/>
    </row>
    <row r="39172" spans="7:7" ht="10.5" customHeight="1" x14ac:dyDescent="0.2">
      <c r="G39172" s="889"/>
    </row>
    <row r="39173" spans="7:7" ht="10.5" customHeight="1" x14ac:dyDescent="0.2">
      <c r="G39173" s="889"/>
    </row>
    <row r="39174" spans="7:7" ht="10.5" customHeight="1" x14ac:dyDescent="0.2">
      <c r="G39174" s="889"/>
    </row>
    <row r="39175" spans="7:7" ht="10.5" customHeight="1" x14ac:dyDescent="0.2">
      <c r="G39175" s="889"/>
    </row>
    <row r="39176" spans="7:7" ht="10.5" customHeight="1" x14ac:dyDescent="0.2">
      <c r="G39176" s="889"/>
    </row>
    <row r="39177" spans="7:7" ht="10.5" customHeight="1" x14ac:dyDescent="0.2">
      <c r="G39177" s="889"/>
    </row>
    <row r="39178" spans="7:7" ht="10.5" customHeight="1" x14ac:dyDescent="0.2">
      <c r="G39178" s="889"/>
    </row>
    <row r="39179" spans="7:7" ht="10.5" customHeight="1" x14ac:dyDescent="0.2">
      <c r="G39179" s="889"/>
    </row>
    <row r="39180" spans="7:7" ht="10.5" customHeight="1" x14ac:dyDescent="0.2">
      <c r="G39180" s="889"/>
    </row>
    <row r="39181" spans="7:7" ht="10.5" customHeight="1" x14ac:dyDescent="0.2">
      <c r="G39181" s="889"/>
    </row>
    <row r="39182" spans="7:7" ht="10.5" customHeight="1" x14ac:dyDescent="0.2">
      <c r="G39182" s="889"/>
    </row>
    <row r="39183" spans="7:7" ht="10.5" customHeight="1" x14ac:dyDescent="0.2">
      <c r="G39183" s="889"/>
    </row>
    <row r="39184" spans="7:7" ht="10.5" customHeight="1" x14ac:dyDescent="0.2">
      <c r="G39184" s="889"/>
    </row>
    <row r="39185" spans="7:7" ht="10.5" customHeight="1" x14ac:dyDescent="0.2">
      <c r="G39185" s="889"/>
    </row>
    <row r="39186" spans="7:7" ht="10.5" customHeight="1" x14ac:dyDescent="0.2">
      <c r="G39186" s="889"/>
    </row>
    <row r="39187" spans="7:7" ht="10.5" customHeight="1" x14ac:dyDescent="0.2">
      <c r="G39187" s="889"/>
    </row>
    <row r="39188" spans="7:7" ht="10.5" customHeight="1" x14ac:dyDescent="0.2">
      <c r="G39188" s="889"/>
    </row>
    <row r="39189" spans="7:7" ht="10.5" customHeight="1" x14ac:dyDescent="0.2">
      <c r="G39189" s="889"/>
    </row>
    <row r="39190" spans="7:7" ht="10.5" customHeight="1" x14ac:dyDescent="0.2">
      <c r="G39190" s="889"/>
    </row>
    <row r="39191" spans="7:7" ht="10.5" customHeight="1" x14ac:dyDescent="0.2">
      <c r="G39191" s="889"/>
    </row>
    <row r="39192" spans="7:7" ht="10.5" customHeight="1" x14ac:dyDescent="0.2">
      <c r="G39192" s="889"/>
    </row>
    <row r="39193" spans="7:7" ht="10.5" customHeight="1" x14ac:dyDescent="0.2">
      <c r="G39193" s="889"/>
    </row>
    <row r="39194" spans="7:7" ht="10.5" customHeight="1" x14ac:dyDescent="0.2">
      <c r="G39194" s="889"/>
    </row>
    <row r="39195" spans="7:7" ht="10.5" customHeight="1" x14ac:dyDescent="0.2">
      <c r="G39195" s="889"/>
    </row>
    <row r="39196" spans="7:7" ht="10.5" customHeight="1" x14ac:dyDescent="0.2">
      <c r="G39196" s="889"/>
    </row>
    <row r="39197" spans="7:7" ht="10.5" customHeight="1" x14ac:dyDescent="0.2">
      <c r="G39197" s="889"/>
    </row>
    <row r="39198" spans="7:7" ht="10.5" customHeight="1" x14ac:dyDescent="0.2">
      <c r="G39198" s="889"/>
    </row>
    <row r="39199" spans="7:7" ht="10.5" customHeight="1" x14ac:dyDescent="0.2">
      <c r="G39199" s="889"/>
    </row>
    <row r="39200" spans="7:7" ht="10.5" customHeight="1" x14ac:dyDescent="0.2">
      <c r="G39200" s="889"/>
    </row>
    <row r="39201" spans="7:7" ht="10.5" customHeight="1" x14ac:dyDescent="0.2">
      <c r="G39201" s="889"/>
    </row>
    <row r="39202" spans="7:7" ht="10.5" customHeight="1" x14ac:dyDescent="0.2">
      <c r="G39202" s="889"/>
    </row>
    <row r="39203" spans="7:7" ht="10.5" customHeight="1" x14ac:dyDescent="0.2">
      <c r="G39203" s="889"/>
    </row>
    <row r="39204" spans="7:7" ht="10.5" customHeight="1" x14ac:dyDescent="0.2">
      <c r="G39204" s="889"/>
    </row>
    <row r="39205" spans="7:7" ht="10.5" customHeight="1" x14ac:dyDescent="0.2">
      <c r="G39205" s="889"/>
    </row>
    <row r="39206" spans="7:7" ht="10.5" customHeight="1" x14ac:dyDescent="0.2">
      <c r="G39206" s="889"/>
    </row>
    <row r="39207" spans="7:7" ht="10.5" customHeight="1" x14ac:dyDescent="0.2">
      <c r="G39207" s="889"/>
    </row>
    <row r="39208" spans="7:7" ht="10.5" customHeight="1" x14ac:dyDescent="0.2">
      <c r="G39208" s="889"/>
    </row>
    <row r="39209" spans="7:7" ht="10.5" customHeight="1" x14ac:dyDescent="0.2">
      <c r="G39209" s="889"/>
    </row>
    <row r="39210" spans="7:7" ht="10.5" customHeight="1" x14ac:dyDescent="0.2">
      <c r="G39210" s="889"/>
    </row>
    <row r="39211" spans="7:7" ht="10.5" customHeight="1" x14ac:dyDescent="0.2">
      <c r="G39211" s="889"/>
    </row>
    <row r="39212" spans="7:7" ht="10.5" customHeight="1" x14ac:dyDescent="0.2">
      <c r="G39212" s="889"/>
    </row>
    <row r="39213" spans="7:7" ht="10.5" customHeight="1" x14ac:dyDescent="0.2">
      <c r="G39213" s="889"/>
    </row>
    <row r="39214" spans="7:7" ht="10.5" customHeight="1" x14ac:dyDescent="0.2">
      <c r="G39214" s="889"/>
    </row>
    <row r="39215" spans="7:7" ht="10.5" customHeight="1" x14ac:dyDescent="0.2">
      <c r="G39215" s="889"/>
    </row>
    <row r="39216" spans="7:7" ht="10.5" customHeight="1" x14ac:dyDescent="0.2">
      <c r="G39216" s="889"/>
    </row>
    <row r="39217" spans="7:7" ht="10.5" customHeight="1" x14ac:dyDescent="0.2">
      <c r="G39217" s="889"/>
    </row>
    <row r="39218" spans="7:7" ht="10.5" customHeight="1" x14ac:dyDescent="0.2">
      <c r="G39218" s="889"/>
    </row>
    <row r="39219" spans="7:7" ht="10.5" customHeight="1" x14ac:dyDescent="0.2">
      <c r="G39219" s="889"/>
    </row>
    <row r="39220" spans="7:7" ht="10.5" customHeight="1" x14ac:dyDescent="0.2">
      <c r="G39220" s="889"/>
    </row>
    <row r="39221" spans="7:7" ht="10.5" customHeight="1" x14ac:dyDescent="0.2">
      <c r="G39221" s="889"/>
    </row>
    <row r="39222" spans="7:7" ht="10.5" customHeight="1" x14ac:dyDescent="0.2">
      <c r="G39222" s="889"/>
    </row>
    <row r="39223" spans="7:7" ht="10.5" customHeight="1" x14ac:dyDescent="0.2">
      <c r="G39223" s="889"/>
    </row>
    <row r="39224" spans="7:7" ht="10.5" customHeight="1" x14ac:dyDescent="0.2">
      <c r="G39224" s="889"/>
    </row>
    <row r="39225" spans="7:7" ht="10.5" customHeight="1" x14ac:dyDescent="0.2">
      <c r="G39225" s="889"/>
    </row>
    <row r="39226" spans="7:7" ht="10.5" customHeight="1" x14ac:dyDescent="0.2">
      <c r="G39226" s="889"/>
    </row>
    <row r="39227" spans="7:7" ht="10.5" customHeight="1" x14ac:dyDescent="0.2">
      <c r="G39227" s="889"/>
    </row>
    <row r="39228" spans="7:7" ht="10.5" customHeight="1" x14ac:dyDescent="0.2">
      <c r="G39228" s="889"/>
    </row>
    <row r="39229" spans="7:7" ht="10.5" customHeight="1" x14ac:dyDescent="0.2">
      <c r="G39229" s="889"/>
    </row>
    <row r="39230" spans="7:7" ht="10.5" customHeight="1" x14ac:dyDescent="0.2">
      <c r="G39230" s="889"/>
    </row>
    <row r="39231" spans="7:7" ht="10.5" customHeight="1" x14ac:dyDescent="0.2">
      <c r="G39231" s="889"/>
    </row>
    <row r="39232" spans="7:7" ht="10.5" customHeight="1" x14ac:dyDescent="0.2">
      <c r="G39232" s="889"/>
    </row>
    <row r="39233" spans="7:7" ht="10.5" customHeight="1" x14ac:dyDescent="0.2">
      <c r="G39233" s="889"/>
    </row>
    <row r="39234" spans="7:7" ht="10.5" customHeight="1" x14ac:dyDescent="0.2">
      <c r="G39234" s="889"/>
    </row>
    <row r="39235" spans="7:7" ht="10.5" customHeight="1" x14ac:dyDescent="0.2">
      <c r="G39235" s="889"/>
    </row>
    <row r="39236" spans="7:7" ht="10.5" customHeight="1" x14ac:dyDescent="0.2">
      <c r="G39236" s="889"/>
    </row>
    <row r="39237" spans="7:7" ht="10.5" customHeight="1" x14ac:dyDescent="0.2">
      <c r="G39237" s="889"/>
    </row>
    <row r="39238" spans="7:7" ht="10.5" customHeight="1" x14ac:dyDescent="0.2">
      <c r="G39238" s="889"/>
    </row>
    <row r="39239" spans="7:7" ht="10.5" customHeight="1" x14ac:dyDescent="0.2">
      <c r="G39239" s="889"/>
    </row>
    <row r="39240" spans="7:7" ht="10.5" customHeight="1" x14ac:dyDescent="0.2">
      <c r="G39240" s="889"/>
    </row>
    <row r="39241" spans="7:7" ht="10.5" customHeight="1" x14ac:dyDescent="0.2">
      <c r="G39241" s="889"/>
    </row>
    <row r="39242" spans="7:7" ht="10.5" customHeight="1" x14ac:dyDescent="0.2">
      <c r="G39242" s="889"/>
    </row>
    <row r="39243" spans="7:7" ht="10.5" customHeight="1" x14ac:dyDescent="0.2">
      <c r="G39243" s="889"/>
    </row>
    <row r="39244" spans="7:7" ht="10.5" customHeight="1" x14ac:dyDescent="0.2">
      <c r="G39244" s="889"/>
    </row>
    <row r="39245" spans="7:7" ht="10.5" customHeight="1" x14ac:dyDescent="0.2">
      <c r="G39245" s="889"/>
    </row>
    <row r="39246" spans="7:7" ht="10.5" customHeight="1" x14ac:dyDescent="0.2">
      <c r="G39246" s="889"/>
    </row>
    <row r="39247" spans="7:7" ht="10.5" customHeight="1" x14ac:dyDescent="0.2">
      <c r="G39247" s="889"/>
    </row>
    <row r="39248" spans="7:7" ht="10.5" customHeight="1" x14ac:dyDescent="0.2">
      <c r="G39248" s="889"/>
    </row>
    <row r="39249" spans="7:7" ht="10.5" customHeight="1" x14ac:dyDescent="0.2">
      <c r="G39249" s="889"/>
    </row>
    <row r="39250" spans="7:7" ht="10.5" customHeight="1" x14ac:dyDescent="0.2">
      <c r="G39250" s="889"/>
    </row>
    <row r="39251" spans="7:7" ht="10.5" customHeight="1" x14ac:dyDescent="0.2">
      <c r="G39251" s="889"/>
    </row>
    <row r="39252" spans="7:7" ht="10.5" customHeight="1" x14ac:dyDescent="0.2">
      <c r="G39252" s="889"/>
    </row>
    <row r="39253" spans="7:7" ht="10.5" customHeight="1" x14ac:dyDescent="0.2">
      <c r="G39253" s="889"/>
    </row>
    <row r="39254" spans="7:7" ht="10.5" customHeight="1" x14ac:dyDescent="0.2">
      <c r="G39254" s="889"/>
    </row>
    <row r="39255" spans="7:7" ht="10.5" customHeight="1" x14ac:dyDescent="0.2">
      <c r="G39255" s="889"/>
    </row>
    <row r="39256" spans="7:7" ht="10.5" customHeight="1" x14ac:dyDescent="0.2">
      <c r="G39256" s="889"/>
    </row>
    <row r="39257" spans="7:7" ht="10.5" customHeight="1" x14ac:dyDescent="0.2">
      <c r="G39257" s="889"/>
    </row>
    <row r="39258" spans="7:7" ht="10.5" customHeight="1" x14ac:dyDescent="0.2">
      <c r="G39258" s="889"/>
    </row>
    <row r="39259" spans="7:7" ht="10.5" customHeight="1" x14ac:dyDescent="0.2">
      <c r="G39259" s="889"/>
    </row>
    <row r="39260" spans="7:7" ht="10.5" customHeight="1" x14ac:dyDescent="0.2">
      <c r="G39260" s="889"/>
    </row>
    <row r="39261" spans="7:7" ht="10.5" customHeight="1" x14ac:dyDescent="0.2">
      <c r="G39261" s="889"/>
    </row>
    <row r="39262" spans="7:7" ht="10.5" customHeight="1" x14ac:dyDescent="0.2">
      <c r="G39262" s="889"/>
    </row>
    <row r="39263" spans="7:7" ht="10.5" customHeight="1" x14ac:dyDescent="0.2">
      <c r="G39263" s="889"/>
    </row>
    <row r="39264" spans="7:7" ht="10.5" customHeight="1" x14ac:dyDescent="0.2">
      <c r="G39264" s="889"/>
    </row>
    <row r="39265" spans="7:7" ht="10.5" customHeight="1" x14ac:dyDescent="0.2">
      <c r="G39265" s="889"/>
    </row>
    <row r="39266" spans="7:7" ht="10.5" customHeight="1" x14ac:dyDescent="0.2">
      <c r="G39266" s="889"/>
    </row>
    <row r="39267" spans="7:7" ht="10.5" customHeight="1" x14ac:dyDescent="0.2">
      <c r="G39267" s="889"/>
    </row>
    <row r="39268" spans="7:7" ht="10.5" customHeight="1" x14ac:dyDescent="0.2">
      <c r="G39268" s="889"/>
    </row>
    <row r="39269" spans="7:7" ht="10.5" customHeight="1" x14ac:dyDescent="0.2">
      <c r="G39269" s="889"/>
    </row>
    <row r="39270" spans="7:7" ht="10.5" customHeight="1" x14ac:dyDescent="0.2">
      <c r="G39270" s="889"/>
    </row>
    <row r="39271" spans="7:7" ht="10.5" customHeight="1" x14ac:dyDescent="0.2">
      <c r="G39271" s="889"/>
    </row>
    <row r="39272" spans="7:7" ht="10.5" customHeight="1" x14ac:dyDescent="0.2">
      <c r="G39272" s="889"/>
    </row>
    <row r="39273" spans="7:7" ht="10.5" customHeight="1" x14ac:dyDescent="0.2">
      <c r="G39273" s="889"/>
    </row>
    <row r="39274" spans="7:7" ht="10.5" customHeight="1" x14ac:dyDescent="0.2">
      <c r="G39274" s="889"/>
    </row>
    <row r="39275" spans="7:7" ht="10.5" customHeight="1" x14ac:dyDescent="0.2">
      <c r="G39275" s="889"/>
    </row>
    <row r="39276" spans="7:7" ht="10.5" customHeight="1" x14ac:dyDescent="0.2">
      <c r="G39276" s="889"/>
    </row>
    <row r="39277" spans="7:7" ht="10.5" customHeight="1" x14ac:dyDescent="0.2">
      <c r="G39277" s="889"/>
    </row>
    <row r="39278" spans="7:7" ht="10.5" customHeight="1" x14ac:dyDescent="0.2">
      <c r="G39278" s="889"/>
    </row>
    <row r="39279" spans="7:7" ht="10.5" customHeight="1" x14ac:dyDescent="0.2">
      <c r="G39279" s="889"/>
    </row>
    <row r="39280" spans="7:7" ht="10.5" customHeight="1" x14ac:dyDescent="0.2">
      <c r="G39280" s="889"/>
    </row>
    <row r="39281" spans="7:7" ht="10.5" customHeight="1" x14ac:dyDescent="0.2">
      <c r="G39281" s="889"/>
    </row>
    <row r="39282" spans="7:7" ht="10.5" customHeight="1" x14ac:dyDescent="0.2">
      <c r="G39282" s="889"/>
    </row>
    <row r="39283" spans="7:7" ht="10.5" customHeight="1" x14ac:dyDescent="0.2">
      <c r="G39283" s="889"/>
    </row>
    <row r="39284" spans="7:7" ht="10.5" customHeight="1" x14ac:dyDescent="0.2">
      <c r="G39284" s="889"/>
    </row>
    <row r="39285" spans="7:7" ht="10.5" customHeight="1" x14ac:dyDescent="0.2">
      <c r="G39285" s="889"/>
    </row>
    <row r="39286" spans="7:7" ht="10.5" customHeight="1" x14ac:dyDescent="0.2">
      <c r="G39286" s="889"/>
    </row>
    <row r="39287" spans="7:7" ht="10.5" customHeight="1" x14ac:dyDescent="0.2">
      <c r="G39287" s="889"/>
    </row>
    <row r="39288" spans="7:7" ht="10.5" customHeight="1" x14ac:dyDescent="0.2">
      <c r="G39288" s="889"/>
    </row>
    <row r="39289" spans="7:7" ht="10.5" customHeight="1" x14ac:dyDescent="0.2">
      <c r="G39289" s="889"/>
    </row>
    <row r="39290" spans="7:7" ht="10.5" customHeight="1" x14ac:dyDescent="0.2">
      <c r="G39290" s="889"/>
    </row>
    <row r="39291" spans="7:7" ht="10.5" customHeight="1" x14ac:dyDescent="0.2">
      <c r="G39291" s="889"/>
    </row>
    <row r="39292" spans="7:7" ht="10.5" customHeight="1" x14ac:dyDescent="0.2">
      <c r="G39292" s="889"/>
    </row>
    <row r="39293" spans="7:7" ht="10.5" customHeight="1" x14ac:dyDescent="0.2">
      <c r="G39293" s="889"/>
    </row>
    <row r="39294" spans="7:7" ht="10.5" customHeight="1" x14ac:dyDescent="0.2">
      <c r="G39294" s="889"/>
    </row>
    <row r="39295" spans="7:7" ht="10.5" customHeight="1" x14ac:dyDescent="0.2">
      <c r="G39295" s="889"/>
    </row>
    <row r="39296" spans="7:7" ht="10.5" customHeight="1" x14ac:dyDescent="0.2">
      <c r="G39296" s="889"/>
    </row>
    <row r="39297" spans="7:7" ht="10.5" customHeight="1" x14ac:dyDescent="0.2">
      <c r="G39297" s="889"/>
    </row>
    <row r="39298" spans="7:7" ht="10.5" customHeight="1" x14ac:dyDescent="0.2">
      <c r="G39298" s="889"/>
    </row>
    <row r="39299" spans="7:7" ht="10.5" customHeight="1" x14ac:dyDescent="0.2">
      <c r="G39299" s="889"/>
    </row>
    <row r="39300" spans="7:7" ht="10.5" customHeight="1" x14ac:dyDescent="0.2">
      <c r="G39300" s="889"/>
    </row>
    <row r="39301" spans="7:7" ht="10.5" customHeight="1" x14ac:dyDescent="0.2">
      <c r="G39301" s="889"/>
    </row>
    <row r="39302" spans="7:7" ht="10.5" customHeight="1" x14ac:dyDescent="0.2">
      <c r="G39302" s="889"/>
    </row>
    <row r="39303" spans="7:7" ht="10.5" customHeight="1" x14ac:dyDescent="0.2">
      <c r="G39303" s="889"/>
    </row>
    <row r="39304" spans="7:7" ht="10.5" customHeight="1" x14ac:dyDescent="0.2">
      <c r="G39304" s="889"/>
    </row>
    <row r="39305" spans="7:7" ht="10.5" customHeight="1" x14ac:dyDescent="0.2">
      <c r="G39305" s="889"/>
    </row>
    <row r="39306" spans="7:7" ht="10.5" customHeight="1" x14ac:dyDescent="0.2">
      <c r="G39306" s="889"/>
    </row>
    <row r="39307" spans="7:7" ht="10.5" customHeight="1" x14ac:dyDescent="0.2">
      <c r="G39307" s="889"/>
    </row>
    <row r="39308" spans="7:7" ht="10.5" customHeight="1" x14ac:dyDescent="0.2">
      <c r="G39308" s="889"/>
    </row>
    <row r="39309" spans="7:7" ht="10.5" customHeight="1" x14ac:dyDescent="0.2">
      <c r="G39309" s="889"/>
    </row>
    <row r="39310" spans="7:7" ht="10.5" customHeight="1" x14ac:dyDescent="0.2">
      <c r="G39310" s="889"/>
    </row>
    <row r="39311" spans="7:7" ht="10.5" customHeight="1" x14ac:dyDescent="0.2">
      <c r="G39311" s="889"/>
    </row>
    <row r="39312" spans="7:7" ht="10.5" customHeight="1" x14ac:dyDescent="0.2">
      <c r="G39312" s="889"/>
    </row>
    <row r="39313" spans="7:7" ht="10.5" customHeight="1" x14ac:dyDescent="0.2">
      <c r="G39313" s="889"/>
    </row>
    <row r="39314" spans="7:7" ht="10.5" customHeight="1" x14ac:dyDescent="0.2">
      <c r="G39314" s="889"/>
    </row>
    <row r="39315" spans="7:7" ht="10.5" customHeight="1" x14ac:dyDescent="0.2">
      <c r="G39315" s="889"/>
    </row>
    <row r="39316" spans="7:7" ht="10.5" customHeight="1" x14ac:dyDescent="0.2">
      <c r="G39316" s="889"/>
    </row>
    <row r="39317" spans="7:7" ht="10.5" customHeight="1" x14ac:dyDescent="0.2">
      <c r="G39317" s="889"/>
    </row>
    <row r="39318" spans="7:7" ht="10.5" customHeight="1" x14ac:dyDescent="0.2">
      <c r="G39318" s="889"/>
    </row>
    <row r="39319" spans="7:7" ht="10.5" customHeight="1" x14ac:dyDescent="0.2">
      <c r="G39319" s="889"/>
    </row>
    <row r="39320" spans="7:7" ht="10.5" customHeight="1" x14ac:dyDescent="0.2">
      <c r="G39320" s="889"/>
    </row>
    <row r="39321" spans="7:7" ht="10.5" customHeight="1" x14ac:dyDescent="0.2">
      <c r="G39321" s="889"/>
    </row>
    <row r="39322" spans="7:7" ht="10.5" customHeight="1" x14ac:dyDescent="0.2">
      <c r="G39322" s="889"/>
    </row>
    <row r="39323" spans="7:7" ht="10.5" customHeight="1" x14ac:dyDescent="0.2">
      <c r="G39323" s="889"/>
    </row>
    <row r="39324" spans="7:7" ht="10.5" customHeight="1" x14ac:dyDescent="0.2">
      <c r="G39324" s="889"/>
    </row>
    <row r="39325" spans="7:7" ht="10.5" customHeight="1" x14ac:dyDescent="0.2">
      <c r="G39325" s="889"/>
    </row>
    <row r="39326" spans="7:7" ht="10.5" customHeight="1" x14ac:dyDescent="0.2">
      <c r="G39326" s="889"/>
    </row>
    <row r="39327" spans="7:7" ht="10.5" customHeight="1" x14ac:dyDescent="0.2">
      <c r="G39327" s="889"/>
    </row>
    <row r="39328" spans="7:7" ht="10.5" customHeight="1" x14ac:dyDescent="0.2">
      <c r="G39328" s="889"/>
    </row>
    <row r="39329" spans="7:7" ht="10.5" customHeight="1" x14ac:dyDescent="0.2">
      <c r="G39329" s="889"/>
    </row>
    <row r="39330" spans="7:7" ht="10.5" customHeight="1" x14ac:dyDescent="0.2">
      <c r="G39330" s="889"/>
    </row>
    <row r="39331" spans="7:7" ht="10.5" customHeight="1" x14ac:dyDescent="0.2">
      <c r="G39331" s="889"/>
    </row>
    <row r="39332" spans="7:7" ht="10.5" customHeight="1" x14ac:dyDescent="0.2">
      <c r="G39332" s="889"/>
    </row>
    <row r="39333" spans="7:7" ht="10.5" customHeight="1" x14ac:dyDescent="0.2">
      <c r="G39333" s="889"/>
    </row>
    <row r="39334" spans="7:7" ht="10.5" customHeight="1" x14ac:dyDescent="0.2">
      <c r="G39334" s="889"/>
    </row>
    <row r="39335" spans="7:7" ht="10.5" customHeight="1" x14ac:dyDescent="0.2">
      <c r="G39335" s="889"/>
    </row>
    <row r="39336" spans="7:7" ht="10.5" customHeight="1" x14ac:dyDescent="0.2">
      <c r="G39336" s="889"/>
    </row>
    <row r="39337" spans="7:7" ht="10.5" customHeight="1" x14ac:dyDescent="0.2">
      <c r="G39337" s="889"/>
    </row>
    <row r="39338" spans="7:7" ht="10.5" customHeight="1" x14ac:dyDescent="0.2">
      <c r="G39338" s="889"/>
    </row>
    <row r="39339" spans="7:7" ht="10.5" customHeight="1" x14ac:dyDescent="0.2">
      <c r="G39339" s="889"/>
    </row>
    <row r="39340" spans="7:7" ht="10.5" customHeight="1" x14ac:dyDescent="0.2">
      <c r="G39340" s="889"/>
    </row>
    <row r="39341" spans="7:7" ht="10.5" customHeight="1" x14ac:dyDescent="0.2">
      <c r="G39341" s="889"/>
    </row>
    <row r="39342" spans="7:7" ht="10.5" customHeight="1" x14ac:dyDescent="0.2">
      <c r="G39342" s="889"/>
    </row>
    <row r="39343" spans="7:7" ht="10.5" customHeight="1" x14ac:dyDescent="0.2">
      <c r="G39343" s="889"/>
    </row>
    <row r="39344" spans="7:7" ht="10.5" customHeight="1" x14ac:dyDescent="0.2">
      <c r="G39344" s="889"/>
    </row>
    <row r="39345" spans="7:7" ht="10.5" customHeight="1" x14ac:dyDescent="0.2">
      <c r="G39345" s="889"/>
    </row>
    <row r="39346" spans="7:7" ht="10.5" customHeight="1" x14ac:dyDescent="0.2">
      <c r="G39346" s="889"/>
    </row>
    <row r="39347" spans="7:7" ht="10.5" customHeight="1" x14ac:dyDescent="0.2">
      <c r="G39347" s="889"/>
    </row>
    <row r="39348" spans="7:7" ht="10.5" customHeight="1" x14ac:dyDescent="0.2">
      <c r="G39348" s="889"/>
    </row>
    <row r="39349" spans="7:7" ht="10.5" customHeight="1" x14ac:dyDescent="0.2">
      <c r="G39349" s="889"/>
    </row>
    <row r="39350" spans="7:7" ht="10.5" customHeight="1" x14ac:dyDescent="0.2">
      <c r="G39350" s="889"/>
    </row>
    <row r="39351" spans="7:7" ht="10.5" customHeight="1" x14ac:dyDescent="0.2">
      <c r="G39351" s="889"/>
    </row>
    <row r="39352" spans="7:7" ht="10.5" customHeight="1" x14ac:dyDescent="0.2">
      <c r="G39352" s="889"/>
    </row>
    <row r="39353" spans="7:7" ht="10.5" customHeight="1" x14ac:dyDescent="0.2">
      <c r="G39353" s="889"/>
    </row>
    <row r="39354" spans="7:7" ht="10.5" customHeight="1" x14ac:dyDescent="0.2">
      <c r="G39354" s="889"/>
    </row>
    <row r="39355" spans="7:7" ht="10.5" customHeight="1" x14ac:dyDescent="0.2">
      <c r="G39355" s="889"/>
    </row>
    <row r="39356" spans="7:7" ht="10.5" customHeight="1" x14ac:dyDescent="0.2">
      <c r="G39356" s="889"/>
    </row>
    <row r="39357" spans="7:7" ht="10.5" customHeight="1" x14ac:dyDescent="0.2">
      <c r="G39357" s="889"/>
    </row>
    <row r="39358" spans="7:7" ht="10.5" customHeight="1" x14ac:dyDescent="0.2">
      <c r="G39358" s="889"/>
    </row>
    <row r="39359" spans="7:7" ht="10.5" customHeight="1" x14ac:dyDescent="0.2">
      <c r="G39359" s="889"/>
    </row>
    <row r="39360" spans="7:7" ht="10.5" customHeight="1" x14ac:dyDescent="0.2">
      <c r="G39360" s="889"/>
    </row>
    <row r="39361" spans="7:7" ht="10.5" customHeight="1" x14ac:dyDescent="0.2">
      <c r="G39361" s="889"/>
    </row>
    <row r="39362" spans="7:7" ht="10.5" customHeight="1" x14ac:dyDescent="0.2">
      <c r="G39362" s="889"/>
    </row>
    <row r="39363" spans="7:7" ht="10.5" customHeight="1" x14ac:dyDescent="0.2">
      <c r="G39363" s="889"/>
    </row>
    <row r="39364" spans="7:7" ht="10.5" customHeight="1" x14ac:dyDescent="0.2">
      <c r="G39364" s="889"/>
    </row>
    <row r="39365" spans="7:7" ht="10.5" customHeight="1" x14ac:dyDescent="0.2">
      <c r="G39365" s="889"/>
    </row>
    <row r="39366" spans="7:7" ht="10.5" customHeight="1" x14ac:dyDescent="0.2">
      <c r="G39366" s="889"/>
    </row>
    <row r="39367" spans="7:7" ht="10.5" customHeight="1" x14ac:dyDescent="0.2">
      <c r="G39367" s="889"/>
    </row>
    <row r="39368" spans="7:7" ht="10.5" customHeight="1" x14ac:dyDescent="0.2">
      <c r="G39368" s="889"/>
    </row>
    <row r="39369" spans="7:7" ht="10.5" customHeight="1" x14ac:dyDescent="0.2">
      <c r="G39369" s="889"/>
    </row>
    <row r="39370" spans="7:7" ht="10.5" customHeight="1" x14ac:dyDescent="0.2">
      <c r="G39370" s="889"/>
    </row>
    <row r="39371" spans="7:7" ht="10.5" customHeight="1" x14ac:dyDescent="0.2">
      <c r="G39371" s="889"/>
    </row>
    <row r="39372" spans="7:7" ht="10.5" customHeight="1" x14ac:dyDescent="0.2">
      <c r="G39372" s="889"/>
    </row>
    <row r="39373" spans="7:7" ht="10.5" customHeight="1" x14ac:dyDescent="0.2">
      <c r="G39373" s="889"/>
    </row>
    <row r="39374" spans="7:7" ht="10.5" customHeight="1" x14ac:dyDescent="0.2">
      <c r="G39374" s="889"/>
    </row>
    <row r="39375" spans="7:7" ht="10.5" customHeight="1" x14ac:dyDescent="0.2">
      <c r="G39375" s="889"/>
    </row>
    <row r="39376" spans="7:7" ht="10.5" customHeight="1" x14ac:dyDescent="0.2">
      <c r="G39376" s="889"/>
    </row>
    <row r="39377" spans="7:7" ht="10.5" customHeight="1" x14ac:dyDescent="0.2">
      <c r="G39377" s="889"/>
    </row>
    <row r="39378" spans="7:7" ht="10.5" customHeight="1" x14ac:dyDescent="0.2">
      <c r="G39378" s="889"/>
    </row>
    <row r="39379" spans="7:7" ht="10.5" customHeight="1" x14ac:dyDescent="0.2">
      <c r="G39379" s="889"/>
    </row>
    <row r="39380" spans="7:7" ht="10.5" customHeight="1" x14ac:dyDescent="0.2">
      <c r="G39380" s="889"/>
    </row>
    <row r="39381" spans="7:7" ht="10.5" customHeight="1" x14ac:dyDescent="0.2">
      <c r="G39381" s="889"/>
    </row>
    <row r="39382" spans="7:7" ht="10.5" customHeight="1" x14ac:dyDescent="0.2">
      <c r="G39382" s="889"/>
    </row>
    <row r="39383" spans="7:7" ht="10.5" customHeight="1" x14ac:dyDescent="0.2">
      <c r="G39383" s="889"/>
    </row>
    <row r="39384" spans="7:7" ht="10.5" customHeight="1" x14ac:dyDescent="0.2">
      <c r="G39384" s="889"/>
    </row>
    <row r="39385" spans="7:7" ht="10.5" customHeight="1" x14ac:dyDescent="0.2">
      <c r="G39385" s="889"/>
    </row>
    <row r="39386" spans="7:7" ht="10.5" customHeight="1" x14ac:dyDescent="0.2">
      <c r="G39386" s="889"/>
    </row>
    <row r="39387" spans="7:7" ht="10.5" customHeight="1" x14ac:dyDescent="0.2">
      <c r="G39387" s="889"/>
    </row>
    <row r="39388" spans="7:7" ht="10.5" customHeight="1" x14ac:dyDescent="0.2">
      <c r="G39388" s="889"/>
    </row>
    <row r="39389" spans="7:7" ht="10.5" customHeight="1" x14ac:dyDescent="0.2">
      <c r="G39389" s="889"/>
    </row>
    <row r="39390" spans="7:7" ht="10.5" customHeight="1" x14ac:dyDescent="0.2">
      <c r="G39390" s="889"/>
    </row>
    <row r="39391" spans="7:7" ht="10.5" customHeight="1" x14ac:dyDescent="0.2">
      <c r="G39391" s="889"/>
    </row>
    <row r="39392" spans="7:7" ht="10.5" customHeight="1" x14ac:dyDescent="0.2">
      <c r="G39392" s="889"/>
    </row>
    <row r="39393" spans="7:7" ht="10.5" customHeight="1" x14ac:dyDescent="0.2">
      <c r="G39393" s="889"/>
    </row>
    <row r="39394" spans="7:7" ht="10.5" customHeight="1" x14ac:dyDescent="0.2">
      <c r="G39394" s="889"/>
    </row>
    <row r="39395" spans="7:7" ht="10.5" customHeight="1" x14ac:dyDescent="0.2">
      <c r="G39395" s="889"/>
    </row>
    <row r="39396" spans="7:7" ht="10.5" customHeight="1" x14ac:dyDescent="0.2">
      <c r="G39396" s="889"/>
    </row>
    <row r="39397" spans="7:7" ht="10.5" customHeight="1" x14ac:dyDescent="0.2">
      <c r="G39397" s="889"/>
    </row>
    <row r="39398" spans="7:7" ht="10.5" customHeight="1" x14ac:dyDescent="0.2">
      <c r="G39398" s="889"/>
    </row>
    <row r="39399" spans="7:7" ht="10.5" customHeight="1" x14ac:dyDescent="0.2">
      <c r="G39399" s="889"/>
    </row>
    <row r="39400" spans="7:7" ht="10.5" customHeight="1" x14ac:dyDescent="0.2">
      <c r="G39400" s="889"/>
    </row>
    <row r="39401" spans="7:7" ht="10.5" customHeight="1" x14ac:dyDescent="0.2">
      <c r="G39401" s="889"/>
    </row>
    <row r="39402" spans="7:7" ht="10.5" customHeight="1" x14ac:dyDescent="0.2">
      <c r="G39402" s="889"/>
    </row>
    <row r="39403" spans="7:7" ht="10.5" customHeight="1" x14ac:dyDescent="0.2">
      <c r="G39403" s="889"/>
    </row>
    <row r="39404" spans="7:7" ht="10.5" customHeight="1" x14ac:dyDescent="0.2">
      <c r="G39404" s="889"/>
    </row>
    <row r="39405" spans="7:7" ht="10.5" customHeight="1" x14ac:dyDescent="0.2">
      <c r="G39405" s="889"/>
    </row>
    <row r="39406" spans="7:7" ht="10.5" customHeight="1" x14ac:dyDescent="0.2">
      <c r="G39406" s="889"/>
    </row>
    <row r="39407" spans="7:7" ht="10.5" customHeight="1" x14ac:dyDescent="0.2">
      <c r="G39407" s="889"/>
    </row>
    <row r="39408" spans="7:7" ht="10.5" customHeight="1" x14ac:dyDescent="0.2">
      <c r="G39408" s="889"/>
    </row>
    <row r="39409" spans="7:7" ht="10.5" customHeight="1" x14ac:dyDescent="0.2">
      <c r="G39409" s="889"/>
    </row>
    <row r="39410" spans="7:7" ht="10.5" customHeight="1" x14ac:dyDescent="0.2">
      <c r="G39410" s="889"/>
    </row>
    <row r="39411" spans="7:7" ht="10.5" customHeight="1" x14ac:dyDescent="0.2">
      <c r="G39411" s="889"/>
    </row>
    <row r="39412" spans="7:7" ht="10.5" customHeight="1" x14ac:dyDescent="0.2">
      <c r="G39412" s="889"/>
    </row>
    <row r="39413" spans="7:7" ht="10.5" customHeight="1" x14ac:dyDescent="0.2">
      <c r="G39413" s="889"/>
    </row>
    <row r="39414" spans="7:7" ht="10.5" customHeight="1" x14ac:dyDescent="0.2">
      <c r="G39414" s="889"/>
    </row>
    <row r="39415" spans="7:7" ht="10.5" customHeight="1" x14ac:dyDescent="0.2">
      <c r="G39415" s="889"/>
    </row>
    <row r="39416" spans="7:7" ht="10.5" customHeight="1" x14ac:dyDescent="0.2">
      <c r="G39416" s="889"/>
    </row>
    <row r="39417" spans="7:7" ht="10.5" customHeight="1" x14ac:dyDescent="0.2">
      <c r="G39417" s="889"/>
    </row>
    <row r="39418" spans="7:7" ht="10.5" customHeight="1" x14ac:dyDescent="0.2">
      <c r="G39418" s="889"/>
    </row>
    <row r="39419" spans="7:7" ht="10.5" customHeight="1" x14ac:dyDescent="0.2">
      <c r="G39419" s="889"/>
    </row>
    <row r="39420" spans="7:7" ht="10.5" customHeight="1" x14ac:dyDescent="0.2">
      <c r="G39420" s="889"/>
    </row>
    <row r="39421" spans="7:7" ht="10.5" customHeight="1" x14ac:dyDescent="0.2">
      <c r="G39421" s="889"/>
    </row>
    <row r="39422" spans="7:7" ht="10.5" customHeight="1" x14ac:dyDescent="0.2">
      <c r="G39422" s="889"/>
    </row>
    <row r="39423" spans="7:7" ht="10.5" customHeight="1" x14ac:dyDescent="0.2">
      <c r="G39423" s="889"/>
    </row>
    <row r="39424" spans="7:7" ht="10.5" customHeight="1" x14ac:dyDescent="0.2">
      <c r="G39424" s="889"/>
    </row>
    <row r="39425" spans="7:7" ht="10.5" customHeight="1" x14ac:dyDescent="0.2">
      <c r="G39425" s="889"/>
    </row>
    <row r="39426" spans="7:7" ht="10.5" customHeight="1" x14ac:dyDescent="0.2">
      <c r="G39426" s="889"/>
    </row>
    <row r="39427" spans="7:7" ht="10.5" customHeight="1" x14ac:dyDescent="0.2">
      <c r="G39427" s="889"/>
    </row>
    <row r="39428" spans="7:7" ht="10.5" customHeight="1" x14ac:dyDescent="0.2">
      <c r="G39428" s="889"/>
    </row>
    <row r="39429" spans="7:7" ht="10.5" customHeight="1" x14ac:dyDescent="0.2">
      <c r="G39429" s="889"/>
    </row>
    <row r="39430" spans="7:7" ht="10.5" customHeight="1" x14ac:dyDescent="0.2">
      <c r="G39430" s="889"/>
    </row>
    <row r="39431" spans="7:7" ht="10.5" customHeight="1" x14ac:dyDescent="0.2">
      <c r="G39431" s="889"/>
    </row>
    <row r="39432" spans="7:7" ht="10.5" customHeight="1" x14ac:dyDescent="0.2">
      <c r="G39432" s="889"/>
    </row>
    <row r="39433" spans="7:7" ht="10.5" customHeight="1" x14ac:dyDescent="0.2">
      <c r="G39433" s="889"/>
    </row>
    <row r="39434" spans="7:7" ht="10.5" customHeight="1" x14ac:dyDescent="0.2">
      <c r="G39434" s="889"/>
    </row>
    <row r="39435" spans="7:7" ht="10.5" customHeight="1" x14ac:dyDescent="0.2">
      <c r="G39435" s="889"/>
    </row>
    <row r="39436" spans="7:7" ht="10.5" customHeight="1" x14ac:dyDescent="0.2">
      <c r="G39436" s="889"/>
    </row>
    <row r="39437" spans="7:7" ht="10.5" customHeight="1" x14ac:dyDescent="0.2">
      <c r="G39437" s="889"/>
    </row>
    <row r="39438" spans="7:7" ht="10.5" customHeight="1" x14ac:dyDescent="0.2">
      <c r="G39438" s="889"/>
    </row>
    <row r="39439" spans="7:7" ht="10.5" customHeight="1" x14ac:dyDescent="0.2">
      <c r="G39439" s="889"/>
    </row>
    <row r="39440" spans="7:7" ht="10.5" customHeight="1" x14ac:dyDescent="0.2">
      <c r="G39440" s="889"/>
    </row>
    <row r="39441" spans="7:7" ht="10.5" customHeight="1" x14ac:dyDescent="0.2">
      <c r="G39441" s="889"/>
    </row>
    <row r="39442" spans="7:7" ht="10.5" customHeight="1" x14ac:dyDescent="0.2">
      <c r="G39442" s="889"/>
    </row>
    <row r="39443" spans="7:7" ht="10.5" customHeight="1" x14ac:dyDescent="0.2">
      <c r="G39443" s="889"/>
    </row>
    <row r="39444" spans="7:7" ht="10.5" customHeight="1" x14ac:dyDescent="0.2">
      <c r="G39444" s="889"/>
    </row>
    <row r="39445" spans="7:7" ht="10.5" customHeight="1" x14ac:dyDescent="0.2">
      <c r="G39445" s="889"/>
    </row>
    <row r="39446" spans="7:7" ht="10.5" customHeight="1" x14ac:dyDescent="0.2">
      <c r="G39446" s="889"/>
    </row>
    <row r="39447" spans="7:7" ht="10.5" customHeight="1" x14ac:dyDescent="0.2">
      <c r="G39447" s="889"/>
    </row>
    <row r="39448" spans="7:7" ht="10.5" customHeight="1" x14ac:dyDescent="0.2">
      <c r="G39448" s="889"/>
    </row>
    <row r="39449" spans="7:7" ht="10.5" customHeight="1" x14ac:dyDescent="0.2">
      <c r="G39449" s="889"/>
    </row>
    <row r="39450" spans="7:7" ht="10.5" customHeight="1" x14ac:dyDescent="0.2">
      <c r="G39450" s="889"/>
    </row>
    <row r="39451" spans="7:7" ht="10.5" customHeight="1" x14ac:dyDescent="0.2">
      <c r="G39451" s="889"/>
    </row>
    <row r="39452" spans="7:7" ht="10.5" customHeight="1" x14ac:dyDescent="0.2">
      <c r="G39452" s="889"/>
    </row>
    <row r="39453" spans="7:7" ht="10.5" customHeight="1" x14ac:dyDescent="0.2">
      <c r="G39453" s="889"/>
    </row>
    <row r="39454" spans="7:7" ht="10.5" customHeight="1" x14ac:dyDescent="0.2">
      <c r="G39454" s="889"/>
    </row>
    <row r="39455" spans="7:7" ht="10.5" customHeight="1" x14ac:dyDescent="0.2">
      <c r="G39455" s="889"/>
    </row>
    <row r="39456" spans="7:7" ht="10.5" customHeight="1" x14ac:dyDescent="0.2">
      <c r="G39456" s="889"/>
    </row>
    <row r="39457" spans="7:7" ht="10.5" customHeight="1" x14ac:dyDescent="0.2">
      <c r="G39457" s="889"/>
    </row>
    <row r="39458" spans="7:7" ht="10.5" customHeight="1" x14ac:dyDescent="0.2">
      <c r="G39458" s="889"/>
    </row>
    <row r="39459" spans="7:7" ht="10.5" customHeight="1" x14ac:dyDescent="0.2">
      <c r="G39459" s="889"/>
    </row>
    <row r="39460" spans="7:7" ht="10.5" customHeight="1" x14ac:dyDescent="0.2">
      <c r="G39460" s="889"/>
    </row>
    <row r="39461" spans="7:7" ht="10.5" customHeight="1" x14ac:dyDescent="0.2">
      <c r="G39461" s="889"/>
    </row>
    <row r="39462" spans="7:7" ht="10.5" customHeight="1" x14ac:dyDescent="0.2">
      <c r="G39462" s="889"/>
    </row>
    <row r="39463" spans="7:7" ht="10.5" customHeight="1" x14ac:dyDescent="0.2">
      <c r="G39463" s="889"/>
    </row>
    <row r="39464" spans="7:7" ht="10.5" customHeight="1" x14ac:dyDescent="0.2">
      <c r="G39464" s="889"/>
    </row>
    <row r="39465" spans="7:7" ht="10.5" customHeight="1" x14ac:dyDescent="0.2">
      <c r="G39465" s="889"/>
    </row>
    <row r="39466" spans="7:7" ht="10.5" customHeight="1" x14ac:dyDescent="0.2">
      <c r="G39466" s="889"/>
    </row>
    <row r="39467" spans="7:7" ht="10.5" customHeight="1" x14ac:dyDescent="0.2">
      <c r="G39467" s="889"/>
    </row>
    <row r="39468" spans="7:7" ht="10.5" customHeight="1" x14ac:dyDescent="0.2">
      <c r="G39468" s="889"/>
    </row>
    <row r="39469" spans="7:7" ht="10.5" customHeight="1" x14ac:dyDescent="0.2">
      <c r="G39469" s="889"/>
    </row>
    <row r="39470" spans="7:7" ht="10.5" customHeight="1" x14ac:dyDescent="0.2">
      <c r="G39470" s="889"/>
    </row>
    <row r="39471" spans="7:7" ht="10.5" customHeight="1" x14ac:dyDescent="0.2">
      <c r="G39471" s="889"/>
    </row>
    <row r="39472" spans="7:7" ht="10.5" customHeight="1" x14ac:dyDescent="0.2">
      <c r="G39472" s="889"/>
    </row>
    <row r="39473" spans="7:7" ht="10.5" customHeight="1" x14ac:dyDescent="0.2">
      <c r="G39473" s="889"/>
    </row>
    <row r="39474" spans="7:7" ht="10.5" customHeight="1" x14ac:dyDescent="0.2">
      <c r="G39474" s="889"/>
    </row>
    <row r="39475" spans="7:7" ht="10.5" customHeight="1" x14ac:dyDescent="0.2">
      <c r="G39475" s="889"/>
    </row>
    <row r="39476" spans="7:7" ht="10.5" customHeight="1" x14ac:dyDescent="0.2">
      <c r="G39476" s="889"/>
    </row>
    <row r="39477" spans="7:7" ht="10.5" customHeight="1" x14ac:dyDescent="0.2">
      <c r="G39477" s="889"/>
    </row>
    <row r="39478" spans="7:7" ht="10.5" customHeight="1" x14ac:dyDescent="0.2">
      <c r="G39478" s="889"/>
    </row>
    <row r="39479" spans="7:7" ht="10.5" customHeight="1" x14ac:dyDescent="0.2">
      <c r="G39479" s="889"/>
    </row>
    <row r="39480" spans="7:7" ht="10.5" customHeight="1" x14ac:dyDescent="0.2">
      <c r="G39480" s="889"/>
    </row>
    <row r="39481" spans="7:7" ht="10.5" customHeight="1" x14ac:dyDescent="0.2">
      <c r="G39481" s="889"/>
    </row>
    <row r="39482" spans="7:7" ht="10.5" customHeight="1" x14ac:dyDescent="0.2">
      <c r="G39482" s="889"/>
    </row>
    <row r="39483" spans="7:7" ht="10.5" customHeight="1" x14ac:dyDescent="0.2">
      <c r="G39483" s="889"/>
    </row>
    <row r="39484" spans="7:7" ht="10.5" customHeight="1" x14ac:dyDescent="0.2">
      <c r="G39484" s="889"/>
    </row>
    <row r="39485" spans="7:7" ht="10.5" customHeight="1" x14ac:dyDescent="0.2">
      <c r="G39485" s="889"/>
    </row>
    <row r="39486" spans="7:7" ht="10.5" customHeight="1" x14ac:dyDescent="0.2">
      <c r="G39486" s="889"/>
    </row>
    <row r="39487" spans="7:7" ht="10.5" customHeight="1" x14ac:dyDescent="0.2">
      <c r="G39487" s="889"/>
    </row>
    <row r="39488" spans="7:7" ht="10.5" customHeight="1" x14ac:dyDescent="0.2">
      <c r="G39488" s="889"/>
    </row>
    <row r="39489" spans="7:7" ht="10.5" customHeight="1" x14ac:dyDescent="0.2">
      <c r="G39489" s="889"/>
    </row>
    <row r="39490" spans="7:7" ht="10.5" customHeight="1" x14ac:dyDescent="0.2">
      <c r="G39490" s="889"/>
    </row>
    <row r="39491" spans="7:7" ht="10.5" customHeight="1" x14ac:dyDescent="0.2">
      <c r="G39491" s="889"/>
    </row>
    <row r="39492" spans="7:7" ht="10.5" customHeight="1" x14ac:dyDescent="0.2">
      <c r="G39492" s="889"/>
    </row>
    <row r="39493" spans="7:7" ht="10.5" customHeight="1" x14ac:dyDescent="0.2">
      <c r="G39493" s="889"/>
    </row>
    <row r="39494" spans="7:7" ht="10.5" customHeight="1" x14ac:dyDescent="0.2">
      <c r="G39494" s="889"/>
    </row>
    <row r="39495" spans="7:7" ht="10.5" customHeight="1" x14ac:dyDescent="0.2">
      <c r="G39495" s="889"/>
    </row>
    <row r="39496" spans="7:7" ht="10.5" customHeight="1" x14ac:dyDescent="0.2">
      <c r="G39496" s="889"/>
    </row>
    <row r="39497" spans="7:7" ht="10.5" customHeight="1" x14ac:dyDescent="0.2">
      <c r="G39497" s="889"/>
    </row>
    <row r="39498" spans="7:7" ht="10.5" customHeight="1" x14ac:dyDescent="0.2">
      <c r="G39498" s="889"/>
    </row>
    <row r="39499" spans="7:7" ht="10.5" customHeight="1" x14ac:dyDescent="0.2">
      <c r="G39499" s="889"/>
    </row>
    <row r="39500" spans="7:7" ht="10.5" customHeight="1" x14ac:dyDescent="0.2">
      <c r="G39500" s="889"/>
    </row>
    <row r="39501" spans="7:7" ht="10.5" customHeight="1" x14ac:dyDescent="0.2">
      <c r="G39501" s="889"/>
    </row>
    <row r="39502" spans="7:7" ht="10.5" customHeight="1" x14ac:dyDescent="0.2">
      <c r="G39502" s="889"/>
    </row>
    <row r="39503" spans="7:7" ht="10.5" customHeight="1" x14ac:dyDescent="0.2">
      <c r="G39503" s="889"/>
    </row>
    <row r="39504" spans="7:7" ht="10.5" customHeight="1" x14ac:dyDescent="0.2">
      <c r="G39504" s="889"/>
    </row>
    <row r="39505" spans="7:7" ht="10.5" customHeight="1" x14ac:dyDescent="0.2">
      <c r="G39505" s="889"/>
    </row>
    <row r="39506" spans="7:7" ht="10.5" customHeight="1" x14ac:dyDescent="0.2">
      <c r="G39506" s="889"/>
    </row>
    <row r="39507" spans="7:7" ht="10.5" customHeight="1" x14ac:dyDescent="0.2">
      <c r="G39507" s="889"/>
    </row>
    <row r="39508" spans="7:7" ht="10.5" customHeight="1" x14ac:dyDescent="0.2">
      <c r="G39508" s="889"/>
    </row>
    <row r="39509" spans="7:7" ht="10.5" customHeight="1" x14ac:dyDescent="0.2">
      <c r="G39509" s="889"/>
    </row>
    <row r="39510" spans="7:7" ht="10.5" customHeight="1" x14ac:dyDescent="0.2">
      <c r="G39510" s="889"/>
    </row>
    <row r="39511" spans="7:7" ht="10.5" customHeight="1" x14ac:dyDescent="0.2">
      <c r="G39511" s="889"/>
    </row>
    <row r="39512" spans="7:7" ht="10.5" customHeight="1" x14ac:dyDescent="0.2">
      <c r="G39512" s="889"/>
    </row>
    <row r="39513" spans="7:7" ht="10.5" customHeight="1" x14ac:dyDescent="0.2">
      <c r="G39513" s="889"/>
    </row>
    <row r="39514" spans="7:7" ht="10.5" customHeight="1" x14ac:dyDescent="0.2">
      <c r="G39514" s="889"/>
    </row>
    <row r="39515" spans="7:7" ht="10.5" customHeight="1" x14ac:dyDescent="0.2">
      <c r="G39515" s="889"/>
    </row>
    <row r="39516" spans="7:7" ht="10.5" customHeight="1" x14ac:dyDescent="0.2">
      <c r="G39516" s="889"/>
    </row>
    <row r="39517" spans="7:7" ht="10.5" customHeight="1" x14ac:dyDescent="0.2">
      <c r="G39517" s="889"/>
    </row>
    <row r="39518" spans="7:7" ht="10.5" customHeight="1" x14ac:dyDescent="0.2">
      <c r="G39518" s="889"/>
    </row>
    <row r="39519" spans="7:7" ht="10.5" customHeight="1" x14ac:dyDescent="0.2">
      <c r="G39519" s="889"/>
    </row>
    <row r="39520" spans="7:7" ht="10.5" customHeight="1" x14ac:dyDescent="0.2">
      <c r="G39520" s="889"/>
    </row>
    <row r="39521" spans="7:7" ht="10.5" customHeight="1" x14ac:dyDescent="0.2">
      <c r="G39521" s="889"/>
    </row>
    <row r="39522" spans="7:7" ht="10.5" customHeight="1" x14ac:dyDescent="0.2">
      <c r="G39522" s="889"/>
    </row>
    <row r="39523" spans="7:7" ht="10.5" customHeight="1" x14ac:dyDescent="0.2">
      <c r="G39523" s="889"/>
    </row>
    <row r="39524" spans="7:7" ht="10.5" customHeight="1" x14ac:dyDescent="0.2">
      <c r="G39524" s="889"/>
    </row>
    <row r="39525" spans="7:7" ht="10.5" customHeight="1" x14ac:dyDescent="0.2">
      <c r="G39525" s="889"/>
    </row>
    <row r="39526" spans="7:7" ht="10.5" customHeight="1" x14ac:dyDescent="0.2">
      <c r="G39526" s="889"/>
    </row>
    <row r="39527" spans="7:7" ht="10.5" customHeight="1" x14ac:dyDescent="0.2">
      <c r="G39527" s="889"/>
    </row>
    <row r="39528" spans="7:7" ht="10.5" customHeight="1" x14ac:dyDescent="0.2">
      <c r="G39528" s="889"/>
    </row>
    <row r="39529" spans="7:7" ht="10.5" customHeight="1" x14ac:dyDescent="0.2">
      <c r="G39529" s="889"/>
    </row>
    <row r="39530" spans="7:7" ht="10.5" customHeight="1" x14ac:dyDescent="0.2">
      <c r="G39530" s="889"/>
    </row>
    <row r="39531" spans="7:7" ht="10.5" customHeight="1" x14ac:dyDescent="0.2">
      <c r="G39531" s="889"/>
    </row>
    <row r="39532" spans="7:7" ht="10.5" customHeight="1" x14ac:dyDescent="0.2">
      <c r="G39532" s="889"/>
    </row>
    <row r="39533" spans="7:7" ht="10.5" customHeight="1" x14ac:dyDescent="0.2">
      <c r="G39533" s="889"/>
    </row>
    <row r="39534" spans="7:7" ht="10.5" customHeight="1" x14ac:dyDescent="0.2">
      <c r="G39534" s="889"/>
    </row>
    <row r="39535" spans="7:7" ht="10.5" customHeight="1" x14ac:dyDescent="0.2">
      <c r="G39535" s="889"/>
    </row>
    <row r="39536" spans="7:7" ht="10.5" customHeight="1" x14ac:dyDescent="0.2">
      <c r="G39536" s="889"/>
    </row>
    <row r="39537" spans="7:7" ht="10.5" customHeight="1" x14ac:dyDescent="0.2">
      <c r="G39537" s="889"/>
    </row>
    <row r="39538" spans="7:7" ht="10.5" customHeight="1" x14ac:dyDescent="0.2">
      <c r="G39538" s="889"/>
    </row>
    <row r="39539" spans="7:7" ht="10.5" customHeight="1" x14ac:dyDescent="0.2">
      <c r="G39539" s="889"/>
    </row>
    <row r="39540" spans="7:7" ht="10.5" customHeight="1" x14ac:dyDescent="0.2">
      <c r="G39540" s="889"/>
    </row>
    <row r="39541" spans="7:7" ht="10.5" customHeight="1" x14ac:dyDescent="0.2">
      <c r="G39541" s="889"/>
    </row>
    <row r="39542" spans="7:7" ht="10.5" customHeight="1" x14ac:dyDescent="0.2">
      <c r="G39542" s="889"/>
    </row>
    <row r="39543" spans="7:7" ht="10.5" customHeight="1" x14ac:dyDescent="0.2">
      <c r="G39543" s="889"/>
    </row>
    <row r="39544" spans="7:7" ht="10.5" customHeight="1" x14ac:dyDescent="0.2">
      <c r="G39544" s="889"/>
    </row>
    <row r="39545" spans="7:7" ht="10.5" customHeight="1" x14ac:dyDescent="0.2">
      <c r="G39545" s="889"/>
    </row>
    <row r="39546" spans="7:7" ht="10.5" customHeight="1" x14ac:dyDescent="0.2">
      <c r="G39546" s="889"/>
    </row>
    <row r="39547" spans="7:7" ht="10.5" customHeight="1" x14ac:dyDescent="0.2">
      <c r="G39547" s="889"/>
    </row>
    <row r="39548" spans="7:7" ht="10.5" customHeight="1" x14ac:dyDescent="0.2">
      <c r="G39548" s="889"/>
    </row>
    <row r="39549" spans="7:7" ht="10.5" customHeight="1" x14ac:dyDescent="0.2">
      <c r="G39549" s="889"/>
    </row>
    <row r="39550" spans="7:7" ht="10.5" customHeight="1" x14ac:dyDescent="0.2">
      <c r="G39550" s="889"/>
    </row>
    <row r="39551" spans="7:7" ht="10.5" customHeight="1" x14ac:dyDescent="0.2">
      <c r="G39551" s="889"/>
    </row>
    <row r="39552" spans="7:7" ht="10.5" customHeight="1" x14ac:dyDescent="0.2">
      <c r="G39552" s="889"/>
    </row>
    <row r="39553" spans="7:7" ht="10.5" customHeight="1" x14ac:dyDescent="0.2">
      <c r="G39553" s="889"/>
    </row>
    <row r="39554" spans="7:7" ht="10.5" customHeight="1" x14ac:dyDescent="0.2">
      <c r="G39554" s="889"/>
    </row>
    <row r="39555" spans="7:7" ht="10.5" customHeight="1" x14ac:dyDescent="0.2">
      <c r="G39555" s="889"/>
    </row>
    <row r="39556" spans="7:7" ht="10.5" customHeight="1" x14ac:dyDescent="0.2">
      <c r="G39556" s="889"/>
    </row>
    <row r="39557" spans="7:7" ht="10.5" customHeight="1" x14ac:dyDescent="0.2">
      <c r="G39557" s="889"/>
    </row>
    <row r="39558" spans="7:7" ht="10.5" customHeight="1" x14ac:dyDescent="0.2">
      <c r="G39558" s="889"/>
    </row>
    <row r="39559" spans="7:7" ht="10.5" customHeight="1" x14ac:dyDescent="0.2">
      <c r="G39559" s="889"/>
    </row>
    <row r="39560" spans="7:7" ht="10.5" customHeight="1" x14ac:dyDescent="0.2">
      <c r="G39560" s="889"/>
    </row>
    <row r="39561" spans="7:7" ht="10.5" customHeight="1" x14ac:dyDescent="0.2">
      <c r="G39561" s="889"/>
    </row>
    <row r="39562" spans="7:7" ht="10.5" customHeight="1" x14ac:dyDescent="0.2">
      <c r="G39562" s="889"/>
    </row>
    <row r="39563" spans="7:7" ht="10.5" customHeight="1" x14ac:dyDescent="0.2">
      <c r="G39563" s="889"/>
    </row>
    <row r="39564" spans="7:7" ht="10.5" customHeight="1" x14ac:dyDescent="0.2">
      <c r="G39564" s="889"/>
    </row>
    <row r="39565" spans="7:7" ht="10.5" customHeight="1" x14ac:dyDescent="0.2">
      <c r="G39565" s="889"/>
    </row>
    <row r="39566" spans="7:7" ht="10.5" customHeight="1" x14ac:dyDescent="0.2">
      <c r="G39566" s="889"/>
    </row>
    <row r="39567" spans="7:7" ht="10.5" customHeight="1" x14ac:dyDescent="0.2">
      <c r="G39567" s="889"/>
    </row>
    <row r="39568" spans="7:7" ht="10.5" customHeight="1" x14ac:dyDescent="0.2">
      <c r="G39568" s="889"/>
    </row>
    <row r="39569" spans="7:7" ht="10.5" customHeight="1" x14ac:dyDescent="0.2">
      <c r="G39569" s="889"/>
    </row>
    <row r="39570" spans="7:7" ht="10.5" customHeight="1" x14ac:dyDescent="0.2">
      <c r="G39570" s="889"/>
    </row>
    <row r="39571" spans="7:7" ht="10.5" customHeight="1" x14ac:dyDescent="0.2">
      <c r="G39571" s="889"/>
    </row>
    <row r="39572" spans="7:7" ht="10.5" customHeight="1" x14ac:dyDescent="0.2">
      <c r="G39572" s="889"/>
    </row>
    <row r="39573" spans="7:7" ht="10.5" customHeight="1" x14ac:dyDescent="0.2">
      <c r="G39573" s="889"/>
    </row>
    <row r="39574" spans="7:7" ht="10.5" customHeight="1" x14ac:dyDescent="0.2">
      <c r="G39574" s="889"/>
    </row>
    <row r="39575" spans="7:7" ht="10.5" customHeight="1" x14ac:dyDescent="0.2">
      <c r="G39575" s="889"/>
    </row>
    <row r="39576" spans="7:7" ht="10.5" customHeight="1" x14ac:dyDescent="0.2">
      <c r="G39576" s="889"/>
    </row>
    <row r="39577" spans="7:7" ht="10.5" customHeight="1" x14ac:dyDescent="0.2">
      <c r="G39577" s="889"/>
    </row>
    <row r="39578" spans="7:7" ht="10.5" customHeight="1" x14ac:dyDescent="0.2">
      <c r="G39578" s="889"/>
    </row>
    <row r="39579" spans="7:7" ht="10.5" customHeight="1" x14ac:dyDescent="0.2">
      <c r="G39579" s="889"/>
    </row>
    <row r="39580" spans="7:7" ht="10.5" customHeight="1" x14ac:dyDescent="0.2">
      <c r="G39580" s="889"/>
    </row>
    <row r="39581" spans="7:7" ht="10.5" customHeight="1" x14ac:dyDescent="0.2">
      <c r="G39581" s="889"/>
    </row>
    <row r="39582" spans="7:7" ht="10.5" customHeight="1" x14ac:dyDescent="0.2">
      <c r="G39582" s="889"/>
    </row>
    <row r="39583" spans="7:7" ht="10.5" customHeight="1" x14ac:dyDescent="0.2">
      <c r="G39583" s="889"/>
    </row>
    <row r="39584" spans="7:7" ht="10.5" customHeight="1" x14ac:dyDescent="0.2">
      <c r="G39584" s="889"/>
    </row>
    <row r="39585" spans="7:7" ht="10.5" customHeight="1" x14ac:dyDescent="0.2">
      <c r="G39585" s="889"/>
    </row>
    <row r="39586" spans="7:7" ht="10.5" customHeight="1" x14ac:dyDescent="0.2">
      <c r="G39586" s="889"/>
    </row>
    <row r="39587" spans="7:7" ht="10.5" customHeight="1" x14ac:dyDescent="0.2">
      <c r="G39587" s="889"/>
    </row>
    <row r="39588" spans="7:7" ht="10.5" customHeight="1" x14ac:dyDescent="0.2">
      <c r="G39588" s="889"/>
    </row>
    <row r="39589" spans="7:7" ht="10.5" customHeight="1" x14ac:dyDescent="0.2">
      <c r="G39589" s="889"/>
    </row>
    <row r="39590" spans="7:7" ht="10.5" customHeight="1" x14ac:dyDescent="0.2">
      <c r="G39590" s="889"/>
    </row>
    <row r="39591" spans="7:7" ht="10.5" customHeight="1" x14ac:dyDescent="0.2">
      <c r="G39591" s="889"/>
    </row>
    <row r="39592" spans="7:7" ht="10.5" customHeight="1" x14ac:dyDescent="0.2">
      <c r="G39592" s="889"/>
    </row>
    <row r="39593" spans="7:7" ht="10.5" customHeight="1" x14ac:dyDescent="0.2">
      <c r="G39593" s="889"/>
    </row>
    <row r="39594" spans="7:7" ht="10.5" customHeight="1" x14ac:dyDescent="0.2">
      <c r="G39594" s="889"/>
    </row>
    <row r="39595" spans="7:7" ht="10.5" customHeight="1" x14ac:dyDescent="0.2">
      <c r="G39595" s="889"/>
    </row>
    <row r="39596" spans="7:7" ht="10.5" customHeight="1" x14ac:dyDescent="0.2">
      <c r="G39596" s="889"/>
    </row>
    <row r="39597" spans="7:7" ht="10.5" customHeight="1" x14ac:dyDescent="0.2">
      <c r="G39597" s="889"/>
    </row>
    <row r="39598" spans="7:7" ht="10.5" customHeight="1" x14ac:dyDescent="0.2">
      <c r="G39598" s="889"/>
    </row>
    <row r="39599" spans="7:7" ht="10.5" customHeight="1" x14ac:dyDescent="0.2">
      <c r="G39599" s="889"/>
    </row>
    <row r="39600" spans="7:7" ht="10.5" customHeight="1" x14ac:dyDescent="0.2">
      <c r="G39600" s="889"/>
    </row>
    <row r="39601" spans="7:7" ht="10.5" customHeight="1" x14ac:dyDescent="0.2">
      <c r="G39601" s="889"/>
    </row>
    <row r="39602" spans="7:7" ht="10.5" customHeight="1" x14ac:dyDescent="0.2">
      <c r="G39602" s="889"/>
    </row>
    <row r="39603" spans="7:7" ht="10.5" customHeight="1" x14ac:dyDescent="0.2">
      <c r="G39603" s="889"/>
    </row>
    <row r="39604" spans="7:7" ht="10.5" customHeight="1" x14ac:dyDescent="0.2">
      <c r="G39604" s="889"/>
    </row>
    <row r="39605" spans="7:7" ht="10.5" customHeight="1" x14ac:dyDescent="0.2">
      <c r="G39605" s="889"/>
    </row>
    <row r="39606" spans="7:7" ht="10.5" customHeight="1" x14ac:dyDescent="0.2">
      <c r="G39606" s="889"/>
    </row>
    <row r="39607" spans="7:7" ht="10.5" customHeight="1" x14ac:dyDescent="0.2">
      <c r="G39607" s="889"/>
    </row>
    <row r="39608" spans="7:7" ht="10.5" customHeight="1" x14ac:dyDescent="0.2">
      <c r="G39608" s="889"/>
    </row>
    <row r="39609" spans="7:7" ht="10.5" customHeight="1" x14ac:dyDescent="0.2">
      <c r="G39609" s="889"/>
    </row>
    <row r="39610" spans="7:7" ht="10.5" customHeight="1" x14ac:dyDescent="0.2">
      <c r="G39610" s="889"/>
    </row>
    <row r="39611" spans="7:7" ht="10.5" customHeight="1" x14ac:dyDescent="0.2">
      <c r="G39611" s="889"/>
    </row>
    <row r="39612" spans="7:7" ht="10.5" customHeight="1" x14ac:dyDescent="0.2">
      <c r="G39612" s="889"/>
    </row>
    <row r="39613" spans="7:7" ht="10.5" customHeight="1" x14ac:dyDescent="0.2">
      <c r="G39613" s="889"/>
    </row>
    <row r="39614" spans="7:7" ht="10.5" customHeight="1" x14ac:dyDescent="0.2">
      <c r="G39614" s="889"/>
    </row>
    <row r="39615" spans="7:7" ht="10.5" customHeight="1" x14ac:dyDescent="0.2">
      <c r="G39615" s="889"/>
    </row>
    <row r="39616" spans="7:7" ht="10.5" customHeight="1" x14ac:dyDescent="0.2">
      <c r="G39616" s="889"/>
    </row>
    <row r="39617" spans="7:7" ht="10.5" customHeight="1" x14ac:dyDescent="0.2">
      <c r="G39617" s="889"/>
    </row>
    <row r="39618" spans="7:7" ht="10.5" customHeight="1" x14ac:dyDescent="0.2">
      <c r="G39618" s="889"/>
    </row>
    <row r="39619" spans="7:7" ht="10.5" customHeight="1" x14ac:dyDescent="0.2">
      <c r="G39619" s="889"/>
    </row>
    <row r="39620" spans="7:7" ht="10.5" customHeight="1" x14ac:dyDescent="0.2">
      <c r="G39620" s="889"/>
    </row>
    <row r="39621" spans="7:7" ht="10.5" customHeight="1" x14ac:dyDescent="0.2">
      <c r="G39621" s="889"/>
    </row>
    <row r="39622" spans="7:7" ht="10.5" customHeight="1" x14ac:dyDescent="0.2">
      <c r="G39622" s="889"/>
    </row>
    <row r="39623" spans="7:7" ht="10.5" customHeight="1" x14ac:dyDescent="0.2">
      <c r="G39623" s="889"/>
    </row>
    <row r="39624" spans="7:7" ht="10.5" customHeight="1" x14ac:dyDescent="0.2">
      <c r="G39624" s="889"/>
    </row>
    <row r="39625" spans="7:7" ht="10.5" customHeight="1" x14ac:dyDescent="0.2">
      <c r="G39625" s="889"/>
    </row>
    <row r="39626" spans="7:7" ht="10.5" customHeight="1" x14ac:dyDescent="0.2">
      <c r="G39626" s="889"/>
    </row>
    <row r="39627" spans="7:7" ht="10.5" customHeight="1" x14ac:dyDescent="0.2">
      <c r="G39627" s="889"/>
    </row>
    <row r="39628" spans="7:7" ht="10.5" customHeight="1" x14ac:dyDescent="0.2">
      <c r="G39628" s="889"/>
    </row>
    <row r="39629" spans="7:7" ht="10.5" customHeight="1" x14ac:dyDescent="0.2">
      <c r="G39629" s="889"/>
    </row>
    <row r="39630" spans="7:7" ht="10.5" customHeight="1" x14ac:dyDescent="0.2">
      <c r="G39630" s="889"/>
    </row>
    <row r="39631" spans="7:7" ht="10.5" customHeight="1" x14ac:dyDescent="0.2">
      <c r="G39631" s="889"/>
    </row>
    <row r="39632" spans="7:7" ht="10.5" customHeight="1" x14ac:dyDescent="0.2">
      <c r="G39632" s="889"/>
    </row>
    <row r="39633" spans="7:7" ht="10.5" customHeight="1" x14ac:dyDescent="0.2">
      <c r="G39633" s="889"/>
    </row>
    <row r="39634" spans="7:7" ht="10.5" customHeight="1" x14ac:dyDescent="0.2">
      <c r="G39634" s="889"/>
    </row>
    <row r="39635" spans="7:7" ht="10.5" customHeight="1" x14ac:dyDescent="0.2">
      <c r="G39635" s="889"/>
    </row>
    <row r="39636" spans="7:7" ht="10.5" customHeight="1" x14ac:dyDescent="0.2">
      <c r="G39636" s="889"/>
    </row>
    <row r="39637" spans="7:7" ht="10.5" customHeight="1" x14ac:dyDescent="0.2">
      <c r="G39637" s="889"/>
    </row>
    <row r="39638" spans="7:7" ht="10.5" customHeight="1" x14ac:dyDescent="0.2">
      <c r="G39638" s="889"/>
    </row>
    <row r="39639" spans="7:7" ht="10.5" customHeight="1" x14ac:dyDescent="0.2">
      <c r="G39639" s="889"/>
    </row>
    <row r="39640" spans="7:7" ht="10.5" customHeight="1" x14ac:dyDescent="0.2">
      <c r="G39640" s="889"/>
    </row>
    <row r="39641" spans="7:7" ht="10.5" customHeight="1" x14ac:dyDescent="0.2">
      <c r="G39641" s="889"/>
    </row>
    <row r="39642" spans="7:7" ht="10.5" customHeight="1" x14ac:dyDescent="0.2">
      <c r="G39642" s="889"/>
    </row>
    <row r="39643" spans="7:7" ht="10.5" customHeight="1" x14ac:dyDescent="0.2">
      <c r="G39643" s="889"/>
    </row>
    <row r="39644" spans="7:7" ht="10.5" customHeight="1" x14ac:dyDescent="0.2">
      <c r="G39644" s="889"/>
    </row>
    <row r="39645" spans="7:7" ht="10.5" customHeight="1" x14ac:dyDescent="0.2">
      <c r="G39645" s="889"/>
    </row>
    <row r="39646" spans="7:7" ht="10.5" customHeight="1" x14ac:dyDescent="0.2">
      <c r="G39646" s="889"/>
    </row>
    <row r="39647" spans="7:7" ht="10.5" customHeight="1" x14ac:dyDescent="0.2">
      <c r="G39647" s="889"/>
    </row>
    <row r="39648" spans="7:7" ht="10.5" customHeight="1" x14ac:dyDescent="0.2">
      <c r="G39648" s="889"/>
    </row>
    <row r="39649" spans="7:7" ht="10.5" customHeight="1" x14ac:dyDescent="0.2">
      <c r="G39649" s="889"/>
    </row>
    <row r="39650" spans="7:7" ht="10.5" customHeight="1" x14ac:dyDescent="0.2">
      <c r="G39650" s="889"/>
    </row>
    <row r="39651" spans="7:7" ht="10.5" customHeight="1" x14ac:dyDescent="0.2">
      <c r="G39651" s="889"/>
    </row>
    <row r="39652" spans="7:7" ht="10.5" customHeight="1" x14ac:dyDescent="0.2">
      <c r="G39652" s="889"/>
    </row>
    <row r="39653" spans="7:7" ht="10.5" customHeight="1" x14ac:dyDescent="0.2">
      <c r="G39653" s="889"/>
    </row>
    <row r="39654" spans="7:7" ht="10.5" customHeight="1" x14ac:dyDescent="0.2">
      <c r="G39654" s="889"/>
    </row>
    <row r="39655" spans="7:7" ht="10.5" customHeight="1" x14ac:dyDescent="0.2">
      <c r="G39655" s="889"/>
    </row>
    <row r="39656" spans="7:7" ht="10.5" customHeight="1" x14ac:dyDescent="0.2">
      <c r="G39656" s="889"/>
    </row>
    <row r="39657" spans="7:7" ht="10.5" customHeight="1" x14ac:dyDescent="0.2">
      <c r="G39657" s="889"/>
    </row>
    <row r="39658" spans="7:7" ht="10.5" customHeight="1" x14ac:dyDescent="0.2">
      <c r="G39658" s="889"/>
    </row>
    <row r="39659" spans="7:7" ht="10.5" customHeight="1" x14ac:dyDescent="0.2">
      <c r="G39659" s="889"/>
    </row>
    <row r="39660" spans="7:7" ht="10.5" customHeight="1" x14ac:dyDescent="0.2">
      <c r="G39660" s="889"/>
    </row>
    <row r="39661" spans="7:7" ht="10.5" customHeight="1" x14ac:dyDescent="0.2">
      <c r="G39661" s="889"/>
    </row>
    <row r="39662" spans="7:7" ht="10.5" customHeight="1" x14ac:dyDescent="0.2">
      <c r="G39662" s="889"/>
    </row>
    <row r="39663" spans="7:7" ht="10.5" customHeight="1" x14ac:dyDescent="0.2">
      <c r="G39663" s="889"/>
    </row>
    <row r="39664" spans="7:7" ht="10.5" customHeight="1" x14ac:dyDescent="0.2">
      <c r="G39664" s="889"/>
    </row>
    <row r="39665" spans="7:7" ht="10.5" customHeight="1" x14ac:dyDescent="0.2">
      <c r="G39665" s="889"/>
    </row>
    <row r="39666" spans="7:7" ht="10.5" customHeight="1" x14ac:dyDescent="0.2">
      <c r="G39666" s="889"/>
    </row>
    <row r="39667" spans="7:7" ht="10.5" customHeight="1" x14ac:dyDescent="0.2">
      <c r="G39667" s="889"/>
    </row>
    <row r="39668" spans="7:7" ht="10.5" customHeight="1" x14ac:dyDescent="0.2">
      <c r="G39668" s="889"/>
    </row>
    <row r="39669" spans="7:7" ht="10.5" customHeight="1" x14ac:dyDescent="0.2">
      <c r="G39669" s="889"/>
    </row>
    <row r="39670" spans="7:7" ht="10.5" customHeight="1" x14ac:dyDescent="0.2">
      <c r="G39670" s="889"/>
    </row>
    <row r="39671" spans="7:7" ht="10.5" customHeight="1" x14ac:dyDescent="0.2">
      <c r="G39671" s="889"/>
    </row>
    <row r="39672" spans="7:7" ht="10.5" customHeight="1" x14ac:dyDescent="0.2">
      <c r="G39672" s="889"/>
    </row>
    <row r="39673" spans="7:7" ht="10.5" customHeight="1" x14ac:dyDescent="0.2">
      <c r="G39673" s="889"/>
    </row>
    <row r="39674" spans="7:7" ht="10.5" customHeight="1" x14ac:dyDescent="0.2">
      <c r="G39674" s="889"/>
    </row>
    <row r="39675" spans="7:7" ht="10.5" customHeight="1" x14ac:dyDescent="0.2">
      <c r="G39675" s="889"/>
    </row>
    <row r="39676" spans="7:7" ht="10.5" customHeight="1" x14ac:dyDescent="0.2">
      <c r="G39676" s="889"/>
    </row>
    <row r="39677" spans="7:7" ht="10.5" customHeight="1" x14ac:dyDescent="0.2">
      <c r="G39677" s="889"/>
    </row>
    <row r="39678" spans="7:7" ht="10.5" customHeight="1" x14ac:dyDescent="0.2">
      <c r="G39678" s="889"/>
    </row>
    <row r="39679" spans="7:7" ht="10.5" customHeight="1" x14ac:dyDescent="0.2">
      <c r="G39679" s="889"/>
    </row>
    <row r="39680" spans="7:7" ht="10.5" customHeight="1" x14ac:dyDescent="0.2">
      <c r="G39680" s="889"/>
    </row>
    <row r="39681" spans="7:7" ht="10.5" customHeight="1" x14ac:dyDescent="0.2">
      <c r="G39681" s="889"/>
    </row>
    <row r="39682" spans="7:7" ht="10.5" customHeight="1" x14ac:dyDescent="0.2">
      <c r="G39682" s="889"/>
    </row>
    <row r="39683" spans="7:7" ht="10.5" customHeight="1" x14ac:dyDescent="0.2">
      <c r="G39683" s="889"/>
    </row>
    <row r="39684" spans="7:7" ht="10.5" customHeight="1" x14ac:dyDescent="0.2">
      <c r="G39684" s="889"/>
    </row>
    <row r="39685" spans="7:7" ht="10.5" customHeight="1" x14ac:dyDescent="0.2">
      <c r="G39685" s="889"/>
    </row>
    <row r="39686" spans="7:7" ht="10.5" customHeight="1" x14ac:dyDescent="0.2">
      <c r="G39686" s="889"/>
    </row>
    <row r="39687" spans="7:7" ht="10.5" customHeight="1" x14ac:dyDescent="0.2">
      <c r="G39687" s="889"/>
    </row>
    <row r="39688" spans="7:7" ht="10.5" customHeight="1" x14ac:dyDescent="0.2">
      <c r="G39688" s="889"/>
    </row>
    <row r="39689" spans="7:7" ht="10.5" customHeight="1" x14ac:dyDescent="0.2">
      <c r="G39689" s="889"/>
    </row>
    <row r="39690" spans="7:7" ht="10.5" customHeight="1" x14ac:dyDescent="0.2">
      <c r="G39690" s="889"/>
    </row>
    <row r="39691" spans="7:7" ht="10.5" customHeight="1" x14ac:dyDescent="0.2">
      <c r="G39691" s="889"/>
    </row>
    <row r="39692" spans="7:7" ht="10.5" customHeight="1" x14ac:dyDescent="0.2">
      <c r="G39692" s="889"/>
    </row>
    <row r="39693" spans="7:7" ht="10.5" customHeight="1" x14ac:dyDescent="0.2">
      <c r="G39693" s="889"/>
    </row>
    <row r="39694" spans="7:7" ht="10.5" customHeight="1" x14ac:dyDescent="0.2">
      <c r="G39694" s="889"/>
    </row>
    <row r="39695" spans="7:7" ht="10.5" customHeight="1" x14ac:dyDescent="0.2">
      <c r="G39695" s="889"/>
    </row>
    <row r="39696" spans="7:7" ht="10.5" customHeight="1" x14ac:dyDescent="0.2">
      <c r="G39696" s="889"/>
    </row>
    <row r="39697" spans="7:7" ht="10.5" customHeight="1" x14ac:dyDescent="0.2">
      <c r="G39697" s="889"/>
    </row>
    <row r="39698" spans="7:7" ht="10.5" customHeight="1" x14ac:dyDescent="0.2">
      <c r="G39698" s="889"/>
    </row>
    <row r="39699" spans="7:7" ht="10.5" customHeight="1" x14ac:dyDescent="0.2">
      <c r="G39699" s="889"/>
    </row>
    <row r="39700" spans="7:7" ht="10.5" customHeight="1" x14ac:dyDescent="0.2">
      <c r="G39700" s="889"/>
    </row>
    <row r="39701" spans="7:7" ht="10.5" customHeight="1" x14ac:dyDescent="0.2">
      <c r="G39701" s="889"/>
    </row>
    <row r="39702" spans="7:7" ht="10.5" customHeight="1" x14ac:dyDescent="0.2">
      <c r="G39702" s="889"/>
    </row>
    <row r="39703" spans="7:7" ht="10.5" customHeight="1" x14ac:dyDescent="0.2">
      <c r="G39703" s="889"/>
    </row>
    <row r="39704" spans="7:7" ht="10.5" customHeight="1" x14ac:dyDescent="0.2">
      <c r="G39704" s="889"/>
    </row>
    <row r="39705" spans="7:7" ht="10.5" customHeight="1" x14ac:dyDescent="0.2">
      <c r="G39705" s="889"/>
    </row>
    <row r="39706" spans="7:7" ht="10.5" customHeight="1" x14ac:dyDescent="0.2">
      <c r="G39706" s="889"/>
    </row>
    <row r="39707" spans="7:7" ht="10.5" customHeight="1" x14ac:dyDescent="0.2">
      <c r="G39707" s="889"/>
    </row>
    <row r="39708" spans="7:7" ht="10.5" customHeight="1" x14ac:dyDescent="0.2">
      <c r="G39708" s="889"/>
    </row>
    <row r="39709" spans="7:7" ht="10.5" customHeight="1" x14ac:dyDescent="0.2">
      <c r="G39709" s="889"/>
    </row>
    <row r="39710" spans="7:7" ht="10.5" customHeight="1" x14ac:dyDescent="0.2">
      <c r="G39710" s="889"/>
    </row>
    <row r="39711" spans="7:7" ht="10.5" customHeight="1" x14ac:dyDescent="0.2">
      <c r="G39711" s="889"/>
    </row>
    <row r="39712" spans="7:7" ht="10.5" customHeight="1" x14ac:dyDescent="0.2">
      <c r="G39712" s="889"/>
    </row>
    <row r="39713" spans="7:7" ht="10.5" customHeight="1" x14ac:dyDescent="0.2">
      <c r="G39713" s="889"/>
    </row>
    <row r="39714" spans="7:7" ht="10.5" customHeight="1" x14ac:dyDescent="0.2">
      <c r="G39714" s="889"/>
    </row>
    <row r="39715" spans="7:7" ht="10.5" customHeight="1" x14ac:dyDescent="0.2">
      <c r="G39715" s="889"/>
    </row>
    <row r="39716" spans="7:7" ht="10.5" customHeight="1" x14ac:dyDescent="0.2">
      <c r="G39716" s="889"/>
    </row>
    <row r="39717" spans="7:7" ht="10.5" customHeight="1" x14ac:dyDescent="0.2">
      <c r="G39717" s="889"/>
    </row>
    <row r="39718" spans="7:7" ht="10.5" customHeight="1" x14ac:dyDescent="0.2">
      <c r="G39718" s="889"/>
    </row>
    <row r="39719" spans="7:7" ht="10.5" customHeight="1" x14ac:dyDescent="0.2">
      <c r="G39719" s="889"/>
    </row>
    <row r="39720" spans="7:7" ht="10.5" customHeight="1" x14ac:dyDescent="0.2">
      <c r="G39720" s="889"/>
    </row>
    <row r="39721" spans="7:7" ht="10.5" customHeight="1" x14ac:dyDescent="0.2">
      <c r="G39721" s="889"/>
    </row>
    <row r="39722" spans="7:7" ht="10.5" customHeight="1" x14ac:dyDescent="0.2">
      <c r="G39722" s="889"/>
    </row>
    <row r="39723" spans="7:7" ht="10.5" customHeight="1" x14ac:dyDescent="0.2">
      <c r="G39723" s="889"/>
    </row>
    <row r="39724" spans="7:7" ht="10.5" customHeight="1" x14ac:dyDescent="0.2">
      <c r="G39724" s="889"/>
    </row>
    <row r="39725" spans="7:7" ht="10.5" customHeight="1" x14ac:dyDescent="0.2">
      <c r="G39725" s="889"/>
    </row>
    <row r="39726" spans="7:7" ht="10.5" customHeight="1" x14ac:dyDescent="0.2">
      <c r="G39726" s="889"/>
    </row>
    <row r="39727" spans="7:7" ht="10.5" customHeight="1" x14ac:dyDescent="0.2">
      <c r="G39727" s="889"/>
    </row>
    <row r="39728" spans="7:7" ht="10.5" customHeight="1" x14ac:dyDescent="0.2">
      <c r="G39728" s="889"/>
    </row>
    <row r="39729" spans="7:7" ht="10.5" customHeight="1" x14ac:dyDescent="0.2">
      <c r="G39729" s="889"/>
    </row>
    <row r="39730" spans="7:7" ht="10.5" customHeight="1" x14ac:dyDescent="0.2">
      <c r="G39730" s="889"/>
    </row>
    <row r="39731" spans="7:7" ht="10.5" customHeight="1" x14ac:dyDescent="0.2">
      <c r="G39731" s="889"/>
    </row>
    <row r="39732" spans="7:7" ht="10.5" customHeight="1" x14ac:dyDescent="0.2">
      <c r="G39732" s="889"/>
    </row>
    <row r="39733" spans="7:7" ht="10.5" customHeight="1" x14ac:dyDescent="0.2">
      <c r="G39733" s="889"/>
    </row>
    <row r="39734" spans="7:7" ht="10.5" customHeight="1" x14ac:dyDescent="0.2">
      <c r="G39734" s="889"/>
    </row>
    <row r="39735" spans="7:7" ht="10.5" customHeight="1" x14ac:dyDescent="0.2">
      <c r="G39735" s="889"/>
    </row>
    <row r="39736" spans="7:7" ht="10.5" customHeight="1" x14ac:dyDescent="0.2">
      <c r="G39736" s="889"/>
    </row>
    <row r="39737" spans="7:7" ht="10.5" customHeight="1" x14ac:dyDescent="0.2">
      <c r="G39737" s="889"/>
    </row>
    <row r="39738" spans="7:7" ht="10.5" customHeight="1" x14ac:dyDescent="0.2">
      <c r="G39738" s="889"/>
    </row>
    <row r="39739" spans="7:7" ht="10.5" customHeight="1" x14ac:dyDescent="0.2">
      <c r="G39739" s="889"/>
    </row>
    <row r="39740" spans="7:7" ht="10.5" customHeight="1" x14ac:dyDescent="0.2">
      <c r="G39740" s="889"/>
    </row>
    <row r="39741" spans="7:7" ht="10.5" customHeight="1" x14ac:dyDescent="0.2">
      <c r="G39741" s="889"/>
    </row>
    <row r="39742" spans="7:7" ht="10.5" customHeight="1" x14ac:dyDescent="0.2">
      <c r="G39742" s="889"/>
    </row>
    <row r="39743" spans="7:7" ht="10.5" customHeight="1" x14ac:dyDescent="0.2">
      <c r="G39743" s="889"/>
    </row>
    <row r="39744" spans="7:7" ht="10.5" customHeight="1" x14ac:dyDescent="0.2">
      <c r="G39744" s="889"/>
    </row>
    <row r="39745" spans="7:7" ht="10.5" customHeight="1" x14ac:dyDescent="0.2">
      <c r="G39745" s="889"/>
    </row>
    <row r="39746" spans="7:7" ht="10.5" customHeight="1" x14ac:dyDescent="0.2">
      <c r="G39746" s="889"/>
    </row>
    <row r="39747" spans="7:7" ht="10.5" customHeight="1" x14ac:dyDescent="0.2">
      <c r="G39747" s="889"/>
    </row>
    <row r="39748" spans="7:7" ht="10.5" customHeight="1" x14ac:dyDescent="0.2">
      <c r="G39748" s="889"/>
    </row>
    <row r="39749" spans="7:7" ht="10.5" customHeight="1" x14ac:dyDescent="0.2">
      <c r="G39749" s="889"/>
    </row>
    <row r="39750" spans="7:7" ht="10.5" customHeight="1" x14ac:dyDescent="0.2">
      <c r="G39750" s="889"/>
    </row>
    <row r="39751" spans="7:7" ht="10.5" customHeight="1" x14ac:dyDescent="0.2">
      <c r="G39751" s="889"/>
    </row>
    <row r="39752" spans="7:7" ht="10.5" customHeight="1" x14ac:dyDescent="0.2">
      <c r="G39752" s="889"/>
    </row>
    <row r="39753" spans="7:7" ht="10.5" customHeight="1" x14ac:dyDescent="0.2">
      <c r="G39753" s="889"/>
    </row>
    <row r="39754" spans="7:7" ht="10.5" customHeight="1" x14ac:dyDescent="0.2">
      <c r="G39754" s="889"/>
    </row>
    <row r="39755" spans="7:7" ht="10.5" customHeight="1" x14ac:dyDescent="0.2">
      <c r="G39755" s="889"/>
    </row>
    <row r="39756" spans="7:7" ht="10.5" customHeight="1" x14ac:dyDescent="0.2">
      <c r="G39756" s="889"/>
    </row>
    <row r="39757" spans="7:7" ht="10.5" customHeight="1" x14ac:dyDescent="0.2">
      <c r="G39757" s="889"/>
    </row>
    <row r="39758" spans="7:7" ht="10.5" customHeight="1" x14ac:dyDescent="0.2">
      <c r="G39758" s="889"/>
    </row>
    <row r="39759" spans="7:7" ht="10.5" customHeight="1" x14ac:dyDescent="0.2">
      <c r="G39759" s="889"/>
    </row>
    <row r="39760" spans="7:7" ht="10.5" customHeight="1" x14ac:dyDescent="0.2">
      <c r="G39760" s="889"/>
    </row>
    <row r="39761" spans="7:7" ht="10.5" customHeight="1" x14ac:dyDescent="0.2">
      <c r="G39761" s="889"/>
    </row>
    <row r="39762" spans="7:7" ht="10.5" customHeight="1" x14ac:dyDescent="0.2">
      <c r="G39762" s="889"/>
    </row>
    <row r="39763" spans="7:7" ht="10.5" customHeight="1" x14ac:dyDescent="0.2">
      <c r="G39763" s="889"/>
    </row>
    <row r="39764" spans="7:7" ht="10.5" customHeight="1" x14ac:dyDescent="0.2">
      <c r="G39764" s="889"/>
    </row>
    <row r="39765" spans="7:7" ht="10.5" customHeight="1" x14ac:dyDescent="0.2">
      <c r="G39765" s="889"/>
    </row>
    <row r="39766" spans="7:7" ht="10.5" customHeight="1" x14ac:dyDescent="0.2">
      <c r="G39766" s="889"/>
    </row>
    <row r="39767" spans="7:7" ht="10.5" customHeight="1" x14ac:dyDescent="0.2">
      <c r="G39767" s="889"/>
    </row>
    <row r="39768" spans="7:7" ht="10.5" customHeight="1" x14ac:dyDescent="0.2">
      <c r="G39768" s="889"/>
    </row>
    <row r="39769" spans="7:7" ht="10.5" customHeight="1" x14ac:dyDescent="0.2">
      <c r="G39769" s="889"/>
    </row>
    <row r="39770" spans="7:7" ht="10.5" customHeight="1" x14ac:dyDescent="0.2">
      <c r="G39770" s="889"/>
    </row>
    <row r="39771" spans="7:7" ht="10.5" customHeight="1" x14ac:dyDescent="0.2">
      <c r="G39771" s="889"/>
    </row>
    <row r="39772" spans="7:7" ht="10.5" customHeight="1" x14ac:dyDescent="0.2">
      <c r="G39772" s="889"/>
    </row>
    <row r="39773" spans="7:7" ht="10.5" customHeight="1" x14ac:dyDescent="0.2">
      <c r="G39773" s="889"/>
    </row>
    <row r="39774" spans="7:7" ht="10.5" customHeight="1" x14ac:dyDescent="0.2">
      <c r="G39774" s="889"/>
    </row>
    <row r="39775" spans="7:7" ht="10.5" customHeight="1" x14ac:dyDescent="0.2">
      <c r="G39775" s="889"/>
    </row>
    <row r="39776" spans="7:7" ht="10.5" customHeight="1" x14ac:dyDescent="0.2">
      <c r="G39776" s="889"/>
    </row>
    <row r="39777" spans="7:7" ht="10.5" customHeight="1" x14ac:dyDescent="0.2">
      <c r="G39777" s="889"/>
    </row>
    <row r="39778" spans="7:7" ht="10.5" customHeight="1" x14ac:dyDescent="0.2">
      <c r="G39778" s="889"/>
    </row>
    <row r="39779" spans="7:7" ht="10.5" customHeight="1" x14ac:dyDescent="0.2">
      <c r="G39779" s="889"/>
    </row>
    <row r="39780" spans="7:7" ht="10.5" customHeight="1" x14ac:dyDescent="0.2">
      <c r="G39780" s="889"/>
    </row>
    <row r="39781" spans="7:7" ht="10.5" customHeight="1" x14ac:dyDescent="0.2">
      <c r="G39781" s="889"/>
    </row>
    <row r="39782" spans="7:7" ht="10.5" customHeight="1" x14ac:dyDescent="0.2">
      <c r="G39782" s="889"/>
    </row>
    <row r="39783" spans="7:7" ht="10.5" customHeight="1" x14ac:dyDescent="0.2">
      <c r="G39783" s="889"/>
    </row>
    <row r="39784" spans="7:7" ht="10.5" customHeight="1" x14ac:dyDescent="0.2">
      <c r="G39784" s="889"/>
    </row>
    <row r="39785" spans="7:7" ht="10.5" customHeight="1" x14ac:dyDescent="0.2">
      <c r="G39785" s="889"/>
    </row>
    <row r="39786" spans="7:7" ht="10.5" customHeight="1" x14ac:dyDescent="0.2">
      <c r="G39786" s="889"/>
    </row>
    <row r="39787" spans="7:7" ht="10.5" customHeight="1" x14ac:dyDescent="0.2">
      <c r="G39787" s="889"/>
    </row>
    <row r="39788" spans="7:7" ht="10.5" customHeight="1" x14ac:dyDescent="0.2">
      <c r="G39788" s="889"/>
    </row>
    <row r="39789" spans="7:7" ht="10.5" customHeight="1" x14ac:dyDescent="0.2">
      <c r="G39789" s="889"/>
    </row>
    <row r="39790" spans="7:7" ht="10.5" customHeight="1" x14ac:dyDescent="0.2">
      <c r="G39790" s="889"/>
    </row>
    <row r="39791" spans="7:7" ht="10.5" customHeight="1" x14ac:dyDescent="0.2">
      <c r="G39791" s="889"/>
    </row>
    <row r="39792" spans="7:7" ht="10.5" customHeight="1" x14ac:dyDescent="0.2">
      <c r="G39792" s="889"/>
    </row>
    <row r="39793" spans="7:7" ht="10.5" customHeight="1" x14ac:dyDescent="0.2">
      <c r="G39793" s="889"/>
    </row>
    <row r="39794" spans="7:7" ht="10.5" customHeight="1" x14ac:dyDescent="0.2">
      <c r="G39794" s="889"/>
    </row>
    <row r="39795" spans="7:7" ht="10.5" customHeight="1" x14ac:dyDescent="0.2">
      <c r="G39795" s="889"/>
    </row>
    <row r="39796" spans="7:7" ht="10.5" customHeight="1" x14ac:dyDescent="0.2">
      <c r="G39796" s="889"/>
    </row>
    <row r="39797" spans="7:7" ht="10.5" customHeight="1" x14ac:dyDescent="0.2">
      <c r="G39797" s="889"/>
    </row>
    <row r="39798" spans="7:7" ht="10.5" customHeight="1" x14ac:dyDescent="0.2">
      <c r="G39798" s="889"/>
    </row>
    <row r="39799" spans="7:7" ht="10.5" customHeight="1" x14ac:dyDescent="0.2">
      <c r="G39799" s="889"/>
    </row>
    <row r="39800" spans="7:7" ht="10.5" customHeight="1" x14ac:dyDescent="0.2">
      <c r="G39800" s="889"/>
    </row>
    <row r="39801" spans="7:7" ht="10.5" customHeight="1" x14ac:dyDescent="0.2">
      <c r="G39801" s="889"/>
    </row>
    <row r="39802" spans="7:7" ht="10.5" customHeight="1" x14ac:dyDescent="0.2">
      <c r="G39802" s="889"/>
    </row>
    <row r="39803" spans="7:7" ht="10.5" customHeight="1" x14ac:dyDescent="0.2">
      <c r="G39803" s="889"/>
    </row>
    <row r="39804" spans="7:7" ht="10.5" customHeight="1" x14ac:dyDescent="0.2">
      <c r="G39804" s="889"/>
    </row>
    <row r="39805" spans="7:7" ht="10.5" customHeight="1" x14ac:dyDescent="0.2">
      <c r="G39805" s="889"/>
    </row>
    <row r="39806" spans="7:7" ht="10.5" customHeight="1" x14ac:dyDescent="0.2">
      <c r="G39806" s="889"/>
    </row>
    <row r="39807" spans="7:7" ht="10.5" customHeight="1" x14ac:dyDescent="0.2">
      <c r="G39807" s="889"/>
    </row>
    <row r="39808" spans="7:7" ht="10.5" customHeight="1" x14ac:dyDescent="0.2">
      <c r="G39808" s="889"/>
    </row>
    <row r="39809" spans="7:7" ht="10.5" customHeight="1" x14ac:dyDescent="0.2">
      <c r="G39809" s="889"/>
    </row>
    <row r="39810" spans="7:7" ht="10.5" customHeight="1" x14ac:dyDescent="0.2">
      <c r="G39810" s="889"/>
    </row>
    <row r="39811" spans="7:7" ht="10.5" customHeight="1" x14ac:dyDescent="0.2">
      <c r="G39811" s="889"/>
    </row>
    <row r="39812" spans="7:7" ht="10.5" customHeight="1" x14ac:dyDescent="0.2">
      <c r="G39812" s="889"/>
    </row>
    <row r="39813" spans="7:7" ht="10.5" customHeight="1" x14ac:dyDescent="0.2">
      <c r="G39813" s="889"/>
    </row>
    <row r="39814" spans="7:7" ht="10.5" customHeight="1" x14ac:dyDescent="0.2">
      <c r="G39814" s="889"/>
    </row>
    <row r="39815" spans="7:7" ht="10.5" customHeight="1" x14ac:dyDescent="0.2">
      <c r="G39815" s="889"/>
    </row>
    <row r="39816" spans="7:7" ht="10.5" customHeight="1" x14ac:dyDescent="0.2">
      <c r="G39816" s="889"/>
    </row>
    <row r="39817" spans="7:7" ht="10.5" customHeight="1" x14ac:dyDescent="0.2">
      <c r="G39817" s="889"/>
    </row>
    <row r="39818" spans="7:7" ht="10.5" customHeight="1" x14ac:dyDescent="0.2">
      <c r="G39818" s="889"/>
    </row>
    <row r="39819" spans="7:7" ht="10.5" customHeight="1" x14ac:dyDescent="0.2">
      <c r="G39819" s="889"/>
    </row>
    <row r="39820" spans="7:7" ht="10.5" customHeight="1" x14ac:dyDescent="0.2">
      <c r="G39820" s="889"/>
    </row>
    <row r="39821" spans="7:7" ht="10.5" customHeight="1" x14ac:dyDescent="0.2">
      <c r="G39821" s="889"/>
    </row>
    <row r="39822" spans="7:7" ht="10.5" customHeight="1" x14ac:dyDescent="0.2">
      <c r="G39822" s="889"/>
    </row>
    <row r="39823" spans="7:7" ht="10.5" customHeight="1" x14ac:dyDescent="0.2">
      <c r="G39823" s="889"/>
    </row>
    <row r="39824" spans="7:7" ht="10.5" customHeight="1" x14ac:dyDescent="0.2">
      <c r="G39824" s="889"/>
    </row>
    <row r="39825" spans="7:7" ht="10.5" customHeight="1" x14ac:dyDescent="0.2">
      <c r="G39825" s="889"/>
    </row>
    <row r="39826" spans="7:7" ht="10.5" customHeight="1" x14ac:dyDescent="0.2">
      <c r="G39826" s="889"/>
    </row>
    <row r="39827" spans="7:7" ht="10.5" customHeight="1" x14ac:dyDescent="0.2">
      <c r="G39827" s="889"/>
    </row>
    <row r="39828" spans="7:7" ht="10.5" customHeight="1" x14ac:dyDescent="0.2">
      <c r="G39828" s="889"/>
    </row>
    <row r="39829" spans="7:7" ht="10.5" customHeight="1" x14ac:dyDescent="0.2">
      <c r="G39829" s="889"/>
    </row>
    <row r="39830" spans="7:7" ht="10.5" customHeight="1" x14ac:dyDescent="0.2">
      <c r="G39830" s="889"/>
    </row>
    <row r="39831" spans="7:7" ht="10.5" customHeight="1" x14ac:dyDescent="0.2">
      <c r="G39831" s="889"/>
    </row>
    <row r="39832" spans="7:7" ht="10.5" customHeight="1" x14ac:dyDescent="0.2">
      <c r="G39832" s="889"/>
    </row>
    <row r="39833" spans="7:7" ht="10.5" customHeight="1" x14ac:dyDescent="0.2">
      <c r="G39833" s="889"/>
    </row>
    <row r="39834" spans="7:7" ht="10.5" customHeight="1" x14ac:dyDescent="0.2">
      <c r="G39834" s="889"/>
    </row>
    <row r="39835" spans="7:7" ht="10.5" customHeight="1" x14ac:dyDescent="0.2">
      <c r="G39835" s="889"/>
    </row>
    <row r="39836" spans="7:7" ht="10.5" customHeight="1" x14ac:dyDescent="0.2">
      <c r="G39836" s="889"/>
    </row>
    <row r="39837" spans="7:7" ht="10.5" customHeight="1" x14ac:dyDescent="0.2">
      <c r="G39837" s="889"/>
    </row>
    <row r="39838" spans="7:7" ht="10.5" customHeight="1" x14ac:dyDescent="0.2">
      <c r="G39838" s="889"/>
    </row>
    <row r="39839" spans="7:7" ht="10.5" customHeight="1" x14ac:dyDescent="0.2">
      <c r="G39839" s="889"/>
    </row>
    <row r="39840" spans="7:7" ht="10.5" customHeight="1" x14ac:dyDescent="0.2">
      <c r="G39840" s="889"/>
    </row>
    <row r="39841" spans="7:7" ht="10.5" customHeight="1" x14ac:dyDescent="0.2">
      <c r="G39841" s="889"/>
    </row>
    <row r="39842" spans="7:7" ht="10.5" customHeight="1" x14ac:dyDescent="0.2">
      <c r="G39842" s="889"/>
    </row>
    <row r="39843" spans="7:7" ht="10.5" customHeight="1" x14ac:dyDescent="0.2">
      <c r="G39843" s="889"/>
    </row>
    <row r="39844" spans="7:7" ht="10.5" customHeight="1" x14ac:dyDescent="0.2">
      <c r="G39844" s="889"/>
    </row>
    <row r="39845" spans="7:7" ht="10.5" customHeight="1" x14ac:dyDescent="0.2">
      <c r="G39845" s="889"/>
    </row>
    <row r="39846" spans="7:7" ht="10.5" customHeight="1" x14ac:dyDescent="0.2">
      <c r="G39846" s="889"/>
    </row>
    <row r="39847" spans="7:7" ht="10.5" customHeight="1" x14ac:dyDescent="0.2">
      <c r="G39847" s="889"/>
    </row>
    <row r="39848" spans="7:7" ht="10.5" customHeight="1" x14ac:dyDescent="0.2">
      <c r="G39848" s="889"/>
    </row>
    <row r="39849" spans="7:7" ht="10.5" customHeight="1" x14ac:dyDescent="0.2">
      <c r="G39849" s="889"/>
    </row>
    <row r="39850" spans="7:7" ht="10.5" customHeight="1" x14ac:dyDescent="0.2">
      <c r="G39850" s="889"/>
    </row>
    <row r="39851" spans="7:7" ht="10.5" customHeight="1" x14ac:dyDescent="0.2">
      <c r="G39851" s="889"/>
    </row>
    <row r="39852" spans="7:7" ht="10.5" customHeight="1" x14ac:dyDescent="0.2">
      <c r="G39852" s="889"/>
    </row>
    <row r="39853" spans="7:7" ht="10.5" customHeight="1" x14ac:dyDescent="0.2">
      <c r="G39853" s="889"/>
    </row>
    <row r="39854" spans="7:7" ht="10.5" customHeight="1" x14ac:dyDescent="0.2">
      <c r="G39854" s="889"/>
    </row>
    <row r="39855" spans="7:7" ht="10.5" customHeight="1" x14ac:dyDescent="0.2">
      <c r="G39855" s="889"/>
    </row>
    <row r="39856" spans="7:7" ht="10.5" customHeight="1" x14ac:dyDescent="0.2">
      <c r="G39856" s="889"/>
    </row>
    <row r="39857" spans="7:7" ht="10.5" customHeight="1" x14ac:dyDescent="0.2">
      <c r="G39857" s="889"/>
    </row>
    <row r="39858" spans="7:7" ht="10.5" customHeight="1" x14ac:dyDescent="0.2">
      <c r="G39858" s="889"/>
    </row>
    <row r="39859" spans="7:7" ht="10.5" customHeight="1" x14ac:dyDescent="0.2">
      <c r="G39859" s="889"/>
    </row>
    <row r="39860" spans="7:7" ht="10.5" customHeight="1" x14ac:dyDescent="0.2">
      <c r="G39860" s="889"/>
    </row>
    <row r="39861" spans="7:7" ht="10.5" customHeight="1" x14ac:dyDescent="0.2">
      <c r="G39861" s="889"/>
    </row>
    <row r="39862" spans="7:7" ht="10.5" customHeight="1" x14ac:dyDescent="0.2">
      <c r="G39862" s="889"/>
    </row>
    <row r="39863" spans="7:7" ht="10.5" customHeight="1" x14ac:dyDescent="0.2">
      <c r="G39863" s="889"/>
    </row>
    <row r="39864" spans="7:7" ht="10.5" customHeight="1" x14ac:dyDescent="0.2">
      <c r="G39864" s="889"/>
    </row>
    <row r="39865" spans="7:7" ht="10.5" customHeight="1" x14ac:dyDescent="0.2">
      <c r="G39865" s="889"/>
    </row>
    <row r="39866" spans="7:7" ht="10.5" customHeight="1" x14ac:dyDescent="0.2">
      <c r="G39866" s="889"/>
    </row>
    <row r="39867" spans="7:7" ht="10.5" customHeight="1" x14ac:dyDescent="0.2">
      <c r="G39867" s="889"/>
    </row>
    <row r="39868" spans="7:7" ht="10.5" customHeight="1" x14ac:dyDescent="0.2">
      <c r="G39868" s="889"/>
    </row>
    <row r="39869" spans="7:7" ht="10.5" customHeight="1" x14ac:dyDescent="0.2">
      <c r="G39869" s="889"/>
    </row>
    <row r="39870" spans="7:7" ht="10.5" customHeight="1" x14ac:dyDescent="0.2">
      <c r="G39870" s="889"/>
    </row>
    <row r="39871" spans="7:7" ht="10.5" customHeight="1" x14ac:dyDescent="0.2">
      <c r="G39871" s="889"/>
    </row>
    <row r="39872" spans="7:7" ht="10.5" customHeight="1" x14ac:dyDescent="0.2">
      <c r="G39872" s="889"/>
    </row>
    <row r="39873" spans="7:7" ht="10.5" customHeight="1" x14ac:dyDescent="0.2">
      <c r="G39873" s="889"/>
    </row>
    <row r="39874" spans="7:7" ht="10.5" customHeight="1" x14ac:dyDescent="0.2">
      <c r="G39874" s="889"/>
    </row>
    <row r="39875" spans="7:7" ht="10.5" customHeight="1" x14ac:dyDescent="0.2">
      <c r="G39875" s="889"/>
    </row>
    <row r="39876" spans="7:7" ht="10.5" customHeight="1" x14ac:dyDescent="0.2">
      <c r="G39876" s="889"/>
    </row>
    <row r="39877" spans="7:7" ht="10.5" customHeight="1" x14ac:dyDescent="0.2">
      <c r="G39877" s="889"/>
    </row>
    <row r="39878" spans="7:7" ht="10.5" customHeight="1" x14ac:dyDescent="0.2">
      <c r="G39878" s="889"/>
    </row>
    <row r="39879" spans="7:7" ht="10.5" customHeight="1" x14ac:dyDescent="0.2">
      <c r="G39879" s="889"/>
    </row>
    <row r="39880" spans="7:7" ht="10.5" customHeight="1" x14ac:dyDescent="0.2">
      <c r="G39880" s="889"/>
    </row>
    <row r="39881" spans="7:7" ht="10.5" customHeight="1" x14ac:dyDescent="0.2">
      <c r="G39881" s="889"/>
    </row>
    <row r="39882" spans="7:7" ht="10.5" customHeight="1" x14ac:dyDescent="0.2">
      <c r="G39882" s="889"/>
    </row>
    <row r="39883" spans="7:7" ht="10.5" customHeight="1" x14ac:dyDescent="0.2">
      <c r="G39883" s="889"/>
    </row>
    <row r="39884" spans="7:7" ht="10.5" customHeight="1" x14ac:dyDescent="0.2">
      <c r="G39884" s="889"/>
    </row>
    <row r="39885" spans="7:7" ht="10.5" customHeight="1" x14ac:dyDescent="0.2">
      <c r="G39885" s="889"/>
    </row>
    <row r="39886" spans="7:7" ht="10.5" customHeight="1" x14ac:dyDescent="0.2">
      <c r="G39886" s="889"/>
    </row>
    <row r="39887" spans="7:7" ht="10.5" customHeight="1" x14ac:dyDescent="0.2">
      <c r="G39887" s="889"/>
    </row>
    <row r="39888" spans="7:7" ht="10.5" customHeight="1" x14ac:dyDescent="0.2">
      <c r="G39888" s="889"/>
    </row>
    <row r="39889" spans="7:7" ht="10.5" customHeight="1" x14ac:dyDescent="0.2">
      <c r="G39889" s="889"/>
    </row>
    <row r="39890" spans="7:7" ht="10.5" customHeight="1" x14ac:dyDescent="0.2">
      <c r="G39890" s="889"/>
    </row>
    <row r="39891" spans="7:7" ht="10.5" customHeight="1" x14ac:dyDescent="0.2">
      <c r="G39891" s="889"/>
    </row>
    <row r="39892" spans="7:7" ht="10.5" customHeight="1" x14ac:dyDescent="0.2">
      <c r="G39892" s="889"/>
    </row>
    <row r="39893" spans="7:7" ht="10.5" customHeight="1" x14ac:dyDescent="0.2">
      <c r="G39893" s="889"/>
    </row>
    <row r="39894" spans="7:7" ht="10.5" customHeight="1" x14ac:dyDescent="0.2">
      <c r="G39894" s="889"/>
    </row>
    <row r="39895" spans="7:7" ht="10.5" customHeight="1" x14ac:dyDescent="0.2">
      <c r="G39895" s="889"/>
    </row>
    <row r="39896" spans="7:7" ht="10.5" customHeight="1" x14ac:dyDescent="0.2">
      <c r="G39896" s="889"/>
    </row>
    <row r="39897" spans="7:7" ht="10.5" customHeight="1" x14ac:dyDescent="0.2">
      <c r="G39897" s="889"/>
    </row>
    <row r="39898" spans="7:7" ht="10.5" customHeight="1" x14ac:dyDescent="0.2">
      <c r="G39898" s="889"/>
    </row>
    <row r="39899" spans="7:7" ht="10.5" customHeight="1" x14ac:dyDescent="0.2">
      <c r="G39899" s="889"/>
    </row>
    <row r="39900" spans="7:7" ht="10.5" customHeight="1" x14ac:dyDescent="0.2">
      <c r="G39900" s="889"/>
    </row>
    <row r="39901" spans="7:7" ht="10.5" customHeight="1" x14ac:dyDescent="0.2">
      <c r="G39901" s="889"/>
    </row>
    <row r="39902" spans="7:7" ht="10.5" customHeight="1" x14ac:dyDescent="0.2">
      <c r="G39902" s="889"/>
    </row>
    <row r="39903" spans="7:7" ht="10.5" customHeight="1" x14ac:dyDescent="0.2">
      <c r="G39903" s="889"/>
    </row>
    <row r="39904" spans="7:7" ht="10.5" customHeight="1" x14ac:dyDescent="0.2">
      <c r="G39904" s="889"/>
    </row>
    <row r="39905" spans="7:7" ht="10.5" customHeight="1" x14ac:dyDescent="0.2">
      <c r="G39905" s="889"/>
    </row>
    <row r="39906" spans="7:7" ht="10.5" customHeight="1" x14ac:dyDescent="0.2">
      <c r="G39906" s="889"/>
    </row>
    <row r="39907" spans="7:7" ht="10.5" customHeight="1" x14ac:dyDescent="0.2">
      <c r="G39907" s="889"/>
    </row>
    <row r="39908" spans="7:7" ht="10.5" customHeight="1" x14ac:dyDescent="0.2">
      <c r="G39908" s="889"/>
    </row>
    <row r="39909" spans="7:7" ht="10.5" customHeight="1" x14ac:dyDescent="0.2">
      <c r="G39909" s="889"/>
    </row>
    <row r="39910" spans="7:7" ht="10.5" customHeight="1" x14ac:dyDescent="0.2">
      <c r="G39910" s="889"/>
    </row>
    <row r="39911" spans="7:7" ht="10.5" customHeight="1" x14ac:dyDescent="0.2">
      <c r="G39911" s="889"/>
    </row>
    <row r="39912" spans="7:7" ht="10.5" customHeight="1" x14ac:dyDescent="0.2">
      <c r="G39912" s="889"/>
    </row>
    <row r="39913" spans="7:7" ht="10.5" customHeight="1" x14ac:dyDescent="0.2">
      <c r="G39913" s="889"/>
    </row>
    <row r="39914" spans="7:7" ht="10.5" customHeight="1" x14ac:dyDescent="0.2">
      <c r="G39914" s="889"/>
    </row>
    <row r="39915" spans="7:7" ht="10.5" customHeight="1" x14ac:dyDescent="0.2">
      <c r="G39915" s="889"/>
    </row>
    <row r="39916" spans="7:7" ht="10.5" customHeight="1" x14ac:dyDescent="0.2">
      <c r="G39916" s="889"/>
    </row>
    <row r="39917" spans="7:7" ht="10.5" customHeight="1" x14ac:dyDescent="0.2">
      <c r="G39917" s="889"/>
    </row>
    <row r="39918" spans="7:7" ht="10.5" customHeight="1" x14ac:dyDescent="0.2">
      <c r="G39918" s="889"/>
    </row>
    <row r="39919" spans="7:7" ht="10.5" customHeight="1" x14ac:dyDescent="0.2">
      <c r="G39919" s="889"/>
    </row>
    <row r="39920" spans="7:7" ht="10.5" customHeight="1" x14ac:dyDescent="0.2">
      <c r="G39920" s="889"/>
    </row>
    <row r="39921" spans="7:7" ht="10.5" customHeight="1" x14ac:dyDescent="0.2">
      <c r="G39921" s="889"/>
    </row>
    <row r="39922" spans="7:7" ht="10.5" customHeight="1" x14ac:dyDescent="0.2">
      <c r="G39922" s="889"/>
    </row>
    <row r="39923" spans="7:7" ht="10.5" customHeight="1" x14ac:dyDescent="0.2">
      <c r="G39923" s="889"/>
    </row>
    <row r="39924" spans="7:7" ht="10.5" customHeight="1" x14ac:dyDescent="0.2">
      <c r="G39924" s="889"/>
    </row>
    <row r="39925" spans="7:7" ht="10.5" customHeight="1" x14ac:dyDescent="0.2">
      <c r="G39925" s="889"/>
    </row>
    <row r="39926" spans="7:7" ht="10.5" customHeight="1" x14ac:dyDescent="0.2">
      <c r="G39926" s="889"/>
    </row>
    <row r="39927" spans="7:7" ht="10.5" customHeight="1" x14ac:dyDescent="0.2">
      <c r="G39927" s="889"/>
    </row>
    <row r="39928" spans="7:7" ht="10.5" customHeight="1" x14ac:dyDescent="0.2">
      <c r="G39928" s="889"/>
    </row>
    <row r="39929" spans="7:7" ht="10.5" customHeight="1" x14ac:dyDescent="0.2">
      <c r="G39929" s="889"/>
    </row>
    <row r="39930" spans="7:7" ht="10.5" customHeight="1" x14ac:dyDescent="0.2">
      <c r="G39930" s="889"/>
    </row>
    <row r="39931" spans="7:7" ht="10.5" customHeight="1" x14ac:dyDescent="0.2">
      <c r="G39931" s="889"/>
    </row>
    <row r="39932" spans="7:7" ht="10.5" customHeight="1" x14ac:dyDescent="0.2">
      <c r="G39932" s="889"/>
    </row>
    <row r="39933" spans="7:7" ht="10.5" customHeight="1" x14ac:dyDescent="0.2">
      <c r="G39933" s="889"/>
    </row>
    <row r="39934" spans="7:7" ht="10.5" customHeight="1" x14ac:dyDescent="0.2">
      <c r="G39934" s="889"/>
    </row>
    <row r="39935" spans="7:7" ht="10.5" customHeight="1" x14ac:dyDescent="0.2">
      <c r="G39935" s="889"/>
    </row>
    <row r="39936" spans="7:7" ht="10.5" customHeight="1" x14ac:dyDescent="0.2">
      <c r="G39936" s="889"/>
    </row>
    <row r="39937" spans="7:7" ht="10.5" customHeight="1" x14ac:dyDescent="0.2">
      <c r="G39937" s="889"/>
    </row>
    <row r="39938" spans="7:7" ht="10.5" customHeight="1" x14ac:dyDescent="0.2">
      <c r="G39938" s="889"/>
    </row>
    <row r="39939" spans="7:7" ht="10.5" customHeight="1" x14ac:dyDescent="0.2">
      <c r="G39939" s="889"/>
    </row>
    <row r="39940" spans="7:7" ht="10.5" customHeight="1" x14ac:dyDescent="0.2">
      <c r="G39940" s="889"/>
    </row>
    <row r="39941" spans="7:7" ht="10.5" customHeight="1" x14ac:dyDescent="0.2">
      <c r="G39941" s="889"/>
    </row>
    <row r="39942" spans="7:7" ht="10.5" customHeight="1" x14ac:dyDescent="0.2">
      <c r="G39942" s="889"/>
    </row>
    <row r="39943" spans="7:7" ht="10.5" customHeight="1" x14ac:dyDescent="0.2">
      <c r="G39943" s="889"/>
    </row>
    <row r="39944" spans="7:7" ht="10.5" customHeight="1" x14ac:dyDescent="0.2">
      <c r="G39944" s="889"/>
    </row>
    <row r="39945" spans="7:7" ht="10.5" customHeight="1" x14ac:dyDescent="0.2">
      <c r="G39945" s="889"/>
    </row>
    <row r="39946" spans="7:7" ht="10.5" customHeight="1" x14ac:dyDescent="0.2">
      <c r="G39946" s="889"/>
    </row>
    <row r="39947" spans="7:7" ht="10.5" customHeight="1" x14ac:dyDescent="0.2">
      <c r="G39947" s="889"/>
    </row>
    <row r="39948" spans="7:7" ht="10.5" customHeight="1" x14ac:dyDescent="0.2">
      <c r="G39948" s="889"/>
    </row>
    <row r="39949" spans="7:7" ht="10.5" customHeight="1" x14ac:dyDescent="0.2">
      <c r="G39949" s="889"/>
    </row>
    <row r="39950" spans="7:7" ht="10.5" customHeight="1" x14ac:dyDescent="0.2">
      <c r="G39950" s="889"/>
    </row>
    <row r="39951" spans="7:7" ht="10.5" customHeight="1" x14ac:dyDescent="0.2">
      <c r="G39951" s="889"/>
    </row>
    <row r="39952" spans="7:7" ht="10.5" customHeight="1" x14ac:dyDescent="0.2">
      <c r="G39952" s="889"/>
    </row>
    <row r="39953" spans="7:7" ht="10.5" customHeight="1" x14ac:dyDescent="0.2">
      <c r="G39953" s="889"/>
    </row>
    <row r="39954" spans="7:7" ht="10.5" customHeight="1" x14ac:dyDescent="0.2">
      <c r="G39954" s="889"/>
    </row>
    <row r="39955" spans="7:7" ht="10.5" customHeight="1" x14ac:dyDescent="0.2">
      <c r="G39955" s="889"/>
    </row>
    <row r="39956" spans="7:7" ht="10.5" customHeight="1" x14ac:dyDescent="0.2">
      <c r="G39956" s="889"/>
    </row>
    <row r="39957" spans="7:7" ht="10.5" customHeight="1" x14ac:dyDescent="0.2">
      <c r="G39957" s="889"/>
    </row>
    <row r="39958" spans="7:7" ht="10.5" customHeight="1" x14ac:dyDescent="0.2">
      <c r="G39958" s="889"/>
    </row>
    <row r="39959" spans="7:7" ht="10.5" customHeight="1" x14ac:dyDescent="0.2">
      <c r="G39959" s="889"/>
    </row>
    <row r="39960" spans="7:7" ht="10.5" customHeight="1" x14ac:dyDescent="0.2">
      <c r="G39960" s="889"/>
    </row>
    <row r="39961" spans="7:7" ht="10.5" customHeight="1" x14ac:dyDescent="0.2">
      <c r="G39961" s="889"/>
    </row>
    <row r="39962" spans="7:7" ht="10.5" customHeight="1" x14ac:dyDescent="0.2">
      <c r="G39962" s="889"/>
    </row>
    <row r="39963" spans="7:7" ht="10.5" customHeight="1" x14ac:dyDescent="0.2">
      <c r="G39963" s="889"/>
    </row>
    <row r="39964" spans="7:7" ht="10.5" customHeight="1" x14ac:dyDescent="0.2">
      <c r="G39964" s="889"/>
    </row>
    <row r="39965" spans="7:7" ht="10.5" customHeight="1" x14ac:dyDescent="0.2">
      <c r="G39965" s="889"/>
    </row>
    <row r="39966" spans="7:7" ht="10.5" customHeight="1" x14ac:dyDescent="0.2">
      <c r="G39966" s="889"/>
    </row>
    <row r="39967" spans="7:7" ht="10.5" customHeight="1" x14ac:dyDescent="0.2">
      <c r="G39967" s="889"/>
    </row>
    <row r="39968" spans="7:7" ht="10.5" customHeight="1" x14ac:dyDescent="0.2">
      <c r="G39968" s="889"/>
    </row>
    <row r="39969" spans="7:7" ht="10.5" customHeight="1" x14ac:dyDescent="0.2">
      <c r="G39969" s="889"/>
    </row>
    <row r="39970" spans="7:7" ht="10.5" customHeight="1" x14ac:dyDescent="0.2">
      <c r="G39970" s="889"/>
    </row>
    <row r="39971" spans="7:7" ht="10.5" customHeight="1" x14ac:dyDescent="0.2">
      <c r="G39971" s="889"/>
    </row>
    <row r="39972" spans="7:7" ht="10.5" customHeight="1" x14ac:dyDescent="0.2">
      <c r="G39972" s="889"/>
    </row>
    <row r="39973" spans="7:7" ht="10.5" customHeight="1" x14ac:dyDescent="0.2">
      <c r="G39973" s="889"/>
    </row>
    <row r="39974" spans="7:7" ht="10.5" customHeight="1" x14ac:dyDescent="0.2">
      <c r="G39974" s="889"/>
    </row>
    <row r="39975" spans="7:7" ht="10.5" customHeight="1" x14ac:dyDescent="0.2">
      <c r="G39975" s="889"/>
    </row>
    <row r="39976" spans="7:7" ht="10.5" customHeight="1" x14ac:dyDescent="0.2">
      <c r="G39976" s="889"/>
    </row>
    <row r="39977" spans="7:7" ht="10.5" customHeight="1" x14ac:dyDescent="0.2">
      <c r="G39977" s="889"/>
    </row>
    <row r="39978" spans="7:7" ht="10.5" customHeight="1" x14ac:dyDescent="0.2">
      <c r="G39978" s="889"/>
    </row>
    <row r="39979" spans="7:7" ht="10.5" customHeight="1" x14ac:dyDescent="0.2">
      <c r="G39979" s="889"/>
    </row>
    <row r="39980" spans="7:7" ht="10.5" customHeight="1" x14ac:dyDescent="0.2">
      <c r="G39980" s="889"/>
    </row>
    <row r="39981" spans="7:7" ht="10.5" customHeight="1" x14ac:dyDescent="0.2">
      <c r="G39981" s="889"/>
    </row>
    <row r="39982" spans="7:7" ht="10.5" customHeight="1" x14ac:dyDescent="0.2">
      <c r="G39982" s="889"/>
    </row>
    <row r="39983" spans="7:7" ht="10.5" customHeight="1" x14ac:dyDescent="0.2">
      <c r="G39983" s="889"/>
    </row>
    <row r="39984" spans="7:7" ht="10.5" customHeight="1" x14ac:dyDescent="0.2">
      <c r="G39984" s="889"/>
    </row>
    <row r="39985" spans="7:7" ht="10.5" customHeight="1" x14ac:dyDescent="0.2">
      <c r="G39985" s="889"/>
    </row>
    <row r="39986" spans="7:7" ht="10.5" customHeight="1" x14ac:dyDescent="0.2">
      <c r="G39986" s="889"/>
    </row>
    <row r="39987" spans="7:7" ht="10.5" customHeight="1" x14ac:dyDescent="0.2">
      <c r="G39987" s="889"/>
    </row>
    <row r="39988" spans="7:7" ht="10.5" customHeight="1" x14ac:dyDescent="0.2">
      <c r="G39988" s="889"/>
    </row>
    <row r="39989" spans="7:7" ht="10.5" customHeight="1" x14ac:dyDescent="0.2">
      <c r="G39989" s="889"/>
    </row>
    <row r="39990" spans="7:7" ht="10.5" customHeight="1" x14ac:dyDescent="0.2">
      <c r="G39990" s="889"/>
    </row>
    <row r="39991" spans="7:7" ht="10.5" customHeight="1" x14ac:dyDescent="0.2">
      <c r="G39991" s="889"/>
    </row>
    <row r="39992" spans="7:7" ht="10.5" customHeight="1" x14ac:dyDescent="0.2">
      <c r="G39992" s="889"/>
    </row>
    <row r="39993" spans="7:7" ht="10.5" customHeight="1" x14ac:dyDescent="0.2">
      <c r="G39993" s="889"/>
    </row>
    <row r="39994" spans="7:7" ht="10.5" customHeight="1" x14ac:dyDescent="0.2">
      <c r="G39994" s="889"/>
    </row>
    <row r="39995" spans="7:7" ht="10.5" customHeight="1" x14ac:dyDescent="0.2">
      <c r="G39995" s="889"/>
    </row>
    <row r="39996" spans="7:7" ht="10.5" customHeight="1" x14ac:dyDescent="0.2">
      <c r="G39996" s="889"/>
    </row>
    <row r="39997" spans="7:7" ht="10.5" customHeight="1" x14ac:dyDescent="0.2">
      <c r="G39997" s="889"/>
    </row>
    <row r="39998" spans="7:7" ht="10.5" customHeight="1" x14ac:dyDescent="0.2">
      <c r="G39998" s="889"/>
    </row>
    <row r="39999" spans="7:7" ht="10.5" customHeight="1" x14ac:dyDescent="0.2">
      <c r="G39999" s="889"/>
    </row>
    <row r="40000" spans="7:7" ht="10.5" customHeight="1" x14ac:dyDescent="0.2">
      <c r="G40000" s="889"/>
    </row>
    <row r="40001" spans="7:7" ht="10.5" customHeight="1" x14ac:dyDescent="0.2">
      <c r="G40001" s="889"/>
    </row>
    <row r="40002" spans="7:7" ht="10.5" customHeight="1" x14ac:dyDescent="0.2">
      <c r="G40002" s="889"/>
    </row>
    <row r="40003" spans="7:7" ht="10.5" customHeight="1" x14ac:dyDescent="0.2">
      <c r="G40003" s="889"/>
    </row>
    <row r="40004" spans="7:7" ht="10.5" customHeight="1" x14ac:dyDescent="0.2">
      <c r="G40004" s="889"/>
    </row>
    <row r="40005" spans="7:7" ht="10.5" customHeight="1" x14ac:dyDescent="0.2">
      <c r="G40005" s="889"/>
    </row>
    <row r="40006" spans="7:7" ht="10.5" customHeight="1" x14ac:dyDescent="0.2">
      <c r="G40006" s="889"/>
    </row>
    <row r="40007" spans="7:7" ht="10.5" customHeight="1" x14ac:dyDescent="0.2">
      <c r="G40007" s="889"/>
    </row>
    <row r="40008" spans="7:7" ht="10.5" customHeight="1" x14ac:dyDescent="0.2">
      <c r="G40008" s="889"/>
    </row>
    <row r="40009" spans="7:7" ht="10.5" customHeight="1" x14ac:dyDescent="0.2">
      <c r="G40009" s="889"/>
    </row>
    <row r="40010" spans="7:7" ht="10.5" customHeight="1" x14ac:dyDescent="0.2">
      <c r="G40010" s="889"/>
    </row>
    <row r="40011" spans="7:7" ht="10.5" customHeight="1" x14ac:dyDescent="0.2">
      <c r="G40011" s="889"/>
    </row>
    <row r="40012" spans="7:7" ht="10.5" customHeight="1" x14ac:dyDescent="0.2">
      <c r="G40012" s="889"/>
    </row>
    <row r="40013" spans="7:7" ht="10.5" customHeight="1" x14ac:dyDescent="0.2">
      <c r="G40013" s="889"/>
    </row>
    <row r="40014" spans="7:7" ht="10.5" customHeight="1" x14ac:dyDescent="0.2">
      <c r="G40014" s="889"/>
    </row>
    <row r="40015" spans="7:7" ht="10.5" customHeight="1" x14ac:dyDescent="0.2">
      <c r="G40015" s="889"/>
    </row>
    <row r="40016" spans="7:7" ht="10.5" customHeight="1" x14ac:dyDescent="0.2">
      <c r="G40016" s="889"/>
    </row>
    <row r="40017" spans="7:7" ht="10.5" customHeight="1" x14ac:dyDescent="0.2">
      <c r="G40017" s="889"/>
    </row>
    <row r="40018" spans="7:7" ht="10.5" customHeight="1" x14ac:dyDescent="0.2">
      <c r="G40018" s="889"/>
    </row>
    <row r="40019" spans="7:7" ht="10.5" customHeight="1" x14ac:dyDescent="0.2">
      <c r="G40019" s="889"/>
    </row>
    <row r="40020" spans="7:7" ht="10.5" customHeight="1" x14ac:dyDescent="0.2">
      <c r="G40020" s="889"/>
    </row>
    <row r="40021" spans="7:7" ht="10.5" customHeight="1" x14ac:dyDescent="0.2">
      <c r="G40021" s="889"/>
    </row>
    <row r="40022" spans="7:7" ht="10.5" customHeight="1" x14ac:dyDescent="0.2">
      <c r="G40022" s="889"/>
    </row>
    <row r="40023" spans="7:7" ht="10.5" customHeight="1" x14ac:dyDescent="0.2">
      <c r="G40023" s="889"/>
    </row>
    <row r="40024" spans="7:7" ht="10.5" customHeight="1" x14ac:dyDescent="0.2">
      <c r="G40024" s="889"/>
    </row>
    <row r="40025" spans="7:7" ht="10.5" customHeight="1" x14ac:dyDescent="0.2">
      <c r="G40025" s="889"/>
    </row>
    <row r="40026" spans="7:7" ht="10.5" customHeight="1" x14ac:dyDescent="0.2">
      <c r="G40026" s="889"/>
    </row>
    <row r="40027" spans="7:7" ht="10.5" customHeight="1" x14ac:dyDescent="0.2">
      <c r="G40027" s="889"/>
    </row>
    <row r="40028" spans="7:7" ht="10.5" customHeight="1" x14ac:dyDescent="0.2">
      <c r="G40028" s="889"/>
    </row>
    <row r="40029" spans="7:7" ht="10.5" customHeight="1" x14ac:dyDescent="0.2">
      <c r="G40029" s="889"/>
    </row>
    <row r="40030" spans="7:7" ht="10.5" customHeight="1" x14ac:dyDescent="0.2">
      <c r="G40030" s="889"/>
    </row>
    <row r="40031" spans="7:7" ht="10.5" customHeight="1" x14ac:dyDescent="0.2">
      <c r="G40031" s="889"/>
    </row>
    <row r="40032" spans="7:7" ht="10.5" customHeight="1" x14ac:dyDescent="0.2">
      <c r="G40032" s="889"/>
    </row>
    <row r="40033" spans="7:7" ht="10.5" customHeight="1" x14ac:dyDescent="0.2">
      <c r="G40033" s="889"/>
    </row>
    <row r="40034" spans="7:7" ht="10.5" customHeight="1" x14ac:dyDescent="0.2">
      <c r="G40034" s="889"/>
    </row>
    <row r="40035" spans="7:7" ht="10.5" customHeight="1" x14ac:dyDescent="0.2">
      <c r="G40035" s="889"/>
    </row>
    <row r="40036" spans="7:7" ht="10.5" customHeight="1" x14ac:dyDescent="0.2">
      <c r="G40036" s="889"/>
    </row>
    <row r="40037" spans="7:7" ht="10.5" customHeight="1" x14ac:dyDescent="0.2">
      <c r="G40037" s="889"/>
    </row>
    <row r="40038" spans="7:7" ht="10.5" customHeight="1" x14ac:dyDescent="0.2">
      <c r="G40038" s="889"/>
    </row>
    <row r="40039" spans="7:7" ht="10.5" customHeight="1" x14ac:dyDescent="0.2">
      <c r="G40039" s="889"/>
    </row>
    <row r="40040" spans="7:7" ht="10.5" customHeight="1" x14ac:dyDescent="0.2">
      <c r="G40040" s="889"/>
    </row>
    <row r="40041" spans="7:7" ht="10.5" customHeight="1" x14ac:dyDescent="0.2">
      <c r="G40041" s="889"/>
    </row>
    <row r="40042" spans="7:7" ht="10.5" customHeight="1" x14ac:dyDescent="0.2">
      <c r="G40042" s="889"/>
    </row>
    <row r="40043" spans="7:7" ht="10.5" customHeight="1" x14ac:dyDescent="0.2">
      <c r="G40043" s="889"/>
    </row>
    <row r="40044" spans="7:7" ht="10.5" customHeight="1" x14ac:dyDescent="0.2">
      <c r="G40044" s="889"/>
    </row>
    <row r="40045" spans="7:7" ht="10.5" customHeight="1" x14ac:dyDescent="0.2">
      <c r="G40045" s="889"/>
    </row>
    <row r="40046" spans="7:7" ht="10.5" customHeight="1" x14ac:dyDescent="0.2">
      <c r="G40046" s="889"/>
    </row>
    <row r="40047" spans="7:7" ht="10.5" customHeight="1" x14ac:dyDescent="0.2">
      <c r="G40047" s="889"/>
    </row>
    <row r="40048" spans="7:7" ht="10.5" customHeight="1" x14ac:dyDescent="0.2">
      <c r="G40048" s="889"/>
    </row>
    <row r="40049" spans="7:7" ht="10.5" customHeight="1" x14ac:dyDescent="0.2">
      <c r="G40049" s="889"/>
    </row>
    <row r="40050" spans="7:7" ht="10.5" customHeight="1" x14ac:dyDescent="0.2">
      <c r="G40050" s="889"/>
    </row>
    <row r="40051" spans="7:7" ht="10.5" customHeight="1" x14ac:dyDescent="0.2">
      <c r="G40051" s="889"/>
    </row>
    <row r="40052" spans="7:7" ht="10.5" customHeight="1" x14ac:dyDescent="0.2">
      <c r="G40052" s="889"/>
    </row>
    <row r="40053" spans="7:7" ht="10.5" customHeight="1" x14ac:dyDescent="0.2">
      <c r="G40053" s="889"/>
    </row>
    <row r="40054" spans="7:7" ht="10.5" customHeight="1" x14ac:dyDescent="0.2">
      <c r="G40054" s="889"/>
    </row>
    <row r="40055" spans="7:7" ht="10.5" customHeight="1" x14ac:dyDescent="0.2">
      <c r="G40055" s="889"/>
    </row>
    <row r="40056" spans="7:7" ht="10.5" customHeight="1" x14ac:dyDescent="0.2">
      <c r="G40056" s="889"/>
    </row>
    <row r="40057" spans="7:7" ht="10.5" customHeight="1" x14ac:dyDescent="0.2">
      <c r="G40057" s="889"/>
    </row>
    <row r="40058" spans="7:7" ht="10.5" customHeight="1" x14ac:dyDescent="0.2">
      <c r="G40058" s="889"/>
    </row>
    <row r="40059" spans="7:7" ht="10.5" customHeight="1" x14ac:dyDescent="0.2">
      <c r="G40059" s="889"/>
    </row>
    <row r="40060" spans="7:7" ht="10.5" customHeight="1" x14ac:dyDescent="0.2">
      <c r="G40060" s="889"/>
    </row>
    <row r="40061" spans="7:7" ht="10.5" customHeight="1" x14ac:dyDescent="0.2">
      <c r="G40061" s="889"/>
    </row>
    <row r="40062" spans="7:7" ht="10.5" customHeight="1" x14ac:dyDescent="0.2">
      <c r="G40062" s="889"/>
    </row>
    <row r="40063" spans="7:7" ht="10.5" customHeight="1" x14ac:dyDescent="0.2">
      <c r="G40063" s="889"/>
    </row>
    <row r="40064" spans="7:7" ht="10.5" customHeight="1" x14ac:dyDescent="0.2">
      <c r="G40064" s="889"/>
    </row>
    <row r="40065" spans="7:7" ht="10.5" customHeight="1" x14ac:dyDescent="0.2">
      <c r="G40065" s="889"/>
    </row>
    <row r="40066" spans="7:7" ht="10.5" customHeight="1" x14ac:dyDescent="0.2">
      <c r="G40066" s="889"/>
    </row>
    <row r="40067" spans="7:7" ht="10.5" customHeight="1" x14ac:dyDescent="0.2">
      <c r="G40067" s="889"/>
    </row>
    <row r="40068" spans="7:7" ht="10.5" customHeight="1" x14ac:dyDescent="0.2">
      <c r="G40068" s="889"/>
    </row>
    <row r="40069" spans="7:7" ht="10.5" customHeight="1" x14ac:dyDescent="0.2">
      <c r="G40069" s="889"/>
    </row>
    <row r="40070" spans="7:7" ht="10.5" customHeight="1" x14ac:dyDescent="0.2">
      <c r="G40070" s="889"/>
    </row>
    <row r="40071" spans="7:7" ht="10.5" customHeight="1" x14ac:dyDescent="0.2">
      <c r="G40071" s="889"/>
    </row>
    <row r="40072" spans="7:7" ht="10.5" customHeight="1" x14ac:dyDescent="0.2">
      <c r="G40072" s="889"/>
    </row>
    <row r="40073" spans="7:7" ht="10.5" customHeight="1" x14ac:dyDescent="0.2">
      <c r="G40073" s="889"/>
    </row>
    <row r="40074" spans="7:7" ht="10.5" customHeight="1" x14ac:dyDescent="0.2">
      <c r="G40074" s="889"/>
    </row>
    <row r="40075" spans="7:7" ht="10.5" customHeight="1" x14ac:dyDescent="0.2">
      <c r="G40075" s="889"/>
    </row>
    <row r="40076" spans="7:7" ht="10.5" customHeight="1" x14ac:dyDescent="0.2">
      <c r="G40076" s="889"/>
    </row>
    <row r="40077" spans="7:7" ht="10.5" customHeight="1" x14ac:dyDescent="0.2">
      <c r="G40077" s="889"/>
    </row>
    <row r="40078" spans="7:7" ht="10.5" customHeight="1" x14ac:dyDescent="0.2">
      <c r="G40078" s="889"/>
    </row>
    <row r="40079" spans="7:7" ht="10.5" customHeight="1" x14ac:dyDescent="0.2">
      <c r="G40079" s="889"/>
    </row>
    <row r="40080" spans="7:7" ht="10.5" customHeight="1" x14ac:dyDescent="0.2">
      <c r="G40080" s="889"/>
    </row>
    <row r="40081" spans="7:7" ht="10.5" customHeight="1" x14ac:dyDescent="0.2">
      <c r="G40081" s="889"/>
    </row>
    <row r="40082" spans="7:7" ht="10.5" customHeight="1" x14ac:dyDescent="0.2">
      <c r="G40082" s="889"/>
    </row>
    <row r="40083" spans="7:7" ht="10.5" customHeight="1" x14ac:dyDescent="0.2">
      <c r="G40083" s="889"/>
    </row>
    <row r="40084" spans="7:7" ht="10.5" customHeight="1" x14ac:dyDescent="0.2">
      <c r="G40084" s="889"/>
    </row>
    <row r="40085" spans="7:7" ht="10.5" customHeight="1" x14ac:dyDescent="0.2">
      <c r="G40085" s="889"/>
    </row>
    <row r="40086" spans="7:7" ht="10.5" customHeight="1" x14ac:dyDescent="0.2">
      <c r="G40086" s="889"/>
    </row>
    <row r="40087" spans="7:7" ht="10.5" customHeight="1" x14ac:dyDescent="0.2">
      <c r="G40087" s="889"/>
    </row>
    <row r="40088" spans="7:7" ht="10.5" customHeight="1" x14ac:dyDescent="0.2">
      <c r="G40088" s="889"/>
    </row>
    <row r="40089" spans="7:7" ht="10.5" customHeight="1" x14ac:dyDescent="0.2">
      <c r="G40089" s="889"/>
    </row>
    <row r="40090" spans="7:7" ht="10.5" customHeight="1" x14ac:dyDescent="0.2">
      <c r="G40090" s="889"/>
    </row>
    <row r="40091" spans="7:7" ht="10.5" customHeight="1" x14ac:dyDescent="0.2">
      <c r="G40091" s="889"/>
    </row>
    <row r="40092" spans="7:7" ht="10.5" customHeight="1" x14ac:dyDescent="0.2">
      <c r="G40092" s="889"/>
    </row>
    <row r="40093" spans="7:7" ht="10.5" customHeight="1" x14ac:dyDescent="0.2">
      <c r="G40093" s="889"/>
    </row>
    <row r="40094" spans="7:7" ht="10.5" customHeight="1" x14ac:dyDescent="0.2">
      <c r="G40094" s="889"/>
    </row>
    <row r="40095" spans="7:7" ht="10.5" customHeight="1" x14ac:dyDescent="0.2">
      <c r="G40095" s="889"/>
    </row>
    <row r="40096" spans="7:7" ht="10.5" customHeight="1" x14ac:dyDescent="0.2">
      <c r="G40096" s="889"/>
    </row>
    <row r="40097" spans="7:7" ht="10.5" customHeight="1" x14ac:dyDescent="0.2">
      <c r="G40097" s="889"/>
    </row>
    <row r="40098" spans="7:7" ht="10.5" customHeight="1" x14ac:dyDescent="0.2">
      <c r="G40098" s="889"/>
    </row>
    <row r="40099" spans="7:7" ht="10.5" customHeight="1" x14ac:dyDescent="0.2">
      <c r="G40099" s="889"/>
    </row>
    <row r="40100" spans="7:7" ht="10.5" customHeight="1" x14ac:dyDescent="0.2">
      <c r="G40100" s="889"/>
    </row>
    <row r="40101" spans="7:7" ht="10.5" customHeight="1" x14ac:dyDescent="0.2">
      <c r="G40101" s="889"/>
    </row>
    <row r="40102" spans="7:7" ht="10.5" customHeight="1" x14ac:dyDescent="0.2">
      <c r="G40102" s="889"/>
    </row>
    <row r="40103" spans="7:7" ht="10.5" customHeight="1" x14ac:dyDescent="0.2">
      <c r="G40103" s="889"/>
    </row>
    <row r="40104" spans="7:7" ht="10.5" customHeight="1" x14ac:dyDescent="0.2">
      <c r="G40104" s="889"/>
    </row>
    <row r="40105" spans="7:7" ht="10.5" customHeight="1" x14ac:dyDescent="0.2">
      <c r="G40105" s="889"/>
    </row>
    <row r="40106" spans="7:7" ht="10.5" customHeight="1" x14ac:dyDescent="0.2">
      <c r="G40106" s="889"/>
    </row>
    <row r="40107" spans="7:7" ht="10.5" customHeight="1" x14ac:dyDescent="0.2">
      <c r="G40107" s="889"/>
    </row>
    <row r="40108" spans="7:7" ht="10.5" customHeight="1" x14ac:dyDescent="0.2">
      <c r="G40108" s="889"/>
    </row>
    <row r="40109" spans="7:7" ht="10.5" customHeight="1" x14ac:dyDescent="0.2">
      <c r="G40109" s="889"/>
    </row>
    <row r="40110" spans="7:7" ht="10.5" customHeight="1" x14ac:dyDescent="0.2">
      <c r="G40110" s="889"/>
    </row>
    <row r="40111" spans="7:7" ht="10.5" customHeight="1" x14ac:dyDescent="0.2">
      <c r="G40111" s="889"/>
    </row>
    <row r="40112" spans="7:7" ht="10.5" customHeight="1" x14ac:dyDescent="0.2">
      <c r="G40112" s="889"/>
    </row>
    <row r="40113" spans="7:7" ht="10.5" customHeight="1" x14ac:dyDescent="0.2">
      <c r="G40113" s="889"/>
    </row>
    <row r="40114" spans="7:7" ht="10.5" customHeight="1" x14ac:dyDescent="0.2">
      <c r="G40114" s="889"/>
    </row>
    <row r="40115" spans="7:7" ht="10.5" customHeight="1" x14ac:dyDescent="0.2">
      <c r="G40115" s="889"/>
    </row>
    <row r="40116" spans="7:7" ht="10.5" customHeight="1" x14ac:dyDescent="0.2">
      <c r="G40116" s="889"/>
    </row>
    <row r="40117" spans="7:7" ht="10.5" customHeight="1" x14ac:dyDescent="0.2">
      <c r="G40117" s="889"/>
    </row>
    <row r="40118" spans="7:7" ht="10.5" customHeight="1" x14ac:dyDescent="0.2">
      <c r="G40118" s="889"/>
    </row>
    <row r="40119" spans="7:7" ht="10.5" customHeight="1" x14ac:dyDescent="0.2">
      <c r="G40119" s="889"/>
    </row>
    <row r="40120" spans="7:7" ht="10.5" customHeight="1" x14ac:dyDescent="0.2">
      <c r="G40120" s="889"/>
    </row>
    <row r="40121" spans="7:7" ht="10.5" customHeight="1" x14ac:dyDescent="0.2">
      <c r="G40121" s="889"/>
    </row>
    <row r="40122" spans="7:7" ht="10.5" customHeight="1" x14ac:dyDescent="0.2">
      <c r="G40122" s="889"/>
    </row>
    <row r="40123" spans="7:7" ht="10.5" customHeight="1" x14ac:dyDescent="0.2">
      <c r="G40123" s="889"/>
    </row>
    <row r="40124" spans="7:7" ht="10.5" customHeight="1" x14ac:dyDescent="0.2">
      <c r="G40124" s="889"/>
    </row>
    <row r="40125" spans="7:7" ht="10.5" customHeight="1" x14ac:dyDescent="0.2">
      <c r="G40125" s="889"/>
    </row>
    <row r="40126" spans="7:7" ht="10.5" customHeight="1" x14ac:dyDescent="0.2">
      <c r="G40126" s="889"/>
    </row>
    <row r="40127" spans="7:7" ht="10.5" customHeight="1" x14ac:dyDescent="0.2">
      <c r="G40127" s="889"/>
    </row>
    <row r="40128" spans="7:7" ht="10.5" customHeight="1" x14ac:dyDescent="0.2">
      <c r="G40128" s="889"/>
    </row>
    <row r="40129" spans="7:7" ht="10.5" customHeight="1" x14ac:dyDescent="0.2">
      <c r="G40129" s="889"/>
    </row>
    <row r="40130" spans="7:7" ht="10.5" customHeight="1" x14ac:dyDescent="0.2">
      <c r="G40130" s="889"/>
    </row>
    <row r="40131" spans="7:7" ht="10.5" customHeight="1" x14ac:dyDescent="0.2">
      <c r="G40131" s="889"/>
    </row>
    <row r="40132" spans="7:7" ht="10.5" customHeight="1" x14ac:dyDescent="0.2">
      <c r="G40132" s="889"/>
    </row>
    <row r="40133" spans="7:7" ht="10.5" customHeight="1" x14ac:dyDescent="0.2">
      <c r="G40133" s="889"/>
    </row>
    <row r="40134" spans="7:7" ht="10.5" customHeight="1" x14ac:dyDescent="0.2">
      <c r="G40134" s="889"/>
    </row>
    <row r="40135" spans="7:7" ht="10.5" customHeight="1" x14ac:dyDescent="0.2">
      <c r="G40135" s="889"/>
    </row>
    <row r="40136" spans="7:7" ht="10.5" customHeight="1" x14ac:dyDescent="0.2">
      <c r="G40136" s="889"/>
    </row>
    <row r="40137" spans="7:7" ht="10.5" customHeight="1" x14ac:dyDescent="0.2">
      <c r="G40137" s="889"/>
    </row>
    <row r="40138" spans="7:7" ht="10.5" customHeight="1" x14ac:dyDescent="0.2">
      <c r="G40138" s="889"/>
    </row>
    <row r="40139" spans="7:7" ht="10.5" customHeight="1" x14ac:dyDescent="0.2">
      <c r="G40139" s="889"/>
    </row>
    <row r="40140" spans="7:7" ht="10.5" customHeight="1" x14ac:dyDescent="0.2">
      <c r="G40140" s="889"/>
    </row>
    <row r="40141" spans="7:7" ht="10.5" customHeight="1" x14ac:dyDescent="0.2">
      <c r="G40141" s="889"/>
    </row>
    <row r="40142" spans="7:7" ht="10.5" customHeight="1" x14ac:dyDescent="0.2">
      <c r="G40142" s="889"/>
    </row>
    <row r="40143" spans="7:7" ht="10.5" customHeight="1" x14ac:dyDescent="0.2">
      <c r="G40143" s="889"/>
    </row>
    <row r="40144" spans="7:7" ht="10.5" customHeight="1" x14ac:dyDescent="0.2">
      <c r="G40144" s="889"/>
    </row>
    <row r="40145" spans="7:7" ht="10.5" customHeight="1" x14ac:dyDescent="0.2">
      <c r="G40145" s="889"/>
    </row>
    <row r="40146" spans="7:7" ht="10.5" customHeight="1" x14ac:dyDescent="0.2">
      <c r="G40146" s="889"/>
    </row>
    <row r="40147" spans="7:7" ht="10.5" customHeight="1" x14ac:dyDescent="0.2">
      <c r="G40147" s="889"/>
    </row>
    <row r="40148" spans="7:7" ht="10.5" customHeight="1" x14ac:dyDescent="0.2">
      <c r="G40148" s="889"/>
    </row>
    <row r="40149" spans="7:7" ht="10.5" customHeight="1" x14ac:dyDescent="0.2">
      <c r="G40149" s="889"/>
    </row>
    <row r="40150" spans="7:7" ht="10.5" customHeight="1" x14ac:dyDescent="0.2">
      <c r="G40150" s="889"/>
    </row>
    <row r="40151" spans="7:7" ht="10.5" customHeight="1" x14ac:dyDescent="0.2">
      <c r="G40151" s="889"/>
    </row>
    <row r="40152" spans="7:7" ht="10.5" customHeight="1" x14ac:dyDescent="0.2">
      <c r="G40152" s="889"/>
    </row>
    <row r="40153" spans="7:7" ht="10.5" customHeight="1" x14ac:dyDescent="0.2">
      <c r="G40153" s="889"/>
    </row>
    <row r="40154" spans="7:7" ht="10.5" customHeight="1" x14ac:dyDescent="0.2">
      <c r="G40154" s="889"/>
    </row>
    <row r="40155" spans="7:7" ht="10.5" customHeight="1" x14ac:dyDescent="0.2">
      <c r="G40155" s="889"/>
    </row>
    <row r="40156" spans="7:7" ht="10.5" customHeight="1" x14ac:dyDescent="0.2">
      <c r="G40156" s="889"/>
    </row>
    <row r="40157" spans="7:7" ht="10.5" customHeight="1" x14ac:dyDescent="0.2">
      <c r="G40157" s="889"/>
    </row>
    <row r="40158" spans="7:7" ht="10.5" customHeight="1" x14ac:dyDescent="0.2">
      <c r="G40158" s="889"/>
    </row>
    <row r="40159" spans="7:7" ht="10.5" customHeight="1" x14ac:dyDescent="0.2">
      <c r="G40159" s="889"/>
    </row>
    <row r="40160" spans="7:7" ht="10.5" customHeight="1" x14ac:dyDescent="0.2">
      <c r="G40160" s="889"/>
    </row>
    <row r="40161" spans="7:7" ht="10.5" customHeight="1" x14ac:dyDescent="0.2">
      <c r="G40161" s="889"/>
    </row>
    <row r="40162" spans="7:7" ht="10.5" customHeight="1" x14ac:dyDescent="0.2">
      <c r="G40162" s="889"/>
    </row>
    <row r="40163" spans="7:7" ht="10.5" customHeight="1" x14ac:dyDescent="0.2">
      <c r="G40163" s="889"/>
    </row>
    <row r="40164" spans="7:7" ht="10.5" customHeight="1" x14ac:dyDescent="0.2">
      <c r="G40164" s="889"/>
    </row>
    <row r="40165" spans="7:7" ht="10.5" customHeight="1" x14ac:dyDescent="0.2">
      <c r="G40165" s="889"/>
    </row>
    <row r="40166" spans="7:7" ht="10.5" customHeight="1" x14ac:dyDescent="0.2">
      <c r="G40166" s="889"/>
    </row>
    <row r="40167" spans="7:7" ht="10.5" customHeight="1" x14ac:dyDescent="0.2">
      <c r="G40167" s="889"/>
    </row>
    <row r="40168" spans="7:7" ht="10.5" customHeight="1" x14ac:dyDescent="0.2">
      <c r="G40168" s="889"/>
    </row>
    <row r="40169" spans="7:7" ht="10.5" customHeight="1" x14ac:dyDescent="0.2">
      <c r="G40169" s="889"/>
    </row>
    <row r="40170" spans="7:7" ht="10.5" customHeight="1" x14ac:dyDescent="0.2">
      <c r="G40170" s="889"/>
    </row>
    <row r="40171" spans="7:7" ht="10.5" customHeight="1" x14ac:dyDescent="0.2">
      <c r="G40171" s="889"/>
    </row>
    <row r="40172" spans="7:7" ht="10.5" customHeight="1" x14ac:dyDescent="0.2">
      <c r="G40172" s="889"/>
    </row>
    <row r="40173" spans="7:7" ht="10.5" customHeight="1" x14ac:dyDescent="0.2">
      <c r="G40173" s="889"/>
    </row>
    <row r="40174" spans="7:7" ht="10.5" customHeight="1" x14ac:dyDescent="0.2">
      <c r="G40174" s="889"/>
    </row>
    <row r="40175" spans="7:7" ht="10.5" customHeight="1" x14ac:dyDescent="0.2">
      <c r="G40175" s="889"/>
    </row>
    <row r="40176" spans="7:7" ht="10.5" customHeight="1" x14ac:dyDescent="0.2">
      <c r="G40176" s="889"/>
    </row>
    <row r="40177" spans="7:7" ht="10.5" customHeight="1" x14ac:dyDescent="0.2">
      <c r="G40177" s="889"/>
    </row>
    <row r="40178" spans="7:7" ht="10.5" customHeight="1" x14ac:dyDescent="0.2">
      <c r="G40178" s="889"/>
    </row>
    <row r="40179" spans="7:7" ht="10.5" customHeight="1" x14ac:dyDescent="0.2">
      <c r="G40179" s="889"/>
    </row>
    <row r="40180" spans="7:7" ht="10.5" customHeight="1" x14ac:dyDescent="0.2">
      <c r="G40180" s="889"/>
    </row>
    <row r="40181" spans="7:7" ht="10.5" customHeight="1" x14ac:dyDescent="0.2">
      <c r="G40181" s="889"/>
    </row>
    <row r="40182" spans="7:7" ht="10.5" customHeight="1" x14ac:dyDescent="0.2">
      <c r="G40182" s="889"/>
    </row>
    <row r="40183" spans="7:7" ht="10.5" customHeight="1" x14ac:dyDescent="0.2">
      <c r="G40183" s="889"/>
    </row>
    <row r="40184" spans="7:7" ht="10.5" customHeight="1" x14ac:dyDescent="0.2">
      <c r="G40184" s="889"/>
    </row>
    <row r="40185" spans="7:7" ht="10.5" customHeight="1" x14ac:dyDescent="0.2">
      <c r="G40185" s="889"/>
    </row>
    <row r="40186" spans="7:7" ht="10.5" customHeight="1" x14ac:dyDescent="0.2">
      <c r="G40186" s="889"/>
    </row>
    <row r="40187" spans="7:7" ht="10.5" customHeight="1" x14ac:dyDescent="0.2">
      <c r="G40187" s="889"/>
    </row>
    <row r="40188" spans="7:7" ht="10.5" customHeight="1" x14ac:dyDescent="0.2">
      <c r="G40188" s="889"/>
    </row>
    <row r="40189" spans="7:7" ht="10.5" customHeight="1" x14ac:dyDescent="0.2">
      <c r="G40189" s="889"/>
    </row>
    <row r="40190" spans="7:7" ht="10.5" customHeight="1" x14ac:dyDescent="0.2">
      <c r="G40190" s="889"/>
    </row>
    <row r="40191" spans="7:7" ht="10.5" customHeight="1" x14ac:dyDescent="0.2">
      <c r="G40191" s="889"/>
    </row>
    <row r="40192" spans="7:7" ht="10.5" customHeight="1" x14ac:dyDescent="0.2">
      <c r="G40192" s="889"/>
    </row>
    <row r="40193" spans="7:7" ht="10.5" customHeight="1" x14ac:dyDescent="0.2">
      <c r="G40193" s="889"/>
    </row>
    <row r="40194" spans="7:7" ht="10.5" customHeight="1" x14ac:dyDescent="0.2">
      <c r="G40194" s="889"/>
    </row>
    <row r="40195" spans="7:7" ht="10.5" customHeight="1" x14ac:dyDescent="0.2">
      <c r="G40195" s="889"/>
    </row>
    <row r="40196" spans="7:7" ht="10.5" customHeight="1" x14ac:dyDescent="0.2">
      <c r="G40196" s="889"/>
    </row>
    <row r="40197" spans="7:7" ht="10.5" customHeight="1" x14ac:dyDescent="0.2">
      <c r="G40197" s="889"/>
    </row>
    <row r="40198" spans="7:7" ht="10.5" customHeight="1" x14ac:dyDescent="0.2">
      <c r="G40198" s="889"/>
    </row>
    <row r="40199" spans="7:7" ht="10.5" customHeight="1" x14ac:dyDescent="0.2">
      <c r="G40199" s="889"/>
    </row>
    <row r="40200" spans="7:7" ht="10.5" customHeight="1" x14ac:dyDescent="0.2">
      <c r="G40200" s="889"/>
    </row>
    <row r="40201" spans="7:7" ht="10.5" customHeight="1" x14ac:dyDescent="0.2">
      <c r="G40201" s="889"/>
    </row>
    <row r="40202" spans="7:7" ht="10.5" customHeight="1" x14ac:dyDescent="0.2">
      <c r="G40202" s="889"/>
    </row>
    <row r="40203" spans="7:7" ht="10.5" customHeight="1" x14ac:dyDescent="0.2">
      <c r="G40203" s="889"/>
    </row>
    <row r="40204" spans="7:7" ht="10.5" customHeight="1" x14ac:dyDescent="0.2">
      <c r="G40204" s="889"/>
    </row>
    <row r="40205" spans="7:7" ht="10.5" customHeight="1" x14ac:dyDescent="0.2">
      <c r="G40205" s="889"/>
    </row>
    <row r="40206" spans="7:7" ht="10.5" customHeight="1" x14ac:dyDescent="0.2">
      <c r="G40206" s="889"/>
    </row>
    <row r="40207" spans="7:7" ht="10.5" customHeight="1" x14ac:dyDescent="0.2">
      <c r="G40207" s="889"/>
    </row>
    <row r="40208" spans="7:7" ht="10.5" customHeight="1" x14ac:dyDescent="0.2">
      <c r="G40208" s="889"/>
    </row>
    <row r="40209" spans="7:7" ht="10.5" customHeight="1" x14ac:dyDescent="0.2">
      <c r="G40209" s="889"/>
    </row>
    <row r="40210" spans="7:7" ht="10.5" customHeight="1" x14ac:dyDescent="0.2">
      <c r="G40210" s="889"/>
    </row>
    <row r="40211" spans="7:7" ht="10.5" customHeight="1" x14ac:dyDescent="0.2">
      <c r="G40211" s="889"/>
    </row>
    <row r="40212" spans="7:7" ht="10.5" customHeight="1" x14ac:dyDescent="0.2">
      <c r="G40212" s="889"/>
    </row>
    <row r="40213" spans="7:7" ht="10.5" customHeight="1" x14ac:dyDescent="0.2">
      <c r="G40213" s="889"/>
    </row>
    <row r="40214" spans="7:7" ht="10.5" customHeight="1" x14ac:dyDescent="0.2">
      <c r="G40214" s="889"/>
    </row>
    <row r="40215" spans="7:7" ht="10.5" customHeight="1" x14ac:dyDescent="0.2">
      <c r="G40215" s="889"/>
    </row>
    <row r="40216" spans="7:7" ht="10.5" customHeight="1" x14ac:dyDescent="0.2">
      <c r="G40216" s="889"/>
    </row>
    <row r="40217" spans="7:7" ht="10.5" customHeight="1" x14ac:dyDescent="0.2">
      <c r="G40217" s="889"/>
    </row>
    <row r="40218" spans="7:7" ht="10.5" customHeight="1" x14ac:dyDescent="0.2">
      <c r="G40218" s="889"/>
    </row>
    <row r="40219" spans="7:7" ht="10.5" customHeight="1" x14ac:dyDescent="0.2">
      <c r="G40219" s="889"/>
    </row>
    <row r="40220" spans="7:7" ht="10.5" customHeight="1" x14ac:dyDescent="0.2">
      <c r="G40220" s="889"/>
    </row>
    <row r="40221" spans="7:7" ht="10.5" customHeight="1" x14ac:dyDescent="0.2">
      <c r="G40221" s="889"/>
    </row>
    <row r="40222" spans="7:7" ht="10.5" customHeight="1" x14ac:dyDescent="0.2">
      <c r="G40222" s="889"/>
    </row>
    <row r="40223" spans="7:7" ht="10.5" customHeight="1" x14ac:dyDescent="0.2">
      <c r="G40223" s="889"/>
    </row>
    <row r="40224" spans="7:7" ht="10.5" customHeight="1" x14ac:dyDescent="0.2">
      <c r="G40224" s="889"/>
    </row>
    <row r="40225" spans="7:7" ht="10.5" customHeight="1" x14ac:dyDescent="0.2">
      <c r="G40225" s="889"/>
    </row>
    <row r="40226" spans="7:7" ht="10.5" customHeight="1" x14ac:dyDescent="0.2">
      <c r="G40226" s="889"/>
    </row>
    <row r="40227" spans="7:7" ht="10.5" customHeight="1" x14ac:dyDescent="0.2">
      <c r="G40227" s="889"/>
    </row>
    <row r="40228" spans="7:7" ht="10.5" customHeight="1" x14ac:dyDescent="0.2">
      <c r="G40228" s="889"/>
    </row>
    <row r="40229" spans="7:7" ht="10.5" customHeight="1" x14ac:dyDescent="0.2">
      <c r="G40229" s="889"/>
    </row>
    <row r="40230" spans="7:7" ht="10.5" customHeight="1" x14ac:dyDescent="0.2">
      <c r="G40230" s="889"/>
    </row>
    <row r="40231" spans="7:7" ht="10.5" customHeight="1" x14ac:dyDescent="0.2">
      <c r="G40231" s="889"/>
    </row>
    <row r="40232" spans="7:7" ht="10.5" customHeight="1" x14ac:dyDescent="0.2">
      <c r="G40232" s="889"/>
    </row>
    <row r="40233" spans="7:7" ht="10.5" customHeight="1" x14ac:dyDescent="0.2">
      <c r="G40233" s="889"/>
    </row>
    <row r="40234" spans="7:7" ht="10.5" customHeight="1" x14ac:dyDescent="0.2">
      <c r="G40234" s="889"/>
    </row>
    <row r="40235" spans="7:7" ht="10.5" customHeight="1" x14ac:dyDescent="0.2">
      <c r="G40235" s="889"/>
    </row>
    <row r="40236" spans="7:7" ht="10.5" customHeight="1" x14ac:dyDescent="0.2">
      <c r="G40236" s="889"/>
    </row>
    <row r="40237" spans="7:7" ht="10.5" customHeight="1" x14ac:dyDescent="0.2">
      <c r="G40237" s="889"/>
    </row>
    <row r="40238" spans="7:7" ht="10.5" customHeight="1" x14ac:dyDescent="0.2">
      <c r="G40238" s="889"/>
    </row>
    <row r="40239" spans="7:7" ht="10.5" customHeight="1" x14ac:dyDescent="0.2">
      <c r="G40239" s="889"/>
    </row>
    <row r="40240" spans="7:7" ht="10.5" customHeight="1" x14ac:dyDescent="0.2">
      <c r="G40240" s="889"/>
    </row>
    <row r="40241" spans="7:7" ht="10.5" customHeight="1" x14ac:dyDescent="0.2">
      <c r="G40241" s="889"/>
    </row>
    <row r="40242" spans="7:7" ht="10.5" customHeight="1" x14ac:dyDescent="0.2">
      <c r="G40242" s="889"/>
    </row>
    <row r="40243" spans="7:7" ht="10.5" customHeight="1" x14ac:dyDescent="0.2">
      <c r="G40243" s="889"/>
    </row>
    <row r="40244" spans="7:7" ht="10.5" customHeight="1" x14ac:dyDescent="0.2">
      <c r="G40244" s="889"/>
    </row>
    <row r="40245" spans="7:7" ht="10.5" customHeight="1" x14ac:dyDescent="0.2">
      <c r="G40245" s="889"/>
    </row>
    <row r="40246" spans="7:7" ht="10.5" customHeight="1" x14ac:dyDescent="0.2">
      <c r="G40246" s="889"/>
    </row>
    <row r="40247" spans="7:7" ht="10.5" customHeight="1" x14ac:dyDescent="0.2">
      <c r="G40247" s="889"/>
    </row>
    <row r="40248" spans="7:7" ht="10.5" customHeight="1" x14ac:dyDescent="0.2">
      <c r="G40248" s="889"/>
    </row>
    <row r="40249" spans="7:7" ht="10.5" customHeight="1" x14ac:dyDescent="0.2">
      <c r="G40249" s="889"/>
    </row>
    <row r="40250" spans="7:7" ht="10.5" customHeight="1" x14ac:dyDescent="0.2">
      <c r="G40250" s="889"/>
    </row>
    <row r="40251" spans="7:7" ht="10.5" customHeight="1" x14ac:dyDescent="0.2">
      <c r="G40251" s="889"/>
    </row>
    <row r="40252" spans="7:7" ht="10.5" customHeight="1" x14ac:dyDescent="0.2">
      <c r="G40252" s="889"/>
    </row>
    <row r="40253" spans="7:7" ht="10.5" customHeight="1" x14ac:dyDescent="0.2">
      <c r="G40253" s="889"/>
    </row>
    <row r="40254" spans="7:7" ht="10.5" customHeight="1" x14ac:dyDescent="0.2">
      <c r="G40254" s="889"/>
    </row>
    <row r="40255" spans="7:7" ht="10.5" customHeight="1" x14ac:dyDescent="0.2">
      <c r="G40255" s="889"/>
    </row>
    <row r="40256" spans="7:7" ht="10.5" customHeight="1" x14ac:dyDescent="0.2">
      <c r="G40256" s="889"/>
    </row>
    <row r="40257" spans="7:7" ht="10.5" customHeight="1" x14ac:dyDescent="0.2">
      <c r="G40257" s="889"/>
    </row>
    <row r="40258" spans="7:7" ht="10.5" customHeight="1" x14ac:dyDescent="0.2">
      <c r="G40258" s="889"/>
    </row>
    <row r="40259" spans="7:7" ht="10.5" customHeight="1" x14ac:dyDescent="0.2">
      <c r="G40259" s="889"/>
    </row>
    <row r="40260" spans="7:7" ht="10.5" customHeight="1" x14ac:dyDescent="0.2">
      <c r="G40260" s="889"/>
    </row>
    <row r="40261" spans="7:7" ht="10.5" customHeight="1" x14ac:dyDescent="0.2">
      <c r="G40261" s="889"/>
    </row>
    <row r="40262" spans="7:7" ht="10.5" customHeight="1" x14ac:dyDescent="0.2">
      <c r="G40262" s="889"/>
    </row>
    <row r="40263" spans="7:7" ht="10.5" customHeight="1" x14ac:dyDescent="0.2">
      <c r="G40263" s="889"/>
    </row>
    <row r="40264" spans="7:7" ht="10.5" customHeight="1" x14ac:dyDescent="0.2">
      <c r="G40264" s="889"/>
    </row>
    <row r="40265" spans="7:7" ht="10.5" customHeight="1" x14ac:dyDescent="0.2">
      <c r="G40265" s="889"/>
    </row>
    <row r="40266" spans="7:7" ht="10.5" customHeight="1" x14ac:dyDescent="0.2">
      <c r="G40266" s="889"/>
    </row>
    <row r="40267" spans="7:7" ht="10.5" customHeight="1" x14ac:dyDescent="0.2">
      <c r="G40267" s="889"/>
    </row>
    <row r="40268" spans="7:7" ht="10.5" customHeight="1" x14ac:dyDescent="0.2">
      <c r="G40268" s="889"/>
    </row>
    <row r="40269" spans="7:7" ht="10.5" customHeight="1" x14ac:dyDescent="0.2">
      <c r="G40269" s="889"/>
    </row>
    <row r="40270" spans="7:7" ht="10.5" customHeight="1" x14ac:dyDescent="0.2">
      <c r="G40270" s="889"/>
    </row>
    <row r="40271" spans="7:7" ht="10.5" customHeight="1" x14ac:dyDescent="0.2">
      <c r="G40271" s="889"/>
    </row>
    <row r="40272" spans="7:7" ht="10.5" customHeight="1" x14ac:dyDescent="0.2">
      <c r="G40272" s="889"/>
    </row>
    <row r="40273" spans="7:7" ht="10.5" customHeight="1" x14ac:dyDescent="0.2">
      <c r="G40273" s="889"/>
    </row>
    <row r="40274" spans="7:7" ht="10.5" customHeight="1" x14ac:dyDescent="0.2">
      <c r="G40274" s="889"/>
    </row>
    <row r="40275" spans="7:7" ht="10.5" customHeight="1" x14ac:dyDescent="0.2">
      <c r="G40275" s="889"/>
    </row>
    <row r="40276" spans="7:7" ht="10.5" customHeight="1" x14ac:dyDescent="0.2">
      <c r="G40276" s="889"/>
    </row>
    <row r="40277" spans="7:7" ht="10.5" customHeight="1" x14ac:dyDescent="0.2">
      <c r="G40277" s="889"/>
    </row>
    <row r="40278" spans="7:7" ht="10.5" customHeight="1" x14ac:dyDescent="0.2">
      <c r="G40278" s="889"/>
    </row>
    <row r="40279" spans="7:7" ht="10.5" customHeight="1" x14ac:dyDescent="0.2">
      <c r="G40279" s="889"/>
    </row>
    <row r="40280" spans="7:7" ht="10.5" customHeight="1" x14ac:dyDescent="0.2">
      <c r="G40280" s="889"/>
    </row>
    <row r="40281" spans="7:7" ht="10.5" customHeight="1" x14ac:dyDescent="0.2">
      <c r="G40281" s="889"/>
    </row>
    <row r="40282" spans="7:7" ht="10.5" customHeight="1" x14ac:dyDescent="0.2">
      <c r="G40282" s="889"/>
    </row>
    <row r="40283" spans="7:7" ht="10.5" customHeight="1" x14ac:dyDescent="0.2">
      <c r="G40283" s="889"/>
    </row>
    <row r="40284" spans="7:7" ht="10.5" customHeight="1" x14ac:dyDescent="0.2">
      <c r="G40284" s="889"/>
    </row>
    <row r="40285" spans="7:7" ht="10.5" customHeight="1" x14ac:dyDescent="0.2">
      <c r="G40285" s="889"/>
    </row>
    <row r="40286" spans="7:7" ht="10.5" customHeight="1" x14ac:dyDescent="0.2">
      <c r="G40286" s="889"/>
    </row>
    <row r="40287" spans="7:7" ht="10.5" customHeight="1" x14ac:dyDescent="0.2">
      <c r="G40287" s="889"/>
    </row>
    <row r="40288" spans="7:7" ht="10.5" customHeight="1" x14ac:dyDescent="0.2">
      <c r="G40288" s="889"/>
    </row>
    <row r="40289" spans="7:7" ht="10.5" customHeight="1" x14ac:dyDescent="0.2">
      <c r="G40289" s="889"/>
    </row>
    <row r="40290" spans="7:7" ht="10.5" customHeight="1" x14ac:dyDescent="0.2">
      <c r="G40290" s="889"/>
    </row>
    <row r="40291" spans="7:7" ht="10.5" customHeight="1" x14ac:dyDescent="0.2">
      <c r="G40291" s="889"/>
    </row>
    <row r="40292" spans="7:7" ht="10.5" customHeight="1" x14ac:dyDescent="0.2">
      <c r="G40292" s="889"/>
    </row>
    <row r="40293" spans="7:7" ht="10.5" customHeight="1" x14ac:dyDescent="0.2">
      <c r="G40293" s="889"/>
    </row>
    <row r="40294" spans="7:7" ht="10.5" customHeight="1" x14ac:dyDescent="0.2">
      <c r="G40294" s="889"/>
    </row>
    <row r="40295" spans="7:7" ht="10.5" customHeight="1" x14ac:dyDescent="0.2">
      <c r="G40295" s="889"/>
    </row>
    <row r="40296" spans="7:7" ht="10.5" customHeight="1" x14ac:dyDescent="0.2">
      <c r="G40296" s="889"/>
    </row>
    <row r="40297" spans="7:7" ht="10.5" customHeight="1" x14ac:dyDescent="0.2">
      <c r="G40297" s="889"/>
    </row>
    <row r="40298" spans="7:7" ht="10.5" customHeight="1" x14ac:dyDescent="0.2">
      <c r="G40298" s="889"/>
    </row>
    <row r="40299" spans="7:7" ht="10.5" customHeight="1" x14ac:dyDescent="0.2">
      <c r="G40299" s="889"/>
    </row>
    <row r="40300" spans="7:7" ht="10.5" customHeight="1" x14ac:dyDescent="0.2">
      <c r="G40300" s="889"/>
    </row>
    <row r="40301" spans="7:7" ht="10.5" customHeight="1" x14ac:dyDescent="0.2">
      <c r="G40301" s="889"/>
    </row>
    <row r="40302" spans="7:7" ht="10.5" customHeight="1" x14ac:dyDescent="0.2">
      <c r="G40302" s="889"/>
    </row>
    <row r="40303" spans="7:7" ht="10.5" customHeight="1" x14ac:dyDescent="0.2">
      <c r="G40303" s="889"/>
    </row>
    <row r="40304" spans="7:7" ht="10.5" customHeight="1" x14ac:dyDescent="0.2">
      <c r="G40304" s="889"/>
    </row>
    <row r="40305" spans="7:7" ht="10.5" customHeight="1" x14ac:dyDescent="0.2">
      <c r="G40305" s="889"/>
    </row>
    <row r="40306" spans="7:7" ht="10.5" customHeight="1" x14ac:dyDescent="0.2">
      <c r="G40306" s="889"/>
    </row>
    <row r="40307" spans="7:7" ht="10.5" customHeight="1" x14ac:dyDescent="0.2">
      <c r="G40307" s="889"/>
    </row>
    <row r="40308" spans="7:7" ht="10.5" customHeight="1" x14ac:dyDescent="0.2">
      <c r="G40308" s="889"/>
    </row>
    <row r="40309" spans="7:7" ht="10.5" customHeight="1" x14ac:dyDescent="0.2">
      <c r="G40309" s="889"/>
    </row>
    <row r="40310" spans="7:7" ht="10.5" customHeight="1" x14ac:dyDescent="0.2">
      <c r="G40310" s="889"/>
    </row>
    <row r="40311" spans="7:7" ht="10.5" customHeight="1" x14ac:dyDescent="0.2">
      <c r="G40311" s="889"/>
    </row>
    <row r="40312" spans="7:7" ht="10.5" customHeight="1" x14ac:dyDescent="0.2">
      <c r="G40312" s="889"/>
    </row>
    <row r="40313" spans="7:7" ht="10.5" customHeight="1" x14ac:dyDescent="0.2">
      <c r="G40313" s="889"/>
    </row>
    <row r="40314" spans="7:7" ht="10.5" customHeight="1" x14ac:dyDescent="0.2">
      <c r="G40314" s="889"/>
    </row>
    <row r="40315" spans="7:7" ht="10.5" customHeight="1" x14ac:dyDescent="0.2">
      <c r="G40315" s="889"/>
    </row>
    <row r="40316" spans="7:7" ht="10.5" customHeight="1" x14ac:dyDescent="0.2">
      <c r="G40316" s="889"/>
    </row>
    <row r="40317" spans="7:7" ht="10.5" customHeight="1" x14ac:dyDescent="0.2">
      <c r="G40317" s="889"/>
    </row>
    <row r="40318" spans="7:7" ht="10.5" customHeight="1" x14ac:dyDescent="0.2">
      <c r="G40318" s="889"/>
    </row>
    <row r="40319" spans="7:7" ht="10.5" customHeight="1" x14ac:dyDescent="0.2">
      <c r="G40319" s="889"/>
    </row>
    <row r="40320" spans="7:7" ht="10.5" customHeight="1" x14ac:dyDescent="0.2">
      <c r="G40320" s="889"/>
    </row>
    <row r="40321" spans="7:7" ht="10.5" customHeight="1" x14ac:dyDescent="0.2">
      <c r="G40321" s="889"/>
    </row>
    <row r="40322" spans="7:7" ht="10.5" customHeight="1" x14ac:dyDescent="0.2">
      <c r="G40322" s="889"/>
    </row>
    <row r="40323" spans="7:7" ht="10.5" customHeight="1" x14ac:dyDescent="0.2">
      <c r="G40323" s="889"/>
    </row>
    <row r="40324" spans="7:7" ht="10.5" customHeight="1" x14ac:dyDescent="0.2">
      <c r="G40324" s="889"/>
    </row>
    <row r="40325" spans="7:7" ht="10.5" customHeight="1" x14ac:dyDescent="0.2">
      <c r="G40325" s="889"/>
    </row>
    <row r="40326" spans="7:7" ht="10.5" customHeight="1" x14ac:dyDescent="0.2">
      <c r="G40326" s="889"/>
    </row>
    <row r="40327" spans="7:7" ht="10.5" customHeight="1" x14ac:dyDescent="0.2">
      <c r="G40327" s="889"/>
    </row>
    <row r="40328" spans="7:7" ht="10.5" customHeight="1" x14ac:dyDescent="0.2">
      <c r="G40328" s="889"/>
    </row>
    <row r="40329" spans="7:7" ht="10.5" customHeight="1" x14ac:dyDescent="0.2">
      <c r="G40329" s="889"/>
    </row>
    <row r="40330" spans="7:7" ht="10.5" customHeight="1" x14ac:dyDescent="0.2">
      <c r="G40330" s="889"/>
    </row>
    <row r="40331" spans="7:7" ht="10.5" customHeight="1" x14ac:dyDescent="0.2">
      <c r="G40331" s="889"/>
    </row>
    <row r="40332" spans="7:7" ht="10.5" customHeight="1" x14ac:dyDescent="0.2">
      <c r="G40332" s="889"/>
    </row>
    <row r="40333" spans="7:7" ht="10.5" customHeight="1" x14ac:dyDescent="0.2">
      <c r="G40333" s="889"/>
    </row>
    <row r="40334" spans="7:7" ht="10.5" customHeight="1" x14ac:dyDescent="0.2">
      <c r="G40334" s="889"/>
    </row>
    <row r="40335" spans="7:7" ht="10.5" customHeight="1" x14ac:dyDescent="0.2">
      <c r="G40335" s="889"/>
    </row>
    <row r="40336" spans="7:7" ht="10.5" customHeight="1" x14ac:dyDescent="0.2">
      <c r="G40336" s="889"/>
    </row>
    <row r="40337" spans="7:7" ht="10.5" customHeight="1" x14ac:dyDescent="0.2">
      <c r="G40337" s="889"/>
    </row>
    <row r="40338" spans="7:7" ht="10.5" customHeight="1" x14ac:dyDescent="0.2">
      <c r="G40338" s="889"/>
    </row>
    <row r="40339" spans="7:7" ht="10.5" customHeight="1" x14ac:dyDescent="0.2">
      <c r="G40339" s="889"/>
    </row>
    <row r="40340" spans="7:7" ht="10.5" customHeight="1" x14ac:dyDescent="0.2">
      <c r="G40340" s="889"/>
    </row>
    <row r="40341" spans="7:7" ht="10.5" customHeight="1" x14ac:dyDescent="0.2">
      <c r="G40341" s="889"/>
    </row>
    <row r="40342" spans="7:7" ht="10.5" customHeight="1" x14ac:dyDescent="0.2">
      <c r="G40342" s="889"/>
    </row>
    <row r="40343" spans="7:7" ht="10.5" customHeight="1" x14ac:dyDescent="0.2">
      <c r="G40343" s="889"/>
    </row>
    <row r="40344" spans="7:7" ht="10.5" customHeight="1" x14ac:dyDescent="0.2">
      <c r="G40344" s="889"/>
    </row>
    <row r="40345" spans="7:7" ht="10.5" customHeight="1" x14ac:dyDescent="0.2">
      <c r="G40345" s="889"/>
    </row>
    <row r="40346" spans="7:7" ht="10.5" customHeight="1" x14ac:dyDescent="0.2">
      <c r="G40346" s="889"/>
    </row>
    <row r="40347" spans="7:7" ht="10.5" customHeight="1" x14ac:dyDescent="0.2">
      <c r="G40347" s="889"/>
    </row>
    <row r="40348" spans="7:7" ht="10.5" customHeight="1" x14ac:dyDescent="0.2">
      <c r="G40348" s="889"/>
    </row>
    <row r="40349" spans="7:7" ht="10.5" customHeight="1" x14ac:dyDescent="0.2">
      <c r="G40349" s="889"/>
    </row>
    <row r="40350" spans="7:7" ht="10.5" customHeight="1" x14ac:dyDescent="0.2">
      <c r="G40350" s="889"/>
    </row>
    <row r="40351" spans="7:7" ht="10.5" customHeight="1" x14ac:dyDescent="0.2">
      <c r="G40351" s="889"/>
    </row>
    <row r="40352" spans="7:7" ht="10.5" customHeight="1" x14ac:dyDescent="0.2">
      <c r="G40352" s="889"/>
    </row>
    <row r="40353" spans="7:7" ht="10.5" customHeight="1" x14ac:dyDescent="0.2">
      <c r="G40353" s="889"/>
    </row>
    <row r="40354" spans="7:7" ht="10.5" customHeight="1" x14ac:dyDescent="0.2">
      <c r="G40354" s="889"/>
    </row>
    <row r="40355" spans="7:7" ht="10.5" customHeight="1" x14ac:dyDescent="0.2">
      <c r="G40355" s="889"/>
    </row>
    <row r="40356" spans="7:7" ht="10.5" customHeight="1" x14ac:dyDescent="0.2">
      <c r="G40356" s="889"/>
    </row>
    <row r="40357" spans="7:7" ht="10.5" customHeight="1" x14ac:dyDescent="0.2">
      <c r="G40357" s="889"/>
    </row>
    <row r="40358" spans="7:7" ht="10.5" customHeight="1" x14ac:dyDescent="0.2">
      <c r="G40358" s="889"/>
    </row>
    <row r="40359" spans="7:7" ht="10.5" customHeight="1" x14ac:dyDescent="0.2">
      <c r="G40359" s="889"/>
    </row>
    <row r="40360" spans="7:7" ht="10.5" customHeight="1" x14ac:dyDescent="0.2">
      <c r="G40360" s="889"/>
    </row>
    <row r="40361" spans="7:7" ht="10.5" customHeight="1" x14ac:dyDescent="0.2">
      <c r="G40361" s="889"/>
    </row>
    <row r="40362" spans="7:7" ht="10.5" customHeight="1" x14ac:dyDescent="0.2">
      <c r="G40362" s="889"/>
    </row>
    <row r="40363" spans="7:7" ht="10.5" customHeight="1" x14ac:dyDescent="0.2">
      <c r="G40363" s="889"/>
    </row>
    <row r="40364" spans="7:7" ht="10.5" customHeight="1" x14ac:dyDescent="0.2">
      <c r="G40364" s="889"/>
    </row>
    <row r="40365" spans="7:7" ht="10.5" customHeight="1" x14ac:dyDescent="0.2">
      <c r="G40365" s="889"/>
    </row>
    <row r="40366" spans="7:7" ht="10.5" customHeight="1" x14ac:dyDescent="0.2">
      <c r="G40366" s="889"/>
    </row>
    <row r="40367" spans="7:7" ht="10.5" customHeight="1" x14ac:dyDescent="0.2">
      <c r="G40367" s="889"/>
    </row>
    <row r="40368" spans="7:7" ht="10.5" customHeight="1" x14ac:dyDescent="0.2">
      <c r="G40368" s="889"/>
    </row>
    <row r="40369" spans="7:7" ht="10.5" customHeight="1" x14ac:dyDescent="0.2">
      <c r="G40369" s="889"/>
    </row>
    <row r="40370" spans="7:7" ht="10.5" customHeight="1" x14ac:dyDescent="0.2">
      <c r="G40370" s="889"/>
    </row>
    <row r="40371" spans="7:7" ht="10.5" customHeight="1" x14ac:dyDescent="0.2">
      <c r="G40371" s="889"/>
    </row>
    <row r="40372" spans="7:7" ht="10.5" customHeight="1" x14ac:dyDescent="0.2">
      <c r="G40372" s="889"/>
    </row>
    <row r="40373" spans="7:7" ht="10.5" customHeight="1" x14ac:dyDescent="0.2">
      <c r="G40373" s="889"/>
    </row>
    <row r="40374" spans="7:7" ht="10.5" customHeight="1" x14ac:dyDescent="0.2">
      <c r="G40374" s="889"/>
    </row>
    <row r="40375" spans="7:7" ht="10.5" customHeight="1" x14ac:dyDescent="0.2">
      <c r="G40375" s="889"/>
    </row>
    <row r="40376" spans="7:7" ht="10.5" customHeight="1" x14ac:dyDescent="0.2">
      <c r="G40376" s="889"/>
    </row>
    <row r="40377" spans="7:7" ht="10.5" customHeight="1" x14ac:dyDescent="0.2">
      <c r="G40377" s="889"/>
    </row>
    <row r="40378" spans="7:7" ht="10.5" customHeight="1" x14ac:dyDescent="0.2">
      <c r="G40378" s="889"/>
    </row>
    <row r="40379" spans="7:7" ht="10.5" customHeight="1" x14ac:dyDescent="0.2">
      <c r="G40379" s="889"/>
    </row>
    <row r="40380" spans="7:7" ht="10.5" customHeight="1" x14ac:dyDescent="0.2">
      <c r="G40380" s="889"/>
    </row>
    <row r="40381" spans="7:7" ht="10.5" customHeight="1" x14ac:dyDescent="0.2">
      <c r="G40381" s="889"/>
    </row>
    <row r="40382" spans="7:7" ht="10.5" customHeight="1" x14ac:dyDescent="0.2">
      <c r="G40382" s="889"/>
    </row>
    <row r="40383" spans="7:7" ht="10.5" customHeight="1" x14ac:dyDescent="0.2">
      <c r="G40383" s="889"/>
    </row>
    <row r="40384" spans="7:7" ht="10.5" customHeight="1" x14ac:dyDescent="0.2">
      <c r="G40384" s="889"/>
    </row>
    <row r="40385" spans="7:7" ht="10.5" customHeight="1" x14ac:dyDescent="0.2">
      <c r="G40385" s="889"/>
    </row>
    <row r="40386" spans="7:7" ht="10.5" customHeight="1" x14ac:dyDescent="0.2">
      <c r="G40386" s="889"/>
    </row>
    <row r="40387" spans="7:7" ht="10.5" customHeight="1" x14ac:dyDescent="0.2">
      <c r="G40387" s="889"/>
    </row>
    <row r="40388" spans="7:7" ht="10.5" customHeight="1" x14ac:dyDescent="0.2">
      <c r="G40388" s="889"/>
    </row>
    <row r="40389" spans="7:7" ht="10.5" customHeight="1" x14ac:dyDescent="0.2">
      <c r="G40389" s="889"/>
    </row>
    <row r="40390" spans="7:7" ht="10.5" customHeight="1" x14ac:dyDescent="0.2">
      <c r="G40390" s="889"/>
    </row>
    <row r="40391" spans="7:7" ht="10.5" customHeight="1" x14ac:dyDescent="0.2">
      <c r="G40391" s="889"/>
    </row>
    <row r="40392" spans="7:7" ht="10.5" customHeight="1" x14ac:dyDescent="0.2">
      <c r="G40392" s="889"/>
    </row>
    <row r="40393" spans="7:7" ht="10.5" customHeight="1" x14ac:dyDescent="0.2">
      <c r="G40393" s="889"/>
    </row>
    <row r="40394" spans="7:7" ht="10.5" customHeight="1" x14ac:dyDescent="0.2">
      <c r="G40394" s="889"/>
    </row>
    <row r="40395" spans="7:7" ht="10.5" customHeight="1" x14ac:dyDescent="0.2">
      <c r="G40395" s="889"/>
    </row>
    <row r="40396" spans="7:7" ht="10.5" customHeight="1" x14ac:dyDescent="0.2">
      <c r="G40396" s="889"/>
    </row>
    <row r="40397" spans="7:7" ht="10.5" customHeight="1" x14ac:dyDescent="0.2">
      <c r="G40397" s="889"/>
    </row>
    <row r="40398" spans="7:7" ht="10.5" customHeight="1" x14ac:dyDescent="0.2">
      <c r="G40398" s="889"/>
    </row>
    <row r="40399" spans="7:7" ht="10.5" customHeight="1" x14ac:dyDescent="0.2">
      <c r="G40399" s="889"/>
    </row>
    <row r="40400" spans="7:7" ht="10.5" customHeight="1" x14ac:dyDescent="0.2">
      <c r="G40400" s="889"/>
    </row>
    <row r="40401" spans="7:7" ht="10.5" customHeight="1" x14ac:dyDescent="0.2">
      <c r="G40401" s="889"/>
    </row>
    <row r="40402" spans="7:7" ht="10.5" customHeight="1" x14ac:dyDescent="0.2">
      <c r="G40402" s="889"/>
    </row>
    <row r="40403" spans="7:7" ht="10.5" customHeight="1" x14ac:dyDescent="0.2">
      <c r="G40403" s="889"/>
    </row>
    <row r="40404" spans="7:7" ht="10.5" customHeight="1" x14ac:dyDescent="0.2">
      <c r="G40404" s="889"/>
    </row>
    <row r="40405" spans="7:7" ht="10.5" customHeight="1" x14ac:dyDescent="0.2">
      <c r="G40405" s="889"/>
    </row>
    <row r="40406" spans="7:7" ht="10.5" customHeight="1" x14ac:dyDescent="0.2">
      <c r="G40406" s="889"/>
    </row>
    <row r="40407" spans="7:7" ht="10.5" customHeight="1" x14ac:dyDescent="0.2">
      <c r="G40407" s="889"/>
    </row>
    <row r="40408" spans="7:7" ht="10.5" customHeight="1" x14ac:dyDescent="0.2">
      <c r="G40408" s="889"/>
    </row>
    <row r="40409" spans="7:7" ht="10.5" customHeight="1" x14ac:dyDescent="0.2">
      <c r="G40409" s="889"/>
    </row>
    <row r="40410" spans="7:7" ht="10.5" customHeight="1" x14ac:dyDescent="0.2">
      <c r="G40410" s="889"/>
    </row>
    <row r="40411" spans="7:7" ht="10.5" customHeight="1" x14ac:dyDescent="0.2">
      <c r="G40411" s="889"/>
    </row>
    <row r="40412" spans="7:7" ht="10.5" customHeight="1" x14ac:dyDescent="0.2">
      <c r="G40412" s="889"/>
    </row>
    <row r="40413" spans="7:7" ht="10.5" customHeight="1" x14ac:dyDescent="0.2">
      <c r="G40413" s="889"/>
    </row>
    <row r="40414" spans="7:7" ht="10.5" customHeight="1" x14ac:dyDescent="0.2">
      <c r="G40414" s="889"/>
    </row>
    <row r="40415" spans="7:7" ht="10.5" customHeight="1" x14ac:dyDescent="0.2">
      <c r="G40415" s="889"/>
    </row>
    <row r="40416" spans="7:7" ht="10.5" customHeight="1" x14ac:dyDescent="0.2">
      <c r="G40416" s="889"/>
    </row>
    <row r="40417" spans="7:7" ht="10.5" customHeight="1" x14ac:dyDescent="0.2">
      <c r="G40417" s="889"/>
    </row>
    <row r="40418" spans="7:7" ht="10.5" customHeight="1" x14ac:dyDescent="0.2">
      <c r="G40418" s="889"/>
    </row>
    <row r="40419" spans="7:7" ht="10.5" customHeight="1" x14ac:dyDescent="0.2">
      <c r="G40419" s="889"/>
    </row>
    <row r="40420" spans="7:7" ht="10.5" customHeight="1" x14ac:dyDescent="0.2">
      <c r="G40420" s="889"/>
    </row>
    <row r="40421" spans="7:7" ht="10.5" customHeight="1" x14ac:dyDescent="0.2">
      <c r="G40421" s="889"/>
    </row>
    <row r="40422" spans="7:7" ht="10.5" customHeight="1" x14ac:dyDescent="0.2">
      <c r="G40422" s="889"/>
    </row>
    <row r="40423" spans="7:7" ht="10.5" customHeight="1" x14ac:dyDescent="0.2">
      <c r="G40423" s="889"/>
    </row>
    <row r="40424" spans="7:7" ht="10.5" customHeight="1" x14ac:dyDescent="0.2">
      <c r="G40424" s="889"/>
    </row>
    <row r="40425" spans="7:7" ht="10.5" customHeight="1" x14ac:dyDescent="0.2">
      <c r="G40425" s="889"/>
    </row>
    <row r="40426" spans="7:7" ht="10.5" customHeight="1" x14ac:dyDescent="0.2">
      <c r="G40426" s="889"/>
    </row>
    <row r="40427" spans="7:7" ht="10.5" customHeight="1" x14ac:dyDescent="0.2">
      <c r="G40427" s="889"/>
    </row>
    <row r="40428" spans="7:7" ht="10.5" customHeight="1" x14ac:dyDescent="0.2">
      <c r="G40428" s="889"/>
    </row>
    <row r="40429" spans="7:7" ht="10.5" customHeight="1" x14ac:dyDescent="0.2">
      <c r="G40429" s="889"/>
    </row>
    <row r="40430" spans="7:7" ht="10.5" customHeight="1" x14ac:dyDescent="0.2">
      <c r="G40430" s="889"/>
    </row>
    <row r="40431" spans="7:7" ht="10.5" customHeight="1" x14ac:dyDescent="0.2">
      <c r="G40431" s="889"/>
    </row>
    <row r="40432" spans="7:7" ht="10.5" customHeight="1" x14ac:dyDescent="0.2">
      <c r="G40432" s="889"/>
    </row>
    <row r="40433" spans="7:7" ht="10.5" customHeight="1" x14ac:dyDescent="0.2">
      <c r="G40433" s="889"/>
    </row>
    <row r="40434" spans="7:7" ht="10.5" customHeight="1" x14ac:dyDescent="0.2">
      <c r="G40434" s="889"/>
    </row>
    <row r="40435" spans="7:7" ht="10.5" customHeight="1" x14ac:dyDescent="0.2">
      <c r="G40435" s="889"/>
    </row>
    <row r="40436" spans="7:7" ht="10.5" customHeight="1" x14ac:dyDescent="0.2">
      <c r="G40436" s="889"/>
    </row>
    <row r="40437" spans="7:7" ht="10.5" customHeight="1" x14ac:dyDescent="0.2">
      <c r="G40437" s="889"/>
    </row>
    <row r="40438" spans="7:7" ht="10.5" customHeight="1" x14ac:dyDescent="0.2">
      <c r="G40438" s="889"/>
    </row>
    <row r="40439" spans="7:7" ht="10.5" customHeight="1" x14ac:dyDescent="0.2">
      <c r="G40439" s="889"/>
    </row>
    <row r="40440" spans="7:7" ht="10.5" customHeight="1" x14ac:dyDescent="0.2">
      <c r="G40440" s="889"/>
    </row>
    <row r="40441" spans="7:7" ht="10.5" customHeight="1" x14ac:dyDescent="0.2">
      <c r="G40441" s="889"/>
    </row>
    <row r="40442" spans="7:7" ht="10.5" customHeight="1" x14ac:dyDescent="0.2">
      <c r="G40442" s="889"/>
    </row>
    <row r="40443" spans="7:7" ht="10.5" customHeight="1" x14ac:dyDescent="0.2">
      <c r="G40443" s="889"/>
    </row>
    <row r="40444" spans="7:7" ht="10.5" customHeight="1" x14ac:dyDescent="0.2">
      <c r="G40444" s="889"/>
    </row>
    <row r="40445" spans="7:7" ht="10.5" customHeight="1" x14ac:dyDescent="0.2">
      <c r="G40445" s="889"/>
    </row>
    <row r="40446" spans="7:7" ht="10.5" customHeight="1" x14ac:dyDescent="0.2">
      <c r="G40446" s="889"/>
    </row>
    <row r="40447" spans="7:7" ht="10.5" customHeight="1" x14ac:dyDescent="0.2">
      <c r="G40447" s="889"/>
    </row>
    <row r="40448" spans="7:7" ht="10.5" customHeight="1" x14ac:dyDescent="0.2">
      <c r="G40448" s="889"/>
    </row>
    <row r="40449" spans="7:7" ht="10.5" customHeight="1" x14ac:dyDescent="0.2">
      <c r="G40449" s="889"/>
    </row>
    <row r="40450" spans="7:7" ht="10.5" customHeight="1" x14ac:dyDescent="0.2">
      <c r="G40450" s="889"/>
    </row>
    <row r="40451" spans="7:7" ht="10.5" customHeight="1" x14ac:dyDescent="0.2">
      <c r="G40451" s="889"/>
    </row>
    <row r="40452" spans="7:7" ht="10.5" customHeight="1" x14ac:dyDescent="0.2">
      <c r="G40452" s="889"/>
    </row>
    <row r="40453" spans="7:7" ht="10.5" customHeight="1" x14ac:dyDescent="0.2">
      <c r="G40453" s="889"/>
    </row>
    <row r="40454" spans="7:7" ht="10.5" customHeight="1" x14ac:dyDescent="0.2">
      <c r="G40454" s="889"/>
    </row>
    <row r="40455" spans="7:7" ht="10.5" customHeight="1" x14ac:dyDescent="0.2">
      <c r="G40455" s="889"/>
    </row>
    <row r="40456" spans="7:7" ht="10.5" customHeight="1" x14ac:dyDescent="0.2">
      <c r="G40456" s="889"/>
    </row>
    <row r="40457" spans="7:7" ht="10.5" customHeight="1" x14ac:dyDescent="0.2">
      <c r="G40457" s="889"/>
    </row>
    <row r="40458" spans="7:7" ht="10.5" customHeight="1" x14ac:dyDescent="0.2">
      <c r="G40458" s="889"/>
    </row>
    <row r="40459" spans="7:7" ht="10.5" customHeight="1" x14ac:dyDescent="0.2">
      <c r="G40459" s="889"/>
    </row>
    <row r="40460" spans="7:7" ht="10.5" customHeight="1" x14ac:dyDescent="0.2">
      <c r="G40460" s="889"/>
    </row>
    <row r="40461" spans="7:7" ht="10.5" customHeight="1" x14ac:dyDescent="0.2">
      <c r="G40461" s="889"/>
    </row>
    <row r="40462" spans="7:7" ht="10.5" customHeight="1" x14ac:dyDescent="0.2">
      <c r="G40462" s="889"/>
    </row>
    <row r="40463" spans="7:7" ht="10.5" customHeight="1" x14ac:dyDescent="0.2">
      <c r="G40463" s="889"/>
    </row>
    <row r="40464" spans="7:7" ht="10.5" customHeight="1" x14ac:dyDescent="0.2">
      <c r="G40464" s="889"/>
    </row>
    <row r="40465" spans="7:7" ht="10.5" customHeight="1" x14ac:dyDescent="0.2">
      <c r="G40465" s="889"/>
    </row>
    <row r="40466" spans="7:7" ht="10.5" customHeight="1" x14ac:dyDescent="0.2">
      <c r="G40466" s="889"/>
    </row>
    <row r="40467" spans="7:7" ht="10.5" customHeight="1" x14ac:dyDescent="0.2">
      <c r="G40467" s="889"/>
    </row>
    <row r="40468" spans="7:7" ht="10.5" customHeight="1" x14ac:dyDescent="0.2">
      <c r="G40468" s="889"/>
    </row>
    <row r="40469" spans="7:7" ht="10.5" customHeight="1" x14ac:dyDescent="0.2">
      <c r="G40469" s="889"/>
    </row>
    <row r="40470" spans="7:7" ht="10.5" customHeight="1" x14ac:dyDescent="0.2">
      <c r="G40470" s="889"/>
    </row>
    <row r="40471" spans="7:7" ht="10.5" customHeight="1" x14ac:dyDescent="0.2">
      <c r="G40471" s="889"/>
    </row>
    <row r="40472" spans="7:7" ht="10.5" customHeight="1" x14ac:dyDescent="0.2">
      <c r="G40472" s="889"/>
    </row>
    <row r="40473" spans="7:7" ht="10.5" customHeight="1" x14ac:dyDescent="0.2">
      <c r="G40473" s="889"/>
    </row>
    <row r="40474" spans="7:7" ht="10.5" customHeight="1" x14ac:dyDescent="0.2">
      <c r="G40474" s="889"/>
    </row>
    <row r="40475" spans="7:7" ht="10.5" customHeight="1" x14ac:dyDescent="0.2">
      <c r="G40475" s="889"/>
    </row>
    <row r="40476" spans="7:7" ht="10.5" customHeight="1" x14ac:dyDescent="0.2">
      <c r="G40476" s="889"/>
    </row>
    <row r="40477" spans="7:7" ht="10.5" customHeight="1" x14ac:dyDescent="0.2">
      <c r="G40477" s="889"/>
    </row>
    <row r="40478" spans="7:7" ht="10.5" customHeight="1" x14ac:dyDescent="0.2">
      <c r="G40478" s="889"/>
    </row>
    <row r="40479" spans="7:7" ht="10.5" customHeight="1" x14ac:dyDescent="0.2">
      <c r="G40479" s="889"/>
    </row>
    <row r="40480" spans="7:7" ht="10.5" customHeight="1" x14ac:dyDescent="0.2">
      <c r="G40480" s="889"/>
    </row>
    <row r="40481" spans="7:7" ht="10.5" customHeight="1" x14ac:dyDescent="0.2">
      <c r="G40481" s="889"/>
    </row>
    <row r="40482" spans="7:7" ht="10.5" customHeight="1" x14ac:dyDescent="0.2">
      <c r="G40482" s="889"/>
    </row>
    <row r="40483" spans="7:7" ht="10.5" customHeight="1" x14ac:dyDescent="0.2">
      <c r="G40483" s="889"/>
    </row>
    <row r="40484" spans="7:7" ht="10.5" customHeight="1" x14ac:dyDescent="0.2">
      <c r="G40484" s="889"/>
    </row>
    <row r="40485" spans="7:7" ht="10.5" customHeight="1" x14ac:dyDescent="0.2">
      <c r="G40485" s="889"/>
    </row>
    <row r="40486" spans="7:7" ht="10.5" customHeight="1" x14ac:dyDescent="0.2">
      <c r="G40486" s="889"/>
    </row>
    <row r="40487" spans="7:7" ht="10.5" customHeight="1" x14ac:dyDescent="0.2">
      <c r="G40487" s="889"/>
    </row>
    <row r="40488" spans="7:7" ht="10.5" customHeight="1" x14ac:dyDescent="0.2">
      <c r="G40488" s="889"/>
    </row>
    <row r="40489" spans="7:7" ht="10.5" customHeight="1" x14ac:dyDescent="0.2">
      <c r="G40489" s="889"/>
    </row>
    <row r="40490" spans="7:7" ht="10.5" customHeight="1" x14ac:dyDescent="0.2">
      <c r="G40490" s="889"/>
    </row>
    <row r="40491" spans="7:7" ht="10.5" customHeight="1" x14ac:dyDescent="0.2">
      <c r="G40491" s="889"/>
    </row>
    <row r="40492" spans="7:7" ht="10.5" customHeight="1" x14ac:dyDescent="0.2">
      <c r="G40492" s="889"/>
    </row>
    <row r="40493" spans="7:7" ht="10.5" customHeight="1" x14ac:dyDescent="0.2">
      <c r="G40493" s="889"/>
    </row>
    <row r="40494" spans="7:7" ht="10.5" customHeight="1" x14ac:dyDescent="0.2">
      <c r="G40494" s="889"/>
    </row>
    <row r="40495" spans="7:7" ht="10.5" customHeight="1" x14ac:dyDescent="0.2">
      <c r="G40495" s="889"/>
    </row>
    <row r="40496" spans="7:7" ht="10.5" customHeight="1" x14ac:dyDescent="0.2">
      <c r="G40496" s="889"/>
    </row>
    <row r="40497" spans="7:7" ht="10.5" customHeight="1" x14ac:dyDescent="0.2">
      <c r="G40497" s="889"/>
    </row>
    <row r="40498" spans="7:7" ht="10.5" customHeight="1" x14ac:dyDescent="0.2">
      <c r="G40498" s="889"/>
    </row>
    <row r="40499" spans="7:7" ht="10.5" customHeight="1" x14ac:dyDescent="0.2">
      <c r="G40499" s="889"/>
    </row>
    <row r="40500" spans="7:7" ht="10.5" customHeight="1" x14ac:dyDescent="0.2">
      <c r="G40500" s="889"/>
    </row>
    <row r="40501" spans="7:7" ht="10.5" customHeight="1" x14ac:dyDescent="0.2">
      <c r="G40501" s="889"/>
    </row>
    <row r="40502" spans="7:7" ht="10.5" customHeight="1" x14ac:dyDescent="0.2">
      <c r="G40502" s="889"/>
    </row>
    <row r="40503" spans="7:7" ht="10.5" customHeight="1" x14ac:dyDescent="0.2">
      <c r="G40503" s="889"/>
    </row>
    <row r="40504" spans="7:7" ht="10.5" customHeight="1" x14ac:dyDescent="0.2">
      <c r="G40504" s="889"/>
    </row>
    <row r="40505" spans="7:7" ht="10.5" customHeight="1" x14ac:dyDescent="0.2">
      <c r="G40505" s="889"/>
    </row>
    <row r="40506" spans="7:7" ht="10.5" customHeight="1" x14ac:dyDescent="0.2">
      <c r="G40506" s="889"/>
    </row>
    <row r="40507" spans="7:7" ht="10.5" customHeight="1" x14ac:dyDescent="0.2">
      <c r="G40507" s="889"/>
    </row>
    <row r="40508" spans="7:7" ht="10.5" customHeight="1" x14ac:dyDescent="0.2">
      <c r="G40508" s="889"/>
    </row>
    <row r="40509" spans="7:7" ht="10.5" customHeight="1" x14ac:dyDescent="0.2">
      <c r="G40509" s="889"/>
    </row>
    <row r="40510" spans="7:7" ht="10.5" customHeight="1" x14ac:dyDescent="0.2">
      <c r="G40510" s="889"/>
    </row>
    <row r="40511" spans="7:7" ht="10.5" customHeight="1" x14ac:dyDescent="0.2">
      <c r="G40511" s="889"/>
    </row>
    <row r="40512" spans="7:7" ht="10.5" customHeight="1" x14ac:dyDescent="0.2">
      <c r="G40512" s="889"/>
    </row>
    <row r="40513" spans="7:7" ht="10.5" customHeight="1" x14ac:dyDescent="0.2">
      <c r="G40513" s="889"/>
    </row>
    <row r="40514" spans="7:7" ht="10.5" customHeight="1" x14ac:dyDescent="0.2">
      <c r="G40514" s="889"/>
    </row>
    <row r="40515" spans="7:7" ht="10.5" customHeight="1" x14ac:dyDescent="0.2">
      <c r="G40515" s="889"/>
    </row>
    <row r="40516" spans="7:7" ht="10.5" customHeight="1" x14ac:dyDescent="0.2">
      <c r="G40516" s="889"/>
    </row>
    <row r="40517" spans="7:7" ht="10.5" customHeight="1" x14ac:dyDescent="0.2">
      <c r="G40517" s="889"/>
    </row>
    <row r="40518" spans="7:7" ht="10.5" customHeight="1" x14ac:dyDescent="0.2">
      <c r="G40518" s="889"/>
    </row>
    <row r="40519" spans="7:7" ht="10.5" customHeight="1" x14ac:dyDescent="0.2">
      <c r="G40519" s="889"/>
    </row>
    <row r="40520" spans="7:7" ht="10.5" customHeight="1" x14ac:dyDescent="0.2">
      <c r="G40520" s="889"/>
    </row>
    <row r="40521" spans="7:7" ht="10.5" customHeight="1" x14ac:dyDescent="0.2">
      <c r="G40521" s="889"/>
    </row>
    <row r="40522" spans="7:7" ht="10.5" customHeight="1" x14ac:dyDescent="0.2">
      <c r="G40522" s="889"/>
    </row>
    <row r="40523" spans="7:7" ht="10.5" customHeight="1" x14ac:dyDescent="0.2">
      <c r="G40523" s="889"/>
    </row>
    <row r="40524" spans="7:7" ht="10.5" customHeight="1" x14ac:dyDescent="0.2">
      <c r="G40524" s="889"/>
    </row>
    <row r="40525" spans="7:7" ht="10.5" customHeight="1" x14ac:dyDescent="0.2">
      <c r="G40525" s="889"/>
    </row>
    <row r="40526" spans="7:7" ht="10.5" customHeight="1" x14ac:dyDescent="0.2">
      <c r="G40526" s="889"/>
    </row>
    <row r="40527" spans="7:7" ht="10.5" customHeight="1" x14ac:dyDescent="0.2">
      <c r="G40527" s="889"/>
    </row>
    <row r="40528" spans="7:7" ht="10.5" customHeight="1" x14ac:dyDescent="0.2">
      <c r="G40528" s="889"/>
    </row>
    <row r="40529" spans="7:7" ht="10.5" customHeight="1" x14ac:dyDescent="0.2">
      <c r="G40529" s="889"/>
    </row>
    <row r="40530" spans="7:7" ht="10.5" customHeight="1" x14ac:dyDescent="0.2">
      <c r="G40530" s="889"/>
    </row>
    <row r="40531" spans="7:7" ht="10.5" customHeight="1" x14ac:dyDescent="0.2">
      <c r="G40531" s="889"/>
    </row>
    <row r="40532" spans="7:7" ht="10.5" customHeight="1" x14ac:dyDescent="0.2">
      <c r="G40532" s="889"/>
    </row>
    <row r="40533" spans="7:7" ht="10.5" customHeight="1" x14ac:dyDescent="0.2">
      <c r="G40533" s="889"/>
    </row>
    <row r="40534" spans="7:7" ht="10.5" customHeight="1" x14ac:dyDescent="0.2">
      <c r="G40534" s="889"/>
    </row>
    <row r="40535" spans="7:7" ht="10.5" customHeight="1" x14ac:dyDescent="0.2">
      <c r="G40535" s="889"/>
    </row>
    <row r="40536" spans="7:7" ht="10.5" customHeight="1" x14ac:dyDescent="0.2">
      <c r="G40536" s="889"/>
    </row>
    <row r="40537" spans="7:7" ht="10.5" customHeight="1" x14ac:dyDescent="0.2">
      <c r="G40537" s="889"/>
    </row>
    <row r="40538" spans="7:7" ht="10.5" customHeight="1" x14ac:dyDescent="0.2">
      <c r="G40538" s="889"/>
    </row>
    <row r="40539" spans="7:7" ht="10.5" customHeight="1" x14ac:dyDescent="0.2">
      <c r="G40539" s="889"/>
    </row>
    <row r="40540" spans="7:7" ht="10.5" customHeight="1" x14ac:dyDescent="0.2">
      <c r="G40540" s="889"/>
    </row>
    <row r="40541" spans="7:7" ht="10.5" customHeight="1" x14ac:dyDescent="0.2">
      <c r="G40541" s="889"/>
    </row>
    <row r="40542" spans="7:7" ht="10.5" customHeight="1" x14ac:dyDescent="0.2">
      <c r="G40542" s="889"/>
    </row>
    <row r="40543" spans="7:7" ht="10.5" customHeight="1" x14ac:dyDescent="0.2">
      <c r="G40543" s="889"/>
    </row>
    <row r="40544" spans="7:7" ht="10.5" customHeight="1" x14ac:dyDescent="0.2">
      <c r="G40544" s="889"/>
    </row>
    <row r="40545" spans="7:7" ht="10.5" customHeight="1" x14ac:dyDescent="0.2">
      <c r="G40545" s="889"/>
    </row>
    <row r="40546" spans="7:7" ht="10.5" customHeight="1" x14ac:dyDescent="0.2">
      <c r="G40546" s="889"/>
    </row>
    <row r="40547" spans="7:7" ht="10.5" customHeight="1" x14ac:dyDescent="0.2">
      <c r="G40547" s="889"/>
    </row>
    <row r="40548" spans="7:7" ht="10.5" customHeight="1" x14ac:dyDescent="0.2">
      <c r="G40548" s="889"/>
    </row>
    <row r="40549" spans="7:7" ht="10.5" customHeight="1" x14ac:dyDescent="0.2">
      <c r="G40549" s="889"/>
    </row>
    <row r="40550" spans="7:7" ht="10.5" customHeight="1" x14ac:dyDescent="0.2">
      <c r="G40550" s="889"/>
    </row>
    <row r="40551" spans="7:7" ht="10.5" customHeight="1" x14ac:dyDescent="0.2">
      <c r="G40551" s="889"/>
    </row>
    <row r="40552" spans="7:7" ht="10.5" customHeight="1" x14ac:dyDescent="0.2">
      <c r="G40552" s="889"/>
    </row>
    <row r="40553" spans="7:7" ht="10.5" customHeight="1" x14ac:dyDescent="0.2">
      <c r="G40553" s="889"/>
    </row>
    <row r="40554" spans="7:7" ht="10.5" customHeight="1" x14ac:dyDescent="0.2">
      <c r="G40554" s="889"/>
    </row>
    <row r="40555" spans="7:7" ht="10.5" customHeight="1" x14ac:dyDescent="0.2">
      <c r="G40555" s="889"/>
    </row>
    <row r="40556" spans="7:7" ht="10.5" customHeight="1" x14ac:dyDescent="0.2">
      <c r="G40556" s="889"/>
    </row>
    <row r="40557" spans="7:7" ht="10.5" customHeight="1" x14ac:dyDescent="0.2">
      <c r="G40557" s="889"/>
    </row>
    <row r="40558" spans="7:7" ht="10.5" customHeight="1" x14ac:dyDescent="0.2">
      <c r="G40558" s="889"/>
    </row>
    <row r="40559" spans="7:7" ht="10.5" customHeight="1" x14ac:dyDescent="0.2">
      <c r="G40559" s="889"/>
    </row>
    <row r="40560" spans="7:7" ht="10.5" customHeight="1" x14ac:dyDescent="0.2">
      <c r="G40560" s="889"/>
    </row>
    <row r="40561" spans="7:7" ht="10.5" customHeight="1" x14ac:dyDescent="0.2">
      <c r="G40561" s="889"/>
    </row>
    <row r="40562" spans="7:7" ht="10.5" customHeight="1" x14ac:dyDescent="0.2">
      <c r="G40562" s="889"/>
    </row>
    <row r="40563" spans="7:7" ht="10.5" customHeight="1" x14ac:dyDescent="0.2">
      <c r="G40563" s="889"/>
    </row>
    <row r="40564" spans="7:7" ht="10.5" customHeight="1" x14ac:dyDescent="0.2">
      <c r="G40564" s="889"/>
    </row>
    <row r="40565" spans="7:7" ht="10.5" customHeight="1" x14ac:dyDescent="0.2">
      <c r="G40565" s="889"/>
    </row>
    <row r="40566" spans="7:7" ht="10.5" customHeight="1" x14ac:dyDescent="0.2">
      <c r="G40566" s="889"/>
    </row>
    <row r="40567" spans="7:7" ht="10.5" customHeight="1" x14ac:dyDescent="0.2">
      <c r="G40567" s="889"/>
    </row>
    <row r="40568" spans="7:7" ht="10.5" customHeight="1" x14ac:dyDescent="0.2">
      <c r="G40568" s="889"/>
    </row>
    <row r="40569" spans="7:7" ht="10.5" customHeight="1" x14ac:dyDescent="0.2">
      <c r="G40569" s="889"/>
    </row>
    <row r="40570" spans="7:7" ht="10.5" customHeight="1" x14ac:dyDescent="0.2">
      <c r="G40570" s="889"/>
    </row>
    <row r="40571" spans="7:7" ht="10.5" customHeight="1" x14ac:dyDescent="0.2">
      <c r="G40571" s="889"/>
    </row>
    <row r="40572" spans="7:7" ht="10.5" customHeight="1" x14ac:dyDescent="0.2">
      <c r="G40572" s="889"/>
    </row>
    <row r="40573" spans="7:7" ht="10.5" customHeight="1" x14ac:dyDescent="0.2">
      <c r="G40573" s="889"/>
    </row>
    <row r="40574" spans="7:7" ht="10.5" customHeight="1" x14ac:dyDescent="0.2">
      <c r="G40574" s="889"/>
    </row>
    <row r="40575" spans="7:7" ht="10.5" customHeight="1" x14ac:dyDescent="0.2">
      <c r="G40575" s="889"/>
    </row>
    <row r="40576" spans="7:7" ht="10.5" customHeight="1" x14ac:dyDescent="0.2">
      <c r="G40576" s="889"/>
    </row>
    <row r="40577" spans="7:7" ht="10.5" customHeight="1" x14ac:dyDescent="0.2">
      <c r="G40577" s="889"/>
    </row>
    <row r="40578" spans="7:7" ht="10.5" customHeight="1" x14ac:dyDescent="0.2">
      <c r="G40578" s="889"/>
    </row>
    <row r="40579" spans="7:7" ht="10.5" customHeight="1" x14ac:dyDescent="0.2">
      <c r="G40579" s="889"/>
    </row>
    <row r="40580" spans="7:7" ht="10.5" customHeight="1" x14ac:dyDescent="0.2">
      <c r="G40580" s="889"/>
    </row>
    <row r="40581" spans="7:7" ht="10.5" customHeight="1" x14ac:dyDescent="0.2">
      <c r="G40581" s="889"/>
    </row>
    <row r="40582" spans="7:7" ht="10.5" customHeight="1" x14ac:dyDescent="0.2">
      <c r="G40582" s="889"/>
    </row>
    <row r="40583" spans="7:7" ht="10.5" customHeight="1" x14ac:dyDescent="0.2">
      <c r="G40583" s="889"/>
    </row>
    <row r="40584" spans="7:7" ht="10.5" customHeight="1" x14ac:dyDescent="0.2">
      <c r="G40584" s="889"/>
    </row>
    <row r="40585" spans="7:7" ht="10.5" customHeight="1" x14ac:dyDescent="0.2">
      <c r="G40585" s="889"/>
    </row>
    <row r="40586" spans="7:7" ht="10.5" customHeight="1" x14ac:dyDescent="0.2">
      <c r="G40586" s="889"/>
    </row>
    <row r="40587" spans="7:7" ht="10.5" customHeight="1" x14ac:dyDescent="0.2">
      <c r="G40587" s="889"/>
    </row>
    <row r="40588" spans="7:7" ht="10.5" customHeight="1" x14ac:dyDescent="0.2">
      <c r="G40588" s="889"/>
    </row>
    <row r="40589" spans="7:7" ht="10.5" customHeight="1" x14ac:dyDescent="0.2">
      <c r="G40589" s="889"/>
    </row>
    <row r="40590" spans="7:7" ht="10.5" customHeight="1" x14ac:dyDescent="0.2">
      <c r="G40590" s="889"/>
    </row>
    <row r="40591" spans="7:7" ht="10.5" customHeight="1" x14ac:dyDescent="0.2">
      <c r="G40591" s="889"/>
    </row>
    <row r="40592" spans="7:7" ht="10.5" customHeight="1" x14ac:dyDescent="0.2">
      <c r="G40592" s="889"/>
    </row>
    <row r="40593" spans="7:7" ht="10.5" customHeight="1" x14ac:dyDescent="0.2">
      <c r="G40593" s="889"/>
    </row>
    <row r="40594" spans="7:7" ht="10.5" customHeight="1" x14ac:dyDescent="0.2">
      <c r="G40594" s="889"/>
    </row>
    <row r="40595" spans="7:7" ht="10.5" customHeight="1" x14ac:dyDescent="0.2">
      <c r="G40595" s="889"/>
    </row>
    <row r="40596" spans="7:7" ht="10.5" customHeight="1" x14ac:dyDescent="0.2">
      <c r="G40596" s="889"/>
    </row>
    <row r="40597" spans="7:7" ht="10.5" customHeight="1" x14ac:dyDescent="0.2">
      <c r="G40597" s="889"/>
    </row>
    <row r="40598" spans="7:7" ht="10.5" customHeight="1" x14ac:dyDescent="0.2">
      <c r="G40598" s="889"/>
    </row>
    <row r="40599" spans="7:7" ht="10.5" customHeight="1" x14ac:dyDescent="0.2">
      <c r="G40599" s="889"/>
    </row>
    <row r="40600" spans="7:7" ht="10.5" customHeight="1" x14ac:dyDescent="0.2">
      <c r="G40600" s="889"/>
    </row>
    <row r="40601" spans="7:7" ht="10.5" customHeight="1" x14ac:dyDescent="0.2">
      <c r="G40601" s="889"/>
    </row>
    <row r="40602" spans="7:7" ht="10.5" customHeight="1" x14ac:dyDescent="0.2">
      <c r="G40602" s="889"/>
    </row>
    <row r="40603" spans="7:7" ht="10.5" customHeight="1" x14ac:dyDescent="0.2">
      <c r="G40603" s="889"/>
    </row>
    <row r="40604" spans="7:7" ht="10.5" customHeight="1" x14ac:dyDescent="0.2">
      <c r="G40604" s="889"/>
    </row>
    <row r="40605" spans="7:7" ht="10.5" customHeight="1" x14ac:dyDescent="0.2">
      <c r="G40605" s="889"/>
    </row>
    <row r="40606" spans="7:7" ht="10.5" customHeight="1" x14ac:dyDescent="0.2">
      <c r="G40606" s="889"/>
    </row>
    <row r="40607" spans="7:7" ht="10.5" customHeight="1" x14ac:dyDescent="0.2">
      <c r="G40607" s="889"/>
    </row>
    <row r="40608" spans="7:7" ht="10.5" customHeight="1" x14ac:dyDescent="0.2">
      <c r="G40608" s="889"/>
    </row>
    <row r="40609" spans="7:7" ht="10.5" customHeight="1" x14ac:dyDescent="0.2">
      <c r="G40609" s="889"/>
    </row>
    <row r="40610" spans="7:7" ht="10.5" customHeight="1" x14ac:dyDescent="0.2">
      <c r="G40610" s="889"/>
    </row>
    <row r="40611" spans="7:7" ht="10.5" customHeight="1" x14ac:dyDescent="0.2">
      <c r="G40611" s="889"/>
    </row>
    <row r="40612" spans="7:7" ht="10.5" customHeight="1" x14ac:dyDescent="0.2">
      <c r="G40612" s="889"/>
    </row>
    <row r="40613" spans="7:7" ht="10.5" customHeight="1" x14ac:dyDescent="0.2">
      <c r="G40613" s="889"/>
    </row>
    <row r="40614" spans="7:7" ht="10.5" customHeight="1" x14ac:dyDescent="0.2">
      <c r="G40614" s="889"/>
    </row>
    <row r="40615" spans="7:7" ht="10.5" customHeight="1" x14ac:dyDescent="0.2">
      <c r="G40615" s="889"/>
    </row>
    <row r="40616" spans="7:7" ht="10.5" customHeight="1" x14ac:dyDescent="0.2">
      <c r="G40616" s="889"/>
    </row>
    <row r="40617" spans="7:7" ht="10.5" customHeight="1" x14ac:dyDescent="0.2">
      <c r="G40617" s="889"/>
    </row>
    <row r="40618" spans="7:7" ht="10.5" customHeight="1" x14ac:dyDescent="0.2">
      <c r="G40618" s="889"/>
    </row>
    <row r="40619" spans="7:7" ht="10.5" customHeight="1" x14ac:dyDescent="0.2">
      <c r="G40619" s="889"/>
    </row>
    <row r="40620" spans="7:7" ht="10.5" customHeight="1" x14ac:dyDescent="0.2">
      <c r="G40620" s="889"/>
    </row>
    <row r="40621" spans="7:7" ht="10.5" customHeight="1" x14ac:dyDescent="0.2">
      <c r="G40621" s="889"/>
    </row>
    <row r="40622" spans="7:7" ht="10.5" customHeight="1" x14ac:dyDescent="0.2">
      <c r="G40622" s="889"/>
    </row>
    <row r="40623" spans="7:7" ht="10.5" customHeight="1" x14ac:dyDescent="0.2">
      <c r="G40623" s="889"/>
    </row>
    <row r="40624" spans="7:7" ht="10.5" customHeight="1" x14ac:dyDescent="0.2">
      <c r="G40624" s="889"/>
    </row>
    <row r="40625" spans="7:7" ht="10.5" customHeight="1" x14ac:dyDescent="0.2">
      <c r="G40625" s="889"/>
    </row>
    <row r="40626" spans="7:7" ht="10.5" customHeight="1" x14ac:dyDescent="0.2">
      <c r="G40626" s="889"/>
    </row>
    <row r="40627" spans="7:7" ht="10.5" customHeight="1" x14ac:dyDescent="0.2">
      <c r="G40627" s="889"/>
    </row>
    <row r="40628" spans="7:7" ht="10.5" customHeight="1" x14ac:dyDescent="0.2">
      <c r="G40628" s="889"/>
    </row>
    <row r="40629" spans="7:7" ht="10.5" customHeight="1" x14ac:dyDescent="0.2">
      <c r="G40629" s="889"/>
    </row>
    <row r="40630" spans="7:7" ht="10.5" customHeight="1" x14ac:dyDescent="0.2">
      <c r="G40630" s="889"/>
    </row>
    <row r="40631" spans="7:7" ht="10.5" customHeight="1" x14ac:dyDescent="0.2">
      <c r="G40631" s="889"/>
    </row>
    <row r="40632" spans="7:7" ht="10.5" customHeight="1" x14ac:dyDescent="0.2">
      <c r="G40632" s="889"/>
    </row>
    <row r="40633" spans="7:7" ht="10.5" customHeight="1" x14ac:dyDescent="0.2">
      <c r="G40633" s="889"/>
    </row>
    <row r="40634" spans="7:7" ht="10.5" customHeight="1" x14ac:dyDescent="0.2">
      <c r="G40634" s="889"/>
    </row>
    <row r="40635" spans="7:7" ht="10.5" customHeight="1" x14ac:dyDescent="0.2">
      <c r="G40635" s="889"/>
    </row>
    <row r="40636" spans="7:7" ht="10.5" customHeight="1" x14ac:dyDescent="0.2">
      <c r="G40636" s="889"/>
    </row>
    <row r="40637" spans="7:7" ht="10.5" customHeight="1" x14ac:dyDescent="0.2">
      <c r="G40637" s="889"/>
    </row>
    <row r="40638" spans="7:7" ht="10.5" customHeight="1" x14ac:dyDescent="0.2">
      <c r="G40638" s="889"/>
    </row>
    <row r="40639" spans="7:7" ht="10.5" customHeight="1" x14ac:dyDescent="0.2">
      <c r="G40639" s="889"/>
    </row>
    <row r="40640" spans="7:7" ht="10.5" customHeight="1" x14ac:dyDescent="0.2">
      <c r="G40640" s="889"/>
    </row>
    <row r="40641" spans="7:7" ht="10.5" customHeight="1" x14ac:dyDescent="0.2">
      <c r="G40641" s="889"/>
    </row>
    <row r="40642" spans="7:7" ht="10.5" customHeight="1" x14ac:dyDescent="0.2">
      <c r="G40642" s="889"/>
    </row>
    <row r="40643" spans="7:7" ht="10.5" customHeight="1" x14ac:dyDescent="0.2">
      <c r="G40643" s="889"/>
    </row>
    <row r="40644" spans="7:7" ht="10.5" customHeight="1" x14ac:dyDescent="0.2">
      <c r="G40644" s="889"/>
    </row>
    <row r="40645" spans="7:7" ht="10.5" customHeight="1" x14ac:dyDescent="0.2">
      <c r="G40645" s="889"/>
    </row>
    <row r="40646" spans="7:7" ht="10.5" customHeight="1" x14ac:dyDescent="0.2">
      <c r="G40646" s="889"/>
    </row>
    <row r="40647" spans="7:7" ht="10.5" customHeight="1" x14ac:dyDescent="0.2">
      <c r="G40647" s="889"/>
    </row>
    <row r="40648" spans="7:7" ht="10.5" customHeight="1" x14ac:dyDescent="0.2">
      <c r="G40648" s="889"/>
    </row>
    <row r="40649" spans="7:7" ht="10.5" customHeight="1" x14ac:dyDescent="0.2">
      <c r="G40649" s="889"/>
    </row>
    <row r="40650" spans="7:7" ht="10.5" customHeight="1" x14ac:dyDescent="0.2">
      <c r="G40650" s="889"/>
    </row>
    <row r="40651" spans="7:7" ht="10.5" customHeight="1" x14ac:dyDescent="0.2">
      <c r="G40651" s="889"/>
    </row>
    <row r="40652" spans="7:7" ht="10.5" customHeight="1" x14ac:dyDescent="0.2">
      <c r="G40652" s="889"/>
    </row>
    <row r="40653" spans="7:7" ht="10.5" customHeight="1" x14ac:dyDescent="0.2">
      <c r="G40653" s="889"/>
    </row>
    <row r="40654" spans="7:7" ht="10.5" customHeight="1" x14ac:dyDescent="0.2">
      <c r="G40654" s="889"/>
    </row>
    <row r="40655" spans="7:7" ht="10.5" customHeight="1" x14ac:dyDescent="0.2">
      <c r="G40655" s="889"/>
    </row>
    <row r="40656" spans="7:7" ht="10.5" customHeight="1" x14ac:dyDescent="0.2">
      <c r="G40656" s="889"/>
    </row>
    <row r="40657" spans="7:7" ht="10.5" customHeight="1" x14ac:dyDescent="0.2">
      <c r="G40657" s="889"/>
    </row>
    <row r="40658" spans="7:7" ht="10.5" customHeight="1" x14ac:dyDescent="0.2">
      <c r="G40658" s="889"/>
    </row>
    <row r="40659" spans="7:7" ht="10.5" customHeight="1" x14ac:dyDescent="0.2">
      <c r="G40659" s="889"/>
    </row>
    <row r="40660" spans="7:7" ht="10.5" customHeight="1" x14ac:dyDescent="0.2">
      <c r="G40660" s="889"/>
    </row>
    <row r="40661" spans="7:7" ht="10.5" customHeight="1" x14ac:dyDescent="0.2">
      <c r="G40661" s="889"/>
    </row>
    <row r="40662" spans="7:7" ht="10.5" customHeight="1" x14ac:dyDescent="0.2">
      <c r="G40662" s="889"/>
    </row>
    <row r="40663" spans="7:7" ht="10.5" customHeight="1" x14ac:dyDescent="0.2">
      <c r="G40663" s="889"/>
    </row>
    <row r="40664" spans="7:7" ht="10.5" customHeight="1" x14ac:dyDescent="0.2">
      <c r="G40664" s="889"/>
    </row>
    <row r="40665" spans="7:7" ht="10.5" customHeight="1" x14ac:dyDescent="0.2">
      <c r="G40665" s="889"/>
    </row>
    <row r="40666" spans="7:7" ht="10.5" customHeight="1" x14ac:dyDescent="0.2">
      <c r="G40666" s="889"/>
    </row>
    <row r="40667" spans="7:7" ht="10.5" customHeight="1" x14ac:dyDescent="0.2">
      <c r="G40667" s="889"/>
    </row>
    <row r="40668" spans="7:7" ht="10.5" customHeight="1" x14ac:dyDescent="0.2">
      <c r="G40668" s="889"/>
    </row>
    <row r="40669" spans="7:7" ht="10.5" customHeight="1" x14ac:dyDescent="0.2">
      <c r="G40669" s="889"/>
    </row>
    <row r="40670" spans="7:7" ht="10.5" customHeight="1" x14ac:dyDescent="0.2">
      <c r="G40670" s="889"/>
    </row>
    <row r="40671" spans="7:7" ht="10.5" customHeight="1" x14ac:dyDescent="0.2">
      <c r="G40671" s="889"/>
    </row>
    <row r="40672" spans="7:7" ht="10.5" customHeight="1" x14ac:dyDescent="0.2">
      <c r="G40672" s="889"/>
    </row>
    <row r="40673" spans="7:7" ht="10.5" customHeight="1" x14ac:dyDescent="0.2">
      <c r="G40673" s="889"/>
    </row>
    <row r="40674" spans="7:7" ht="10.5" customHeight="1" x14ac:dyDescent="0.2">
      <c r="G40674" s="889"/>
    </row>
    <row r="40675" spans="7:7" ht="10.5" customHeight="1" x14ac:dyDescent="0.2">
      <c r="G40675" s="889"/>
    </row>
    <row r="40676" spans="7:7" ht="10.5" customHeight="1" x14ac:dyDescent="0.2">
      <c r="G40676" s="889"/>
    </row>
    <row r="40677" spans="7:7" ht="10.5" customHeight="1" x14ac:dyDescent="0.2">
      <c r="G40677" s="889"/>
    </row>
    <row r="40678" spans="7:7" ht="10.5" customHeight="1" x14ac:dyDescent="0.2">
      <c r="G40678" s="889"/>
    </row>
    <row r="40679" spans="7:7" ht="10.5" customHeight="1" x14ac:dyDescent="0.2">
      <c r="G40679" s="889"/>
    </row>
    <row r="40680" spans="7:7" ht="10.5" customHeight="1" x14ac:dyDescent="0.2">
      <c r="G40680" s="889"/>
    </row>
    <row r="40681" spans="7:7" ht="10.5" customHeight="1" x14ac:dyDescent="0.2">
      <c r="G40681" s="889"/>
    </row>
    <row r="40682" spans="7:7" ht="10.5" customHeight="1" x14ac:dyDescent="0.2">
      <c r="G40682" s="889"/>
    </row>
    <row r="40683" spans="7:7" ht="10.5" customHeight="1" x14ac:dyDescent="0.2">
      <c r="G40683" s="889"/>
    </row>
    <row r="40684" spans="7:7" ht="10.5" customHeight="1" x14ac:dyDescent="0.2">
      <c r="G40684" s="889"/>
    </row>
    <row r="40685" spans="7:7" ht="10.5" customHeight="1" x14ac:dyDescent="0.2">
      <c r="G40685" s="889"/>
    </row>
    <row r="40686" spans="7:7" ht="10.5" customHeight="1" x14ac:dyDescent="0.2">
      <c r="G40686" s="889"/>
    </row>
    <row r="40687" spans="7:7" ht="10.5" customHeight="1" x14ac:dyDescent="0.2">
      <c r="G40687" s="889"/>
    </row>
    <row r="40688" spans="7:7" ht="10.5" customHeight="1" x14ac:dyDescent="0.2">
      <c r="G40688" s="889"/>
    </row>
    <row r="40689" spans="7:7" ht="10.5" customHeight="1" x14ac:dyDescent="0.2">
      <c r="G40689" s="889"/>
    </row>
    <row r="40690" spans="7:7" ht="10.5" customHeight="1" x14ac:dyDescent="0.2">
      <c r="G40690" s="889"/>
    </row>
    <row r="40691" spans="7:7" ht="10.5" customHeight="1" x14ac:dyDescent="0.2">
      <c r="G40691" s="889"/>
    </row>
    <row r="40692" spans="7:7" ht="10.5" customHeight="1" x14ac:dyDescent="0.2">
      <c r="G40692" s="889"/>
    </row>
    <row r="40693" spans="7:7" ht="10.5" customHeight="1" x14ac:dyDescent="0.2">
      <c r="G40693" s="889"/>
    </row>
    <row r="40694" spans="7:7" ht="10.5" customHeight="1" x14ac:dyDescent="0.2">
      <c r="G40694" s="889"/>
    </row>
    <row r="40695" spans="7:7" ht="10.5" customHeight="1" x14ac:dyDescent="0.2">
      <c r="G40695" s="889"/>
    </row>
    <row r="40696" spans="7:7" ht="10.5" customHeight="1" x14ac:dyDescent="0.2">
      <c r="G40696" s="889"/>
    </row>
    <row r="40697" spans="7:7" ht="10.5" customHeight="1" x14ac:dyDescent="0.2">
      <c r="G40697" s="889"/>
    </row>
    <row r="40698" spans="7:7" ht="10.5" customHeight="1" x14ac:dyDescent="0.2">
      <c r="G40698" s="889"/>
    </row>
    <row r="40699" spans="7:7" ht="10.5" customHeight="1" x14ac:dyDescent="0.2">
      <c r="G40699" s="889"/>
    </row>
    <row r="40700" spans="7:7" ht="10.5" customHeight="1" x14ac:dyDescent="0.2">
      <c r="G40700" s="889"/>
    </row>
    <row r="40701" spans="7:7" ht="10.5" customHeight="1" x14ac:dyDescent="0.2">
      <c r="G40701" s="889"/>
    </row>
    <row r="40702" spans="7:7" ht="10.5" customHeight="1" x14ac:dyDescent="0.2">
      <c r="G40702" s="889"/>
    </row>
    <row r="40703" spans="7:7" ht="10.5" customHeight="1" x14ac:dyDescent="0.2">
      <c r="G40703" s="889"/>
    </row>
    <row r="40704" spans="7:7" ht="10.5" customHeight="1" x14ac:dyDescent="0.2">
      <c r="G40704" s="889"/>
    </row>
    <row r="40705" spans="7:7" ht="10.5" customHeight="1" x14ac:dyDescent="0.2">
      <c r="G40705" s="889"/>
    </row>
    <row r="40706" spans="7:7" ht="10.5" customHeight="1" x14ac:dyDescent="0.2">
      <c r="G40706" s="889"/>
    </row>
    <row r="40707" spans="7:7" ht="10.5" customHeight="1" x14ac:dyDescent="0.2">
      <c r="G40707" s="889"/>
    </row>
    <row r="40708" spans="7:7" ht="10.5" customHeight="1" x14ac:dyDescent="0.2">
      <c r="G40708" s="889"/>
    </row>
    <row r="40709" spans="7:7" ht="10.5" customHeight="1" x14ac:dyDescent="0.2">
      <c r="G40709" s="889"/>
    </row>
    <row r="40710" spans="7:7" ht="10.5" customHeight="1" x14ac:dyDescent="0.2">
      <c r="G40710" s="889"/>
    </row>
    <row r="40711" spans="7:7" ht="10.5" customHeight="1" x14ac:dyDescent="0.2">
      <c r="G40711" s="889"/>
    </row>
    <row r="40712" spans="7:7" ht="10.5" customHeight="1" x14ac:dyDescent="0.2">
      <c r="G40712" s="889"/>
    </row>
    <row r="40713" spans="7:7" ht="10.5" customHeight="1" x14ac:dyDescent="0.2">
      <c r="G40713" s="889"/>
    </row>
    <row r="40714" spans="7:7" ht="10.5" customHeight="1" x14ac:dyDescent="0.2">
      <c r="G40714" s="889"/>
    </row>
    <row r="40715" spans="7:7" ht="10.5" customHeight="1" x14ac:dyDescent="0.2">
      <c r="G40715" s="889"/>
    </row>
    <row r="40716" spans="7:7" ht="10.5" customHeight="1" x14ac:dyDescent="0.2">
      <c r="G40716" s="889"/>
    </row>
    <row r="40717" spans="7:7" ht="10.5" customHeight="1" x14ac:dyDescent="0.2">
      <c r="G40717" s="889"/>
    </row>
    <row r="40718" spans="7:7" ht="10.5" customHeight="1" x14ac:dyDescent="0.2">
      <c r="G40718" s="889"/>
    </row>
    <row r="40719" spans="7:7" ht="10.5" customHeight="1" x14ac:dyDescent="0.2">
      <c r="G40719" s="889"/>
    </row>
    <row r="40720" spans="7:7" ht="10.5" customHeight="1" x14ac:dyDescent="0.2">
      <c r="G40720" s="889"/>
    </row>
    <row r="40721" spans="7:7" ht="10.5" customHeight="1" x14ac:dyDescent="0.2">
      <c r="G40721" s="889"/>
    </row>
    <row r="40722" spans="7:7" ht="10.5" customHeight="1" x14ac:dyDescent="0.2">
      <c r="G40722" s="889"/>
    </row>
    <row r="40723" spans="7:7" ht="10.5" customHeight="1" x14ac:dyDescent="0.2">
      <c r="G40723" s="889"/>
    </row>
    <row r="40724" spans="7:7" ht="10.5" customHeight="1" x14ac:dyDescent="0.2">
      <c r="G40724" s="889"/>
    </row>
    <row r="40725" spans="7:7" ht="10.5" customHeight="1" x14ac:dyDescent="0.2">
      <c r="G40725" s="889"/>
    </row>
    <row r="40726" spans="7:7" ht="10.5" customHeight="1" x14ac:dyDescent="0.2">
      <c r="G40726" s="889"/>
    </row>
    <row r="40727" spans="7:7" ht="10.5" customHeight="1" x14ac:dyDescent="0.2">
      <c r="G40727" s="889"/>
    </row>
    <row r="40728" spans="7:7" ht="10.5" customHeight="1" x14ac:dyDescent="0.2">
      <c r="G40728" s="889"/>
    </row>
    <row r="40729" spans="7:7" ht="10.5" customHeight="1" x14ac:dyDescent="0.2">
      <c r="G40729" s="889"/>
    </row>
    <row r="40730" spans="7:7" ht="10.5" customHeight="1" x14ac:dyDescent="0.2">
      <c r="G40730" s="889"/>
    </row>
    <row r="40731" spans="7:7" ht="10.5" customHeight="1" x14ac:dyDescent="0.2">
      <c r="G40731" s="889"/>
    </row>
    <row r="40732" spans="7:7" ht="10.5" customHeight="1" x14ac:dyDescent="0.2">
      <c r="G40732" s="889"/>
    </row>
    <row r="40733" spans="7:7" ht="10.5" customHeight="1" x14ac:dyDescent="0.2">
      <c r="G40733" s="889"/>
    </row>
    <row r="40734" spans="7:7" ht="10.5" customHeight="1" x14ac:dyDescent="0.2">
      <c r="G40734" s="889"/>
    </row>
    <row r="40735" spans="7:7" ht="10.5" customHeight="1" x14ac:dyDescent="0.2">
      <c r="G40735" s="889"/>
    </row>
    <row r="40736" spans="7:7" ht="10.5" customHeight="1" x14ac:dyDescent="0.2">
      <c r="G40736" s="889"/>
    </row>
    <row r="40737" spans="7:7" ht="10.5" customHeight="1" x14ac:dyDescent="0.2">
      <c r="G40737" s="889"/>
    </row>
    <row r="40738" spans="7:7" ht="10.5" customHeight="1" x14ac:dyDescent="0.2">
      <c r="G40738" s="889"/>
    </row>
    <row r="40739" spans="7:7" ht="10.5" customHeight="1" x14ac:dyDescent="0.2">
      <c r="G40739" s="889"/>
    </row>
    <row r="40740" spans="7:7" ht="10.5" customHeight="1" x14ac:dyDescent="0.2">
      <c r="G40740" s="889"/>
    </row>
    <row r="40741" spans="7:7" ht="10.5" customHeight="1" x14ac:dyDescent="0.2">
      <c r="G40741" s="889"/>
    </row>
    <row r="40742" spans="7:7" ht="10.5" customHeight="1" x14ac:dyDescent="0.2">
      <c r="G40742" s="889"/>
    </row>
    <row r="40743" spans="7:7" ht="10.5" customHeight="1" x14ac:dyDescent="0.2">
      <c r="G40743" s="889"/>
    </row>
    <row r="40744" spans="7:7" ht="10.5" customHeight="1" x14ac:dyDescent="0.2">
      <c r="G40744" s="889"/>
    </row>
    <row r="40745" spans="7:7" ht="10.5" customHeight="1" x14ac:dyDescent="0.2">
      <c r="G40745" s="889"/>
    </row>
    <row r="40746" spans="7:7" ht="10.5" customHeight="1" x14ac:dyDescent="0.2">
      <c r="G40746" s="889"/>
    </row>
    <row r="40747" spans="7:7" ht="10.5" customHeight="1" x14ac:dyDescent="0.2">
      <c r="G40747" s="889"/>
    </row>
    <row r="40748" spans="7:7" ht="10.5" customHeight="1" x14ac:dyDescent="0.2">
      <c r="G40748" s="889"/>
    </row>
    <row r="40749" spans="7:7" ht="10.5" customHeight="1" x14ac:dyDescent="0.2">
      <c r="G40749" s="889"/>
    </row>
    <row r="40750" spans="7:7" ht="10.5" customHeight="1" x14ac:dyDescent="0.2">
      <c r="G40750" s="889"/>
    </row>
    <row r="40751" spans="7:7" ht="10.5" customHeight="1" x14ac:dyDescent="0.2">
      <c r="G40751" s="889"/>
    </row>
    <row r="40752" spans="7:7" ht="10.5" customHeight="1" x14ac:dyDescent="0.2">
      <c r="G40752" s="889"/>
    </row>
    <row r="40753" spans="7:7" ht="10.5" customHeight="1" x14ac:dyDescent="0.2">
      <c r="G40753" s="889"/>
    </row>
    <row r="40754" spans="7:7" ht="10.5" customHeight="1" x14ac:dyDescent="0.2">
      <c r="G40754" s="889"/>
    </row>
    <row r="40755" spans="7:7" ht="10.5" customHeight="1" x14ac:dyDescent="0.2">
      <c r="G40755" s="889"/>
    </row>
    <row r="40756" spans="7:7" ht="10.5" customHeight="1" x14ac:dyDescent="0.2">
      <c r="G40756" s="889"/>
    </row>
    <row r="40757" spans="7:7" ht="10.5" customHeight="1" x14ac:dyDescent="0.2">
      <c r="G40757" s="889"/>
    </row>
    <row r="40758" spans="7:7" ht="10.5" customHeight="1" x14ac:dyDescent="0.2">
      <c r="G40758" s="889"/>
    </row>
    <row r="40759" spans="7:7" ht="10.5" customHeight="1" x14ac:dyDescent="0.2">
      <c r="G40759" s="889"/>
    </row>
    <row r="40760" spans="7:7" ht="10.5" customHeight="1" x14ac:dyDescent="0.2">
      <c r="G40760" s="889"/>
    </row>
    <row r="40761" spans="7:7" ht="10.5" customHeight="1" x14ac:dyDescent="0.2">
      <c r="G40761" s="889"/>
    </row>
    <row r="40762" spans="7:7" ht="10.5" customHeight="1" x14ac:dyDescent="0.2">
      <c r="G40762" s="889"/>
    </row>
    <row r="40763" spans="7:7" ht="10.5" customHeight="1" x14ac:dyDescent="0.2">
      <c r="G40763" s="889"/>
    </row>
    <row r="40764" spans="7:7" ht="10.5" customHeight="1" x14ac:dyDescent="0.2">
      <c r="G40764" s="889"/>
    </row>
    <row r="40765" spans="7:7" ht="10.5" customHeight="1" x14ac:dyDescent="0.2">
      <c r="G40765" s="889"/>
    </row>
    <row r="40766" spans="7:7" ht="10.5" customHeight="1" x14ac:dyDescent="0.2">
      <c r="G40766" s="889"/>
    </row>
    <row r="40767" spans="7:7" ht="10.5" customHeight="1" x14ac:dyDescent="0.2">
      <c r="G40767" s="889"/>
    </row>
    <row r="40768" spans="7:7" ht="10.5" customHeight="1" x14ac:dyDescent="0.2">
      <c r="G40768" s="889"/>
    </row>
    <row r="40769" spans="7:7" ht="10.5" customHeight="1" x14ac:dyDescent="0.2">
      <c r="G40769" s="889"/>
    </row>
    <row r="40770" spans="7:7" ht="10.5" customHeight="1" x14ac:dyDescent="0.2">
      <c r="G40770" s="889"/>
    </row>
    <row r="40771" spans="7:7" ht="10.5" customHeight="1" x14ac:dyDescent="0.2">
      <c r="G40771" s="889"/>
    </row>
    <row r="40772" spans="7:7" ht="10.5" customHeight="1" x14ac:dyDescent="0.2">
      <c r="G40772" s="889"/>
    </row>
    <row r="40773" spans="7:7" ht="10.5" customHeight="1" x14ac:dyDescent="0.2">
      <c r="G40773" s="889"/>
    </row>
    <row r="40774" spans="7:7" ht="10.5" customHeight="1" x14ac:dyDescent="0.2">
      <c r="G40774" s="889"/>
    </row>
    <row r="40775" spans="7:7" ht="10.5" customHeight="1" x14ac:dyDescent="0.2">
      <c r="G40775" s="889"/>
    </row>
    <row r="40776" spans="7:7" ht="10.5" customHeight="1" x14ac:dyDescent="0.2">
      <c r="G40776" s="889"/>
    </row>
    <row r="40777" spans="7:7" ht="10.5" customHeight="1" x14ac:dyDescent="0.2">
      <c r="G40777" s="889"/>
    </row>
    <row r="40778" spans="7:7" ht="10.5" customHeight="1" x14ac:dyDescent="0.2">
      <c r="G40778" s="889"/>
    </row>
    <row r="40779" spans="7:7" ht="10.5" customHeight="1" x14ac:dyDescent="0.2">
      <c r="G40779" s="889"/>
    </row>
    <row r="40780" spans="7:7" ht="10.5" customHeight="1" x14ac:dyDescent="0.2">
      <c r="G40780" s="889"/>
    </row>
    <row r="40781" spans="7:7" ht="10.5" customHeight="1" x14ac:dyDescent="0.2">
      <c r="G40781" s="889"/>
    </row>
    <row r="40782" spans="7:7" ht="10.5" customHeight="1" x14ac:dyDescent="0.2">
      <c r="G40782" s="889"/>
    </row>
    <row r="40783" spans="7:7" ht="10.5" customHeight="1" x14ac:dyDescent="0.2">
      <c r="G40783" s="889"/>
    </row>
    <row r="40784" spans="7:7" ht="10.5" customHeight="1" x14ac:dyDescent="0.2">
      <c r="G40784" s="889"/>
    </row>
    <row r="40785" spans="7:7" ht="10.5" customHeight="1" x14ac:dyDescent="0.2">
      <c r="G40785" s="889"/>
    </row>
    <row r="40786" spans="7:7" ht="10.5" customHeight="1" x14ac:dyDescent="0.2">
      <c r="G40786" s="889"/>
    </row>
    <row r="40787" spans="7:7" ht="10.5" customHeight="1" x14ac:dyDescent="0.2">
      <c r="G40787" s="889"/>
    </row>
    <row r="40788" spans="7:7" ht="10.5" customHeight="1" x14ac:dyDescent="0.2">
      <c r="G40788" s="889"/>
    </row>
    <row r="40789" spans="7:7" ht="10.5" customHeight="1" x14ac:dyDescent="0.2">
      <c r="G40789" s="889"/>
    </row>
    <row r="40790" spans="7:7" ht="10.5" customHeight="1" x14ac:dyDescent="0.2">
      <c r="G40790" s="889"/>
    </row>
    <row r="40791" spans="7:7" ht="10.5" customHeight="1" x14ac:dyDescent="0.2">
      <c r="G40791" s="889"/>
    </row>
    <row r="40792" spans="7:7" ht="10.5" customHeight="1" x14ac:dyDescent="0.2">
      <c r="G40792" s="889"/>
    </row>
    <row r="40793" spans="7:7" ht="10.5" customHeight="1" x14ac:dyDescent="0.2">
      <c r="G40793" s="889"/>
    </row>
    <row r="40794" spans="7:7" ht="10.5" customHeight="1" x14ac:dyDescent="0.2">
      <c r="G40794" s="889"/>
    </row>
    <row r="40795" spans="7:7" ht="10.5" customHeight="1" x14ac:dyDescent="0.2">
      <c r="G40795" s="889"/>
    </row>
    <row r="40796" spans="7:7" ht="10.5" customHeight="1" x14ac:dyDescent="0.2">
      <c r="G40796" s="889"/>
    </row>
    <row r="40797" spans="7:7" ht="10.5" customHeight="1" x14ac:dyDescent="0.2">
      <c r="G40797" s="889"/>
    </row>
    <row r="40798" spans="7:7" ht="10.5" customHeight="1" x14ac:dyDescent="0.2">
      <c r="G40798" s="889"/>
    </row>
    <row r="40799" spans="7:7" ht="10.5" customHeight="1" x14ac:dyDescent="0.2">
      <c r="G40799" s="889"/>
    </row>
    <row r="40800" spans="7:7" ht="10.5" customHeight="1" x14ac:dyDescent="0.2">
      <c r="G40800" s="889"/>
    </row>
    <row r="40801" spans="7:7" ht="10.5" customHeight="1" x14ac:dyDescent="0.2">
      <c r="G40801" s="889"/>
    </row>
    <row r="40802" spans="7:7" ht="10.5" customHeight="1" x14ac:dyDescent="0.2">
      <c r="G40802" s="889"/>
    </row>
    <row r="40803" spans="7:7" ht="10.5" customHeight="1" x14ac:dyDescent="0.2">
      <c r="G40803" s="889"/>
    </row>
    <row r="40804" spans="7:7" ht="10.5" customHeight="1" x14ac:dyDescent="0.2">
      <c r="G40804" s="889"/>
    </row>
    <row r="40805" spans="7:7" ht="10.5" customHeight="1" x14ac:dyDescent="0.2">
      <c r="G40805" s="889"/>
    </row>
    <row r="40806" spans="7:7" ht="10.5" customHeight="1" x14ac:dyDescent="0.2">
      <c r="G40806" s="889"/>
    </row>
    <row r="40807" spans="7:7" ht="10.5" customHeight="1" x14ac:dyDescent="0.2">
      <c r="G40807" s="889"/>
    </row>
    <row r="40808" spans="7:7" ht="10.5" customHeight="1" x14ac:dyDescent="0.2">
      <c r="G40808" s="889"/>
    </row>
    <row r="40809" spans="7:7" ht="10.5" customHeight="1" x14ac:dyDescent="0.2">
      <c r="G40809" s="889"/>
    </row>
    <row r="40810" spans="7:7" ht="10.5" customHeight="1" x14ac:dyDescent="0.2">
      <c r="G40810" s="889"/>
    </row>
    <row r="40811" spans="7:7" ht="10.5" customHeight="1" x14ac:dyDescent="0.2">
      <c r="G40811" s="889"/>
    </row>
    <row r="40812" spans="7:7" ht="10.5" customHeight="1" x14ac:dyDescent="0.2">
      <c r="G40812" s="889"/>
    </row>
    <row r="40813" spans="7:7" ht="10.5" customHeight="1" x14ac:dyDescent="0.2">
      <c r="G40813" s="889"/>
    </row>
    <row r="40814" spans="7:7" ht="10.5" customHeight="1" x14ac:dyDescent="0.2">
      <c r="G40814" s="889"/>
    </row>
    <row r="40815" spans="7:7" ht="10.5" customHeight="1" x14ac:dyDescent="0.2">
      <c r="G40815" s="889"/>
    </row>
    <row r="40816" spans="7:7" ht="10.5" customHeight="1" x14ac:dyDescent="0.2">
      <c r="G40816" s="889"/>
    </row>
    <row r="40817" spans="7:7" ht="10.5" customHeight="1" x14ac:dyDescent="0.2">
      <c r="G40817" s="889"/>
    </row>
    <row r="40818" spans="7:7" ht="10.5" customHeight="1" x14ac:dyDescent="0.2">
      <c r="G40818" s="889"/>
    </row>
    <row r="40819" spans="7:7" ht="10.5" customHeight="1" x14ac:dyDescent="0.2">
      <c r="G40819" s="889"/>
    </row>
    <row r="40820" spans="7:7" ht="10.5" customHeight="1" x14ac:dyDescent="0.2">
      <c r="G40820" s="889"/>
    </row>
    <row r="40821" spans="7:7" ht="10.5" customHeight="1" x14ac:dyDescent="0.2">
      <c r="G40821" s="889"/>
    </row>
    <row r="40822" spans="7:7" ht="10.5" customHeight="1" x14ac:dyDescent="0.2">
      <c r="G40822" s="889"/>
    </row>
    <row r="40823" spans="7:7" ht="10.5" customHeight="1" x14ac:dyDescent="0.2">
      <c r="G40823" s="889"/>
    </row>
    <row r="40824" spans="7:7" ht="10.5" customHeight="1" x14ac:dyDescent="0.2">
      <c r="G40824" s="889"/>
    </row>
    <row r="40825" spans="7:7" ht="10.5" customHeight="1" x14ac:dyDescent="0.2">
      <c r="G40825" s="889"/>
    </row>
    <row r="40826" spans="7:7" ht="10.5" customHeight="1" x14ac:dyDescent="0.2">
      <c r="G40826" s="889"/>
    </row>
    <row r="40827" spans="7:7" ht="10.5" customHeight="1" x14ac:dyDescent="0.2">
      <c r="G40827" s="889"/>
    </row>
    <row r="40828" spans="7:7" ht="10.5" customHeight="1" x14ac:dyDescent="0.2">
      <c r="G40828" s="889"/>
    </row>
    <row r="40829" spans="7:7" ht="10.5" customHeight="1" x14ac:dyDescent="0.2">
      <c r="G40829" s="889"/>
    </row>
    <row r="40830" spans="7:7" ht="10.5" customHeight="1" x14ac:dyDescent="0.2">
      <c r="G40830" s="889"/>
    </row>
    <row r="40831" spans="7:7" ht="10.5" customHeight="1" x14ac:dyDescent="0.2">
      <c r="G40831" s="889"/>
    </row>
    <row r="40832" spans="7:7" ht="10.5" customHeight="1" x14ac:dyDescent="0.2">
      <c r="G40832" s="889"/>
    </row>
    <row r="40833" spans="7:7" ht="10.5" customHeight="1" x14ac:dyDescent="0.2">
      <c r="G40833" s="889"/>
    </row>
    <row r="40834" spans="7:7" ht="10.5" customHeight="1" x14ac:dyDescent="0.2">
      <c r="G40834" s="889"/>
    </row>
    <row r="40835" spans="7:7" ht="10.5" customHeight="1" x14ac:dyDescent="0.2">
      <c r="G40835" s="889"/>
    </row>
    <row r="40836" spans="7:7" ht="10.5" customHeight="1" x14ac:dyDescent="0.2">
      <c r="G40836" s="889"/>
    </row>
    <row r="40837" spans="7:7" ht="10.5" customHeight="1" x14ac:dyDescent="0.2">
      <c r="G40837" s="889"/>
    </row>
    <row r="40838" spans="7:7" ht="10.5" customHeight="1" x14ac:dyDescent="0.2">
      <c r="G40838" s="889"/>
    </row>
    <row r="40839" spans="7:7" ht="10.5" customHeight="1" x14ac:dyDescent="0.2">
      <c r="G40839" s="889"/>
    </row>
    <row r="40840" spans="7:7" ht="10.5" customHeight="1" x14ac:dyDescent="0.2">
      <c r="G40840" s="889"/>
    </row>
    <row r="40841" spans="7:7" ht="10.5" customHeight="1" x14ac:dyDescent="0.2">
      <c r="G40841" s="889"/>
    </row>
    <row r="40842" spans="7:7" ht="10.5" customHeight="1" x14ac:dyDescent="0.2">
      <c r="G40842" s="889"/>
    </row>
    <row r="40843" spans="7:7" ht="10.5" customHeight="1" x14ac:dyDescent="0.2">
      <c r="G40843" s="889"/>
    </row>
    <row r="40844" spans="7:7" ht="10.5" customHeight="1" x14ac:dyDescent="0.2">
      <c r="G40844" s="889"/>
    </row>
    <row r="40845" spans="7:7" ht="10.5" customHeight="1" x14ac:dyDescent="0.2">
      <c r="G40845" s="889"/>
    </row>
    <row r="40846" spans="7:7" ht="10.5" customHeight="1" x14ac:dyDescent="0.2">
      <c r="G40846" s="889"/>
    </row>
    <row r="40847" spans="7:7" ht="10.5" customHeight="1" x14ac:dyDescent="0.2">
      <c r="G40847" s="889"/>
    </row>
    <row r="40848" spans="7:7" ht="10.5" customHeight="1" x14ac:dyDescent="0.2">
      <c r="G40848" s="889"/>
    </row>
    <row r="40849" spans="7:7" ht="10.5" customHeight="1" x14ac:dyDescent="0.2">
      <c r="G40849" s="889"/>
    </row>
    <row r="40850" spans="7:7" ht="10.5" customHeight="1" x14ac:dyDescent="0.2">
      <c r="G40850" s="889"/>
    </row>
    <row r="40851" spans="7:7" ht="10.5" customHeight="1" x14ac:dyDescent="0.2">
      <c r="G40851" s="889"/>
    </row>
    <row r="40852" spans="7:7" ht="10.5" customHeight="1" x14ac:dyDescent="0.2">
      <c r="G40852" s="889"/>
    </row>
    <row r="40853" spans="7:7" ht="10.5" customHeight="1" x14ac:dyDescent="0.2">
      <c r="G40853" s="889"/>
    </row>
    <row r="40854" spans="7:7" ht="10.5" customHeight="1" x14ac:dyDescent="0.2">
      <c r="G40854" s="889"/>
    </row>
    <row r="40855" spans="7:7" ht="10.5" customHeight="1" x14ac:dyDescent="0.2">
      <c r="G40855" s="889"/>
    </row>
    <row r="40856" spans="7:7" ht="10.5" customHeight="1" x14ac:dyDescent="0.2">
      <c r="G40856" s="889"/>
    </row>
    <row r="40857" spans="7:7" ht="10.5" customHeight="1" x14ac:dyDescent="0.2">
      <c r="G40857" s="889"/>
    </row>
    <row r="40858" spans="7:7" ht="10.5" customHeight="1" x14ac:dyDescent="0.2">
      <c r="G40858" s="889"/>
    </row>
    <row r="40859" spans="7:7" ht="10.5" customHeight="1" x14ac:dyDescent="0.2">
      <c r="G40859" s="889"/>
    </row>
    <row r="40860" spans="7:7" ht="10.5" customHeight="1" x14ac:dyDescent="0.2">
      <c r="G40860" s="889"/>
    </row>
    <row r="40861" spans="7:7" ht="10.5" customHeight="1" x14ac:dyDescent="0.2">
      <c r="G40861" s="889"/>
    </row>
    <row r="40862" spans="7:7" ht="10.5" customHeight="1" x14ac:dyDescent="0.2">
      <c r="G40862" s="889"/>
    </row>
    <row r="40863" spans="7:7" ht="10.5" customHeight="1" x14ac:dyDescent="0.2">
      <c r="G40863" s="889"/>
    </row>
    <row r="40864" spans="7:7" ht="10.5" customHeight="1" x14ac:dyDescent="0.2">
      <c r="G40864" s="889"/>
    </row>
    <row r="40865" spans="7:7" ht="10.5" customHeight="1" x14ac:dyDescent="0.2">
      <c r="G40865" s="889"/>
    </row>
    <row r="40866" spans="7:7" ht="10.5" customHeight="1" x14ac:dyDescent="0.2">
      <c r="G40866" s="889"/>
    </row>
    <row r="40867" spans="7:7" ht="10.5" customHeight="1" x14ac:dyDescent="0.2">
      <c r="G40867" s="889"/>
    </row>
    <row r="40868" spans="7:7" ht="10.5" customHeight="1" x14ac:dyDescent="0.2">
      <c r="G40868" s="889"/>
    </row>
    <row r="40869" spans="7:7" ht="10.5" customHeight="1" x14ac:dyDescent="0.2">
      <c r="G40869" s="889"/>
    </row>
    <row r="40870" spans="7:7" ht="10.5" customHeight="1" x14ac:dyDescent="0.2">
      <c r="G40870" s="889"/>
    </row>
    <row r="40871" spans="7:7" ht="10.5" customHeight="1" x14ac:dyDescent="0.2">
      <c r="G40871" s="889"/>
    </row>
    <row r="40872" spans="7:7" ht="10.5" customHeight="1" x14ac:dyDescent="0.2">
      <c r="G40872" s="889"/>
    </row>
    <row r="40873" spans="7:7" ht="10.5" customHeight="1" x14ac:dyDescent="0.2">
      <c r="G40873" s="889"/>
    </row>
    <row r="40874" spans="7:7" ht="10.5" customHeight="1" x14ac:dyDescent="0.2">
      <c r="G40874" s="889"/>
    </row>
    <row r="40875" spans="7:7" ht="10.5" customHeight="1" x14ac:dyDescent="0.2">
      <c r="G40875" s="889"/>
    </row>
    <row r="40876" spans="7:7" ht="10.5" customHeight="1" x14ac:dyDescent="0.2">
      <c r="G40876" s="889"/>
    </row>
    <row r="40877" spans="7:7" ht="10.5" customHeight="1" x14ac:dyDescent="0.2">
      <c r="G40877" s="889"/>
    </row>
    <row r="40878" spans="7:7" ht="10.5" customHeight="1" x14ac:dyDescent="0.2">
      <c r="G40878" s="889"/>
    </row>
    <row r="40879" spans="7:7" ht="10.5" customHeight="1" x14ac:dyDescent="0.2">
      <c r="G40879" s="889"/>
    </row>
    <row r="40880" spans="7:7" ht="10.5" customHeight="1" x14ac:dyDescent="0.2">
      <c r="G40880" s="889"/>
    </row>
    <row r="40881" spans="7:7" ht="10.5" customHeight="1" x14ac:dyDescent="0.2">
      <c r="G40881" s="889"/>
    </row>
    <row r="40882" spans="7:7" ht="10.5" customHeight="1" x14ac:dyDescent="0.2">
      <c r="G40882" s="889"/>
    </row>
    <row r="40883" spans="7:7" ht="10.5" customHeight="1" x14ac:dyDescent="0.2">
      <c r="G40883" s="889"/>
    </row>
    <row r="40884" spans="7:7" ht="10.5" customHeight="1" x14ac:dyDescent="0.2">
      <c r="G40884" s="889"/>
    </row>
    <row r="40885" spans="7:7" ht="10.5" customHeight="1" x14ac:dyDescent="0.2">
      <c r="G40885" s="889"/>
    </row>
    <row r="40886" spans="7:7" ht="10.5" customHeight="1" x14ac:dyDescent="0.2">
      <c r="G40886" s="889"/>
    </row>
    <row r="40887" spans="7:7" ht="10.5" customHeight="1" x14ac:dyDescent="0.2">
      <c r="G40887" s="889"/>
    </row>
    <row r="40888" spans="7:7" ht="10.5" customHeight="1" x14ac:dyDescent="0.2">
      <c r="G40888" s="889"/>
    </row>
    <row r="40889" spans="7:7" ht="10.5" customHeight="1" x14ac:dyDescent="0.2">
      <c r="G40889" s="889"/>
    </row>
    <row r="40890" spans="7:7" ht="10.5" customHeight="1" x14ac:dyDescent="0.2">
      <c r="G40890" s="889"/>
    </row>
    <row r="40891" spans="7:7" ht="10.5" customHeight="1" x14ac:dyDescent="0.2">
      <c r="G40891" s="889"/>
    </row>
    <row r="40892" spans="7:7" ht="10.5" customHeight="1" x14ac:dyDescent="0.2">
      <c r="G40892" s="889"/>
    </row>
    <row r="40893" spans="7:7" ht="10.5" customHeight="1" x14ac:dyDescent="0.2">
      <c r="G40893" s="889"/>
    </row>
    <row r="40894" spans="7:7" ht="10.5" customHeight="1" x14ac:dyDescent="0.2">
      <c r="G40894" s="889"/>
    </row>
    <row r="40895" spans="7:7" ht="10.5" customHeight="1" x14ac:dyDescent="0.2">
      <c r="G40895" s="889"/>
    </row>
    <row r="40896" spans="7:7" ht="10.5" customHeight="1" x14ac:dyDescent="0.2">
      <c r="G40896" s="889"/>
    </row>
    <row r="40897" spans="7:7" ht="10.5" customHeight="1" x14ac:dyDescent="0.2">
      <c r="G40897" s="889"/>
    </row>
    <row r="40898" spans="7:7" ht="10.5" customHeight="1" x14ac:dyDescent="0.2">
      <c r="G40898" s="889"/>
    </row>
    <row r="40899" spans="7:7" ht="10.5" customHeight="1" x14ac:dyDescent="0.2">
      <c r="G40899" s="889"/>
    </row>
    <row r="40900" spans="7:7" ht="10.5" customHeight="1" x14ac:dyDescent="0.2">
      <c r="G40900" s="889"/>
    </row>
    <row r="40901" spans="7:7" ht="10.5" customHeight="1" x14ac:dyDescent="0.2">
      <c r="G40901" s="889"/>
    </row>
    <row r="40902" spans="7:7" ht="10.5" customHeight="1" x14ac:dyDescent="0.2">
      <c r="G40902" s="889"/>
    </row>
    <row r="40903" spans="7:7" ht="10.5" customHeight="1" x14ac:dyDescent="0.2">
      <c r="G40903" s="889"/>
    </row>
    <row r="40904" spans="7:7" ht="10.5" customHeight="1" x14ac:dyDescent="0.2">
      <c r="G40904" s="889"/>
    </row>
    <row r="40905" spans="7:7" ht="10.5" customHeight="1" x14ac:dyDescent="0.2">
      <c r="G40905" s="889"/>
    </row>
    <row r="40906" spans="7:7" ht="10.5" customHeight="1" x14ac:dyDescent="0.2">
      <c r="G40906" s="889"/>
    </row>
    <row r="40907" spans="7:7" ht="10.5" customHeight="1" x14ac:dyDescent="0.2">
      <c r="G40907" s="889"/>
    </row>
    <row r="40908" spans="7:7" ht="10.5" customHeight="1" x14ac:dyDescent="0.2">
      <c r="G40908" s="889"/>
    </row>
    <row r="40909" spans="7:7" ht="10.5" customHeight="1" x14ac:dyDescent="0.2">
      <c r="G40909" s="889"/>
    </row>
    <row r="40910" spans="7:7" ht="10.5" customHeight="1" x14ac:dyDescent="0.2">
      <c r="G40910" s="889"/>
    </row>
    <row r="40911" spans="7:7" ht="10.5" customHeight="1" x14ac:dyDescent="0.2">
      <c r="G40911" s="889"/>
    </row>
    <row r="40912" spans="7:7" ht="10.5" customHeight="1" x14ac:dyDescent="0.2">
      <c r="G40912" s="889"/>
    </row>
    <row r="40913" spans="7:7" ht="10.5" customHeight="1" x14ac:dyDescent="0.2">
      <c r="G40913" s="889"/>
    </row>
    <row r="40914" spans="7:7" ht="10.5" customHeight="1" x14ac:dyDescent="0.2">
      <c r="G40914" s="889"/>
    </row>
    <row r="40915" spans="7:7" ht="10.5" customHeight="1" x14ac:dyDescent="0.2">
      <c r="G40915" s="889"/>
    </row>
    <row r="40916" spans="7:7" ht="10.5" customHeight="1" x14ac:dyDescent="0.2">
      <c r="G40916" s="889"/>
    </row>
    <row r="40917" spans="7:7" ht="10.5" customHeight="1" x14ac:dyDescent="0.2">
      <c r="G40917" s="889"/>
    </row>
    <row r="40918" spans="7:7" ht="10.5" customHeight="1" x14ac:dyDescent="0.2">
      <c r="G40918" s="889"/>
    </row>
    <row r="40919" spans="7:7" ht="10.5" customHeight="1" x14ac:dyDescent="0.2">
      <c r="G40919" s="889"/>
    </row>
    <row r="40920" spans="7:7" ht="10.5" customHeight="1" x14ac:dyDescent="0.2">
      <c r="G40920" s="889"/>
    </row>
    <row r="40921" spans="7:7" ht="10.5" customHeight="1" x14ac:dyDescent="0.2">
      <c r="G40921" s="889"/>
    </row>
    <row r="40922" spans="7:7" ht="10.5" customHeight="1" x14ac:dyDescent="0.2">
      <c r="G40922" s="889"/>
    </row>
    <row r="40923" spans="7:7" ht="10.5" customHeight="1" x14ac:dyDescent="0.2">
      <c r="G40923" s="889"/>
    </row>
    <row r="40924" spans="7:7" ht="10.5" customHeight="1" x14ac:dyDescent="0.2">
      <c r="G40924" s="889"/>
    </row>
    <row r="40925" spans="7:7" ht="10.5" customHeight="1" x14ac:dyDescent="0.2">
      <c r="G40925" s="889"/>
    </row>
    <row r="40926" spans="7:7" ht="10.5" customHeight="1" x14ac:dyDescent="0.2">
      <c r="G40926" s="889"/>
    </row>
    <row r="40927" spans="7:7" ht="10.5" customHeight="1" x14ac:dyDescent="0.2">
      <c r="G40927" s="889"/>
    </row>
    <row r="40928" spans="7:7" ht="10.5" customHeight="1" x14ac:dyDescent="0.2">
      <c r="G40928" s="889"/>
    </row>
    <row r="40929" spans="7:7" ht="10.5" customHeight="1" x14ac:dyDescent="0.2">
      <c r="G40929" s="889"/>
    </row>
    <row r="40930" spans="7:7" ht="10.5" customHeight="1" x14ac:dyDescent="0.2">
      <c r="G40930" s="889"/>
    </row>
    <row r="40931" spans="7:7" ht="10.5" customHeight="1" x14ac:dyDescent="0.2">
      <c r="G40931" s="889"/>
    </row>
    <row r="40932" spans="7:7" ht="10.5" customHeight="1" x14ac:dyDescent="0.2">
      <c r="G40932" s="889"/>
    </row>
    <row r="40933" spans="7:7" ht="10.5" customHeight="1" x14ac:dyDescent="0.2">
      <c r="G40933" s="889"/>
    </row>
    <row r="40934" spans="7:7" ht="10.5" customHeight="1" x14ac:dyDescent="0.2">
      <c r="G40934" s="889"/>
    </row>
    <row r="40935" spans="7:7" ht="10.5" customHeight="1" x14ac:dyDescent="0.2">
      <c r="G40935" s="889"/>
    </row>
    <row r="40936" spans="7:7" ht="10.5" customHeight="1" x14ac:dyDescent="0.2">
      <c r="G40936" s="889"/>
    </row>
    <row r="40937" spans="7:7" ht="10.5" customHeight="1" x14ac:dyDescent="0.2">
      <c r="G40937" s="889"/>
    </row>
    <row r="40938" spans="7:7" ht="10.5" customHeight="1" x14ac:dyDescent="0.2">
      <c r="G40938" s="889"/>
    </row>
    <row r="40939" spans="7:7" ht="10.5" customHeight="1" x14ac:dyDescent="0.2">
      <c r="G40939" s="889"/>
    </row>
    <row r="40940" spans="7:7" ht="10.5" customHeight="1" x14ac:dyDescent="0.2">
      <c r="G40940" s="889"/>
    </row>
    <row r="40941" spans="7:7" ht="10.5" customHeight="1" x14ac:dyDescent="0.2">
      <c r="G40941" s="889"/>
    </row>
    <row r="40942" spans="7:7" ht="10.5" customHeight="1" x14ac:dyDescent="0.2">
      <c r="G40942" s="889"/>
    </row>
    <row r="40943" spans="7:7" ht="10.5" customHeight="1" x14ac:dyDescent="0.2">
      <c r="G40943" s="889"/>
    </row>
    <row r="40944" spans="7:7" ht="10.5" customHeight="1" x14ac:dyDescent="0.2">
      <c r="G40944" s="889"/>
    </row>
    <row r="40945" spans="7:7" ht="10.5" customHeight="1" x14ac:dyDescent="0.2">
      <c r="G40945" s="889"/>
    </row>
    <row r="40946" spans="7:7" ht="10.5" customHeight="1" x14ac:dyDescent="0.2">
      <c r="G40946" s="889"/>
    </row>
    <row r="40947" spans="7:7" ht="10.5" customHeight="1" x14ac:dyDescent="0.2">
      <c r="G40947" s="889"/>
    </row>
    <row r="40948" spans="7:7" ht="10.5" customHeight="1" x14ac:dyDescent="0.2">
      <c r="G40948" s="889"/>
    </row>
    <row r="40949" spans="7:7" ht="10.5" customHeight="1" x14ac:dyDescent="0.2">
      <c r="G40949" s="889"/>
    </row>
    <row r="40950" spans="7:7" ht="10.5" customHeight="1" x14ac:dyDescent="0.2">
      <c r="G40950" s="889"/>
    </row>
    <row r="40951" spans="7:7" ht="10.5" customHeight="1" x14ac:dyDescent="0.2">
      <c r="G40951" s="889"/>
    </row>
    <row r="40952" spans="7:7" ht="10.5" customHeight="1" x14ac:dyDescent="0.2">
      <c r="G40952" s="889"/>
    </row>
    <row r="40953" spans="7:7" ht="10.5" customHeight="1" x14ac:dyDescent="0.2">
      <c r="G40953" s="889"/>
    </row>
    <row r="40954" spans="7:7" ht="10.5" customHeight="1" x14ac:dyDescent="0.2">
      <c r="G40954" s="889"/>
    </row>
    <row r="40955" spans="7:7" ht="10.5" customHeight="1" x14ac:dyDescent="0.2">
      <c r="G40955" s="889"/>
    </row>
    <row r="40956" spans="7:7" ht="10.5" customHeight="1" x14ac:dyDescent="0.2">
      <c r="G40956" s="889"/>
    </row>
    <row r="40957" spans="7:7" ht="10.5" customHeight="1" x14ac:dyDescent="0.2">
      <c r="G40957" s="889"/>
    </row>
    <row r="40958" spans="7:7" ht="10.5" customHeight="1" x14ac:dyDescent="0.2">
      <c r="G40958" s="889"/>
    </row>
    <row r="40959" spans="7:7" ht="10.5" customHeight="1" x14ac:dyDescent="0.2">
      <c r="G40959" s="889"/>
    </row>
    <row r="40960" spans="7:7" ht="10.5" customHeight="1" x14ac:dyDescent="0.2">
      <c r="G40960" s="889"/>
    </row>
    <row r="40961" spans="7:7" ht="10.5" customHeight="1" x14ac:dyDescent="0.2">
      <c r="G40961" s="889"/>
    </row>
    <row r="40962" spans="7:7" ht="10.5" customHeight="1" x14ac:dyDescent="0.2">
      <c r="G40962" s="889"/>
    </row>
    <row r="40963" spans="7:7" ht="10.5" customHeight="1" x14ac:dyDescent="0.2">
      <c r="G40963" s="889"/>
    </row>
    <row r="40964" spans="7:7" ht="10.5" customHeight="1" x14ac:dyDescent="0.2">
      <c r="G40964" s="889"/>
    </row>
    <row r="40965" spans="7:7" ht="10.5" customHeight="1" x14ac:dyDescent="0.2">
      <c r="G40965" s="889"/>
    </row>
    <row r="40966" spans="7:7" ht="10.5" customHeight="1" x14ac:dyDescent="0.2">
      <c r="G40966" s="889"/>
    </row>
    <row r="40967" spans="7:7" ht="10.5" customHeight="1" x14ac:dyDescent="0.2">
      <c r="G40967" s="889"/>
    </row>
    <row r="40968" spans="7:7" ht="10.5" customHeight="1" x14ac:dyDescent="0.2">
      <c r="G40968" s="889"/>
    </row>
    <row r="40969" spans="7:7" ht="10.5" customHeight="1" x14ac:dyDescent="0.2">
      <c r="G40969" s="889"/>
    </row>
    <row r="40970" spans="7:7" ht="10.5" customHeight="1" x14ac:dyDescent="0.2">
      <c r="G40970" s="889"/>
    </row>
    <row r="40971" spans="7:7" ht="10.5" customHeight="1" x14ac:dyDescent="0.2">
      <c r="G40971" s="889"/>
    </row>
    <row r="40972" spans="7:7" ht="10.5" customHeight="1" x14ac:dyDescent="0.2">
      <c r="G40972" s="889"/>
    </row>
    <row r="40973" spans="7:7" ht="10.5" customHeight="1" x14ac:dyDescent="0.2">
      <c r="G40973" s="889"/>
    </row>
    <row r="40974" spans="7:7" ht="10.5" customHeight="1" x14ac:dyDescent="0.2">
      <c r="G40974" s="889"/>
    </row>
    <row r="40975" spans="7:7" ht="10.5" customHeight="1" x14ac:dyDescent="0.2">
      <c r="G40975" s="889"/>
    </row>
    <row r="40976" spans="7:7" ht="10.5" customHeight="1" x14ac:dyDescent="0.2">
      <c r="G40976" s="889"/>
    </row>
    <row r="40977" spans="7:7" ht="10.5" customHeight="1" x14ac:dyDescent="0.2">
      <c r="G40977" s="889"/>
    </row>
    <row r="40978" spans="7:7" ht="10.5" customHeight="1" x14ac:dyDescent="0.2">
      <c r="G40978" s="889"/>
    </row>
    <row r="40979" spans="7:7" ht="10.5" customHeight="1" x14ac:dyDescent="0.2">
      <c r="G40979" s="889"/>
    </row>
    <row r="40980" spans="7:7" ht="10.5" customHeight="1" x14ac:dyDescent="0.2">
      <c r="G40980" s="889"/>
    </row>
    <row r="40981" spans="7:7" ht="10.5" customHeight="1" x14ac:dyDescent="0.2">
      <c r="G40981" s="889"/>
    </row>
    <row r="40982" spans="7:7" ht="10.5" customHeight="1" x14ac:dyDescent="0.2">
      <c r="G40982" s="889"/>
    </row>
    <row r="40983" spans="7:7" ht="10.5" customHeight="1" x14ac:dyDescent="0.2">
      <c r="G40983" s="889"/>
    </row>
    <row r="40984" spans="7:7" ht="10.5" customHeight="1" x14ac:dyDescent="0.2">
      <c r="G40984" s="889"/>
    </row>
    <row r="40985" spans="7:7" ht="10.5" customHeight="1" x14ac:dyDescent="0.2">
      <c r="G40985" s="889"/>
    </row>
    <row r="40986" spans="7:7" ht="10.5" customHeight="1" x14ac:dyDescent="0.2">
      <c r="G40986" s="889"/>
    </row>
    <row r="40987" spans="7:7" ht="10.5" customHeight="1" x14ac:dyDescent="0.2">
      <c r="G40987" s="889"/>
    </row>
    <row r="40988" spans="7:7" ht="10.5" customHeight="1" x14ac:dyDescent="0.2">
      <c r="G40988" s="889"/>
    </row>
    <row r="40989" spans="7:7" ht="10.5" customHeight="1" x14ac:dyDescent="0.2">
      <c r="G40989" s="889"/>
    </row>
    <row r="40990" spans="7:7" ht="10.5" customHeight="1" x14ac:dyDescent="0.2">
      <c r="G40990" s="889"/>
    </row>
    <row r="40991" spans="7:7" ht="10.5" customHeight="1" x14ac:dyDescent="0.2">
      <c r="G40991" s="889"/>
    </row>
    <row r="40992" spans="7:7" ht="10.5" customHeight="1" x14ac:dyDescent="0.2">
      <c r="G40992" s="889"/>
    </row>
    <row r="40993" spans="7:7" ht="10.5" customHeight="1" x14ac:dyDescent="0.2">
      <c r="G40993" s="889"/>
    </row>
    <row r="40994" spans="7:7" ht="10.5" customHeight="1" x14ac:dyDescent="0.2">
      <c r="G40994" s="889"/>
    </row>
    <row r="40995" spans="7:7" ht="10.5" customHeight="1" x14ac:dyDescent="0.2">
      <c r="G40995" s="889"/>
    </row>
    <row r="40996" spans="7:7" ht="10.5" customHeight="1" x14ac:dyDescent="0.2">
      <c r="G40996" s="889"/>
    </row>
    <row r="40997" spans="7:7" ht="10.5" customHeight="1" x14ac:dyDescent="0.2">
      <c r="G40997" s="889"/>
    </row>
    <row r="40998" spans="7:7" ht="10.5" customHeight="1" x14ac:dyDescent="0.2">
      <c r="G40998" s="889"/>
    </row>
    <row r="40999" spans="7:7" ht="10.5" customHeight="1" x14ac:dyDescent="0.2">
      <c r="G40999" s="889"/>
    </row>
    <row r="41000" spans="7:7" ht="10.5" customHeight="1" x14ac:dyDescent="0.2">
      <c r="G41000" s="889"/>
    </row>
    <row r="41001" spans="7:7" ht="10.5" customHeight="1" x14ac:dyDescent="0.2">
      <c r="G41001" s="889"/>
    </row>
    <row r="41002" spans="7:7" ht="10.5" customHeight="1" x14ac:dyDescent="0.2">
      <c r="G41002" s="889"/>
    </row>
    <row r="41003" spans="7:7" ht="10.5" customHeight="1" x14ac:dyDescent="0.2">
      <c r="G41003" s="889"/>
    </row>
    <row r="41004" spans="7:7" ht="10.5" customHeight="1" x14ac:dyDescent="0.2">
      <c r="G41004" s="889"/>
    </row>
    <row r="41005" spans="7:7" ht="10.5" customHeight="1" x14ac:dyDescent="0.2">
      <c r="G41005" s="889"/>
    </row>
    <row r="41006" spans="7:7" ht="10.5" customHeight="1" x14ac:dyDescent="0.2">
      <c r="G41006" s="889"/>
    </row>
    <row r="41007" spans="7:7" ht="10.5" customHeight="1" x14ac:dyDescent="0.2">
      <c r="G41007" s="889"/>
    </row>
    <row r="41008" spans="7:7" ht="10.5" customHeight="1" x14ac:dyDescent="0.2">
      <c r="G41008" s="889"/>
    </row>
    <row r="41009" spans="7:7" ht="10.5" customHeight="1" x14ac:dyDescent="0.2">
      <c r="G41009" s="889"/>
    </row>
    <row r="41010" spans="7:7" ht="10.5" customHeight="1" x14ac:dyDescent="0.2">
      <c r="G41010" s="889"/>
    </row>
    <row r="41011" spans="7:7" ht="10.5" customHeight="1" x14ac:dyDescent="0.2">
      <c r="G41011" s="889"/>
    </row>
    <row r="41012" spans="7:7" ht="10.5" customHeight="1" x14ac:dyDescent="0.2">
      <c r="G41012" s="889"/>
    </row>
    <row r="41013" spans="7:7" ht="10.5" customHeight="1" x14ac:dyDescent="0.2">
      <c r="G41013" s="889"/>
    </row>
    <row r="41014" spans="7:7" ht="10.5" customHeight="1" x14ac:dyDescent="0.2">
      <c r="G41014" s="889"/>
    </row>
    <row r="41015" spans="7:7" ht="10.5" customHeight="1" x14ac:dyDescent="0.2">
      <c r="G41015" s="889"/>
    </row>
    <row r="41016" spans="7:7" ht="10.5" customHeight="1" x14ac:dyDescent="0.2">
      <c r="G41016" s="889"/>
    </row>
    <row r="41017" spans="7:7" ht="10.5" customHeight="1" x14ac:dyDescent="0.2">
      <c r="G41017" s="889"/>
    </row>
    <row r="41018" spans="7:7" ht="10.5" customHeight="1" x14ac:dyDescent="0.2">
      <c r="G41018" s="889"/>
    </row>
    <row r="41019" spans="7:7" ht="10.5" customHeight="1" x14ac:dyDescent="0.2">
      <c r="G41019" s="889"/>
    </row>
    <row r="41020" spans="7:7" ht="10.5" customHeight="1" x14ac:dyDescent="0.2">
      <c r="G41020" s="889"/>
    </row>
    <row r="41021" spans="7:7" ht="10.5" customHeight="1" x14ac:dyDescent="0.2">
      <c r="G41021" s="889"/>
    </row>
    <row r="41022" spans="7:7" ht="10.5" customHeight="1" x14ac:dyDescent="0.2">
      <c r="G41022" s="889"/>
    </row>
    <row r="41023" spans="7:7" ht="10.5" customHeight="1" x14ac:dyDescent="0.2">
      <c r="G41023" s="889"/>
    </row>
    <row r="41024" spans="7:7" ht="10.5" customHeight="1" x14ac:dyDescent="0.2">
      <c r="G41024" s="889"/>
    </row>
    <row r="41025" spans="7:7" ht="10.5" customHeight="1" x14ac:dyDescent="0.2">
      <c r="G41025" s="889"/>
    </row>
    <row r="41026" spans="7:7" ht="10.5" customHeight="1" x14ac:dyDescent="0.2">
      <c r="G41026" s="889"/>
    </row>
    <row r="41027" spans="7:7" ht="10.5" customHeight="1" x14ac:dyDescent="0.2">
      <c r="G41027" s="889"/>
    </row>
    <row r="41028" spans="7:7" ht="10.5" customHeight="1" x14ac:dyDescent="0.2">
      <c r="G41028" s="889"/>
    </row>
    <row r="41029" spans="7:7" ht="10.5" customHeight="1" x14ac:dyDescent="0.2">
      <c r="G41029" s="889"/>
    </row>
    <row r="41030" spans="7:7" ht="10.5" customHeight="1" x14ac:dyDescent="0.2">
      <c r="G41030" s="889"/>
    </row>
    <row r="41031" spans="7:7" ht="10.5" customHeight="1" x14ac:dyDescent="0.2">
      <c r="G41031" s="889"/>
    </row>
    <row r="41032" spans="7:7" ht="10.5" customHeight="1" x14ac:dyDescent="0.2">
      <c r="G41032" s="889"/>
    </row>
    <row r="41033" spans="7:7" ht="10.5" customHeight="1" x14ac:dyDescent="0.2">
      <c r="G41033" s="889"/>
    </row>
    <row r="41034" spans="7:7" ht="10.5" customHeight="1" x14ac:dyDescent="0.2">
      <c r="G41034" s="889"/>
    </row>
    <row r="41035" spans="7:7" ht="10.5" customHeight="1" x14ac:dyDescent="0.2">
      <c r="G41035" s="889"/>
    </row>
    <row r="41036" spans="7:7" ht="10.5" customHeight="1" x14ac:dyDescent="0.2">
      <c r="G41036" s="889"/>
    </row>
    <row r="41037" spans="7:7" ht="10.5" customHeight="1" x14ac:dyDescent="0.2">
      <c r="G41037" s="889"/>
    </row>
    <row r="41038" spans="7:7" ht="10.5" customHeight="1" x14ac:dyDescent="0.2">
      <c r="G41038" s="889"/>
    </row>
    <row r="41039" spans="7:7" ht="10.5" customHeight="1" x14ac:dyDescent="0.2">
      <c r="G41039" s="889"/>
    </row>
    <row r="41040" spans="7:7" ht="10.5" customHeight="1" x14ac:dyDescent="0.2">
      <c r="G41040" s="889"/>
    </row>
    <row r="41041" spans="7:7" ht="10.5" customHeight="1" x14ac:dyDescent="0.2">
      <c r="G41041" s="889"/>
    </row>
    <row r="41042" spans="7:7" ht="10.5" customHeight="1" x14ac:dyDescent="0.2">
      <c r="G41042" s="889"/>
    </row>
    <row r="41043" spans="7:7" ht="10.5" customHeight="1" x14ac:dyDescent="0.2">
      <c r="G41043" s="889"/>
    </row>
    <row r="41044" spans="7:7" ht="10.5" customHeight="1" x14ac:dyDescent="0.2">
      <c r="G41044" s="889"/>
    </row>
    <row r="41045" spans="7:7" ht="10.5" customHeight="1" x14ac:dyDescent="0.2">
      <c r="G41045" s="889"/>
    </row>
    <row r="41046" spans="7:7" ht="10.5" customHeight="1" x14ac:dyDescent="0.2">
      <c r="G41046" s="889"/>
    </row>
    <row r="41047" spans="7:7" ht="10.5" customHeight="1" x14ac:dyDescent="0.2">
      <c r="G41047" s="889"/>
    </row>
    <row r="41048" spans="7:7" ht="10.5" customHeight="1" x14ac:dyDescent="0.2">
      <c r="G41048" s="889"/>
    </row>
    <row r="41049" spans="7:7" ht="10.5" customHeight="1" x14ac:dyDescent="0.2">
      <c r="G41049" s="889"/>
    </row>
    <row r="41050" spans="7:7" ht="10.5" customHeight="1" x14ac:dyDescent="0.2">
      <c r="G41050" s="889"/>
    </row>
    <row r="41051" spans="7:7" ht="10.5" customHeight="1" x14ac:dyDescent="0.2">
      <c r="G41051" s="889"/>
    </row>
    <row r="41052" spans="7:7" ht="10.5" customHeight="1" x14ac:dyDescent="0.2">
      <c r="G41052" s="889"/>
    </row>
    <row r="41053" spans="7:7" ht="10.5" customHeight="1" x14ac:dyDescent="0.2">
      <c r="G41053" s="889"/>
    </row>
    <row r="41054" spans="7:7" ht="10.5" customHeight="1" x14ac:dyDescent="0.2">
      <c r="G41054" s="889"/>
    </row>
    <row r="41055" spans="7:7" ht="10.5" customHeight="1" x14ac:dyDescent="0.2">
      <c r="G41055" s="889"/>
    </row>
    <row r="41056" spans="7:7" ht="10.5" customHeight="1" x14ac:dyDescent="0.2">
      <c r="G41056" s="889"/>
    </row>
    <row r="41057" spans="7:7" ht="10.5" customHeight="1" x14ac:dyDescent="0.2">
      <c r="G41057" s="889"/>
    </row>
    <row r="41058" spans="7:7" ht="10.5" customHeight="1" x14ac:dyDescent="0.2">
      <c r="G41058" s="889"/>
    </row>
    <row r="41059" spans="7:7" ht="10.5" customHeight="1" x14ac:dyDescent="0.2">
      <c r="G41059" s="889"/>
    </row>
    <row r="41060" spans="7:7" ht="10.5" customHeight="1" x14ac:dyDescent="0.2">
      <c r="G41060" s="889"/>
    </row>
    <row r="41061" spans="7:7" ht="10.5" customHeight="1" x14ac:dyDescent="0.2">
      <c r="G41061" s="889"/>
    </row>
    <row r="41062" spans="7:7" ht="10.5" customHeight="1" x14ac:dyDescent="0.2">
      <c r="G41062" s="889"/>
    </row>
    <row r="41063" spans="7:7" ht="10.5" customHeight="1" x14ac:dyDescent="0.2">
      <c r="G41063" s="889"/>
    </row>
    <row r="41064" spans="7:7" ht="10.5" customHeight="1" x14ac:dyDescent="0.2">
      <c r="G41064" s="889"/>
    </row>
    <row r="41065" spans="7:7" ht="10.5" customHeight="1" x14ac:dyDescent="0.2">
      <c r="G41065" s="889"/>
    </row>
    <row r="41066" spans="7:7" ht="10.5" customHeight="1" x14ac:dyDescent="0.2">
      <c r="G41066" s="889"/>
    </row>
    <row r="41067" spans="7:7" ht="10.5" customHeight="1" x14ac:dyDescent="0.2">
      <c r="G41067" s="889"/>
    </row>
    <row r="41068" spans="7:7" ht="10.5" customHeight="1" x14ac:dyDescent="0.2">
      <c r="G41068" s="889"/>
    </row>
    <row r="41069" spans="7:7" ht="10.5" customHeight="1" x14ac:dyDescent="0.2">
      <c r="G41069" s="889"/>
    </row>
    <row r="41070" spans="7:7" ht="10.5" customHeight="1" x14ac:dyDescent="0.2">
      <c r="G41070" s="889"/>
    </row>
    <row r="41071" spans="7:7" ht="10.5" customHeight="1" x14ac:dyDescent="0.2">
      <c r="G41071" s="889"/>
    </row>
    <row r="41072" spans="7:7" ht="10.5" customHeight="1" x14ac:dyDescent="0.2">
      <c r="G41072" s="889"/>
    </row>
    <row r="41073" spans="7:7" ht="10.5" customHeight="1" x14ac:dyDescent="0.2">
      <c r="G41073" s="889"/>
    </row>
    <row r="41074" spans="7:7" ht="10.5" customHeight="1" x14ac:dyDescent="0.2">
      <c r="G41074" s="889"/>
    </row>
    <row r="41075" spans="7:7" ht="10.5" customHeight="1" x14ac:dyDescent="0.2">
      <c r="G41075" s="889"/>
    </row>
    <row r="41076" spans="7:7" ht="10.5" customHeight="1" x14ac:dyDescent="0.2">
      <c r="G41076" s="889"/>
    </row>
    <row r="41077" spans="7:7" ht="10.5" customHeight="1" x14ac:dyDescent="0.2">
      <c r="G41077" s="889"/>
    </row>
    <row r="41078" spans="7:7" ht="10.5" customHeight="1" x14ac:dyDescent="0.2">
      <c r="G41078" s="889"/>
    </row>
    <row r="41079" spans="7:7" ht="10.5" customHeight="1" x14ac:dyDescent="0.2">
      <c r="G41079" s="889"/>
    </row>
    <row r="41080" spans="7:7" ht="10.5" customHeight="1" x14ac:dyDescent="0.2">
      <c r="G41080" s="889"/>
    </row>
    <row r="41081" spans="7:7" ht="10.5" customHeight="1" x14ac:dyDescent="0.2">
      <c r="G41081" s="889"/>
    </row>
    <row r="41082" spans="7:7" ht="10.5" customHeight="1" x14ac:dyDescent="0.2">
      <c r="G41082" s="889"/>
    </row>
    <row r="41083" spans="7:7" ht="10.5" customHeight="1" x14ac:dyDescent="0.2">
      <c r="G41083" s="889"/>
    </row>
    <row r="41084" spans="7:7" ht="10.5" customHeight="1" x14ac:dyDescent="0.2">
      <c r="G41084" s="889"/>
    </row>
    <row r="41085" spans="7:7" ht="10.5" customHeight="1" x14ac:dyDescent="0.2">
      <c r="G41085" s="889"/>
    </row>
    <row r="41086" spans="7:7" ht="10.5" customHeight="1" x14ac:dyDescent="0.2">
      <c r="G41086" s="889"/>
    </row>
    <row r="41087" spans="7:7" ht="10.5" customHeight="1" x14ac:dyDescent="0.2">
      <c r="G41087" s="889"/>
    </row>
    <row r="41088" spans="7:7" ht="10.5" customHeight="1" x14ac:dyDescent="0.2">
      <c r="G41088" s="889"/>
    </row>
    <row r="41089" spans="7:7" ht="10.5" customHeight="1" x14ac:dyDescent="0.2">
      <c r="G41089" s="889"/>
    </row>
    <row r="41090" spans="7:7" ht="10.5" customHeight="1" x14ac:dyDescent="0.2">
      <c r="G41090" s="889"/>
    </row>
    <row r="41091" spans="7:7" ht="10.5" customHeight="1" x14ac:dyDescent="0.2">
      <c r="G41091" s="889"/>
    </row>
    <row r="41092" spans="7:7" ht="10.5" customHeight="1" x14ac:dyDescent="0.2">
      <c r="G41092" s="889"/>
    </row>
    <row r="41093" spans="7:7" ht="10.5" customHeight="1" x14ac:dyDescent="0.2">
      <c r="G41093" s="889"/>
    </row>
    <row r="41094" spans="7:7" ht="10.5" customHeight="1" x14ac:dyDescent="0.2">
      <c r="G41094" s="889"/>
    </row>
    <row r="41095" spans="7:7" ht="10.5" customHeight="1" x14ac:dyDescent="0.2">
      <c r="G41095" s="889"/>
    </row>
    <row r="41096" spans="7:7" ht="10.5" customHeight="1" x14ac:dyDescent="0.2">
      <c r="G41096" s="889"/>
    </row>
    <row r="41097" spans="7:7" ht="10.5" customHeight="1" x14ac:dyDescent="0.2">
      <c r="G41097" s="889"/>
    </row>
    <row r="41098" spans="7:7" ht="10.5" customHeight="1" x14ac:dyDescent="0.2">
      <c r="G41098" s="889"/>
    </row>
    <row r="41099" spans="7:7" ht="10.5" customHeight="1" x14ac:dyDescent="0.2">
      <c r="G41099" s="889"/>
    </row>
    <row r="41100" spans="7:7" ht="10.5" customHeight="1" x14ac:dyDescent="0.2">
      <c r="G41100" s="889"/>
    </row>
    <row r="41101" spans="7:7" ht="10.5" customHeight="1" x14ac:dyDescent="0.2">
      <c r="G41101" s="889"/>
    </row>
    <row r="41102" spans="7:7" ht="10.5" customHeight="1" x14ac:dyDescent="0.2">
      <c r="G41102" s="889"/>
    </row>
    <row r="41103" spans="7:7" ht="10.5" customHeight="1" x14ac:dyDescent="0.2">
      <c r="G41103" s="889"/>
    </row>
    <row r="41104" spans="7:7" ht="10.5" customHeight="1" x14ac:dyDescent="0.2">
      <c r="G41104" s="889"/>
    </row>
    <row r="41105" spans="7:7" ht="10.5" customHeight="1" x14ac:dyDescent="0.2">
      <c r="G41105" s="889"/>
    </row>
    <row r="41106" spans="7:7" ht="10.5" customHeight="1" x14ac:dyDescent="0.2">
      <c r="G41106" s="889"/>
    </row>
    <row r="41107" spans="7:7" ht="10.5" customHeight="1" x14ac:dyDescent="0.2">
      <c r="G41107" s="889"/>
    </row>
    <row r="41108" spans="7:7" ht="10.5" customHeight="1" x14ac:dyDescent="0.2">
      <c r="G41108" s="889"/>
    </row>
    <row r="41109" spans="7:7" ht="10.5" customHeight="1" x14ac:dyDescent="0.2">
      <c r="G41109" s="889"/>
    </row>
    <row r="41110" spans="7:7" ht="10.5" customHeight="1" x14ac:dyDescent="0.2">
      <c r="G41110" s="889"/>
    </row>
    <row r="41111" spans="7:7" ht="10.5" customHeight="1" x14ac:dyDescent="0.2">
      <c r="G41111" s="889"/>
    </row>
    <row r="41112" spans="7:7" ht="10.5" customHeight="1" x14ac:dyDescent="0.2">
      <c r="G41112" s="889"/>
    </row>
    <row r="41113" spans="7:7" ht="10.5" customHeight="1" x14ac:dyDescent="0.2">
      <c r="G41113" s="889"/>
    </row>
    <row r="41114" spans="7:7" ht="10.5" customHeight="1" x14ac:dyDescent="0.2">
      <c r="G41114" s="889"/>
    </row>
    <row r="41115" spans="7:7" ht="10.5" customHeight="1" x14ac:dyDescent="0.2">
      <c r="G41115" s="889"/>
    </row>
    <row r="41116" spans="7:7" ht="10.5" customHeight="1" x14ac:dyDescent="0.2">
      <c r="G41116" s="889"/>
    </row>
    <row r="41117" spans="7:7" ht="10.5" customHeight="1" x14ac:dyDescent="0.2">
      <c r="G41117" s="889"/>
    </row>
    <row r="41118" spans="7:7" ht="10.5" customHeight="1" x14ac:dyDescent="0.2">
      <c r="G41118" s="889"/>
    </row>
    <row r="41119" spans="7:7" ht="10.5" customHeight="1" x14ac:dyDescent="0.2">
      <c r="G41119" s="889"/>
    </row>
    <row r="41120" spans="7:7" ht="10.5" customHeight="1" x14ac:dyDescent="0.2">
      <c r="G41120" s="889"/>
    </row>
    <row r="41121" spans="7:7" ht="10.5" customHeight="1" x14ac:dyDescent="0.2">
      <c r="G41121" s="889"/>
    </row>
    <row r="41122" spans="7:7" ht="10.5" customHeight="1" x14ac:dyDescent="0.2">
      <c r="G41122" s="889"/>
    </row>
    <row r="41123" spans="7:7" ht="10.5" customHeight="1" x14ac:dyDescent="0.2">
      <c r="G41123" s="889"/>
    </row>
    <row r="41124" spans="7:7" ht="10.5" customHeight="1" x14ac:dyDescent="0.2">
      <c r="G41124" s="889"/>
    </row>
    <row r="41125" spans="7:7" ht="10.5" customHeight="1" x14ac:dyDescent="0.2">
      <c r="G41125" s="889"/>
    </row>
    <row r="41126" spans="7:7" ht="10.5" customHeight="1" x14ac:dyDescent="0.2">
      <c r="G41126" s="889"/>
    </row>
    <row r="41127" spans="7:7" ht="10.5" customHeight="1" x14ac:dyDescent="0.2">
      <c r="G41127" s="889"/>
    </row>
    <row r="41128" spans="7:7" ht="10.5" customHeight="1" x14ac:dyDescent="0.2">
      <c r="G41128" s="889"/>
    </row>
    <row r="41129" spans="7:7" ht="10.5" customHeight="1" x14ac:dyDescent="0.2">
      <c r="G41129" s="889"/>
    </row>
    <row r="41130" spans="7:7" ht="10.5" customHeight="1" x14ac:dyDescent="0.2">
      <c r="G41130" s="889"/>
    </row>
    <row r="41131" spans="7:7" ht="10.5" customHeight="1" x14ac:dyDescent="0.2">
      <c r="G41131" s="889"/>
    </row>
    <row r="41132" spans="7:7" ht="10.5" customHeight="1" x14ac:dyDescent="0.2">
      <c r="G41132" s="889"/>
    </row>
    <row r="41133" spans="7:7" ht="10.5" customHeight="1" x14ac:dyDescent="0.2">
      <c r="G41133" s="889"/>
    </row>
    <row r="41134" spans="7:7" ht="10.5" customHeight="1" x14ac:dyDescent="0.2">
      <c r="G41134" s="889"/>
    </row>
    <row r="41135" spans="7:7" ht="10.5" customHeight="1" x14ac:dyDescent="0.2">
      <c r="G41135" s="889"/>
    </row>
    <row r="41136" spans="7:7" ht="10.5" customHeight="1" x14ac:dyDescent="0.2">
      <c r="G41136" s="889"/>
    </row>
    <row r="41137" spans="7:7" ht="10.5" customHeight="1" x14ac:dyDescent="0.2">
      <c r="G41137" s="889"/>
    </row>
    <row r="41138" spans="7:7" ht="10.5" customHeight="1" x14ac:dyDescent="0.2">
      <c r="G41138" s="889"/>
    </row>
    <row r="41139" spans="7:7" ht="10.5" customHeight="1" x14ac:dyDescent="0.2">
      <c r="G41139" s="889"/>
    </row>
    <row r="41140" spans="7:7" ht="10.5" customHeight="1" x14ac:dyDescent="0.2">
      <c r="G41140" s="889"/>
    </row>
    <row r="41141" spans="7:7" ht="10.5" customHeight="1" x14ac:dyDescent="0.2">
      <c r="G41141" s="889"/>
    </row>
    <row r="41142" spans="7:7" ht="10.5" customHeight="1" x14ac:dyDescent="0.2">
      <c r="G41142" s="889"/>
    </row>
    <row r="41143" spans="7:7" ht="10.5" customHeight="1" x14ac:dyDescent="0.2">
      <c r="G41143" s="889"/>
    </row>
    <row r="41144" spans="7:7" ht="10.5" customHeight="1" x14ac:dyDescent="0.2">
      <c r="G41144" s="889"/>
    </row>
    <row r="41145" spans="7:7" ht="10.5" customHeight="1" x14ac:dyDescent="0.2">
      <c r="G41145" s="889"/>
    </row>
    <row r="41146" spans="7:7" ht="10.5" customHeight="1" x14ac:dyDescent="0.2">
      <c r="G41146" s="889"/>
    </row>
    <row r="41147" spans="7:7" ht="10.5" customHeight="1" x14ac:dyDescent="0.2">
      <c r="G41147" s="889"/>
    </row>
    <row r="41148" spans="7:7" ht="10.5" customHeight="1" x14ac:dyDescent="0.2">
      <c r="G41148" s="889"/>
    </row>
    <row r="41149" spans="7:7" ht="10.5" customHeight="1" x14ac:dyDescent="0.2">
      <c r="G41149" s="889"/>
    </row>
    <row r="41150" spans="7:7" ht="10.5" customHeight="1" x14ac:dyDescent="0.2">
      <c r="G41150" s="889"/>
    </row>
    <row r="41151" spans="7:7" ht="10.5" customHeight="1" x14ac:dyDescent="0.2">
      <c r="G41151" s="889"/>
    </row>
    <row r="41152" spans="7:7" ht="10.5" customHeight="1" x14ac:dyDescent="0.2">
      <c r="G41152" s="889"/>
    </row>
    <row r="41153" spans="7:7" ht="10.5" customHeight="1" x14ac:dyDescent="0.2">
      <c r="G41153" s="889"/>
    </row>
    <row r="41154" spans="7:7" ht="10.5" customHeight="1" x14ac:dyDescent="0.2">
      <c r="G41154" s="889"/>
    </row>
    <row r="41155" spans="7:7" ht="10.5" customHeight="1" x14ac:dyDescent="0.2">
      <c r="G41155" s="889"/>
    </row>
    <row r="41156" spans="7:7" ht="10.5" customHeight="1" x14ac:dyDescent="0.2">
      <c r="G41156" s="889"/>
    </row>
    <row r="41157" spans="7:7" ht="10.5" customHeight="1" x14ac:dyDescent="0.2">
      <c r="G41157" s="889"/>
    </row>
    <row r="41158" spans="7:7" ht="10.5" customHeight="1" x14ac:dyDescent="0.2">
      <c r="G41158" s="889"/>
    </row>
    <row r="41159" spans="7:7" ht="10.5" customHeight="1" x14ac:dyDescent="0.2">
      <c r="G41159" s="889"/>
    </row>
    <row r="41160" spans="7:7" ht="10.5" customHeight="1" x14ac:dyDescent="0.2">
      <c r="G41160" s="889"/>
    </row>
    <row r="41161" spans="7:7" ht="10.5" customHeight="1" x14ac:dyDescent="0.2">
      <c r="G41161" s="889"/>
    </row>
    <row r="41162" spans="7:7" ht="10.5" customHeight="1" x14ac:dyDescent="0.2">
      <c r="G41162" s="889"/>
    </row>
    <row r="41163" spans="7:7" ht="10.5" customHeight="1" x14ac:dyDescent="0.2">
      <c r="G41163" s="889"/>
    </row>
    <row r="41164" spans="7:7" ht="10.5" customHeight="1" x14ac:dyDescent="0.2">
      <c r="G41164" s="889"/>
    </row>
    <row r="41165" spans="7:7" ht="10.5" customHeight="1" x14ac:dyDescent="0.2">
      <c r="G41165" s="889"/>
    </row>
    <row r="41166" spans="7:7" ht="10.5" customHeight="1" x14ac:dyDescent="0.2">
      <c r="G41166" s="889"/>
    </row>
    <row r="41167" spans="7:7" ht="10.5" customHeight="1" x14ac:dyDescent="0.2">
      <c r="G41167" s="889"/>
    </row>
    <row r="41168" spans="7:7" ht="10.5" customHeight="1" x14ac:dyDescent="0.2">
      <c r="G41168" s="889"/>
    </row>
    <row r="41169" spans="7:7" ht="10.5" customHeight="1" x14ac:dyDescent="0.2">
      <c r="G41169" s="889"/>
    </row>
    <row r="41170" spans="7:7" ht="10.5" customHeight="1" x14ac:dyDescent="0.2">
      <c r="G41170" s="889"/>
    </row>
    <row r="41171" spans="7:7" ht="10.5" customHeight="1" x14ac:dyDescent="0.2">
      <c r="G41171" s="889"/>
    </row>
    <row r="41172" spans="7:7" ht="10.5" customHeight="1" x14ac:dyDescent="0.2">
      <c r="G41172" s="889"/>
    </row>
    <row r="41173" spans="7:7" ht="10.5" customHeight="1" x14ac:dyDescent="0.2">
      <c r="G41173" s="889"/>
    </row>
    <row r="41174" spans="7:7" ht="10.5" customHeight="1" x14ac:dyDescent="0.2">
      <c r="G41174" s="889"/>
    </row>
    <row r="41175" spans="7:7" ht="10.5" customHeight="1" x14ac:dyDescent="0.2">
      <c r="G41175" s="889"/>
    </row>
    <row r="41176" spans="7:7" ht="10.5" customHeight="1" x14ac:dyDescent="0.2">
      <c r="G41176" s="889"/>
    </row>
    <row r="41177" spans="7:7" ht="10.5" customHeight="1" x14ac:dyDescent="0.2">
      <c r="G41177" s="889"/>
    </row>
    <row r="41178" spans="7:7" ht="10.5" customHeight="1" x14ac:dyDescent="0.2">
      <c r="G41178" s="889"/>
    </row>
    <row r="41179" spans="7:7" ht="10.5" customHeight="1" x14ac:dyDescent="0.2">
      <c r="G41179" s="889"/>
    </row>
    <row r="41180" spans="7:7" ht="10.5" customHeight="1" x14ac:dyDescent="0.2">
      <c r="G41180" s="889"/>
    </row>
    <row r="41181" spans="7:7" ht="10.5" customHeight="1" x14ac:dyDescent="0.2">
      <c r="G41181" s="889"/>
    </row>
    <row r="41182" spans="7:7" ht="10.5" customHeight="1" x14ac:dyDescent="0.2">
      <c r="G41182" s="889"/>
    </row>
    <row r="41183" spans="7:7" ht="10.5" customHeight="1" x14ac:dyDescent="0.2">
      <c r="G41183" s="889"/>
    </row>
    <row r="41184" spans="7:7" ht="10.5" customHeight="1" x14ac:dyDescent="0.2">
      <c r="G41184" s="889"/>
    </row>
    <row r="41185" spans="7:7" ht="10.5" customHeight="1" x14ac:dyDescent="0.2">
      <c r="G41185" s="889"/>
    </row>
    <row r="41186" spans="7:7" ht="10.5" customHeight="1" x14ac:dyDescent="0.2">
      <c r="G41186" s="889"/>
    </row>
    <row r="41187" spans="7:7" ht="10.5" customHeight="1" x14ac:dyDescent="0.2">
      <c r="G41187" s="889"/>
    </row>
    <row r="41188" spans="7:7" ht="10.5" customHeight="1" x14ac:dyDescent="0.2">
      <c r="G41188" s="889"/>
    </row>
    <row r="41189" spans="7:7" ht="10.5" customHeight="1" x14ac:dyDescent="0.2">
      <c r="G41189" s="889"/>
    </row>
    <row r="41190" spans="7:7" ht="10.5" customHeight="1" x14ac:dyDescent="0.2">
      <c r="G41190" s="889"/>
    </row>
    <row r="41191" spans="7:7" ht="10.5" customHeight="1" x14ac:dyDescent="0.2">
      <c r="G41191" s="889"/>
    </row>
    <row r="41192" spans="7:7" ht="10.5" customHeight="1" x14ac:dyDescent="0.2">
      <c r="G41192" s="889"/>
    </row>
    <row r="41193" spans="7:7" ht="10.5" customHeight="1" x14ac:dyDescent="0.2">
      <c r="G41193" s="889"/>
    </row>
    <row r="41194" spans="7:7" ht="10.5" customHeight="1" x14ac:dyDescent="0.2">
      <c r="G41194" s="889"/>
    </row>
    <row r="41195" spans="7:7" ht="10.5" customHeight="1" x14ac:dyDescent="0.2">
      <c r="G41195" s="889"/>
    </row>
    <row r="41196" spans="7:7" ht="10.5" customHeight="1" x14ac:dyDescent="0.2">
      <c r="G41196" s="889"/>
    </row>
    <row r="41197" spans="7:7" ht="10.5" customHeight="1" x14ac:dyDescent="0.2">
      <c r="G41197" s="889"/>
    </row>
    <row r="41198" spans="7:7" ht="10.5" customHeight="1" x14ac:dyDescent="0.2">
      <c r="G41198" s="889"/>
    </row>
    <row r="41199" spans="7:7" ht="10.5" customHeight="1" x14ac:dyDescent="0.2">
      <c r="G41199" s="889"/>
    </row>
    <row r="41200" spans="7:7" ht="10.5" customHeight="1" x14ac:dyDescent="0.2">
      <c r="G41200" s="889"/>
    </row>
    <row r="41201" spans="7:7" ht="10.5" customHeight="1" x14ac:dyDescent="0.2">
      <c r="G41201" s="889"/>
    </row>
    <row r="41202" spans="7:7" ht="10.5" customHeight="1" x14ac:dyDescent="0.2">
      <c r="G41202" s="889"/>
    </row>
    <row r="41203" spans="7:7" ht="10.5" customHeight="1" x14ac:dyDescent="0.2">
      <c r="G41203" s="889"/>
    </row>
    <row r="41204" spans="7:7" ht="10.5" customHeight="1" x14ac:dyDescent="0.2">
      <c r="G41204" s="889"/>
    </row>
    <row r="41205" spans="7:7" ht="10.5" customHeight="1" x14ac:dyDescent="0.2">
      <c r="G41205" s="889"/>
    </row>
    <row r="41206" spans="7:7" ht="10.5" customHeight="1" x14ac:dyDescent="0.2">
      <c r="G41206" s="889"/>
    </row>
    <row r="41207" spans="7:7" ht="10.5" customHeight="1" x14ac:dyDescent="0.2">
      <c r="G41207" s="889"/>
    </row>
    <row r="41208" spans="7:7" ht="10.5" customHeight="1" x14ac:dyDescent="0.2">
      <c r="G41208" s="889"/>
    </row>
    <row r="41209" spans="7:7" ht="10.5" customHeight="1" x14ac:dyDescent="0.2">
      <c r="G41209" s="889"/>
    </row>
    <row r="41210" spans="7:7" ht="10.5" customHeight="1" x14ac:dyDescent="0.2">
      <c r="G41210" s="889"/>
    </row>
    <row r="41211" spans="7:7" ht="10.5" customHeight="1" x14ac:dyDescent="0.2">
      <c r="G41211" s="889"/>
    </row>
    <row r="41212" spans="7:7" ht="10.5" customHeight="1" x14ac:dyDescent="0.2">
      <c r="G41212" s="889"/>
    </row>
    <row r="41213" spans="7:7" ht="10.5" customHeight="1" x14ac:dyDescent="0.2">
      <c r="G41213" s="889"/>
    </row>
    <row r="41214" spans="7:7" ht="10.5" customHeight="1" x14ac:dyDescent="0.2">
      <c r="G41214" s="889"/>
    </row>
    <row r="41215" spans="7:7" ht="10.5" customHeight="1" x14ac:dyDescent="0.2">
      <c r="G41215" s="889"/>
    </row>
    <row r="41216" spans="7:7" ht="10.5" customHeight="1" x14ac:dyDescent="0.2">
      <c r="G41216" s="889"/>
    </row>
    <row r="41217" spans="7:7" ht="10.5" customHeight="1" x14ac:dyDescent="0.2">
      <c r="G41217" s="889"/>
    </row>
    <row r="41218" spans="7:7" ht="10.5" customHeight="1" x14ac:dyDescent="0.2">
      <c r="G41218" s="889"/>
    </row>
    <row r="41219" spans="7:7" ht="10.5" customHeight="1" x14ac:dyDescent="0.2">
      <c r="G41219" s="889"/>
    </row>
    <row r="41220" spans="7:7" ht="10.5" customHeight="1" x14ac:dyDescent="0.2">
      <c r="G41220" s="889"/>
    </row>
    <row r="41221" spans="7:7" ht="10.5" customHeight="1" x14ac:dyDescent="0.2">
      <c r="G41221" s="889"/>
    </row>
    <row r="41222" spans="7:7" ht="10.5" customHeight="1" x14ac:dyDescent="0.2">
      <c r="G41222" s="889"/>
    </row>
    <row r="41223" spans="7:7" ht="10.5" customHeight="1" x14ac:dyDescent="0.2">
      <c r="G41223" s="889"/>
    </row>
    <row r="41224" spans="7:7" ht="10.5" customHeight="1" x14ac:dyDescent="0.2">
      <c r="G41224" s="889"/>
    </row>
    <row r="41225" spans="7:7" ht="10.5" customHeight="1" x14ac:dyDescent="0.2">
      <c r="G41225" s="889"/>
    </row>
    <row r="41226" spans="7:7" ht="10.5" customHeight="1" x14ac:dyDescent="0.2">
      <c r="G41226" s="889"/>
    </row>
    <row r="41227" spans="7:7" ht="10.5" customHeight="1" x14ac:dyDescent="0.2">
      <c r="G41227" s="889"/>
    </row>
    <row r="41228" spans="7:7" ht="10.5" customHeight="1" x14ac:dyDescent="0.2">
      <c r="G41228" s="889"/>
    </row>
    <row r="41229" spans="7:7" ht="10.5" customHeight="1" x14ac:dyDescent="0.2">
      <c r="G41229" s="889"/>
    </row>
    <row r="41230" spans="7:7" ht="10.5" customHeight="1" x14ac:dyDescent="0.2">
      <c r="G41230" s="889"/>
    </row>
    <row r="41231" spans="7:7" ht="10.5" customHeight="1" x14ac:dyDescent="0.2">
      <c r="G41231" s="889"/>
    </row>
    <row r="41232" spans="7:7" ht="10.5" customHeight="1" x14ac:dyDescent="0.2">
      <c r="G41232" s="889"/>
    </row>
    <row r="41233" spans="7:7" ht="10.5" customHeight="1" x14ac:dyDescent="0.2">
      <c r="G41233" s="889"/>
    </row>
    <row r="41234" spans="7:7" ht="10.5" customHeight="1" x14ac:dyDescent="0.2">
      <c r="G41234" s="889"/>
    </row>
    <row r="41235" spans="7:7" ht="10.5" customHeight="1" x14ac:dyDescent="0.2">
      <c r="G41235" s="889"/>
    </row>
    <row r="41236" spans="7:7" ht="10.5" customHeight="1" x14ac:dyDescent="0.2">
      <c r="G41236" s="889"/>
    </row>
    <row r="41237" spans="7:7" ht="10.5" customHeight="1" x14ac:dyDescent="0.2">
      <c r="G41237" s="889"/>
    </row>
    <row r="41238" spans="7:7" ht="10.5" customHeight="1" x14ac:dyDescent="0.2">
      <c r="G41238" s="889"/>
    </row>
    <row r="41239" spans="7:7" ht="10.5" customHeight="1" x14ac:dyDescent="0.2">
      <c r="G41239" s="889"/>
    </row>
    <row r="41240" spans="7:7" ht="10.5" customHeight="1" x14ac:dyDescent="0.2">
      <c r="G41240" s="889"/>
    </row>
    <row r="41241" spans="7:7" ht="10.5" customHeight="1" x14ac:dyDescent="0.2">
      <c r="G41241" s="889"/>
    </row>
    <row r="41242" spans="7:7" ht="10.5" customHeight="1" x14ac:dyDescent="0.2">
      <c r="G41242" s="889"/>
    </row>
    <row r="41243" spans="7:7" ht="10.5" customHeight="1" x14ac:dyDescent="0.2">
      <c r="G41243" s="889"/>
    </row>
    <row r="41244" spans="7:7" ht="10.5" customHeight="1" x14ac:dyDescent="0.2">
      <c r="G41244" s="889"/>
    </row>
    <row r="41245" spans="7:7" ht="10.5" customHeight="1" x14ac:dyDescent="0.2">
      <c r="G41245" s="889"/>
    </row>
    <row r="41246" spans="7:7" ht="10.5" customHeight="1" x14ac:dyDescent="0.2">
      <c r="G41246" s="889"/>
    </row>
    <row r="41247" spans="7:7" ht="10.5" customHeight="1" x14ac:dyDescent="0.2">
      <c r="G41247" s="889"/>
    </row>
    <row r="41248" spans="7:7" ht="10.5" customHeight="1" x14ac:dyDescent="0.2">
      <c r="G41248" s="889"/>
    </row>
    <row r="41249" spans="7:7" ht="10.5" customHeight="1" x14ac:dyDescent="0.2">
      <c r="G41249" s="889"/>
    </row>
    <row r="41250" spans="7:7" ht="10.5" customHeight="1" x14ac:dyDescent="0.2">
      <c r="G41250" s="889"/>
    </row>
    <row r="41251" spans="7:7" ht="10.5" customHeight="1" x14ac:dyDescent="0.2">
      <c r="G41251" s="889"/>
    </row>
    <row r="41252" spans="7:7" ht="10.5" customHeight="1" x14ac:dyDescent="0.2">
      <c r="G41252" s="889"/>
    </row>
    <row r="41253" spans="7:7" ht="10.5" customHeight="1" x14ac:dyDescent="0.2">
      <c r="G41253" s="889"/>
    </row>
    <row r="41254" spans="7:7" ht="10.5" customHeight="1" x14ac:dyDescent="0.2">
      <c r="G41254" s="889"/>
    </row>
    <row r="41255" spans="7:7" ht="10.5" customHeight="1" x14ac:dyDescent="0.2">
      <c r="G41255" s="889"/>
    </row>
    <row r="41256" spans="7:7" ht="10.5" customHeight="1" x14ac:dyDescent="0.2">
      <c r="G41256" s="889"/>
    </row>
    <row r="41257" spans="7:7" ht="10.5" customHeight="1" x14ac:dyDescent="0.2">
      <c r="G41257" s="889"/>
    </row>
    <row r="41258" spans="7:7" ht="10.5" customHeight="1" x14ac:dyDescent="0.2">
      <c r="G41258" s="889"/>
    </row>
    <row r="41259" spans="7:7" ht="10.5" customHeight="1" x14ac:dyDescent="0.2">
      <c r="G41259" s="889"/>
    </row>
    <row r="41260" spans="7:7" ht="10.5" customHeight="1" x14ac:dyDescent="0.2">
      <c r="G41260" s="889"/>
    </row>
    <row r="41261" spans="7:7" ht="10.5" customHeight="1" x14ac:dyDescent="0.2">
      <c r="G41261" s="889"/>
    </row>
    <row r="41262" spans="7:7" ht="10.5" customHeight="1" x14ac:dyDescent="0.2">
      <c r="G41262" s="889"/>
    </row>
    <row r="41263" spans="7:7" ht="10.5" customHeight="1" x14ac:dyDescent="0.2">
      <c r="G41263" s="889"/>
    </row>
    <row r="41264" spans="7:7" ht="10.5" customHeight="1" x14ac:dyDescent="0.2">
      <c r="G41264" s="889"/>
    </row>
    <row r="41265" spans="7:7" ht="10.5" customHeight="1" x14ac:dyDescent="0.2">
      <c r="G41265" s="889"/>
    </row>
    <row r="41266" spans="7:7" ht="10.5" customHeight="1" x14ac:dyDescent="0.2">
      <c r="G41266" s="889"/>
    </row>
    <row r="41267" spans="7:7" ht="10.5" customHeight="1" x14ac:dyDescent="0.2">
      <c r="G41267" s="889"/>
    </row>
    <row r="41268" spans="7:7" ht="10.5" customHeight="1" x14ac:dyDescent="0.2">
      <c r="G41268" s="889"/>
    </row>
    <row r="41269" spans="7:7" ht="10.5" customHeight="1" x14ac:dyDescent="0.2">
      <c r="G41269" s="889"/>
    </row>
    <row r="41270" spans="7:7" ht="10.5" customHeight="1" x14ac:dyDescent="0.2">
      <c r="G41270" s="889"/>
    </row>
    <row r="41271" spans="7:7" ht="10.5" customHeight="1" x14ac:dyDescent="0.2">
      <c r="G41271" s="889"/>
    </row>
    <row r="41272" spans="7:7" ht="10.5" customHeight="1" x14ac:dyDescent="0.2">
      <c r="G41272" s="889"/>
    </row>
    <row r="41273" spans="7:7" ht="10.5" customHeight="1" x14ac:dyDescent="0.2">
      <c r="G41273" s="889"/>
    </row>
    <row r="41274" spans="7:7" ht="10.5" customHeight="1" x14ac:dyDescent="0.2">
      <c r="G41274" s="889"/>
    </row>
    <row r="41275" spans="7:7" ht="10.5" customHeight="1" x14ac:dyDescent="0.2">
      <c r="G41275" s="889"/>
    </row>
    <row r="41276" spans="7:7" ht="10.5" customHeight="1" x14ac:dyDescent="0.2">
      <c r="G41276" s="889"/>
    </row>
    <row r="41277" spans="7:7" ht="10.5" customHeight="1" x14ac:dyDescent="0.2">
      <c r="G41277" s="889"/>
    </row>
    <row r="41278" spans="7:7" ht="10.5" customHeight="1" x14ac:dyDescent="0.2">
      <c r="G41278" s="889"/>
    </row>
    <row r="41279" spans="7:7" ht="10.5" customHeight="1" x14ac:dyDescent="0.2">
      <c r="G41279" s="889"/>
    </row>
    <row r="41280" spans="7:7" ht="10.5" customHeight="1" x14ac:dyDescent="0.2">
      <c r="G41280" s="889"/>
    </row>
    <row r="41281" spans="7:7" ht="10.5" customHeight="1" x14ac:dyDescent="0.2">
      <c r="G41281" s="889"/>
    </row>
    <row r="41282" spans="7:7" ht="10.5" customHeight="1" x14ac:dyDescent="0.2">
      <c r="G41282" s="889"/>
    </row>
    <row r="41283" spans="7:7" ht="10.5" customHeight="1" x14ac:dyDescent="0.2">
      <c r="G41283" s="889"/>
    </row>
    <row r="41284" spans="7:7" ht="10.5" customHeight="1" x14ac:dyDescent="0.2">
      <c r="G41284" s="889"/>
    </row>
    <row r="41285" spans="7:7" ht="10.5" customHeight="1" x14ac:dyDescent="0.2">
      <c r="G41285" s="889"/>
    </row>
    <row r="41286" spans="7:7" ht="10.5" customHeight="1" x14ac:dyDescent="0.2">
      <c r="G41286" s="889"/>
    </row>
    <row r="41287" spans="7:7" ht="10.5" customHeight="1" x14ac:dyDescent="0.2">
      <c r="G41287" s="889"/>
    </row>
    <row r="41288" spans="7:7" ht="10.5" customHeight="1" x14ac:dyDescent="0.2">
      <c r="G41288" s="889"/>
    </row>
    <row r="41289" spans="7:7" ht="10.5" customHeight="1" x14ac:dyDescent="0.2">
      <c r="G41289" s="889"/>
    </row>
    <row r="41290" spans="7:7" ht="10.5" customHeight="1" x14ac:dyDescent="0.2">
      <c r="G41290" s="889"/>
    </row>
    <row r="41291" spans="7:7" ht="10.5" customHeight="1" x14ac:dyDescent="0.2">
      <c r="G41291" s="889"/>
    </row>
    <row r="41292" spans="7:7" ht="10.5" customHeight="1" x14ac:dyDescent="0.2">
      <c r="G41292" s="889"/>
    </row>
    <row r="41293" spans="7:7" ht="10.5" customHeight="1" x14ac:dyDescent="0.2">
      <c r="G41293" s="889"/>
    </row>
    <row r="41294" spans="7:7" ht="10.5" customHeight="1" x14ac:dyDescent="0.2">
      <c r="G41294" s="889"/>
    </row>
    <row r="41295" spans="7:7" ht="10.5" customHeight="1" x14ac:dyDescent="0.2">
      <c r="G41295" s="889"/>
    </row>
    <row r="41296" spans="7:7" ht="10.5" customHeight="1" x14ac:dyDescent="0.2">
      <c r="G41296" s="889"/>
    </row>
    <row r="41297" spans="7:7" ht="10.5" customHeight="1" x14ac:dyDescent="0.2">
      <c r="G41297" s="889"/>
    </row>
    <row r="41298" spans="7:7" ht="10.5" customHeight="1" x14ac:dyDescent="0.2">
      <c r="G41298" s="889"/>
    </row>
    <row r="41299" spans="7:7" ht="10.5" customHeight="1" x14ac:dyDescent="0.2">
      <c r="G41299" s="889"/>
    </row>
    <row r="41300" spans="7:7" ht="10.5" customHeight="1" x14ac:dyDescent="0.2">
      <c r="G41300" s="889"/>
    </row>
    <row r="41301" spans="7:7" ht="10.5" customHeight="1" x14ac:dyDescent="0.2">
      <c r="G41301" s="889"/>
    </row>
    <row r="41302" spans="7:7" ht="10.5" customHeight="1" x14ac:dyDescent="0.2">
      <c r="G41302" s="889"/>
    </row>
    <row r="41303" spans="7:7" ht="10.5" customHeight="1" x14ac:dyDescent="0.2">
      <c r="G41303" s="889"/>
    </row>
    <row r="41304" spans="7:7" ht="10.5" customHeight="1" x14ac:dyDescent="0.2">
      <c r="G41304" s="889"/>
    </row>
    <row r="41305" spans="7:7" ht="10.5" customHeight="1" x14ac:dyDescent="0.2">
      <c r="G41305" s="889"/>
    </row>
    <row r="41306" spans="7:7" ht="10.5" customHeight="1" x14ac:dyDescent="0.2">
      <c r="G41306" s="889"/>
    </row>
    <row r="41307" spans="7:7" ht="10.5" customHeight="1" x14ac:dyDescent="0.2">
      <c r="G41307" s="889"/>
    </row>
    <row r="41308" spans="7:7" ht="10.5" customHeight="1" x14ac:dyDescent="0.2">
      <c r="G41308" s="889"/>
    </row>
    <row r="41309" spans="7:7" ht="10.5" customHeight="1" x14ac:dyDescent="0.2">
      <c r="G41309" s="889"/>
    </row>
    <row r="41310" spans="7:7" ht="10.5" customHeight="1" x14ac:dyDescent="0.2">
      <c r="G41310" s="889"/>
    </row>
    <row r="41311" spans="7:7" ht="10.5" customHeight="1" x14ac:dyDescent="0.2">
      <c r="G41311" s="889"/>
    </row>
    <row r="41312" spans="7:7" ht="10.5" customHeight="1" x14ac:dyDescent="0.2">
      <c r="G41312" s="889"/>
    </row>
    <row r="41313" spans="7:7" ht="10.5" customHeight="1" x14ac:dyDescent="0.2">
      <c r="G41313" s="889"/>
    </row>
    <row r="41314" spans="7:7" ht="10.5" customHeight="1" x14ac:dyDescent="0.2">
      <c r="G41314" s="889"/>
    </row>
    <row r="41315" spans="7:7" ht="10.5" customHeight="1" x14ac:dyDescent="0.2">
      <c r="G41315" s="889"/>
    </row>
    <row r="41316" spans="7:7" ht="10.5" customHeight="1" x14ac:dyDescent="0.2">
      <c r="G41316" s="889"/>
    </row>
    <row r="41317" spans="7:7" ht="10.5" customHeight="1" x14ac:dyDescent="0.2">
      <c r="G41317" s="889"/>
    </row>
    <row r="41318" spans="7:7" ht="10.5" customHeight="1" x14ac:dyDescent="0.2">
      <c r="G41318" s="889"/>
    </row>
    <row r="41319" spans="7:7" ht="10.5" customHeight="1" x14ac:dyDescent="0.2">
      <c r="G41319" s="889"/>
    </row>
    <row r="41320" spans="7:7" ht="10.5" customHeight="1" x14ac:dyDescent="0.2">
      <c r="G41320" s="889"/>
    </row>
    <row r="41321" spans="7:7" ht="10.5" customHeight="1" x14ac:dyDescent="0.2">
      <c r="G41321" s="889"/>
    </row>
    <row r="41322" spans="7:7" ht="10.5" customHeight="1" x14ac:dyDescent="0.2">
      <c r="G41322" s="889"/>
    </row>
    <row r="41323" spans="7:7" ht="10.5" customHeight="1" x14ac:dyDescent="0.2">
      <c r="G41323" s="889"/>
    </row>
    <row r="41324" spans="7:7" ht="10.5" customHeight="1" x14ac:dyDescent="0.2">
      <c r="G41324" s="889"/>
    </row>
    <row r="41325" spans="7:7" ht="10.5" customHeight="1" x14ac:dyDescent="0.2">
      <c r="G41325" s="889"/>
    </row>
    <row r="41326" spans="7:7" ht="10.5" customHeight="1" x14ac:dyDescent="0.2">
      <c r="G41326" s="889"/>
    </row>
    <row r="41327" spans="7:7" ht="10.5" customHeight="1" x14ac:dyDescent="0.2">
      <c r="G41327" s="889"/>
    </row>
    <row r="41328" spans="7:7" ht="10.5" customHeight="1" x14ac:dyDescent="0.2">
      <c r="G41328" s="889"/>
    </row>
    <row r="41329" spans="7:7" ht="10.5" customHeight="1" x14ac:dyDescent="0.2">
      <c r="G41329" s="889"/>
    </row>
    <row r="41330" spans="7:7" ht="10.5" customHeight="1" x14ac:dyDescent="0.2">
      <c r="G41330" s="889"/>
    </row>
    <row r="41331" spans="7:7" ht="10.5" customHeight="1" x14ac:dyDescent="0.2">
      <c r="G41331" s="889"/>
    </row>
    <row r="41332" spans="7:7" ht="10.5" customHeight="1" x14ac:dyDescent="0.2">
      <c r="G41332" s="889"/>
    </row>
    <row r="41333" spans="7:7" ht="10.5" customHeight="1" x14ac:dyDescent="0.2">
      <c r="G41333" s="889"/>
    </row>
    <row r="41334" spans="7:7" ht="10.5" customHeight="1" x14ac:dyDescent="0.2">
      <c r="G41334" s="889"/>
    </row>
    <row r="41335" spans="7:7" ht="10.5" customHeight="1" x14ac:dyDescent="0.2">
      <c r="G41335" s="889"/>
    </row>
    <row r="41336" spans="7:7" ht="10.5" customHeight="1" x14ac:dyDescent="0.2">
      <c r="G41336" s="889"/>
    </row>
    <row r="41337" spans="7:7" ht="10.5" customHeight="1" x14ac:dyDescent="0.2">
      <c r="G41337" s="889"/>
    </row>
    <row r="41338" spans="7:7" ht="10.5" customHeight="1" x14ac:dyDescent="0.2">
      <c r="G41338" s="889"/>
    </row>
    <row r="41339" spans="7:7" ht="10.5" customHeight="1" x14ac:dyDescent="0.2">
      <c r="G41339" s="889"/>
    </row>
    <row r="41340" spans="7:7" ht="10.5" customHeight="1" x14ac:dyDescent="0.2">
      <c r="G41340" s="889"/>
    </row>
    <row r="41341" spans="7:7" ht="10.5" customHeight="1" x14ac:dyDescent="0.2">
      <c r="G41341" s="889"/>
    </row>
    <row r="41342" spans="7:7" ht="10.5" customHeight="1" x14ac:dyDescent="0.2">
      <c r="G41342" s="889"/>
    </row>
    <row r="41343" spans="7:7" ht="10.5" customHeight="1" x14ac:dyDescent="0.2">
      <c r="G41343" s="889"/>
    </row>
    <row r="41344" spans="7:7" ht="10.5" customHeight="1" x14ac:dyDescent="0.2">
      <c r="G41344" s="889"/>
    </row>
    <row r="41345" spans="7:7" ht="10.5" customHeight="1" x14ac:dyDescent="0.2">
      <c r="G41345" s="889"/>
    </row>
    <row r="41346" spans="7:7" ht="10.5" customHeight="1" x14ac:dyDescent="0.2">
      <c r="G41346" s="889"/>
    </row>
    <row r="41347" spans="7:7" ht="10.5" customHeight="1" x14ac:dyDescent="0.2">
      <c r="G41347" s="889"/>
    </row>
    <row r="41348" spans="7:7" ht="10.5" customHeight="1" x14ac:dyDescent="0.2">
      <c r="G41348" s="889"/>
    </row>
    <row r="41349" spans="7:7" ht="10.5" customHeight="1" x14ac:dyDescent="0.2">
      <c r="G41349" s="889"/>
    </row>
    <row r="41350" spans="7:7" ht="10.5" customHeight="1" x14ac:dyDescent="0.2">
      <c r="G41350" s="889"/>
    </row>
    <row r="41351" spans="7:7" ht="10.5" customHeight="1" x14ac:dyDescent="0.2">
      <c r="G41351" s="889"/>
    </row>
    <row r="41352" spans="7:7" ht="10.5" customHeight="1" x14ac:dyDescent="0.2">
      <c r="G41352" s="889"/>
    </row>
    <row r="41353" spans="7:7" ht="10.5" customHeight="1" x14ac:dyDescent="0.2">
      <c r="G41353" s="889"/>
    </row>
    <row r="41354" spans="7:7" ht="10.5" customHeight="1" x14ac:dyDescent="0.2">
      <c r="G41354" s="889"/>
    </row>
    <row r="41355" spans="7:7" ht="10.5" customHeight="1" x14ac:dyDescent="0.2">
      <c r="G41355" s="889"/>
    </row>
    <row r="41356" spans="7:7" ht="10.5" customHeight="1" x14ac:dyDescent="0.2">
      <c r="G41356" s="889"/>
    </row>
    <row r="41357" spans="7:7" ht="10.5" customHeight="1" x14ac:dyDescent="0.2">
      <c r="G41357" s="889"/>
    </row>
    <row r="41358" spans="7:7" ht="10.5" customHeight="1" x14ac:dyDescent="0.2">
      <c r="G41358" s="889"/>
    </row>
    <row r="41359" spans="7:7" ht="10.5" customHeight="1" x14ac:dyDescent="0.2">
      <c r="G41359" s="889"/>
    </row>
    <row r="41360" spans="7:7" ht="10.5" customHeight="1" x14ac:dyDescent="0.2">
      <c r="G41360" s="889"/>
    </row>
    <row r="41361" spans="7:7" ht="10.5" customHeight="1" x14ac:dyDescent="0.2">
      <c r="G41361" s="889"/>
    </row>
    <row r="41362" spans="7:7" ht="10.5" customHeight="1" x14ac:dyDescent="0.2">
      <c r="G41362" s="889"/>
    </row>
    <row r="41363" spans="7:7" ht="10.5" customHeight="1" x14ac:dyDescent="0.2">
      <c r="G41363" s="889"/>
    </row>
    <row r="41364" spans="7:7" ht="10.5" customHeight="1" x14ac:dyDescent="0.2">
      <c r="G41364" s="889"/>
    </row>
    <row r="41365" spans="7:7" ht="10.5" customHeight="1" x14ac:dyDescent="0.2">
      <c r="G41365" s="889"/>
    </row>
    <row r="41366" spans="7:7" ht="10.5" customHeight="1" x14ac:dyDescent="0.2">
      <c r="G41366" s="889"/>
    </row>
    <row r="41367" spans="7:7" ht="10.5" customHeight="1" x14ac:dyDescent="0.2">
      <c r="G41367" s="889"/>
    </row>
    <row r="41368" spans="7:7" ht="10.5" customHeight="1" x14ac:dyDescent="0.2">
      <c r="G41368" s="889"/>
    </row>
    <row r="41369" spans="7:7" ht="10.5" customHeight="1" x14ac:dyDescent="0.2">
      <c r="G41369" s="889"/>
    </row>
    <row r="41370" spans="7:7" ht="10.5" customHeight="1" x14ac:dyDescent="0.2">
      <c r="G41370" s="889"/>
    </row>
    <row r="41371" spans="7:7" ht="10.5" customHeight="1" x14ac:dyDescent="0.2">
      <c r="G41371" s="889"/>
    </row>
    <row r="41372" spans="7:7" ht="10.5" customHeight="1" x14ac:dyDescent="0.2">
      <c r="G41372" s="889"/>
    </row>
    <row r="41373" spans="7:7" ht="10.5" customHeight="1" x14ac:dyDescent="0.2">
      <c r="G41373" s="889"/>
    </row>
    <row r="41374" spans="7:7" ht="10.5" customHeight="1" x14ac:dyDescent="0.2">
      <c r="G41374" s="889"/>
    </row>
    <row r="41375" spans="7:7" ht="10.5" customHeight="1" x14ac:dyDescent="0.2">
      <c r="G41375" s="889"/>
    </row>
    <row r="41376" spans="7:7" ht="10.5" customHeight="1" x14ac:dyDescent="0.2">
      <c r="G41376" s="889"/>
    </row>
    <row r="41377" spans="7:7" ht="10.5" customHeight="1" x14ac:dyDescent="0.2">
      <c r="G41377" s="889"/>
    </row>
    <row r="41378" spans="7:7" ht="10.5" customHeight="1" x14ac:dyDescent="0.2">
      <c r="G41378" s="889"/>
    </row>
    <row r="41379" spans="7:7" ht="10.5" customHeight="1" x14ac:dyDescent="0.2">
      <c r="G41379" s="889"/>
    </row>
    <row r="41380" spans="7:7" ht="10.5" customHeight="1" x14ac:dyDescent="0.2">
      <c r="G41380" s="889"/>
    </row>
    <row r="41381" spans="7:7" ht="10.5" customHeight="1" x14ac:dyDescent="0.2">
      <c r="G41381" s="889"/>
    </row>
    <row r="41382" spans="7:7" ht="10.5" customHeight="1" x14ac:dyDescent="0.2">
      <c r="G41382" s="889"/>
    </row>
    <row r="41383" spans="7:7" ht="10.5" customHeight="1" x14ac:dyDescent="0.2">
      <c r="G41383" s="889"/>
    </row>
    <row r="41384" spans="7:7" ht="10.5" customHeight="1" x14ac:dyDescent="0.2">
      <c r="G41384" s="889"/>
    </row>
    <row r="41385" spans="7:7" ht="10.5" customHeight="1" x14ac:dyDescent="0.2">
      <c r="G41385" s="889"/>
    </row>
    <row r="41386" spans="7:7" ht="10.5" customHeight="1" x14ac:dyDescent="0.2">
      <c r="G41386" s="889"/>
    </row>
    <row r="41387" spans="7:7" ht="10.5" customHeight="1" x14ac:dyDescent="0.2">
      <c r="G41387" s="889"/>
    </row>
    <row r="41388" spans="7:7" ht="10.5" customHeight="1" x14ac:dyDescent="0.2">
      <c r="G41388" s="889"/>
    </row>
    <row r="41389" spans="7:7" ht="10.5" customHeight="1" x14ac:dyDescent="0.2">
      <c r="G41389" s="889"/>
    </row>
    <row r="41390" spans="7:7" ht="10.5" customHeight="1" x14ac:dyDescent="0.2">
      <c r="G41390" s="889"/>
    </row>
    <row r="41391" spans="7:7" ht="10.5" customHeight="1" x14ac:dyDescent="0.2">
      <c r="G41391" s="889"/>
    </row>
    <row r="41392" spans="7:7" ht="10.5" customHeight="1" x14ac:dyDescent="0.2">
      <c r="G41392" s="889"/>
    </row>
    <row r="41393" spans="7:7" ht="10.5" customHeight="1" x14ac:dyDescent="0.2">
      <c r="G41393" s="889"/>
    </row>
    <row r="41394" spans="7:7" ht="10.5" customHeight="1" x14ac:dyDescent="0.2">
      <c r="G41394" s="889"/>
    </row>
    <row r="41395" spans="7:7" ht="10.5" customHeight="1" x14ac:dyDescent="0.2">
      <c r="G41395" s="889"/>
    </row>
    <row r="41396" spans="7:7" ht="10.5" customHeight="1" x14ac:dyDescent="0.2">
      <c r="G41396" s="889"/>
    </row>
    <row r="41397" spans="7:7" ht="10.5" customHeight="1" x14ac:dyDescent="0.2">
      <c r="G41397" s="889"/>
    </row>
    <row r="41398" spans="7:7" ht="10.5" customHeight="1" x14ac:dyDescent="0.2">
      <c r="G41398" s="889"/>
    </row>
    <row r="41399" spans="7:7" ht="10.5" customHeight="1" x14ac:dyDescent="0.2">
      <c r="G41399" s="889"/>
    </row>
    <row r="41400" spans="7:7" ht="10.5" customHeight="1" x14ac:dyDescent="0.2">
      <c r="G41400" s="889"/>
    </row>
    <row r="41401" spans="7:7" ht="10.5" customHeight="1" x14ac:dyDescent="0.2">
      <c r="G41401" s="889"/>
    </row>
    <row r="41402" spans="7:7" ht="10.5" customHeight="1" x14ac:dyDescent="0.2">
      <c r="G41402" s="889"/>
    </row>
    <row r="41403" spans="7:7" ht="10.5" customHeight="1" x14ac:dyDescent="0.2">
      <c r="G41403" s="889"/>
    </row>
    <row r="41404" spans="7:7" ht="10.5" customHeight="1" x14ac:dyDescent="0.2">
      <c r="G41404" s="889"/>
    </row>
    <row r="41405" spans="7:7" ht="10.5" customHeight="1" x14ac:dyDescent="0.2">
      <c r="G41405" s="889"/>
    </row>
    <row r="41406" spans="7:7" ht="10.5" customHeight="1" x14ac:dyDescent="0.2">
      <c r="G41406" s="889"/>
    </row>
    <row r="41407" spans="7:7" ht="10.5" customHeight="1" x14ac:dyDescent="0.2">
      <c r="G41407" s="889"/>
    </row>
    <row r="41408" spans="7:7" ht="10.5" customHeight="1" x14ac:dyDescent="0.2">
      <c r="G41408" s="889"/>
    </row>
    <row r="41409" spans="7:7" ht="10.5" customHeight="1" x14ac:dyDescent="0.2">
      <c r="G41409" s="889"/>
    </row>
    <row r="41410" spans="7:7" ht="10.5" customHeight="1" x14ac:dyDescent="0.2">
      <c r="G41410" s="889"/>
    </row>
    <row r="41411" spans="7:7" ht="10.5" customHeight="1" x14ac:dyDescent="0.2">
      <c r="G41411" s="889"/>
    </row>
    <row r="41412" spans="7:7" ht="10.5" customHeight="1" x14ac:dyDescent="0.2">
      <c r="G41412" s="889"/>
    </row>
    <row r="41413" spans="7:7" ht="10.5" customHeight="1" x14ac:dyDescent="0.2">
      <c r="G41413" s="889"/>
    </row>
    <row r="41414" spans="7:7" ht="10.5" customHeight="1" x14ac:dyDescent="0.2">
      <c r="G41414" s="889"/>
    </row>
    <row r="41415" spans="7:7" ht="10.5" customHeight="1" x14ac:dyDescent="0.2">
      <c r="G41415" s="889"/>
    </row>
    <row r="41416" spans="7:7" ht="10.5" customHeight="1" x14ac:dyDescent="0.2">
      <c r="G41416" s="889"/>
    </row>
    <row r="41417" spans="7:7" ht="10.5" customHeight="1" x14ac:dyDescent="0.2">
      <c r="G41417" s="889"/>
    </row>
    <row r="41418" spans="7:7" ht="10.5" customHeight="1" x14ac:dyDescent="0.2">
      <c r="G41418" s="889"/>
    </row>
    <row r="41419" spans="7:7" ht="10.5" customHeight="1" x14ac:dyDescent="0.2">
      <c r="G41419" s="889"/>
    </row>
    <row r="41420" spans="7:7" ht="10.5" customHeight="1" x14ac:dyDescent="0.2">
      <c r="G41420" s="889"/>
    </row>
    <row r="41421" spans="7:7" ht="10.5" customHeight="1" x14ac:dyDescent="0.2">
      <c r="G41421" s="889"/>
    </row>
    <row r="41422" spans="7:7" ht="10.5" customHeight="1" x14ac:dyDescent="0.2">
      <c r="G41422" s="889"/>
    </row>
    <row r="41423" spans="7:7" ht="10.5" customHeight="1" x14ac:dyDescent="0.2">
      <c r="G41423" s="889"/>
    </row>
    <row r="41424" spans="7:7" ht="10.5" customHeight="1" x14ac:dyDescent="0.2">
      <c r="G41424" s="889"/>
    </row>
    <row r="41425" spans="7:7" ht="10.5" customHeight="1" x14ac:dyDescent="0.2">
      <c r="G41425" s="889"/>
    </row>
    <row r="41426" spans="7:7" ht="10.5" customHeight="1" x14ac:dyDescent="0.2">
      <c r="G41426" s="889"/>
    </row>
    <row r="41427" spans="7:7" ht="10.5" customHeight="1" x14ac:dyDescent="0.2">
      <c r="G41427" s="889"/>
    </row>
    <row r="41428" spans="7:7" ht="10.5" customHeight="1" x14ac:dyDescent="0.2">
      <c r="G41428" s="889"/>
    </row>
    <row r="41429" spans="7:7" ht="10.5" customHeight="1" x14ac:dyDescent="0.2">
      <c r="G41429" s="889"/>
    </row>
    <row r="41430" spans="7:7" ht="10.5" customHeight="1" x14ac:dyDescent="0.2">
      <c r="G41430" s="889"/>
    </row>
    <row r="41431" spans="7:7" ht="10.5" customHeight="1" x14ac:dyDescent="0.2">
      <c r="G41431" s="889"/>
    </row>
    <row r="41432" spans="7:7" ht="10.5" customHeight="1" x14ac:dyDescent="0.2">
      <c r="G41432" s="889"/>
    </row>
    <row r="41433" spans="7:7" ht="10.5" customHeight="1" x14ac:dyDescent="0.2">
      <c r="G41433" s="889"/>
    </row>
    <row r="41434" spans="7:7" ht="10.5" customHeight="1" x14ac:dyDescent="0.2">
      <c r="G41434" s="889"/>
    </row>
    <row r="41435" spans="7:7" ht="10.5" customHeight="1" x14ac:dyDescent="0.2">
      <c r="G41435" s="889"/>
    </row>
    <row r="41436" spans="7:7" ht="10.5" customHeight="1" x14ac:dyDescent="0.2">
      <c r="G41436" s="889"/>
    </row>
    <row r="41437" spans="7:7" ht="10.5" customHeight="1" x14ac:dyDescent="0.2">
      <c r="G41437" s="889"/>
    </row>
    <row r="41438" spans="7:7" ht="10.5" customHeight="1" x14ac:dyDescent="0.2">
      <c r="G41438" s="889"/>
    </row>
    <row r="41439" spans="7:7" ht="10.5" customHeight="1" x14ac:dyDescent="0.2">
      <c r="G41439" s="889"/>
    </row>
    <row r="41440" spans="7:7" ht="10.5" customHeight="1" x14ac:dyDescent="0.2">
      <c r="G41440" s="889"/>
    </row>
    <row r="41441" spans="7:7" ht="10.5" customHeight="1" x14ac:dyDescent="0.2">
      <c r="G41441" s="889"/>
    </row>
    <row r="41442" spans="7:7" ht="10.5" customHeight="1" x14ac:dyDescent="0.2">
      <c r="G41442" s="889"/>
    </row>
    <row r="41443" spans="7:7" ht="10.5" customHeight="1" x14ac:dyDescent="0.2">
      <c r="G41443" s="889"/>
    </row>
    <row r="41444" spans="7:7" ht="10.5" customHeight="1" x14ac:dyDescent="0.2">
      <c r="G41444" s="889"/>
    </row>
    <row r="41445" spans="7:7" ht="10.5" customHeight="1" x14ac:dyDescent="0.2">
      <c r="G41445" s="889"/>
    </row>
    <row r="41446" spans="7:7" ht="10.5" customHeight="1" x14ac:dyDescent="0.2">
      <c r="G41446" s="889"/>
    </row>
    <row r="41447" spans="7:7" ht="10.5" customHeight="1" x14ac:dyDescent="0.2">
      <c r="G41447" s="889"/>
    </row>
    <row r="41448" spans="7:7" ht="10.5" customHeight="1" x14ac:dyDescent="0.2">
      <c r="G41448" s="889"/>
    </row>
    <row r="41449" spans="7:7" ht="10.5" customHeight="1" x14ac:dyDescent="0.2">
      <c r="G41449" s="889"/>
    </row>
    <row r="41450" spans="7:7" ht="10.5" customHeight="1" x14ac:dyDescent="0.2">
      <c r="G41450" s="889"/>
    </row>
    <row r="41451" spans="7:7" ht="10.5" customHeight="1" x14ac:dyDescent="0.2">
      <c r="G41451" s="889"/>
    </row>
    <row r="41452" spans="7:7" ht="10.5" customHeight="1" x14ac:dyDescent="0.2">
      <c r="G41452" s="889"/>
    </row>
    <row r="41453" spans="7:7" ht="10.5" customHeight="1" x14ac:dyDescent="0.2">
      <c r="G41453" s="889"/>
    </row>
    <row r="41454" spans="7:7" ht="10.5" customHeight="1" x14ac:dyDescent="0.2">
      <c r="G41454" s="889"/>
    </row>
    <row r="41455" spans="7:7" ht="10.5" customHeight="1" x14ac:dyDescent="0.2">
      <c r="G41455" s="889"/>
    </row>
    <row r="41456" spans="7:7" ht="10.5" customHeight="1" x14ac:dyDescent="0.2">
      <c r="G41456" s="889"/>
    </row>
    <row r="41457" spans="7:7" ht="10.5" customHeight="1" x14ac:dyDescent="0.2">
      <c r="G41457" s="889"/>
    </row>
    <row r="41458" spans="7:7" ht="10.5" customHeight="1" x14ac:dyDescent="0.2">
      <c r="G41458" s="889"/>
    </row>
    <row r="41459" spans="7:7" ht="10.5" customHeight="1" x14ac:dyDescent="0.2">
      <c r="G41459" s="889"/>
    </row>
    <row r="41460" spans="7:7" ht="10.5" customHeight="1" x14ac:dyDescent="0.2">
      <c r="G41460" s="889"/>
    </row>
    <row r="41461" spans="7:7" ht="10.5" customHeight="1" x14ac:dyDescent="0.2">
      <c r="G41461" s="889"/>
    </row>
    <row r="41462" spans="7:7" ht="10.5" customHeight="1" x14ac:dyDescent="0.2">
      <c r="G41462" s="889"/>
    </row>
    <row r="41463" spans="7:7" ht="10.5" customHeight="1" x14ac:dyDescent="0.2">
      <c r="G41463" s="889"/>
    </row>
    <row r="41464" spans="7:7" ht="10.5" customHeight="1" x14ac:dyDescent="0.2">
      <c r="G41464" s="889"/>
    </row>
    <row r="41465" spans="7:7" ht="10.5" customHeight="1" x14ac:dyDescent="0.2">
      <c r="G41465" s="889"/>
    </row>
    <row r="41466" spans="7:7" ht="10.5" customHeight="1" x14ac:dyDescent="0.2">
      <c r="G41466" s="889"/>
    </row>
    <row r="41467" spans="7:7" ht="10.5" customHeight="1" x14ac:dyDescent="0.2">
      <c r="G41467" s="889"/>
    </row>
    <row r="41468" spans="7:7" ht="10.5" customHeight="1" x14ac:dyDescent="0.2">
      <c r="G41468" s="889"/>
    </row>
    <row r="41469" spans="7:7" ht="10.5" customHeight="1" x14ac:dyDescent="0.2">
      <c r="G41469" s="889"/>
    </row>
    <row r="41470" spans="7:7" ht="10.5" customHeight="1" x14ac:dyDescent="0.2">
      <c r="G41470" s="889"/>
    </row>
    <row r="41471" spans="7:7" ht="10.5" customHeight="1" x14ac:dyDescent="0.2">
      <c r="G41471" s="889"/>
    </row>
    <row r="41472" spans="7:7" ht="10.5" customHeight="1" x14ac:dyDescent="0.2">
      <c r="G41472" s="889"/>
    </row>
    <row r="41473" spans="7:7" ht="10.5" customHeight="1" x14ac:dyDescent="0.2">
      <c r="G41473" s="889"/>
    </row>
    <row r="41474" spans="7:7" ht="10.5" customHeight="1" x14ac:dyDescent="0.2">
      <c r="G41474" s="889"/>
    </row>
    <row r="41475" spans="7:7" ht="10.5" customHeight="1" x14ac:dyDescent="0.2">
      <c r="G41475" s="889"/>
    </row>
    <row r="41476" spans="7:7" ht="10.5" customHeight="1" x14ac:dyDescent="0.2">
      <c r="G41476" s="889"/>
    </row>
    <row r="41477" spans="7:7" ht="10.5" customHeight="1" x14ac:dyDescent="0.2">
      <c r="G41477" s="889"/>
    </row>
    <row r="41478" spans="7:7" ht="10.5" customHeight="1" x14ac:dyDescent="0.2">
      <c r="G41478" s="889"/>
    </row>
    <row r="41479" spans="7:7" ht="10.5" customHeight="1" x14ac:dyDescent="0.2">
      <c r="G41479" s="889"/>
    </row>
    <row r="41480" spans="7:7" ht="10.5" customHeight="1" x14ac:dyDescent="0.2">
      <c r="G41480" s="889"/>
    </row>
    <row r="41481" spans="7:7" ht="10.5" customHeight="1" x14ac:dyDescent="0.2">
      <c r="G41481" s="889"/>
    </row>
    <row r="41482" spans="7:7" ht="10.5" customHeight="1" x14ac:dyDescent="0.2">
      <c r="G41482" s="889"/>
    </row>
    <row r="41483" spans="7:7" ht="10.5" customHeight="1" x14ac:dyDescent="0.2">
      <c r="G41483" s="889"/>
    </row>
    <row r="41484" spans="7:7" ht="10.5" customHeight="1" x14ac:dyDescent="0.2">
      <c r="G41484" s="889"/>
    </row>
    <row r="41485" spans="7:7" ht="10.5" customHeight="1" x14ac:dyDescent="0.2">
      <c r="G41485" s="889"/>
    </row>
    <row r="41486" spans="7:7" ht="10.5" customHeight="1" x14ac:dyDescent="0.2">
      <c r="G41486" s="889"/>
    </row>
    <row r="41487" spans="7:7" ht="10.5" customHeight="1" x14ac:dyDescent="0.2">
      <c r="G41487" s="889"/>
    </row>
    <row r="41488" spans="7:7" ht="10.5" customHeight="1" x14ac:dyDescent="0.2">
      <c r="G41488" s="889"/>
    </row>
    <row r="41489" spans="7:7" ht="10.5" customHeight="1" x14ac:dyDescent="0.2">
      <c r="G41489" s="889"/>
    </row>
    <row r="41490" spans="7:7" ht="10.5" customHeight="1" x14ac:dyDescent="0.2">
      <c r="G41490" s="889"/>
    </row>
    <row r="41491" spans="7:7" ht="10.5" customHeight="1" x14ac:dyDescent="0.2">
      <c r="G41491" s="889"/>
    </row>
    <row r="41492" spans="7:7" ht="10.5" customHeight="1" x14ac:dyDescent="0.2">
      <c r="G41492" s="889"/>
    </row>
    <row r="41493" spans="7:7" ht="10.5" customHeight="1" x14ac:dyDescent="0.2">
      <c r="G41493" s="889"/>
    </row>
    <row r="41494" spans="7:7" ht="10.5" customHeight="1" x14ac:dyDescent="0.2">
      <c r="G41494" s="889"/>
    </row>
    <row r="41495" spans="7:7" ht="10.5" customHeight="1" x14ac:dyDescent="0.2">
      <c r="G41495" s="889"/>
    </row>
    <row r="41496" spans="7:7" ht="10.5" customHeight="1" x14ac:dyDescent="0.2">
      <c r="G41496" s="889"/>
    </row>
    <row r="41497" spans="7:7" ht="10.5" customHeight="1" x14ac:dyDescent="0.2">
      <c r="G41497" s="889"/>
    </row>
    <row r="41498" spans="7:7" ht="10.5" customHeight="1" x14ac:dyDescent="0.2">
      <c r="G41498" s="889"/>
    </row>
    <row r="41499" spans="7:7" ht="10.5" customHeight="1" x14ac:dyDescent="0.2">
      <c r="G41499" s="889"/>
    </row>
    <row r="41500" spans="7:7" ht="10.5" customHeight="1" x14ac:dyDescent="0.2">
      <c r="G41500" s="889"/>
    </row>
    <row r="41501" spans="7:7" ht="10.5" customHeight="1" x14ac:dyDescent="0.2">
      <c r="G41501" s="889"/>
    </row>
    <row r="41502" spans="7:7" ht="10.5" customHeight="1" x14ac:dyDescent="0.2">
      <c r="G41502" s="889"/>
    </row>
    <row r="41503" spans="7:7" ht="10.5" customHeight="1" x14ac:dyDescent="0.2">
      <c r="G41503" s="889"/>
    </row>
    <row r="41504" spans="7:7" ht="10.5" customHeight="1" x14ac:dyDescent="0.2">
      <c r="G41504" s="889"/>
    </row>
    <row r="41505" spans="7:7" ht="10.5" customHeight="1" x14ac:dyDescent="0.2">
      <c r="G41505" s="889"/>
    </row>
    <row r="41506" spans="7:7" ht="10.5" customHeight="1" x14ac:dyDescent="0.2">
      <c r="G41506" s="889"/>
    </row>
    <row r="41507" spans="7:7" ht="10.5" customHeight="1" x14ac:dyDescent="0.2">
      <c r="G41507" s="889"/>
    </row>
    <row r="41508" spans="7:7" ht="10.5" customHeight="1" x14ac:dyDescent="0.2">
      <c r="G41508" s="889"/>
    </row>
    <row r="41509" spans="7:7" ht="10.5" customHeight="1" x14ac:dyDescent="0.2">
      <c r="G41509" s="889"/>
    </row>
    <row r="41510" spans="7:7" ht="10.5" customHeight="1" x14ac:dyDescent="0.2">
      <c r="G41510" s="889"/>
    </row>
    <row r="41511" spans="7:7" ht="10.5" customHeight="1" x14ac:dyDescent="0.2">
      <c r="G41511" s="889"/>
    </row>
    <row r="41512" spans="7:7" ht="10.5" customHeight="1" x14ac:dyDescent="0.2">
      <c r="G41512" s="889"/>
    </row>
    <row r="41513" spans="7:7" ht="10.5" customHeight="1" x14ac:dyDescent="0.2">
      <c r="G41513" s="889"/>
    </row>
    <row r="41514" spans="7:7" ht="10.5" customHeight="1" x14ac:dyDescent="0.2">
      <c r="G41514" s="889"/>
    </row>
    <row r="41515" spans="7:7" ht="10.5" customHeight="1" x14ac:dyDescent="0.2">
      <c r="G41515" s="889"/>
    </row>
    <row r="41516" spans="7:7" ht="10.5" customHeight="1" x14ac:dyDescent="0.2">
      <c r="G41516" s="889"/>
    </row>
    <row r="41517" spans="7:7" ht="10.5" customHeight="1" x14ac:dyDescent="0.2">
      <c r="G41517" s="889"/>
    </row>
    <row r="41518" spans="7:7" ht="10.5" customHeight="1" x14ac:dyDescent="0.2">
      <c r="G41518" s="889"/>
    </row>
    <row r="41519" spans="7:7" ht="10.5" customHeight="1" x14ac:dyDescent="0.2">
      <c r="G41519" s="889"/>
    </row>
    <row r="41520" spans="7:7" ht="10.5" customHeight="1" x14ac:dyDescent="0.2">
      <c r="G41520" s="889"/>
    </row>
    <row r="41521" spans="7:7" ht="10.5" customHeight="1" x14ac:dyDescent="0.2">
      <c r="G41521" s="889"/>
    </row>
    <row r="41522" spans="7:7" ht="10.5" customHeight="1" x14ac:dyDescent="0.2">
      <c r="G41522" s="889"/>
    </row>
    <row r="41523" spans="7:7" ht="10.5" customHeight="1" x14ac:dyDescent="0.2">
      <c r="G41523" s="889"/>
    </row>
    <row r="41524" spans="7:7" ht="10.5" customHeight="1" x14ac:dyDescent="0.2">
      <c r="G41524" s="889"/>
    </row>
    <row r="41525" spans="7:7" ht="10.5" customHeight="1" x14ac:dyDescent="0.2">
      <c r="G41525" s="889"/>
    </row>
    <row r="41526" spans="7:7" ht="10.5" customHeight="1" x14ac:dyDescent="0.2">
      <c r="G41526" s="889"/>
    </row>
    <row r="41527" spans="7:7" ht="10.5" customHeight="1" x14ac:dyDescent="0.2">
      <c r="G41527" s="889"/>
    </row>
    <row r="41528" spans="7:7" ht="10.5" customHeight="1" x14ac:dyDescent="0.2">
      <c r="G41528" s="889"/>
    </row>
    <row r="41529" spans="7:7" ht="10.5" customHeight="1" x14ac:dyDescent="0.2">
      <c r="G41529" s="889"/>
    </row>
    <row r="41530" spans="7:7" ht="10.5" customHeight="1" x14ac:dyDescent="0.2">
      <c r="G41530" s="889"/>
    </row>
    <row r="41531" spans="7:7" ht="10.5" customHeight="1" x14ac:dyDescent="0.2">
      <c r="G41531" s="889"/>
    </row>
    <row r="41532" spans="7:7" ht="10.5" customHeight="1" x14ac:dyDescent="0.2">
      <c r="G41532" s="889"/>
    </row>
    <row r="41533" spans="7:7" ht="10.5" customHeight="1" x14ac:dyDescent="0.2">
      <c r="G41533" s="889"/>
    </row>
    <row r="41534" spans="7:7" ht="10.5" customHeight="1" x14ac:dyDescent="0.2">
      <c r="G41534" s="889"/>
    </row>
    <row r="41535" spans="7:7" ht="10.5" customHeight="1" x14ac:dyDescent="0.2">
      <c r="G41535" s="889"/>
    </row>
    <row r="41536" spans="7:7" ht="10.5" customHeight="1" x14ac:dyDescent="0.2">
      <c r="G41536" s="889"/>
    </row>
    <row r="41537" spans="7:7" ht="10.5" customHeight="1" x14ac:dyDescent="0.2">
      <c r="G41537" s="889"/>
    </row>
    <row r="41538" spans="7:7" ht="10.5" customHeight="1" x14ac:dyDescent="0.2">
      <c r="G41538" s="889"/>
    </row>
    <row r="41539" spans="7:7" ht="10.5" customHeight="1" x14ac:dyDescent="0.2">
      <c r="G41539" s="889"/>
    </row>
    <row r="41540" spans="7:7" ht="10.5" customHeight="1" x14ac:dyDescent="0.2">
      <c r="G41540" s="889"/>
    </row>
    <row r="41541" spans="7:7" ht="10.5" customHeight="1" x14ac:dyDescent="0.2">
      <c r="G41541" s="889"/>
    </row>
    <row r="41542" spans="7:7" ht="10.5" customHeight="1" x14ac:dyDescent="0.2">
      <c r="G41542" s="889"/>
    </row>
    <row r="41543" spans="7:7" ht="10.5" customHeight="1" x14ac:dyDescent="0.2">
      <c r="G41543" s="889"/>
    </row>
    <row r="41544" spans="7:7" ht="10.5" customHeight="1" x14ac:dyDescent="0.2">
      <c r="G41544" s="889"/>
    </row>
    <row r="41545" spans="7:7" ht="10.5" customHeight="1" x14ac:dyDescent="0.2">
      <c r="G41545" s="889"/>
    </row>
    <row r="41546" spans="7:7" ht="10.5" customHeight="1" x14ac:dyDescent="0.2">
      <c r="G41546" s="889"/>
    </row>
    <row r="41547" spans="7:7" ht="10.5" customHeight="1" x14ac:dyDescent="0.2">
      <c r="G41547" s="889"/>
    </row>
    <row r="41548" spans="7:7" ht="10.5" customHeight="1" x14ac:dyDescent="0.2">
      <c r="G41548" s="889"/>
    </row>
    <row r="41549" spans="7:7" ht="10.5" customHeight="1" x14ac:dyDescent="0.2">
      <c r="G41549" s="889"/>
    </row>
    <row r="41550" spans="7:7" ht="10.5" customHeight="1" x14ac:dyDescent="0.2">
      <c r="G41550" s="889"/>
    </row>
    <row r="41551" spans="7:7" ht="10.5" customHeight="1" x14ac:dyDescent="0.2">
      <c r="G41551" s="889"/>
    </row>
    <row r="41552" spans="7:7" ht="10.5" customHeight="1" x14ac:dyDescent="0.2">
      <c r="G41552" s="889"/>
    </row>
    <row r="41553" spans="7:7" ht="10.5" customHeight="1" x14ac:dyDescent="0.2">
      <c r="G41553" s="889"/>
    </row>
    <row r="41554" spans="7:7" ht="10.5" customHeight="1" x14ac:dyDescent="0.2">
      <c r="G41554" s="889"/>
    </row>
    <row r="41555" spans="7:7" ht="10.5" customHeight="1" x14ac:dyDescent="0.2">
      <c r="G41555" s="889"/>
    </row>
    <row r="41556" spans="7:7" ht="10.5" customHeight="1" x14ac:dyDescent="0.2">
      <c r="G41556" s="889"/>
    </row>
    <row r="41557" spans="7:7" ht="10.5" customHeight="1" x14ac:dyDescent="0.2">
      <c r="G41557" s="889"/>
    </row>
    <row r="41558" spans="7:7" ht="10.5" customHeight="1" x14ac:dyDescent="0.2">
      <c r="G41558" s="889"/>
    </row>
    <row r="41559" spans="7:7" ht="10.5" customHeight="1" x14ac:dyDescent="0.2">
      <c r="G41559" s="889"/>
    </row>
    <row r="41560" spans="7:7" ht="10.5" customHeight="1" x14ac:dyDescent="0.2">
      <c r="G41560" s="889"/>
    </row>
    <row r="41561" spans="7:7" ht="10.5" customHeight="1" x14ac:dyDescent="0.2">
      <c r="G41561" s="889"/>
    </row>
    <row r="41562" spans="7:7" ht="10.5" customHeight="1" x14ac:dyDescent="0.2">
      <c r="G41562" s="889"/>
    </row>
    <row r="41563" spans="7:7" ht="10.5" customHeight="1" x14ac:dyDescent="0.2">
      <c r="G41563" s="889"/>
    </row>
    <row r="41564" spans="7:7" ht="10.5" customHeight="1" x14ac:dyDescent="0.2">
      <c r="G41564" s="889"/>
    </row>
    <row r="41565" spans="7:7" ht="10.5" customHeight="1" x14ac:dyDescent="0.2">
      <c r="G41565" s="889"/>
    </row>
    <row r="41566" spans="7:7" ht="10.5" customHeight="1" x14ac:dyDescent="0.2">
      <c r="G41566" s="889"/>
    </row>
    <row r="41567" spans="7:7" ht="10.5" customHeight="1" x14ac:dyDescent="0.2">
      <c r="G41567" s="889"/>
    </row>
    <row r="41568" spans="7:7" ht="10.5" customHeight="1" x14ac:dyDescent="0.2">
      <c r="G41568" s="889"/>
    </row>
    <row r="41569" spans="7:7" ht="10.5" customHeight="1" x14ac:dyDescent="0.2">
      <c r="G41569" s="889"/>
    </row>
    <row r="41570" spans="7:7" ht="10.5" customHeight="1" x14ac:dyDescent="0.2">
      <c r="G41570" s="889"/>
    </row>
    <row r="41571" spans="7:7" ht="10.5" customHeight="1" x14ac:dyDescent="0.2">
      <c r="G41571" s="889"/>
    </row>
    <row r="41572" spans="7:7" ht="10.5" customHeight="1" x14ac:dyDescent="0.2">
      <c r="G41572" s="889"/>
    </row>
    <row r="41573" spans="7:7" ht="10.5" customHeight="1" x14ac:dyDescent="0.2">
      <c r="G41573" s="889"/>
    </row>
    <row r="41574" spans="7:7" ht="10.5" customHeight="1" x14ac:dyDescent="0.2">
      <c r="G41574" s="889"/>
    </row>
    <row r="41575" spans="7:7" ht="10.5" customHeight="1" x14ac:dyDescent="0.2">
      <c r="G41575" s="889"/>
    </row>
    <row r="41576" spans="7:7" ht="10.5" customHeight="1" x14ac:dyDescent="0.2">
      <c r="G41576" s="889"/>
    </row>
    <row r="41577" spans="7:7" ht="10.5" customHeight="1" x14ac:dyDescent="0.2">
      <c r="G41577" s="889"/>
    </row>
    <row r="41578" spans="7:7" ht="10.5" customHeight="1" x14ac:dyDescent="0.2">
      <c r="G41578" s="889"/>
    </row>
    <row r="41579" spans="7:7" ht="10.5" customHeight="1" x14ac:dyDescent="0.2">
      <c r="G41579" s="889"/>
    </row>
    <row r="41580" spans="7:7" ht="10.5" customHeight="1" x14ac:dyDescent="0.2">
      <c r="G41580" s="889"/>
    </row>
    <row r="41581" spans="7:7" ht="10.5" customHeight="1" x14ac:dyDescent="0.2">
      <c r="G41581" s="889"/>
    </row>
    <row r="41582" spans="7:7" ht="10.5" customHeight="1" x14ac:dyDescent="0.2">
      <c r="G41582" s="889"/>
    </row>
    <row r="41583" spans="7:7" ht="10.5" customHeight="1" x14ac:dyDescent="0.2">
      <c r="G41583" s="889"/>
    </row>
    <row r="41584" spans="7:7" ht="10.5" customHeight="1" x14ac:dyDescent="0.2">
      <c r="G41584" s="889"/>
    </row>
    <row r="41585" spans="7:7" ht="10.5" customHeight="1" x14ac:dyDescent="0.2">
      <c r="G41585" s="889"/>
    </row>
    <row r="41586" spans="7:7" ht="10.5" customHeight="1" x14ac:dyDescent="0.2">
      <c r="G41586" s="889"/>
    </row>
    <row r="41587" spans="7:7" ht="10.5" customHeight="1" x14ac:dyDescent="0.2">
      <c r="G41587" s="889"/>
    </row>
    <row r="41588" spans="7:7" ht="10.5" customHeight="1" x14ac:dyDescent="0.2">
      <c r="G41588" s="889"/>
    </row>
    <row r="41589" spans="7:7" ht="10.5" customHeight="1" x14ac:dyDescent="0.2">
      <c r="G41589" s="889"/>
    </row>
    <row r="41590" spans="7:7" ht="10.5" customHeight="1" x14ac:dyDescent="0.2">
      <c r="G41590" s="889"/>
    </row>
    <row r="41591" spans="7:7" ht="10.5" customHeight="1" x14ac:dyDescent="0.2">
      <c r="G41591" s="889"/>
    </row>
    <row r="41592" spans="7:7" ht="10.5" customHeight="1" x14ac:dyDescent="0.2">
      <c r="G41592" s="889"/>
    </row>
    <row r="41593" spans="7:7" ht="10.5" customHeight="1" x14ac:dyDescent="0.2">
      <c r="G41593" s="889"/>
    </row>
    <row r="41594" spans="7:7" ht="10.5" customHeight="1" x14ac:dyDescent="0.2">
      <c r="G41594" s="889"/>
    </row>
    <row r="41595" spans="7:7" ht="10.5" customHeight="1" x14ac:dyDescent="0.2">
      <c r="G41595" s="889"/>
    </row>
    <row r="41596" spans="7:7" ht="10.5" customHeight="1" x14ac:dyDescent="0.2">
      <c r="G41596" s="889"/>
    </row>
    <row r="41597" spans="7:7" ht="10.5" customHeight="1" x14ac:dyDescent="0.2">
      <c r="G41597" s="889"/>
    </row>
    <row r="41598" spans="7:7" ht="10.5" customHeight="1" x14ac:dyDescent="0.2">
      <c r="G41598" s="889"/>
    </row>
    <row r="41599" spans="7:7" ht="10.5" customHeight="1" x14ac:dyDescent="0.2">
      <c r="G41599" s="889"/>
    </row>
    <row r="41600" spans="7:7" ht="10.5" customHeight="1" x14ac:dyDescent="0.2">
      <c r="G41600" s="889"/>
    </row>
    <row r="41601" spans="7:7" ht="10.5" customHeight="1" x14ac:dyDescent="0.2">
      <c r="G41601" s="889"/>
    </row>
    <row r="41602" spans="7:7" ht="10.5" customHeight="1" x14ac:dyDescent="0.2">
      <c r="G41602" s="889"/>
    </row>
    <row r="41603" spans="7:7" ht="10.5" customHeight="1" x14ac:dyDescent="0.2">
      <c r="G41603" s="889"/>
    </row>
    <row r="41604" spans="7:7" ht="10.5" customHeight="1" x14ac:dyDescent="0.2">
      <c r="G41604" s="889"/>
    </row>
    <row r="41605" spans="7:7" ht="10.5" customHeight="1" x14ac:dyDescent="0.2">
      <c r="G41605" s="889"/>
    </row>
    <row r="41606" spans="7:7" ht="10.5" customHeight="1" x14ac:dyDescent="0.2">
      <c r="G41606" s="889"/>
    </row>
    <row r="41607" spans="7:7" ht="10.5" customHeight="1" x14ac:dyDescent="0.2">
      <c r="G41607" s="889"/>
    </row>
    <row r="41608" spans="7:7" ht="10.5" customHeight="1" x14ac:dyDescent="0.2">
      <c r="G41608" s="889"/>
    </row>
    <row r="41609" spans="7:7" ht="10.5" customHeight="1" x14ac:dyDescent="0.2">
      <c r="G41609" s="889"/>
    </row>
    <row r="41610" spans="7:7" ht="10.5" customHeight="1" x14ac:dyDescent="0.2">
      <c r="G41610" s="889"/>
    </row>
    <row r="41611" spans="7:7" ht="10.5" customHeight="1" x14ac:dyDescent="0.2">
      <c r="G41611" s="889"/>
    </row>
    <row r="41612" spans="7:7" ht="10.5" customHeight="1" x14ac:dyDescent="0.2">
      <c r="G41612" s="889"/>
    </row>
    <row r="41613" spans="7:7" ht="10.5" customHeight="1" x14ac:dyDescent="0.2">
      <c r="G41613" s="889"/>
    </row>
    <row r="41614" spans="7:7" ht="10.5" customHeight="1" x14ac:dyDescent="0.2">
      <c r="G41614" s="889"/>
    </row>
    <row r="41615" spans="7:7" ht="10.5" customHeight="1" x14ac:dyDescent="0.2">
      <c r="G41615" s="889"/>
    </row>
    <row r="41616" spans="7:7" ht="10.5" customHeight="1" x14ac:dyDescent="0.2">
      <c r="G41616" s="889"/>
    </row>
    <row r="41617" spans="7:7" ht="10.5" customHeight="1" x14ac:dyDescent="0.2">
      <c r="G41617" s="889"/>
    </row>
    <row r="41618" spans="7:7" ht="10.5" customHeight="1" x14ac:dyDescent="0.2">
      <c r="G41618" s="889"/>
    </row>
    <row r="41619" spans="7:7" ht="10.5" customHeight="1" x14ac:dyDescent="0.2">
      <c r="G41619" s="889"/>
    </row>
    <row r="41620" spans="7:7" ht="10.5" customHeight="1" x14ac:dyDescent="0.2">
      <c r="G41620" s="889"/>
    </row>
    <row r="41621" spans="7:7" ht="10.5" customHeight="1" x14ac:dyDescent="0.2">
      <c r="G41621" s="889"/>
    </row>
    <row r="41622" spans="7:7" ht="10.5" customHeight="1" x14ac:dyDescent="0.2">
      <c r="G41622" s="889"/>
    </row>
    <row r="41623" spans="7:7" ht="10.5" customHeight="1" x14ac:dyDescent="0.2">
      <c r="G41623" s="889"/>
    </row>
    <row r="41624" spans="7:7" ht="10.5" customHeight="1" x14ac:dyDescent="0.2">
      <c r="G41624" s="889"/>
    </row>
    <row r="41625" spans="7:7" ht="10.5" customHeight="1" x14ac:dyDescent="0.2">
      <c r="G41625" s="889"/>
    </row>
    <row r="41626" spans="7:7" ht="10.5" customHeight="1" x14ac:dyDescent="0.2">
      <c r="G41626" s="889"/>
    </row>
    <row r="41627" spans="7:7" ht="10.5" customHeight="1" x14ac:dyDescent="0.2">
      <c r="G41627" s="889"/>
    </row>
    <row r="41628" spans="7:7" ht="10.5" customHeight="1" x14ac:dyDescent="0.2">
      <c r="G41628" s="889"/>
    </row>
    <row r="41629" spans="7:7" ht="10.5" customHeight="1" x14ac:dyDescent="0.2">
      <c r="G41629" s="889"/>
    </row>
    <row r="41630" spans="7:7" ht="10.5" customHeight="1" x14ac:dyDescent="0.2">
      <c r="G41630" s="889"/>
    </row>
    <row r="41631" spans="7:7" ht="10.5" customHeight="1" x14ac:dyDescent="0.2">
      <c r="G41631" s="889"/>
    </row>
    <row r="41632" spans="7:7" ht="10.5" customHeight="1" x14ac:dyDescent="0.2">
      <c r="G41632" s="889"/>
    </row>
    <row r="41633" spans="7:7" ht="10.5" customHeight="1" x14ac:dyDescent="0.2">
      <c r="G41633" s="889"/>
    </row>
    <row r="41634" spans="7:7" ht="10.5" customHeight="1" x14ac:dyDescent="0.2">
      <c r="G41634" s="889"/>
    </row>
    <row r="41635" spans="7:7" ht="10.5" customHeight="1" x14ac:dyDescent="0.2">
      <c r="G41635" s="889"/>
    </row>
    <row r="41636" spans="7:7" ht="10.5" customHeight="1" x14ac:dyDescent="0.2">
      <c r="G41636" s="889"/>
    </row>
    <row r="41637" spans="7:7" ht="10.5" customHeight="1" x14ac:dyDescent="0.2">
      <c r="G41637" s="889"/>
    </row>
    <row r="41638" spans="7:7" ht="10.5" customHeight="1" x14ac:dyDescent="0.2">
      <c r="G41638" s="889"/>
    </row>
    <row r="41639" spans="7:7" ht="10.5" customHeight="1" x14ac:dyDescent="0.2">
      <c r="G41639" s="889"/>
    </row>
    <row r="41640" spans="7:7" ht="10.5" customHeight="1" x14ac:dyDescent="0.2">
      <c r="G41640" s="889"/>
    </row>
    <row r="41641" spans="7:7" ht="10.5" customHeight="1" x14ac:dyDescent="0.2">
      <c r="G41641" s="889"/>
    </row>
    <row r="41642" spans="7:7" ht="10.5" customHeight="1" x14ac:dyDescent="0.2">
      <c r="G41642" s="889"/>
    </row>
    <row r="41643" spans="7:7" ht="10.5" customHeight="1" x14ac:dyDescent="0.2">
      <c r="G41643" s="889"/>
    </row>
    <row r="41644" spans="7:7" ht="10.5" customHeight="1" x14ac:dyDescent="0.2">
      <c r="G41644" s="889"/>
    </row>
    <row r="41645" spans="7:7" ht="10.5" customHeight="1" x14ac:dyDescent="0.2">
      <c r="G41645" s="889"/>
    </row>
    <row r="41646" spans="7:7" ht="10.5" customHeight="1" x14ac:dyDescent="0.2">
      <c r="G41646" s="889"/>
    </row>
    <row r="41647" spans="7:7" ht="10.5" customHeight="1" x14ac:dyDescent="0.2">
      <c r="G41647" s="889"/>
    </row>
    <row r="41648" spans="7:7" ht="10.5" customHeight="1" x14ac:dyDescent="0.2">
      <c r="G41648" s="889"/>
    </row>
    <row r="41649" spans="7:7" ht="10.5" customHeight="1" x14ac:dyDescent="0.2">
      <c r="G41649" s="889"/>
    </row>
    <row r="41650" spans="7:7" ht="10.5" customHeight="1" x14ac:dyDescent="0.2">
      <c r="G41650" s="889"/>
    </row>
    <row r="41651" spans="7:7" ht="10.5" customHeight="1" x14ac:dyDescent="0.2">
      <c r="G41651" s="889"/>
    </row>
    <row r="41652" spans="7:7" ht="10.5" customHeight="1" x14ac:dyDescent="0.2">
      <c r="G41652" s="889"/>
    </row>
    <row r="41653" spans="7:7" ht="10.5" customHeight="1" x14ac:dyDescent="0.2">
      <c r="G41653" s="889"/>
    </row>
    <row r="41654" spans="7:7" ht="10.5" customHeight="1" x14ac:dyDescent="0.2">
      <c r="G41654" s="889"/>
    </row>
    <row r="41655" spans="7:7" ht="10.5" customHeight="1" x14ac:dyDescent="0.2">
      <c r="G41655" s="889"/>
    </row>
    <row r="41656" spans="7:7" ht="10.5" customHeight="1" x14ac:dyDescent="0.2">
      <c r="G41656" s="889"/>
    </row>
    <row r="41657" spans="7:7" ht="10.5" customHeight="1" x14ac:dyDescent="0.2">
      <c r="G41657" s="889"/>
    </row>
    <row r="41658" spans="7:7" ht="10.5" customHeight="1" x14ac:dyDescent="0.2">
      <c r="G41658" s="889"/>
    </row>
    <row r="41659" spans="7:7" ht="10.5" customHeight="1" x14ac:dyDescent="0.2">
      <c r="G41659" s="889"/>
    </row>
    <row r="41660" spans="7:7" ht="10.5" customHeight="1" x14ac:dyDescent="0.2">
      <c r="G41660" s="889"/>
    </row>
    <row r="41661" spans="7:7" ht="10.5" customHeight="1" x14ac:dyDescent="0.2">
      <c r="G41661" s="889"/>
    </row>
    <row r="41662" spans="7:7" ht="10.5" customHeight="1" x14ac:dyDescent="0.2">
      <c r="G41662" s="889"/>
    </row>
    <row r="41663" spans="7:7" ht="10.5" customHeight="1" x14ac:dyDescent="0.2">
      <c r="G41663" s="889"/>
    </row>
    <row r="41664" spans="7:7" ht="10.5" customHeight="1" x14ac:dyDescent="0.2">
      <c r="G41664" s="889"/>
    </row>
    <row r="41665" spans="7:7" ht="10.5" customHeight="1" x14ac:dyDescent="0.2">
      <c r="G41665" s="889"/>
    </row>
    <row r="41666" spans="7:7" ht="10.5" customHeight="1" x14ac:dyDescent="0.2">
      <c r="G41666" s="889"/>
    </row>
    <row r="41667" spans="7:7" ht="10.5" customHeight="1" x14ac:dyDescent="0.2">
      <c r="G41667" s="889"/>
    </row>
    <row r="41668" spans="7:7" ht="10.5" customHeight="1" x14ac:dyDescent="0.2">
      <c r="G41668" s="889"/>
    </row>
    <row r="41669" spans="7:7" ht="10.5" customHeight="1" x14ac:dyDescent="0.2">
      <c r="G41669" s="889"/>
    </row>
    <row r="41670" spans="7:7" ht="10.5" customHeight="1" x14ac:dyDescent="0.2">
      <c r="G41670" s="889"/>
    </row>
    <row r="41671" spans="7:7" ht="10.5" customHeight="1" x14ac:dyDescent="0.2">
      <c r="G41671" s="889"/>
    </row>
    <row r="41672" spans="7:7" ht="10.5" customHeight="1" x14ac:dyDescent="0.2">
      <c r="G41672" s="889"/>
    </row>
    <row r="41673" spans="7:7" ht="10.5" customHeight="1" x14ac:dyDescent="0.2">
      <c r="G41673" s="889"/>
    </row>
    <row r="41674" spans="7:7" ht="10.5" customHeight="1" x14ac:dyDescent="0.2">
      <c r="G41674" s="889"/>
    </row>
    <row r="41675" spans="7:7" ht="10.5" customHeight="1" x14ac:dyDescent="0.2">
      <c r="G41675" s="889"/>
    </row>
    <row r="41676" spans="7:7" ht="10.5" customHeight="1" x14ac:dyDescent="0.2">
      <c r="G41676" s="889"/>
    </row>
    <row r="41677" spans="7:7" ht="10.5" customHeight="1" x14ac:dyDescent="0.2">
      <c r="G41677" s="889"/>
    </row>
    <row r="41678" spans="7:7" ht="10.5" customHeight="1" x14ac:dyDescent="0.2">
      <c r="G41678" s="889"/>
    </row>
    <row r="41679" spans="7:7" ht="10.5" customHeight="1" x14ac:dyDescent="0.2">
      <c r="G41679" s="889"/>
    </row>
    <row r="41680" spans="7:7" ht="10.5" customHeight="1" x14ac:dyDescent="0.2">
      <c r="G41680" s="889"/>
    </row>
    <row r="41681" spans="7:7" ht="10.5" customHeight="1" x14ac:dyDescent="0.2">
      <c r="G41681" s="889"/>
    </row>
    <row r="41682" spans="7:7" ht="10.5" customHeight="1" x14ac:dyDescent="0.2">
      <c r="G41682" s="889"/>
    </row>
    <row r="41683" spans="7:7" ht="10.5" customHeight="1" x14ac:dyDescent="0.2">
      <c r="G41683" s="889"/>
    </row>
    <row r="41684" spans="7:7" ht="10.5" customHeight="1" x14ac:dyDescent="0.2">
      <c r="G41684" s="889"/>
    </row>
    <row r="41685" spans="7:7" ht="10.5" customHeight="1" x14ac:dyDescent="0.2">
      <c r="G41685" s="889"/>
    </row>
    <row r="41686" spans="7:7" ht="10.5" customHeight="1" x14ac:dyDescent="0.2">
      <c r="G41686" s="889"/>
    </row>
    <row r="41687" spans="7:7" ht="10.5" customHeight="1" x14ac:dyDescent="0.2">
      <c r="G41687" s="889"/>
    </row>
    <row r="41688" spans="7:7" ht="10.5" customHeight="1" x14ac:dyDescent="0.2">
      <c r="G41688" s="889"/>
    </row>
    <row r="41689" spans="7:7" ht="10.5" customHeight="1" x14ac:dyDescent="0.2">
      <c r="G41689" s="889"/>
    </row>
    <row r="41690" spans="7:7" ht="10.5" customHeight="1" x14ac:dyDescent="0.2">
      <c r="G41690" s="889"/>
    </row>
    <row r="41691" spans="7:7" ht="10.5" customHeight="1" x14ac:dyDescent="0.2">
      <c r="G41691" s="889"/>
    </row>
    <row r="41692" spans="7:7" ht="10.5" customHeight="1" x14ac:dyDescent="0.2">
      <c r="G41692" s="889"/>
    </row>
    <row r="41693" spans="7:7" ht="10.5" customHeight="1" x14ac:dyDescent="0.2">
      <c r="G41693" s="889"/>
    </row>
    <row r="41694" spans="7:7" ht="10.5" customHeight="1" x14ac:dyDescent="0.2">
      <c r="G41694" s="889"/>
    </row>
    <row r="41695" spans="7:7" ht="10.5" customHeight="1" x14ac:dyDescent="0.2">
      <c r="G41695" s="889"/>
    </row>
    <row r="41696" spans="7:7" ht="10.5" customHeight="1" x14ac:dyDescent="0.2">
      <c r="G41696" s="889"/>
    </row>
    <row r="41697" spans="7:7" ht="10.5" customHeight="1" x14ac:dyDescent="0.2">
      <c r="G41697" s="889"/>
    </row>
    <row r="41698" spans="7:7" ht="10.5" customHeight="1" x14ac:dyDescent="0.2">
      <c r="G41698" s="889"/>
    </row>
    <row r="41699" spans="7:7" ht="10.5" customHeight="1" x14ac:dyDescent="0.2">
      <c r="G41699" s="889"/>
    </row>
    <row r="41700" spans="7:7" ht="10.5" customHeight="1" x14ac:dyDescent="0.2">
      <c r="G41700" s="889"/>
    </row>
    <row r="41701" spans="7:7" ht="10.5" customHeight="1" x14ac:dyDescent="0.2">
      <c r="G41701" s="889"/>
    </row>
    <row r="41702" spans="7:7" ht="10.5" customHeight="1" x14ac:dyDescent="0.2">
      <c r="G41702" s="889"/>
    </row>
    <row r="41703" spans="7:7" ht="10.5" customHeight="1" x14ac:dyDescent="0.2">
      <c r="G41703" s="889"/>
    </row>
    <row r="41704" spans="7:7" ht="10.5" customHeight="1" x14ac:dyDescent="0.2">
      <c r="G41704" s="889"/>
    </row>
    <row r="41705" spans="7:7" ht="10.5" customHeight="1" x14ac:dyDescent="0.2">
      <c r="G41705" s="889"/>
    </row>
    <row r="41706" spans="7:7" ht="10.5" customHeight="1" x14ac:dyDescent="0.2">
      <c r="G41706" s="889"/>
    </row>
    <row r="41707" spans="7:7" ht="10.5" customHeight="1" x14ac:dyDescent="0.2">
      <c r="G41707" s="889"/>
    </row>
    <row r="41708" spans="7:7" ht="10.5" customHeight="1" x14ac:dyDescent="0.2">
      <c r="G41708" s="889"/>
    </row>
    <row r="41709" spans="7:7" ht="10.5" customHeight="1" x14ac:dyDescent="0.2">
      <c r="G41709" s="889"/>
    </row>
    <row r="41710" spans="7:7" ht="10.5" customHeight="1" x14ac:dyDescent="0.2">
      <c r="G41710" s="889"/>
    </row>
    <row r="41711" spans="7:7" ht="10.5" customHeight="1" x14ac:dyDescent="0.2">
      <c r="G41711" s="889"/>
    </row>
    <row r="41712" spans="7:7" ht="10.5" customHeight="1" x14ac:dyDescent="0.2">
      <c r="G41712" s="889"/>
    </row>
    <row r="41713" spans="7:7" ht="10.5" customHeight="1" x14ac:dyDescent="0.2">
      <c r="G41713" s="889"/>
    </row>
    <row r="41714" spans="7:7" ht="10.5" customHeight="1" x14ac:dyDescent="0.2">
      <c r="G41714" s="889"/>
    </row>
    <row r="41715" spans="7:7" ht="10.5" customHeight="1" x14ac:dyDescent="0.2">
      <c r="G41715" s="889"/>
    </row>
    <row r="41716" spans="7:7" ht="10.5" customHeight="1" x14ac:dyDescent="0.2">
      <c r="G41716" s="889"/>
    </row>
    <row r="41717" spans="7:7" ht="10.5" customHeight="1" x14ac:dyDescent="0.2">
      <c r="G41717" s="889"/>
    </row>
    <row r="41718" spans="7:7" ht="10.5" customHeight="1" x14ac:dyDescent="0.2">
      <c r="G41718" s="889"/>
    </row>
    <row r="41719" spans="7:7" ht="10.5" customHeight="1" x14ac:dyDescent="0.2">
      <c r="G41719" s="889"/>
    </row>
    <row r="41720" spans="7:7" ht="10.5" customHeight="1" x14ac:dyDescent="0.2">
      <c r="G41720" s="889"/>
    </row>
    <row r="41721" spans="7:7" ht="10.5" customHeight="1" x14ac:dyDescent="0.2">
      <c r="G41721" s="889"/>
    </row>
    <row r="41722" spans="7:7" ht="10.5" customHeight="1" x14ac:dyDescent="0.2">
      <c r="G41722" s="889"/>
    </row>
    <row r="41723" spans="7:7" ht="10.5" customHeight="1" x14ac:dyDescent="0.2">
      <c r="G41723" s="889"/>
    </row>
    <row r="41724" spans="7:7" ht="10.5" customHeight="1" x14ac:dyDescent="0.2">
      <c r="G41724" s="889"/>
    </row>
    <row r="41725" spans="7:7" ht="10.5" customHeight="1" x14ac:dyDescent="0.2">
      <c r="G41725" s="889"/>
    </row>
    <row r="41726" spans="7:7" ht="10.5" customHeight="1" x14ac:dyDescent="0.2">
      <c r="G41726" s="889"/>
    </row>
    <row r="41727" spans="7:7" ht="10.5" customHeight="1" x14ac:dyDescent="0.2">
      <c r="G41727" s="889"/>
    </row>
    <row r="41728" spans="7:7" ht="10.5" customHeight="1" x14ac:dyDescent="0.2">
      <c r="G41728" s="889"/>
    </row>
    <row r="41729" spans="7:7" ht="10.5" customHeight="1" x14ac:dyDescent="0.2">
      <c r="G41729" s="889"/>
    </row>
    <row r="41730" spans="7:7" ht="10.5" customHeight="1" x14ac:dyDescent="0.2">
      <c r="G41730" s="889"/>
    </row>
    <row r="41731" spans="7:7" ht="10.5" customHeight="1" x14ac:dyDescent="0.2">
      <c r="G41731" s="889"/>
    </row>
    <row r="41732" spans="7:7" ht="10.5" customHeight="1" x14ac:dyDescent="0.2">
      <c r="G41732" s="889"/>
    </row>
    <row r="41733" spans="7:7" ht="10.5" customHeight="1" x14ac:dyDescent="0.2">
      <c r="G41733" s="889"/>
    </row>
    <row r="41734" spans="7:7" ht="10.5" customHeight="1" x14ac:dyDescent="0.2">
      <c r="G41734" s="889"/>
    </row>
    <row r="41735" spans="7:7" ht="10.5" customHeight="1" x14ac:dyDescent="0.2">
      <c r="G41735" s="889"/>
    </row>
    <row r="41736" spans="7:7" ht="10.5" customHeight="1" x14ac:dyDescent="0.2">
      <c r="G41736" s="889"/>
    </row>
    <row r="41737" spans="7:7" ht="10.5" customHeight="1" x14ac:dyDescent="0.2">
      <c r="G41737" s="889"/>
    </row>
    <row r="41738" spans="7:7" ht="10.5" customHeight="1" x14ac:dyDescent="0.2">
      <c r="G41738" s="889"/>
    </row>
    <row r="41739" spans="7:7" ht="10.5" customHeight="1" x14ac:dyDescent="0.2">
      <c r="G41739" s="889"/>
    </row>
    <row r="41740" spans="7:7" ht="10.5" customHeight="1" x14ac:dyDescent="0.2">
      <c r="G41740" s="889"/>
    </row>
    <row r="41741" spans="7:7" ht="10.5" customHeight="1" x14ac:dyDescent="0.2">
      <c r="G41741" s="889"/>
    </row>
    <row r="41742" spans="7:7" ht="10.5" customHeight="1" x14ac:dyDescent="0.2">
      <c r="G41742" s="889"/>
    </row>
    <row r="41743" spans="7:7" ht="10.5" customHeight="1" x14ac:dyDescent="0.2">
      <c r="G41743" s="889"/>
    </row>
    <row r="41744" spans="7:7" ht="10.5" customHeight="1" x14ac:dyDescent="0.2">
      <c r="G41744" s="889"/>
    </row>
    <row r="41745" spans="7:7" ht="10.5" customHeight="1" x14ac:dyDescent="0.2">
      <c r="G41745" s="889"/>
    </row>
    <row r="41746" spans="7:7" ht="10.5" customHeight="1" x14ac:dyDescent="0.2">
      <c r="G41746" s="889"/>
    </row>
    <row r="41747" spans="7:7" ht="10.5" customHeight="1" x14ac:dyDescent="0.2">
      <c r="G41747" s="889"/>
    </row>
    <row r="41748" spans="7:7" ht="10.5" customHeight="1" x14ac:dyDescent="0.2">
      <c r="G41748" s="889"/>
    </row>
    <row r="41749" spans="7:7" ht="10.5" customHeight="1" x14ac:dyDescent="0.2">
      <c r="G41749" s="889"/>
    </row>
    <row r="41750" spans="7:7" ht="10.5" customHeight="1" x14ac:dyDescent="0.2">
      <c r="G41750" s="889"/>
    </row>
    <row r="41751" spans="7:7" ht="10.5" customHeight="1" x14ac:dyDescent="0.2">
      <c r="G41751" s="889"/>
    </row>
    <row r="41752" spans="7:7" ht="10.5" customHeight="1" x14ac:dyDescent="0.2">
      <c r="G41752" s="889"/>
    </row>
    <row r="41753" spans="7:7" ht="10.5" customHeight="1" x14ac:dyDescent="0.2">
      <c r="G41753" s="889"/>
    </row>
    <row r="41754" spans="7:7" ht="10.5" customHeight="1" x14ac:dyDescent="0.2">
      <c r="G41754" s="889"/>
    </row>
    <row r="41755" spans="7:7" ht="10.5" customHeight="1" x14ac:dyDescent="0.2">
      <c r="G41755" s="889"/>
    </row>
    <row r="41756" spans="7:7" ht="10.5" customHeight="1" x14ac:dyDescent="0.2">
      <c r="G41756" s="889"/>
    </row>
    <row r="41757" spans="7:7" ht="10.5" customHeight="1" x14ac:dyDescent="0.2">
      <c r="G41757" s="889"/>
    </row>
    <row r="41758" spans="7:7" ht="10.5" customHeight="1" x14ac:dyDescent="0.2">
      <c r="G41758" s="889"/>
    </row>
    <row r="41759" spans="7:7" ht="10.5" customHeight="1" x14ac:dyDescent="0.2">
      <c r="G41759" s="889"/>
    </row>
    <row r="41760" spans="7:7" ht="10.5" customHeight="1" x14ac:dyDescent="0.2">
      <c r="G41760" s="889"/>
    </row>
    <row r="41761" spans="7:7" ht="10.5" customHeight="1" x14ac:dyDescent="0.2">
      <c r="G41761" s="889"/>
    </row>
    <row r="41762" spans="7:7" ht="10.5" customHeight="1" x14ac:dyDescent="0.2">
      <c r="G41762" s="889"/>
    </row>
    <row r="41763" spans="7:7" ht="10.5" customHeight="1" x14ac:dyDescent="0.2">
      <c r="G41763" s="889"/>
    </row>
    <row r="41764" spans="7:7" ht="10.5" customHeight="1" x14ac:dyDescent="0.2">
      <c r="G41764" s="889"/>
    </row>
    <row r="41765" spans="7:7" ht="10.5" customHeight="1" x14ac:dyDescent="0.2">
      <c r="G41765" s="889"/>
    </row>
    <row r="41766" spans="7:7" ht="10.5" customHeight="1" x14ac:dyDescent="0.2">
      <c r="G41766" s="889"/>
    </row>
    <row r="41767" spans="7:7" ht="10.5" customHeight="1" x14ac:dyDescent="0.2">
      <c r="G41767" s="889"/>
    </row>
    <row r="41768" spans="7:7" ht="10.5" customHeight="1" x14ac:dyDescent="0.2">
      <c r="G41768" s="889"/>
    </row>
    <row r="41769" spans="7:7" ht="10.5" customHeight="1" x14ac:dyDescent="0.2">
      <c r="G41769" s="889"/>
    </row>
    <row r="41770" spans="7:7" ht="10.5" customHeight="1" x14ac:dyDescent="0.2">
      <c r="G41770" s="889"/>
    </row>
    <row r="41771" spans="7:7" ht="10.5" customHeight="1" x14ac:dyDescent="0.2">
      <c r="G41771" s="889"/>
    </row>
    <row r="41772" spans="7:7" ht="10.5" customHeight="1" x14ac:dyDescent="0.2">
      <c r="G41772" s="889"/>
    </row>
    <row r="41773" spans="7:7" ht="10.5" customHeight="1" x14ac:dyDescent="0.2">
      <c r="G41773" s="889"/>
    </row>
    <row r="41774" spans="7:7" ht="10.5" customHeight="1" x14ac:dyDescent="0.2">
      <c r="G41774" s="889"/>
    </row>
    <row r="41775" spans="7:7" ht="10.5" customHeight="1" x14ac:dyDescent="0.2">
      <c r="G41775" s="889"/>
    </row>
    <row r="41776" spans="7:7" ht="10.5" customHeight="1" x14ac:dyDescent="0.2">
      <c r="G41776" s="889"/>
    </row>
    <row r="41777" spans="7:7" ht="10.5" customHeight="1" x14ac:dyDescent="0.2">
      <c r="G41777" s="889"/>
    </row>
    <row r="41778" spans="7:7" ht="10.5" customHeight="1" x14ac:dyDescent="0.2">
      <c r="G41778" s="889"/>
    </row>
    <row r="41779" spans="7:7" ht="10.5" customHeight="1" x14ac:dyDescent="0.2">
      <c r="G41779" s="889"/>
    </row>
    <row r="41780" spans="7:7" ht="10.5" customHeight="1" x14ac:dyDescent="0.2">
      <c r="G41780" s="889"/>
    </row>
    <row r="41781" spans="7:7" ht="10.5" customHeight="1" x14ac:dyDescent="0.2">
      <c r="G41781" s="889"/>
    </row>
    <row r="41782" spans="7:7" ht="10.5" customHeight="1" x14ac:dyDescent="0.2">
      <c r="G41782" s="889"/>
    </row>
    <row r="41783" spans="7:7" ht="10.5" customHeight="1" x14ac:dyDescent="0.2">
      <c r="G41783" s="889"/>
    </row>
    <row r="41784" spans="7:7" ht="10.5" customHeight="1" x14ac:dyDescent="0.2">
      <c r="G41784" s="889"/>
    </row>
    <row r="41785" spans="7:7" ht="10.5" customHeight="1" x14ac:dyDescent="0.2">
      <c r="G41785" s="889"/>
    </row>
    <row r="41786" spans="7:7" ht="10.5" customHeight="1" x14ac:dyDescent="0.2">
      <c r="G41786" s="889"/>
    </row>
    <row r="41787" spans="7:7" ht="10.5" customHeight="1" x14ac:dyDescent="0.2">
      <c r="G41787" s="889"/>
    </row>
    <row r="41788" spans="7:7" ht="10.5" customHeight="1" x14ac:dyDescent="0.2">
      <c r="G41788" s="889"/>
    </row>
    <row r="41789" spans="7:7" ht="10.5" customHeight="1" x14ac:dyDescent="0.2">
      <c r="G41789" s="889"/>
    </row>
    <row r="41790" spans="7:7" ht="10.5" customHeight="1" x14ac:dyDescent="0.2">
      <c r="G41790" s="889"/>
    </row>
    <row r="41791" spans="7:7" ht="10.5" customHeight="1" x14ac:dyDescent="0.2">
      <c r="G41791" s="889"/>
    </row>
    <row r="41792" spans="7:7" ht="10.5" customHeight="1" x14ac:dyDescent="0.2">
      <c r="G41792" s="889"/>
    </row>
    <row r="41793" spans="7:7" ht="10.5" customHeight="1" x14ac:dyDescent="0.2">
      <c r="G41793" s="889"/>
    </row>
    <row r="41794" spans="7:7" ht="10.5" customHeight="1" x14ac:dyDescent="0.2">
      <c r="G41794" s="889"/>
    </row>
    <row r="41795" spans="7:7" ht="10.5" customHeight="1" x14ac:dyDescent="0.2">
      <c r="G41795" s="889"/>
    </row>
    <row r="41796" spans="7:7" ht="10.5" customHeight="1" x14ac:dyDescent="0.2">
      <c r="G41796" s="889"/>
    </row>
    <row r="41797" spans="7:7" ht="10.5" customHeight="1" x14ac:dyDescent="0.2">
      <c r="G41797" s="889"/>
    </row>
    <row r="41798" spans="7:7" ht="10.5" customHeight="1" x14ac:dyDescent="0.2">
      <c r="G41798" s="889"/>
    </row>
    <row r="41799" spans="7:7" ht="10.5" customHeight="1" x14ac:dyDescent="0.2">
      <c r="G41799" s="889"/>
    </row>
    <row r="41800" spans="7:7" ht="10.5" customHeight="1" x14ac:dyDescent="0.2">
      <c r="G41800" s="889"/>
    </row>
    <row r="41801" spans="7:7" ht="10.5" customHeight="1" x14ac:dyDescent="0.2">
      <c r="G41801" s="889"/>
    </row>
    <row r="41802" spans="7:7" ht="10.5" customHeight="1" x14ac:dyDescent="0.2">
      <c r="G41802" s="889"/>
    </row>
    <row r="41803" spans="7:7" ht="10.5" customHeight="1" x14ac:dyDescent="0.2">
      <c r="G41803" s="889"/>
    </row>
    <row r="41804" spans="7:7" ht="10.5" customHeight="1" x14ac:dyDescent="0.2">
      <c r="G41804" s="889"/>
    </row>
    <row r="41805" spans="7:7" ht="10.5" customHeight="1" x14ac:dyDescent="0.2">
      <c r="G41805" s="889"/>
    </row>
    <row r="41806" spans="7:7" ht="10.5" customHeight="1" x14ac:dyDescent="0.2">
      <c r="G41806" s="889"/>
    </row>
    <row r="41807" spans="7:7" ht="10.5" customHeight="1" x14ac:dyDescent="0.2">
      <c r="G41807" s="889"/>
    </row>
    <row r="41808" spans="7:7" ht="10.5" customHeight="1" x14ac:dyDescent="0.2">
      <c r="G41808" s="889"/>
    </row>
    <row r="41809" spans="7:7" ht="10.5" customHeight="1" x14ac:dyDescent="0.2">
      <c r="G41809" s="889"/>
    </row>
    <row r="41810" spans="7:7" ht="10.5" customHeight="1" x14ac:dyDescent="0.2">
      <c r="G41810" s="889"/>
    </row>
    <row r="41811" spans="7:7" ht="10.5" customHeight="1" x14ac:dyDescent="0.2">
      <c r="G41811" s="889"/>
    </row>
    <row r="41812" spans="7:7" ht="10.5" customHeight="1" x14ac:dyDescent="0.2">
      <c r="G41812" s="889"/>
    </row>
    <row r="41813" spans="7:7" ht="10.5" customHeight="1" x14ac:dyDescent="0.2">
      <c r="G41813" s="889"/>
    </row>
    <row r="41814" spans="7:7" ht="10.5" customHeight="1" x14ac:dyDescent="0.2">
      <c r="G41814" s="889"/>
    </row>
    <row r="41815" spans="7:7" ht="10.5" customHeight="1" x14ac:dyDescent="0.2">
      <c r="G41815" s="889"/>
    </row>
    <row r="41816" spans="7:7" ht="10.5" customHeight="1" x14ac:dyDescent="0.2">
      <c r="G41816" s="889"/>
    </row>
    <row r="41817" spans="7:7" ht="10.5" customHeight="1" x14ac:dyDescent="0.2">
      <c r="G41817" s="889"/>
    </row>
    <row r="41818" spans="7:7" ht="10.5" customHeight="1" x14ac:dyDescent="0.2">
      <c r="G41818" s="889"/>
    </row>
    <row r="41819" spans="7:7" ht="10.5" customHeight="1" x14ac:dyDescent="0.2">
      <c r="G41819" s="889"/>
    </row>
    <row r="41820" spans="7:7" ht="10.5" customHeight="1" x14ac:dyDescent="0.2">
      <c r="G41820" s="889"/>
    </row>
    <row r="41821" spans="7:7" ht="10.5" customHeight="1" x14ac:dyDescent="0.2">
      <c r="G41821" s="889"/>
    </row>
    <row r="41822" spans="7:7" ht="10.5" customHeight="1" x14ac:dyDescent="0.2">
      <c r="G41822" s="889"/>
    </row>
    <row r="41823" spans="7:7" ht="10.5" customHeight="1" x14ac:dyDescent="0.2">
      <c r="G41823" s="889"/>
    </row>
    <row r="41824" spans="7:7" ht="10.5" customHeight="1" x14ac:dyDescent="0.2">
      <c r="G41824" s="889"/>
    </row>
    <row r="41825" spans="7:7" ht="10.5" customHeight="1" x14ac:dyDescent="0.2">
      <c r="G41825" s="889"/>
    </row>
    <row r="41826" spans="7:7" ht="10.5" customHeight="1" x14ac:dyDescent="0.2">
      <c r="G41826" s="889"/>
    </row>
    <row r="41827" spans="7:7" ht="10.5" customHeight="1" x14ac:dyDescent="0.2">
      <c r="G41827" s="889"/>
    </row>
    <row r="41828" spans="7:7" ht="10.5" customHeight="1" x14ac:dyDescent="0.2">
      <c r="G41828" s="889"/>
    </row>
    <row r="41829" spans="7:7" ht="10.5" customHeight="1" x14ac:dyDescent="0.2">
      <c r="G41829" s="889"/>
    </row>
    <row r="41830" spans="7:7" ht="10.5" customHeight="1" x14ac:dyDescent="0.2">
      <c r="G41830" s="889"/>
    </row>
    <row r="41831" spans="7:7" ht="10.5" customHeight="1" x14ac:dyDescent="0.2">
      <c r="G41831" s="889"/>
    </row>
    <row r="41832" spans="7:7" ht="10.5" customHeight="1" x14ac:dyDescent="0.2">
      <c r="G41832" s="889"/>
    </row>
    <row r="41833" spans="7:7" ht="10.5" customHeight="1" x14ac:dyDescent="0.2">
      <c r="G41833" s="889"/>
    </row>
    <row r="41834" spans="7:7" ht="10.5" customHeight="1" x14ac:dyDescent="0.2">
      <c r="G41834" s="889"/>
    </row>
    <row r="41835" spans="7:7" ht="10.5" customHeight="1" x14ac:dyDescent="0.2">
      <c r="G41835" s="889"/>
    </row>
    <row r="41836" spans="7:7" ht="10.5" customHeight="1" x14ac:dyDescent="0.2">
      <c r="G41836" s="889"/>
    </row>
    <row r="41837" spans="7:7" ht="10.5" customHeight="1" x14ac:dyDescent="0.2">
      <c r="G41837" s="889"/>
    </row>
    <row r="41838" spans="7:7" ht="10.5" customHeight="1" x14ac:dyDescent="0.2">
      <c r="G41838" s="889"/>
    </row>
    <row r="41839" spans="7:7" ht="10.5" customHeight="1" x14ac:dyDescent="0.2">
      <c r="G41839" s="889"/>
    </row>
    <row r="41840" spans="7:7" ht="10.5" customHeight="1" x14ac:dyDescent="0.2">
      <c r="G41840" s="889"/>
    </row>
    <row r="41841" spans="7:7" ht="10.5" customHeight="1" x14ac:dyDescent="0.2">
      <c r="G41841" s="889"/>
    </row>
    <row r="41842" spans="7:7" ht="10.5" customHeight="1" x14ac:dyDescent="0.2">
      <c r="G41842" s="889"/>
    </row>
    <row r="41843" spans="7:7" ht="10.5" customHeight="1" x14ac:dyDescent="0.2">
      <c r="G41843" s="889"/>
    </row>
    <row r="41844" spans="7:7" ht="10.5" customHeight="1" x14ac:dyDescent="0.2">
      <c r="G41844" s="889"/>
    </row>
    <row r="41845" spans="7:7" ht="10.5" customHeight="1" x14ac:dyDescent="0.2">
      <c r="G41845" s="889"/>
    </row>
    <row r="41846" spans="7:7" ht="10.5" customHeight="1" x14ac:dyDescent="0.2">
      <c r="G41846" s="889"/>
    </row>
    <row r="41847" spans="7:7" ht="10.5" customHeight="1" x14ac:dyDescent="0.2">
      <c r="G41847" s="889"/>
    </row>
    <row r="41848" spans="7:7" ht="10.5" customHeight="1" x14ac:dyDescent="0.2">
      <c r="G41848" s="889"/>
    </row>
    <row r="41849" spans="7:7" ht="10.5" customHeight="1" x14ac:dyDescent="0.2">
      <c r="G41849" s="889"/>
    </row>
    <row r="41850" spans="7:7" ht="10.5" customHeight="1" x14ac:dyDescent="0.2">
      <c r="G41850" s="889"/>
    </row>
    <row r="41851" spans="7:7" ht="10.5" customHeight="1" x14ac:dyDescent="0.2">
      <c r="G41851" s="889"/>
    </row>
    <row r="41852" spans="7:7" ht="10.5" customHeight="1" x14ac:dyDescent="0.2">
      <c r="G41852" s="889"/>
    </row>
    <row r="41853" spans="7:7" ht="10.5" customHeight="1" x14ac:dyDescent="0.2">
      <c r="G41853" s="889"/>
    </row>
    <row r="41854" spans="7:7" ht="10.5" customHeight="1" x14ac:dyDescent="0.2">
      <c r="G41854" s="889"/>
    </row>
    <row r="41855" spans="7:7" ht="10.5" customHeight="1" x14ac:dyDescent="0.2">
      <c r="G41855" s="889"/>
    </row>
    <row r="41856" spans="7:7" ht="10.5" customHeight="1" x14ac:dyDescent="0.2">
      <c r="G41856" s="889"/>
    </row>
    <row r="41857" spans="7:7" ht="10.5" customHeight="1" x14ac:dyDescent="0.2">
      <c r="G41857" s="889"/>
    </row>
    <row r="41858" spans="7:7" ht="10.5" customHeight="1" x14ac:dyDescent="0.2">
      <c r="G41858" s="889"/>
    </row>
    <row r="41859" spans="7:7" ht="10.5" customHeight="1" x14ac:dyDescent="0.2">
      <c r="G41859" s="889"/>
    </row>
    <row r="41860" spans="7:7" ht="10.5" customHeight="1" x14ac:dyDescent="0.2">
      <c r="G41860" s="889"/>
    </row>
    <row r="41861" spans="7:7" ht="10.5" customHeight="1" x14ac:dyDescent="0.2">
      <c r="G41861" s="889"/>
    </row>
    <row r="41862" spans="7:7" ht="10.5" customHeight="1" x14ac:dyDescent="0.2">
      <c r="G41862" s="889"/>
    </row>
    <row r="41863" spans="7:7" ht="10.5" customHeight="1" x14ac:dyDescent="0.2">
      <c r="G41863" s="889"/>
    </row>
    <row r="41864" spans="7:7" ht="10.5" customHeight="1" x14ac:dyDescent="0.2">
      <c r="G41864" s="889"/>
    </row>
    <row r="41865" spans="7:7" ht="10.5" customHeight="1" x14ac:dyDescent="0.2">
      <c r="G41865" s="889"/>
    </row>
    <row r="41866" spans="7:7" ht="10.5" customHeight="1" x14ac:dyDescent="0.2">
      <c r="G41866" s="889"/>
    </row>
    <row r="41867" spans="7:7" ht="10.5" customHeight="1" x14ac:dyDescent="0.2">
      <c r="G41867" s="889"/>
    </row>
    <row r="41868" spans="7:7" ht="10.5" customHeight="1" x14ac:dyDescent="0.2">
      <c r="G41868" s="889"/>
    </row>
    <row r="41869" spans="7:7" ht="10.5" customHeight="1" x14ac:dyDescent="0.2">
      <c r="G41869" s="889"/>
    </row>
    <row r="41870" spans="7:7" ht="10.5" customHeight="1" x14ac:dyDescent="0.2">
      <c r="G41870" s="889"/>
    </row>
    <row r="41871" spans="7:7" ht="10.5" customHeight="1" x14ac:dyDescent="0.2">
      <c r="G41871" s="889"/>
    </row>
    <row r="41872" spans="7:7" ht="10.5" customHeight="1" x14ac:dyDescent="0.2">
      <c r="G41872" s="889"/>
    </row>
    <row r="41873" spans="7:7" ht="10.5" customHeight="1" x14ac:dyDescent="0.2">
      <c r="G41873" s="889"/>
    </row>
    <row r="41874" spans="7:7" ht="10.5" customHeight="1" x14ac:dyDescent="0.2">
      <c r="G41874" s="889"/>
    </row>
    <row r="41875" spans="7:7" ht="10.5" customHeight="1" x14ac:dyDescent="0.2">
      <c r="G41875" s="889"/>
    </row>
    <row r="41876" spans="7:7" ht="10.5" customHeight="1" x14ac:dyDescent="0.2">
      <c r="G41876" s="889"/>
    </row>
    <row r="41877" spans="7:7" ht="10.5" customHeight="1" x14ac:dyDescent="0.2">
      <c r="G41877" s="889"/>
    </row>
    <row r="41878" spans="7:7" ht="10.5" customHeight="1" x14ac:dyDescent="0.2">
      <c r="G41878" s="889"/>
    </row>
    <row r="41879" spans="7:7" ht="10.5" customHeight="1" x14ac:dyDescent="0.2">
      <c r="G41879" s="889"/>
    </row>
    <row r="41880" spans="7:7" ht="10.5" customHeight="1" x14ac:dyDescent="0.2">
      <c r="G41880" s="889"/>
    </row>
    <row r="41881" spans="7:7" ht="10.5" customHeight="1" x14ac:dyDescent="0.2">
      <c r="G41881" s="889"/>
    </row>
    <row r="41882" spans="7:7" ht="10.5" customHeight="1" x14ac:dyDescent="0.2">
      <c r="G41882" s="889"/>
    </row>
    <row r="41883" spans="7:7" ht="10.5" customHeight="1" x14ac:dyDescent="0.2">
      <c r="G41883" s="889"/>
    </row>
    <row r="41884" spans="7:7" ht="10.5" customHeight="1" x14ac:dyDescent="0.2">
      <c r="G41884" s="889"/>
    </row>
    <row r="41885" spans="7:7" ht="10.5" customHeight="1" x14ac:dyDescent="0.2">
      <c r="G41885" s="889"/>
    </row>
    <row r="41886" spans="7:7" ht="10.5" customHeight="1" x14ac:dyDescent="0.2">
      <c r="G41886" s="889"/>
    </row>
    <row r="41887" spans="7:7" ht="10.5" customHeight="1" x14ac:dyDescent="0.2">
      <c r="G41887" s="889"/>
    </row>
    <row r="41888" spans="7:7" ht="10.5" customHeight="1" x14ac:dyDescent="0.2">
      <c r="G41888" s="889"/>
    </row>
    <row r="41889" spans="7:7" ht="10.5" customHeight="1" x14ac:dyDescent="0.2">
      <c r="G41889" s="889"/>
    </row>
    <row r="41890" spans="7:7" ht="10.5" customHeight="1" x14ac:dyDescent="0.2">
      <c r="G41890" s="889"/>
    </row>
    <row r="41891" spans="7:7" ht="10.5" customHeight="1" x14ac:dyDescent="0.2">
      <c r="G41891" s="889"/>
    </row>
    <row r="41892" spans="7:7" ht="10.5" customHeight="1" x14ac:dyDescent="0.2">
      <c r="G41892" s="889"/>
    </row>
    <row r="41893" spans="7:7" ht="10.5" customHeight="1" x14ac:dyDescent="0.2">
      <c r="G41893" s="889"/>
    </row>
    <row r="41894" spans="7:7" ht="10.5" customHeight="1" x14ac:dyDescent="0.2">
      <c r="G41894" s="889"/>
    </row>
    <row r="41895" spans="7:7" ht="10.5" customHeight="1" x14ac:dyDescent="0.2">
      <c r="G41895" s="889"/>
    </row>
    <row r="41896" spans="7:7" ht="10.5" customHeight="1" x14ac:dyDescent="0.2">
      <c r="G41896" s="889"/>
    </row>
    <row r="41897" spans="7:7" ht="10.5" customHeight="1" x14ac:dyDescent="0.2">
      <c r="G41897" s="889"/>
    </row>
    <row r="41898" spans="7:7" ht="10.5" customHeight="1" x14ac:dyDescent="0.2">
      <c r="G41898" s="889"/>
    </row>
    <row r="41899" spans="7:7" ht="10.5" customHeight="1" x14ac:dyDescent="0.2">
      <c r="G41899" s="889"/>
    </row>
    <row r="41900" spans="7:7" ht="10.5" customHeight="1" x14ac:dyDescent="0.2">
      <c r="G41900" s="889"/>
    </row>
    <row r="41901" spans="7:7" ht="10.5" customHeight="1" x14ac:dyDescent="0.2">
      <c r="G41901" s="889"/>
    </row>
    <row r="41902" spans="7:7" ht="10.5" customHeight="1" x14ac:dyDescent="0.2">
      <c r="G41902" s="889"/>
    </row>
    <row r="41903" spans="7:7" ht="10.5" customHeight="1" x14ac:dyDescent="0.2">
      <c r="G41903" s="889"/>
    </row>
    <row r="41904" spans="7:7" ht="10.5" customHeight="1" x14ac:dyDescent="0.2">
      <c r="G41904" s="889"/>
    </row>
    <row r="41905" spans="7:7" ht="10.5" customHeight="1" x14ac:dyDescent="0.2">
      <c r="G41905" s="889"/>
    </row>
    <row r="41906" spans="7:7" ht="10.5" customHeight="1" x14ac:dyDescent="0.2">
      <c r="G41906" s="889"/>
    </row>
    <row r="41907" spans="7:7" ht="10.5" customHeight="1" x14ac:dyDescent="0.2">
      <c r="G41907" s="889"/>
    </row>
    <row r="41908" spans="7:7" ht="10.5" customHeight="1" x14ac:dyDescent="0.2">
      <c r="G41908" s="889"/>
    </row>
    <row r="41909" spans="7:7" ht="10.5" customHeight="1" x14ac:dyDescent="0.2">
      <c r="G41909" s="889"/>
    </row>
    <row r="41910" spans="7:7" ht="10.5" customHeight="1" x14ac:dyDescent="0.2">
      <c r="G41910" s="889"/>
    </row>
    <row r="41911" spans="7:7" ht="10.5" customHeight="1" x14ac:dyDescent="0.2">
      <c r="G41911" s="889"/>
    </row>
    <row r="41912" spans="7:7" ht="10.5" customHeight="1" x14ac:dyDescent="0.2">
      <c r="G41912" s="889"/>
    </row>
    <row r="41913" spans="7:7" ht="10.5" customHeight="1" x14ac:dyDescent="0.2">
      <c r="G41913" s="889"/>
    </row>
    <row r="41914" spans="7:7" ht="10.5" customHeight="1" x14ac:dyDescent="0.2">
      <c r="G41914" s="889"/>
    </row>
    <row r="41915" spans="7:7" ht="10.5" customHeight="1" x14ac:dyDescent="0.2">
      <c r="G41915" s="889"/>
    </row>
    <row r="41916" spans="7:7" ht="10.5" customHeight="1" x14ac:dyDescent="0.2">
      <c r="G41916" s="889"/>
    </row>
    <row r="41917" spans="7:7" ht="10.5" customHeight="1" x14ac:dyDescent="0.2">
      <c r="G41917" s="889"/>
    </row>
    <row r="41918" spans="7:7" ht="10.5" customHeight="1" x14ac:dyDescent="0.2">
      <c r="G41918" s="889"/>
    </row>
    <row r="41919" spans="7:7" ht="10.5" customHeight="1" x14ac:dyDescent="0.2">
      <c r="G41919" s="889"/>
    </row>
    <row r="41920" spans="7:7" ht="10.5" customHeight="1" x14ac:dyDescent="0.2">
      <c r="G41920" s="889"/>
    </row>
    <row r="41921" spans="7:7" ht="10.5" customHeight="1" x14ac:dyDescent="0.2">
      <c r="G41921" s="889"/>
    </row>
    <row r="41922" spans="7:7" ht="10.5" customHeight="1" x14ac:dyDescent="0.2">
      <c r="G41922" s="889"/>
    </row>
    <row r="41923" spans="7:7" ht="10.5" customHeight="1" x14ac:dyDescent="0.2">
      <c r="G41923" s="889"/>
    </row>
    <row r="41924" spans="7:7" ht="10.5" customHeight="1" x14ac:dyDescent="0.2">
      <c r="G41924" s="889"/>
    </row>
    <row r="41925" spans="7:7" ht="10.5" customHeight="1" x14ac:dyDescent="0.2">
      <c r="G41925" s="889"/>
    </row>
    <row r="41926" spans="7:7" ht="10.5" customHeight="1" x14ac:dyDescent="0.2">
      <c r="G41926" s="889"/>
    </row>
    <row r="41927" spans="7:7" ht="10.5" customHeight="1" x14ac:dyDescent="0.2">
      <c r="G41927" s="889"/>
    </row>
    <row r="41928" spans="7:7" ht="10.5" customHeight="1" x14ac:dyDescent="0.2">
      <c r="G41928" s="889"/>
    </row>
    <row r="41929" spans="7:7" ht="10.5" customHeight="1" x14ac:dyDescent="0.2">
      <c r="G41929" s="889"/>
    </row>
    <row r="41930" spans="7:7" ht="10.5" customHeight="1" x14ac:dyDescent="0.2">
      <c r="G41930" s="889"/>
    </row>
    <row r="41931" spans="7:7" ht="10.5" customHeight="1" x14ac:dyDescent="0.2">
      <c r="G41931" s="889"/>
    </row>
    <row r="41932" spans="7:7" ht="10.5" customHeight="1" x14ac:dyDescent="0.2">
      <c r="G41932" s="889"/>
    </row>
    <row r="41933" spans="7:7" ht="10.5" customHeight="1" x14ac:dyDescent="0.2">
      <c r="G41933" s="889"/>
    </row>
    <row r="41934" spans="7:7" ht="10.5" customHeight="1" x14ac:dyDescent="0.2">
      <c r="G41934" s="889"/>
    </row>
    <row r="41935" spans="7:7" ht="10.5" customHeight="1" x14ac:dyDescent="0.2">
      <c r="G41935" s="889"/>
    </row>
    <row r="41936" spans="7:7" ht="10.5" customHeight="1" x14ac:dyDescent="0.2">
      <c r="G41936" s="889"/>
    </row>
    <row r="41937" spans="7:7" ht="10.5" customHeight="1" x14ac:dyDescent="0.2">
      <c r="G41937" s="889"/>
    </row>
    <row r="41938" spans="7:7" ht="10.5" customHeight="1" x14ac:dyDescent="0.2">
      <c r="G41938" s="889"/>
    </row>
    <row r="41939" spans="7:7" ht="10.5" customHeight="1" x14ac:dyDescent="0.2">
      <c r="G41939" s="889"/>
    </row>
    <row r="41940" spans="7:7" ht="10.5" customHeight="1" x14ac:dyDescent="0.2">
      <c r="G41940" s="889"/>
    </row>
    <row r="41941" spans="7:7" ht="10.5" customHeight="1" x14ac:dyDescent="0.2">
      <c r="G41941" s="889"/>
    </row>
    <row r="41942" spans="7:7" ht="10.5" customHeight="1" x14ac:dyDescent="0.2">
      <c r="G41942" s="889"/>
    </row>
    <row r="41943" spans="7:7" ht="10.5" customHeight="1" x14ac:dyDescent="0.2">
      <c r="G41943" s="889"/>
    </row>
    <row r="41944" spans="7:7" ht="10.5" customHeight="1" x14ac:dyDescent="0.2">
      <c r="G41944" s="889"/>
    </row>
    <row r="41945" spans="7:7" ht="10.5" customHeight="1" x14ac:dyDescent="0.2">
      <c r="G41945" s="889"/>
    </row>
    <row r="41946" spans="7:7" ht="10.5" customHeight="1" x14ac:dyDescent="0.2">
      <c r="G41946" s="889"/>
    </row>
    <row r="41947" spans="7:7" ht="10.5" customHeight="1" x14ac:dyDescent="0.2">
      <c r="G41947" s="889"/>
    </row>
    <row r="41948" spans="7:7" ht="10.5" customHeight="1" x14ac:dyDescent="0.2">
      <c r="G41948" s="889"/>
    </row>
    <row r="41949" spans="7:7" ht="10.5" customHeight="1" x14ac:dyDescent="0.2">
      <c r="G41949" s="889"/>
    </row>
    <row r="41950" spans="7:7" ht="10.5" customHeight="1" x14ac:dyDescent="0.2">
      <c r="G41950" s="889"/>
    </row>
    <row r="41951" spans="7:7" ht="10.5" customHeight="1" x14ac:dyDescent="0.2">
      <c r="G41951" s="889"/>
    </row>
    <row r="41952" spans="7:7" ht="10.5" customHeight="1" x14ac:dyDescent="0.2">
      <c r="G41952" s="889"/>
    </row>
    <row r="41953" spans="7:7" ht="10.5" customHeight="1" x14ac:dyDescent="0.2">
      <c r="G41953" s="889"/>
    </row>
    <row r="41954" spans="7:7" ht="10.5" customHeight="1" x14ac:dyDescent="0.2">
      <c r="G41954" s="889"/>
    </row>
    <row r="41955" spans="7:7" ht="10.5" customHeight="1" x14ac:dyDescent="0.2">
      <c r="G41955" s="889"/>
    </row>
    <row r="41956" spans="7:7" ht="10.5" customHeight="1" x14ac:dyDescent="0.2">
      <c r="G41956" s="889"/>
    </row>
    <row r="41957" spans="7:7" ht="10.5" customHeight="1" x14ac:dyDescent="0.2">
      <c r="G41957" s="889"/>
    </row>
    <row r="41958" spans="7:7" ht="10.5" customHeight="1" x14ac:dyDescent="0.2">
      <c r="G41958" s="889"/>
    </row>
    <row r="41959" spans="7:7" ht="10.5" customHeight="1" x14ac:dyDescent="0.2">
      <c r="G41959" s="889"/>
    </row>
    <row r="41960" spans="7:7" ht="10.5" customHeight="1" x14ac:dyDescent="0.2">
      <c r="G41960" s="889"/>
    </row>
    <row r="41961" spans="7:7" ht="10.5" customHeight="1" x14ac:dyDescent="0.2">
      <c r="G41961" s="889"/>
    </row>
    <row r="41962" spans="7:7" ht="10.5" customHeight="1" x14ac:dyDescent="0.2">
      <c r="G41962" s="889"/>
    </row>
    <row r="41963" spans="7:7" ht="10.5" customHeight="1" x14ac:dyDescent="0.2">
      <c r="G41963" s="889"/>
    </row>
    <row r="41964" spans="7:7" ht="10.5" customHeight="1" x14ac:dyDescent="0.2">
      <c r="G41964" s="889"/>
    </row>
    <row r="41965" spans="7:7" ht="10.5" customHeight="1" x14ac:dyDescent="0.2">
      <c r="G41965" s="889"/>
    </row>
    <row r="41966" spans="7:7" ht="10.5" customHeight="1" x14ac:dyDescent="0.2">
      <c r="G41966" s="889"/>
    </row>
    <row r="41967" spans="7:7" ht="10.5" customHeight="1" x14ac:dyDescent="0.2">
      <c r="G41967" s="889"/>
    </row>
    <row r="41968" spans="7:7" ht="10.5" customHeight="1" x14ac:dyDescent="0.2">
      <c r="G41968" s="889"/>
    </row>
    <row r="41969" spans="7:7" ht="10.5" customHeight="1" x14ac:dyDescent="0.2">
      <c r="G41969" s="889"/>
    </row>
    <row r="41970" spans="7:7" ht="10.5" customHeight="1" x14ac:dyDescent="0.2">
      <c r="G41970" s="889"/>
    </row>
    <row r="41971" spans="7:7" ht="10.5" customHeight="1" x14ac:dyDescent="0.2">
      <c r="G41971" s="889"/>
    </row>
    <row r="41972" spans="7:7" ht="10.5" customHeight="1" x14ac:dyDescent="0.2">
      <c r="G41972" s="889"/>
    </row>
    <row r="41973" spans="7:7" ht="10.5" customHeight="1" x14ac:dyDescent="0.2">
      <c r="G41973" s="889"/>
    </row>
    <row r="41974" spans="7:7" ht="10.5" customHeight="1" x14ac:dyDescent="0.2">
      <c r="G41974" s="889"/>
    </row>
    <row r="41975" spans="7:7" ht="10.5" customHeight="1" x14ac:dyDescent="0.2">
      <c r="G41975" s="889"/>
    </row>
    <row r="41976" spans="7:7" ht="10.5" customHeight="1" x14ac:dyDescent="0.2">
      <c r="G41976" s="889"/>
    </row>
    <row r="41977" spans="7:7" ht="10.5" customHeight="1" x14ac:dyDescent="0.2">
      <c r="G41977" s="889"/>
    </row>
    <row r="41978" spans="7:7" ht="10.5" customHeight="1" x14ac:dyDescent="0.2">
      <c r="G41978" s="889"/>
    </row>
    <row r="41979" spans="7:7" ht="10.5" customHeight="1" x14ac:dyDescent="0.2">
      <c r="G41979" s="889"/>
    </row>
    <row r="41980" spans="7:7" ht="10.5" customHeight="1" x14ac:dyDescent="0.2">
      <c r="G41980" s="889"/>
    </row>
    <row r="41981" spans="7:7" ht="10.5" customHeight="1" x14ac:dyDescent="0.2">
      <c r="G41981" s="889"/>
    </row>
    <row r="41982" spans="7:7" ht="10.5" customHeight="1" x14ac:dyDescent="0.2">
      <c r="G41982" s="889"/>
    </row>
    <row r="41983" spans="7:7" ht="10.5" customHeight="1" x14ac:dyDescent="0.2">
      <c r="G41983" s="889"/>
    </row>
    <row r="41984" spans="7:7" ht="10.5" customHeight="1" x14ac:dyDescent="0.2">
      <c r="G41984" s="889"/>
    </row>
    <row r="41985" spans="7:7" ht="10.5" customHeight="1" x14ac:dyDescent="0.2">
      <c r="G41985" s="889"/>
    </row>
    <row r="41986" spans="7:7" ht="10.5" customHeight="1" x14ac:dyDescent="0.2">
      <c r="G41986" s="889"/>
    </row>
    <row r="41987" spans="7:7" ht="10.5" customHeight="1" x14ac:dyDescent="0.2">
      <c r="G41987" s="889"/>
    </row>
    <row r="41988" spans="7:7" ht="10.5" customHeight="1" x14ac:dyDescent="0.2">
      <c r="G41988" s="889"/>
    </row>
    <row r="41989" spans="7:7" ht="10.5" customHeight="1" x14ac:dyDescent="0.2">
      <c r="G41989" s="889"/>
    </row>
    <row r="41990" spans="7:7" ht="10.5" customHeight="1" x14ac:dyDescent="0.2">
      <c r="G41990" s="889"/>
    </row>
    <row r="41991" spans="7:7" ht="10.5" customHeight="1" x14ac:dyDescent="0.2">
      <c r="G41991" s="889"/>
    </row>
    <row r="41992" spans="7:7" ht="10.5" customHeight="1" x14ac:dyDescent="0.2">
      <c r="G41992" s="889"/>
    </row>
    <row r="41993" spans="7:7" ht="10.5" customHeight="1" x14ac:dyDescent="0.2">
      <c r="G41993" s="889"/>
    </row>
    <row r="41994" spans="7:7" ht="10.5" customHeight="1" x14ac:dyDescent="0.2">
      <c r="G41994" s="889"/>
    </row>
    <row r="41995" spans="7:7" ht="10.5" customHeight="1" x14ac:dyDescent="0.2">
      <c r="G41995" s="889"/>
    </row>
    <row r="41996" spans="7:7" ht="10.5" customHeight="1" x14ac:dyDescent="0.2">
      <c r="G41996" s="889"/>
    </row>
    <row r="41997" spans="7:7" ht="10.5" customHeight="1" x14ac:dyDescent="0.2">
      <c r="G41997" s="889"/>
    </row>
    <row r="41998" spans="7:7" ht="10.5" customHeight="1" x14ac:dyDescent="0.2">
      <c r="G41998" s="889"/>
    </row>
    <row r="41999" spans="7:7" ht="10.5" customHeight="1" x14ac:dyDescent="0.2">
      <c r="G41999" s="889"/>
    </row>
    <row r="42000" spans="7:7" ht="10.5" customHeight="1" x14ac:dyDescent="0.2">
      <c r="G42000" s="889"/>
    </row>
    <row r="42001" spans="7:7" ht="10.5" customHeight="1" x14ac:dyDescent="0.2">
      <c r="G42001" s="889"/>
    </row>
    <row r="42002" spans="7:7" ht="10.5" customHeight="1" x14ac:dyDescent="0.2">
      <c r="G42002" s="889"/>
    </row>
    <row r="42003" spans="7:7" ht="10.5" customHeight="1" x14ac:dyDescent="0.2">
      <c r="G42003" s="889"/>
    </row>
    <row r="42004" spans="7:7" ht="10.5" customHeight="1" x14ac:dyDescent="0.2">
      <c r="G42004" s="889"/>
    </row>
    <row r="42005" spans="7:7" ht="10.5" customHeight="1" x14ac:dyDescent="0.2">
      <c r="G42005" s="889"/>
    </row>
    <row r="42006" spans="7:7" ht="10.5" customHeight="1" x14ac:dyDescent="0.2">
      <c r="G42006" s="889"/>
    </row>
    <row r="42007" spans="7:7" ht="10.5" customHeight="1" x14ac:dyDescent="0.2">
      <c r="G42007" s="889"/>
    </row>
    <row r="42008" spans="7:7" ht="10.5" customHeight="1" x14ac:dyDescent="0.2">
      <c r="G42008" s="889"/>
    </row>
    <row r="42009" spans="7:7" ht="10.5" customHeight="1" x14ac:dyDescent="0.2">
      <c r="G42009" s="889"/>
    </row>
    <row r="42010" spans="7:7" ht="10.5" customHeight="1" x14ac:dyDescent="0.2">
      <c r="G42010" s="889"/>
    </row>
    <row r="42011" spans="7:7" ht="10.5" customHeight="1" x14ac:dyDescent="0.2">
      <c r="G42011" s="889"/>
    </row>
    <row r="42012" spans="7:7" ht="10.5" customHeight="1" x14ac:dyDescent="0.2">
      <c r="G42012" s="889"/>
    </row>
    <row r="42013" spans="7:7" ht="10.5" customHeight="1" x14ac:dyDescent="0.2">
      <c r="G42013" s="889"/>
    </row>
    <row r="42014" spans="7:7" ht="10.5" customHeight="1" x14ac:dyDescent="0.2">
      <c r="G42014" s="889"/>
    </row>
    <row r="42015" spans="7:7" ht="10.5" customHeight="1" x14ac:dyDescent="0.2">
      <c r="G42015" s="889"/>
    </row>
    <row r="42016" spans="7:7" ht="10.5" customHeight="1" x14ac:dyDescent="0.2">
      <c r="G42016" s="889"/>
    </row>
    <row r="42017" spans="7:7" ht="10.5" customHeight="1" x14ac:dyDescent="0.2">
      <c r="G42017" s="889"/>
    </row>
    <row r="42018" spans="7:7" ht="10.5" customHeight="1" x14ac:dyDescent="0.2">
      <c r="G42018" s="889"/>
    </row>
    <row r="42019" spans="7:7" ht="10.5" customHeight="1" x14ac:dyDescent="0.2">
      <c r="G42019" s="889"/>
    </row>
    <row r="42020" spans="7:7" ht="10.5" customHeight="1" x14ac:dyDescent="0.2">
      <c r="G42020" s="889"/>
    </row>
    <row r="42021" spans="7:7" ht="10.5" customHeight="1" x14ac:dyDescent="0.2">
      <c r="G42021" s="889"/>
    </row>
    <row r="42022" spans="7:7" ht="10.5" customHeight="1" x14ac:dyDescent="0.2">
      <c r="G42022" s="889"/>
    </row>
    <row r="42023" spans="7:7" ht="10.5" customHeight="1" x14ac:dyDescent="0.2">
      <c r="G42023" s="889"/>
    </row>
    <row r="42024" spans="7:7" ht="10.5" customHeight="1" x14ac:dyDescent="0.2">
      <c r="G42024" s="889"/>
    </row>
    <row r="42025" spans="7:7" ht="10.5" customHeight="1" x14ac:dyDescent="0.2">
      <c r="G42025" s="889"/>
    </row>
    <row r="42026" spans="7:7" ht="10.5" customHeight="1" x14ac:dyDescent="0.2">
      <c r="G42026" s="889"/>
    </row>
    <row r="42027" spans="7:7" ht="10.5" customHeight="1" x14ac:dyDescent="0.2">
      <c r="G42027" s="889"/>
    </row>
    <row r="42028" spans="7:7" ht="10.5" customHeight="1" x14ac:dyDescent="0.2">
      <c r="G42028" s="889"/>
    </row>
    <row r="42029" spans="7:7" ht="10.5" customHeight="1" x14ac:dyDescent="0.2">
      <c r="G42029" s="889"/>
    </row>
    <row r="42030" spans="7:7" ht="10.5" customHeight="1" x14ac:dyDescent="0.2">
      <c r="G42030" s="889"/>
    </row>
    <row r="42031" spans="7:7" ht="10.5" customHeight="1" x14ac:dyDescent="0.2">
      <c r="G42031" s="889"/>
    </row>
    <row r="42032" spans="7:7" ht="10.5" customHeight="1" x14ac:dyDescent="0.2">
      <c r="G42032" s="889"/>
    </row>
    <row r="42033" spans="7:7" ht="10.5" customHeight="1" x14ac:dyDescent="0.2">
      <c r="G42033" s="889"/>
    </row>
    <row r="42034" spans="7:7" ht="10.5" customHeight="1" x14ac:dyDescent="0.2">
      <c r="G42034" s="889"/>
    </row>
    <row r="42035" spans="7:7" ht="10.5" customHeight="1" x14ac:dyDescent="0.2">
      <c r="G42035" s="889"/>
    </row>
    <row r="42036" spans="7:7" ht="10.5" customHeight="1" x14ac:dyDescent="0.2">
      <c r="G42036" s="889"/>
    </row>
    <row r="42037" spans="7:7" ht="10.5" customHeight="1" x14ac:dyDescent="0.2">
      <c r="G42037" s="889"/>
    </row>
    <row r="42038" spans="7:7" ht="10.5" customHeight="1" x14ac:dyDescent="0.2">
      <c r="G42038" s="889"/>
    </row>
    <row r="42039" spans="7:7" ht="10.5" customHeight="1" x14ac:dyDescent="0.2">
      <c r="G42039" s="889"/>
    </row>
    <row r="42040" spans="7:7" ht="10.5" customHeight="1" x14ac:dyDescent="0.2">
      <c r="G42040" s="889"/>
    </row>
    <row r="42041" spans="7:7" ht="10.5" customHeight="1" x14ac:dyDescent="0.2">
      <c r="G42041" s="889"/>
    </row>
    <row r="42042" spans="7:7" ht="10.5" customHeight="1" x14ac:dyDescent="0.2">
      <c r="G42042" s="889"/>
    </row>
    <row r="42043" spans="7:7" ht="10.5" customHeight="1" x14ac:dyDescent="0.2">
      <c r="G42043" s="889"/>
    </row>
    <row r="42044" spans="7:7" ht="10.5" customHeight="1" x14ac:dyDescent="0.2">
      <c r="G42044" s="889"/>
    </row>
    <row r="42045" spans="7:7" ht="10.5" customHeight="1" x14ac:dyDescent="0.2">
      <c r="G42045" s="889"/>
    </row>
    <row r="42046" spans="7:7" ht="10.5" customHeight="1" x14ac:dyDescent="0.2">
      <c r="G42046" s="889"/>
    </row>
    <row r="42047" spans="7:7" ht="10.5" customHeight="1" x14ac:dyDescent="0.2">
      <c r="G42047" s="889"/>
    </row>
    <row r="42048" spans="7:7" ht="10.5" customHeight="1" x14ac:dyDescent="0.2">
      <c r="G42048" s="889"/>
    </row>
    <row r="42049" spans="7:7" ht="10.5" customHeight="1" x14ac:dyDescent="0.2">
      <c r="G42049" s="889"/>
    </row>
    <row r="42050" spans="7:7" ht="10.5" customHeight="1" x14ac:dyDescent="0.2">
      <c r="G42050" s="889"/>
    </row>
    <row r="42051" spans="7:7" ht="10.5" customHeight="1" x14ac:dyDescent="0.2">
      <c r="G42051" s="889"/>
    </row>
    <row r="42052" spans="7:7" ht="10.5" customHeight="1" x14ac:dyDescent="0.2">
      <c r="G42052" s="889"/>
    </row>
    <row r="42053" spans="7:7" ht="10.5" customHeight="1" x14ac:dyDescent="0.2">
      <c r="G42053" s="889"/>
    </row>
    <row r="42054" spans="7:7" ht="10.5" customHeight="1" x14ac:dyDescent="0.2">
      <c r="G42054" s="889"/>
    </row>
    <row r="42055" spans="7:7" ht="10.5" customHeight="1" x14ac:dyDescent="0.2">
      <c r="G42055" s="889"/>
    </row>
    <row r="42056" spans="7:7" ht="10.5" customHeight="1" x14ac:dyDescent="0.2">
      <c r="G42056" s="889"/>
    </row>
    <row r="42057" spans="7:7" ht="10.5" customHeight="1" x14ac:dyDescent="0.2">
      <c r="G42057" s="889"/>
    </row>
    <row r="42058" spans="7:7" ht="10.5" customHeight="1" x14ac:dyDescent="0.2">
      <c r="G42058" s="889"/>
    </row>
    <row r="42059" spans="7:7" ht="10.5" customHeight="1" x14ac:dyDescent="0.2">
      <c r="G42059" s="889"/>
    </row>
    <row r="42060" spans="7:7" ht="10.5" customHeight="1" x14ac:dyDescent="0.2">
      <c r="G42060" s="889"/>
    </row>
    <row r="42061" spans="7:7" ht="10.5" customHeight="1" x14ac:dyDescent="0.2">
      <c r="G42061" s="889"/>
    </row>
    <row r="42062" spans="7:7" ht="10.5" customHeight="1" x14ac:dyDescent="0.2">
      <c r="G42062" s="889"/>
    </row>
    <row r="42063" spans="7:7" ht="10.5" customHeight="1" x14ac:dyDescent="0.2">
      <c r="G42063" s="889"/>
    </row>
    <row r="42064" spans="7:7" ht="10.5" customHeight="1" x14ac:dyDescent="0.2">
      <c r="G42064" s="889"/>
    </row>
    <row r="42065" spans="7:7" ht="10.5" customHeight="1" x14ac:dyDescent="0.2">
      <c r="G42065" s="889"/>
    </row>
    <row r="42066" spans="7:7" ht="10.5" customHeight="1" x14ac:dyDescent="0.2">
      <c r="G42066" s="889"/>
    </row>
    <row r="42067" spans="7:7" ht="10.5" customHeight="1" x14ac:dyDescent="0.2">
      <c r="G42067" s="889"/>
    </row>
    <row r="42068" spans="7:7" ht="10.5" customHeight="1" x14ac:dyDescent="0.2">
      <c r="G42068" s="889"/>
    </row>
    <row r="42069" spans="7:7" ht="10.5" customHeight="1" x14ac:dyDescent="0.2">
      <c r="G42069" s="889"/>
    </row>
    <row r="42070" spans="7:7" ht="10.5" customHeight="1" x14ac:dyDescent="0.2">
      <c r="G42070" s="889"/>
    </row>
    <row r="42071" spans="7:7" ht="10.5" customHeight="1" x14ac:dyDescent="0.2">
      <c r="G42071" s="889"/>
    </row>
    <row r="42072" spans="7:7" ht="10.5" customHeight="1" x14ac:dyDescent="0.2">
      <c r="G42072" s="889"/>
    </row>
    <row r="42073" spans="7:7" ht="10.5" customHeight="1" x14ac:dyDescent="0.2">
      <c r="G42073" s="889"/>
    </row>
    <row r="42074" spans="7:7" ht="10.5" customHeight="1" x14ac:dyDescent="0.2">
      <c r="G42074" s="889"/>
    </row>
    <row r="42075" spans="7:7" ht="10.5" customHeight="1" x14ac:dyDescent="0.2">
      <c r="G42075" s="889"/>
    </row>
    <row r="42076" spans="7:7" ht="10.5" customHeight="1" x14ac:dyDescent="0.2">
      <c r="G42076" s="889"/>
    </row>
    <row r="42077" spans="7:7" ht="10.5" customHeight="1" x14ac:dyDescent="0.2">
      <c r="G42077" s="889"/>
    </row>
    <row r="42078" spans="7:7" ht="10.5" customHeight="1" x14ac:dyDescent="0.2">
      <c r="G42078" s="889"/>
    </row>
    <row r="42079" spans="7:7" ht="10.5" customHeight="1" x14ac:dyDescent="0.2">
      <c r="G42079" s="889"/>
    </row>
    <row r="42080" spans="7:7" ht="10.5" customHeight="1" x14ac:dyDescent="0.2">
      <c r="G42080" s="889"/>
    </row>
    <row r="42081" spans="7:7" ht="10.5" customHeight="1" x14ac:dyDescent="0.2">
      <c r="G42081" s="889"/>
    </row>
    <row r="42082" spans="7:7" ht="10.5" customHeight="1" x14ac:dyDescent="0.2">
      <c r="G42082" s="889"/>
    </row>
    <row r="42083" spans="7:7" ht="10.5" customHeight="1" x14ac:dyDescent="0.2">
      <c r="G42083" s="889"/>
    </row>
    <row r="42084" spans="7:7" ht="10.5" customHeight="1" x14ac:dyDescent="0.2">
      <c r="G42084" s="889"/>
    </row>
    <row r="42085" spans="7:7" ht="10.5" customHeight="1" x14ac:dyDescent="0.2">
      <c r="G42085" s="889"/>
    </row>
    <row r="42086" spans="7:7" ht="10.5" customHeight="1" x14ac:dyDescent="0.2">
      <c r="G42086" s="889"/>
    </row>
    <row r="42087" spans="7:7" ht="10.5" customHeight="1" x14ac:dyDescent="0.2">
      <c r="G42087" s="889"/>
    </row>
    <row r="42088" spans="7:7" ht="10.5" customHeight="1" x14ac:dyDescent="0.2">
      <c r="G42088" s="889"/>
    </row>
    <row r="42089" spans="7:7" ht="10.5" customHeight="1" x14ac:dyDescent="0.2">
      <c r="G42089" s="889"/>
    </row>
    <row r="42090" spans="7:7" ht="10.5" customHeight="1" x14ac:dyDescent="0.2">
      <c r="G42090" s="889"/>
    </row>
    <row r="42091" spans="7:7" ht="10.5" customHeight="1" x14ac:dyDescent="0.2">
      <c r="G42091" s="889"/>
    </row>
    <row r="42092" spans="7:7" ht="10.5" customHeight="1" x14ac:dyDescent="0.2">
      <c r="G42092" s="889"/>
    </row>
    <row r="42093" spans="7:7" ht="10.5" customHeight="1" x14ac:dyDescent="0.2">
      <c r="G42093" s="889"/>
    </row>
    <row r="42094" spans="7:7" ht="10.5" customHeight="1" x14ac:dyDescent="0.2">
      <c r="G42094" s="889"/>
    </row>
    <row r="42095" spans="7:7" ht="10.5" customHeight="1" x14ac:dyDescent="0.2">
      <c r="G42095" s="889"/>
    </row>
    <row r="42096" spans="7:7" ht="10.5" customHeight="1" x14ac:dyDescent="0.2">
      <c r="G42096" s="889"/>
    </row>
    <row r="42097" spans="7:7" ht="10.5" customHeight="1" x14ac:dyDescent="0.2">
      <c r="G42097" s="889"/>
    </row>
    <row r="42098" spans="7:7" ht="10.5" customHeight="1" x14ac:dyDescent="0.2">
      <c r="G42098" s="889"/>
    </row>
    <row r="42099" spans="7:7" ht="10.5" customHeight="1" x14ac:dyDescent="0.2">
      <c r="G42099" s="889"/>
    </row>
    <row r="42100" spans="7:7" ht="10.5" customHeight="1" x14ac:dyDescent="0.2">
      <c r="G42100" s="889"/>
    </row>
    <row r="42101" spans="7:7" ht="10.5" customHeight="1" x14ac:dyDescent="0.2">
      <c r="G42101" s="889"/>
    </row>
    <row r="42102" spans="7:7" ht="10.5" customHeight="1" x14ac:dyDescent="0.2">
      <c r="G42102" s="889"/>
    </row>
    <row r="42103" spans="7:7" ht="10.5" customHeight="1" x14ac:dyDescent="0.2">
      <c r="G42103" s="889"/>
    </row>
    <row r="42104" spans="7:7" ht="10.5" customHeight="1" x14ac:dyDescent="0.2">
      <c r="G42104" s="889"/>
    </row>
    <row r="42105" spans="7:7" ht="10.5" customHeight="1" x14ac:dyDescent="0.2">
      <c r="G42105" s="889"/>
    </row>
    <row r="42106" spans="7:7" ht="10.5" customHeight="1" x14ac:dyDescent="0.2">
      <c r="G42106" s="889"/>
    </row>
    <row r="42107" spans="7:7" ht="10.5" customHeight="1" x14ac:dyDescent="0.2">
      <c r="G42107" s="889"/>
    </row>
    <row r="42108" spans="7:7" ht="10.5" customHeight="1" x14ac:dyDescent="0.2">
      <c r="G42108" s="889"/>
    </row>
    <row r="42109" spans="7:7" ht="10.5" customHeight="1" x14ac:dyDescent="0.2">
      <c r="G42109" s="889"/>
    </row>
    <row r="42110" spans="7:7" ht="10.5" customHeight="1" x14ac:dyDescent="0.2">
      <c r="G42110" s="889"/>
    </row>
    <row r="42111" spans="7:7" ht="10.5" customHeight="1" x14ac:dyDescent="0.2">
      <c r="G42111" s="889"/>
    </row>
    <row r="42112" spans="7:7" ht="10.5" customHeight="1" x14ac:dyDescent="0.2">
      <c r="G42112" s="889"/>
    </row>
    <row r="42113" spans="7:7" ht="10.5" customHeight="1" x14ac:dyDescent="0.2">
      <c r="G42113" s="889"/>
    </row>
    <row r="42114" spans="7:7" ht="10.5" customHeight="1" x14ac:dyDescent="0.2">
      <c r="G42114" s="889"/>
    </row>
    <row r="42115" spans="7:7" ht="10.5" customHeight="1" x14ac:dyDescent="0.2">
      <c r="G42115" s="889"/>
    </row>
    <row r="42116" spans="7:7" ht="10.5" customHeight="1" x14ac:dyDescent="0.2">
      <c r="G42116" s="889"/>
    </row>
    <row r="42117" spans="7:7" ht="10.5" customHeight="1" x14ac:dyDescent="0.2">
      <c r="G42117" s="889"/>
    </row>
    <row r="42118" spans="7:7" ht="10.5" customHeight="1" x14ac:dyDescent="0.2">
      <c r="G42118" s="889"/>
    </row>
    <row r="42119" spans="7:7" ht="10.5" customHeight="1" x14ac:dyDescent="0.2">
      <c r="G42119" s="889"/>
    </row>
    <row r="42120" spans="7:7" ht="10.5" customHeight="1" x14ac:dyDescent="0.2">
      <c r="G42120" s="889"/>
    </row>
    <row r="42121" spans="7:7" ht="10.5" customHeight="1" x14ac:dyDescent="0.2">
      <c r="G42121" s="889"/>
    </row>
    <row r="42122" spans="7:7" ht="10.5" customHeight="1" x14ac:dyDescent="0.2">
      <c r="G42122" s="889"/>
    </row>
    <row r="42123" spans="7:7" ht="10.5" customHeight="1" x14ac:dyDescent="0.2">
      <c r="G42123" s="889"/>
    </row>
    <row r="42124" spans="7:7" ht="10.5" customHeight="1" x14ac:dyDescent="0.2">
      <c r="G42124" s="889"/>
    </row>
    <row r="42125" spans="7:7" ht="10.5" customHeight="1" x14ac:dyDescent="0.2">
      <c r="G42125" s="889"/>
    </row>
    <row r="42126" spans="7:7" ht="10.5" customHeight="1" x14ac:dyDescent="0.2">
      <c r="G42126" s="889"/>
    </row>
    <row r="42127" spans="7:7" ht="10.5" customHeight="1" x14ac:dyDescent="0.2">
      <c r="G42127" s="889"/>
    </row>
    <row r="42128" spans="7:7" ht="10.5" customHeight="1" x14ac:dyDescent="0.2">
      <c r="G42128" s="889"/>
    </row>
    <row r="42129" spans="7:7" ht="10.5" customHeight="1" x14ac:dyDescent="0.2">
      <c r="G42129" s="889"/>
    </row>
    <row r="42130" spans="7:7" ht="10.5" customHeight="1" x14ac:dyDescent="0.2">
      <c r="G42130" s="889"/>
    </row>
    <row r="42131" spans="7:7" ht="10.5" customHeight="1" x14ac:dyDescent="0.2">
      <c r="G42131" s="889"/>
    </row>
    <row r="42132" spans="7:7" ht="10.5" customHeight="1" x14ac:dyDescent="0.2">
      <c r="G42132" s="889"/>
    </row>
    <row r="42133" spans="7:7" ht="10.5" customHeight="1" x14ac:dyDescent="0.2">
      <c r="G42133" s="889"/>
    </row>
    <row r="42134" spans="7:7" ht="10.5" customHeight="1" x14ac:dyDescent="0.2">
      <c r="G42134" s="889"/>
    </row>
    <row r="42135" spans="7:7" ht="10.5" customHeight="1" x14ac:dyDescent="0.2">
      <c r="G42135" s="889"/>
    </row>
    <row r="42136" spans="7:7" ht="10.5" customHeight="1" x14ac:dyDescent="0.2">
      <c r="G42136" s="889"/>
    </row>
    <row r="42137" spans="7:7" ht="10.5" customHeight="1" x14ac:dyDescent="0.2">
      <c r="G42137" s="889"/>
    </row>
    <row r="42138" spans="7:7" ht="10.5" customHeight="1" x14ac:dyDescent="0.2">
      <c r="G42138" s="889"/>
    </row>
    <row r="42139" spans="7:7" ht="10.5" customHeight="1" x14ac:dyDescent="0.2">
      <c r="G42139" s="889"/>
    </row>
    <row r="42140" spans="7:7" ht="10.5" customHeight="1" x14ac:dyDescent="0.2">
      <c r="G42140" s="889"/>
    </row>
    <row r="42141" spans="7:7" ht="10.5" customHeight="1" x14ac:dyDescent="0.2">
      <c r="G42141" s="889"/>
    </row>
    <row r="42142" spans="7:7" ht="10.5" customHeight="1" x14ac:dyDescent="0.2">
      <c r="G42142" s="889"/>
    </row>
    <row r="42143" spans="7:7" ht="10.5" customHeight="1" x14ac:dyDescent="0.2">
      <c r="G42143" s="889"/>
    </row>
    <row r="42144" spans="7:7" ht="10.5" customHeight="1" x14ac:dyDescent="0.2">
      <c r="G42144" s="889"/>
    </row>
    <row r="42145" spans="7:7" ht="10.5" customHeight="1" x14ac:dyDescent="0.2">
      <c r="G42145" s="889"/>
    </row>
    <row r="42146" spans="7:7" ht="10.5" customHeight="1" x14ac:dyDescent="0.2">
      <c r="G42146" s="889"/>
    </row>
    <row r="42147" spans="7:7" ht="10.5" customHeight="1" x14ac:dyDescent="0.2">
      <c r="G42147" s="889"/>
    </row>
    <row r="42148" spans="7:7" ht="10.5" customHeight="1" x14ac:dyDescent="0.2">
      <c r="G42148" s="889"/>
    </row>
    <row r="42149" spans="7:7" ht="10.5" customHeight="1" x14ac:dyDescent="0.2">
      <c r="G42149" s="889"/>
    </row>
    <row r="42150" spans="7:7" ht="10.5" customHeight="1" x14ac:dyDescent="0.2">
      <c r="G42150" s="889"/>
    </row>
    <row r="42151" spans="7:7" ht="10.5" customHeight="1" x14ac:dyDescent="0.2">
      <c r="G42151" s="889"/>
    </row>
    <row r="42152" spans="7:7" ht="10.5" customHeight="1" x14ac:dyDescent="0.2">
      <c r="G42152" s="889"/>
    </row>
    <row r="42153" spans="7:7" ht="10.5" customHeight="1" x14ac:dyDescent="0.2">
      <c r="G42153" s="889"/>
    </row>
    <row r="42154" spans="7:7" ht="10.5" customHeight="1" x14ac:dyDescent="0.2">
      <c r="G42154" s="889"/>
    </row>
    <row r="42155" spans="7:7" ht="10.5" customHeight="1" x14ac:dyDescent="0.2">
      <c r="G42155" s="889"/>
    </row>
    <row r="42156" spans="7:7" ht="10.5" customHeight="1" x14ac:dyDescent="0.2">
      <c r="G42156" s="889"/>
    </row>
    <row r="42157" spans="7:7" ht="10.5" customHeight="1" x14ac:dyDescent="0.2">
      <c r="G42157" s="889"/>
    </row>
    <row r="42158" spans="7:7" ht="10.5" customHeight="1" x14ac:dyDescent="0.2">
      <c r="G42158" s="889"/>
    </row>
    <row r="42159" spans="7:7" ht="10.5" customHeight="1" x14ac:dyDescent="0.2">
      <c r="G42159" s="889"/>
    </row>
    <row r="42160" spans="7:7" ht="10.5" customHeight="1" x14ac:dyDescent="0.2">
      <c r="G42160" s="889"/>
    </row>
    <row r="42161" spans="7:7" ht="10.5" customHeight="1" x14ac:dyDescent="0.2">
      <c r="G42161" s="889"/>
    </row>
    <row r="42162" spans="7:7" ht="10.5" customHeight="1" x14ac:dyDescent="0.2">
      <c r="G42162" s="889"/>
    </row>
    <row r="42163" spans="7:7" ht="10.5" customHeight="1" x14ac:dyDescent="0.2">
      <c r="G42163" s="889"/>
    </row>
    <row r="42164" spans="7:7" ht="10.5" customHeight="1" x14ac:dyDescent="0.2">
      <c r="G42164" s="889"/>
    </row>
    <row r="42165" spans="7:7" ht="10.5" customHeight="1" x14ac:dyDescent="0.2">
      <c r="G42165" s="889"/>
    </row>
    <row r="42166" spans="7:7" ht="10.5" customHeight="1" x14ac:dyDescent="0.2">
      <c r="G42166" s="889"/>
    </row>
    <row r="42167" spans="7:7" ht="10.5" customHeight="1" x14ac:dyDescent="0.2">
      <c r="G42167" s="889"/>
    </row>
    <row r="42168" spans="7:7" ht="10.5" customHeight="1" x14ac:dyDescent="0.2">
      <c r="G42168" s="889"/>
    </row>
    <row r="42169" spans="7:7" ht="10.5" customHeight="1" x14ac:dyDescent="0.2">
      <c r="G42169" s="889"/>
    </row>
    <row r="42170" spans="7:7" ht="10.5" customHeight="1" x14ac:dyDescent="0.2">
      <c r="G42170" s="889"/>
    </row>
    <row r="42171" spans="7:7" ht="10.5" customHeight="1" x14ac:dyDescent="0.2">
      <c r="G42171" s="889"/>
    </row>
    <row r="42172" spans="7:7" ht="10.5" customHeight="1" x14ac:dyDescent="0.2">
      <c r="G42172" s="889"/>
    </row>
    <row r="42173" spans="7:7" ht="10.5" customHeight="1" x14ac:dyDescent="0.2">
      <c r="G42173" s="889"/>
    </row>
    <row r="42174" spans="7:7" ht="10.5" customHeight="1" x14ac:dyDescent="0.2">
      <c r="G42174" s="889"/>
    </row>
    <row r="42175" spans="7:7" ht="10.5" customHeight="1" x14ac:dyDescent="0.2">
      <c r="G42175" s="889"/>
    </row>
    <row r="42176" spans="7:7" ht="10.5" customHeight="1" x14ac:dyDescent="0.2">
      <c r="G42176" s="889"/>
    </row>
    <row r="42177" spans="7:7" ht="10.5" customHeight="1" x14ac:dyDescent="0.2">
      <c r="G42177" s="889"/>
    </row>
    <row r="42178" spans="7:7" ht="10.5" customHeight="1" x14ac:dyDescent="0.2">
      <c r="G42178" s="889"/>
    </row>
    <row r="42179" spans="7:7" ht="10.5" customHeight="1" x14ac:dyDescent="0.2">
      <c r="G42179" s="889"/>
    </row>
    <row r="42180" spans="7:7" ht="10.5" customHeight="1" x14ac:dyDescent="0.2">
      <c r="G42180" s="889"/>
    </row>
    <row r="42181" spans="7:7" ht="10.5" customHeight="1" x14ac:dyDescent="0.2">
      <c r="G42181" s="889"/>
    </row>
    <row r="42182" spans="7:7" ht="10.5" customHeight="1" x14ac:dyDescent="0.2">
      <c r="G42182" s="889"/>
    </row>
    <row r="42183" spans="7:7" ht="10.5" customHeight="1" x14ac:dyDescent="0.2">
      <c r="G42183" s="889"/>
    </row>
    <row r="42184" spans="7:7" ht="10.5" customHeight="1" x14ac:dyDescent="0.2">
      <c r="G42184" s="889"/>
    </row>
    <row r="42185" spans="7:7" ht="10.5" customHeight="1" x14ac:dyDescent="0.2">
      <c r="G42185" s="889"/>
    </row>
    <row r="42186" spans="7:7" ht="10.5" customHeight="1" x14ac:dyDescent="0.2">
      <c r="G42186" s="889"/>
    </row>
    <row r="42187" spans="7:7" ht="10.5" customHeight="1" x14ac:dyDescent="0.2">
      <c r="G42187" s="889"/>
    </row>
    <row r="42188" spans="7:7" ht="10.5" customHeight="1" x14ac:dyDescent="0.2">
      <c r="G42188" s="889"/>
    </row>
    <row r="42189" spans="7:7" ht="10.5" customHeight="1" x14ac:dyDescent="0.2">
      <c r="G42189" s="889"/>
    </row>
    <row r="42190" spans="7:7" ht="10.5" customHeight="1" x14ac:dyDescent="0.2">
      <c r="G42190" s="889"/>
    </row>
    <row r="42191" spans="7:7" ht="10.5" customHeight="1" x14ac:dyDescent="0.2">
      <c r="G42191" s="889"/>
    </row>
    <row r="42192" spans="7:7" ht="10.5" customHeight="1" x14ac:dyDescent="0.2">
      <c r="G42192" s="889"/>
    </row>
    <row r="42193" spans="7:7" ht="10.5" customHeight="1" x14ac:dyDescent="0.2">
      <c r="G42193" s="889"/>
    </row>
    <row r="42194" spans="7:7" ht="10.5" customHeight="1" x14ac:dyDescent="0.2">
      <c r="G42194" s="889"/>
    </row>
    <row r="42195" spans="7:7" ht="10.5" customHeight="1" x14ac:dyDescent="0.2">
      <c r="G42195" s="889"/>
    </row>
    <row r="42196" spans="7:7" ht="10.5" customHeight="1" x14ac:dyDescent="0.2">
      <c r="G42196" s="889"/>
    </row>
    <row r="42197" spans="7:7" ht="10.5" customHeight="1" x14ac:dyDescent="0.2">
      <c r="G42197" s="889"/>
    </row>
    <row r="42198" spans="7:7" ht="10.5" customHeight="1" x14ac:dyDescent="0.2">
      <c r="G42198" s="889"/>
    </row>
    <row r="42199" spans="7:7" ht="10.5" customHeight="1" x14ac:dyDescent="0.2">
      <c r="G42199" s="889"/>
    </row>
    <row r="42200" spans="7:7" ht="10.5" customHeight="1" x14ac:dyDescent="0.2">
      <c r="G42200" s="889"/>
    </row>
    <row r="42201" spans="7:7" ht="10.5" customHeight="1" x14ac:dyDescent="0.2">
      <c r="G42201" s="889"/>
    </row>
    <row r="42202" spans="7:7" ht="10.5" customHeight="1" x14ac:dyDescent="0.2">
      <c r="G42202" s="889"/>
    </row>
    <row r="42203" spans="7:7" ht="10.5" customHeight="1" x14ac:dyDescent="0.2">
      <c r="G42203" s="889"/>
    </row>
    <row r="42204" spans="7:7" ht="10.5" customHeight="1" x14ac:dyDescent="0.2">
      <c r="G42204" s="889"/>
    </row>
    <row r="42205" spans="7:7" ht="10.5" customHeight="1" x14ac:dyDescent="0.2">
      <c r="G42205" s="889"/>
    </row>
    <row r="42206" spans="7:7" ht="10.5" customHeight="1" x14ac:dyDescent="0.2">
      <c r="G42206" s="889"/>
    </row>
    <row r="42207" spans="7:7" ht="10.5" customHeight="1" x14ac:dyDescent="0.2">
      <c r="G42207" s="889"/>
    </row>
    <row r="42208" spans="7:7" ht="10.5" customHeight="1" x14ac:dyDescent="0.2">
      <c r="G42208" s="889"/>
    </row>
    <row r="42209" spans="7:7" ht="10.5" customHeight="1" x14ac:dyDescent="0.2">
      <c r="G42209" s="889"/>
    </row>
    <row r="42210" spans="7:7" ht="10.5" customHeight="1" x14ac:dyDescent="0.2">
      <c r="G42210" s="889"/>
    </row>
    <row r="42211" spans="7:7" ht="10.5" customHeight="1" x14ac:dyDescent="0.2">
      <c r="G42211" s="889"/>
    </row>
    <row r="42212" spans="7:7" ht="10.5" customHeight="1" x14ac:dyDescent="0.2">
      <c r="G42212" s="889"/>
    </row>
    <row r="42213" spans="7:7" ht="10.5" customHeight="1" x14ac:dyDescent="0.2">
      <c r="G42213" s="889"/>
    </row>
    <row r="42214" spans="7:7" ht="10.5" customHeight="1" x14ac:dyDescent="0.2">
      <c r="G42214" s="889"/>
    </row>
    <row r="42215" spans="7:7" ht="10.5" customHeight="1" x14ac:dyDescent="0.2">
      <c r="G42215" s="889"/>
    </row>
    <row r="42216" spans="7:7" ht="10.5" customHeight="1" x14ac:dyDescent="0.2">
      <c r="G42216" s="889"/>
    </row>
    <row r="42217" spans="7:7" ht="10.5" customHeight="1" x14ac:dyDescent="0.2">
      <c r="G42217" s="889"/>
    </row>
    <row r="42218" spans="7:7" ht="10.5" customHeight="1" x14ac:dyDescent="0.2">
      <c r="G42218" s="889"/>
    </row>
    <row r="42219" spans="7:7" ht="10.5" customHeight="1" x14ac:dyDescent="0.2">
      <c r="G42219" s="889"/>
    </row>
    <row r="42220" spans="7:7" ht="10.5" customHeight="1" x14ac:dyDescent="0.2">
      <c r="G42220" s="889"/>
    </row>
    <row r="42221" spans="7:7" ht="10.5" customHeight="1" x14ac:dyDescent="0.2">
      <c r="G42221" s="889"/>
    </row>
    <row r="42222" spans="7:7" ht="10.5" customHeight="1" x14ac:dyDescent="0.2">
      <c r="G42222" s="889"/>
    </row>
    <row r="42223" spans="7:7" ht="10.5" customHeight="1" x14ac:dyDescent="0.2">
      <c r="G42223" s="889"/>
    </row>
    <row r="42224" spans="7:7" ht="10.5" customHeight="1" x14ac:dyDescent="0.2">
      <c r="G42224" s="889"/>
    </row>
    <row r="42225" spans="7:7" ht="10.5" customHeight="1" x14ac:dyDescent="0.2">
      <c r="G42225" s="889"/>
    </row>
    <row r="42226" spans="7:7" ht="10.5" customHeight="1" x14ac:dyDescent="0.2">
      <c r="G42226" s="889"/>
    </row>
    <row r="42227" spans="7:7" ht="10.5" customHeight="1" x14ac:dyDescent="0.2">
      <c r="G42227" s="889"/>
    </row>
    <row r="42228" spans="7:7" ht="10.5" customHeight="1" x14ac:dyDescent="0.2">
      <c r="G42228" s="889"/>
    </row>
    <row r="42229" spans="7:7" ht="10.5" customHeight="1" x14ac:dyDescent="0.2">
      <c r="G42229" s="889"/>
    </row>
    <row r="42230" spans="7:7" ht="10.5" customHeight="1" x14ac:dyDescent="0.2">
      <c r="G42230" s="889"/>
    </row>
    <row r="42231" spans="7:7" ht="10.5" customHeight="1" x14ac:dyDescent="0.2">
      <c r="G42231" s="889"/>
    </row>
    <row r="42232" spans="7:7" ht="10.5" customHeight="1" x14ac:dyDescent="0.2">
      <c r="G42232" s="889"/>
    </row>
    <row r="42233" spans="7:7" ht="10.5" customHeight="1" x14ac:dyDescent="0.2">
      <c r="G42233" s="889"/>
    </row>
    <row r="42234" spans="7:7" ht="10.5" customHeight="1" x14ac:dyDescent="0.2">
      <c r="G42234" s="889"/>
    </row>
    <row r="42235" spans="7:7" ht="10.5" customHeight="1" x14ac:dyDescent="0.2">
      <c r="G42235" s="889"/>
    </row>
    <row r="42236" spans="7:7" ht="10.5" customHeight="1" x14ac:dyDescent="0.2">
      <c r="G42236" s="889"/>
    </row>
    <row r="42237" spans="7:7" ht="10.5" customHeight="1" x14ac:dyDescent="0.2">
      <c r="G42237" s="889"/>
    </row>
    <row r="42238" spans="7:7" ht="10.5" customHeight="1" x14ac:dyDescent="0.2">
      <c r="G42238" s="889"/>
    </row>
    <row r="42239" spans="7:7" ht="10.5" customHeight="1" x14ac:dyDescent="0.2">
      <c r="G42239" s="889"/>
    </row>
    <row r="42240" spans="7:7" ht="10.5" customHeight="1" x14ac:dyDescent="0.2">
      <c r="G42240" s="889"/>
    </row>
    <row r="42241" spans="7:7" ht="10.5" customHeight="1" x14ac:dyDescent="0.2">
      <c r="G42241" s="889"/>
    </row>
    <row r="42242" spans="7:7" ht="10.5" customHeight="1" x14ac:dyDescent="0.2">
      <c r="G42242" s="889"/>
    </row>
    <row r="42243" spans="7:7" ht="10.5" customHeight="1" x14ac:dyDescent="0.2">
      <c r="G42243" s="889"/>
    </row>
    <row r="42244" spans="7:7" ht="10.5" customHeight="1" x14ac:dyDescent="0.2">
      <c r="G42244" s="889"/>
    </row>
    <row r="42245" spans="7:7" ht="10.5" customHeight="1" x14ac:dyDescent="0.2">
      <c r="G42245" s="889"/>
    </row>
    <row r="42246" spans="7:7" ht="10.5" customHeight="1" x14ac:dyDescent="0.2">
      <c r="G42246" s="889"/>
    </row>
    <row r="42247" spans="7:7" ht="10.5" customHeight="1" x14ac:dyDescent="0.2">
      <c r="G42247" s="889"/>
    </row>
    <row r="42248" spans="7:7" ht="10.5" customHeight="1" x14ac:dyDescent="0.2">
      <c r="G42248" s="889"/>
    </row>
    <row r="42249" spans="7:7" ht="10.5" customHeight="1" x14ac:dyDescent="0.2">
      <c r="G42249" s="889"/>
    </row>
    <row r="42250" spans="7:7" ht="10.5" customHeight="1" x14ac:dyDescent="0.2">
      <c r="G42250" s="889"/>
    </row>
    <row r="42251" spans="7:7" ht="10.5" customHeight="1" x14ac:dyDescent="0.2">
      <c r="G42251" s="889"/>
    </row>
    <row r="42252" spans="7:7" ht="10.5" customHeight="1" x14ac:dyDescent="0.2">
      <c r="G42252" s="889"/>
    </row>
    <row r="42253" spans="7:7" ht="10.5" customHeight="1" x14ac:dyDescent="0.2">
      <c r="G42253" s="889"/>
    </row>
    <row r="42254" spans="7:7" ht="10.5" customHeight="1" x14ac:dyDescent="0.2">
      <c r="G42254" s="889"/>
    </row>
    <row r="42255" spans="7:7" ht="10.5" customHeight="1" x14ac:dyDescent="0.2">
      <c r="G42255" s="889"/>
    </row>
    <row r="42256" spans="7:7" ht="10.5" customHeight="1" x14ac:dyDescent="0.2">
      <c r="G42256" s="889"/>
    </row>
    <row r="42257" spans="7:7" ht="10.5" customHeight="1" x14ac:dyDescent="0.2">
      <c r="G42257" s="889"/>
    </row>
    <row r="42258" spans="7:7" ht="10.5" customHeight="1" x14ac:dyDescent="0.2">
      <c r="G42258" s="889"/>
    </row>
    <row r="42259" spans="7:7" ht="10.5" customHeight="1" x14ac:dyDescent="0.2">
      <c r="G42259" s="889"/>
    </row>
    <row r="42260" spans="7:7" ht="10.5" customHeight="1" x14ac:dyDescent="0.2">
      <c r="G42260" s="889"/>
    </row>
    <row r="42261" spans="7:7" ht="10.5" customHeight="1" x14ac:dyDescent="0.2">
      <c r="G42261" s="889"/>
    </row>
    <row r="42262" spans="7:7" ht="10.5" customHeight="1" x14ac:dyDescent="0.2">
      <c r="G42262" s="889"/>
    </row>
    <row r="42263" spans="7:7" ht="10.5" customHeight="1" x14ac:dyDescent="0.2">
      <c r="G42263" s="889"/>
    </row>
    <row r="42264" spans="7:7" ht="10.5" customHeight="1" x14ac:dyDescent="0.2">
      <c r="G42264" s="889"/>
    </row>
    <row r="42265" spans="7:7" ht="10.5" customHeight="1" x14ac:dyDescent="0.2">
      <c r="G42265" s="889"/>
    </row>
    <row r="42266" spans="7:7" ht="10.5" customHeight="1" x14ac:dyDescent="0.2">
      <c r="G42266" s="889"/>
    </row>
    <row r="42267" spans="7:7" ht="10.5" customHeight="1" x14ac:dyDescent="0.2">
      <c r="G42267" s="889"/>
    </row>
    <row r="42268" spans="7:7" ht="10.5" customHeight="1" x14ac:dyDescent="0.2">
      <c r="G42268" s="889"/>
    </row>
    <row r="42269" spans="7:7" ht="10.5" customHeight="1" x14ac:dyDescent="0.2">
      <c r="G42269" s="889"/>
    </row>
    <row r="42270" spans="7:7" ht="10.5" customHeight="1" x14ac:dyDescent="0.2">
      <c r="G42270" s="889"/>
    </row>
    <row r="42271" spans="7:7" ht="10.5" customHeight="1" x14ac:dyDescent="0.2">
      <c r="G42271" s="889"/>
    </row>
    <row r="42272" spans="7:7" ht="10.5" customHeight="1" x14ac:dyDescent="0.2">
      <c r="G42272" s="889"/>
    </row>
    <row r="42273" spans="7:7" ht="10.5" customHeight="1" x14ac:dyDescent="0.2">
      <c r="G42273" s="889"/>
    </row>
    <row r="42274" spans="7:7" ht="10.5" customHeight="1" x14ac:dyDescent="0.2">
      <c r="G42274" s="889"/>
    </row>
    <row r="42275" spans="7:7" ht="10.5" customHeight="1" x14ac:dyDescent="0.2">
      <c r="G42275" s="889"/>
    </row>
    <row r="42276" spans="7:7" ht="10.5" customHeight="1" x14ac:dyDescent="0.2">
      <c r="G42276" s="889"/>
    </row>
    <row r="42277" spans="7:7" ht="10.5" customHeight="1" x14ac:dyDescent="0.2">
      <c r="G42277" s="889"/>
    </row>
    <row r="42278" spans="7:7" ht="10.5" customHeight="1" x14ac:dyDescent="0.2">
      <c r="G42278" s="889"/>
    </row>
    <row r="42279" spans="7:7" ht="10.5" customHeight="1" x14ac:dyDescent="0.2">
      <c r="G42279" s="889"/>
    </row>
    <row r="42280" spans="7:7" ht="10.5" customHeight="1" x14ac:dyDescent="0.2">
      <c r="G42280" s="889"/>
    </row>
    <row r="42281" spans="7:7" ht="10.5" customHeight="1" x14ac:dyDescent="0.2">
      <c r="G42281" s="889"/>
    </row>
    <row r="42282" spans="7:7" ht="10.5" customHeight="1" x14ac:dyDescent="0.2">
      <c r="G42282" s="889"/>
    </row>
    <row r="42283" spans="7:7" ht="10.5" customHeight="1" x14ac:dyDescent="0.2">
      <c r="G42283" s="889"/>
    </row>
    <row r="42284" spans="7:7" ht="10.5" customHeight="1" x14ac:dyDescent="0.2">
      <c r="G42284" s="889"/>
    </row>
    <row r="42285" spans="7:7" ht="10.5" customHeight="1" x14ac:dyDescent="0.2">
      <c r="G42285" s="889"/>
    </row>
    <row r="42286" spans="7:7" ht="10.5" customHeight="1" x14ac:dyDescent="0.2">
      <c r="G42286" s="889"/>
    </row>
    <row r="42287" spans="7:7" ht="10.5" customHeight="1" x14ac:dyDescent="0.2">
      <c r="G42287" s="889"/>
    </row>
    <row r="42288" spans="7:7" ht="10.5" customHeight="1" x14ac:dyDescent="0.2">
      <c r="G42288" s="889"/>
    </row>
    <row r="42289" spans="7:7" ht="10.5" customHeight="1" x14ac:dyDescent="0.2">
      <c r="G42289" s="889"/>
    </row>
    <row r="42290" spans="7:7" ht="10.5" customHeight="1" x14ac:dyDescent="0.2">
      <c r="G42290" s="889"/>
    </row>
    <row r="42291" spans="7:7" ht="10.5" customHeight="1" x14ac:dyDescent="0.2">
      <c r="G42291" s="889"/>
    </row>
    <row r="42292" spans="7:7" ht="10.5" customHeight="1" x14ac:dyDescent="0.2">
      <c r="G42292" s="889"/>
    </row>
    <row r="42293" spans="7:7" ht="10.5" customHeight="1" x14ac:dyDescent="0.2">
      <c r="G42293" s="889"/>
    </row>
    <row r="42294" spans="7:7" ht="10.5" customHeight="1" x14ac:dyDescent="0.2">
      <c r="G42294" s="889"/>
    </row>
    <row r="42295" spans="7:7" ht="10.5" customHeight="1" x14ac:dyDescent="0.2">
      <c r="G42295" s="889"/>
    </row>
    <row r="42296" spans="7:7" ht="10.5" customHeight="1" x14ac:dyDescent="0.2">
      <c r="G42296" s="889"/>
    </row>
    <row r="42297" spans="7:7" ht="10.5" customHeight="1" x14ac:dyDescent="0.2">
      <c r="G42297" s="889"/>
    </row>
    <row r="42298" spans="7:7" ht="10.5" customHeight="1" x14ac:dyDescent="0.2">
      <c r="G42298" s="889"/>
    </row>
    <row r="42299" spans="7:7" ht="10.5" customHeight="1" x14ac:dyDescent="0.2">
      <c r="G42299" s="889"/>
    </row>
    <row r="42300" spans="7:7" ht="10.5" customHeight="1" x14ac:dyDescent="0.2">
      <c r="G42300" s="889"/>
    </row>
    <row r="42301" spans="7:7" ht="10.5" customHeight="1" x14ac:dyDescent="0.2">
      <c r="G42301" s="889"/>
    </row>
    <row r="42302" spans="7:7" ht="10.5" customHeight="1" x14ac:dyDescent="0.2">
      <c r="G42302" s="889"/>
    </row>
    <row r="42303" spans="7:7" ht="10.5" customHeight="1" x14ac:dyDescent="0.2">
      <c r="G42303" s="889"/>
    </row>
    <row r="42304" spans="7:7" ht="10.5" customHeight="1" x14ac:dyDescent="0.2">
      <c r="G42304" s="889"/>
    </row>
    <row r="42305" spans="7:7" ht="10.5" customHeight="1" x14ac:dyDescent="0.2">
      <c r="G42305" s="889"/>
    </row>
    <row r="42306" spans="7:7" ht="10.5" customHeight="1" x14ac:dyDescent="0.2">
      <c r="G42306" s="889"/>
    </row>
    <row r="42307" spans="7:7" ht="10.5" customHeight="1" x14ac:dyDescent="0.2">
      <c r="G42307" s="889"/>
    </row>
    <row r="42308" spans="7:7" ht="10.5" customHeight="1" x14ac:dyDescent="0.2">
      <c r="G42308" s="889"/>
    </row>
    <row r="42309" spans="7:7" ht="10.5" customHeight="1" x14ac:dyDescent="0.2">
      <c r="G42309" s="889"/>
    </row>
    <row r="42310" spans="7:7" ht="10.5" customHeight="1" x14ac:dyDescent="0.2">
      <c r="G42310" s="889"/>
    </row>
    <row r="42311" spans="7:7" ht="10.5" customHeight="1" x14ac:dyDescent="0.2">
      <c r="G42311" s="889"/>
    </row>
    <row r="42312" spans="7:7" ht="10.5" customHeight="1" x14ac:dyDescent="0.2">
      <c r="G42312" s="889"/>
    </row>
    <row r="42313" spans="7:7" ht="10.5" customHeight="1" x14ac:dyDescent="0.2">
      <c r="G42313" s="889"/>
    </row>
    <row r="42314" spans="7:7" ht="10.5" customHeight="1" x14ac:dyDescent="0.2">
      <c r="G42314" s="889"/>
    </row>
    <row r="42315" spans="7:7" ht="10.5" customHeight="1" x14ac:dyDescent="0.2">
      <c r="G42315" s="889"/>
    </row>
    <row r="42316" spans="7:7" ht="10.5" customHeight="1" x14ac:dyDescent="0.2">
      <c r="G42316" s="889"/>
    </row>
    <row r="42317" spans="7:7" ht="10.5" customHeight="1" x14ac:dyDescent="0.2">
      <c r="G42317" s="889"/>
    </row>
    <row r="42318" spans="7:7" ht="10.5" customHeight="1" x14ac:dyDescent="0.2">
      <c r="G42318" s="889"/>
    </row>
    <row r="42319" spans="7:7" ht="10.5" customHeight="1" x14ac:dyDescent="0.2">
      <c r="G42319" s="889"/>
    </row>
    <row r="42320" spans="7:7" ht="10.5" customHeight="1" x14ac:dyDescent="0.2">
      <c r="G42320" s="889"/>
    </row>
    <row r="42321" spans="7:7" ht="10.5" customHeight="1" x14ac:dyDescent="0.2">
      <c r="G42321" s="889"/>
    </row>
    <row r="42322" spans="7:7" ht="10.5" customHeight="1" x14ac:dyDescent="0.2">
      <c r="G42322" s="889"/>
    </row>
    <row r="42323" spans="7:7" ht="10.5" customHeight="1" x14ac:dyDescent="0.2">
      <c r="G42323" s="889"/>
    </row>
    <row r="42324" spans="7:7" ht="10.5" customHeight="1" x14ac:dyDescent="0.2">
      <c r="G42324" s="889"/>
    </row>
    <row r="42325" spans="7:7" ht="10.5" customHeight="1" x14ac:dyDescent="0.2">
      <c r="G42325" s="889"/>
    </row>
    <row r="42326" spans="7:7" ht="10.5" customHeight="1" x14ac:dyDescent="0.2">
      <c r="G42326" s="889"/>
    </row>
    <row r="42327" spans="7:7" ht="10.5" customHeight="1" x14ac:dyDescent="0.2">
      <c r="G42327" s="889"/>
    </row>
    <row r="42328" spans="7:7" ht="10.5" customHeight="1" x14ac:dyDescent="0.2">
      <c r="G42328" s="889"/>
    </row>
    <row r="42329" spans="7:7" ht="10.5" customHeight="1" x14ac:dyDescent="0.2">
      <c r="G42329" s="889"/>
    </row>
    <row r="42330" spans="7:7" ht="10.5" customHeight="1" x14ac:dyDescent="0.2">
      <c r="G42330" s="889"/>
    </row>
    <row r="42331" spans="7:7" ht="10.5" customHeight="1" x14ac:dyDescent="0.2">
      <c r="G42331" s="889"/>
    </row>
    <row r="42332" spans="7:7" ht="10.5" customHeight="1" x14ac:dyDescent="0.2">
      <c r="G42332" s="889"/>
    </row>
    <row r="42333" spans="7:7" ht="10.5" customHeight="1" x14ac:dyDescent="0.2">
      <c r="G42333" s="889"/>
    </row>
    <row r="42334" spans="7:7" ht="10.5" customHeight="1" x14ac:dyDescent="0.2">
      <c r="G42334" s="889"/>
    </row>
    <row r="42335" spans="7:7" ht="10.5" customHeight="1" x14ac:dyDescent="0.2">
      <c r="G42335" s="889"/>
    </row>
    <row r="42336" spans="7:7" ht="10.5" customHeight="1" x14ac:dyDescent="0.2">
      <c r="G42336" s="889"/>
    </row>
    <row r="42337" spans="7:7" ht="10.5" customHeight="1" x14ac:dyDescent="0.2">
      <c r="G42337" s="889"/>
    </row>
    <row r="42338" spans="7:7" ht="10.5" customHeight="1" x14ac:dyDescent="0.2">
      <c r="G42338" s="889"/>
    </row>
    <row r="42339" spans="7:7" ht="10.5" customHeight="1" x14ac:dyDescent="0.2">
      <c r="G42339" s="889"/>
    </row>
    <row r="42340" spans="7:7" ht="10.5" customHeight="1" x14ac:dyDescent="0.2">
      <c r="G42340" s="889"/>
    </row>
    <row r="42341" spans="7:7" ht="10.5" customHeight="1" x14ac:dyDescent="0.2">
      <c r="G42341" s="889"/>
    </row>
    <row r="42342" spans="7:7" ht="10.5" customHeight="1" x14ac:dyDescent="0.2">
      <c r="G42342" s="889"/>
    </row>
    <row r="42343" spans="7:7" ht="10.5" customHeight="1" x14ac:dyDescent="0.2">
      <c r="G42343" s="889"/>
    </row>
    <row r="42344" spans="7:7" ht="10.5" customHeight="1" x14ac:dyDescent="0.2">
      <c r="G42344" s="889"/>
    </row>
    <row r="42345" spans="7:7" ht="10.5" customHeight="1" x14ac:dyDescent="0.2">
      <c r="G42345" s="889"/>
    </row>
    <row r="42346" spans="7:7" ht="10.5" customHeight="1" x14ac:dyDescent="0.2">
      <c r="G42346" s="889"/>
    </row>
    <row r="42347" spans="7:7" ht="10.5" customHeight="1" x14ac:dyDescent="0.2">
      <c r="G42347" s="889"/>
    </row>
    <row r="42348" spans="7:7" ht="10.5" customHeight="1" x14ac:dyDescent="0.2">
      <c r="G42348" s="889"/>
    </row>
    <row r="42349" spans="7:7" ht="10.5" customHeight="1" x14ac:dyDescent="0.2">
      <c r="G42349" s="889"/>
    </row>
    <row r="42350" spans="7:7" ht="10.5" customHeight="1" x14ac:dyDescent="0.2">
      <c r="G42350" s="889"/>
    </row>
    <row r="42351" spans="7:7" ht="10.5" customHeight="1" x14ac:dyDescent="0.2">
      <c r="G42351" s="889"/>
    </row>
    <row r="42352" spans="7:7" ht="10.5" customHeight="1" x14ac:dyDescent="0.2">
      <c r="G42352" s="889"/>
    </row>
    <row r="42353" spans="7:7" ht="10.5" customHeight="1" x14ac:dyDescent="0.2">
      <c r="G42353" s="889"/>
    </row>
    <row r="42354" spans="7:7" ht="10.5" customHeight="1" x14ac:dyDescent="0.2">
      <c r="G42354" s="889"/>
    </row>
    <row r="42355" spans="7:7" ht="10.5" customHeight="1" x14ac:dyDescent="0.2">
      <c r="G42355" s="889"/>
    </row>
    <row r="42356" spans="7:7" ht="10.5" customHeight="1" x14ac:dyDescent="0.2">
      <c r="G42356" s="889"/>
    </row>
    <row r="42357" spans="7:7" ht="10.5" customHeight="1" x14ac:dyDescent="0.2">
      <c r="G42357" s="889"/>
    </row>
    <row r="42358" spans="7:7" ht="10.5" customHeight="1" x14ac:dyDescent="0.2">
      <c r="G42358" s="889"/>
    </row>
    <row r="42359" spans="7:7" ht="10.5" customHeight="1" x14ac:dyDescent="0.2">
      <c r="G42359" s="889"/>
    </row>
    <row r="42360" spans="7:7" ht="10.5" customHeight="1" x14ac:dyDescent="0.2">
      <c r="G42360" s="889"/>
    </row>
    <row r="42361" spans="7:7" ht="10.5" customHeight="1" x14ac:dyDescent="0.2">
      <c r="G42361" s="889"/>
    </row>
    <row r="42362" spans="7:7" ht="10.5" customHeight="1" x14ac:dyDescent="0.2">
      <c r="G42362" s="889"/>
    </row>
    <row r="42363" spans="7:7" ht="10.5" customHeight="1" x14ac:dyDescent="0.2">
      <c r="G42363" s="889"/>
    </row>
    <row r="42364" spans="7:7" ht="10.5" customHeight="1" x14ac:dyDescent="0.2">
      <c r="G42364" s="889"/>
    </row>
    <row r="42365" spans="7:7" ht="10.5" customHeight="1" x14ac:dyDescent="0.2">
      <c r="G42365" s="889"/>
    </row>
    <row r="42366" spans="7:7" ht="10.5" customHeight="1" x14ac:dyDescent="0.2">
      <c r="G42366" s="889"/>
    </row>
    <row r="42367" spans="7:7" ht="10.5" customHeight="1" x14ac:dyDescent="0.2">
      <c r="G42367" s="889"/>
    </row>
    <row r="42368" spans="7:7" ht="10.5" customHeight="1" x14ac:dyDescent="0.2">
      <c r="G42368" s="889"/>
    </row>
    <row r="42369" spans="7:7" ht="10.5" customHeight="1" x14ac:dyDescent="0.2">
      <c r="G42369" s="889"/>
    </row>
    <row r="42370" spans="7:7" ht="10.5" customHeight="1" x14ac:dyDescent="0.2">
      <c r="G42370" s="889"/>
    </row>
    <row r="42371" spans="7:7" ht="10.5" customHeight="1" x14ac:dyDescent="0.2">
      <c r="G42371" s="889"/>
    </row>
    <row r="42372" spans="7:7" ht="10.5" customHeight="1" x14ac:dyDescent="0.2">
      <c r="G42372" s="889"/>
    </row>
    <row r="42373" spans="7:7" ht="10.5" customHeight="1" x14ac:dyDescent="0.2">
      <c r="G42373" s="889"/>
    </row>
    <row r="42374" spans="7:7" ht="10.5" customHeight="1" x14ac:dyDescent="0.2">
      <c r="G42374" s="889"/>
    </row>
    <row r="42375" spans="7:7" ht="10.5" customHeight="1" x14ac:dyDescent="0.2">
      <c r="G42375" s="889"/>
    </row>
    <row r="42376" spans="7:7" ht="10.5" customHeight="1" x14ac:dyDescent="0.2">
      <c r="G42376" s="889"/>
    </row>
    <row r="42377" spans="7:7" ht="10.5" customHeight="1" x14ac:dyDescent="0.2">
      <c r="G42377" s="889"/>
    </row>
    <row r="42378" spans="7:7" ht="10.5" customHeight="1" x14ac:dyDescent="0.2">
      <c r="G42378" s="889"/>
    </row>
    <row r="42379" spans="7:7" ht="10.5" customHeight="1" x14ac:dyDescent="0.2">
      <c r="G42379" s="889"/>
    </row>
    <row r="42380" spans="7:7" ht="10.5" customHeight="1" x14ac:dyDescent="0.2">
      <c r="G42380" s="889"/>
    </row>
    <row r="42381" spans="7:7" ht="10.5" customHeight="1" x14ac:dyDescent="0.2">
      <c r="G42381" s="889"/>
    </row>
    <row r="42382" spans="7:7" ht="10.5" customHeight="1" x14ac:dyDescent="0.2">
      <c r="G42382" s="889"/>
    </row>
    <row r="42383" spans="7:7" ht="10.5" customHeight="1" x14ac:dyDescent="0.2">
      <c r="G42383" s="889"/>
    </row>
    <row r="42384" spans="7:7" ht="10.5" customHeight="1" x14ac:dyDescent="0.2">
      <c r="G42384" s="889"/>
    </row>
    <row r="42385" spans="7:7" ht="10.5" customHeight="1" x14ac:dyDescent="0.2">
      <c r="G42385" s="889"/>
    </row>
    <row r="42386" spans="7:7" ht="10.5" customHeight="1" x14ac:dyDescent="0.2">
      <c r="G42386" s="889"/>
    </row>
    <row r="42387" spans="7:7" ht="10.5" customHeight="1" x14ac:dyDescent="0.2">
      <c r="G42387" s="889"/>
    </row>
    <row r="42388" spans="7:7" ht="10.5" customHeight="1" x14ac:dyDescent="0.2">
      <c r="G42388" s="889"/>
    </row>
    <row r="42389" spans="7:7" ht="10.5" customHeight="1" x14ac:dyDescent="0.2">
      <c r="G42389" s="889"/>
    </row>
    <row r="42390" spans="7:7" ht="10.5" customHeight="1" x14ac:dyDescent="0.2">
      <c r="G42390" s="889"/>
    </row>
    <row r="42391" spans="7:7" ht="10.5" customHeight="1" x14ac:dyDescent="0.2">
      <c r="G42391" s="889"/>
    </row>
    <row r="42392" spans="7:7" ht="10.5" customHeight="1" x14ac:dyDescent="0.2">
      <c r="G42392" s="889"/>
    </row>
    <row r="42393" spans="7:7" ht="10.5" customHeight="1" x14ac:dyDescent="0.2">
      <c r="G42393" s="889"/>
    </row>
    <row r="42394" spans="7:7" ht="10.5" customHeight="1" x14ac:dyDescent="0.2">
      <c r="G42394" s="889"/>
    </row>
    <row r="42395" spans="7:7" ht="10.5" customHeight="1" x14ac:dyDescent="0.2">
      <c r="G42395" s="889"/>
    </row>
    <row r="42396" spans="7:7" ht="10.5" customHeight="1" x14ac:dyDescent="0.2">
      <c r="G42396" s="889"/>
    </row>
    <row r="42397" spans="7:7" ht="10.5" customHeight="1" x14ac:dyDescent="0.2">
      <c r="G42397" s="889"/>
    </row>
    <row r="42398" spans="7:7" ht="10.5" customHeight="1" x14ac:dyDescent="0.2">
      <c r="G42398" s="889"/>
    </row>
    <row r="42399" spans="7:7" ht="10.5" customHeight="1" x14ac:dyDescent="0.2">
      <c r="G42399" s="889"/>
    </row>
    <row r="42400" spans="7:7" ht="10.5" customHeight="1" x14ac:dyDescent="0.2">
      <c r="G42400" s="889"/>
    </row>
    <row r="42401" spans="7:7" ht="10.5" customHeight="1" x14ac:dyDescent="0.2">
      <c r="G42401" s="889"/>
    </row>
    <row r="42402" spans="7:7" ht="10.5" customHeight="1" x14ac:dyDescent="0.2">
      <c r="G42402" s="889"/>
    </row>
    <row r="42403" spans="7:7" ht="10.5" customHeight="1" x14ac:dyDescent="0.2">
      <c r="G42403" s="889"/>
    </row>
    <row r="42404" spans="7:7" ht="10.5" customHeight="1" x14ac:dyDescent="0.2">
      <c r="G42404" s="889"/>
    </row>
    <row r="42405" spans="7:7" ht="10.5" customHeight="1" x14ac:dyDescent="0.2">
      <c r="G42405" s="889"/>
    </row>
    <row r="42406" spans="7:7" ht="10.5" customHeight="1" x14ac:dyDescent="0.2">
      <c r="G42406" s="889"/>
    </row>
    <row r="42407" spans="7:7" ht="10.5" customHeight="1" x14ac:dyDescent="0.2">
      <c r="G42407" s="889"/>
    </row>
    <row r="42408" spans="7:7" ht="10.5" customHeight="1" x14ac:dyDescent="0.2">
      <c r="G42408" s="889"/>
    </row>
    <row r="42409" spans="7:7" ht="10.5" customHeight="1" x14ac:dyDescent="0.2">
      <c r="G42409" s="889"/>
    </row>
    <row r="42410" spans="7:7" ht="10.5" customHeight="1" x14ac:dyDescent="0.2">
      <c r="G42410" s="889"/>
    </row>
    <row r="42411" spans="7:7" ht="10.5" customHeight="1" x14ac:dyDescent="0.2">
      <c r="G42411" s="889"/>
    </row>
    <row r="42412" spans="7:7" ht="10.5" customHeight="1" x14ac:dyDescent="0.2">
      <c r="G42412" s="889"/>
    </row>
    <row r="42413" spans="7:7" ht="10.5" customHeight="1" x14ac:dyDescent="0.2">
      <c r="G42413" s="889"/>
    </row>
    <row r="42414" spans="7:7" ht="10.5" customHeight="1" x14ac:dyDescent="0.2">
      <c r="G42414" s="889"/>
    </row>
    <row r="42415" spans="7:7" ht="10.5" customHeight="1" x14ac:dyDescent="0.2">
      <c r="G42415" s="889"/>
    </row>
    <row r="42416" spans="7:7" ht="10.5" customHeight="1" x14ac:dyDescent="0.2">
      <c r="G42416" s="889"/>
    </row>
    <row r="42417" spans="7:7" ht="10.5" customHeight="1" x14ac:dyDescent="0.2">
      <c r="G42417" s="889"/>
    </row>
    <row r="42418" spans="7:7" ht="10.5" customHeight="1" x14ac:dyDescent="0.2">
      <c r="G42418" s="889"/>
    </row>
    <row r="42419" spans="7:7" ht="10.5" customHeight="1" x14ac:dyDescent="0.2">
      <c r="G42419" s="889"/>
    </row>
    <row r="42420" spans="7:7" ht="10.5" customHeight="1" x14ac:dyDescent="0.2">
      <c r="G42420" s="889"/>
    </row>
    <row r="42421" spans="7:7" ht="10.5" customHeight="1" x14ac:dyDescent="0.2">
      <c r="G42421" s="889"/>
    </row>
    <row r="42422" spans="7:7" ht="10.5" customHeight="1" x14ac:dyDescent="0.2">
      <c r="G42422" s="889"/>
    </row>
    <row r="42423" spans="7:7" ht="10.5" customHeight="1" x14ac:dyDescent="0.2">
      <c r="G42423" s="889"/>
    </row>
    <row r="42424" spans="7:7" ht="10.5" customHeight="1" x14ac:dyDescent="0.2">
      <c r="G42424" s="889"/>
    </row>
    <row r="42425" spans="7:7" ht="10.5" customHeight="1" x14ac:dyDescent="0.2">
      <c r="G42425" s="889"/>
    </row>
    <row r="42426" spans="7:7" ht="10.5" customHeight="1" x14ac:dyDescent="0.2">
      <c r="G42426" s="889"/>
    </row>
    <row r="42427" spans="7:7" ht="10.5" customHeight="1" x14ac:dyDescent="0.2">
      <c r="G42427" s="889"/>
    </row>
    <row r="42428" spans="7:7" ht="10.5" customHeight="1" x14ac:dyDescent="0.2">
      <c r="G42428" s="889"/>
    </row>
    <row r="42429" spans="7:7" ht="10.5" customHeight="1" x14ac:dyDescent="0.2">
      <c r="G42429" s="889"/>
    </row>
    <row r="42430" spans="7:7" ht="10.5" customHeight="1" x14ac:dyDescent="0.2">
      <c r="G42430" s="889"/>
    </row>
    <row r="42431" spans="7:7" ht="10.5" customHeight="1" x14ac:dyDescent="0.2">
      <c r="G42431" s="889"/>
    </row>
    <row r="42432" spans="7:7" ht="10.5" customHeight="1" x14ac:dyDescent="0.2">
      <c r="G42432" s="889"/>
    </row>
    <row r="42433" spans="7:7" ht="10.5" customHeight="1" x14ac:dyDescent="0.2">
      <c r="G42433" s="889"/>
    </row>
    <row r="42434" spans="7:7" ht="10.5" customHeight="1" x14ac:dyDescent="0.2">
      <c r="G42434" s="889"/>
    </row>
    <row r="42435" spans="7:7" ht="10.5" customHeight="1" x14ac:dyDescent="0.2">
      <c r="G42435" s="889"/>
    </row>
    <row r="42436" spans="7:7" ht="10.5" customHeight="1" x14ac:dyDescent="0.2">
      <c r="G42436" s="889"/>
    </row>
    <row r="42437" spans="7:7" ht="10.5" customHeight="1" x14ac:dyDescent="0.2">
      <c r="G42437" s="889"/>
    </row>
    <row r="42438" spans="7:7" ht="10.5" customHeight="1" x14ac:dyDescent="0.2">
      <c r="G42438" s="889"/>
    </row>
    <row r="42439" spans="7:7" ht="10.5" customHeight="1" x14ac:dyDescent="0.2">
      <c r="G42439" s="889"/>
    </row>
    <row r="42440" spans="7:7" ht="10.5" customHeight="1" x14ac:dyDescent="0.2">
      <c r="G42440" s="889"/>
    </row>
    <row r="42441" spans="7:7" ht="10.5" customHeight="1" x14ac:dyDescent="0.2">
      <c r="G42441" s="889"/>
    </row>
    <row r="42442" spans="7:7" ht="10.5" customHeight="1" x14ac:dyDescent="0.2">
      <c r="G42442" s="889"/>
    </row>
    <row r="42443" spans="7:7" ht="10.5" customHeight="1" x14ac:dyDescent="0.2">
      <c r="G42443" s="889"/>
    </row>
    <row r="42444" spans="7:7" ht="10.5" customHeight="1" x14ac:dyDescent="0.2">
      <c r="G42444" s="889"/>
    </row>
    <row r="42445" spans="7:7" ht="10.5" customHeight="1" x14ac:dyDescent="0.2">
      <c r="G42445" s="889"/>
    </row>
    <row r="42446" spans="7:7" ht="10.5" customHeight="1" x14ac:dyDescent="0.2">
      <c r="G42446" s="889"/>
    </row>
    <row r="42447" spans="7:7" ht="10.5" customHeight="1" x14ac:dyDescent="0.2">
      <c r="G42447" s="889"/>
    </row>
    <row r="42448" spans="7:7" ht="10.5" customHeight="1" x14ac:dyDescent="0.2">
      <c r="G42448" s="889"/>
    </row>
    <row r="42449" spans="7:7" ht="10.5" customHeight="1" x14ac:dyDescent="0.2">
      <c r="G42449" s="889"/>
    </row>
    <row r="42450" spans="7:7" ht="10.5" customHeight="1" x14ac:dyDescent="0.2">
      <c r="G42450" s="889"/>
    </row>
    <row r="42451" spans="7:7" ht="10.5" customHeight="1" x14ac:dyDescent="0.2">
      <c r="G42451" s="889"/>
    </row>
    <row r="42452" spans="7:7" ht="10.5" customHeight="1" x14ac:dyDescent="0.2">
      <c r="G42452" s="889"/>
    </row>
    <row r="42453" spans="7:7" ht="10.5" customHeight="1" x14ac:dyDescent="0.2">
      <c r="G42453" s="889"/>
    </row>
    <row r="42454" spans="7:7" ht="10.5" customHeight="1" x14ac:dyDescent="0.2">
      <c r="G42454" s="889"/>
    </row>
    <row r="42455" spans="7:7" ht="10.5" customHeight="1" x14ac:dyDescent="0.2">
      <c r="G42455" s="889"/>
    </row>
    <row r="42456" spans="7:7" ht="10.5" customHeight="1" x14ac:dyDescent="0.2">
      <c r="G42456" s="889"/>
    </row>
    <row r="42457" spans="7:7" ht="10.5" customHeight="1" x14ac:dyDescent="0.2">
      <c r="G42457" s="889"/>
    </row>
    <row r="42458" spans="7:7" ht="10.5" customHeight="1" x14ac:dyDescent="0.2">
      <c r="G42458" s="889"/>
    </row>
    <row r="42459" spans="7:7" ht="10.5" customHeight="1" x14ac:dyDescent="0.2">
      <c r="G42459" s="889"/>
    </row>
    <row r="42460" spans="7:7" ht="10.5" customHeight="1" x14ac:dyDescent="0.2">
      <c r="G42460" s="889"/>
    </row>
    <row r="42461" spans="7:7" ht="10.5" customHeight="1" x14ac:dyDescent="0.2">
      <c r="G42461" s="889"/>
    </row>
    <row r="42462" spans="7:7" ht="10.5" customHeight="1" x14ac:dyDescent="0.2">
      <c r="G42462" s="889"/>
    </row>
    <row r="42463" spans="7:7" ht="10.5" customHeight="1" x14ac:dyDescent="0.2">
      <c r="G42463" s="889"/>
    </row>
    <row r="42464" spans="7:7" ht="10.5" customHeight="1" x14ac:dyDescent="0.2">
      <c r="G42464" s="889"/>
    </row>
    <row r="42465" spans="7:7" ht="10.5" customHeight="1" x14ac:dyDescent="0.2">
      <c r="G42465" s="889"/>
    </row>
    <row r="42466" spans="7:7" ht="10.5" customHeight="1" x14ac:dyDescent="0.2">
      <c r="G42466" s="889"/>
    </row>
    <row r="42467" spans="7:7" ht="10.5" customHeight="1" x14ac:dyDescent="0.2">
      <c r="G42467" s="889"/>
    </row>
    <row r="42468" spans="7:7" ht="10.5" customHeight="1" x14ac:dyDescent="0.2">
      <c r="G42468" s="889"/>
    </row>
    <row r="42469" spans="7:7" ht="10.5" customHeight="1" x14ac:dyDescent="0.2">
      <c r="G42469" s="889"/>
    </row>
    <row r="42470" spans="7:7" ht="10.5" customHeight="1" x14ac:dyDescent="0.2">
      <c r="G42470" s="889"/>
    </row>
    <row r="42471" spans="7:7" ht="10.5" customHeight="1" x14ac:dyDescent="0.2">
      <c r="G42471" s="889"/>
    </row>
    <row r="42472" spans="7:7" ht="10.5" customHeight="1" x14ac:dyDescent="0.2">
      <c r="G42472" s="889"/>
    </row>
    <row r="42473" spans="7:7" ht="10.5" customHeight="1" x14ac:dyDescent="0.2">
      <c r="G42473" s="889"/>
    </row>
    <row r="42474" spans="7:7" ht="10.5" customHeight="1" x14ac:dyDescent="0.2">
      <c r="G42474" s="889"/>
    </row>
    <row r="42475" spans="7:7" ht="10.5" customHeight="1" x14ac:dyDescent="0.2">
      <c r="G42475" s="889"/>
    </row>
    <row r="42476" spans="7:7" ht="10.5" customHeight="1" x14ac:dyDescent="0.2">
      <c r="G42476" s="889"/>
    </row>
    <row r="42477" spans="7:7" ht="10.5" customHeight="1" x14ac:dyDescent="0.2">
      <c r="G42477" s="889"/>
    </row>
    <row r="42478" spans="7:7" ht="10.5" customHeight="1" x14ac:dyDescent="0.2">
      <c r="G42478" s="889"/>
    </row>
    <row r="42479" spans="7:7" ht="10.5" customHeight="1" x14ac:dyDescent="0.2">
      <c r="G42479" s="889"/>
    </row>
    <row r="42480" spans="7:7" ht="10.5" customHeight="1" x14ac:dyDescent="0.2">
      <c r="G42480" s="889"/>
    </row>
    <row r="42481" spans="7:7" ht="10.5" customHeight="1" x14ac:dyDescent="0.2">
      <c r="G42481" s="889"/>
    </row>
    <row r="42482" spans="7:7" ht="10.5" customHeight="1" x14ac:dyDescent="0.2">
      <c r="G42482" s="889"/>
    </row>
    <row r="42483" spans="7:7" ht="10.5" customHeight="1" x14ac:dyDescent="0.2">
      <c r="G42483" s="889"/>
    </row>
    <row r="42484" spans="7:7" ht="10.5" customHeight="1" x14ac:dyDescent="0.2">
      <c r="G42484" s="889"/>
    </row>
    <row r="42485" spans="7:7" ht="10.5" customHeight="1" x14ac:dyDescent="0.2">
      <c r="G42485" s="889"/>
    </row>
    <row r="42486" spans="7:7" ht="10.5" customHeight="1" x14ac:dyDescent="0.2">
      <c r="G42486" s="889"/>
    </row>
    <row r="42487" spans="7:7" ht="10.5" customHeight="1" x14ac:dyDescent="0.2">
      <c r="G42487" s="889"/>
    </row>
    <row r="42488" spans="7:7" ht="10.5" customHeight="1" x14ac:dyDescent="0.2">
      <c r="G42488" s="889"/>
    </row>
    <row r="42489" spans="7:7" ht="10.5" customHeight="1" x14ac:dyDescent="0.2">
      <c r="G42489" s="889"/>
    </row>
    <row r="42490" spans="7:7" ht="10.5" customHeight="1" x14ac:dyDescent="0.2">
      <c r="G42490" s="889"/>
    </row>
    <row r="42491" spans="7:7" ht="10.5" customHeight="1" x14ac:dyDescent="0.2">
      <c r="G42491" s="889"/>
    </row>
    <row r="42492" spans="7:7" ht="10.5" customHeight="1" x14ac:dyDescent="0.2">
      <c r="G42492" s="889"/>
    </row>
    <row r="42493" spans="7:7" ht="10.5" customHeight="1" x14ac:dyDescent="0.2">
      <c r="G42493" s="889"/>
    </row>
    <row r="42494" spans="7:7" ht="10.5" customHeight="1" x14ac:dyDescent="0.2">
      <c r="G42494" s="889"/>
    </row>
    <row r="42495" spans="7:7" ht="10.5" customHeight="1" x14ac:dyDescent="0.2">
      <c r="G42495" s="889"/>
    </row>
    <row r="42496" spans="7:7" ht="10.5" customHeight="1" x14ac:dyDescent="0.2">
      <c r="G42496" s="889"/>
    </row>
    <row r="42497" spans="7:7" ht="10.5" customHeight="1" x14ac:dyDescent="0.2">
      <c r="G42497" s="889"/>
    </row>
    <row r="42498" spans="7:7" ht="10.5" customHeight="1" x14ac:dyDescent="0.2">
      <c r="G42498" s="889"/>
    </row>
    <row r="42499" spans="7:7" ht="10.5" customHeight="1" x14ac:dyDescent="0.2">
      <c r="G42499" s="889"/>
    </row>
    <row r="42500" spans="7:7" ht="10.5" customHeight="1" x14ac:dyDescent="0.2">
      <c r="G42500" s="889"/>
    </row>
    <row r="42501" spans="7:7" ht="10.5" customHeight="1" x14ac:dyDescent="0.2">
      <c r="G42501" s="889"/>
    </row>
    <row r="42502" spans="7:7" ht="10.5" customHeight="1" x14ac:dyDescent="0.2">
      <c r="G42502" s="889"/>
    </row>
    <row r="42503" spans="7:7" ht="10.5" customHeight="1" x14ac:dyDescent="0.2">
      <c r="G42503" s="889"/>
    </row>
    <row r="42504" spans="7:7" ht="10.5" customHeight="1" x14ac:dyDescent="0.2">
      <c r="G42504" s="889"/>
    </row>
    <row r="42505" spans="7:7" ht="10.5" customHeight="1" x14ac:dyDescent="0.2">
      <c r="G42505" s="889"/>
    </row>
    <row r="42506" spans="7:7" ht="10.5" customHeight="1" x14ac:dyDescent="0.2">
      <c r="G42506" s="889"/>
    </row>
    <row r="42507" spans="7:7" ht="10.5" customHeight="1" x14ac:dyDescent="0.2">
      <c r="G42507" s="889"/>
    </row>
    <row r="42508" spans="7:7" ht="10.5" customHeight="1" x14ac:dyDescent="0.2">
      <c r="G42508" s="889"/>
    </row>
    <row r="42509" spans="7:7" ht="10.5" customHeight="1" x14ac:dyDescent="0.2">
      <c r="G42509" s="889"/>
    </row>
    <row r="42510" spans="7:7" ht="10.5" customHeight="1" x14ac:dyDescent="0.2">
      <c r="G42510" s="889"/>
    </row>
    <row r="42511" spans="7:7" ht="10.5" customHeight="1" x14ac:dyDescent="0.2">
      <c r="G42511" s="889"/>
    </row>
    <row r="42512" spans="7:7" ht="10.5" customHeight="1" x14ac:dyDescent="0.2">
      <c r="G42512" s="889"/>
    </row>
    <row r="42513" spans="7:7" ht="10.5" customHeight="1" x14ac:dyDescent="0.2">
      <c r="G42513" s="889"/>
    </row>
    <row r="42514" spans="7:7" ht="10.5" customHeight="1" x14ac:dyDescent="0.2">
      <c r="G42514" s="889"/>
    </row>
    <row r="42515" spans="7:7" ht="10.5" customHeight="1" x14ac:dyDescent="0.2">
      <c r="G42515" s="889"/>
    </row>
    <row r="42516" spans="7:7" ht="10.5" customHeight="1" x14ac:dyDescent="0.2">
      <c r="G42516" s="889"/>
    </row>
    <row r="42517" spans="7:7" ht="10.5" customHeight="1" x14ac:dyDescent="0.2">
      <c r="G42517" s="889"/>
    </row>
    <row r="42518" spans="7:7" ht="10.5" customHeight="1" x14ac:dyDescent="0.2">
      <c r="G42518" s="889"/>
    </row>
    <row r="42519" spans="7:7" ht="10.5" customHeight="1" x14ac:dyDescent="0.2">
      <c r="G42519" s="889"/>
    </row>
    <row r="42520" spans="7:7" ht="10.5" customHeight="1" x14ac:dyDescent="0.2">
      <c r="G42520" s="889"/>
    </row>
    <row r="42521" spans="7:7" ht="10.5" customHeight="1" x14ac:dyDescent="0.2">
      <c r="G42521" s="889"/>
    </row>
    <row r="42522" spans="7:7" ht="10.5" customHeight="1" x14ac:dyDescent="0.2">
      <c r="G42522" s="889"/>
    </row>
    <row r="42523" spans="7:7" ht="10.5" customHeight="1" x14ac:dyDescent="0.2">
      <c r="G42523" s="889"/>
    </row>
    <row r="42524" spans="7:7" ht="10.5" customHeight="1" x14ac:dyDescent="0.2">
      <c r="G42524" s="889"/>
    </row>
    <row r="42525" spans="7:7" ht="10.5" customHeight="1" x14ac:dyDescent="0.2">
      <c r="G42525" s="889"/>
    </row>
    <row r="42526" spans="7:7" ht="10.5" customHeight="1" x14ac:dyDescent="0.2">
      <c r="G42526" s="889"/>
    </row>
    <row r="42527" spans="7:7" ht="10.5" customHeight="1" x14ac:dyDescent="0.2">
      <c r="G42527" s="889"/>
    </row>
    <row r="42528" spans="7:7" ht="10.5" customHeight="1" x14ac:dyDescent="0.2">
      <c r="G42528" s="889"/>
    </row>
    <row r="42529" spans="7:7" ht="10.5" customHeight="1" x14ac:dyDescent="0.2">
      <c r="G42529" s="889"/>
    </row>
    <row r="42530" spans="7:7" ht="10.5" customHeight="1" x14ac:dyDescent="0.2">
      <c r="G42530" s="889"/>
    </row>
    <row r="42531" spans="7:7" ht="10.5" customHeight="1" x14ac:dyDescent="0.2">
      <c r="G42531" s="889"/>
    </row>
    <row r="42532" spans="7:7" ht="10.5" customHeight="1" x14ac:dyDescent="0.2">
      <c r="G42532" s="889"/>
    </row>
    <row r="42533" spans="7:7" ht="10.5" customHeight="1" x14ac:dyDescent="0.2">
      <c r="G42533" s="889"/>
    </row>
    <row r="42534" spans="7:7" ht="10.5" customHeight="1" x14ac:dyDescent="0.2">
      <c r="G42534" s="889"/>
    </row>
    <row r="42535" spans="7:7" ht="10.5" customHeight="1" x14ac:dyDescent="0.2">
      <c r="G42535" s="889"/>
    </row>
    <row r="42536" spans="7:7" ht="10.5" customHeight="1" x14ac:dyDescent="0.2">
      <c r="G42536" s="889"/>
    </row>
    <row r="42537" spans="7:7" ht="10.5" customHeight="1" x14ac:dyDescent="0.2">
      <c r="G42537" s="889"/>
    </row>
    <row r="42538" spans="7:7" ht="10.5" customHeight="1" x14ac:dyDescent="0.2">
      <c r="G42538" s="889"/>
    </row>
    <row r="42539" spans="7:7" ht="10.5" customHeight="1" x14ac:dyDescent="0.2">
      <c r="G42539" s="889"/>
    </row>
    <row r="42540" spans="7:7" ht="10.5" customHeight="1" x14ac:dyDescent="0.2">
      <c r="G42540" s="889"/>
    </row>
    <row r="42541" spans="7:7" ht="10.5" customHeight="1" x14ac:dyDescent="0.2">
      <c r="G42541" s="889"/>
    </row>
    <row r="42542" spans="7:7" ht="10.5" customHeight="1" x14ac:dyDescent="0.2">
      <c r="G42542" s="889"/>
    </row>
    <row r="42543" spans="7:7" ht="10.5" customHeight="1" x14ac:dyDescent="0.2">
      <c r="G42543" s="889"/>
    </row>
    <row r="42544" spans="7:7" ht="10.5" customHeight="1" x14ac:dyDescent="0.2">
      <c r="G42544" s="889"/>
    </row>
    <row r="42545" spans="7:7" ht="10.5" customHeight="1" x14ac:dyDescent="0.2">
      <c r="G42545" s="889"/>
    </row>
    <row r="42546" spans="7:7" ht="10.5" customHeight="1" x14ac:dyDescent="0.2">
      <c r="G42546" s="889"/>
    </row>
    <row r="42547" spans="7:7" ht="10.5" customHeight="1" x14ac:dyDescent="0.2">
      <c r="G42547" s="889"/>
    </row>
    <row r="42548" spans="7:7" ht="10.5" customHeight="1" x14ac:dyDescent="0.2">
      <c r="G42548" s="889"/>
    </row>
    <row r="42549" spans="7:7" ht="10.5" customHeight="1" x14ac:dyDescent="0.2">
      <c r="G42549" s="889"/>
    </row>
    <row r="42550" spans="7:7" ht="10.5" customHeight="1" x14ac:dyDescent="0.2">
      <c r="G42550" s="889"/>
    </row>
    <row r="42551" spans="7:7" ht="10.5" customHeight="1" x14ac:dyDescent="0.2">
      <c r="G42551" s="889"/>
    </row>
    <row r="42552" spans="7:7" ht="10.5" customHeight="1" x14ac:dyDescent="0.2">
      <c r="G42552" s="889"/>
    </row>
    <row r="42553" spans="7:7" ht="10.5" customHeight="1" x14ac:dyDescent="0.2">
      <c r="G42553" s="889"/>
    </row>
    <row r="42554" spans="7:7" ht="10.5" customHeight="1" x14ac:dyDescent="0.2">
      <c r="G42554" s="889"/>
    </row>
    <row r="42555" spans="7:7" ht="10.5" customHeight="1" x14ac:dyDescent="0.2">
      <c r="G42555" s="889"/>
    </row>
    <row r="42556" spans="7:7" ht="10.5" customHeight="1" x14ac:dyDescent="0.2">
      <c r="G42556" s="889"/>
    </row>
    <row r="42557" spans="7:7" ht="10.5" customHeight="1" x14ac:dyDescent="0.2">
      <c r="G42557" s="889"/>
    </row>
    <row r="42558" spans="7:7" ht="10.5" customHeight="1" x14ac:dyDescent="0.2">
      <c r="G42558" s="889"/>
    </row>
    <row r="42559" spans="7:7" ht="10.5" customHeight="1" x14ac:dyDescent="0.2">
      <c r="G42559" s="889"/>
    </row>
    <row r="42560" spans="7:7" ht="10.5" customHeight="1" x14ac:dyDescent="0.2">
      <c r="G42560" s="889"/>
    </row>
    <row r="42561" spans="7:7" ht="10.5" customHeight="1" x14ac:dyDescent="0.2">
      <c r="G42561" s="889"/>
    </row>
    <row r="42562" spans="7:7" ht="10.5" customHeight="1" x14ac:dyDescent="0.2">
      <c r="G42562" s="889"/>
    </row>
    <row r="42563" spans="7:7" ht="10.5" customHeight="1" x14ac:dyDescent="0.2">
      <c r="G42563" s="889"/>
    </row>
    <row r="42564" spans="7:7" ht="10.5" customHeight="1" x14ac:dyDescent="0.2">
      <c r="G42564" s="889"/>
    </row>
    <row r="42565" spans="7:7" ht="10.5" customHeight="1" x14ac:dyDescent="0.2">
      <c r="G42565" s="889"/>
    </row>
    <row r="42566" spans="7:7" ht="10.5" customHeight="1" x14ac:dyDescent="0.2">
      <c r="G42566" s="889"/>
    </row>
    <row r="42567" spans="7:7" ht="10.5" customHeight="1" x14ac:dyDescent="0.2">
      <c r="G42567" s="889"/>
    </row>
    <row r="42568" spans="7:7" ht="10.5" customHeight="1" x14ac:dyDescent="0.2">
      <c r="G42568" s="889"/>
    </row>
    <row r="42569" spans="7:7" ht="10.5" customHeight="1" x14ac:dyDescent="0.2">
      <c r="G42569" s="889"/>
    </row>
    <row r="42570" spans="7:7" ht="10.5" customHeight="1" x14ac:dyDescent="0.2">
      <c r="G42570" s="889"/>
    </row>
    <row r="42571" spans="7:7" ht="10.5" customHeight="1" x14ac:dyDescent="0.2">
      <c r="G42571" s="889"/>
    </row>
    <row r="42572" spans="7:7" ht="10.5" customHeight="1" x14ac:dyDescent="0.2">
      <c r="G42572" s="889"/>
    </row>
    <row r="42573" spans="7:7" ht="10.5" customHeight="1" x14ac:dyDescent="0.2">
      <c r="G42573" s="889"/>
    </row>
    <row r="42574" spans="7:7" ht="10.5" customHeight="1" x14ac:dyDescent="0.2">
      <c r="G42574" s="889"/>
    </row>
    <row r="42575" spans="7:7" ht="10.5" customHeight="1" x14ac:dyDescent="0.2">
      <c r="G42575" s="889"/>
    </row>
    <row r="42576" spans="7:7" ht="10.5" customHeight="1" x14ac:dyDescent="0.2">
      <c r="G42576" s="889"/>
    </row>
    <row r="42577" spans="7:7" ht="10.5" customHeight="1" x14ac:dyDescent="0.2">
      <c r="G42577" s="889"/>
    </row>
    <row r="42578" spans="7:7" ht="10.5" customHeight="1" x14ac:dyDescent="0.2">
      <c r="G42578" s="889"/>
    </row>
    <row r="42579" spans="7:7" ht="10.5" customHeight="1" x14ac:dyDescent="0.2">
      <c r="G42579" s="889"/>
    </row>
    <row r="42580" spans="7:7" ht="10.5" customHeight="1" x14ac:dyDescent="0.2">
      <c r="G42580" s="889"/>
    </row>
    <row r="42581" spans="7:7" ht="10.5" customHeight="1" x14ac:dyDescent="0.2">
      <c r="G42581" s="889"/>
    </row>
    <row r="42582" spans="7:7" ht="10.5" customHeight="1" x14ac:dyDescent="0.2">
      <c r="G42582" s="889"/>
    </row>
    <row r="42583" spans="7:7" ht="10.5" customHeight="1" x14ac:dyDescent="0.2">
      <c r="G42583" s="889"/>
    </row>
    <row r="42584" spans="7:7" ht="10.5" customHeight="1" x14ac:dyDescent="0.2">
      <c r="G42584" s="889"/>
    </row>
    <row r="42585" spans="7:7" ht="10.5" customHeight="1" x14ac:dyDescent="0.2">
      <c r="G42585" s="889"/>
    </row>
    <row r="42586" spans="7:7" ht="10.5" customHeight="1" x14ac:dyDescent="0.2">
      <c r="G42586" s="889"/>
    </row>
    <row r="42587" spans="7:7" ht="10.5" customHeight="1" x14ac:dyDescent="0.2">
      <c r="G42587" s="889"/>
    </row>
    <row r="42588" spans="7:7" ht="10.5" customHeight="1" x14ac:dyDescent="0.2">
      <c r="G42588" s="889"/>
    </row>
    <row r="42589" spans="7:7" ht="10.5" customHeight="1" x14ac:dyDescent="0.2">
      <c r="G42589" s="889"/>
    </row>
    <row r="42590" spans="7:7" ht="10.5" customHeight="1" x14ac:dyDescent="0.2">
      <c r="G42590" s="889"/>
    </row>
    <row r="42591" spans="7:7" ht="10.5" customHeight="1" x14ac:dyDescent="0.2">
      <c r="G42591" s="889"/>
    </row>
    <row r="42592" spans="7:7" ht="10.5" customHeight="1" x14ac:dyDescent="0.2">
      <c r="G42592" s="889"/>
    </row>
    <row r="42593" spans="7:7" ht="10.5" customHeight="1" x14ac:dyDescent="0.2">
      <c r="G42593" s="889"/>
    </row>
    <row r="42594" spans="7:7" ht="10.5" customHeight="1" x14ac:dyDescent="0.2">
      <c r="G42594" s="889"/>
    </row>
    <row r="42595" spans="7:7" ht="10.5" customHeight="1" x14ac:dyDescent="0.2">
      <c r="G42595" s="889"/>
    </row>
    <row r="42596" spans="7:7" ht="10.5" customHeight="1" x14ac:dyDescent="0.2">
      <c r="G42596" s="889"/>
    </row>
    <row r="42597" spans="7:7" ht="10.5" customHeight="1" x14ac:dyDescent="0.2">
      <c r="G42597" s="889"/>
    </row>
    <row r="42598" spans="7:7" ht="10.5" customHeight="1" x14ac:dyDescent="0.2">
      <c r="G42598" s="889"/>
    </row>
    <row r="42599" spans="7:7" ht="10.5" customHeight="1" x14ac:dyDescent="0.2">
      <c r="G42599" s="889"/>
    </row>
    <row r="42600" spans="7:7" ht="10.5" customHeight="1" x14ac:dyDescent="0.2">
      <c r="G42600" s="889"/>
    </row>
    <row r="42601" spans="7:7" ht="10.5" customHeight="1" x14ac:dyDescent="0.2">
      <c r="G42601" s="889"/>
    </row>
    <row r="42602" spans="7:7" ht="10.5" customHeight="1" x14ac:dyDescent="0.2">
      <c r="G42602" s="889"/>
    </row>
    <row r="42603" spans="7:7" ht="10.5" customHeight="1" x14ac:dyDescent="0.2">
      <c r="G42603" s="889"/>
    </row>
    <row r="42604" spans="7:7" ht="10.5" customHeight="1" x14ac:dyDescent="0.2">
      <c r="G42604" s="889"/>
    </row>
    <row r="42605" spans="7:7" ht="10.5" customHeight="1" x14ac:dyDescent="0.2">
      <c r="G42605" s="889"/>
    </row>
    <row r="42606" spans="7:7" ht="10.5" customHeight="1" x14ac:dyDescent="0.2">
      <c r="G42606" s="889"/>
    </row>
    <row r="42607" spans="7:7" ht="10.5" customHeight="1" x14ac:dyDescent="0.2">
      <c r="G42607" s="889"/>
    </row>
    <row r="42608" spans="7:7" ht="10.5" customHeight="1" x14ac:dyDescent="0.2">
      <c r="G42608" s="889"/>
    </row>
    <row r="42609" spans="7:7" ht="10.5" customHeight="1" x14ac:dyDescent="0.2">
      <c r="G42609" s="889"/>
    </row>
    <row r="42610" spans="7:7" ht="10.5" customHeight="1" x14ac:dyDescent="0.2">
      <c r="G42610" s="889"/>
    </row>
    <row r="42611" spans="7:7" ht="10.5" customHeight="1" x14ac:dyDescent="0.2">
      <c r="G42611" s="889"/>
    </row>
    <row r="42612" spans="7:7" ht="10.5" customHeight="1" x14ac:dyDescent="0.2">
      <c r="G42612" s="889"/>
    </row>
    <row r="42613" spans="7:7" ht="10.5" customHeight="1" x14ac:dyDescent="0.2">
      <c r="G42613" s="889"/>
    </row>
    <row r="42614" spans="7:7" ht="10.5" customHeight="1" x14ac:dyDescent="0.2">
      <c r="G42614" s="889"/>
    </row>
    <row r="42615" spans="7:7" ht="10.5" customHeight="1" x14ac:dyDescent="0.2">
      <c r="G42615" s="889"/>
    </row>
    <row r="42616" spans="7:7" ht="10.5" customHeight="1" x14ac:dyDescent="0.2">
      <c r="G42616" s="889"/>
    </row>
    <row r="42617" spans="7:7" ht="10.5" customHeight="1" x14ac:dyDescent="0.2">
      <c r="G42617" s="889"/>
    </row>
    <row r="42618" spans="7:7" ht="10.5" customHeight="1" x14ac:dyDescent="0.2">
      <c r="G42618" s="889"/>
    </row>
    <row r="42619" spans="7:7" ht="10.5" customHeight="1" x14ac:dyDescent="0.2">
      <c r="G42619" s="889"/>
    </row>
    <row r="42620" spans="7:7" ht="10.5" customHeight="1" x14ac:dyDescent="0.2">
      <c r="G42620" s="889"/>
    </row>
    <row r="42621" spans="7:7" ht="10.5" customHeight="1" x14ac:dyDescent="0.2">
      <c r="G42621" s="889"/>
    </row>
    <row r="42622" spans="7:7" ht="10.5" customHeight="1" x14ac:dyDescent="0.2">
      <c r="G42622" s="889"/>
    </row>
    <row r="42623" spans="7:7" ht="10.5" customHeight="1" x14ac:dyDescent="0.2">
      <c r="G42623" s="889"/>
    </row>
    <row r="42624" spans="7:7" ht="10.5" customHeight="1" x14ac:dyDescent="0.2">
      <c r="G42624" s="889"/>
    </row>
    <row r="42625" spans="7:7" ht="10.5" customHeight="1" x14ac:dyDescent="0.2">
      <c r="G42625" s="889"/>
    </row>
    <row r="42626" spans="7:7" ht="10.5" customHeight="1" x14ac:dyDescent="0.2">
      <c r="G42626" s="889"/>
    </row>
    <row r="42627" spans="7:7" ht="10.5" customHeight="1" x14ac:dyDescent="0.2">
      <c r="G42627" s="889"/>
    </row>
    <row r="42628" spans="7:7" ht="10.5" customHeight="1" x14ac:dyDescent="0.2">
      <c r="G42628" s="889"/>
    </row>
    <row r="42629" spans="7:7" ht="10.5" customHeight="1" x14ac:dyDescent="0.2">
      <c r="G42629" s="889"/>
    </row>
    <row r="42630" spans="7:7" ht="10.5" customHeight="1" x14ac:dyDescent="0.2">
      <c r="G42630" s="889"/>
    </row>
    <row r="42631" spans="7:7" ht="10.5" customHeight="1" x14ac:dyDescent="0.2">
      <c r="G42631" s="889"/>
    </row>
    <row r="42632" spans="7:7" ht="10.5" customHeight="1" x14ac:dyDescent="0.2">
      <c r="G42632" s="889"/>
    </row>
    <row r="42633" spans="7:7" ht="10.5" customHeight="1" x14ac:dyDescent="0.2">
      <c r="G42633" s="889"/>
    </row>
    <row r="42634" spans="7:7" ht="10.5" customHeight="1" x14ac:dyDescent="0.2">
      <c r="G42634" s="889"/>
    </row>
    <row r="42635" spans="7:7" ht="10.5" customHeight="1" x14ac:dyDescent="0.2">
      <c r="G42635" s="889"/>
    </row>
    <row r="42636" spans="7:7" ht="10.5" customHeight="1" x14ac:dyDescent="0.2">
      <c r="G42636" s="889"/>
    </row>
    <row r="42637" spans="7:7" ht="10.5" customHeight="1" x14ac:dyDescent="0.2">
      <c r="G42637" s="889"/>
    </row>
    <row r="42638" spans="7:7" ht="10.5" customHeight="1" x14ac:dyDescent="0.2">
      <c r="G42638" s="889"/>
    </row>
    <row r="42639" spans="7:7" ht="10.5" customHeight="1" x14ac:dyDescent="0.2">
      <c r="G42639" s="889"/>
    </row>
    <row r="42640" spans="7:7" ht="10.5" customHeight="1" x14ac:dyDescent="0.2">
      <c r="G42640" s="889"/>
    </row>
    <row r="42641" spans="7:7" ht="10.5" customHeight="1" x14ac:dyDescent="0.2">
      <c r="G42641" s="889"/>
    </row>
    <row r="42642" spans="7:7" ht="10.5" customHeight="1" x14ac:dyDescent="0.2">
      <c r="G42642" s="889"/>
    </row>
    <row r="42643" spans="7:7" ht="10.5" customHeight="1" x14ac:dyDescent="0.2">
      <c r="G42643" s="889"/>
    </row>
    <row r="42644" spans="7:7" ht="10.5" customHeight="1" x14ac:dyDescent="0.2">
      <c r="G42644" s="889"/>
    </row>
    <row r="42645" spans="7:7" ht="10.5" customHeight="1" x14ac:dyDescent="0.2">
      <c r="G42645" s="889"/>
    </row>
    <row r="42646" spans="7:7" ht="10.5" customHeight="1" x14ac:dyDescent="0.2">
      <c r="G42646" s="889"/>
    </row>
    <row r="42647" spans="7:7" ht="10.5" customHeight="1" x14ac:dyDescent="0.2">
      <c r="G42647" s="889"/>
    </row>
    <row r="42648" spans="7:7" ht="10.5" customHeight="1" x14ac:dyDescent="0.2">
      <c r="G42648" s="889"/>
    </row>
    <row r="42649" spans="7:7" ht="10.5" customHeight="1" x14ac:dyDescent="0.2">
      <c r="G42649" s="889"/>
    </row>
    <row r="42650" spans="7:7" ht="10.5" customHeight="1" x14ac:dyDescent="0.2">
      <c r="G42650" s="889"/>
    </row>
    <row r="42651" spans="7:7" ht="10.5" customHeight="1" x14ac:dyDescent="0.2">
      <c r="G42651" s="889"/>
    </row>
    <row r="42652" spans="7:7" ht="10.5" customHeight="1" x14ac:dyDescent="0.2">
      <c r="G42652" s="889"/>
    </row>
    <row r="42653" spans="7:7" ht="10.5" customHeight="1" x14ac:dyDescent="0.2">
      <c r="G42653" s="889"/>
    </row>
    <row r="42654" spans="7:7" ht="10.5" customHeight="1" x14ac:dyDescent="0.2">
      <c r="G42654" s="889"/>
    </row>
    <row r="42655" spans="7:7" ht="10.5" customHeight="1" x14ac:dyDescent="0.2">
      <c r="G42655" s="889"/>
    </row>
    <row r="42656" spans="7:7" ht="10.5" customHeight="1" x14ac:dyDescent="0.2">
      <c r="G42656" s="889"/>
    </row>
    <row r="42657" spans="7:7" ht="10.5" customHeight="1" x14ac:dyDescent="0.2">
      <c r="G42657" s="889"/>
    </row>
    <row r="42658" spans="7:7" ht="10.5" customHeight="1" x14ac:dyDescent="0.2">
      <c r="G42658" s="889"/>
    </row>
    <row r="42659" spans="7:7" ht="10.5" customHeight="1" x14ac:dyDescent="0.2">
      <c r="G42659" s="889"/>
    </row>
    <row r="42660" spans="7:7" ht="10.5" customHeight="1" x14ac:dyDescent="0.2">
      <c r="G42660" s="889"/>
    </row>
    <row r="42661" spans="7:7" ht="10.5" customHeight="1" x14ac:dyDescent="0.2">
      <c r="G42661" s="889"/>
    </row>
    <row r="42662" spans="7:7" ht="10.5" customHeight="1" x14ac:dyDescent="0.2">
      <c r="G42662" s="889"/>
    </row>
    <row r="42663" spans="7:7" ht="10.5" customHeight="1" x14ac:dyDescent="0.2">
      <c r="G42663" s="889"/>
    </row>
    <row r="42664" spans="7:7" ht="10.5" customHeight="1" x14ac:dyDescent="0.2">
      <c r="G42664" s="889"/>
    </row>
    <row r="42665" spans="7:7" ht="10.5" customHeight="1" x14ac:dyDescent="0.2">
      <c r="G42665" s="889"/>
    </row>
    <row r="42666" spans="7:7" ht="10.5" customHeight="1" x14ac:dyDescent="0.2">
      <c r="G42666" s="889"/>
    </row>
    <row r="42667" spans="7:7" ht="10.5" customHeight="1" x14ac:dyDescent="0.2">
      <c r="G42667" s="889"/>
    </row>
    <row r="42668" spans="7:7" ht="10.5" customHeight="1" x14ac:dyDescent="0.2">
      <c r="G42668" s="889"/>
    </row>
    <row r="42669" spans="7:7" ht="10.5" customHeight="1" x14ac:dyDescent="0.2">
      <c r="G42669" s="889"/>
    </row>
    <row r="42670" spans="7:7" ht="10.5" customHeight="1" x14ac:dyDescent="0.2">
      <c r="G42670" s="889"/>
    </row>
    <row r="42671" spans="7:7" ht="10.5" customHeight="1" x14ac:dyDescent="0.2">
      <c r="G42671" s="889"/>
    </row>
    <row r="42672" spans="7:7" ht="10.5" customHeight="1" x14ac:dyDescent="0.2">
      <c r="G42672" s="889"/>
    </row>
    <row r="42673" spans="7:7" ht="10.5" customHeight="1" x14ac:dyDescent="0.2">
      <c r="G42673" s="889"/>
    </row>
    <row r="42674" spans="7:7" ht="10.5" customHeight="1" x14ac:dyDescent="0.2">
      <c r="G42674" s="889"/>
    </row>
    <row r="42675" spans="7:7" ht="10.5" customHeight="1" x14ac:dyDescent="0.2">
      <c r="G42675" s="889"/>
    </row>
    <row r="42676" spans="7:7" ht="10.5" customHeight="1" x14ac:dyDescent="0.2">
      <c r="G42676" s="889"/>
    </row>
    <row r="42677" spans="7:7" ht="10.5" customHeight="1" x14ac:dyDescent="0.2">
      <c r="G42677" s="889"/>
    </row>
    <row r="42678" spans="7:7" ht="10.5" customHeight="1" x14ac:dyDescent="0.2">
      <c r="G42678" s="889"/>
    </row>
    <row r="42679" spans="7:7" ht="10.5" customHeight="1" x14ac:dyDescent="0.2">
      <c r="G42679" s="889"/>
    </row>
    <row r="42680" spans="7:7" ht="10.5" customHeight="1" x14ac:dyDescent="0.2">
      <c r="G42680" s="889"/>
    </row>
    <row r="42681" spans="7:7" ht="10.5" customHeight="1" x14ac:dyDescent="0.2">
      <c r="G42681" s="889"/>
    </row>
    <row r="42682" spans="7:7" ht="10.5" customHeight="1" x14ac:dyDescent="0.2">
      <c r="G42682" s="889"/>
    </row>
    <row r="42683" spans="7:7" ht="10.5" customHeight="1" x14ac:dyDescent="0.2">
      <c r="G42683" s="889"/>
    </row>
    <row r="42684" spans="7:7" ht="10.5" customHeight="1" x14ac:dyDescent="0.2">
      <c r="G42684" s="889"/>
    </row>
    <row r="42685" spans="7:7" ht="10.5" customHeight="1" x14ac:dyDescent="0.2">
      <c r="G42685" s="889"/>
    </row>
    <row r="42686" spans="7:7" ht="10.5" customHeight="1" x14ac:dyDescent="0.2">
      <c r="G42686" s="889"/>
    </row>
    <row r="42687" spans="7:7" ht="10.5" customHeight="1" x14ac:dyDescent="0.2">
      <c r="G42687" s="889"/>
    </row>
    <row r="42688" spans="7:7" ht="10.5" customHeight="1" x14ac:dyDescent="0.2">
      <c r="G42688" s="889"/>
    </row>
    <row r="42689" spans="7:7" ht="10.5" customHeight="1" x14ac:dyDescent="0.2">
      <c r="G42689" s="889"/>
    </row>
    <row r="42690" spans="7:7" ht="10.5" customHeight="1" x14ac:dyDescent="0.2">
      <c r="G42690" s="889"/>
    </row>
    <row r="42691" spans="7:7" ht="10.5" customHeight="1" x14ac:dyDescent="0.2">
      <c r="G42691" s="889"/>
    </row>
    <row r="42692" spans="7:7" ht="10.5" customHeight="1" x14ac:dyDescent="0.2">
      <c r="G42692" s="889"/>
    </row>
    <row r="42693" spans="7:7" ht="10.5" customHeight="1" x14ac:dyDescent="0.2">
      <c r="G42693" s="889"/>
    </row>
    <row r="42694" spans="7:7" ht="10.5" customHeight="1" x14ac:dyDescent="0.2">
      <c r="G42694" s="889"/>
    </row>
    <row r="42695" spans="7:7" ht="10.5" customHeight="1" x14ac:dyDescent="0.2">
      <c r="G42695" s="889"/>
    </row>
    <row r="42696" spans="7:7" ht="10.5" customHeight="1" x14ac:dyDescent="0.2">
      <c r="G42696" s="889"/>
    </row>
    <row r="42697" spans="7:7" ht="10.5" customHeight="1" x14ac:dyDescent="0.2">
      <c r="G42697" s="889"/>
    </row>
    <row r="42698" spans="7:7" ht="10.5" customHeight="1" x14ac:dyDescent="0.2">
      <c r="G42698" s="889"/>
    </row>
    <row r="42699" spans="7:7" ht="10.5" customHeight="1" x14ac:dyDescent="0.2">
      <c r="G42699" s="889"/>
    </row>
    <row r="42700" spans="7:7" ht="10.5" customHeight="1" x14ac:dyDescent="0.2">
      <c r="G42700" s="889"/>
    </row>
    <row r="42701" spans="7:7" ht="10.5" customHeight="1" x14ac:dyDescent="0.2">
      <c r="G42701" s="889"/>
    </row>
    <row r="42702" spans="7:7" ht="10.5" customHeight="1" x14ac:dyDescent="0.2">
      <c r="G42702" s="889"/>
    </row>
    <row r="42703" spans="7:7" ht="10.5" customHeight="1" x14ac:dyDescent="0.2">
      <c r="G42703" s="889"/>
    </row>
    <row r="42704" spans="7:7" ht="10.5" customHeight="1" x14ac:dyDescent="0.2">
      <c r="G42704" s="889"/>
    </row>
    <row r="42705" spans="7:7" ht="10.5" customHeight="1" x14ac:dyDescent="0.2">
      <c r="G42705" s="889"/>
    </row>
    <row r="42706" spans="7:7" ht="10.5" customHeight="1" x14ac:dyDescent="0.2">
      <c r="G42706" s="889"/>
    </row>
    <row r="42707" spans="7:7" ht="10.5" customHeight="1" x14ac:dyDescent="0.2">
      <c r="G42707" s="889"/>
    </row>
    <row r="42708" spans="7:7" ht="10.5" customHeight="1" x14ac:dyDescent="0.2">
      <c r="G42708" s="889"/>
    </row>
    <row r="42709" spans="7:7" ht="10.5" customHeight="1" x14ac:dyDescent="0.2">
      <c r="G42709" s="889"/>
    </row>
    <row r="42710" spans="7:7" ht="10.5" customHeight="1" x14ac:dyDescent="0.2">
      <c r="G42710" s="889"/>
    </row>
    <row r="42711" spans="7:7" ht="10.5" customHeight="1" x14ac:dyDescent="0.2">
      <c r="G42711" s="889"/>
    </row>
    <row r="42712" spans="7:7" ht="10.5" customHeight="1" x14ac:dyDescent="0.2">
      <c r="G42712" s="889"/>
    </row>
    <row r="42713" spans="7:7" ht="10.5" customHeight="1" x14ac:dyDescent="0.2">
      <c r="G42713" s="889"/>
    </row>
    <row r="42714" spans="7:7" ht="10.5" customHeight="1" x14ac:dyDescent="0.2">
      <c r="G42714" s="889"/>
    </row>
    <row r="42715" spans="7:7" ht="10.5" customHeight="1" x14ac:dyDescent="0.2">
      <c r="G42715" s="889"/>
    </row>
    <row r="42716" spans="7:7" ht="10.5" customHeight="1" x14ac:dyDescent="0.2">
      <c r="G42716" s="889"/>
    </row>
    <row r="42717" spans="7:7" ht="10.5" customHeight="1" x14ac:dyDescent="0.2">
      <c r="G42717" s="889"/>
    </row>
    <row r="42718" spans="7:7" ht="10.5" customHeight="1" x14ac:dyDescent="0.2">
      <c r="G42718" s="889"/>
    </row>
    <row r="42719" spans="7:7" ht="10.5" customHeight="1" x14ac:dyDescent="0.2">
      <c r="G42719" s="889"/>
    </row>
    <row r="42720" spans="7:7" ht="10.5" customHeight="1" x14ac:dyDescent="0.2">
      <c r="G42720" s="889"/>
    </row>
    <row r="42721" spans="7:7" ht="10.5" customHeight="1" x14ac:dyDescent="0.2">
      <c r="G42721" s="889"/>
    </row>
    <row r="42722" spans="7:7" ht="10.5" customHeight="1" x14ac:dyDescent="0.2">
      <c r="G42722" s="889"/>
    </row>
    <row r="42723" spans="7:7" ht="10.5" customHeight="1" x14ac:dyDescent="0.2">
      <c r="G42723" s="889"/>
    </row>
    <row r="42724" spans="7:7" ht="10.5" customHeight="1" x14ac:dyDescent="0.2">
      <c r="G42724" s="889"/>
    </row>
    <row r="42725" spans="7:7" ht="10.5" customHeight="1" x14ac:dyDescent="0.2">
      <c r="G42725" s="889"/>
    </row>
    <row r="42726" spans="7:7" ht="10.5" customHeight="1" x14ac:dyDescent="0.2">
      <c r="G42726" s="889"/>
    </row>
    <row r="42727" spans="7:7" ht="10.5" customHeight="1" x14ac:dyDescent="0.2">
      <c r="G42727" s="889"/>
    </row>
    <row r="42728" spans="7:7" ht="10.5" customHeight="1" x14ac:dyDescent="0.2">
      <c r="G42728" s="889"/>
    </row>
    <row r="42729" spans="7:7" ht="10.5" customHeight="1" x14ac:dyDescent="0.2">
      <c r="G42729" s="889"/>
    </row>
    <row r="42730" spans="7:7" ht="10.5" customHeight="1" x14ac:dyDescent="0.2">
      <c r="G42730" s="889"/>
    </row>
    <row r="42731" spans="7:7" ht="10.5" customHeight="1" x14ac:dyDescent="0.2">
      <c r="G42731" s="889"/>
    </row>
    <row r="42732" spans="7:7" ht="10.5" customHeight="1" x14ac:dyDescent="0.2">
      <c r="G42732" s="889"/>
    </row>
    <row r="42733" spans="7:7" ht="10.5" customHeight="1" x14ac:dyDescent="0.2">
      <c r="G42733" s="889"/>
    </row>
    <row r="42734" spans="7:7" ht="10.5" customHeight="1" x14ac:dyDescent="0.2">
      <c r="G42734" s="889"/>
    </row>
    <row r="42735" spans="7:7" ht="10.5" customHeight="1" x14ac:dyDescent="0.2">
      <c r="G42735" s="889"/>
    </row>
    <row r="42736" spans="7:7" ht="10.5" customHeight="1" x14ac:dyDescent="0.2">
      <c r="G42736" s="889"/>
    </row>
    <row r="42737" spans="7:7" ht="10.5" customHeight="1" x14ac:dyDescent="0.2">
      <c r="G42737" s="889"/>
    </row>
    <row r="42738" spans="7:7" ht="10.5" customHeight="1" x14ac:dyDescent="0.2">
      <c r="G42738" s="889"/>
    </row>
    <row r="42739" spans="7:7" ht="10.5" customHeight="1" x14ac:dyDescent="0.2">
      <c r="G42739" s="889"/>
    </row>
    <row r="42740" spans="7:7" ht="10.5" customHeight="1" x14ac:dyDescent="0.2">
      <c r="G42740" s="889"/>
    </row>
    <row r="42741" spans="7:7" ht="10.5" customHeight="1" x14ac:dyDescent="0.2">
      <c r="G42741" s="889"/>
    </row>
    <row r="42742" spans="7:7" ht="10.5" customHeight="1" x14ac:dyDescent="0.2">
      <c r="G42742" s="889"/>
    </row>
    <row r="42743" spans="7:7" ht="10.5" customHeight="1" x14ac:dyDescent="0.2">
      <c r="G42743" s="889"/>
    </row>
    <row r="42744" spans="7:7" ht="10.5" customHeight="1" x14ac:dyDescent="0.2">
      <c r="G42744" s="889"/>
    </row>
    <row r="42745" spans="7:7" ht="10.5" customHeight="1" x14ac:dyDescent="0.2">
      <c r="G42745" s="889"/>
    </row>
    <row r="42746" spans="7:7" ht="10.5" customHeight="1" x14ac:dyDescent="0.2">
      <c r="G42746" s="889"/>
    </row>
    <row r="42747" spans="7:7" ht="10.5" customHeight="1" x14ac:dyDescent="0.2">
      <c r="G42747" s="889"/>
    </row>
    <row r="42748" spans="7:7" ht="10.5" customHeight="1" x14ac:dyDescent="0.2">
      <c r="G42748" s="889"/>
    </row>
    <row r="42749" spans="7:7" ht="10.5" customHeight="1" x14ac:dyDescent="0.2">
      <c r="G42749" s="889"/>
    </row>
    <row r="42750" spans="7:7" ht="10.5" customHeight="1" x14ac:dyDescent="0.2">
      <c r="G42750" s="889"/>
    </row>
    <row r="42751" spans="7:7" ht="10.5" customHeight="1" x14ac:dyDescent="0.2">
      <c r="G42751" s="889"/>
    </row>
    <row r="42752" spans="7:7" ht="10.5" customHeight="1" x14ac:dyDescent="0.2">
      <c r="G42752" s="889"/>
    </row>
    <row r="42753" spans="7:7" ht="10.5" customHeight="1" x14ac:dyDescent="0.2">
      <c r="G42753" s="889"/>
    </row>
    <row r="42754" spans="7:7" ht="10.5" customHeight="1" x14ac:dyDescent="0.2">
      <c r="G42754" s="889"/>
    </row>
    <row r="42755" spans="7:7" ht="10.5" customHeight="1" x14ac:dyDescent="0.2">
      <c r="G42755" s="889"/>
    </row>
    <row r="42756" spans="7:7" ht="10.5" customHeight="1" x14ac:dyDescent="0.2">
      <c r="G42756" s="889"/>
    </row>
    <row r="42757" spans="7:7" ht="10.5" customHeight="1" x14ac:dyDescent="0.2">
      <c r="G42757" s="889"/>
    </row>
    <row r="42758" spans="7:7" ht="10.5" customHeight="1" x14ac:dyDescent="0.2">
      <c r="G42758" s="889"/>
    </row>
    <row r="42759" spans="7:7" ht="10.5" customHeight="1" x14ac:dyDescent="0.2">
      <c r="G42759" s="889"/>
    </row>
    <row r="42760" spans="7:7" ht="10.5" customHeight="1" x14ac:dyDescent="0.2">
      <c r="G42760" s="889"/>
    </row>
    <row r="42761" spans="7:7" ht="10.5" customHeight="1" x14ac:dyDescent="0.2">
      <c r="G42761" s="889"/>
    </row>
    <row r="42762" spans="7:7" ht="10.5" customHeight="1" x14ac:dyDescent="0.2">
      <c r="G42762" s="889"/>
    </row>
    <row r="42763" spans="7:7" ht="10.5" customHeight="1" x14ac:dyDescent="0.2">
      <c r="G42763" s="889"/>
    </row>
    <row r="42764" spans="7:7" ht="10.5" customHeight="1" x14ac:dyDescent="0.2">
      <c r="G42764" s="889"/>
    </row>
    <row r="42765" spans="7:7" ht="10.5" customHeight="1" x14ac:dyDescent="0.2">
      <c r="G42765" s="889"/>
    </row>
    <row r="42766" spans="7:7" ht="10.5" customHeight="1" x14ac:dyDescent="0.2">
      <c r="G42766" s="889"/>
    </row>
    <row r="42767" spans="7:7" ht="10.5" customHeight="1" x14ac:dyDescent="0.2">
      <c r="G42767" s="889"/>
    </row>
    <row r="42768" spans="7:7" ht="10.5" customHeight="1" x14ac:dyDescent="0.2">
      <c r="G42768" s="889"/>
    </row>
    <row r="42769" spans="7:7" ht="10.5" customHeight="1" x14ac:dyDescent="0.2">
      <c r="G42769" s="889"/>
    </row>
    <row r="42770" spans="7:7" ht="10.5" customHeight="1" x14ac:dyDescent="0.2">
      <c r="G42770" s="889"/>
    </row>
    <row r="42771" spans="7:7" ht="10.5" customHeight="1" x14ac:dyDescent="0.2">
      <c r="G42771" s="889"/>
    </row>
    <row r="42772" spans="7:7" ht="10.5" customHeight="1" x14ac:dyDescent="0.2">
      <c r="G42772" s="889"/>
    </row>
    <row r="42773" spans="7:7" ht="10.5" customHeight="1" x14ac:dyDescent="0.2">
      <c r="G42773" s="889"/>
    </row>
    <row r="42774" spans="7:7" ht="10.5" customHeight="1" x14ac:dyDescent="0.2">
      <c r="G42774" s="889"/>
    </row>
    <row r="42775" spans="7:7" ht="10.5" customHeight="1" x14ac:dyDescent="0.2">
      <c r="G42775" s="889"/>
    </row>
    <row r="42776" spans="7:7" ht="10.5" customHeight="1" x14ac:dyDescent="0.2">
      <c r="G42776" s="889"/>
    </row>
    <row r="42777" spans="7:7" ht="10.5" customHeight="1" x14ac:dyDescent="0.2">
      <c r="G42777" s="889"/>
    </row>
    <row r="42778" spans="7:7" ht="10.5" customHeight="1" x14ac:dyDescent="0.2">
      <c r="G42778" s="889"/>
    </row>
    <row r="42779" spans="7:7" ht="10.5" customHeight="1" x14ac:dyDescent="0.2">
      <c r="G42779" s="889"/>
    </row>
    <row r="42780" spans="7:7" ht="10.5" customHeight="1" x14ac:dyDescent="0.2">
      <c r="G42780" s="889"/>
    </row>
    <row r="42781" spans="7:7" ht="10.5" customHeight="1" x14ac:dyDescent="0.2">
      <c r="G42781" s="889"/>
    </row>
    <row r="42782" spans="7:7" ht="10.5" customHeight="1" x14ac:dyDescent="0.2">
      <c r="G42782" s="889"/>
    </row>
    <row r="42783" spans="7:7" ht="10.5" customHeight="1" x14ac:dyDescent="0.2">
      <c r="G42783" s="889"/>
    </row>
    <row r="42784" spans="7:7" ht="10.5" customHeight="1" x14ac:dyDescent="0.2">
      <c r="G42784" s="889"/>
    </row>
    <row r="42785" spans="7:7" ht="10.5" customHeight="1" x14ac:dyDescent="0.2">
      <c r="G42785" s="889"/>
    </row>
    <row r="42786" spans="7:7" ht="10.5" customHeight="1" x14ac:dyDescent="0.2">
      <c r="G42786" s="889"/>
    </row>
    <row r="42787" spans="7:7" ht="10.5" customHeight="1" x14ac:dyDescent="0.2">
      <c r="G42787" s="889"/>
    </row>
    <row r="42788" spans="7:7" ht="10.5" customHeight="1" x14ac:dyDescent="0.2">
      <c r="G42788" s="889"/>
    </row>
    <row r="42789" spans="7:7" ht="10.5" customHeight="1" x14ac:dyDescent="0.2">
      <c r="G42789" s="889"/>
    </row>
    <row r="42790" spans="7:7" ht="10.5" customHeight="1" x14ac:dyDescent="0.2">
      <c r="G42790" s="889"/>
    </row>
    <row r="42791" spans="7:7" ht="10.5" customHeight="1" x14ac:dyDescent="0.2">
      <c r="G42791" s="889"/>
    </row>
    <row r="42792" spans="7:7" ht="10.5" customHeight="1" x14ac:dyDescent="0.2">
      <c r="G42792" s="889"/>
    </row>
    <row r="42793" spans="7:7" ht="10.5" customHeight="1" x14ac:dyDescent="0.2">
      <c r="G42793" s="889"/>
    </row>
    <row r="42794" spans="7:7" ht="10.5" customHeight="1" x14ac:dyDescent="0.2">
      <c r="G42794" s="889"/>
    </row>
    <row r="42795" spans="7:7" ht="10.5" customHeight="1" x14ac:dyDescent="0.2">
      <c r="G42795" s="889"/>
    </row>
    <row r="42796" spans="7:7" ht="10.5" customHeight="1" x14ac:dyDescent="0.2">
      <c r="G42796" s="889"/>
    </row>
    <row r="42797" spans="7:7" ht="10.5" customHeight="1" x14ac:dyDescent="0.2">
      <c r="G42797" s="889"/>
    </row>
    <row r="42798" spans="7:7" ht="10.5" customHeight="1" x14ac:dyDescent="0.2">
      <c r="G42798" s="889"/>
    </row>
    <row r="42799" spans="7:7" ht="10.5" customHeight="1" x14ac:dyDescent="0.2">
      <c r="G42799" s="889"/>
    </row>
    <row r="42800" spans="7:7" ht="10.5" customHeight="1" x14ac:dyDescent="0.2">
      <c r="G42800" s="889"/>
    </row>
    <row r="42801" spans="7:7" ht="10.5" customHeight="1" x14ac:dyDescent="0.2">
      <c r="G42801" s="889"/>
    </row>
    <row r="42802" spans="7:7" ht="10.5" customHeight="1" x14ac:dyDescent="0.2">
      <c r="G42802" s="889"/>
    </row>
    <row r="42803" spans="7:7" ht="10.5" customHeight="1" x14ac:dyDescent="0.2">
      <c r="G42803" s="889"/>
    </row>
    <row r="42804" spans="7:7" ht="10.5" customHeight="1" x14ac:dyDescent="0.2">
      <c r="G42804" s="889"/>
    </row>
    <row r="42805" spans="7:7" ht="10.5" customHeight="1" x14ac:dyDescent="0.2">
      <c r="G42805" s="889"/>
    </row>
    <row r="42806" spans="7:7" ht="10.5" customHeight="1" x14ac:dyDescent="0.2">
      <c r="G42806" s="889"/>
    </row>
    <row r="42807" spans="7:7" ht="10.5" customHeight="1" x14ac:dyDescent="0.2">
      <c r="G42807" s="889"/>
    </row>
    <row r="42808" spans="7:7" ht="10.5" customHeight="1" x14ac:dyDescent="0.2">
      <c r="G42808" s="889"/>
    </row>
    <row r="42809" spans="7:7" ht="10.5" customHeight="1" x14ac:dyDescent="0.2">
      <c r="G42809" s="889"/>
    </row>
    <row r="42810" spans="7:7" ht="10.5" customHeight="1" x14ac:dyDescent="0.2">
      <c r="G42810" s="889"/>
    </row>
    <row r="42811" spans="7:7" ht="10.5" customHeight="1" x14ac:dyDescent="0.2">
      <c r="G42811" s="889"/>
    </row>
    <row r="42812" spans="7:7" ht="10.5" customHeight="1" x14ac:dyDescent="0.2">
      <c r="G42812" s="889"/>
    </row>
    <row r="42813" spans="7:7" ht="10.5" customHeight="1" x14ac:dyDescent="0.2">
      <c r="G42813" s="889"/>
    </row>
    <row r="42814" spans="7:7" ht="10.5" customHeight="1" x14ac:dyDescent="0.2">
      <c r="G42814" s="889"/>
    </row>
    <row r="42815" spans="7:7" ht="10.5" customHeight="1" x14ac:dyDescent="0.2">
      <c r="G42815" s="889"/>
    </row>
    <row r="42816" spans="7:7" ht="10.5" customHeight="1" x14ac:dyDescent="0.2">
      <c r="G42816" s="889"/>
    </row>
    <row r="42817" spans="7:7" ht="10.5" customHeight="1" x14ac:dyDescent="0.2">
      <c r="G42817" s="889"/>
    </row>
    <row r="42818" spans="7:7" ht="10.5" customHeight="1" x14ac:dyDescent="0.2">
      <c r="G42818" s="889"/>
    </row>
    <row r="42819" spans="7:7" ht="10.5" customHeight="1" x14ac:dyDescent="0.2">
      <c r="G42819" s="889"/>
    </row>
    <row r="42820" spans="7:7" ht="10.5" customHeight="1" x14ac:dyDescent="0.2">
      <c r="G42820" s="889"/>
    </row>
    <row r="42821" spans="7:7" ht="10.5" customHeight="1" x14ac:dyDescent="0.2">
      <c r="G42821" s="889"/>
    </row>
    <row r="42822" spans="7:7" ht="10.5" customHeight="1" x14ac:dyDescent="0.2">
      <c r="G42822" s="889"/>
    </row>
    <row r="42823" spans="7:7" ht="10.5" customHeight="1" x14ac:dyDescent="0.2">
      <c r="G42823" s="889"/>
    </row>
    <row r="42824" spans="7:7" ht="10.5" customHeight="1" x14ac:dyDescent="0.2">
      <c r="G42824" s="889"/>
    </row>
    <row r="42825" spans="7:7" ht="10.5" customHeight="1" x14ac:dyDescent="0.2">
      <c r="G42825" s="889"/>
    </row>
    <row r="42826" spans="7:7" ht="10.5" customHeight="1" x14ac:dyDescent="0.2">
      <c r="G42826" s="889"/>
    </row>
    <row r="42827" spans="7:7" ht="10.5" customHeight="1" x14ac:dyDescent="0.2">
      <c r="G42827" s="889"/>
    </row>
    <row r="42828" spans="7:7" ht="10.5" customHeight="1" x14ac:dyDescent="0.2">
      <c r="G42828" s="889"/>
    </row>
    <row r="42829" spans="7:7" ht="10.5" customHeight="1" x14ac:dyDescent="0.2">
      <c r="G42829" s="889"/>
    </row>
    <row r="42830" spans="7:7" ht="10.5" customHeight="1" x14ac:dyDescent="0.2">
      <c r="G42830" s="889"/>
    </row>
    <row r="42831" spans="7:7" ht="10.5" customHeight="1" x14ac:dyDescent="0.2">
      <c r="G42831" s="889"/>
    </row>
    <row r="42832" spans="7:7" ht="10.5" customHeight="1" x14ac:dyDescent="0.2">
      <c r="G42832" s="889"/>
    </row>
    <row r="42833" spans="7:7" ht="10.5" customHeight="1" x14ac:dyDescent="0.2">
      <c r="G42833" s="889"/>
    </row>
    <row r="42834" spans="7:7" ht="10.5" customHeight="1" x14ac:dyDescent="0.2">
      <c r="G42834" s="889"/>
    </row>
    <row r="42835" spans="7:7" ht="10.5" customHeight="1" x14ac:dyDescent="0.2">
      <c r="G42835" s="889"/>
    </row>
    <row r="42836" spans="7:7" ht="10.5" customHeight="1" x14ac:dyDescent="0.2">
      <c r="G42836" s="889"/>
    </row>
    <row r="42837" spans="7:7" ht="10.5" customHeight="1" x14ac:dyDescent="0.2">
      <c r="G42837" s="889"/>
    </row>
    <row r="42838" spans="7:7" ht="10.5" customHeight="1" x14ac:dyDescent="0.2">
      <c r="G42838" s="889"/>
    </row>
    <row r="42839" spans="7:7" ht="10.5" customHeight="1" x14ac:dyDescent="0.2">
      <c r="G42839" s="889"/>
    </row>
    <row r="42840" spans="7:7" ht="10.5" customHeight="1" x14ac:dyDescent="0.2">
      <c r="G42840" s="889"/>
    </row>
    <row r="42841" spans="7:7" ht="10.5" customHeight="1" x14ac:dyDescent="0.2">
      <c r="G42841" s="889"/>
    </row>
    <row r="42842" spans="7:7" ht="10.5" customHeight="1" x14ac:dyDescent="0.2">
      <c r="G42842" s="889"/>
    </row>
    <row r="42843" spans="7:7" ht="10.5" customHeight="1" x14ac:dyDescent="0.2">
      <c r="G42843" s="889"/>
    </row>
    <row r="42844" spans="7:7" ht="10.5" customHeight="1" x14ac:dyDescent="0.2">
      <c r="G42844" s="889"/>
    </row>
    <row r="42845" spans="7:7" ht="10.5" customHeight="1" x14ac:dyDescent="0.2">
      <c r="G42845" s="889"/>
    </row>
    <row r="42846" spans="7:7" ht="10.5" customHeight="1" x14ac:dyDescent="0.2">
      <c r="G42846" s="889"/>
    </row>
    <row r="42847" spans="7:7" ht="10.5" customHeight="1" x14ac:dyDescent="0.2">
      <c r="G42847" s="889"/>
    </row>
    <row r="42848" spans="7:7" ht="10.5" customHeight="1" x14ac:dyDescent="0.2">
      <c r="G42848" s="889"/>
    </row>
    <row r="42849" spans="7:7" ht="10.5" customHeight="1" x14ac:dyDescent="0.2">
      <c r="G42849" s="889"/>
    </row>
    <row r="42850" spans="7:7" ht="10.5" customHeight="1" x14ac:dyDescent="0.2">
      <c r="G42850" s="889"/>
    </row>
    <row r="42851" spans="7:7" ht="10.5" customHeight="1" x14ac:dyDescent="0.2">
      <c r="G42851" s="889"/>
    </row>
    <row r="42852" spans="7:7" ht="10.5" customHeight="1" x14ac:dyDescent="0.2">
      <c r="G42852" s="889"/>
    </row>
    <row r="42853" spans="7:7" ht="10.5" customHeight="1" x14ac:dyDescent="0.2">
      <c r="G42853" s="889"/>
    </row>
    <row r="42854" spans="7:7" ht="10.5" customHeight="1" x14ac:dyDescent="0.2">
      <c r="G42854" s="889"/>
    </row>
    <row r="42855" spans="7:7" ht="10.5" customHeight="1" x14ac:dyDescent="0.2">
      <c r="G42855" s="889"/>
    </row>
    <row r="42856" spans="7:7" ht="10.5" customHeight="1" x14ac:dyDescent="0.2">
      <c r="G42856" s="889"/>
    </row>
    <row r="42857" spans="7:7" ht="10.5" customHeight="1" x14ac:dyDescent="0.2">
      <c r="G42857" s="889"/>
    </row>
    <row r="42858" spans="7:7" ht="10.5" customHeight="1" x14ac:dyDescent="0.2">
      <c r="G42858" s="889"/>
    </row>
    <row r="42859" spans="7:7" ht="10.5" customHeight="1" x14ac:dyDescent="0.2">
      <c r="G42859" s="889"/>
    </row>
    <row r="42860" spans="7:7" ht="10.5" customHeight="1" x14ac:dyDescent="0.2">
      <c r="G42860" s="889"/>
    </row>
    <row r="42861" spans="7:7" ht="10.5" customHeight="1" x14ac:dyDescent="0.2">
      <c r="G42861" s="889"/>
    </row>
    <row r="42862" spans="7:7" ht="10.5" customHeight="1" x14ac:dyDescent="0.2">
      <c r="G42862" s="889"/>
    </row>
    <row r="42863" spans="7:7" ht="10.5" customHeight="1" x14ac:dyDescent="0.2">
      <c r="G42863" s="889"/>
    </row>
    <row r="42864" spans="7:7" ht="10.5" customHeight="1" x14ac:dyDescent="0.2">
      <c r="G42864" s="889"/>
    </row>
    <row r="42865" spans="7:7" ht="10.5" customHeight="1" x14ac:dyDescent="0.2">
      <c r="G42865" s="889"/>
    </row>
    <row r="42866" spans="7:7" ht="10.5" customHeight="1" x14ac:dyDescent="0.2">
      <c r="G42866" s="889"/>
    </row>
    <row r="42867" spans="7:7" ht="10.5" customHeight="1" x14ac:dyDescent="0.2">
      <c r="G42867" s="889"/>
    </row>
    <row r="42868" spans="7:7" ht="10.5" customHeight="1" x14ac:dyDescent="0.2">
      <c r="G42868" s="889"/>
    </row>
    <row r="42869" spans="7:7" ht="10.5" customHeight="1" x14ac:dyDescent="0.2">
      <c r="G42869" s="889"/>
    </row>
    <row r="42870" spans="7:7" ht="10.5" customHeight="1" x14ac:dyDescent="0.2">
      <c r="G42870" s="889"/>
    </row>
    <row r="42871" spans="7:7" ht="10.5" customHeight="1" x14ac:dyDescent="0.2">
      <c r="G42871" s="889"/>
    </row>
    <row r="42872" spans="7:7" ht="10.5" customHeight="1" x14ac:dyDescent="0.2">
      <c r="G42872" s="889"/>
    </row>
    <row r="42873" spans="7:7" ht="10.5" customHeight="1" x14ac:dyDescent="0.2">
      <c r="G42873" s="889"/>
    </row>
    <row r="42874" spans="7:7" ht="10.5" customHeight="1" x14ac:dyDescent="0.2">
      <c r="G42874" s="889"/>
    </row>
    <row r="42875" spans="7:7" ht="10.5" customHeight="1" x14ac:dyDescent="0.2">
      <c r="G42875" s="889"/>
    </row>
    <row r="42876" spans="7:7" ht="10.5" customHeight="1" x14ac:dyDescent="0.2">
      <c r="G42876" s="889"/>
    </row>
    <row r="42877" spans="7:7" ht="10.5" customHeight="1" x14ac:dyDescent="0.2">
      <c r="G42877" s="889"/>
    </row>
    <row r="42878" spans="7:7" ht="10.5" customHeight="1" x14ac:dyDescent="0.2">
      <c r="G42878" s="889"/>
    </row>
    <row r="42879" spans="7:7" ht="10.5" customHeight="1" x14ac:dyDescent="0.2">
      <c r="G42879" s="889"/>
    </row>
    <row r="42880" spans="7:7" ht="10.5" customHeight="1" x14ac:dyDescent="0.2">
      <c r="G42880" s="889"/>
    </row>
    <row r="42881" spans="7:7" ht="10.5" customHeight="1" x14ac:dyDescent="0.2">
      <c r="G42881" s="889"/>
    </row>
    <row r="42882" spans="7:7" ht="10.5" customHeight="1" x14ac:dyDescent="0.2">
      <c r="G42882" s="889"/>
    </row>
    <row r="42883" spans="7:7" ht="10.5" customHeight="1" x14ac:dyDescent="0.2">
      <c r="G42883" s="889"/>
    </row>
    <row r="42884" spans="7:7" ht="10.5" customHeight="1" x14ac:dyDescent="0.2">
      <c r="G42884" s="889"/>
    </row>
    <row r="42885" spans="7:7" ht="10.5" customHeight="1" x14ac:dyDescent="0.2">
      <c r="G42885" s="889"/>
    </row>
    <row r="42886" spans="7:7" ht="10.5" customHeight="1" x14ac:dyDescent="0.2">
      <c r="G42886" s="889"/>
    </row>
    <row r="42887" spans="7:7" ht="10.5" customHeight="1" x14ac:dyDescent="0.2">
      <c r="G42887" s="889"/>
    </row>
    <row r="42888" spans="7:7" ht="10.5" customHeight="1" x14ac:dyDescent="0.2">
      <c r="G42888" s="889"/>
    </row>
    <row r="42889" spans="7:7" ht="10.5" customHeight="1" x14ac:dyDescent="0.2">
      <c r="G42889" s="889"/>
    </row>
    <row r="42890" spans="7:7" ht="10.5" customHeight="1" x14ac:dyDescent="0.2">
      <c r="G42890" s="889"/>
    </row>
    <row r="42891" spans="7:7" ht="10.5" customHeight="1" x14ac:dyDescent="0.2">
      <c r="G42891" s="889"/>
    </row>
    <row r="42892" spans="7:7" ht="10.5" customHeight="1" x14ac:dyDescent="0.2">
      <c r="G42892" s="889"/>
    </row>
    <row r="42893" spans="7:7" ht="10.5" customHeight="1" x14ac:dyDescent="0.2">
      <c r="G42893" s="889"/>
    </row>
    <row r="42894" spans="7:7" ht="10.5" customHeight="1" x14ac:dyDescent="0.2">
      <c r="G42894" s="889"/>
    </row>
    <row r="42895" spans="7:7" ht="10.5" customHeight="1" x14ac:dyDescent="0.2">
      <c r="G42895" s="889"/>
    </row>
    <row r="42896" spans="7:7" ht="10.5" customHeight="1" x14ac:dyDescent="0.2">
      <c r="G42896" s="889"/>
    </row>
    <row r="42897" spans="7:7" ht="10.5" customHeight="1" x14ac:dyDescent="0.2">
      <c r="G42897" s="889"/>
    </row>
    <row r="42898" spans="7:7" ht="10.5" customHeight="1" x14ac:dyDescent="0.2">
      <c r="G42898" s="889"/>
    </row>
    <row r="42899" spans="7:7" ht="10.5" customHeight="1" x14ac:dyDescent="0.2">
      <c r="G42899" s="889"/>
    </row>
    <row r="42900" spans="7:7" ht="10.5" customHeight="1" x14ac:dyDescent="0.2">
      <c r="G42900" s="889"/>
    </row>
    <row r="42901" spans="7:7" ht="10.5" customHeight="1" x14ac:dyDescent="0.2">
      <c r="G42901" s="889"/>
    </row>
    <row r="42902" spans="7:7" ht="10.5" customHeight="1" x14ac:dyDescent="0.2">
      <c r="G42902" s="889"/>
    </row>
    <row r="42903" spans="7:7" ht="10.5" customHeight="1" x14ac:dyDescent="0.2">
      <c r="G42903" s="889"/>
    </row>
    <row r="42904" spans="7:7" ht="10.5" customHeight="1" x14ac:dyDescent="0.2">
      <c r="G42904" s="889"/>
    </row>
    <row r="42905" spans="7:7" ht="10.5" customHeight="1" x14ac:dyDescent="0.2">
      <c r="G42905" s="889"/>
    </row>
    <row r="42906" spans="7:7" ht="10.5" customHeight="1" x14ac:dyDescent="0.2">
      <c r="G42906" s="889"/>
    </row>
    <row r="42907" spans="7:7" ht="10.5" customHeight="1" x14ac:dyDescent="0.2">
      <c r="G42907" s="889"/>
    </row>
    <row r="42908" spans="7:7" ht="10.5" customHeight="1" x14ac:dyDescent="0.2">
      <c r="G42908" s="889"/>
    </row>
    <row r="42909" spans="7:7" ht="10.5" customHeight="1" x14ac:dyDescent="0.2">
      <c r="G42909" s="889"/>
    </row>
    <row r="42910" spans="7:7" ht="10.5" customHeight="1" x14ac:dyDescent="0.2">
      <c r="G42910" s="889"/>
    </row>
    <row r="42911" spans="7:7" ht="10.5" customHeight="1" x14ac:dyDescent="0.2">
      <c r="G42911" s="889"/>
    </row>
    <row r="42912" spans="7:7" ht="10.5" customHeight="1" x14ac:dyDescent="0.2">
      <c r="G42912" s="889"/>
    </row>
    <row r="42913" spans="7:7" ht="10.5" customHeight="1" x14ac:dyDescent="0.2">
      <c r="G42913" s="889"/>
    </row>
    <row r="42914" spans="7:7" ht="10.5" customHeight="1" x14ac:dyDescent="0.2">
      <c r="G42914" s="889"/>
    </row>
    <row r="42915" spans="7:7" ht="10.5" customHeight="1" x14ac:dyDescent="0.2">
      <c r="G42915" s="889"/>
    </row>
    <row r="42916" spans="7:7" ht="10.5" customHeight="1" x14ac:dyDescent="0.2">
      <c r="G42916" s="889"/>
    </row>
    <row r="42917" spans="7:7" ht="10.5" customHeight="1" x14ac:dyDescent="0.2">
      <c r="G42917" s="889"/>
    </row>
    <row r="42918" spans="7:7" ht="10.5" customHeight="1" x14ac:dyDescent="0.2">
      <c r="G42918" s="889"/>
    </row>
    <row r="42919" spans="7:7" ht="10.5" customHeight="1" x14ac:dyDescent="0.2">
      <c r="G42919" s="889"/>
    </row>
    <row r="42920" spans="7:7" ht="10.5" customHeight="1" x14ac:dyDescent="0.2">
      <c r="G42920" s="889"/>
    </row>
    <row r="42921" spans="7:7" ht="10.5" customHeight="1" x14ac:dyDescent="0.2">
      <c r="G42921" s="889"/>
    </row>
    <row r="42922" spans="7:7" ht="10.5" customHeight="1" x14ac:dyDescent="0.2">
      <c r="G42922" s="889"/>
    </row>
    <row r="42923" spans="7:7" ht="10.5" customHeight="1" x14ac:dyDescent="0.2">
      <c r="G42923" s="889"/>
    </row>
    <row r="42924" spans="7:7" ht="10.5" customHeight="1" x14ac:dyDescent="0.2">
      <c r="G42924" s="889"/>
    </row>
    <row r="42925" spans="7:7" ht="10.5" customHeight="1" x14ac:dyDescent="0.2">
      <c r="G42925" s="889"/>
    </row>
    <row r="42926" spans="7:7" ht="10.5" customHeight="1" x14ac:dyDescent="0.2">
      <c r="G42926" s="889"/>
    </row>
    <row r="42927" spans="7:7" ht="10.5" customHeight="1" x14ac:dyDescent="0.2">
      <c r="G42927" s="889"/>
    </row>
    <row r="42928" spans="7:7" ht="10.5" customHeight="1" x14ac:dyDescent="0.2">
      <c r="G42928" s="889"/>
    </row>
    <row r="42929" spans="7:7" ht="10.5" customHeight="1" x14ac:dyDescent="0.2">
      <c r="G42929" s="889"/>
    </row>
    <row r="42930" spans="7:7" ht="10.5" customHeight="1" x14ac:dyDescent="0.2">
      <c r="G42930" s="889"/>
    </row>
    <row r="42931" spans="7:7" ht="10.5" customHeight="1" x14ac:dyDescent="0.2">
      <c r="G42931" s="889"/>
    </row>
    <row r="42932" spans="7:7" ht="10.5" customHeight="1" x14ac:dyDescent="0.2">
      <c r="G42932" s="889"/>
    </row>
    <row r="42933" spans="7:7" ht="10.5" customHeight="1" x14ac:dyDescent="0.2">
      <c r="G42933" s="889"/>
    </row>
    <row r="42934" spans="7:7" ht="10.5" customHeight="1" x14ac:dyDescent="0.2">
      <c r="G42934" s="889"/>
    </row>
    <row r="42935" spans="7:7" ht="10.5" customHeight="1" x14ac:dyDescent="0.2">
      <c r="G42935" s="889"/>
    </row>
    <row r="42936" spans="7:7" ht="10.5" customHeight="1" x14ac:dyDescent="0.2">
      <c r="G42936" s="889"/>
    </row>
    <row r="42937" spans="7:7" ht="10.5" customHeight="1" x14ac:dyDescent="0.2">
      <c r="G42937" s="889"/>
    </row>
    <row r="42938" spans="7:7" ht="10.5" customHeight="1" x14ac:dyDescent="0.2">
      <c r="G42938" s="889"/>
    </row>
    <row r="42939" spans="7:7" ht="10.5" customHeight="1" x14ac:dyDescent="0.2">
      <c r="G42939" s="889"/>
    </row>
    <row r="42940" spans="7:7" ht="10.5" customHeight="1" x14ac:dyDescent="0.2">
      <c r="G42940" s="889"/>
    </row>
    <row r="42941" spans="7:7" ht="10.5" customHeight="1" x14ac:dyDescent="0.2">
      <c r="G42941" s="889"/>
    </row>
    <row r="42942" spans="7:7" ht="10.5" customHeight="1" x14ac:dyDescent="0.2">
      <c r="G42942" s="889"/>
    </row>
    <row r="42943" spans="7:7" ht="10.5" customHeight="1" x14ac:dyDescent="0.2">
      <c r="G42943" s="889"/>
    </row>
    <row r="42944" spans="7:7" ht="10.5" customHeight="1" x14ac:dyDescent="0.2">
      <c r="G42944" s="889"/>
    </row>
    <row r="42945" spans="7:7" ht="10.5" customHeight="1" x14ac:dyDescent="0.2">
      <c r="G42945" s="889"/>
    </row>
    <row r="42946" spans="7:7" ht="10.5" customHeight="1" x14ac:dyDescent="0.2">
      <c r="G42946" s="889"/>
    </row>
    <row r="42947" spans="7:7" ht="10.5" customHeight="1" x14ac:dyDescent="0.2">
      <c r="G42947" s="889"/>
    </row>
    <row r="42948" spans="7:7" ht="10.5" customHeight="1" x14ac:dyDescent="0.2">
      <c r="G42948" s="889"/>
    </row>
    <row r="42949" spans="7:7" ht="10.5" customHeight="1" x14ac:dyDescent="0.2">
      <c r="G42949" s="889"/>
    </row>
    <row r="42950" spans="7:7" ht="10.5" customHeight="1" x14ac:dyDescent="0.2">
      <c r="G42950" s="889"/>
    </row>
    <row r="42951" spans="7:7" ht="10.5" customHeight="1" x14ac:dyDescent="0.2">
      <c r="G42951" s="889"/>
    </row>
    <row r="42952" spans="7:7" ht="10.5" customHeight="1" x14ac:dyDescent="0.2">
      <c r="G42952" s="889"/>
    </row>
    <row r="42953" spans="7:7" ht="10.5" customHeight="1" x14ac:dyDescent="0.2">
      <c r="G42953" s="889"/>
    </row>
    <row r="42954" spans="7:7" ht="10.5" customHeight="1" x14ac:dyDescent="0.2">
      <c r="G42954" s="889"/>
    </row>
    <row r="42955" spans="7:7" ht="10.5" customHeight="1" x14ac:dyDescent="0.2">
      <c r="G42955" s="889"/>
    </row>
    <row r="42956" spans="7:7" ht="10.5" customHeight="1" x14ac:dyDescent="0.2">
      <c r="G42956" s="889"/>
    </row>
    <row r="42957" spans="7:7" ht="10.5" customHeight="1" x14ac:dyDescent="0.2">
      <c r="G42957" s="889"/>
    </row>
    <row r="42958" spans="7:7" ht="10.5" customHeight="1" x14ac:dyDescent="0.2">
      <c r="G42958" s="889"/>
    </row>
    <row r="42959" spans="7:7" ht="10.5" customHeight="1" x14ac:dyDescent="0.2">
      <c r="G42959" s="889"/>
    </row>
    <row r="42960" spans="7:7" ht="10.5" customHeight="1" x14ac:dyDescent="0.2">
      <c r="G42960" s="889"/>
    </row>
    <row r="42961" spans="7:7" ht="10.5" customHeight="1" x14ac:dyDescent="0.2">
      <c r="G42961" s="889"/>
    </row>
    <row r="42962" spans="7:7" ht="10.5" customHeight="1" x14ac:dyDescent="0.2">
      <c r="G42962" s="889"/>
    </row>
    <row r="42963" spans="7:7" ht="10.5" customHeight="1" x14ac:dyDescent="0.2">
      <c r="G42963" s="889"/>
    </row>
    <row r="42964" spans="7:7" ht="10.5" customHeight="1" x14ac:dyDescent="0.2">
      <c r="G42964" s="889"/>
    </row>
    <row r="42965" spans="7:7" ht="10.5" customHeight="1" x14ac:dyDescent="0.2">
      <c r="G42965" s="889"/>
    </row>
    <row r="42966" spans="7:7" ht="10.5" customHeight="1" x14ac:dyDescent="0.2">
      <c r="G42966" s="889"/>
    </row>
    <row r="42967" spans="7:7" ht="10.5" customHeight="1" x14ac:dyDescent="0.2">
      <c r="G42967" s="889"/>
    </row>
    <row r="42968" spans="7:7" ht="10.5" customHeight="1" x14ac:dyDescent="0.2">
      <c r="G42968" s="889"/>
    </row>
    <row r="42969" spans="7:7" ht="10.5" customHeight="1" x14ac:dyDescent="0.2">
      <c r="G42969" s="889"/>
    </row>
    <row r="42970" spans="7:7" ht="10.5" customHeight="1" x14ac:dyDescent="0.2">
      <c r="G42970" s="889"/>
    </row>
    <row r="42971" spans="7:7" ht="10.5" customHeight="1" x14ac:dyDescent="0.2">
      <c r="G42971" s="889"/>
    </row>
    <row r="42972" spans="7:7" ht="10.5" customHeight="1" x14ac:dyDescent="0.2">
      <c r="G42972" s="889"/>
    </row>
    <row r="42973" spans="7:7" ht="10.5" customHeight="1" x14ac:dyDescent="0.2">
      <c r="G42973" s="889"/>
    </row>
    <row r="42974" spans="7:7" ht="10.5" customHeight="1" x14ac:dyDescent="0.2">
      <c r="G42974" s="889"/>
    </row>
    <row r="42975" spans="7:7" ht="10.5" customHeight="1" x14ac:dyDescent="0.2">
      <c r="G42975" s="889"/>
    </row>
    <row r="42976" spans="7:7" ht="10.5" customHeight="1" x14ac:dyDescent="0.2">
      <c r="G42976" s="889"/>
    </row>
    <row r="42977" spans="7:7" ht="10.5" customHeight="1" x14ac:dyDescent="0.2">
      <c r="G42977" s="889"/>
    </row>
    <row r="42978" spans="7:7" ht="10.5" customHeight="1" x14ac:dyDescent="0.2">
      <c r="G42978" s="889"/>
    </row>
    <row r="42979" spans="7:7" ht="10.5" customHeight="1" x14ac:dyDescent="0.2">
      <c r="G42979" s="889"/>
    </row>
    <row r="42980" spans="7:7" ht="10.5" customHeight="1" x14ac:dyDescent="0.2">
      <c r="G42980" s="889"/>
    </row>
    <row r="42981" spans="7:7" ht="10.5" customHeight="1" x14ac:dyDescent="0.2">
      <c r="G42981" s="889"/>
    </row>
    <row r="42982" spans="7:7" ht="10.5" customHeight="1" x14ac:dyDescent="0.2">
      <c r="G42982" s="889"/>
    </row>
    <row r="42983" spans="7:7" ht="10.5" customHeight="1" x14ac:dyDescent="0.2">
      <c r="G42983" s="889"/>
    </row>
    <row r="42984" spans="7:7" ht="10.5" customHeight="1" x14ac:dyDescent="0.2">
      <c r="G42984" s="889"/>
    </row>
    <row r="42985" spans="7:7" ht="10.5" customHeight="1" x14ac:dyDescent="0.2">
      <c r="G42985" s="889"/>
    </row>
    <row r="42986" spans="7:7" ht="10.5" customHeight="1" x14ac:dyDescent="0.2">
      <c r="G42986" s="889"/>
    </row>
    <row r="42987" spans="7:7" ht="10.5" customHeight="1" x14ac:dyDescent="0.2">
      <c r="G42987" s="889"/>
    </row>
    <row r="42988" spans="7:7" ht="10.5" customHeight="1" x14ac:dyDescent="0.2">
      <c r="G42988" s="889"/>
    </row>
    <row r="42989" spans="7:7" ht="10.5" customHeight="1" x14ac:dyDescent="0.2">
      <c r="G42989" s="889"/>
    </row>
    <row r="42990" spans="7:7" ht="10.5" customHeight="1" x14ac:dyDescent="0.2">
      <c r="G42990" s="889"/>
    </row>
    <row r="42991" spans="7:7" ht="10.5" customHeight="1" x14ac:dyDescent="0.2">
      <c r="G42991" s="889"/>
    </row>
    <row r="42992" spans="7:7" ht="10.5" customHeight="1" x14ac:dyDescent="0.2">
      <c r="G42992" s="889"/>
    </row>
    <row r="42993" spans="7:7" ht="10.5" customHeight="1" x14ac:dyDescent="0.2">
      <c r="G42993" s="889"/>
    </row>
    <row r="42994" spans="7:7" ht="10.5" customHeight="1" x14ac:dyDescent="0.2">
      <c r="G42994" s="889"/>
    </row>
    <row r="42995" spans="7:7" ht="10.5" customHeight="1" x14ac:dyDescent="0.2">
      <c r="G42995" s="889"/>
    </row>
    <row r="42996" spans="7:7" ht="10.5" customHeight="1" x14ac:dyDescent="0.2">
      <c r="G42996" s="889"/>
    </row>
    <row r="42997" spans="7:7" ht="10.5" customHeight="1" x14ac:dyDescent="0.2">
      <c r="G42997" s="889"/>
    </row>
    <row r="42998" spans="7:7" ht="10.5" customHeight="1" x14ac:dyDescent="0.2">
      <c r="G42998" s="889"/>
    </row>
    <row r="42999" spans="7:7" ht="10.5" customHeight="1" x14ac:dyDescent="0.2">
      <c r="G42999" s="889"/>
    </row>
    <row r="43000" spans="7:7" ht="10.5" customHeight="1" x14ac:dyDescent="0.2">
      <c r="G43000" s="889"/>
    </row>
    <row r="43001" spans="7:7" ht="10.5" customHeight="1" x14ac:dyDescent="0.2">
      <c r="G43001" s="889"/>
    </row>
    <row r="43002" spans="7:7" ht="10.5" customHeight="1" x14ac:dyDescent="0.2">
      <c r="G43002" s="889"/>
    </row>
    <row r="43003" spans="7:7" ht="10.5" customHeight="1" x14ac:dyDescent="0.2">
      <c r="G43003" s="889"/>
    </row>
    <row r="43004" spans="7:7" ht="10.5" customHeight="1" x14ac:dyDescent="0.2">
      <c r="G43004" s="889"/>
    </row>
    <row r="43005" spans="7:7" ht="10.5" customHeight="1" x14ac:dyDescent="0.2">
      <c r="G43005" s="889"/>
    </row>
    <row r="43006" spans="7:7" ht="10.5" customHeight="1" x14ac:dyDescent="0.2">
      <c r="G43006" s="889"/>
    </row>
    <row r="43007" spans="7:7" ht="10.5" customHeight="1" x14ac:dyDescent="0.2">
      <c r="G43007" s="889"/>
    </row>
    <row r="43008" spans="7:7" ht="10.5" customHeight="1" x14ac:dyDescent="0.2">
      <c r="G43008" s="889"/>
    </row>
    <row r="43009" spans="7:7" ht="10.5" customHeight="1" x14ac:dyDescent="0.2">
      <c r="G43009" s="889"/>
    </row>
    <row r="43010" spans="7:7" ht="10.5" customHeight="1" x14ac:dyDescent="0.2">
      <c r="G43010" s="889"/>
    </row>
    <row r="43011" spans="7:7" ht="10.5" customHeight="1" x14ac:dyDescent="0.2">
      <c r="G43011" s="889"/>
    </row>
    <row r="43012" spans="7:7" ht="10.5" customHeight="1" x14ac:dyDescent="0.2">
      <c r="G43012" s="889"/>
    </row>
    <row r="43013" spans="7:7" ht="10.5" customHeight="1" x14ac:dyDescent="0.2">
      <c r="G43013" s="889"/>
    </row>
    <row r="43014" spans="7:7" ht="10.5" customHeight="1" x14ac:dyDescent="0.2">
      <c r="G43014" s="889"/>
    </row>
    <row r="43015" spans="7:7" ht="10.5" customHeight="1" x14ac:dyDescent="0.2">
      <c r="G43015" s="889"/>
    </row>
    <row r="43016" spans="7:7" ht="10.5" customHeight="1" x14ac:dyDescent="0.2">
      <c r="G43016" s="889"/>
    </row>
    <row r="43017" spans="7:7" ht="10.5" customHeight="1" x14ac:dyDescent="0.2">
      <c r="G43017" s="889"/>
    </row>
    <row r="43018" spans="7:7" ht="10.5" customHeight="1" x14ac:dyDescent="0.2">
      <c r="G43018" s="889"/>
    </row>
    <row r="43019" spans="7:7" ht="10.5" customHeight="1" x14ac:dyDescent="0.2">
      <c r="G43019" s="889"/>
    </row>
    <row r="43020" spans="7:7" ht="10.5" customHeight="1" x14ac:dyDescent="0.2">
      <c r="G43020" s="889"/>
    </row>
    <row r="43021" spans="7:7" ht="10.5" customHeight="1" x14ac:dyDescent="0.2">
      <c r="G43021" s="889"/>
    </row>
    <row r="43022" spans="7:7" ht="10.5" customHeight="1" x14ac:dyDescent="0.2">
      <c r="G43022" s="889"/>
    </row>
    <row r="43023" spans="7:7" ht="10.5" customHeight="1" x14ac:dyDescent="0.2">
      <c r="G43023" s="889"/>
    </row>
    <row r="43024" spans="7:7" ht="10.5" customHeight="1" x14ac:dyDescent="0.2">
      <c r="G43024" s="889"/>
    </row>
    <row r="43025" spans="7:7" ht="10.5" customHeight="1" x14ac:dyDescent="0.2">
      <c r="G43025" s="889"/>
    </row>
    <row r="43026" spans="7:7" ht="10.5" customHeight="1" x14ac:dyDescent="0.2">
      <c r="G43026" s="889"/>
    </row>
    <row r="43027" spans="7:7" ht="10.5" customHeight="1" x14ac:dyDescent="0.2">
      <c r="G43027" s="889"/>
    </row>
    <row r="43028" spans="7:7" ht="10.5" customHeight="1" x14ac:dyDescent="0.2">
      <c r="G43028" s="889"/>
    </row>
    <row r="43029" spans="7:7" ht="10.5" customHeight="1" x14ac:dyDescent="0.2">
      <c r="G43029" s="889"/>
    </row>
    <row r="43030" spans="7:7" ht="10.5" customHeight="1" x14ac:dyDescent="0.2">
      <c r="G43030" s="889"/>
    </row>
    <row r="43031" spans="7:7" ht="10.5" customHeight="1" x14ac:dyDescent="0.2">
      <c r="G43031" s="889"/>
    </row>
    <row r="43032" spans="7:7" ht="10.5" customHeight="1" x14ac:dyDescent="0.2">
      <c r="G43032" s="889"/>
    </row>
    <row r="43033" spans="7:7" ht="10.5" customHeight="1" x14ac:dyDescent="0.2">
      <c r="G43033" s="889"/>
    </row>
    <row r="43034" spans="7:7" ht="10.5" customHeight="1" x14ac:dyDescent="0.2">
      <c r="G43034" s="889"/>
    </row>
    <row r="43035" spans="7:7" ht="10.5" customHeight="1" x14ac:dyDescent="0.2">
      <c r="G43035" s="889"/>
    </row>
    <row r="43036" spans="7:7" ht="10.5" customHeight="1" x14ac:dyDescent="0.2">
      <c r="G43036" s="889"/>
    </row>
    <row r="43037" spans="7:7" ht="10.5" customHeight="1" x14ac:dyDescent="0.2">
      <c r="G43037" s="889"/>
    </row>
    <row r="43038" spans="7:7" ht="10.5" customHeight="1" x14ac:dyDescent="0.2">
      <c r="G43038" s="889"/>
    </row>
    <row r="43039" spans="7:7" ht="10.5" customHeight="1" x14ac:dyDescent="0.2">
      <c r="G43039" s="889"/>
    </row>
    <row r="43040" spans="7:7" ht="10.5" customHeight="1" x14ac:dyDescent="0.2">
      <c r="G43040" s="889"/>
    </row>
    <row r="43041" spans="7:7" ht="10.5" customHeight="1" x14ac:dyDescent="0.2">
      <c r="G43041" s="889"/>
    </row>
    <row r="43042" spans="7:7" ht="10.5" customHeight="1" x14ac:dyDescent="0.2">
      <c r="G43042" s="889"/>
    </row>
    <row r="43043" spans="7:7" ht="10.5" customHeight="1" x14ac:dyDescent="0.2">
      <c r="G43043" s="889"/>
    </row>
    <row r="43044" spans="7:7" ht="10.5" customHeight="1" x14ac:dyDescent="0.2">
      <c r="G43044" s="889"/>
    </row>
    <row r="43045" spans="7:7" ht="10.5" customHeight="1" x14ac:dyDescent="0.2">
      <c r="G43045" s="889"/>
    </row>
    <row r="43046" spans="7:7" ht="10.5" customHeight="1" x14ac:dyDescent="0.2">
      <c r="G43046" s="889"/>
    </row>
    <row r="43047" spans="7:7" ht="10.5" customHeight="1" x14ac:dyDescent="0.2">
      <c r="G43047" s="889"/>
    </row>
    <row r="43048" spans="7:7" ht="10.5" customHeight="1" x14ac:dyDescent="0.2">
      <c r="G43048" s="889"/>
    </row>
    <row r="43049" spans="7:7" ht="10.5" customHeight="1" x14ac:dyDescent="0.2">
      <c r="G43049" s="889"/>
    </row>
    <row r="43050" spans="7:7" ht="10.5" customHeight="1" x14ac:dyDescent="0.2">
      <c r="G43050" s="889"/>
    </row>
    <row r="43051" spans="7:7" ht="10.5" customHeight="1" x14ac:dyDescent="0.2">
      <c r="G43051" s="889"/>
    </row>
    <row r="43052" spans="7:7" ht="10.5" customHeight="1" x14ac:dyDescent="0.2">
      <c r="G43052" s="889"/>
    </row>
    <row r="43053" spans="7:7" ht="10.5" customHeight="1" x14ac:dyDescent="0.2">
      <c r="G43053" s="889"/>
    </row>
    <row r="43054" spans="7:7" ht="10.5" customHeight="1" x14ac:dyDescent="0.2">
      <c r="G43054" s="889"/>
    </row>
    <row r="43055" spans="7:7" ht="10.5" customHeight="1" x14ac:dyDescent="0.2">
      <c r="G43055" s="889"/>
    </row>
    <row r="43056" spans="7:7" ht="10.5" customHeight="1" x14ac:dyDescent="0.2">
      <c r="G43056" s="889"/>
    </row>
    <row r="43057" spans="7:7" ht="10.5" customHeight="1" x14ac:dyDescent="0.2">
      <c r="G43057" s="889"/>
    </row>
    <row r="43058" spans="7:7" ht="10.5" customHeight="1" x14ac:dyDescent="0.2">
      <c r="G43058" s="889"/>
    </row>
    <row r="43059" spans="7:7" ht="10.5" customHeight="1" x14ac:dyDescent="0.2">
      <c r="G43059" s="889"/>
    </row>
    <row r="43060" spans="7:7" ht="10.5" customHeight="1" x14ac:dyDescent="0.2">
      <c r="G43060" s="889"/>
    </row>
    <row r="43061" spans="7:7" ht="10.5" customHeight="1" x14ac:dyDescent="0.2">
      <c r="G43061" s="889"/>
    </row>
    <row r="43062" spans="7:7" ht="10.5" customHeight="1" x14ac:dyDescent="0.2">
      <c r="G43062" s="889"/>
    </row>
    <row r="43063" spans="7:7" ht="10.5" customHeight="1" x14ac:dyDescent="0.2">
      <c r="G43063" s="889"/>
    </row>
    <row r="43064" spans="7:7" ht="10.5" customHeight="1" x14ac:dyDescent="0.2">
      <c r="G43064" s="889"/>
    </row>
    <row r="43065" spans="7:7" ht="10.5" customHeight="1" x14ac:dyDescent="0.2">
      <c r="G43065" s="889"/>
    </row>
    <row r="43066" spans="7:7" ht="10.5" customHeight="1" x14ac:dyDescent="0.2">
      <c r="G43066" s="889"/>
    </row>
    <row r="43067" spans="7:7" ht="10.5" customHeight="1" x14ac:dyDescent="0.2">
      <c r="G43067" s="889"/>
    </row>
    <row r="43068" spans="7:7" ht="10.5" customHeight="1" x14ac:dyDescent="0.2">
      <c r="G43068" s="889"/>
    </row>
    <row r="43069" spans="7:7" ht="10.5" customHeight="1" x14ac:dyDescent="0.2">
      <c r="G43069" s="889"/>
    </row>
    <row r="43070" spans="7:7" ht="10.5" customHeight="1" x14ac:dyDescent="0.2">
      <c r="G43070" s="889"/>
    </row>
    <row r="43071" spans="7:7" ht="10.5" customHeight="1" x14ac:dyDescent="0.2">
      <c r="G43071" s="889"/>
    </row>
    <row r="43072" spans="7:7" ht="10.5" customHeight="1" x14ac:dyDescent="0.2">
      <c r="G43072" s="889"/>
    </row>
    <row r="43073" spans="7:7" ht="10.5" customHeight="1" x14ac:dyDescent="0.2">
      <c r="G43073" s="889"/>
    </row>
    <row r="43074" spans="7:7" ht="10.5" customHeight="1" x14ac:dyDescent="0.2">
      <c r="G43074" s="889"/>
    </row>
    <row r="43075" spans="7:7" ht="10.5" customHeight="1" x14ac:dyDescent="0.2">
      <c r="G43075" s="889"/>
    </row>
    <row r="43076" spans="7:7" ht="10.5" customHeight="1" x14ac:dyDescent="0.2">
      <c r="G43076" s="889"/>
    </row>
    <row r="43077" spans="7:7" ht="10.5" customHeight="1" x14ac:dyDescent="0.2">
      <c r="G43077" s="889"/>
    </row>
    <row r="43078" spans="7:7" ht="10.5" customHeight="1" x14ac:dyDescent="0.2">
      <c r="G43078" s="889"/>
    </row>
    <row r="43079" spans="7:7" ht="10.5" customHeight="1" x14ac:dyDescent="0.2">
      <c r="G43079" s="889"/>
    </row>
    <row r="43080" spans="7:7" ht="10.5" customHeight="1" x14ac:dyDescent="0.2">
      <c r="G43080" s="889"/>
    </row>
    <row r="43081" spans="7:7" ht="10.5" customHeight="1" x14ac:dyDescent="0.2">
      <c r="G43081" s="889"/>
    </row>
    <row r="43082" spans="7:7" ht="10.5" customHeight="1" x14ac:dyDescent="0.2">
      <c r="G43082" s="889"/>
    </row>
    <row r="43083" spans="7:7" ht="10.5" customHeight="1" x14ac:dyDescent="0.2">
      <c r="G43083" s="889"/>
    </row>
    <row r="43084" spans="7:7" ht="10.5" customHeight="1" x14ac:dyDescent="0.2">
      <c r="G43084" s="889"/>
    </row>
    <row r="43085" spans="7:7" ht="10.5" customHeight="1" x14ac:dyDescent="0.2">
      <c r="G43085" s="889"/>
    </row>
    <row r="43086" spans="7:7" ht="10.5" customHeight="1" x14ac:dyDescent="0.2">
      <c r="G43086" s="889"/>
    </row>
    <row r="43087" spans="7:7" ht="10.5" customHeight="1" x14ac:dyDescent="0.2">
      <c r="G43087" s="889"/>
    </row>
    <row r="43088" spans="7:7" ht="10.5" customHeight="1" x14ac:dyDescent="0.2">
      <c r="G43088" s="889"/>
    </row>
    <row r="43089" spans="7:7" ht="10.5" customHeight="1" x14ac:dyDescent="0.2">
      <c r="G43089" s="889"/>
    </row>
    <row r="43090" spans="7:7" ht="10.5" customHeight="1" x14ac:dyDescent="0.2">
      <c r="G43090" s="889"/>
    </row>
    <row r="43091" spans="7:7" ht="10.5" customHeight="1" x14ac:dyDescent="0.2">
      <c r="G43091" s="889"/>
    </row>
    <row r="43092" spans="7:7" ht="10.5" customHeight="1" x14ac:dyDescent="0.2">
      <c r="G43092" s="889"/>
    </row>
    <row r="43093" spans="7:7" ht="10.5" customHeight="1" x14ac:dyDescent="0.2">
      <c r="G43093" s="889"/>
    </row>
    <row r="43094" spans="7:7" ht="10.5" customHeight="1" x14ac:dyDescent="0.2">
      <c r="G43094" s="889"/>
    </row>
    <row r="43095" spans="7:7" ht="10.5" customHeight="1" x14ac:dyDescent="0.2">
      <c r="G43095" s="889"/>
    </row>
    <row r="43096" spans="7:7" ht="10.5" customHeight="1" x14ac:dyDescent="0.2">
      <c r="G43096" s="889"/>
    </row>
    <row r="43097" spans="7:7" ht="10.5" customHeight="1" x14ac:dyDescent="0.2">
      <c r="G43097" s="889"/>
    </row>
    <row r="43098" spans="7:7" ht="10.5" customHeight="1" x14ac:dyDescent="0.2">
      <c r="G43098" s="889"/>
    </row>
    <row r="43099" spans="7:7" ht="10.5" customHeight="1" x14ac:dyDescent="0.2">
      <c r="G43099" s="889"/>
    </row>
    <row r="43100" spans="7:7" ht="10.5" customHeight="1" x14ac:dyDescent="0.2">
      <c r="G43100" s="889"/>
    </row>
    <row r="43101" spans="7:7" ht="10.5" customHeight="1" x14ac:dyDescent="0.2">
      <c r="G43101" s="889"/>
    </row>
    <row r="43102" spans="7:7" ht="10.5" customHeight="1" x14ac:dyDescent="0.2">
      <c r="G43102" s="889"/>
    </row>
    <row r="43103" spans="7:7" ht="10.5" customHeight="1" x14ac:dyDescent="0.2">
      <c r="G43103" s="889"/>
    </row>
    <row r="43104" spans="7:7" ht="10.5" customHeight="1" x14ac:dyDescent="0.2">
      <c r="G43104" s="889"/>
    </row>
    <row r="43105" spans="7:7" ht="10.5" customHeight="1" x14ac:dyDescent="0.2">
      <c r="G43105" s="889"/>
    </row>
    <row r="43106" spans="7:7" ht="10.5" customHeight="1" x14ac:dyDescent="0.2">
      <c r="G43106" s="889"/>
    </row>
    <row r="43107" spans="7:7" ht="10.5" customHeight="1" x14ac:dyDescent="0.2">
      <c r="G43107" s="889"/>
    </row>
    <row r="43108" spans="7:7" ht="10.5" customHeight="1" x14ac:dyDescent="0.2">
      <c r="G43108" s="889"/>
    </row>
    <row r="43109" spans="7:7" ht="10.5" customHeight="1" x14ac:dyDescent="0.2">
      <c r="G43109" s="889"/>
    </row>
    <row r="43110" spans="7:7" ht="10.5" customHeight="1" x14ac:dyDescent="0.2">
      <c r="G43110" s="889"/>
    </row>
    <row r="43111" spans="7:7" ht="10.5" customHeight="1" x14ac:dyDescent="0.2">
      <c r="G43111" s="889"/>
    </row>
    <row r="43112" spans="7:7" ht="10.5" customHeight="1" x14ac:dyDescent="0.2">
      <c r="G43112" s="889"/>
    </row>
    <row r="43113" spans="7:7" ht="10.5" customHeight="1" x14ac:dyDescent="0.2">
      <c r="G43113" s="889"/>
    </row>
    <row r="43114" spans="7:7" ht="10.5" customHeight="1" x14ac:dyDescent="0.2">
      <c r="G43114" s="889"/>
    </row>
    <row r="43115" spans="7:7" ht="10.5" customHeight="1" x14ac:dyDescent="0.2">
      <c r="G43115" s="889"/>
    </row>
    <row r="43116" spans="7:7" ht="10.5" customHeight="1" x14ac:dyDescent="0.2">
      <c r="G43116" s="889"/>
    </row>
    <row r="43117" spans="7:7" ht="10.5" customHeight="1" x14ac:dyDescent="0.2">
      <c r="G43117" s="889"/>
    </row>
    <row r="43118" spans="7:7" ht="10.5" customHeight="1" x14ac:dyDescent="0.2">
      <c r="G43118" s="889"/>
    </row>
    <row r="43119" spans="7:7" ht="10.5" customHeight="1" x14ac:dyDescent="0.2">
      <c r="G43119" s="889"/>
    </row>
    <row r="43120" spans="7:7" ht="10.5" customHeight="1" x14ac:dyDescent="0.2">
      <c r="G43120" s="889"/>
    </row>
    <row r="43121" spans="7:7" ht="10.5" customHeight="1" x14ac:dyDescent="0.2">
      <c r="G43121" s="889"/>
    </row>
    <row r="43122" spans="7:7" ht="10.5" customHeight="1" x14ac:dyDescent="0.2">
      <c r="G43122" s="889"/>
    </row>
    <row r="43123" spans="7:7" ht="10.5" customHeight="1" x14ac:dyDescent="0.2">
      <c r="G43123" s="889"/>
    </row>
    <row r="43124" spans="7:7" ht="10.5" customHeight="1" x14ac:dyDescent="0.2">
      <c r="G43124" s="889"/>
    </row>
    <row r="43125" spans="7:7" ht="10.5" customHeight="1" x14ac:dyDescent="0.2">
      <c r="G43125" s="889"/>
    </row>
    <row r="43126" spans="7:7" ht="10.5" customHeight="1" x14ac:dyDescent="0.2">
      <c r="G43126" s="889"/>
    </row>
    <row r="43127" spans="7:7" ht="10.5" customHeight="1" x14ac:dyDescent="0.2">
      <c r="G43127" s="889"/>
    </row>
    <row r="43128" spans="7:7" ht="10.5" customHeight="1" x14ac:dyDescent="0.2">
      <c r="G43128" s="889"/>
    </row>
    <row r="43129" spans="7:7" ht="10.5" customHeight="1" x14ac:dyDescent="0.2">
      <c r="G43129" s="889"/>
    </row>
    <row r="43130" spans="7:7" ht="10.5" customHeight="1" x14ac:dyDescent="0.2">
      <c r="G43130" s="889"/>
    </row>
    <row r="43131" spans="7:7" ht="10.5" customHeight="1" x14ac:dyDescent="0.2">
      <c r="G43131" s="889"/>
    </row>
    <row r="43132" spans="7:7" ht="10.5" customHeight="1" x14ac:dyDescent="0.2">
      <c r="G43132" s="889"/>
    </row>
    <row r="43133" spans="7:7" ht="10.5" customHeight="1" x14ac:dyDescent="0.2">
      <c r="G43133" s="889"/>
    </row>
    <row r="43134" spans="7:7" ht="10.5" customHeight="1" x14ac:dyDescent="0.2">
      <c r="G43134" s="889"/>
    </row>
    <row r="43135" spans="7:7" ht="10.5" customHeight="1" x14ac:dyDescent="0.2">
      <c r="G43135" s="889"/>
    </row>
    <row r="43136" spans="7:7" ht="10.5" customHeight="1" x14ac:dyDescent="0.2">
      <c r="G43136" s="889"/>
    </row>
    <row r="43137" spans="7:7" ht="10.5" customHeight="1" x14ac:dyDescent="0.2">
      <c r="G43137" s="889"/>
    </row>
    <row r="43138" spans="7:7" ht="10.5" customHeight="1" x14ac:dyDescent="0.2">
      <c r="G43138" s="889"/>
    </row>
    <row r="43139" spans="7:7" ht="10.5" customHeight="1" x14ac:dyDescent="0.2">
      <c r="G43139" s="889"/>
    </row>
    <row r="43140" spans="7:7" ht="10.5" customHeight="1" x14ac:dyDescent="0.2">
      <c r="G43140" s="889"/>
    </row>
    <row r="43141" spans="7:7" ht="10.5" customHeight="1" x14ac:dyDescent="0.2">
      <c r="G43141" s="889"/>
    </row>
    <row r="43142" spans="7:7" ht="10.5" customHeight="1" x14ac:dyDescent="0.2">
      <c r="G43142" s="889"/>
    </row>
    <row r="43143" spans="7:7" ht="10.5" customHeight="1" x14ac:dyDescent="0.2">
      <c r="G43143" s="889"/>
    </row>
    <row r="43144" spans="7:7" ht="10.5" customHeight="1" x14ac:dyDescent="0.2">
      <c r="G43144" s="889"/>
    </row>
    <row r="43145" spans="7:7" ht="10.5" customHeight="1" x14ac:dyDescent="0.2">
      <c r="G43145" s="889"/>
    </row>
    <row r="43146" spans="7:7" ht="10.5" customHeight="1" x14ac:dyDescent="0.2">
      <c r="G43146" s="889"/>
    </row>
    <row r="43147" spans="7:7" ht="10.5" customHeight="1" x14ac:dyDescent="0.2">
      <c r="G43147" s="889"/>
    </row>
    <row r="43148" spans="7:7" ht="10.5" customHeight="1" x14ac:dyDescent="0.2">
      <c r="G43148" s="889"/>
    </row>
    <row r="43149" spans="7:7" ht="10.5" customHeight="1" x14ac:dyDescent="0.2">
      <c r="G43149" s="889"/>
    </row>
    <row r="43150" spans="7:7" ht="10.5" customHeight="1" x14ac:dyDescent="0.2">
      <c r="G43150" s="889"/>
    </row>
    <row r="43151" spans="7:7" ht="10.5" customHeight="1" x14ac:dyDescent="0.2">
      <c r="G43151" s="889"/>
    </row>
    <row r="43152" spans="7:7" ht="10.5" customHeight="1" x14ac:dyDescent="0.2">
      <c r="G43152" s="889"/>
    </row>
    <row r="43153" spans="7:7" ht="10.5" customHeight="1" x14ac:dyDescent="0.2">
      <c r="G43153" s="889"/>
    </row>
    <row r="43154" spans="7:7" ht="10.5" customHeight="1" x14ac:dyDescent="0.2">
      <c r="G43154" s="889"/>
    </row>
    <row r="43155" spans="7:7" ht="10.5" customHeight="1" x14ac:dyDescent="0.2">
      <c r="G43155" s="889"/>
    </row>
    <row r="43156" spans="7:7" ht="10.5" customHeight="1" x14ac:dyDescent="0.2">
      <c r="G43156" s="889"/>
    </row>
    <row r="43157" spans="7:7" ht="10.5" customHeight="1" x14ac:dyDescent="0.2">
      <c r="G43157" s="889"/>
    </row>
    <row r="43158" spans="7:7" ht="10.5" customHeight="1" x14ac:dyDescent="0.2">
      <c r="G43158" s="889"/>
    </row>
    <row r="43159" spans="7:7" ht="10.5" customHeight="1" x14ac:dyDescent="0.2">
      <c r="G43159" s="889"/>
    </row>
    <row r="43160" spans="7:7" ht="10.5" customHeight="1" x14ac:dyDescent="0.2">
      <c r="G43160" s="889"/>
    </row>
    <row r="43161" spans="7:7" ht="10.5" customHeight="1" x14ac:dyDescent="0.2">
      <c r="G43161" s="889"/>
    </row>
    <row r="43162" spans="7:7" ht="10.5" customHeight="1" x14ac:dyDescent="0.2">
      <c r="G43162" s="889"/>
    </row>
    <row r="43163" spans="7:7" ht="10.5" customHeight="1" x14ac:dyDescent="0.2">
      <c r="G43163" s="889"/>
    </row>
    <row r="43164" spans="7:7" ht="10.5" customHeight="1" x14ac:dyDescent="0.2">
      <c r="G43164" s="889"/>
    </row>
    <row r="43165" spans="7:7" ht="10.5" customHeight="1" x14ac:dyDescent="0.2">
      <c r="G43165" s="889"/>
    </row>
    <row r="43166" spans="7:7" ht="10.5" customHeight="1" x14ac:dyDescent="0.2">
      <c r="G43166" s="889"/>
    </row>
    <row r="43167" spans="7:7" ht="10.5" customHeight="1" x14ac:dyDescent="0.2">
      <c r="G43167" s="889"/>
    </row>
    <row r="43168" spans="7:7" ht="10.5" customHeight="1" x14ac:dyDescent="0.2">
      <c r="G43168" s="889"/>
    </row>
    <row r="43169" spans="7:7" ht="10.5" customHeight="1" x14ac:dyDescent="0.2">
      <c r="G43169" s="889"/>
    </row>
    <row r="43170" spans="7:7" ht="10.5" customHeight="1" x14ac:dyDescent="0.2">
      <c r="G43170" s="889"/>
    </row>
    <row r="43171" spans="7:7" ht="10.5" customHeight="1" x14ac:dyDescent="0.2">
      <c r="G43171" s="889"/>
    </row>
    <row r="43172" spans="7:7" ht="10.5" customHeight="1" x14ac:dyDescent="0.2">
      <c r="G43172" s="889"/>
    </row>
    <row r="43173" spans="7:7" ht="10.5" customHeight="1" x14ac:dyDescent="0.2">
      <c r="G43173" s="889"/>
    </row>
    <row r="43174" spans="7:7" ht="10.5" customHeight="1" x14ac:dyDescent="0.2">
      <c r="G43174" s="889"/>
    </row>
    <row r="43175" spans="7:7" ht="10.5" customHeight="1" x14ac:dyDescent="0.2">
      <c r="G43175" s="889"/>
    </row>
    <row r="43176" spans="7:7" ht="10.5" customHeight="1" x14ac:dyDescent="0.2">
      <c r="G43176" s="889"/>
    </row>
    <row r="43177" spans="7:7" ht="10.5" customHeight="1" x14ac:dyDescent="0.2">
      <c r="G43177" s="889"/>
    </row>
    <row r="43178" spans="7:7" ht="10.5" customHeight="1" x14ac:dyDescent="0.2">
      <c r="G43178" s="889"/>
    </row>
    <row r="43179" spans="7:7" ht="10.5" customHeight="1" x14ac:dyDescent="0.2">
      <c r="G43179" s="889"/>
    </row>
    <row r="43180" spans="7:7" ht="10.5" customHeight="1" x14ac:dyDescent="0.2">
      <c r="G43180" s="889"/>
    </row>
    <row r="43181" spans="7:7" ht="10.5" customHeight="1" x14ac:dyDescent="0.2">
      <c r="G43181" s="889"/>
    </row>
    <row r="43182" spans="7:7" ht="10.5" customHeight="1" x14ac:dyDescent="0.2">
      <c r="G43182" s="889"/>
    </row>
    <row r="43183" spans="7:7" ht="10.5" customHeight="1" x14ac:dyDescent="0.2">
      <c r="G43183" s="889"/>
    </row>
    <row r="43184" spans="7:7" ht="10.5" customHeight="1" x14ac:dyDescent="0.2">
      <c r="G43184" s="889"/>
    </row>
    <row r="43185" spans="7:7" ht="10.5" customHeight="1" x14ac:dyDescent="0.2">
      <c r="G43185" s="889"/>
    </row>
    <row r="43186" spans="7:7" ht="10.5" customHeight="1" x14ac:dyDescent="0.2">
      <c r="G43186" s="889"/>
    </row>
    <row r="43187" spans="7:7" ht="10.5" customHeight="1" x14ac:dyDescent="0.2">
      <c r="G43187" s="889"/>
    </row>
    <row r="43188" spans="7:7" ht="10.5" customHeight="1" x14ac:dyDescent="0.2">
      <c r="G43188" s="889"/>
    </row>
    <row r="43189" spans="7:7" ht="10.5" customHeight="1" x14ac:dyDescent="0.2">
      <c r="G43189" s="889"/>
    </row>
    <row r="43190" spans="7:7" ht="10.5" customHeight="1" x14ac:dyDescent="0.2">
      <c r="G43190" s="889"/>
    </row>
    <row r="43191" spans="7:7" ht="10.5" customHeight="1" x14ac:dyDescent="0.2">
      <c r="G43191" s="889"/>
    </row>
    <row r="43192" spans="7:7" ht="10.5" customHeight="1" x14ac:dyDescent="0.2">
      <c r="G43192" s="889"/>
    </row>
    <row r="43193" spans="7:7" ht="10.5" customHeight="1" x14ac:dyDescent="0.2">
      <c r="G43193" s="889"/>
    </row>
    <row r="43194" spans="7:7" ht="10.5" customHeight="1" x14ac:dyDescent="0.2">
      <c r="G43194" s="889"/>
    </row>
    <row r="43195" spans="7:7" ht="10.5" customHeight="1" x14ac:dyDescent="0.2">
      <c r="G43195" s="889"/>
    </row>
    <row r="43196" spans="7:7" ht="10.5" customHeight="1" x14ac:dyDescent="0.2">
      <c r="G43196" s="889"/>
    </row>
    <row r="43197" spans="7:7" ht="10.5" customHeight="1" x14ac:dyDescent="0.2">
      <c r="G43197" s="889"/>
    </row>
    <row r="43198" spans="7:7" ht="10.5" customHeight="1" x14ac:dyDescent="0.2">
      <c r="G43198" s="889"/>
    </row>
    <row r="43199" spans="7:7" ht="10.5" customHeight="1" x14ac:dyDescent="0.2">
      <c r="G43199" s="889"/>
    </row>
    <row r="43200" spans="7:7" ht="10.5" customHeight="1" x14ac:dyDescent="0.2">
      <c r="G43200" s="889"/>
    </row>
    <row r="43201" spans="7:7" ht="10.5" customHeight="1" x14ac:dyDescent="0.2">
      <c r="G43201" s="889"/>
    </row>
    <row r="43202" spans="7:7" ht="10.5" customHeight="1" x14ac:dyDescent="0.2">
      <c r="G43202" s="889"/>
    </row>
    <row r="43203" spans="7:7" ht="10.5" customHeight="1" x14ac:dyDescent="0.2">
      <c r="G43203" s="889"/>
    </row>
    <row r="43204" spans="7:7" ht="10.5" customHeight="1" x14ac:dyDescent="0.2">
      <c r="G43204" s="889"/>
    </row>
    <row r="43205" spans="7:7" ht="10.5" customHeight="1" x14ac:dyDescent="0.2">
      <c r="G43205" s="889"/>
    </row>
    <row r="43206" spans="7:7" ht="10.5" customHeight="1" x14ac:dyDescent="0.2">
      <c r="G43206" s="889"/>
    </row>
    <row r="43207" spans="7:7" ht="10.5" customHeight="1" x14ac:dyDescent="0.2">
      <c r="G43207" s="889"/>
    </row>
    <row r="43208" spans="7:7" ht="10.5" customHeight="1" x14ac:dyDescent="0.2">
      <c r="G43208" s="889"/>
    </row>
    <row r="43209" spans="7:7" ht="10.5" customHeight="1" x14ac:dyDescent="0.2">
      <c r="G43209" s="889"/>
    </row>
    <row r="43210" spans="7:7" ht="10.5" customHeight="1" x14ac:dyDescent="0.2">
      <c r="G43210" s="889"/>
    </row>
    <row r="43211" spans="7:7" ht="10.5" customHeight="1" x14ac:dyDescent="0.2">
      <c r="G43211" s="889"/>
    </row>
    <row r="43212" spans="7:7" ht="10.5" customHeight="1" x14ac:dyDescent="0.2">
      <c r="G43212" s="889"/>
    </row>
    <row r="43213" spans="7:7" ht="10.5" customHeight="1" x14ac:dyDescent="0.2">
      <c r="G43213" s="889"/>
    </row>
    <row r="43214" spans="7:7" ht="10.5" customHeight="1" x14ac:dyDescent="0.2">
      <c r="G43214" s="889"/>
    </row>
    <row r="43215" spans="7:7" ht="10.5" customHeight="1" x14ac:dyDescent="0.2">
      <c r="G43215" s="889"/>
    </row>
    <row r="43216" spans="7:7" ht="10.5" customHeight="1" x14ac:dyDescent="0.2">
      <c r="G43216" s="889"/>
    </row>
    <row r="43217" spans="7:7" ht="10.5" customHeight="1" x14ac:dyDescent="0.2">
      <c r="G43217" s="889"/>
    </row>
    <row r="43218" spans="7:7" ht="10.5" customHeight="1" x14ac:dyDescent="0.2">
      <c r="G43218" s="889"/>
    </row>
    <row r="43219" spans="7:7" ht="10.5" customHeight="1" x14ac:dyDescent="0.2">
      <c r="G43219" s="889"/>
    </row>
    <row r="43220" spans="7:7" ht="10.5" customHeight="1" x14ac:dyDescent="0.2">
      <c r="G43220" s="889"/>
    </row>
    <row r="43221" spans="7:7" ht="10.5" customHeight="1" x14ac:dyDescent="0.2">
      <c r="G43221" s="889"/>
    </row>
    <row r="43222" spans="7:7" ht="10.5" customHeight="1" x14ac:dyDescent="0.2">
      <c r="G43222" s="889"/>
    </row>
    <row r="43223" spans="7:7" ht="10.5" customHeight="1" x14ac:dyDescent="0.2">
      <c r="G43223" s="889"/>
    </row>
    <row r="43224" spans="7:7" ht="10.5" customHeight="1" x14ac:dyDescent="0.2">
      <c r="G43224" s="889"/>
    </row>
    <row r="43225" spans="7:7" ht="10.5" customHeight="1" x14ac:dyDescent="0.2">
      <c r="G43225" s="889"/>
    </row>
    <row r="43226" spans="7:7" ht="10.5" customHeight="1" x14ac:dyDescent="0.2">
      <c r="G43226" s="889"/>
    </row>
    <row r="43227" spans="7:7" ht="10.5" customHeight="1" x14ac:dyDescent="0.2">
      <c r="G43227" s="889"/>
    </row>
    <row r="43228" spans="7:7" ht="10.5" customHeight="1" x14ac:dyDescent="0.2">
      <c r="G43228" s="889"/>
    </row>
    <row r="43229" spans="7:7" ht="10.5" customHeight="1" x14ac:dyDescent="0.2">
      <c r="G43229" s="889"/>
    </row>
    <row r="43230" spans="7:7" ht="10.5" customHeight="1" x14ac:dyDescent="0.2">
      <c r="G43230" s="889"/>
    </row>
    <row r="43231" spans="7:7" ht="10.5" customHeight="1" x14ac:dyDescent="0.2">
      <c r="G43231" s="889"/>
    </row>
    <row r="43232" spans="7:7" ht="10.5" customHeight="1" x14ac:dyDescent="0.2">
      <c r="G43232" s="889"/>
    </row>
    <row r="43233" spans="7:7" ht="10.5" customHeight="1" x14ac:dyDescent="0.2">
      <c r="G43233" s="889"/>
    </row>
    <row r="43234" spans="7:7" ht="10.5" customHeight="1" x14ac:dyDescent="0.2">
      <c r="G43234" s="889"/>
    </row>
    <row r="43235" spans="7:7" ht="10.5" customHeight="1" x14ac:dyDescent="0.2">
      <c r="G43235" s="889"/>
    </row>
    <row r="43236" spans="7:7" ht="10.5" customHeight="1" x14ac:dyDescent="0.2">
      <c r="G43236" s="889"/>
    </row>
    <row r="43237" spans="7:7" ht="10.5" customHeight="1" x14ac:dyDescent="0.2">
      <c r="G43237" s="889"/>
    </row>
    <row r="43238" spans="7:7" ht="10.5" customHeight="1" x14ac:dyDescent="0.2">
      <c r="G43238" s="889"/>
    </row>
    <row r="43239" spans="7:7" ht="10.5" customHeight="1" x14ac:dyDescent="0.2">
      <c r="G43239" s="889"/>
    </row>
    <row r="43240" spans="7:7" ht="10.5" customHeight="1" x14ac:dyDescent="0.2">
      <c r="G43240" s="889"/>
    </row>
    <row r="43241" spans="7:7" ht="10.5" customHeight="1" x14ac:dyDescent="0.2">
      <c r="G43241" s="889"/>
    </row>
    <row r="43242" spans="7:7" ht="10.5" customHeight="1" x14ac:dyDescent="0.2">
      <c r="G43242" s="889"/>
    </row>
    <row r="43243" spans="7:7" ht="10.5" customHeight="1" x14ac:dyDescent="0.2">
      <c r="G43243" s="889"/>
    </row>
    <row r="43244" spans="7:7" ht="10.5" customHeight="1" x14ac:dyDescent="0.2">
      <c r="G43244" s="889"/>
    </row>
    <row r="43245" spans="7:7" ht="10.5" customHeight="1" x14ac:dyDescent="0.2">
      <c r="G43245" s="889"/>
    </row>
    <row r="43246" spans="7:7" ht="10.5" customHeight="1" x14ac:dyDescent="0.2">
      <c r="G43246" s="889"/>
    </row>
    <row r="43247" spans="7:7" ht="10.5" customHeight="1" x14ac:dyDescent="0.2">
      <c r="G43247" s="889"/>
    </row>
    <row r="43248" spans="7:7" ht="10.5" customHeight="1" x14ac:dyDescent="0.2">
      <c r="G43248" s="889"/>
    </row>
    <row r="43249" spans="7:7" ht="10.5" customHeight="1" x14ac:dyDescent="0.2">
      <c r="G43249" s="889"/>
    </row>
    <row r="43250" spans="7:7" ht="10.5" customHeight="1" x14ac:dyDescent="0.2">
      <c r="G43250" s="889"/>
    </row>
    <row r="43251" spans="7:7" ht="10.5" customHeight="1" x14ac:dyDescent="0.2">
      <c r="G43251" s="889"/>
    </row>
    <row r="43252" spans="7:7" ht="10.5" customHeight="1" x14ac:dyDescent="0.2">
      <c r="G43252" s="889"/>
    </row>
    <row r="43253" spans="7:7" ht="10.5" customHeight="1" x14ac:dyDescent="0.2">
      <c r="G43253" s="889"/>
    </row>
    <row r="43254" spans="7:7" ht="10.5" customHeight="1" x14ac:dyDescent="0.2">
      <c r="G43254" s="889"/>
    </row>
    <row r="43255" spans="7:7" ht="10.5" customHeight="1" x14ac:dyDescent="0.2">
      <c r="G43255" s="889"/>
    </row>
    <row r="43256" spans="7:7" ht="10.5" customHeight="1" x14ac:dyDescent="0.2">
      <c r="G43256" s="889"/>
    </row>
    <row r="43257" spans="7:7" ht="10.5" customHeight="1" x14ac:dyDescent="0.2">
      <c r="G43257" s="889"/>
    </row>
    <row r="43258" spans="7:7" ht="10.5" customHeight="1" x14ac:dyDescent="0.2">
      <c r="G43258" s="889"/>
    </row>
    <row r="43259" spans="7:7" ht="10.5" customHeight="1" x14ac:dyDescent="0.2">
      <c r="G43259" s="889"/>
    </row>
    <row r="43260" spans="7:7" ht="10.5" customHeight="1" x14ac:dyDescent="0.2">
      <c r="G43260" s="889"/>
    </row>
    <row r="43261" spans="7:7" ht="10.5" customHeight="1" x14ac:dyDescent="0.2">
      <c r="G43261" s="889"/>
    </row>
    <row r="43262" spans="7:7" ht="10.5" customHeight="1" x14ac:dyDescent="0.2">
      <c r="G43262" s="889"/>
    </row>
    <row r="43263" spans="7:7" ht="10.5" customHeight="1" x14ac:dyDescent="0.2">
      <c r="G43263" s="889"/>
    </row>
    <row r="43264" spans="7:7" ht="10.5" customHeight="1" x14ac:dyDescent="0.2">
      <c r="G43264" s="889"/>
    </row>
    <row r="43265" spans="7:7" ht="10.5" customHeight="1" x14ac:dyDescent="0.2">
      <c r="G43265" s="889"/>
    </row>
    <row r="43266" spans="7:7" ht="10.5" customHeight="1" x14ac:dyDescent="0.2">
      <c r="G43266" s="889"/>
    </row>
    <row r="43267" spans="7:7" ht="10.5" customHeight="1" x14ac:dyDescent="0.2">
      <c r="G43267" s="889"/>
    </row>
    <row r="43268" spans="7:7" ht="10.5" customHeight="1" x14ac:dyDescent="0.2">
      <c r="G43268" s="889"/>
    </row>
    <row r="43269" spans="7:7" ht="10.5" customHeight="1" x14ac:dyDescent="0.2">
      <c r="G43269" s="889"/>
    </row>
    <row r="43270" spans="7:7" ht="10.5" customHeight="1" x14ac:dyDescent="0.2">
      <c r="G43270" s="889"/>
    </row>
    <row r="43271" spans="7:7" ht="10.5" customHeight="1" x14ac:dyDescent="0.2">
      <c r="G43271" s="889"/>
    </row>
    <row r="43272" spans="7:7" ht="10.5" customHeight="1" x14ac:dyDescent="0.2">
      <c r="G43272" s="889"/>
    </row>
    <row r="43273" spans="7:7" ht="10.5" customHeight="1" x14ac:dyDescent="0.2">
      <c r="G43273" s="889"/>
    </row>
    <row r="43274" spans="7:7" ht="10.5" customHeight="1" x14ac:dyDescent="0.2">
      <c r="G43274" s="889"/>
    </row>
    <row r="43275" spans="7:7" ht="10.5" customHeight="1" x14ac:dyDescent="0.2">
      <c r="G43275" s="889"/>
    </row>
    <row r="43276" spans="7:7" ht="10.5" customHeight="1" x14ac:dyDescent="0.2">
      <c r="G43276" s="889"/>
    </row>
    <row r="43277" spans="7:7" ht="10.5" customHeight="1" x14ac:dyDescent="0.2">
      <c r="G43277" s="889"/>
    </row>
    <row r="43278" spans="7:7" ht="10.5" customHeight="1" x14ac:dyDescent="0.2">
      <c r="G43278" s="889"/>
    </row>
    <row r="43279" spans="7:7" ht="10.5" customHeight="1" x14ac:dyDescent="0.2">
      <c r="G43279" s="889"/>
    </row>
    <row r="43280" spans="7:7" ht="10.5" customHeight="1" x14ac:dyDescent="0.2">
      <c r="G43280" s="889"/>
    </row>
    <row r="43281" spans="7:7" ht="10.5" customHeight="1" x14ac:dyDescent="0.2">
      <c r="G43281" s="889"/>
    </row>
    <row r="43282" spans="7:7" ht="10.5" customHeight="1" x14ac:dyDescent="0.2">
      <c r="G43282" s="889"/>
    </row>
    <row r="43283" spans="7:7" ht="10.5" customHeight="1" x14ac:dyDescent="0.2">
      <c r="G43283" s="889"/>
    </row>
    <row r="43284" spans="7:7" ht="10.5" customHeight="1" x14ac:dyDescent="0.2">
      <c r="G43284" s="889"/>
    </row>
    <row r="43285" spans="7:7" ht="10.5" customHeight="1" x14ac:dyDescent="0.2">
      <c r="G43285" s="889"/>
    </row>
    <row r="43286" spans="7:7" ht="10.5" customHeight="1" x14ac:dyDescent="0.2">
      <c r="G43286" s="889"/>
    </row>
    <row r="43287" spans="7:7" ht="10.5" customHeight="1" x14ac:dyDescent="0.2">
      <c r="G43287" s="889"/>
    </row>
    <row r="43288" spans="7:7" ht="10.5" customHeight="1" x14ac:dyDescent="0.2">
      <c r="G43288" s="889"/>
    </row>
    <row r="43289" spans="7:7" ht="10.5" customHeight="1" x14ac:dyDescent="0.2">
      <c r="G43289" s="889"/>
    </row>
    <row r="43290" spans="7:7" ht="10.5" customHeight="1" x14ac:dyDescent="0.2">
      <c r="G43290" s="889"/>
    </row>
    <row r="43291" spans="7:7" ht="10.5" customHeight="1" x14ac:dyDescent="0.2">
      <c r="G43291" s="889"/>
    </row>
    <row r="43292" spans="7:7" ht="10.5" customHeight="1" x14ac:dyDescent="0.2">
      <c r="G43292" s="889"/>
    </row>
    <row r="43293" spans="7:7" ht="10.5" customHeight="1" x14ac:dyDescent="0.2">
      <c r="G43293" s="889"/>
    </row>
    <row r="43294" spans="7:7" ht="10.5" customHeight="1" x14ac:dyDescent="0.2">
      <c r="G43294" s="889"/>
    </row>
    <row r="43295" spans="7:7" ht="10.5" customHeight="1" x14ac:dyDescent="0.2">
      <c r="G43295" s="889"/>
    </row>
    <row r="43296" spans="7:7" ht="10.5" customHeight="1" x14ac:dyDescent="0.2">
      <c r="G43296" s="889"/>
    </row>
    <row r="43297" spans="7:7" ht="10.5" customHeight="1" x14ac:dyDescent="0.2">
      <c r="G43297" s="889"/>
    </row>
    <row r="43298" spans="7:7" ht="10.5" customHeight="1" x14ac:dyDescent="0.2">
      <c r="G43298" s="889"/>
    </row>
    <row r="43299" spans="7:7" ht="10.5" customHeight="1" x14ac:dyDescent="0.2">
      <c r="G43299" s="889"/>
    </row>
    <row r="43300" spans="7:7" ht="10.5" customHeight="1" x14ac:dyDescent="0.2">
      <c r="G43300" s="889"/>
    </row>
    <row r="43301" spans="7:7" ht="10.5" customHeight="1" x14ac:dyDescent="0.2">
      <c r="G43301" s="889"/>
    </row>
    <row r="43302" spans="7:7" ht="10.5" customHeight="1" x14ac:dyDescent="0.2">
      <c r="G43302" s="889"/>
    </row>
    <row r="43303" spans="7:7" ht="10.5" customHeight="1" x14ac:dyDescent="0.2">
      <c r="G43303" s="889"/>
    </row>
    <row r="43304" spans="7:7" ht="10.5" customHeight="1" x14ac:dyDescent="0.2">
      <c r="G43304" s="889"/>
    </row>
    <row r="43305" spans="7:7" ht="10.5" customHeight="1" x14ac:dyDescent="0.2">
      <c r="G43305" s="889"/>
    </row>
    <row r="43306" spans="7:7" ht="10.5" customHeight="1" x14ac:dyDescent="0.2">
      <c r="G43306" s="889"/>
    </row>
    <row r="43307" spans="7:7" ht="10.5" customHeight="1" x14ac:dyDescent="0.2">
      <c r="G43307" s="889"/>
    </row>
    <row r="43308" spans="7:7" ht="10.5" customHeight="1" x14ac:dyDescent="0.2">
      <c r="G43308" s="889"/>
    </row>
    <row r="43309" spans="7:7" ht="10.5" customHeight="1" x14ac:dyDescent="0.2">
      <c r="G43309" s="889"/>
    </row>
    <row r="43310" spans="7:7" ht="10.5" customHeight="1" x14ac:dyDescent="0.2">
      <c r="G43310" s="889"/>
    </row>
    <row r="43311" spans="7:7" ht="10.5" customHeight="1" x14ac:dyDescent="0.2">
      <c r="G43311" s="889"/>
    </row>
    <row r="43312" spans="7:7" ht="10.5" customHeight="1" x14ac:dyDescent="0.2">
      <c r="G43312" s="889"/>
    </row>
    <row r="43313" spans="7:7" ht="10.5" customHeight="1" x14ac:dyDescent="0.2">
      <c r="G43313" s="889"/>
    </row>
    <row r="43314" spans="7:7" ht="10.5" customHeight="1" x14ac:dyDescent="0.2">
      <c r="G43314" s="889"/>
    </row>
    <row r="43315" spans="7:7" ht="10.5" customHeight="1" x14ac:dyDescent="0.2">
      <c r="G43315" s="889"/>
    </row>
    <row r="43316" spans="7:7" ht="10.5" customHeight="1" x14ac:dyDescent="0.2">
      <c r="G43316" s="889"/>
    </row>
    <row r="43317" spans="7:7" ht="10.5" customHeight="1" x14ac:dyDescent="0.2">
      <c r="G43317" s="889"/>
    </row>
    <row r="43318" spans="7:7" ht="10.5" customHeight="1" x14ac:dyDescent="0.2">
      <c r="G43318" s="889"/>
    </row>
    <row r="43319" spans="7:7" ht="10.5" customHeight="1" x14ac:dyDescent="0.2">
      <c r="G43319" s="889"/>
    </row>
    <row r="43320" spans="7:7" ht="10.5" customHeight="1" x14ac:dyDescent="0.2">
      <c r="G43320" s="889"/>
    </row>
    <row r="43321" spans="7:7" ht="10.5" customHeight="1" x14ac:dyDescent="0.2">
      <c r="G43321" s="889"/>
    </row>
    <row r="43322" spans="7:7" ht="10.5" customHeight="1" x14ac:dyDescent="0.2">
      <c r="G43322" s="889"/>
    </row>
    <row r="43323" spans="7:7" ht="10.5" customHeight="1" x14ac:dyDescent="0.2">
      <c r="G43323" s="889"/>
    </row>
    <row r="43324" spans="7:7" ht="10.5" customHeight="1" x14ac:dyDescent="0.2">
      <c r="G43324" s="889"/>
    </row>
    <row r="43325" spans="7:7" ht="10.5" customHeight="1" x14ac:dyDescent="0.2">
      <c r="G43325" s="889"/>
    </row>
    <row r="43326" spans="7:7" ht="10.5" customHeight="1" x14ac:dyDescent="0.2">
      <c r="G43326" s="889"/>
    </row>
    <row r="43327" spans="7:7" ht="10.5" customHeight="1" x14ac:dyDescent="0.2">
      <c r="G43327" s="889"/>
    </row>
    <row r="43328" spans="7:7" ht="10.5" customHeight="1" x14ac:dyDescent="0.2">
      <c r="G43328" s="889"/>
    </row>
    <row r="43329" spans="7:7" ht="10.5" customHeight="1" x14ac:dyDescent="0.2">
      <c r="G43329" s="889"/>
    </row>
    <row r="43330" spans="7:7" ht="10.5" customHeight="1" x14ac:dyDescent="0.2">
      <c r="G43330" s="889"/>
    </row>
    <row r="43331" spans="7:7" ht="10.5" customHeight="1" x14ac:dyDescent="0.2">
      <c r="G43331" s="889"/>
    </row>
    <row r="43332" spans="7:7" ht="10.5" customHeight="1" x14ac:dyDescent="0.2">
      <c r="G43332" s="889"/>
    </row>
    <row r="43333" spans="7:7" ht="10.5" customHeight="1" x14ac:dyDescent="0.2">
      <c r="G43333" s="889"/>
    </row>
    <row r="43334" spans="7:7" ht="10.5" customHeight="1" x14ac:dyDescent="0.2">
      <c r="G43334" s="889"/>
    </row>
    <row r="43335" spans="7:7" ht="10.5" customHeight="1" x14ac:dyDescent="0.2">
      <c r="G43335" s="889"/>
    </row>
    <row r="43336" spans="7:7" ht="10.5" customHeight="1" x14ac:dyDescent="0.2">
      <c r="G43336" s="889"/>
    </row>
    <row r="43337" spans="7:7" ht="10.5" customHeight="1" x14ac:dyDescent="0.2">
      <c r="G43337" s="889"/>
    </row>
    <row r="43338" spans="7:7" ht="10.5" customHeight="1" x14ac:dyDescent="0.2">
      <c r="G43338" s="889"/>
    </row>
    <row r="43339" spans="7:7" ht="10.5" customHeight="1" x14ac:dyDescent="0.2">
      <c r="G43339" s="889"/>
    </row>
    <row r="43340" spans="7:7" ht="10.5" customHeight="1" x14ac:dyDescent="0.2">
      <c r="G43340" s="889"/>
    </row>
    <row r="43341" spans="7:7" ht="10.5" customHeight="1" x14ac:dyDescent="0.2">
      <c r="G43341" s="889"/>
    </row>
    <row r="43342" spans="7:7" ht="10.5" customHeight="1" x14ac:dyDescent="0.2">
      <c r="G43342" s="889"/>
    </row>
    <row r="43343" spans="7:7" ht="10.5" customHeight="1" x14ac:dyDescent="0.2">
      <c r="G43343" s="889"/>
    </row>
    <row r="43344" spans="7:7" ht="10.5" customHeight="1" x14ac:dyDescent="0.2">
      <c r="G43344" s="889"/>
    </row>
    <row r="43345" spans="7:7" ht="10.5" customHeight="1" x14ac:dyDescent="0.2">
      <c r="G43345" s="889"/>
    </row>
    <row r="43346" spans="7:7" ht="10.5" customHeight="1" x14ac:dyDescent="0.2">
      <c r="G43346" s="889"/>
    </row>
    <row r="43347" spans="7:7" ht="10.5" customHeight="1" x14ac:dyDescent="0.2">
      <c r="G43347" s="889"/>
    </row>
    <row r="43348" spans="7:7" ht="10.5" customHeight="1" x14ac:dyDescent="0.2">
      <c r="G43348" s="889"/>
    </row>
    <row r="43349" spans="7:7" ht="10.5" customHeight="1" x14ac:dyDescent="0.2">
      <c r="G43349" s="889"/>
    </row>
    <row r="43350" spans="7:7" ht="10.5" customHeight="1" x14ac:dyDescent="0.2">
      <c r="G43350" s="889"/>
    </row>
    <row r="43351" spans="7:7" ht="10.5" customHeight="1" x14ac:dyDescent="0.2">
      <c r="G43351" s="889"/>
    </row>
    <row r="43352" spans="7:7" ht="10.5" customHeight="1" x14ac:dyDescent="0.2">
      <c r="G43352" s="889"/>
    </row>
    <row r="43353" spans="7:7" ht="10.5" customHeight="1" x14ac:dyDescent="0.2">
      <c r="G43353" s="889"/>
    </row>
    <row r="43354" spans="7:7" ht="10.5" customHeight="1" x14ac:dyDescent="0.2">
      <c r="G43354" s="889"/>
    </row>
    <row r="43355" spans="7:7" ht="10.5" customHeight="1" x14ac:dyDescent="0.2">
      <c r="G43355" s="889"/>
    </row>
    <row r="43356" spans="7:7" ht="10.5" customHeight="1" x14ac:dyDescent="0.2">
      <c r="G43356" s="889"/>
    </row>
    <row r="43357" spans="7:7" ht="10.5" customHeight="1" x14ac:dyDescent="0.2">
      <c r="G43357" s="889"/>
    </row>
    <row r="43358" spans="7:7" ht="10.5" customHeight="1" x14ac:dyDescent="0.2">
      <c r="G43358" s="889"/>
    </row>
    <row r="43359" spans="7:7" ht="10.5" customHeight="1" x14ac:dyDescent="0.2">
      <c r="G43359" s="889"/>
    </row>
    <row r="43360" spans="7:7" ht="10.5" customHeight="1" x14ac:dyDescent="0.2">
      <c r="G43360" s="889"/>
    </row>
    <row r="43361" spans="7:7" ht="10.5" customHeight="1" x14ac:dyDescent="0.2">
      <c r="G43361" s="889"/>
    </row>
    <row r="43362" spans="7:7" ht="10.5" customHeight="1" x14ac:dyDescent="0.2">
      <c r="G43362" s="889"/>
    </row>
    <row r="43363" spans="7:7" ht="10.5" customHeight="1" x14ac:dyDescent="0.2">
      <c r="G43363" s="889"/>
    </row>
    <row r="43364" spans="7:7" ht="10.5" customHeight="1" x14ac:dyDescent="0.2">
      <c r="G43364" s="889"/>
    </row>
    <row r="43365" spans="7:7" ht="10.5" customHeight="1" x14ac:dyDescent="0.2">
      <c r="G43365" s="889"/>
    </row>
    <row r="43366" spans="7:7" ht="10.5" customHeight="1" x14ac:dyDescent="0.2">
      <c r="G43366" s="889"/>
    </row>
    <row r="43367" spans="7:7" ht="10.5" customHeight="1" x14ac:dyDescent="0.2">
      <c r="G43367" s="889"/>
    </row>
    <row r="43368" spans="7:7" ht="10.5" customHeight="1" x14ac:dyDescent="0.2">
      <c r="G43368" s="889"/>
    </row>
    <row r="43369" spans="7:7" ht="10.5" customHeight="1" x14ac:dyDescent="0.2">
      <c r="G43369" s="889"/>
    </row>
    <row r="43370" spans="7:7" ht="10.5" customHeight="1" x14ac:dyDescent="0.2">
      <c r="G43370" s="889"/>
    </row>
    <row r="43371" spans="7:7" ht="10.5" customHeight="1" x14ac:dyDescent="0.2">
      <c r="G43371" s="889"/>
    </row>
    <row r="43372" spans="7:7" ht="10.5" customHeight="1" x14ac:dyDescent="0.2">
      <c r="G43372" s="889"/>
    </row>
    <row r="43373" spans="7:7" ht="10.5" customHeight="1" x14ac:dyDescent="0.2">
      <c r="G43373" s="889"/>
    </row>
    <row r="43374" spans="7:7" ht="10.5" customHeight="1" x14ac:dyDescent="0.2">
      <c r="G43374" s="889"/>
    </row>
    <row r="43375" spans="7:7" ht="10.5" customHeight="1" x14ac:dyDescent="0.2">
      <c r="G43375" s="889"/>
    </row>
    <row r="43376" spans="7:7" ht="10.5" customHeight="1" x14ac:dyDescent="0.2">
      <c r="G43376" s="889"/>
    </row>
    <row r="43377" spans="7:7" ht="10.5" customHeight="1" x14ac:dyDescent="0.2">
      <c r="G43377" s="889"/>
    </row>
    <row r="43378" spans="7:7" ht="10.5" customHeight="1" x14ac:dyDescent="0.2">
      <c r="G43378" s="889"/>
    </row>
    <row r="43379" spans="7:7" ht="10.5" customHeight="1" x14ac:dyDescent="0.2">
      <c r="G43379" s="889"/>
    </row>
    <row r="43380" spans="7:7" ht="10.5" customHeight="1" x14ac:dyDescent="0.2">
      <c r="G43380" s="889"/>
    </row>
    <row r="43381" spans="7:7" ht="10.5" customHeight="1" x14ac:dyDescent="0.2">
      <c r="G43381" s="889"/>
    </row>
    <row r="43382" spans="7:7" ht="10.5" customHeight="1" x14ac:dyDescent="0.2">
      <c r="G43382" s="889"/>
    </row>
    <row r="43383" spans="7:7" ht="10.5" customHeight="1" x14ac:dyDescent="0.2">
      <c r="G43383" s="889"/>
    </row>
    <row r="43384" spans="7:7" ht="10.5" customHeight="1" x14ac:dyDescent="0.2">
      <c r="G43384" s="889"/>
    </row>
    <row r="43385" spans="7:7" ht="10.5" customHeight="1" x14ac:dyDescent="0.2">
      <c r="G43385" s="889"/>
    </row>
    <row r="43386" spans="7:7" ht="10.5" customHeight="1" x14ac:dyDescent="0.2">
      <c r="G43386" s="889"/>
    </row>
    <row r="43387" spans="7:7" ht="10.5" customHeight="1" x14ac:dyDescent="0.2">
      <c r="G43387" s="889"/>
    </row>
    <row r="43388" spans="7:7" ht="10.5" customHeight="1" x14ac:dyDescent="0.2">
      <c r="G43388" s="889"/>
    </row>
    <row r="43389" spans="7:7" ht="10.5" customHeight="1" x14ac:dyDescent="0.2">
      <c r="G43389" s="889"/>
    </row>
    <row r="43390" spans="7:7" ht="10.5" customHeight="1" x14ac:dyDescent="0.2">
      <c r="G43390" s="889"/>
    </row>
    <row r="43391" spans="7:7" ht="10.5" customHeight="1" x14ac:dyDescent="0.2">
      <c r="G43391" s="889"/>
    </row>
    <row r="43392" spans="7:7" ht="10.5" customHeight="1" x14ac:dyDescent="0.2">
      <c r="G43392" s="889"/>
    </row>
    <row r="43393" spans="7:7" ht="10.5" customHeight="1" x14ac:dyDescent="0.2">
      <c r="G43393" s="889"/>
    </row>
    <row r="43394" spans="7:7" ht="10.5" customHeight="1" x14ac:dyDescent="0.2">
      <c r="G43394" s="889"/>
    </row>
    <row r="43395" spans="7:7" ht="10.5" customHeight="1" x14ac:dyDescent="0.2">
      <c r="G43395" s="889"/>
    </row>
    <row r="43396" spans="7:7" ht="10.5" customHeight="1" x14ac:dyDescent="0.2">
      <c r="G43396" s="889"/>
    </row>
    <row r="43397" spans="7:7" ht="10.5" customHeight="1" x14ac:dyDescent="0.2">
      <c r="G43397" s="889"/>
    </row>
    <row r="43398" spans="7:7" ht="10.5" customHeight="1" x14ac:dyDescent="0.2">
      <c r="G43398" s="889"/>
    </row>
    <row r="43399" spans="7:7" ht="10.5" customHeight="1" x14ac:dyDescent="0.2">
      <c r="G43399" s="889"/>
    </row>
    <row r="43400" spans="7:7" ht="10.5" customHeight="1" x14ac:dyDescent="0.2">
      <c r="G43400" s="889"/>
    </row>
    <row r="43401" spans="7:7" ht="10.5" customHeight="1" x14ac:dyDescent="0.2">
      <c r="G43401" s="889"/>
    </row>
    <row r="43402" spans="7:7" ht="10.5" customHeight="1" x14ac:dyDescent="0.2">
      <c r="G43402" s="889"/>
    </row>
    <row r="43403" spans="7:7" ht="10.5" customHeight="1" x14ac:dyDescent="0.2">
      <c r="G43403" s="889"/>
    </row>
    <row r="43404" spans="7:7" ht="10.5" customHeight="1" x14ac:dyDescent="0.2">
      <c r="G43404" s="889"/>
    </row>
    <row r="43405" spans="7:7" ht="10.5" customHeight="1" x14ac:dyDescent="0.2">
      <c r="G43405" s="889"/>
    </row>
    <row r="43406" spans="7:7" ht="10.5" customHeight="1" x14ac:dyDescent="0.2">
      <c r="G43406" s="889"/>
    </row>
    <row r="43407" spans="7:7" ht="10.5" customHeight="1" x14ac:dyDescent="0.2">
      <c r="G43407" s="889"/>
    </row>
    <row r="43408" spans="7:7" ht="10.5" customHeight="1" x14ac:dyDescent="0.2">
      <c r="G43408" s="889"/>
    </row>
    <row r="43409" spans="7:7" ht="10.5" customHeight="1" x14ac:dyDescent="0.2">
      <c r="G43409" s="889"/>
    </row>
    <row r="43410" spans="7:7" ht="10.5" customHeight="1" x14ac:dyDescent="0.2">
      <c r="G43410" s="889"/>
    </row>
    <row r="43411" spans="7:7" ht="10.5" customHeight="1" x14ac:dyDescent="0.2">
      <c r="G43411" s="889"/>
    </row>
    <row r="43412" spans="7:7" ht="10.5" customHeight="1" x14ac:dyDescent="0.2">
      <c r="G43412" s="889"/>
    </row>
    <row r="43413" spans="7:7" ht="10.5" customHeight="1" x14ac:dyDescent="0.2">
      <c r="G43413" s="889"/>
    </row>
    <row r="43414" spans="7:7" ht="10.5" customHeight="1" x14ac:dyDescent="0.2">
      <c r="G43414" s="889"/>
    </row>
    <row r="43415" spans="7:7" ht="10.5" customHeight="1" x14ac:dyDescent="0.2">
      <c r="G43415" s="889"/>
    </row>
    <row r="43416" spans="7:7" ht="10.5" customHeight="1" x14ac:dyDescent="0.2">
      <c r="G43416" s="889"/>
    </row>
    <row r="43417" spans="7:7" ht="10.5" customHeight="1" x14ac:dyDescent="0.2">
      <c r="G43417" s="889"/>
    </row>
    <row r="43418" spans="7:7" ht="10.5" customHeight="1" x14ac:dyDescent="0.2">
      <c r="G43418" s="889"/>
    </row>
    <row r="43419" spans="7:7" ht="10.5" customHeight="1" x14ac:dyDescent="0.2">
      <c r="G43419" s="889"/>
    </row>
    <row r="43420" spans="7:7" ht="10.5" customHeight="1" x14ac:dyDescent="0.2">
      <c r="G43420" s="889"/>
    </row>
    <row r="43421" spans="7:7" ht="10.5" customHeight="1" x14ac:dyDescent="0.2">
      <c r="G43421" s="889"/>
    </row>
    <row r="43422" spans="7:7" ht="10.5" customHeight="1" x14ac:dyDescent="0.2">
      <c r="G43422" s="889"/>
    </row>
    <row r="43423" spans="7:7" ht="10.5" customHeight="1" x14ac:dyDescent="0.2">
      <c r="G43423" s="889"/>
    </row>
    <row r="43424" spans="7:7" ht="10.5" customHeight="1" x14ac:dyDescent="0.2">
      <c r="G43424" s="889"/>
    </row>
    <row r="43425" spans="7:7" ht="10.5" customHeight="1" x14ac:dyDescent="0.2">
      <c r="G43425" s="889"/>
    </row>
    <row r="43426" spans="7:7" ht="10.5" customHeight="1" x14ac:dyDescent="0.2">
      <c r="G43426" s="889"/>
    </row>
    <row r="43427" spans="7:7" ht="10.5" customHeight="1" x14ac:dyDescent="0.2">
      <c r="G43427" s="889"/>
    </row>
    <row r="43428" spans="7:7" ht="10.5" customHeight="1" x14ac:dyDescent="0.2">
      <c r="G43428" s="889"/>
    </row>
    <row r="43429" spans="7:7" ht="10.5" customHeight="1" x14ac:dyDescent="0.2">
      <c r="G43429" s="889"/>
    </row>
    <row r="43430" spans="7:7" ht="10.5" customHeight="1" x14ac:dyDescent="0.2">
      <c r="G43430" s="889"/>
    </row>
    <row r="43431" spans="7:7" ht="10.5" customHeight="1" x14ac:dyDescent="0.2">
      <c r="G43431" s="889"/>
    </row>
    <row r="43432" spans="7:7" ht="10.5" customHeight="1" x14ac:dyDescent="0.2">
      <c r="G43432" s="889"/>
    </row>
    <row r="43433" spans="7:7" ht="10.5" customHeight="1" x14ac:dyDescent="0.2">
      <c r="G43433" s="889"/>
    </row>
    <row r="43434" spans="7:7" ht="10.5" customHeight="1" x14ac:dyDescent="0.2">
      <c r="G43434" s="889"/>
    </row>
    <row r="43435" spans="7:7" ht="10.5" customHeight="1" x14ac:dyDescent="0.2">
      <c r="G43435" s="889"/>
    </row>
    <row r="43436" spans="7:7" ht="10.5" customHeight="1" x14ac:dyDescent="0.2">
      <c r="G43436" s="889"/>
    </row>
    <row r="43437" spans="7:7" ht="10.5" customHeight="1" x14ac:dyDescent="0.2">
      <c r="G43437" s="889"/>
    </row>
    <row r="43438" spans="7:7" ht="10.5" customHeight="1" x14ac:dyDescent="0.2">
      <c r="G43438" s="889"/>
    </row>
    <row r="43439" spans="7:7" ht="10.5" customHeight="1" x14ac:dyDescent="0.2">
      <c r="G43439" s="889"/>
    </row>
    <row r="43440" spans="7:7" ht="10.5" customHeight="1" x14ac:dyDescent="0.2">
      <c r="G43440" s="889"/>
    </row>
    <row r="43441" spans="7:7" ht="10.5" customHeight="1" x14ac:dyDescent="0.2">
      <c r="G43441" s="889"/>
    </row>
    <row r="43442" spans="7:7" ht="10.5" customHeight="1" x14ac:dyDescent="0.2">
      <c r="G43442" s="889"/>
    </row>
    <row r="43443" spans="7:7" ht="10.5" customHeight="1" x14ac:dyDescent="0.2">
      <c r="G43443" s="889"/>
    </row>
    <row r="43444" spans="7:7" ht="10.5" customHeight="1" x14ac:dyDescent="0.2">
      <c r="G43444" s="889"/>
    </row>
    <row r="43445" spans="7:7" ht="10.5" customHeight="1" x14ac:dyDescent="0.2">
      <c r="G43445" s="889"/>
    </row>
    <row r="43446" spans="7:7" ht="10.5" customHeight="1" x14ac:dyDescent="0.2">
      <c r="G43446" s="889"/>
    </row>
    <row r="43447" spans="7:7" ht="10.5" customHeight="1" x14ac:dyDescent="0.2">
      <c r="G43447" s="889"/>
    </row>
    <row r="43448" spans="7:7" ht="10.5" customHeight="1" x14ac:dyDescent="0.2">
      <c r="G43448" s="889"/>
    </row>
    <row r="43449" spans="7:7" ht="10.5" customHeight="1" x14ac:dyDescent="0.2">
      <c r="G43449" s="889"/>
    </row>
    <row r="43450" spans="7:7" ht="10.5" customHeight="1" x14ac:dyDescent="0.2">
      <c r="G43450" s="889"/>
    </row>
    <row r="43451" spans="7:7" ht="10.5" customHeight="1" x14ac:dyDescent="0.2">
      <c r="G43451" s="889"/>
    </row>
    <row r="43452" spans="7:7" ht="10.5" customHeight="1" x14ac:dyDescent="0.2">
      <c r="G43452" s="889"/>
    </row>
    <row r="43453" spans="7:7" ht="10.5" customHeight="1" x14ac:dyDescent="0.2">
      <c r="G43453" s="889"/>
    </row>
    <row r="43454" spans="7:7" ht="10.5" customHeight="1" x14ac:dyDescent="0.2">
      <c r="G43454" s="889"/>
    </row>
    <row r="43455" spans="7:7" ht="10.5" customHeight="1" x14ac:dyDescent="0.2">
      <c r="G43455" s="889"/>
    </row>
    <row r="43456" spans="7:7" ht="10.5" customHeight="1" x14ac:dyDescent="0.2">
      <c r="G43456" s="889"/>
    </row>
    <row r="43457" spans="7:7" ht="10.5" customHeight="1" x14ac:dyDescent="0.2">
      <c r="G43457" s="889"/>
    </row>
    <row r="43458" spans="7:7" ht="10.5" customHeight="1" x14ac:dyDescent="0.2">
      <c r="G43458" s="889"/>
    </row>
    <row r="43459" spans="7:7" ht="10.5" customHeight="1" x14ac:dyDescent="0.2">
      <c r="G43459" s="889"/>
    </row>
    <row r="43460" spans="7:7" ht="10.5" customHeight="1" x14ac:dyDescent="0.2">
      <c r="G43460" s="889"/>
    </row>
    <row r="43461" spans="7:7" ht="10.5" customHeight="1" x14ac:dyDescent="0.2">
      <c r="G43461" s="889"/>
    </row>
    <row r="43462" spans="7:7" ht="10.5" customHeight="1" x14ac:dyDescent="0.2">
      <c r="G43462" s="889"/>
    </row>
    <row r="43463" spans="7:7" ht="10.5" customHeight="1" x14ac:dyDescent="0.2">
      <c r="G43463" s="889"/>
    </row>
    <row r="43464" spans="7:7" ht="10.5" customHeight="1" x14ac:dyDescent="0.2">
      <c r="G43464" s="889"/>
    </row>
    <row r="43465" spans="7:7" ht="10.5" customHeight="1" x14ac:dyDescent="0.2">
      <c r="G43465" s="889"/>
    </row>
    <row r="43466" spans="7:7" ht="10.5" customHeight="1" x14ac:dyDescent="0.2">
      <c r="G43466" s="889"/>
    </row>
    <row r="43467" spans="7:7" ht="10.5" customHeight="1" x14ac:dyDescent="0.2">
      <c r="G43467" s="889"/>
    </row>
    <row r="43468" spans="7:7" ht="10.5" customHeight="1" x14ac:dyDescent="0.2">
      <c r="G43468" s="889"/>
    </row>
    <row r="43469" spans="7:7" ht="10.5" customHeight="1" x14ac:dyDescent="0.2">
      <c r="G43469" s="889"/>
    </row>
    <row r="43470" spans="7:7" ht="10.5" customHeight="1" x14ac:dyDescent="0.2">
      <c r="G43470" s="889"/>
    </row>
    <row r="43471" spans="7:7" ht="10.5" customHeight="1" x14ac:dyDescent="0.2">
      <c r="G43471" s="889"/>
    </row>
    <row r="43472" spans="7:7" ht="10.5" customHeight="1" x14ac:dyDescent="0.2">
      <c r="G43472" s="889"/>
    </row>
    <row r="43473" spans="7:7" ht="10.5" customHeight="1" x14ac:dyDescent="0.2">
      <c r="G43473" s="889"/>
    </row>
    <row r="43474" spans="7:7" ht="10.5" customHeight="1" x14ac:dyDescent="0.2">
      <c r="G43474" s="889"/>
    </row>
    <row r="43475" spans="7:7" ht="10.5" customHeight="1" x14ac:dyDescent="0.2">
      <c r="G43475" s="889"/>
    </row>
    <row r="43476" spans="7:7" ht="10.5" customHeight="1" x14ac:dyDescent="0.2">
      <c r="G43476" s="889"/>
    </row>
    <row r="43477" spans="7:7" ht="10.5" customHeight="1" x14ac:dyDescent="0.2">
      <c r="G43477" s="889"/>
    </row>
    <row r="43478" spans="7:7" ht="10.5" customHeight="1" x14ac:dyDescent="0.2">
      <c r="G43478" s="889"/>
    </row>
    <row r="43479" spans="7:7" ht="10.5" customHeight="1" x14ac:dyDescent="0.2">
      <c r="G43479" s="889"/>
    </row>
    <row r="43480" spans="7:7" ht="10.5" customHeight="1" x14ac:dyDescent="0.2">
      <c r="G43480" s="889"/>
    </row>
    <row r="43481" spans="7:7" ht="10.5" customHeight="1" x14ac:dyDescent="0.2">
      <c r="G43481" s="889"/>
    </row>
    <row r="43482" spans="7:7" ht="10.5" customHeight="1" x14ac:dyDescent="0.2">
      <c r="G43482" s="889"/>
    </row>
    <row r="43483" spans="7:7" ht="10.5" customHeight="1" x14ac:dyDescent="0.2">
      <c r="G43483" s="889"/>
    </row>
    <row r="43484" spans="7:7" ht="10.5" customHeight="1" x14ac:dyDescent="0.2">
      <c r="G43484" s="889"/>
    </row>
    <row r="43485" spans="7:7" ht="10.5" customHeight="1" x14ac:dyDescent="0.2">
      <c r="G43485" s="889"/>
    </row>
    <row r="43486" spans="7:7" ht="10.5" customHeight="1" x14ac:dyDescent="0.2">
      <c r="G43486" s="889"/>
    </row>
    <row r="43487" spans="7:7" ht="10.5" customHeight="1" x14ac:dyDescent="0.2">
      <c r="G43487" s="889"/>
    </row>
    <row r="43488" spans="7:7" ht="10.5" customHeight="1" x14ac:dyDescent="0.2">
      <c r="G43488" s="889"/>
    </row>
    <row r="43489" spans="7:7" ht="10.5" customHeight="1" x14ac:dyDescent="0.2">
      <c r="G43489" s="889"/>
    </row>
    <row r="43490" spans="7:7" ht="10.5" customHeight="1" x14ac:dyDescent="0.2">
      <c r="G43490" s="889"/>
    </row>
    <row r="43491" spans="7:7" ht="10.5" customHeight="1" x14ac:dyDescent="0.2">
      <c r="G43491" s="889"/>
    </row>
    <row r="43492" spans="7:7" ht="10.5" customHeight="1" x14ac:dyDescent="0.2">
      <c r="G43492" s="889"/>
    </row>
    <row r="43493" spans="7:7" ht="10.5" customHeight="1" x14ac:dyDescent="0.2">
      <c r="G43493" s="889"/>
    </row>
    <row r="43494" spans="7:7" ht="10.5" customHeight="1" x14ac:dyDescent="0.2">
      <c r="G43494" s="889"/>
    </row>
    <row r="43495" spans="7:7" ht="10.5" customHeight="1" x14ac:dyDescent="0.2">
      <c r="G43495" s="889"/>
    </row>
    <row r="43496" spans="7:7" ht="10.5" customHeight="1" x14ac:dyDescent="0.2">
      <c r="G43496" s="889"/>
    </row>
    <row r="43497" spans="7:7" ht="10.5" customHeight="1" x14ac:dyDescent="0.2">
      <c r="G43497" s="889"/>
    </row>
    <row r="43498" spans="7:7" ht="10.5" customHeight="1" x14ac:dyDescent="0.2">
      <c r="G43498" s="889"/>
    </row>
    <row r="43499" spans="7:7" ht="10.5" customHeight="1" x14ac:dyDescent="0.2">
      <c r="G43499" s="889"/>
    </row>
    <row r="43500" spans="7:7" ht="10.5" customHeight="1" x14ac:dyDescent="0.2">
      <c r="G43500" s="889"/>
    </row>
    <row r="43501" spans="7:7" ht="10.5" customHeight="1" x14ac:dyDescent="0.2">
      <c r="G43501" s="889"/>
    </row>
    <row r="43502" spans="7:7" ht="10.5" customHeight="1" x14ac:dyDescent="0.2">
      <c r="G43502" s="889"/>
    </row>
    <row r="43503" spans="7:7" ht="10.5" customHeight="1" x14ac:dyDescent="0.2">
      <c r="G43503" s="889"/>
    </row>
    <row r="43504" spans="7:7" ht="10.5" customHeight="1" x14ac:dyDescent="0.2">
      <c r="G43504" s="889"/>
    </row>
    <row r="43505" spans="7:7" ht="10.5" customHeight="1" x14ac:dyDescent="0.2">
      <c r="G43505" s="889"/>
    </row>
    <row r="43506" spans="7:7" ht="10.5" customHeight="1" x14ac:dyDescent="0.2">
      <c r="G43506" s="889"/>
    </row>
    <row r="43507" spans="7:7" ht="10.5" customHeight="1" x14ac:dyDescent="0.2">
      <c r="G43507" s="889"/>
    </row>
    <row r="43508" spans="7:7" ht="10.5" customHeight="1" x14ac:dyDescent="0.2">
      <c r="G43508" s="889"/>
    </row>
    <row r="43509" spans="7:7" ht="10.5" customHeight="1" x14ac:dyDescent="0.2">
      <c r="G43509" s="889"/>
    </row>
    <row r="43510" spans="7:7" ht="10.5" customHeight="1" x14ac:dyDescent="0.2">
      <c r="G43510" s="889"/>
    </row>
    <row r="43511" spans="7:7" ht="10.5" customHeight="1" x14ac:dyDescent="0.2">
      <c r="G43511" s="889"/>
    </row>
    <row r="43512" spans="7:7" ht="10.5" customHeight="1" x14ac:dyDescent="0.2">
      <c r="G43512" s="889"/>
    </row>
    <row r="43513" spans="7:7" ht="10.5" customHeight="1" x14ac:dyDescent="0.2">
      <c r="G43513" s="889"/>
    </row>
    <row r="43514" spans="7:7" ht="10.5" customHeight="1" x14ac:dyDescent="0.2">
      <c r="G43514" s="889"/>
    </row>
    <row r="43515" spans="7:7" ht="10.5" customHeight="1" x14ac:dyDescent="0.2">
      <c r="G43515" s="889"/>
    </row>
    <row r="43516" spans="7:7" ht="10.5" customHeight="1" x14ac:dyDescent="0.2">
      <c r="G43516" s="889"/>
    </row>
    <row r="43517" spans="7:7" ht="10.5" customHeight="1" x14ac:dyDescent="0.2">
      <c r="G43517" s="889"/>
    </row>
    <row r="43518" spans="7:7" ht="10.5" customHeight="1" x14ac:dyDescent="0.2">
      <c r="G43518" s="889"/>
    </row>
    <row r="43519" spans="7:7" ht="10.5" customHeight="1" x14ac:dyDescent="0.2">
      <c r="G43519" s="889"/>
    </row>
    <row r="43520" spans="7:7" ht="10.5" customHeight="1" x14ac:dyDescent="0.2">
      <c r="G43520" s="889"/>
    </row>
    <row r="43521" spans="7:7" ht="10.5" customHeight="1" x14ac:dyDescent="0.2">
      <c r="G43521" s="889"/>
    </row>
    <row r="43522" spans="7:7" ht="10.5" customHeight="1" x14ac:dyDescent="0.2">
      <c r="G43522" s="889"/>
    </row>
    <row r="43523" spans="7:7" ht="10.5" customHeight="1" x14ac:dyDescent="0.2">
      <c r="G43523" s="889"/>
    </row>
    <row r="43524" spans="7:7" ht="10.5" customHeight="1" x14ac:dyDescent="0.2">
      <c r="G43524" s="889"/>
    </row>
    <row r="43525" spans="7:7" ht="10.5" customHeight="1" x14ac:dyDescent="0.2">
      <c r="G43525" s="889"/>
    </row>
    <row r="43526" spans="7:7" ht="10.5" customHeight="1" x14ac:dyDescent="0.2">
      <c r="G43526" s="889"/>
    </row>
    <row r="43527" spans="7:7" ht="10.5" customHeight="1" x14ac:dyDescent="0.2">
      <c r="G43527" s="889"/>
    </row>
    <row r="43528" spans="7:7" ht="10.5" customHeight="1" x14ac:dyDescent="0.2">
      <c r="G43528" s="889"/>
    </row>
    <row r="43529" spans="7:7" ht="10.5" customHeight="1" x14ac:dyDescent="0.2">
      <c r="G43529" s="889"/>
    </row>
    <row r="43530" spans="7:7" ht="10.5" customHeight="1" x14ac:dyDescent="0.2">
      <c r="G43530" s="889"/>
    </row>
    <row r="43531" spans="7:7" ht="10.5" customHeight="1" x14ac:dyDescent="0.2">
      <c r="G43531" s="889"/>
    </row>
    <row r="43532" spans="7:7" ht="10.5" customHeight="1" x14ac:dyDescent="0.2">
      <c r="G43532" s="889"/>
    </row>
    <row r="43533" spans="7:7" ht="10.5" customHeight="1" x14ac:dyDescent="0.2">
      <c r="G43533" s="889"/>
    </row>
    <row r="43534" spans="7:7" ht="10.5" customHeight="1" x14ac:dyDescent="0.2">
      <c r="G43534" s="889"/>
    </row>
    <row r="43535" spans="7:7" ht="10.5" customHeight="1" x14ac:dyDescent="0.2">
      <c r="G43535" s="889"/>
    </row>
    <row r="43536" spans="7:7" ht="10.5" customHeight="1" x14ac:dyDescent="0.2">
      <c r="G43536" s="889"/>
    </row>
    <row r="43537" spans="7:7" ht="10.5" customHeight="1" x14ac:dyDescent="0.2">
      <c r="G43537" s="889"/>
    </row>
    <row r="43538" spans="7:7" ht="10.5" customHeight="1" x14ac:dyDescent="0.2">
      <c r="G43538" s="889"/>
    </row>
    <row r="43539" spans="7:7" ht="10.5" customHeight="1" x14ac:dyDescent="0.2">
      <c r="G43539" s="889"/>
    </row>
    <row r="43540" spans="7:7" ht="10.5" customHeight="1" x14ac:dyDescent="0.2">
      <c r="G43540" s="889"/>
    </row>
    <row r="43541" spans="7:7" ht="10.5" customHeight="1" x14ac:dyDescent="0.2">
      <c r="G43541" s="889"/>
    </row>
    <row r="43542" spans="7:7" ht="10.5" customHeight="1" x14ac:dyDescent="0.2">
      <c r="G43542" s="889"/>
    </row>
    <row r="43543" spans="7:7" ht="10.5" customHeight="1" x14ac:dyDescent="0.2">
      <c r="G43543" s="889"/>
    </row>
    <row r="43544" spans="7:7" ht="10.5" customHeight="1" x14ac:dyDescent="0.2">
      <c r="G43544" s="889"/>
    </row>
    <row r="43545" spans="7:7" ht="10.5" customHeight="1" x14ac:dyDescent="0.2">
      <c r="G43545" s="889"/>
    </row>
    <row r="43546" spans="7:7" ht="10.5" customHeight="1" x14ac:dyDescent="0.2">
      <c r="G43546" s="889"/>
    </row>
    <row r="43547" spans="7:7" ht="10.5" customHeight="1" x14ac:dyDescent="0.2">
      <c r="G43547" s="889"/>
    </row>
    <row r="43548" spans="7:7" ht="10.5" customHeight="1" x14ac:dyDescent="0.2">
      <c r="G43548" s="889"/>
    </row>
    <row r="43549" spans="7:7" ht="10.5" customHeight="1" x14ac:dyDescent="0.2">
      <c r="G43549" s="889"/>
    </row>
    <row r="43550" spans="7:7" ht="10.5" customHeight="1" x14ac:dyDescent="0.2">
      <c r="G43550" s="889"/>
    </row>
    <row r="43551" spans="7:7" ht="10.5" customHeight="1" x14ac:dyDescent="0.2">
      <c r="G43551" s="889"/>
    </row>
    <row r="43552" spans="7:7" ht="10.5" customHeight="1" x14ac:dyDescent="0.2">
      <c r="G43552" s="889"/>
    </row>
    <row r="43553" spans="7:7" ht="10.5" customHeight="1" x14ac:dyDescent="0.2">
      <c r="G43553" s="889"/>
    </row>
    <row r="43554" spans="7:7" ht="10.5" customHeight="1" x14ac:dyDescent="0.2">
      <c r="G43554" s="889"/>
    </row>
    <row r="43555" spans="7:7" ht="10.5" customHeight="1" x14ac:dyDescent="0.2">
      <c r="G43555" s="889"/>
    </row>
    <row r="43556" spans="7:7" ht="10.5" customHeight="1" x14ac:dyDescent="0.2">
      <c r="G43556" s="889"/>
    </row>
    <row r="43557" spans="7:7" ht="10.5" customHeight="1" x14ac:dyDescent="0.2">
      <c r="G43557" s="889"/>
    </row>
    <row r="43558" spans="7:7" ht="10.5" customHeight="1" x14ac:dyDescent="0.2">
      <c r="G43558" s="889"/>
    </row>
    <row r="43559" spans="7:7" ht="10.5" customHeight="1" x14ac:dyDescent="0.2">
      <c r="G43559" s="889"/>
    </row>
    <row r="43560" spans="7:7" ht="10.5" customHeight="1" x14ac:dyDescent="0.2">
      <c r="G43560" s="889"/>
    </row>
    <row r="43561" spans="7:7" ht="10.5" customHeight="1" x14ac:dyDescent="0.2">
      <c r="G43561" s="889"/>
    </row>
    <row r="43562" spans="7:7" ht="10.5" customHeight="1" x14ac:dyDescent="0.2">
      <c r="G43562" s="889"/>
    </row>
    <row r="43563" spans="7:7" ht="10.5" customHeight="1" x14ac:dyDescent="0.2">
      <c r="G43563" s="889"/>
    </row>
    <row r="43564" spans="7:7" ht="10.5" customHeight="1" x14ac:dyDescent="0.2">
      <c r="G43564" s="889"/>
    </row>
    <row r="43565" spans="7:7" ht="10.5" customHeight="1" x14ac:dyDescent="0.2">
      <c r="G43565" s="889"/>
    </row>
    <row r="43566" spans="7:7" ht="10.5" customHeight="1" x14ac:dyDescent="0.2">
      <c r="G43566" s="889"/>
    </row>
    <row r="43567" spans="7:7" ht="10.5" customHeight="1" x14ac:dyDescent="0.2">
      <c r="G43567" s="889"/>
    </row>
    <row r="43568" spans="7:7" ht="10.5" customHeight="1" x14ac:dyDescent="0.2">
      <c r="G43568" s="889"/>
    </row>
    <row r="43569" spans="7:7" ht="10.5" customHeight="1" x14ac:dyDescent="0.2">
      <c r="G43569" s="889"/>
    </row>
    <row r="43570" spans="7:7" ht="10.5" customHeight="1" x14ac:dyDescent="0.2">
      <c r="G43570" s="889"/>
    </row>
    <row r="43571" spans="7:7" ht="10.5" customHeight="1" x14ac:dyDescent="0.2">
      <c r="G43571" s="889"/>
    </row>
    <row r="43572" spans="7:7" ht="10.5" customHeight="1" x14ac:dyDescent="0.2">
      <c r="G43572" s="889"/>
    </row>
    <row r="43573" spans="7:7" ht="10.5" customHeight="1" x14ac:dyDescent="0.2">
      <c r="G43573" s="889"/>
    </row>
    <row r="43574" spans="7:7" ht="10.5" customHeight="1" x14ac:dyDescent="0.2">
      <c r="G43574" s="889"/>
    </row>
    <row r="43575" spans="7:7" ht="10.5" customHeight="1" x14ac:dyDescent="0.2">
      <c r="G43575" s="889"/>
    </row>
    <row r="43576" spans="7:7" ht="10.5" customHeight="1" x14ac:dyDescent="0.2">
      <c r="G43576" s="889"/>
    </row>
    <row r="43577" spans="7:7" ht="10.5" customHeight="1" x14ac:dyDescent="0.2">
      <c r="G43577" s="889"/>
    </row>
    <row r="43578" spans="7:7" ht="10.5" customHeight="1" x14ac:dyDescent="0.2">
      <c r="G43578" s="889"/>
    </row>
    <row r="43579" spans="7:7" ht="10.5" customHeight="1" x14ac:dyDescent="0.2">
      <c r="G43579" s="889"/>
    </row>
    <row r="43580" spans="7:7" ht="10.5" customHeight="1" x14ac:dyDescent="0.2">
      <c r="G43580" s="889"/>
    </row>
    <row r="43581" spans="7:7" ht="10.5" customHeight="1" x14ac:dyDescent="0.2">
      <c r="G43581" s="889"/>
    </row>
    <row r="43582" spans="7:7" ht="10.5" customHeight="1" x14ac:dyDescent="0.2">
      <c r="G43582" s="889"/>
    </row>
    <row r="43583" spans="7:7" ht="10.5" customHeight="1" x14ac:dyDescent="0.2">
      <c r="G43583" s="889"/>
    </row>
    <row r="43584" spans="7:7" ht="10.5" customHeight="1" x14ac:dyDescent="0.2">
      <c r="G43584" s="889"/>
    </row>
    <row r="43585" spans="7:7" ht="10.5" customHeight="1" x14ac:dyDescent="0.2">
      <c r="G43585" s="889"/>
    </row>
    <row r="43586" spans="7:7" ht="10.5" customHeight="1" x14ac:dyDescent="0.2">
      <c r="G43586" s="889"/>
    </row>
    <row r="43587" spans="7:7" ht="10.5" customHeight="1" x14ac:dyDescent="0.2">
      <c r="G43587" s="889"/>
    </row>
    <row r="43588" spans="7:7" ht="10.5" customHeight="1" x14ac:dyDescent="0.2">
      <c r="G43588" s="889"/>
    </row>
    <row r="43589" spans="7:7" ht="10.5" customHeight="1" x14ac:dyDescent="0.2">
      <c r="G43589" s="889"/>
    </row>
    <row r="43590" spans="7:7" ht="10.5" customHeight="1" x14ac:dyDescent="0.2">
      <c r="G43590" s="889"/>
    </row>
    <row r="43591" spans="7:7" ht="10.5" customHeight="1" x14ac:dyDescent="0.2">
      <c r="G43591" s="889"/>
    </row>
    <row r="43592" spans="7:7" ht="10.5" customHeight="1" x14ac:dyDescent="0.2">
      <c r="G43592" s="889"/>
    </row>
    <row r="43593" spans="7:7" ht="10.5" customHeight="1" x14ac:dyDescent="0.2">
      <c r="G43593" s="889"/>
    </row>
    <row r="43594" spans="7:7" ht="10.5" customHeight="1" x14ac:dyDescent="0.2">
      <c r="G43594" s="889"/>
    </row>
    <row r="43595" spans="7:7" ht="10.5" customHeight="1" x14ac:dyDescent="0.2">
      <c r="G43595" s="889"/>
    </row>
    <row r="43596" spans="7:7" ht="10.5" customHeight="1" x14ac:dyDescent="0.2">
      <c r="G43596" s="889"/>
    </row>
    <row r="43597" spans="7:7" ht="10.5" customHeight="1" x14ac:dyDescent="0.2">
      <c r="G43597" s="889"/>
    </row>
    <row r="43598" spans="7:7" ht="10.5" customHeight="1" x14ac:dyDescent="0.2">
      <c r="G43598" s="889"/>
    </row>
    <row r="43599" spans="7:7" ht="10.5" customHeight="1" x14ac:dyDescent="0.2">
      <c r="G43599" s="889"/>
    </row>
    <row r="43600" spans="7:7" ht="10.5" customHeight="1" x14ac:dyDescent="0.2">
      <c r="G43600" s="889"/>
    </row>
    <row r="43601" spans="7:7" ht="10.5" customHeight="1" x14ac:dyDescent="0.2">
      <c r="G43601" s="889"/>
    </row>
    <row r="43602" spans="7:7" ht="10.5" customHeight="1" x14ac:dyDescent="0.2">
      <c r="G43602" s="889"/>
    </row>
    <row r="43603" spans="7:7" ht="10.5" customHeight="1" x14ac:dyDescent="0.2">
      <c r="G43603" s="889"/>
    </row>
    <row r="43604" spans="7:7" ht="10.5" customHeight="1" x14ac:dyDescent="0.2">
      <c r="G43604" s="889"/>
    </row>
    <row r="43605" spans="7:7" ht="10.5" customHeight="1" x14ac:dyDescent="0.2">
      <c r="G43605" s="889"/>
    </row>
    <row r="43606" spans="7:7" ht="10.5" customHeight="1" x14ac:dyDescent="0.2">
      <c r="G43606" s="889"/>
    </row>
    <row r="43607" spans="7:7" ht="10.5" customHeight="1" x14ac:dyDescent="0.2">
      <c r="G43607" s="889"/>
    </row>
    <row r="43608" spans="7:7" ht="10.5" customHeight="1" x14ac:dyDescent="0.2">
      <c r="G43608" s="889"/>
    </row>
    <row r="43609" spans="7:7" ht="10.5" customHeight="1" x14ac:dyDescent="0.2">
      <c r="G43609" s="889"/>
    </row>
    <row r="43610" spans="7:7" ht="10.5" customHeight="1" x14ac:dyDescent="0.2">
      <c r="G43610" s="889"/>
    </row>
    <row r="43611" spans="7:7" ht="10.5" customHeight="1" x14ac:dyDescent="0.2">
      <c r="G43611" s="889"/>
    </row>
    <row r="43612" spans="7:7" ht="10.5" customHeight="1" x14ac:dyDescent="0.2">
      <c r="G43612" s="889"/>
    </row>
    <row r="43613" spans="7:7" ht="10.5" customHeight="1" x14ac:dyDescent="0.2">
      <c r="G43613" s="889"/>
    </row>
    <row r="43614" spans="7:7" ht="10.5" customHeight="1" x14ac:dyDescent="0.2">
      <c r="G43614" s="889"/>
    </row>
    <row r="43615" spans="7:7" ht="10.5" customHeight="1" x14ac:dyDescent="0.2">
      <c r="G43615" s="889"/>
    </row>
    <row r="43616" spans="7:7" ht="10.5" customHeight="1" x14ac:dyDescent="0.2">
      <c r="G43616" s="889"/>
    </row>
    <row r="43617" spans="7:7" ht="10.5" customHeight="1" x14ac:dyDescent="0.2">
      <c r="G43617" s="889"/>
    </row>
    <row r="43618" spans="7:7" ht="10.5" customHeight="1" x14ac:dyDescent="0.2">
      <c r="G43618" s="889"/>
    </row>
    <row r="43619" spans="7:7" ht="10.5" customHeight="1" x14ac:dyDescent="0.2">
      <c r="G43619" s="889"/>
    </row>
    <row r="43620" spans="7:7" ht="10.5" customHeight="1" x14ac:dyDescent="0.2">
      <c r="G43620" s="889"/>
    </row>
    <row r="43621" spans="7:7" ht="10.5" customHeight="1" x14ac:dyDescent="0.2">
      <c r="G43621" s="889"/>
    </row>
    <row r="43622" spans="7:7" ht="10.5" customHeight="1" x14ac:dyDescent="0.2">
      <c r="G43622" s="889"/>
    </row>
    <row r="43623" spans="7:7" ht="10.5" customHeight="1" x14ac:dyDescent="0.2">
      <c r="G43623" s="889"/>
    </row>
    <row r="43624" spans="7:7" ht="10.5" customHeight="1" x14ac:dyDescent="0.2">
      <c r="G43624" s="889"/>
    </row>
    <row r="43625" spans="7:7" ht="10.5" customHeight="1" x14ac:dyDescent="0.2">
      <c r="G43625" s="889"/>
    </row>
    <row r="43626" spans="7:7" ht="10.5" customHeight="1" x14ac:dyDescent="0.2">
      <c r="G43626" s="889"/>
    </row>
    <row r="43627" spans="7:7" ht="10.5" customHeight="1" x14ac:dyDescent="0.2">
      <c r="G43627" s="889"/>
    </row>
    <row r="43628" spans="7:7" ht="10.5" customHeight="1" x14ac:dyDescent="0.2">
      <c r="G43628" s="889"/>
    </row>
    <row r="43629" spans="7:7" ht="10.5" customHeight="1" x14ac:dyDescent="0.2">
      <c r="G43629" s="889"/>
    </row>
    <row r="43630" spans="7:7" ht="10.5" customHeight="1" x14ac:dyDescent="0.2">
      <c r="G43630" s="889"/>
    </row>
    <row r="43631" spans="7:7" ht="10.5" customHeight="1" x14ac:dyDescent="0.2">
      <c r="G43631" s="889"/>
    </row>
    <row r="43632" spans="7:7" ht="10.5" customHeight="1" x14ac:dyDescent="0.2">
      <c r="G43632" s="889"/>
    </row>
    <row r="43633" spans="7:7" ht="10.5" customHeight="1" x14ac:dyDescent="0.2">
      <c r="G43633" s="889"/>
    </row>
    <row r="43634" spans="7:7" ht="10.5" customHeight="1" x14ac:dyDescent="0.2">
      <c r="G43634" s="889"/>
    </row>
    <row r="43635" spans="7:7" ht="10.5" customHeight="1" x14ac:dyDescent="0.2">
      <c r="G43635" s="889"/>
    </row>
    <row r="43636" spans="7:7" ht="10.5" customHeight="1" x14ac:dyDescent="0.2">
      <c r="G43636" s="889"/>
    </row>
    <row r="43637" spans="7:7" ht="10.5" customHeight="1" x14ac:dyDescent="0.2">
      <c r="G43637" s="889"/>
    </row>
    <row r="43638" spans="7:7" ht="10.5" customHeight="1" x14ac:dyDescent="0.2">
      <c r="G43638" s="889"/>
    </row>
    <row r="43639" spans="7:7" ht="10.5" customHeight="1" x14ac:dyDescent="0.2">
      <c r="G43639" s="889"/>
    </row>
    <row r="43640" spans="7:7" ht="10.5" customHeight="1" x14ac:dyDescent="0.2">
      <c r="G43640" s="889"/>
    </row>
    <row r="43641" spans="7:7" ht="10.5" customHeight="1" x14ac:dyDescent="0.2">
      <c r="G43641" s="889"/>
    </row>
    <row r="43642" spans="7:7" ht="10.5" customHeight="1" x14ac:dyDescent="0.2">
      <c r="G43642" s="889"/>
    </row>
    <row r="43643" spans="7:7" ht="10.5" customHeight="1" x14ac:dyDescent="0.2">
      <c r="G43643" s="889"/>
    </row>
    <row r="43644" spans="7:7" ht="10.5" customHeight="1" x14ac:dyDescent="0.2">
      <c r="G43644" s="889"/>
    </row>
    <row r="43645" spans="7:7" ht="10.5" customHeight="1" x14ac:dyDescent="0.2">
      <c r="G43645" s="889"/>
    </row>
    <row r="43646" spans="7:7" ht="10.5" customHeight="1" x14ac:dyDescent="0.2">
      <c r="G43646" s="889"/>
    </row>
    <row r="43647" spans="7:7" ht="10.5" customHeight="1" x14ac:dyDescent="0.2">
      <c r="G43647" s="889"/>
    </row>
    <row r="43648" spans="7:7" ht="10.5" customHeight="1" x14ac:dyDescent="0.2">
      <c r="G43648" s="889"/>
    </row>
    <row r="43649" spans="7:7" ht="10.5" customHeight="1" x14ac:dyDescent="0.2">
      <c r="G43649" s="889"/>
    </row>
    <row r="43650" spans="7:7" ht="10.5" customHeight="1" x14ac:dyDescent="0.2">
      <c r="G43650" s="889"/>
    </row>
    <row r="43651" spans="7:7" ht="10.5" customHeight="1" x14ac:dyDescent="0.2">
      <c r="G43651" s="889"/>
    </row>
    <row r="43652" spans="7:7" ht="10.5" customHeight="1" x14ac:dyDescent="0.2">
      <c r="G43652" s="889"/>
    </row>
    <row r="43653" spans="7:7" ht="10.5" customHeight="1" x14ac:dyDescent="0.2">
      <c r="G43653" s="889"/>
    </row>
    <row r="43654" spans="7:7" ht="10.5" customHeight="1" x14ac:dyDescent="0.2">
      <c r="G43654" s="889"/>
    </row>
    <row r="43655" spans="7:7" ht="10.5" customHeight="1" x14ac:dyDescent="0.2">
      <c r="G43655" s="889"/>
    </row>
    <row r="43656" spans="7:7" ht="10.5" customHeight="1" x14ac:dyDescent="0.2">
      <c r="G43656" s="889"/>
    </row>
    <row r="43657" spans="7:7" ht="10.5" customHeight="1" x14ac:dyDescent="0.2">
      <c r="G43657" s="889"/>
    </row>
    <row r="43658" spans="7:7" ht="10.5" customHeight="1" x14ac:dyDescent="0.2">
      <c r="G43658" s="889"/>
    </row>
    <row r="43659" spans="7:7" ht="10.5" customHeight="1" x14ac:dyDescent="0.2">
      <c r="G43659" s="889"/>
    </row>
    <row r="43660" spans="7:7" ht="10.5" customHeight="1" x14ac:dyDescent="0.2">
      <c r="G43660" s="889"/>
    </row>
    <row r="43661" spans="7:7" ht="10.5" customHeight="1" x14ac:dyDescent="0.2">
      <c r="G43661" s="889"/>
    </row>
    <row r="43662" spans="7:7" ht="10.5" customHeight="1" x14ac:dyDescent="0.2">
      <c r="G43662" s="889"/>
    </row>
    <row r="43663" spans="7:7" ht="10.5" customHeight="1" x14ac:dyDescent="0.2">
      <c r="G43663" s="889"/>
    </row>
    <row r="43664" spans="7:7" ht="10.5" customHeight="1" x14ac:dyDescent="0.2">
      <c r="G43664" s="889"/>
    </row>
    <row r="43665" spans="7:7" ht="10.5" customHeight="1" x14ac:dyDescent="0.2">
      <c r="G43665" s="889"/>
    </row>
    <row r="43666" spans="7:7" ht="10.5" customHeight="1" x14ac:dyDescent="0.2">
      <c r="G43666" s="889"/>
    </row>
    <row r="43667" spans="7:7" ht="10.5" customHeight="1" x14ac:dyDescent="0.2">
      <c r="G43667" s="889"/>
    </row>
    <row r="43668" spans="7:7" ht="10.5" customHeight="1" x14ac:dyDescent="0.2">
      <c r="G43668" s="889"/>
    </row>
    <row r="43669" spans="7:7" ht="10.5" customHeight="1" x14ac:dyDescent="0.2">
      <c r="G43669" s="889"/>
    </row>
    <row r="43670" spans="7:7" ht="10.5" customHeight="1" x14ac:dyDescent="0.2">
      <c r="G43670" s="889"/>
    </row>
    <row r="43671" spans="7:7" ht="10.5" customHeight="1" x14ac:dyDescent="0.2">
      <c r="G43671" s="889"/>
    </row>
    <row r="43672" spans="7:7" ht="10.5" customHeight="1" x14ac:dyDescent="0.2">
      <c r="G43672" s="889"/>
    </row>
    <row r="43673" spans="7:7" ht="10.5" customHeight="1" x14ac:dyDescent="0.2">
      <c r="G43673" s="889"/>
    </row>
    <row r="43674" spans="7:7" ht="10.5" customHeight="1" x14ac:dyDescent="0.2">
      <c r="G43674" s="889"/>
    </row>
    <row r="43675" spans="7:7" ht="10.5" customHeight="1" x14ac:dyDescent="0.2">
      <c r="G43675" s="889"/>
    </row>
    <row r="43676" spans="7:7" ht="10.5" customHeight="1" x14ac:dyDescent="0.2">
      <c r="G43676" s="889"/>
    </row>
    <row r="43677" spans="7:7" ht="10.5" customHeight="1" x14ac:dyDescent="0.2">
      <c r="G43677" s="889"/>
    </row>
    <row r="43678" spans="7:7" ht="10.5" customHeight="1" x14ac:dyDescent="0.2">
      <c r="G43678" s="889"/>
    </row>
    <row r="43679" spans="7:7" ht="10.5" customHeight="1" x14ac:dyDescent="0.2">
      <c r="G43679" s="889"/>
    </row>
    <row r="43680" spans="7:7" ht="10.5" customHeight="1" x14ac:dyDescent="0.2">
      <c r="G43680" s="889"/>
    </row>
    <row r="43681" spans="7:7" ht="10.5" customHeight="1" x14ac:dyDescent="0.2">
      <c r="G43681" s="889"/>
    </row>
    <row r="43682" spans="7:7" ht="10.5" customHeight="1" x14ac:dyDescent="0.2">
      <c r="G43682" s="889"/>
    </row>
    <row r="43683" spans="7:7" ht="10.5" customHeight="1" x14ac:dyDescent="0.2">
      <c r="G43683" s="889"/>
    </row>
    <row r="43684" spans="7:7" ht="10.5" customHeight="1" x14ac:dyDescent="0.2">
      <c r="G43684" s="889"/>
    </row>
    <row r="43685" spans="7:7" ht="10.5" customHeight="1" x14ac:dyDescent="0.2">
      <c r="G43685" s="889"/>
    </row>
    <row r="43686" spans="7:7" ht="10.5" customHeight="1" x14ac:dyDescent="0.2">
      <c r="G43686" s="889"/>
    </row>
    <row r="43687" spans="7:7" ht="10.5" customHeight="1" x14ac:dyDescent="0.2">
      <c r="G43687" s="889"/>
    </row>
    <row r="43688" spans="7:7" ht="10.5" customHeight="1" x14ac:dyDescent="0.2">
      <c r="G43688" s="889"/>
    </row>
    <row r="43689" spans="7:7" ht="10.5" customHeight="1" x14ac:dyDescent="0.2">
      <c r="G43689" s="889"/>
    </row>
    <row r="43690" spans="7:7" ht="10.5" customHeight="1" x14ac:dyDescent="0.2">
      <c r="G43690" s="889"/>
    </row>
    <row r="43691" spans="7:7" ht="10.5" customHeight="1" x14ac:dyDescent="0.2">
      <c r="G43691" s="889"/>
    </row>
    <row r="43692" spans="7:7" ht="10.5" customHeight="1" x14ac:dyDescent="0.2">
      <c r="G43692" s="889"/>
    </row>
    <row r="43693" spans="7:7" ht="10.5" customHeight="1" x14ac:dyDescent="0.2">
      <c r="G43693" s="889"/>
    </row>
    <row r="43694" spans="7:7" ht="10.5" customHeight="1" x14ac:dyDescent="0.2">
      <c r="G43694" s="889"/>
    </row>
    <row r="43695" spans="7:7" ht="10.5" customHeight="1" x14ac:dyDescent="0.2">
      <c r="G43695" s="889"/>
    </row>
    <row r="43696" spans="7:7" ht="10.5" customHeight="1" x14ac:dyDescent="0.2">
      <c r="G43696" s="889"/>
    </row>
    <row r="43697" spans="7:7" ht="10.5" customHeight="1" x14ac:dyDescent="0.2">
      <c r="G43697" s="889"/>
    </row>
    <row r="43698" spans="7:7" ht="10.5" customHeight="1" x14ac:dyDescent="0.2">
      <c r="G43698" s="889"/>
    </row>
    <row r="43699" spans="7:7" ht="10.5" customHeight="1" x14ac:dyDescent="0.2">
      <c r="G43699" s="889"/>
    </row>
    <row r="43700" spans="7:7" ht="10.5" customHeight="1" x14ac:dyDescent="0.2">
      <c r="G43700" s="889"/>
    </row>
    <row r="43701" spans="7:7" ht="10.5" customHeight="1" x14ac:dyDescent="0.2">
      <c r="G43701" s="889"/>
    </row>
    <row r="43702" spans="7:7" ht="10.5" customHeight="1" x14ac:dyDescent="0.2">
      <c r="G43702" s="889"/>
    </row>
    <row r="43703" spans="7:7" ht="10.5" customHeight="1" x14ac:dyDescent="0.2">
      <c r="G43703" s="889"/>
    </row>
    <row r="43704" spans="7:7" ht="10.5" customHeight="1" x14ac:dyDescent="0.2">
      <c r="G43704" s="889"/>
    </row>
    <row r="43705" spans="7:7" ht="10.5" customHeight="1" x14ac:dyDescent="0.2">
      <c r="G43705" s="889"/>
    </row>
    <row r="43706" spans="7:7" ht="10.5" customHeight="1" x14ac:dyDescent="0.2">
      <c r="G43706" s="889"/>
    </row>
    <row r="43707" spans="7:7" ht="10.5" customHeight="1" x14ac:dyDescent="0.2">
      <c r="G43707" s="889"/>
    </row>
    <row r="43708" spans="7:7" ht="10.5" customHeight="1" x14ac:dyDescent="0.2">
      <c r="G43708" s="889"/>
    </row>
    <row r="43709" spans="7:7" ht="10.5" customHeight="1" x14ac:dyDescent="0.2">
      <c r="G43709" s="889"/>
    </row>
    <row r="43710" spans="7:7" ht="10.5" customHeight="1" x14ac:dyDescent="0.2">
      <c r="G43710" s="889"/>
    </row>
    <row r="43711" spans="7:7" ht="10.5" customHeight="1" x14ac:dyDescent="0.2">
      <c r="G43711" s="889"/>
    </row>
    <row r="43712" spans="7:7" ht="10.5" customHeight="1" x14ac:dyDescent="0.2">
      <c r="G43712" s="889"/>
    </row>
    <row r="43713" spans="7:7" ht="10.5" customHeight="1" x14ac:dyDescent="0.2">
      <c r="G43713" s="889"/>
    </row>
    <row r="43714" spans="7:7" ht="10.5" customHeight="1" x14ac:dyDescent="0.2">
      <c r="G43714" s="889"/>
    </row>
    <row r="43715" spans="7:7" ht="10.5" customHeight="1" x14ac:dyDescent="0.2">
      <c r="G43715" s="889"/>
    </row>
    <row r="43716" spans="7:7" ht="10.5" customHeight="1" x14ac:dyDescent="0.2">
      <c r="G43716" s="889"/>
    </row>
    <row r="43717" spans="7:7" ht="10.5" customHeight="1" x14ac:dyDescent="0.2">
      <c r="G43717" s="889"/>
    </row>
    <row r="43718" spans="7:7" ht="10.5" customHeight="1" x14ac:dyDescent="0.2">
      <c r="G43718" s="889"/>
    </row>
    <row r="43719" spans="7:7" ht="10.5" customHeight="1" x14ac:dyDescent="0.2">
      <c r="G43719" s="889"/>
    </row>
    <row r="43720" spans="7:7" ht="10.5" customHeight="1" x14ac:dyDescent="0.2">
      <c r="G43720" s="889"/>
    </row>
    <row r="43721" spans="7:7" ht="10.5" customHeight="1" x14ac:dyDescent="0.2">
      <c r="G43721" s="889"/>
    </row>
    <row r="43722" spans="7:7" ht="10.5" customHeight="1" x14ac:dyDescent="0.2">
      <c r="G43722" s="889"/>
    </row>
    <row r="43723" spans="7:7" ht="10.5" customHeight="1" x14ac:dyDescent="0.2">
      <c r="G43723" s="889"/>
    </row>
    <row r="43724" spans="7:7" ht="10.5" customHeight="1" x14ac:dyDescent="0.2">
      <c r="G43724" s="889"/>
    </row>
    <row r="43725" spans="7:7" ht="10.5" customHeight="1" x14ac:dyDescent="0.2">
      <c r="G43725" s="889"/>
    </row>
    <row r="43726" spans="7:7" ht="10.5" customHeight="1" x14ac:dyDescent="0.2">
      <c r="G43726" s="889"/>
    </row>
    <row r="43727" spans="7:7" ht="10.5" customHeight="1" x14ac:dyDescent="0.2">
      <c r="G43727" s="889"/>
    </row>
    <row r="43728" spans="7:7" ht="10.5" customHeight="1" x14ac:dyDescent="0.2">
      <c r="G43728" s="889"/>
    </row>
    <row r="43729" spans="7:7" ht="10.5" customHeight="1" x14ac:dyDescent="0.2">
      <c r="G43729" s="889"/>
    </row>
    <row r="43730" spans="7:7" ht="10.5" customHeight="1" x14ac:dyDescent="0.2">
      <c r="G43730" s="889"/>
    </row>
    <row r="43731" spans="7:7" ht="10.5" customHeight="1" x14ac:dyDescent="0.2">
      <c r="G43731" s="889"/>
    </row>
    <row r="43732" spans="7:7" ht="10.5" customHeight="1" x14ac:dyDescent="0.2">
      <c r="G43732" s="889"/>
    </row>
    <row r="43733" spans="7:7" ht="10.5" customHeight="1" x14ac:dyDescent="0.2">
      <c r="G43733" s="889"/>
    </row>
    <row r="43734" spans="7:7" ht="10.5" customHeight="1" x14ac:dyDescent="0.2">
      <c r="G43734" s="889"/>
    </row>
    <row r="43735" spans="7:7" ht="10.5" customHeight="1" x14ac:dyDescent="0.2">
      <c r="G43735" s="889"/>
    </row>
    <row r="43736" spans="7:7" ht="10.5" customHeight="1" x14ac:dyDescent="0.2">
      <c r="G43736" s="889"/>
    </row>
    <row r="43737" spans="7:7" ht="10.5" customHeight="1" x14ac:dyDescent="0.2">
      <c r="G43737" s="889"/>
    </row>
    <row r="43738" spans="7:7" ht="10.5" customHeight="1" x14ac:dyDescent="0.2">
      <c r="G43738" s="889"/>
    </row>
    <row r="43739" spans="7:7" ht="10.5" customHeight="1" x14ac:dyDescent="0.2">
      <c r="G43739" s="889"/>
    </row>
    <row r="43740" spans="7:7" ht="10.5" customHeight="1" x14ac:dyDescent="0.2">
      <c r="G43740" s="889"/>
    </row>
    <row r="43741" spans="7:7" ht="10.5" customHeight="1" x14ac:dyDescent="0.2">
      <c r="G43741" s="889"/>
    </row>
    <row r="43742" spans="7:7" ht="10.5" customHeight="1" x14ac:dyDescent="0.2">
      <c r="G43742" s="889"/>
    </row>
    <row r="43743" spans="7:7" ht="10.5" customHeight="1" x14ac:dyDescent="0.2">
      <c r="G43743" s="889"/>
    </row>
    <row r="43744" spans="7:7" ht="10.5" customHeight="1" x14ac:dyDescent="0.2">
      <c r="G43744" s="889"/>
    </row>
    <row r="43745" spans="7:7" ht="10.5" customHeight="1" x14ac:dyDescent="0.2">
      <c r="G43745" s="889"/>
    </row>
    <row r="43746" spans="7:7" ht="10.5" customHeight="1" x14ac:dyDescent="0.2">
      <c r="G43746" s="889"/>
    </row>
    <row r="43747" spans="7:7" ht="10.5" customHeight="1" x14ac:dyDescent="0.2">
      <c r="G43747" s="889"/>
    </row>
    <row r="43748" spans="7:7" ht="10.5" customHeight="1" x14ac:dyDescent="0.2">
      <c r="G43748" s="889"/>
    </row>
    <row r="43749" spans="7:7" ht="10.5" customHeight="1" x14ac:dyDescent="0.2">
      <c r="G43749" s="889"/>
    </row>
    <row r="43750" spans="7:7" ht="10.5" customHeight="1" x14ac:dyDescent="0.2">
      <c r="G43750" s="889"/>
    </row>
    <row r="43751" spans="7:7" ht="10.5" customHeight="1" x14ac:dyDescent="0.2">
      <c r="G43751" s="889"/>
    </row>
    <row r="43752" spans="7:7" ht="10.5" customHeight="1" x14ac:dyDescent="0.2">
      <c r="G43752" s="889"/>
    </row>
    <row r="43753" spans="7:7" ht="10.5" customHeight="1" x14ac:dyDescent="0.2">
      <c r="G43753" s="889"/>
    </row>
    <row r="43754" spans="7:7" ht="10.5" customHeight="1" x14ac:dyDescent="0.2">
      <c r="G43754" s="889"/>
    </row>
    <row r="43755" spans="7:7" ht="10.5" customHeight="1" x14ac:dyDescent="0.2">
      <c r="G43755" s="889"/>
    </row>
    <row r="43756" spans="7:7" ht="10.5" customHeight="1" x14ac:dyDescent="0.2">
      <c r="G43756" s="889"/>
    </row>
    <row r="43757" spans="7:7" ht="10.5" customHeight="1" x14ac:dyDescent="0.2">
      <c r="G43757" s="889"/>
    </row>
    <row r="43758" spans="7:7" ht="10.5" customHeight="1" x14ac:dyDescent="0.2">
      <c r="G43758" s="889"/>
    </row>
    <row r="43759" spans="7:7" ht="10.5" customHeight="1" x14ac:dyDescent="0.2">
      <c r="G43759" s="889"/>
    </row>
    <row r="43760" spans="7:7" ht="10.5" customHeight="1" x14ac:dyDescent="0.2">
      <c r="G43760" s="889"/>
    </row>
    <row r="43761" spans="7:7" ht="10.5" customHeight="1" x14ac:dyDescent="0.2">
      <c r="G43761" s="889"/>
    </row>
    <row r="43762" spans="7:7" ht="10.5" customHeight="1" x14ac:dyDescent="0.2">
      <c r="G43762" s="889"/>
    </row>
    <row r="43763" spans="7:7" ht="10.5" customHeight="1" x14ac:dyDescent="0.2">
      <c r="G43763" s="889"/>
    </row>
    <row r="43764" spans="7:7" ht="10.5" customHeight="1" x14ac:dyDescent="0.2">
      <c r="G43764" s="889"/>
    </row>
    <row r="43765" spans="7:7" ht="10.5" customHeight="1" x14ac:dyDescent="0.2">
      <c r="G43765" s="889"/>
    </row>
    <row r="43766" spans="7:7" ht="10.5" customHeight="1" x14ac:dyDescent="0.2">
      <c r="G43766" s="889"/>
    </row>
    <row r="43767" spans="7:7" ht="10.5" customHeight="1" x14ac:dyDescent="0.2">
      <c r="G43767" s="889"/>
    </row>
    <row r="43768" spans="7:7" ht="10.5" customHeight="1" x14ac:dyDescent="0.2">
      <c r="G43768" s="889"/>
    </row>
    <row r="43769" spans="7:7" ht="10.5" customHeight="1" x14ac:dyDescent="0.2">
      <c r="G43769" s="889"/>
    </row>
    <row r="43770" spans="7:7" ht="10.5" customHeight="1" x14ac:dyDescent="0.2">
      <c r="G43770" s="889"/>
    </row>
    <row r="43771" spans="7:7" ht="10.5" customHeight="1" x14ac:dyDescent="0.2">
      <c r="G43771" s="889"/>
    </row>
    <row r="43772" spans="7:7" ht="10.5" customHeight="1" x14ac:dyDescent="0.2">
      <c r="G43772" s="889"/>
    </row>
    <row r="43773" spans="7:7" ht="10.5" customHeight="1" x14ac:dyDescent="0.2">
      <c r="G43773" s="889"/>
    </row>
    <row r="43774" spans="7:7" ht="10.5" customHeight="1" x14ac:dyDescent="0.2">
      <c r="G43774" s="889"/>
    </row>
    <row r="43775" spans="7:7" ht="10.5" customHeight="1" x14ac:dyDescent="0.2">
      <c r="G43775" s="889"/>
    </row>
    <row r="43776" spans="7:7" ht="10.5" customHeight="1" x14ac:dyDescent="0.2">
      <c r="G43776" s="889"/>
    </row>
    <row r="43777" spans="7:7" ht="10.5" customHeight="1" x14ac:dyDescent="0.2">
      <c r="G43777" s="889"/>
    </row>
    <row r="43778" spans="7:7" ht="10.5" customHeight="1" x14ac:dyDescent="0.2">
      <c r="G43778" s="889"/>
    </row>
    <row r="43779" spans="7:7" ht="10.5" customHeight="1" x14ac:dyDescent="0.2">
      <c r="G43779" s="889"/>
    </row>
    <row r="43780" spans="7:7" ht="10.5" customHeight="1" x14ac:dyDescent="0.2">
      <c r="G43780" s="889"/>
    </row>
    <row r="43781" spans="7:7" ht="10.5" customHeight="1" x14ac:dyDescent="0.2">
      <c r="G43781" s="889"/>
    </row>
    <row r="43782" spans="7:7" ht="10.5" customHeight="1" x14ac:dyDescent="0.2">
      <c r="G43782" s="889"/>
    </row>
    <row r="43783" spans="7:7" ht="10.5" customHeight="1" x14ac:dyDescent="0.2">
      <c r="G43783" s="889"/>
    </row>
    <row r="43784" spans="7:7" ht="10.5" customHeight="1" x14ac:dyDescent="0.2">
      <c r="G43784" s="889"/>
    </row>
    <row r="43785" spans="7:7" ht="10.5" customHeight="1" x14ac:dyDescent="0.2">
      <c r="G43785" s="889"/>
    </row>
    <row r="43786" spans="7:7" ht="10.5" customHeight="1" x14ac:dyDescent="0.2">
      <c r="G43786" s="889"/>
    </row>
    <row r="43787" spans="7:7" ht="10.5" customHeight="1" x14ac:dyDescent="0.2">
      <c r="G43787" s="889"/>
    </row>
    <row r="43788" spans="7:7" ht="10.5" customHeight="1" x14ac:dyDescent="0.2">
      <c r="G43788" s="889"/>
    </row>
    <row r="43789" spans="7:7" ht="10.5" customHeight="1" x14ac:dyDescent="0.2">
      <c r="G43789" s="889"/>
    </row>
    <row r="43790" spans="7:7" ht="10.5" customHeight="1" x14ac:dyDescent="0.2">
      <c r="G43790" s="889"/>
    </row>
    <row r="43791" spans="7:7" ht="10.5" customHeight="1" x14ac:dyDescent="0.2">
      <c r="G43791" s="889"/>
    </row>
    <row r="43792" spans="7:7" ht="10.5" customHeight="1" x14ac:dyDescent="0.2">
      <c r="G43792" s="889"/>
    </row>
    <row r="43793" spans="7:7" ht="10.5" customHeight="1" x14ac:dyDescent="0.2">
      <c r="G43793" s="889"/>
    </row>
    <row r="43794" spans="7:7" ht="10.5" customHeight="1" x14ac:dyDescent="0.2">
      <c r="G43794" s="889"/>
    </row>
    <row r="43795" spans="7:7" ht="10.5" customHeight="1" x14ac:dyDescent="0.2">
      <c r="G43795" s="889"/>
    </row>
    <row r="43796" spans="7:7" ht="10.5" customHeight="1" x14ac:dyDescent="0.2">
      <c r="G43796" s="889"/>
    </row>
    <row r="43797" spans="7:7" ht="10.5" customHeight="1" x14ac:dyDescent="0.2">
      <c r="G43797" s="889"/>
    </row>
    <row r="43798" spans="7:7" ht="10.5" customHeight="1" x14ac:dyDescent="0.2">
      <c r="G43798" s="889"/>
    </row>
    <row r="43799" spans="7:7" ht="10.5" customHeight="1" x14ac:dyDescent="0.2">
      <c r="G43799" s="889"/>
    </row>
    <row r="43800" spans="7:7" ht="10.5" customHeight="1" x14ac:dyDescent="0.2">
      <c r="G43800" s="889"/>
    </row>
    <row r="43801" spans="7:7" ht="10.5" customHeight="1" x14ac:dyDescent="0.2">
      <c r="G43801" s="889"/>
    </row>
    <row r="43802" spans="7:7" ht="10.5" customHeight="1" x14ac:dyDescent="0.2">
      <c r="G43802" s="889"/>
    </row>
    <row r="43803" spans="7:7" ht="10.5" customHeight="1" x14ac:dyDescent="0.2">
      <c r="G43803" s="889"/>
    </row>
    <row r="43804" spans="7:7" ht="10.5" customHeight="1" x14ac:dyDescent="0.2">
      <c r="G43804" s="889"/>
    </row>
    <row r="43805" spans="7:7" ht="10.5" customHeight="1" x14ac:dyDescent="0.2">
      <c r="G43805" s="889"/>
    </row>
    <row r="43806" spans="7:7" ht="10.5" customHeight="1" x14ac:dyDescent="0.2">
      <c r="G43806" s="889"/>
    </row>
    <row r="43807" spans="7:7" ht="10.5" customHeight="1" x14ac:dyDescent="0.2">
      <c r="G43807" s="889"/>
    </row>
    <row r="43808" spans="7:7" ht="10.5" customHeight="1" x14ac:dyDescent="0.2">
      <c r="G43808" s="889"/>
    </row>
    <row r="43809" spans="7:7" ht="10.5" customHeight="1" x14ac:dyDescent="0.2">
      <c r="G43809" s="889"/>
    </row>
    <row r="43810" spans="7:7" ht="10.5" customHeight="1" x14ac:dyDescent="0.2">
      <c r="G43810" s="889"/>
    </row>
    <row r="43811" spans="7:7" ht="10.5" customHeight="1" x14ac:dyDescent="0.2">
      <c r="G43811" s="889"/>
    </row>
    <row r="43812" spans="7:7" ht="10.5" customHeight="1" x14ac:dyDescent="0.2">
      <c r="G43812" s="889"/>
    </row>
    <row r="43813" spans="7:7" ht="10.5" customHeight="1" x14ac:dyDescent="0.2">
      <c r="G43813" s="889"/>
    </row>
    <row r="43814" spans="7:7" ht="10.5" customHeight="1" x14ac:dyDescent="0.2">
      <c r="G43814" s="889"/>
    </row>
    <row r="43815" spans="7:7" ht="10.5" customHeight="1" x14ac:dyDescent="0.2">
      <c r="G43815" s="889"/>
    </row>
    <row r="43816" spans="7:7" ht="10.5" customHeight="1" x14ac:dyDescent="0.2">
      <c r="G43816" s="889"/>
    </row>
    <row r="43817" spans="7:7" ht="10.5" customHeight="1" x14ac:dyDescent="0.2">
      <c r="G43817" s="889"/>
    </row>
    <row r="43818" spans="7:7" ht="10.5" customHeight="1" x14ac:dyDescent="0.2">
      <c r="G43818" s="889"/>
    </row>
    <row r="43819" spans="7:7" ht="10.5" customHeight="1" x14ac:dyDescent="0.2">
      <c r="G43819" s="889"/>
    </row>
    <row r="43820" spans="7:7" ht="10.5" customHeight="1" x14ac:dyDescent="0.2">
      <c r="G43820" s="889"/>
    </row>
    <row r="43821" spans="7:7" ht="10.5" customHeight="1" x14ac:dyDescent="0.2">
      <c r="G43821" s="889"/>
    </row>
    <row r="43822" spans="7:7" ht="10.5" customHeight="1" x14ac:dyDescent="0.2">
      <c r="G43822" s="889"/>
    </row>
    <row r="43823" spans="7:7" ht="10.5" customHeight="1" x14ac:dyDescent="0.2">
      <c r="G43823" s="889"/>
    </row>
    <row r="43824" spans="7:7" ht="10.5" customHeight="1" x14ac:dyDescent="0.2">
      <c r="G43824" s="889"/>
    </row>
    <row r="43825" spans="7:7" ht="10.5" customHeight="1" x14ac:dyDescent="0.2">
      <c r="G43825" s="889"/>
    </row>
    <row r="43826" spans="7:7" ht="10.5" customHeight="1" x14ac:dyDescent="0.2">
      <c r="G43826" s="889"/>
    </row>
    <row r="43827" spans="7:7" ht="10.5" customHeight="1" x14ac:dyDescent="0.2">
      <c r="G43827" s="889"/>
    </row>
    <row r="43828" spans="7:7" ht="10.5" customHeight="1" x14ac:dyDescent="0.2">
      <c r="G43828" s="889"/>
    </row>
    <row r="43829" spans="7:7" ht="10.5" customHeight="1" x14ac:dyDescent="0.2">
      <c r="G43829" s="889"/>
    </row>
    <row r="43830" spans="7:7" ht="10.5" customHeight="1" x14ac:dyDescent="0.2">
      <c r="G43830" s="889"/>
    </row>
    <row r="43831" spans="7:7" ht="10.5" customHeight="1" x14ac:dyDescent="0.2">
      <c r="G43831" s="889"/>
    </row>
    <row r="43832" spans="7:7" ht="10.5" customHeight="1" x14ac:dyDescent="0.2">
      <c r="G43832" s="889"/>
    </row>
    <row r="43833" spans="7:7" ht="10.5" customHeight="1" x14ac:dyDescent="0.2">
      <c r="G43833" s="889"/>
    </row>
    <row r="43834" spans="7:7" ht="10.5" customHeight="1" x14ac:dyDescent="0.2">
      <c r="G43834" s="889"/>
    </row>
    <row r="43835" spans="7:7" ht="10.5" customHeight="1" x14ac:dyDescent="0.2">
      <c r="G43835" s="889"/>
    </row>
    <row r="43836" spans="7:7" ht="10.5" customHeight="1" x14ac:dyDescent="0.2">
      <c r="G43836" s="889"/>
    </row>
    <row r="43837" spans="7:7" ht="10.5" customHeight="1" x14ac:dyDescent="0.2">
      <c r="G43837" s="889"/>
    </row>
    <row r="43838" spans="7:7" ht="10.5" customHeight="1" x14ac:dyDescent="0.2">
      <c r="G43838" s="889"/>
    </row>
    <row r="43839" spans="7:7" ht="10.5" customHeight="1" x14ac:dyDescent="0.2">
      <c r="G43839" s="889"/>
    </row>
    <row r="43840" spans="7:7" ht="10.5" customHeight="1" x14ac:dyDescent="0.2">
      <c r="G43840" s="889"/>
    </row>
    <row r="43841" spans="7:7" ht="10.5" customHeight="1" x14ac:dyDescent="0.2">
      <c r="G43841" s="889"/>
    </row>
    <row r="43842" spans="7:7" ht="10.5" customHeight="1" x14ac:dyDescent="0.2">
      <c r="G43842" s="889"/>
    </row>
    <row r="43843" spans="7:7" ht="10.5" customHeight="1" x14ac:dyDescent="0.2">
      <c r="G43843" s="889"/>
    </row>
    <row r="43844" spans="7:7" ht="10.5" customHeight="1" x14ac:dyDescent="0.2">
      <c r="G43844" s="889"/>
    </row>
    <row r="43845" spans="7:7" ht="10.5" customHeight="1" x14ac:dyDescent="0.2">
      <c r="G43845" s="889"/>
    </row>
    <row r="43846" spans="7:7" ht="10.5" customHeight="1" x14ac:dyDescent="0.2">
      <c r="G43846" s="889"/>
    </row>
    <row r="43847" spans="7:7" ht="10.5" customHeight="1" x14ac:dyDescent="0.2">
      <c r="G43847" s="889"/>
    </row>
    <row r="43848" spans="7:7" ht="10.5" customHeight="1" x14ac:dyDescent="0.2">
      <c r="G43848" s="889"/>
    </row>
    <row r="43849" spans="7:7" ht="10.5" customHeight="1" x14ac:dyDescent="0.2">
      <c r="G43849" s="889"/>
    </row>
    <row r="43850" spans="7:7" ht="10.5" customHeight="1" x14ac:dyDescent="0.2">
      <c r="G43850" s="889"/>
    </row>
    <row r="43851" spans="7:7" ht="10.5" customHeight="1" x14ac:dyDescent="0.2">
      <c r="G43851" s="889"/>
    </row>
    <row r="43852" spans="7:7" ht="10.5" customHeight="1" x14ac:dyDescent="0.2">
      <c r="G43852" s="889"/>
    </row>
    <row r="43853" spans="7:7" ht="10.5" customHeight="1" x14ac:dyDescent="0.2">
      <c r="G43853" s="889"/>
    </row>
    <row r="43854" spans="7:7" ht="10.5" customHeight="1" x14ac:dyDescent="0.2">
      <c r="G43854" s="889"/>
    </row>
    <row r="43855" spans="7:7" ht="10.5" customHeight="1" x14ac:dyDescent="0.2">
      <c r="G43855" s="889"/>
    </row>
    <row r="43856" spans="7:7" ht="10.5" customHeight="1" x14ac:dyDescent="0.2">
      <c r="G43856" s="889"/>
    </row>
    <row r="43857" spans="7:7" ht="10.5" customHeight="1" x14ac:dyDescent="0.2">
      <c r="G43857" s="889"/>
    </row>
    <row r="43858" spans="7:7" ht="10.5" customHeight="1" x14ac:dyDescent="0.2">
      <c r="G43858" s="889"/>
    </row>
    <row r="43859" spans="7:7" ht="10.5" customHeight="1" x14ac:dyDescent="0.2">
      <c r="G43859" s="889"/>
    </row>
    <row r="43860" spans="7:7" ht="10.5" customHeight="1" x14ac:dyDescent="0.2">
      <c r="G43860" s="889"/>
    </row>
    <row r="43861" spans="7:7" ht="10.5" customHeight="1" x14ac:dyDescent="0.2">
      <c r="G43861" s="889"/>
    </row>
    <row r="43862" spans="7:7" ht="10.5" customHeight="1" x14ac:dyDescent="0.2">
      <c r="G43862" s="889"/>
    </row>
    <row r="43863" spans="7:7" ht="10.5" customHeight="1" x14ac:dyDescent="0.2">
      <c r="G43863" s="889"/>
    </row>
    <row r="43864" spans="7:7" ht="10.5" customHeight="1" x14ac:dyDescent="0.2">
      <c r="G43864" s="889"/>
    </row>
    <row r="43865" spans="7:7" ht="10.5" customHeight="1" x14ac:dyDescent="0.2">
      <c r="G43865" s="889"/>
    </row>
    <row r="43866" spans="7:7" ht="10.5" customHeight="1" x14ac:dyDescent="0.2">
      <c r="G43866" s="889"/>
    </row>
    <row r="43867" spans="7:7" ht="10.5" customHeight="1" x14ac:dyDescent="0.2">
      <c r="G43867" s="889"/>
    </row>
    <row r="43868" spans="7:7" ht="10.5" customHeight="1" x14ac:dyDescent="0.2">
      <c r="G43868" s="889"/>
    </row>
    <row r="43869" spans="7:7" ht="10.5" customHeight="1" x14ac:dyDescent="0.2">
      <c r="G43869" s="889"/>
    </row>
    <row r="43870" spans="7:7" ht="10.5" customHeight="1" x14ac:dyDescent="0.2">
      <c r="G43870" s="889"/>
    </row>
    <row r="43871" spans="7:7" ht="10.5" customHeight="1" x14ac:dyDescent="0.2">
      <c r="G43871" s="889"/>
    </row>
    <row r="43872" spans="7:7" ht="10.5" customHeight="1" x14ac:dyDescent="0.2">
      <c r="G43872" s="889"/>
    </row>
    <row r="43873" spans="7:7" ht="10.5" customHeight="1" x14ac:dyDescent="0.2">
      <c r="G43873" s="889"/>
    </row>
    <row r="43874" spans="7:7" ht="10.5" customHeight="1" x14ac:dyDescent="0.2">
      <c r="G43874" s="889"/>
    </row>
    <row r="43875" spans="7:7" ht="10.5" customHeight="1" x14ac:dyDescent="0.2">
      <c r="G43875" s="889"/>
    </row>
    <row r="43876" spans="7:7" ht="10.5" customHeight="1" x14ac:dyDescent="0.2">
      <c r="G43876" s="889"/>
    </row>
    <row r="43877" spans="7:7" ht="10.5" customHeight="1" x14ac:dyDescent="0.2">
      <c r="G43877" s="889"/>
    </row>
    <row r="43878" spans="7:7" ht="10.5" customHeight="1" x14ac:dyDescent="0.2">
      <c r="G43878" s="889"/>
    </row>
    <row r="43879" spans="7:7" ht="10.5" customHeight="1" x14ac:dyDescent="0.2">
      <c r="G43879" s="889"/>
    </row>
    <row r="43880" spans="7:7" ht="10.5" customHeight="1" x14ac:dyDescent="0.2">
      <c r="G43880" s="889"/>
    </row>
    <row r="43881" spans="7:7" ht="10.5" customHeight="1" x14ac:dyDescent="0.2">
      <c r="G43881" s="889"/>
    </row>
    <row r="43882" spans="7:7" ht="10.5" customHeight="1" x14ac:dyDescent="0.2">
      <c r="G43882" s="889"/>
    </row>
    <row r="43883" spans="7:7" ht="10.5" customHeight="1" x14ac:dyDescent="0.2">
      <c r="G43883" s="889"/>
    </row>
    <row r="43884" spans="7:7" ht="10.5" customHeight="1" x14ac:dyDescent="0.2">
      <c r="G43884" s="889"/>
    </row>
    <row r="43885" spans="7:7" ht="10.5" customHeight="1" x14ac:dyDescent="0.2">
      <c r="G43885" s="889"/>
    </row>
    <row r="43886" spans="7:7" ht="10.5" customHeight="1" x14ac:dyDescent="0.2">
      <c r="G43886" s="889"/>
    </row>
    <row r="43887" spans="7:7" ht="10.5" customHeight="1" x14ac:dyDescent="0.2">
      <c r="G43887" s="889"/>
    </row>
    <row r="43888" spans="7:7" ht="10.5" customHeight="1" x14ac:dyDescent="0.2">
      <c r="G43888" s="889"/>
    </row>
    <row r="43889" spans="7:7" ht="10.5" customHeight="1" x14ac:dyDescent="0.2">
      <c r="G43889" s="889"/>
    </row>
    <row r="43890" spans="7:7" ht="10.5" customHeight="1" x14ac:dyDescent="0.2">
      <c r="G43890" s="889"/>
    </row>
    <row r="43891" spans="7:7" ht="10.5" customHeight="1" x14ac:dyDescent="0.2">
      <c r="G43891" s="889"/>
    </row>
    <row r="43892" spans="7:7" ht="10.5" customHeight="1" x14ac:dyDescent="0.2">
      <c r="G43892" s="889"/>
    </row>
    <row r="43893" spans="7:7" ht="10.5" customHeight="1" x14ac:dyDescent="0.2">
      <c r="G43893" s="889"/>
    </row>
    <row r="43894" spans="7:7" ht="10.5" customHeight="1" x14ac:dyDescent="0.2">
      <c r="G43894" s="889"/>
    </row>
    <row r="43895" spans="7:7" ht="10.5" customHeight="1" x14ac:dyDescent="0.2">
      <c r="G43895" s="889"/>
    </row>
    <row r="43896" spans="7:7" ht="10.5" customHeight="1" x14ac:dyDescent="0.2">
      <c r="G43896" s="889"/>
    </row>
    <row r="43897" spans="7:7" ht="10.5" customHeight="1" x14ac:dyDescent="0.2">
      <c r="G43897" s="889"/>
    </row>
    <row r="43898" spans="7:7" ht="10.5" customHeight="1" x14ac:dyDescent="0.2">
      <c r="G43898" s="889"/>
    </row>
    <row r="43899" spans="7:7" ht="10.5" customHeight="1" x14ac:dyDescent="0.2">
      <c r="G43899" s="889"/>
    </row>
    <row r="43900" spans="7:7" ht="10.5" customHeight="1" x14ac:dyDescent="0.2">
      <c r="G43900" s="889"/>
    </row>
    <row r="43901" spans="7:7" ht="10.5" customHeight="1" x14ac:dyDescent="0.2">
      <c r="G43901" s="889"/>
    </row>
    <row r="43902" spans="7:7" ht="10.5" customHeight="1" x14ac:dyDescent="0.2">
      <c r="G43902" s="889"/>
    </row>
    <row r="43903" spans="7:7" ht="10.5" customHeight="1" x14ac:dyDescent="0.2">
      <c r="G43903" s="889"/>
    </row>
    <row r="43904" spans="7:7" ht="10.5" customHeight="1" x14ac:dyDescent="0.2">
      <c r="G43904" s="889"/>
    </row>
    <row r="43905" spans="7:7" ht="10.5" customHeight="1" x14ac:dyDescent="0.2">
      <c r="G43905" s="889"/>
    </row>
    <row r="43906" spans="7:7" ht="10.5" customHeight="1" x14ac:dyDescent="0.2">
      <c r="G43906" s="889"/>
    </row>
    <row r="43907" spans="7:7" ht="10.5" customHeight="1" x14ac:dyDescent="0.2">
      <c r="G43907" s="889"/>
    </row>
    <row r="43908" spans="7:7" ht="10.5" customHeight="1" x14ac:dyDescent="0.2">
      <c r="G43908" s="889"/>
    </row>
    <row r="43909" spans="7:7" ht="10.5" customHeight="1" x14ac:dyDescent="0.2">
      <c r="G43909" s="889"/>
    </row>
    <row r="43910" spans="7:7" ht="10.5" customHeight="1" x14ac:dyDescent="0.2">
      <c r="G43910" s="889"/>
    </row>
    <row r="43911" spans="7:7" ht="10.5" customHeight="1" x14ac:dyDescent="0.2">
      <c r="G43911" s="889"/>
    </row>
    <row r="43912" spans="7:7" ht="10.5" customHeight="1" x14ac:dyDescent="0.2">
      <c r="G43912" s="889"/>
    </row>
    <row r="43913" spans="7:7" ht="10.5" customHeight="1" x14ac:dyDescent="0.2">
      <c r="G43913" s="889"/>
    </row>
    <row r="43914" spans="7:7" ht="10.5" customHeight="1" x14ac:dyDescent="0.2">
      <c r="G43914" s="889"/>
    </row>
    <row r="43915" spans="7:7" ht="10.5" customHeight="1" x14ac:dyDescent="0.2">
      <c r="G43915" s="889"/>
    </row>
    <row r="43916" spans="7:7" ht="10.5" customHeight="1" x14ac:dyDescent="0.2">
      <c r="G43916" s="889"/>
    </row>
    <row r="43917" spans="7:7" ht="10.5" customHeight="1" x14ac:dyDescent="0.2">
      <c r="G43917" s="889"/>
    </row>
    <row r="43918" spans="7:7" ht="10.5" customHeight="1" x14ac:dyDescent="0.2">
      <c r="G43918" s="889"/>
    </row>
    <row r="43919" spans="7:7" ht="10.5" customHeight="1" x14ac:dyDescent="0.2">
      <c r="G43919" s="889"/>
    </row>
    <row r="43920" spans="7:7" ht="10.5" customHeight="1" x14ac:dyDescent="0.2">
      <c r="G43920" s="889"/>
    </row>
    <row r="43921" spans="7:7" ht="10.5" customHeight="1" x14ac:dyDescent="0.2">
      <c r="G43921" s="889"/>
    </row>
    <row r="43922" spans="7:7" ht="10.5" customHeight="1" x14ac:dyDescent="0.2">
      <c r="G43922" s="889"/>
    </row>
    <row r="43923" spans="7:7" ht="10.5" customHeight="1" x14ac:dyDescent="0.2">
      <c r="G43923" s="889"/>
    </row>
    <row r="43924" spans="7:7" ht="10.5" customHeight="1" x14ac:dyDescent="0.2">
      <c r="G43924" s="889"/>
    </row>
    <row r="43925" spans="7:7" ht="10.5" customHeight="1" x14ac:dyDescent="0.2">
      <c r="G43925" s="889"/>
    </row>
    <row r="43926" spans="7:7" ht="10.5" customHeight="1" x14ac:dyDescent="0.2">
      <c r="G43926" s="889"/>
    </row>
    <row r="43927" spans="7:7" ht="10.5" customHeight="1" x14ac:dyDescent="0.2">
      <c r="G43927" s="889"/>
    </row>
    <row r="43928" spans="7:7" ht="10.5" customHeight="1" x14ac:dyDescent="0.2">
      <c r="G43928" s="889"/>
    </row>
    <row r="43929" spans="7:7" ht="10.5" customHeight="1" x14ac:dyDescent="0.2">
      <c r="G43929" s="889"/>
    </row>
    <row r="43930" spans="7:7" ht="10.5" customHeight="1" x14ac:dyDescent="0.2">
      <c r="G43930" s="889"/>
    </row>
    <row r="43931" spans="7:7" ht="10.5" customHeight="1" x14ac:dyDescent="0.2">
      <c r="G43931" s="889"/>
    </row>
    <row r="43932" spans="7:7" ht="10.5" customHeight="1" x14ac:dyDescent="0.2">
      <c r="G43932" s="889"/>
    </row>
    <row r="43933" spans="7:7" ht="10.5" customHeight="1" x14ac:dyDescent="0.2">
      <c r="G43933" s="889"/>
    </row>
    <row r="43934" spans="7:7" ht="10.5" customHeight="1" x14ac:dyDescent="0.2">
      <c r="G43934" s="889"/>
    </row>
    <row r="43935" spans="7:7" ht="10.5" customHeight="1" x14ac:dyDescent="0.2">
      <c r="G43935" s="889"/>
    </row>
    <row r="43936" spans="7:7" ht="10.5" customHeight="1" x14ac:dyDescent="0.2">
      <c r="G43936" s="889"/>
    </row>
    <row r="43937" spans="7:7" ht="10.5" customHeight="1" x14ac:dyDescent="0.2">
      <c r="G43937" s="889"/>
    </row>
    <row r="43938" spans="7:7" ht="10.5" customHeight="1" x14ac:dyDescent="0.2">
      <c r="G43938" s="889"/>
    </row>
    <row r="43939" spans="7:7" ht="10.5" customHeight="1" x14ac:dyDescent="0.2">
      <c r="G43939" s="889"/>
    </row>
    <row r="43940" spans="7:7" ht="10.5" customHeight="1" x14ac:dyDescent="0.2">
      <c r="G43940" s="889"/>
    </row>
    <row r="43941" spans="7:7" ht="10.5" customHeight="1" x14ac:dyDescent="0.2">
      <c r="G43941" s="889"/>
    </row>
    <row r="43942" spans="7:7" ht="10.5" customHeight="1" x14ac:dyDescent="0.2">
      <c r="G43942" s="889"/>
    </row>
    <row r="43943" spans="7:7" ht="10.5" customHeight="1" x14ac:dyDescent="0.2">
      <c r="G43943" s="889"/>
    </row>
    <row r="43944" spans="7:7" ht="10.5" customHeight="1" x14ac:dyDescent="0.2">
      <c r="G43944" s="889"/>
    </row>
    <row r="43945" spans="7:7" ht="10.5" customHeight="1" x14ac:dyDescent="0.2">
      <c r="G43945" s="889"/>
    </row>
    <row r="43946" spans="7:7" ht="10.5" customHeight="1" x14ac:dyDescent="0.2">
      <c r="G43946" s="889"/>
    </row>
    <row r="43947" spans="7:7" ht="10.5" customHeight="1" x14ac:dyDescent="0.2">
      <c r="G43947" s="889"/>
    </row>
    <row r="43948" spans="7:7" ht="10.5" customHeight="1" x14ac:dyDescent="0.2">
      <c r="G43948" s="889"/>
    </row>
    <row r="43949" spans="7:7" ht="10.5" customHeight="1" x14ac:dyDescent="0.2">
      <c r="G43949" s="889"/>
    </row>
    <row r="43950" spans="7:7" ht="10.5" customHeight="1" x14ac:dyDescent="0.2">
      <c r="G43950" s="889"/>
    </row>
    <row r="43951" spans="7:7" ht="10.5" customHeight="1" x14ac:dyDescent="0.2">
      <c r="G43951" s="889"/>
    </row>
    <row r="43952" spans="7:7" ht="10.5" customHeight="1" x14ac:dyDescent="0.2">
      <c r="G43952" s="889"/>
    </row>
    <row r="43953" spans="7:7" ht="10.5" customHeight="1" x14ac:dyDescent="0.2">
      <c r="G43953" s="889"/>
    </row>
    <row r="43954" spans="7:7" ht="10.5" customHeight="1" x14ac:dyDescent="0.2">
      <c r="G43954" s="889"/>
    </row>
    <row r="43955" spans="7:7" ht="10.5" customHeight="1" x14ac:dyDescent="0.2">
      <c r="G43955" s="889"/>
    </row>
    <row r="43956" spans="7:7" ht="10.5" customHeight="1" x14ac:dyDescent="0.2">
      <c r="G43956" s="889"/>
    </row>
    <row r="43957" spans="7:7" ht="10.5" customHeight="1" x14ac:dyDescent="0.2">
      <c r="G43957" s="889"/>
    </row>
    <row r="43958" spans="7:7" ht="10.5" customHeight="1" x14ac:dyDescent="0.2">
      <c r="G43958" s="889"/>
    </row>
    <row r="43959" spans="7:7" ht="10.5" customHeight="1" x14ac:dyDescent="0.2">
      <c r="G43959" s="889"/>
    </row>
    <row r="43960" spans="7:7" ht="10.5" customHeight="1" x14ac:dyDescent="0.2">
      <c r="G43960" s="889"/>
    </row>
    <row r="43961" spans="7:7" ht="10.5" customHeight="1" x14ac:dyDescent="0.2">
      <c r="G43961" s="889"/>
    </row>
    <row r="43962" spans="7:7" ht="10.5" customHeight="1" x14ac:dyDescent="0.2">
      <c r="G43962" s="889"/>
    </row>
    <row r="43963" spans="7:7" ht="10.5" customHeight="1" x14ac:dyDescent="0.2">
      <c r="G43963" s="889"/>
    </row>
    <row r="43964" spans="7:7" ht="10.5" customHeight="1" x14ac:dyDescent="0.2">
      <c r="G43964" s="889"/>
    </row>
    <row r="43965" spans="7:7" ht="10.5" customHeight="1" x14ac:dyDescent="0.2">
      <c r="G43965" s="889"/>
    </row>
    <row r="43966" spans="7:7" ht="10.5" customHeight="1" x14ac:dyDescent="0.2">
      <c r="G43966" s="889"/>
    </row>
    <row r="43967" spans="7:7" ht="10.5" customHeight="1" x14ac:dyDescent="0.2">
      <c r="G43967" s="889"/>
    </row>
    <row r="43968" spans="7:7" ht="10.5" customHeight="1" x14ac:dyDescent="0.2">
      <c r="G43968" s="889"/>
    </row>
    <row r="43969" spans="7:7" ht="10.5" customHeight="1" x14ac:dyDescent="0.2">
      <c r="G43969" s="889"/>
    </row>
    <row r="43970" spans="7:7" ht="10.5" customHeight="1" x14ac:dyDescent="0.2">
      <c r="G43970" s="889"/>
    </row>
    <row r="43971" spans="7:7" ht="10.5" customHeight="1" x14ac:dyDescent="0.2">
      <c r="G43971" s="889"/>
    </row>
    <row r="43972" spans="7:7" ht="10.5" customHeight="1" x14ac:dyDescent="0.2">
      <c r="G43972" s="889"/>
    </row>
    <row r="43973" spans="7:7" ht="10.5" customHeight="1" x14ac:dyDescent="0.2">
      <c r="G43973" s="889"/>
    </row>
    <row r="43974" spans="7:7" ht="10.5" customHeight="1" x14ac:dyDescent="0.2">
      <c r="G43974" s="889"/>
    </row>
    <row r="43975" spans="7:7" ht="10.5" customHeight="1" x14ac:dyDescent="0.2">
      <c r="G43975" s="889"/>
    </row>
    <row r="43976" spans="7:7" ht="10.5" customHeight="1" x14ac:dyDescent="0.2">
      <c r="G43976" s="889"/>
    </row>
    <row r="43977" spans="7:7" ht="10.5" customHeight="1" x14ac:dyDescent="0.2">
      <c r="G43977" s="889"/>
    </row>
    <row r="43978" spans="7:7" ht="10.5" customHeight="1" x14ac:dyDescent="0.2">
      <c r="G43978" s="889"/>
    </row>
    <row r="43979" spans="7:7" ht="10.5" customHeight="1" x14ac:dyDescent="0.2">
      <c r="G43979" s="889"/>
    </row>
    <row r="43980" spans="7:7" ht="10.5" customHeight="1" x14ac:dyDescent="0.2">
      <c r="G43980" s="889"/>
    </row>
    <row r="43981" spans="7:7" ht="10.5" customHeight="1" x14ac:dyDescent="0.2">
      <c r="G43981" s="889"/>
    </row>
    <row r="43982" spans="7:7" ht="10.5" customHeight="1" x14ac:dyDescent="0.2">
      <c r="G43982" s="889"/>
    </row>
    <row r="43983" spans="7:7" ht="10.5" customHeight="1" x14ac:dyDescent="0.2">
      <c r="G43983" s="889"/>
    </row>
    <row r="43984" spans="7:7" ht="10.5" customHeight="1" x14ac:dyDescent="0.2">
      <c r="G43984" s="889"/>
    </row>
    <row r="43985" spans="7:7" ht="10.5" customHeight="1" x14ac:dyDescent="0.2">
      <c r="G43985" s="889"/>
    </row>
    <row r="43986" spans="7:7" ht="10.5" customHeight="1" x14ac:dyDescent="0.2">
      <c r="G43986" s="889"/>
    </row>
    <row r="43987" spans="7:7" ht="10.5" customHeight="1" x14ac:dyDescent="0.2">
      <c r="G43987" s="889"/>
    </row>
    <row r="43988" spans="7:7" ht="10.5" customHeight="1" x14ac:dyDescent="0.2">
      <c r="G43988" s="889"/>
    </row>
    <row r="43989" spans="7:7" ht="10.5" customHeight="1" x14ac:dyDescent="0.2">
      <c r="G43989" s="889"/>
    </row>
    <row r="43990" spans="7:7" ht="10.5" customHeight="1" x14ac:dyDescent="0.2">
      <c r="G43990" s="889"/>
    </row>
    <row r="43991" spans="7:7" ht="10.5" customHeight="1" x14ac:dyDescent="0.2">
      <c r="G43991" s="889"/>
    </row>
    <row r="43992" spans="7:7" ht="10.5" customHeight="1" x14ac:dyDescent="0.2">
      <c r="G43992" s="889"/>
    </row>
    <row r="43993" spans="7:7" ht="10.5" customHeight="1" x14ac:dyDescent="0.2">
      <c r="G43993" s="889"/>
    </row>
    <row r="43994" spans="7:7" ht="10.5" customHeight="1" x14ac:dyDescent="0.2">
      <c r="G43994" s="889"/>
    </row>
    <row r="43995" spans="7:7" ht="10.5" customHeight="1" x14ac:dyDescent="0.2">
      <c r="G43995" s="889"/>
    </row>
    <row r="43996" spans="7:7" ht="10.5" customHeight="1" x14ac:dyDescent="0.2">
      <c r="G43996" s="889"/>
    </row>
    <row r="43997" spans="7:7" ht="10.5" customHeight="1" x14ac:dyDescent="0.2">
      <c r="G43997" s="889"/>
    </row>
    <row r="43998" spans="7:7" ht="10.5" customHeight="1" x14ac:dyDescent="0.2">
      <c r="G43998" s="889"/>
    </row>
    <row r="43999" spans="7:7" ht="10.5" customHeight="1" x14ac:dyDescent="0.2">
      <c r="G43999" s="889"/>
    </row>
    <row r="44000" spans="7:7" ht="10.5" customHeight="1" x14ac:dyDescent="0.2">
      <c r="G44000" s="889"/>
    </row>
    <row r="44001" spans="7:7" ht="10.5" customHeight="1" x14ac:dyDescent="0.2">
      <c r="G44001" s="889"/>
    </row>
    <row r="44002" spans="7:7" ht="10.5" customHeight="1" x14ac:dyDescent="0.2">
      <c r="G44002" s="889"/>
    </row>
    <row r="44003" spans="7:7" ht="10.5" customHeight="1" x14ac:dyDescent="0.2">
      <c r="G44003" s="889"/>
    </row>
    <row r="44004" spans="7:7" ht="10.5" customHeight="1" x14ac:dyDescent="0.2">
      <c r="G44004" s="889"/>
    </row>
    <row r="44005" spans="7:7" ht="10.5" customHeight="1" x14ac:dyDescent="0.2">
      <c r="G44005" s="889"/>
    </row>
    <row r="44006" spans="7:7" ht="10.5" customHeight="1" x14ac:dyDescent="0.2">
      <c r="G44006" s="889"/>
    </row>
    <row r="44007" spans="7:7" ht="10.5" customHeight="1" x14ac:dyDescent="0.2">
      <c r="G44007" s="889"/>
    </row>
    <row r="44008" spans="7:7" ht="10.5" customHeight="1" x14ac:dyDescent="0.2">
      <c r="G44008" s="889"/>
    </row>
    <row r="44009" spans="7:7" ht="10.5" customHeight="1" x14ac:dyDescent="0.2">
      <c r="G44009" s="889"/>
    </row>
    <row r="44010" spans="7:7" ht="10.5" customHeight="1" x14ac:dyDescent="0.2">
      <c r="G44010" s="889"/>
    </row>
    <row r="44011" spans="7:7" ht="10.5" customHeight="1" x14ac:dyDescent="0.2">
      <c r="G44011" s="889"/>
    </row>
    <row r="44012" spans="7:7" ht="10.5" customHeight="1" x14ac:dyDescent="0.2">
      <c r="G44012" s="889"/>
    </row>
    <row r="44013" spans="7:7" ht="10.5" customHeight="1" x14ac:dyDescent="0.2">
      <c r="G44013" s="889"/>
    </row>
    <row r="44014" spans="7:7" ht="10.5" customHeight="1" x14ac:dyDescent="0.2">
      <c r="G44014" s="889"/>
    </row>
    <row r="44015" spans="7:7" ht="10.5" customHeight="1" x14ac:dyDescent="0.2">
      <c r="G44015" s="889"/>
    </row>
    <row r="44016" spans="7:7" ht="10.5" customHeight="1" x14ac:dyDescent="0.2">
      <c r="G44016" s="889"/>
    </row>
    <row r="44017" spans="7:7" ht="10.5" customHeight="1" x14ac:dyDescent="0.2">
      <c r="G44017" s="889"/>
    </row>
    <row r="44018" spans="7:7" ht="10.5" customHeight="1" x14ac:dyDescent="0.2">
      <c r="G44018" s="889"/>
    </row>
    <row r="44019" spans="7:7" ht="10.5" customHeight="1" x14ac:dyDescent="0.2">
      <c r="G44019" s="889"/>
    </row>
    <row r="44020" spans="7:7" ht="10.5" customHeight="1" x14ac:dyDescent="0.2">
      <c r="G44020" s="889"/>
    </row>
    <row r="44021" spans="7:7" ht="10.5" customHeight="1" x14ac:dyDescent="0.2">
      <c r="G44021" s="889"/>
    </row>
    <row r="44022" spans="7:7" ht="10.5" customHeight="1" x14ac:dyDescent="0.2">
      <c r="G44022" s="889"/>
    </row>
    <row r="44023" spans="7:7" ht="10.5" customHeight="1" x14ac:dyDescent="0.2">
      <c r="G44023" s="889"/>
    </row>
    <row r="44024" spans="7:7" ht="10.5" customHeight="1" x14ac:dyDescent="0.2">
      <c r="G44024" s="889"/>
    </row>
    <row r="44025" spans="7:7" ht="10.5" customHeight="1" x14ac:dyDescent="0.2">
      <c r="G44025" s="889"/>
    </row>
    <row r="44026" spans="7:7" ht="10.5" customHeight="1" x14ac:dyDescent="0.2">
      <c r="G44026" s="889"/>
    </row>
    <row r="44027" spans="7:7" ht="10.5" customHeight="1" x14ac:dyDescent="0.2">
      <c r="G44027" s="889"/>
    </row>
    <row r="44028" spans="7:7" ht="10.5" customHeight="1" x14ac:dyDescent="0.2">
      <c r="G44028" s="889"/>
    </row>
    <row r="44029" spans="7:7" ht="10.5" customHeight="1" x14ac:dyDescent="0.2">
      <c r="G44029" s="889"/>
    </row>
    <row r="44030" spans="7:7" ht="10.5" customHeight="1" x14ac:dyDescent="0.2">
      <c r="G44030" s="889"/>
    </row>
    <row r="44031" spans="7:7" ht="10.5" customHeight="1" x14ac:dyDescent="0.2">
      <c r="G44031" s="889"/>
    </row>
    <row r="44032" spans="7:7" ht="10.5" customHeight="1" x14ac:dyDescent="0.2">
      <c r="G44032" s="889"/>
    </row>
    <row r="44033" spans="7:7" ht="10.5" customHeight="1" x14ac:dyDescent="0.2">
      <c r="G44033" s="889"/>
    </row>
    <row r="44034" spans="7:7" ht="10.5" customHeight="1" x14ac:dyDescent="0.2">
      <c r="G44034" s="889"/>
    </row>
    <row r="44035" spans="7:7" ht="10.5" customHeight="1" x14ac:dyDescent="0.2">
      <c r="G44035" s="889"/>
    </row>
    <row r="44036" spans="7:7" ht="10.5" customHeight="1" x14ac:dyDescent="0.2">
      <c r="G44036" s="889"/>
    </row>
    <row r="44037" spans="7:7" ht="10.5" customHeight="1" x14ac:dyDescent="0.2">
      <c r="G44037" s="889"/>
    </row>
    <row r="44038" spans="7:7" ht="10.5" customHeight="1" x14ac:dyDescent="0.2">
      <c r="G44038" s="889"/>
    </row>
    <row r="44039" spans="7:7" ht="10.5" customHeight="1" x14ac:dyDescent="0.2">
      <c r="G44039" s="889"/>
    </row>
    <row r="44040" spans="7:7" ht="10.5" customHeight="1" x14ac:dyDescent="0.2">
      <c r="G44040" s="889"/>
    </row>
    <row r="44041" spans="7:7" ht="10.5" customHeight="1" x14ac:dyDescent="0.2">
      <c r="G44041" s="889"/>
    </row>
    <row r="44042" spans="7:7" ht="10.5" customHeight="1" x14ac:dyDescent="0.2">
      <c r="G44042" s="889"/>
    </row>
    <row r="44043" spans="7:7" ht="10.5" customHeight="1" x14ac:dyDescent="0.2">
      <c r="G44043" s="889"/>
    </row>
    <row r="44044" spans="7:7" ht="10.5" customHeight="1" x14ac:dyDescent="0.2">
      <c r="G44044" s="889"/>
    </row>
    <row r="44045" spans="7:7" ht="10.5" customHeight="1" x14ac:dyDescent="0.2">
      <c r="G44045" s="889"/>
    </row>
    <row r="44046" spans="7:7" ht="10.5" customHeight="1" x14ac:dyDescent="0.2">
      <c r="G44046" s="889"/>
    </row>
    <row r="44047" spans="7:7" ht="10.5" customHeight="1" x14ac:dyDescent="0.2">
      <c r="G44047" s="889"/>
    </row>
    <row r="44048" spans="7:7" ht="10.5" customHeight="1" x14ac:dyDescent="0.2">
      <c r="G44048" s="889"/>
    </row>
    <row r="44049" spans="7:7" ht="10.5" customHeight="1" x14ac:dyDescent="0.2">
      <c r="G44049" s="889"/>
    </row>
    <row r="44050" spans="7:7" ht="10.5" customHeight="1" x14ac:dyDescent="0.2">
      <c r="G44050" s="889"/>
    </row>
    <row r="44051" spans="7:7" ht="10.5" customHeight="1" x14ac:dyDescent="0.2">
      <c r="G44051" s="889"/>
    </row>
    <row r="44052" spans="7:7" ht="10.5" customHeight="1" x14ac:dyDescent="0.2">
      <c r="G44052" s="889"/>
    </row>
    <row r="44053" spans="7:7" ht="10.5" customHeight="1" x14ac:dyDescent="0.2">
      <c r="G44053" s="889"/>
    </row>
    <row r="44054" spans="7:7" ht="10.5" customHeight="1" x14ac:dyDescent="0.2">
      <c r="G44054" s="889"/>
    </row>
    <row r="44055" spans="7:7" ht="10.5" customHeight="1" x14ac:dyDescent="0.2">
      <c r="G44055" s="889"/>
    </row>
    <row r="44056" spans="7:7" ht="10.5" customHeight="1" x14ac:dyDescent="0.2">
      <c r="G44056" s="889"/>
    </row>
    <row r="44057" spans="7:7" ht="10.5" customHeight="1" x14ac:dyDescent="0.2">
      <c r="G44057" s="889"/>
    </row>
    <row r="44058" spans="7:7" ht="10.5" customHeight="1" x14ac:dyDescent="0.2">
      <c r="G44058" s="889"/>
    </row>
    <row r="44059" spans="7:7" ht="10.5" customHeight="1" x14ac:dyDescent="0.2">
      <c r="G44059" s="889"/>
    </row>
    <row r="44060" spans="7:7" ht="10.5" customHeight="1" x14ac:dyDescent="0.2">
      <c r="G44060" s="889"/>
    </row>
    <row r="44061" spans="7:7" ht="10.5" customHeight="1" x14ac:dyDescent="0.2">
      <c r="G44061" s="889"/>
    </row>
    <row r="44062" spans="7:7" ht="10.5" customHeight="1" x14ac:dyDescent="0.2">
      <c r="G44062" s="889"/>
    </row>
    <row r="44063" spans="7:7" ht="10.5" customHeight="1" x14ac:dyDescent="0.2">
      <c r="G44063" s="889"/>
    </row>
    <row r="44064" spans="7:7" ht="10.5" customHeight="1" x14ac:dyDescent="0.2">
      <c r="G44064" s="889"/>
    </row>
    <row r="44065" spans="7:7" ht="10.5" customHeight="1" x14ac:dyDescent="0.2">
      <c r="G44065" s="889"/>
    </row>
    <row r="44066" spans="7:7" ht="10.5" customHeight="1" x14ac:dyDescent="0.2">
      <c r="G44066" s="889"/>
    </row>
    <row r="44067" spans="7:7" ht="10.5" customHeight="1" x14ac:dyDescent="0.2">
      <c r="G44067" s="889"/>
    </row>
    <row r="44068" spans="7:7" ht="10.5" customHeight="1" x14ac:dyDescent="0.2">
      <c r="G44068" s="889"/>
    </row>
    <row r="44069" spans="7:7" ht="10.5" customHeight="1" x14ac:dyDescent="0.2">
      <c r="G44069" s="889"/>
    </row>
    <row r="44070" spans="7:7" ht="10.5" customHeight="1" x14ac:dyDescent="0.2">
      <c r="G44070" s="889"/>
    </row>
    <row r="44071" spans="7:7" ht="10.5" customHeight="1" x14ac:dyDescent="0.2">
      <c r="G44071" s="889"/>
    </row>
    <row r="44072" spans="7:7" ht="10.5" customHeight="1" x14ac:dyDescent="0.2">
      <c r="G44072" s="889"/>
    </row>
    <row r="44073" spans="7:7" ht="10.5" customHeight="1" x14ac:dyDescent="0.2">
      <c r="G44073" s="889"/>
    </row>
    <row r="44074" spans="7:7" ht="10.5" customHeight="1" x14ac:dyDescent="0.2">
      <c r="G44074" s="889"/>
    </row>
    <row r="44075" spans="7:7" ht="10.5" customHeight="1" x14ac:dyDescent="0.2">
      <c r="G44075" s="889"/>
    </row>
    <row r="44076" spans="7:7" ht="10.5" customHeight="1" x14ac:dyDescent="0.2">
      <c r="G44076" s="889"/>
    </row>
    <row r="44077" spans="7:7" ht="10.5" customHeight="1" x14ac:dyDescent="0.2">
      <c r="G44077" s="889"/>
    </row>
    <row r="44078" spans="7:7" ht="10.5" customHeight="1" x14ac:dyDescent="0.2">
      <c r="G44078" s="889"/>
    </row>
    <row r="44079" spans="7:7" ht="10.5" customHeight="1" x14ac:dyDescent="0.2">
      <c r="G44079" s="889"/>
    </row>
    <row r="44080" spans="7:7" ht="10.5" customHeight="1" x14ac:dyDescent="0.2">
      <c r="G44080" s="889"/>
    </row>
    <row r="44081" spans="7:7" ht="10.5" customHeight="1" x14ac:dyDescent="0.2">
      <c r="G44081" s="889"/>
    </row>
    <row r="44082" spans="7:7" ht="10.5" customHeight="1" x14ac:dyDescent="0.2">
      <c r="G44082" s="889"/>
    </row>
    <row r="44083" spans="7:7" ht="10.5" customHeight="1" x14ac:dyDescent="0.2">
      <c r="G44083" s="889"/>
    </row>
    <row r="44084" spans="7:7" ht="10.5" customHeight="1" x14ac:dyDescent="0.2">
      <c r="G44084" s="889"/>
    </row>
    <row r="44085" spans="7:7" ht="10.5" customHeight="1" x14ac:dyDescent="0.2">
      <c r="G44085" s="889"/>
    </row>
    <row r="44086" spans="7:7" ht="10.5" customHeight="1" x14ac:dyDescent="0.2">
      <c r="G44086" s="889"/>
    </row>
    <row r="44087" spans="7:7" ht="10.5" customHeight="1" x14ac:dyDescent="0.2">
      <c r="G44087" s="889"/>
    </row>
    <row r="44088" spans="7:7" ht="10.5" customHeight="1" x14ac:dyDescent="0.2">
      <c r="G44088" s="889"/>
    </row>
    <row r="44089" spans="7:7" ht="10.5" customHeight="1" x14ac:dyDescent="0.2">
      <c r="G44089" s="889"/>
    </row>
    <row r="44090" spans="7:7" ht="10.5" customHeight="1" x14ac:dyDescent="0.2">
      <c r="G44090" s="889"/>
    </row>
    <row r="44091" spans="7:7" ht="10.5" customHeight="1" x14ac:dyDescent="0.2">
      <c r="G44091" s="889"/>
    </row>
    <row r="44092" spans="7:7" ht="10.5" customHeight="1" x14ac:dyDescent="0.2">
      <c r="G44092" s="889"/>
    </row>
    <row r="44093" spans="7:7" ht="10.5" customHeight="1" x14ac:dyDescent="0.2">
      <c r="G44093" s="889"/>
    </row>
    <row r="44094" spans="7:7" ht="10.5" customHeight="1" x14ac:dyDescent="0.2">
      <c r="G44094" s="889"/>
    </row>
    <row r="44095" spans="7:7" ht="10.5" customHeight="1" x14ac:dyDescent="0.2">
      <c r="G44095" s="889"/>
    </row>
    <row r="44096" spans="7:7" ht="10.5" customHeight="1" x14ac:dyDescent="0.2">
      <c r="G44096" s="889"/>
    </row>
    <row r="44097" spans="7:7" ht="10.5" customHeight="1" x14ac:dyDescent="0.2">
      <c r="G44097" s="889"/>
    </row>
    <row r="44098" spans="7:7" ht="10.5" customHeight="1" x14ac:dyDescent="0.2">
      <c r="G44098" s="889"/>
    </row>
    <row r="44099" spans="7:7" ht="10.5" customHeight="1" x14ac:dyDescent="0.2">
      <c r="G44099" s="889"/>
    </row>
    <row r="44100" spans="7:7" ht="10.5" customHeight="1" x14ac:dyDescent="0.2">
      <c r="G44100" s="889"/>
    </row>
    <row r="44101" spans="7:7" ht="10.5" customHeight="1" x14ac:dyDescent="0.2">
      <c r="G44101" s="889"/>
    </row>
    <row r="44102" spans="7:7" ht="10.5" customHeight="1" x14ac:dyDescent="0.2">
      <c r="G44102" s="889"/>
    </row>
    <row r="44103" spans="7:7" ht="10.5" customHeight="1" x14ac:dyDescent="0.2">
      <c r="G44103" s="889"/>
    </row>
    <row r="44104" spans="7:7" ht="10.5" customHeight="1" x14ac:dyDescent="0.2">
      <c r="G44104" s="889"/>
    </row>
    <row r="44105" spans="7:7" ht="10.5" customHeight="1" x14ac:dyDescent="0.2">
      <c r="G44105" s="889"/>
    </row>
    <row r="44106" spans="7:7" ht="10.5" customHeight="1" x14ac:dyDescent="0.2">
      <c r="G44106" s="889"/>
    </row>
    <row r="44107" spans="7:7" ht="10.5" customHeight="1" x14ac:dyDescent="0.2">
      <c r="G44107" s="889"/>
    </row>
    <row r="44108" spans="7:7" ht="10.5" customHeight="1" x14ac:dyDescent="0.2">
      <c r="G44108" s="889"/>
    </row>
    <row r="44109" spans="7:7" ht="10.5" customHeight="1" x14ac:dyDescent="0.2">
      <c r="G44109" s="889"/>
    </row>
    <row r="44110" spans="7:7" ht="10.5" customHeight="1" x14ac:dyDescent="0.2">
      <c r="G44110" s="889"/>
    </row>
    <row r="44111" spans="7:7" ht="10.5" customHeight="1" x14ac:dyDescent="0.2">
      <c r="G44111" s="889"/>
    </row>
    <row r="44112" spans="7:7" ht="10.5" customHeight="1" x14ac:dyDescent="0.2">
      <c r="G44112" s="889"/>
    </row>
    <row r="44113" spans="7:7" ht="10.5" customHeight="1" x14ac:dyDescent="0.2">
      <c r="G44113" s="889"/>
    </row>
    <row r="44114" spans="7:7" ht="10.5" customHeight="1" x14ac:dyDescent="0.2">
      <c r="G44114" s="889"/>
    </row>
    <row r="44115" spans="7:7" ht="10.5" customHeight="1" x14ac:dyDescent="0.2">
      <c r="G44115" s="889"/>
    </row>
    <row r="44116" spans="7:7" ht="10.5" customHeight="1" x14ac:dyDescent="0.2">
      <c r="G44116" s="889"/>
    </row>
    <row r="44117" spans="7:7" ht="10.5" customHeight="1" x14ac:dyDescent="0.2">
      <c r="G44117" s="889"/>
    </row>
    <row r="44118" spans="7:7" ht="10.5" customHeight="1" x14ac:dyDescent="0.2">
      <c r="G44118" s="889"/>
    </row>
    <row r="44119" spans="7:7" ht="10.5" customHeight="1" x14ac:dyDescent="0.2">
      <c r="G44119" s="889"/>
    </row>
    <row r="44120" spans="7:7" ht="10.5" customHeight="1" x14ac:dyDescent="0.2">
      <c r="G44120" s="889"/>
    </row>
    <row r="44121" spans="7:7" ht="10.5" customHeight="1" x14ac:dyDescent="0.2">
      <c r="G44121" s="889"/>
    </row>
    <row r="44122" spans="7:7" ht="10.5" customHeight="1" x14ac:dyDescent="0.2">
      <c r="G44122" s="889"/>
    </row>
    <row r="44123" spans="7:7" ht="10.5" customHeight="1" x14ac:dyDescent="0.2">
      <c r="G44123" s="889"/>
    </row>
    <row r="44124" spans="7:7" ht="10.5" customHeight="1" x14ac:dyDescent="0.2">
      <c r="G44124" s="889"/>
    </row>
    <row r="44125" spans="7:7" ht="10.5" customHeight="1" x14ac:dyDescent="0.2">
      <c r="G44125" s="889"/>
    </row>
    <row r="44126" spans="7:7" ht="10.5" customHeight="1" x14ac:dyDescent="0.2">
      <c r="G44126" s="889"/>
    </row>
    <row r="44127" spans="7:7" ht="10.5" customHeight="1" x14ac:dyDescent="0.2">
      <c r="G44127" s="889"/>
    </row>
    <row r="44128" spans="7:7" ht="10.5" customHeight="1" x14ac:dyDescent="0.2">
      <c r="G44128" s="889"/>
    </row>
    <row r="44129" spans="7:7" ht="10.5" customHeight="1" x14ac:dyDescent="0.2">
      <c r="G44129" s="889"/>
    </row>
    <row r="44130" spans="7:7" ht="10.5" customHeight="1" x14ac:dyDescent="0.2">
      <c r="G44130" s="889"/>
    </row>
    <row r="44131" spans="7:7" ht="10.5" customHeight="1" x14ac:dyDescent="0.2">
      <c r="G44131" s="889"/>
    </row>
    <row r="44132" spans="7:7" ht="10.5" customHeight="1" x14ac:dyDescent="0.2">
      <c r="G44132" s="889"/>
    </row>
    <row r="44133" spans="7:7" ht="10.5" customHeight="1" x14ac:dyDescent="0.2">
      <c r="G44133" s="889"/>
    </row>
    <row r="44134" spans="7:7" ht="10.5" customHeight="1" x14ac:dyDescent="0.2">
      <c r="G44134" s="889"/>
    </row>
    <row r="44135" spans="7:7" ht="10.5" customHeight="1" x14ac:dyDescent="0.2">
      <c r="G44135" s="889"/>
    </row>
    <row r="44136" spans="7:7" ht="10.5" customHeight="1" x14ac:dyDescent="0.2">
      <c r="G44136" s="889"/>
    </row>
    <row r="44137" spans="7:7" ht="10.5" customHeight="1" x14ac:dyDescent="0.2">
      <c r="G44137" s="889"/>
    </row>
    <row r="44138" spans="7:7" ht="10.5" customHeight="1" x14ac:dyDescent="0.2">
      <c r="G44138" s="889"/>
    </row>
    <row r="44139" spans="7:7" ht="10.5" customHeight="1" x14ac:dyDescent="0.2">
      <c r="G44139" s="889"/>
    </row>
    <row r="44140" spans="7:7" ht="10.5" customHeight="1" x14ac:dyDescent="0.2">
      <c r="G44140" s="889"/>
    </row>
    <row r="44141" spans="7:7" ht="10.5" customHeight="1" x14ac:dyDescent="0.2">
      <c r="G44141" s="889"/>
    </row>
    <row r="44142" spans="7:7" ht="10.5" customHeight="1" x14ac:dyDescent="0.2">
      <c r="G44142" s="889"/>
    </row>
    <row r="44143" spans="7:7" ht="10.5" customHeight="1" x14ac:dyDescent="0.2">
      <c r="G44143" s="889"/>
    </row>
    <row r="44144" spans="7:7" ht="10.5" customHeight="1" x14ac:dyDescent="0.2">
      <c r="G44144" s="889"/>
    </row>
    <row r="44145" spans="7:7" ht="10.5" customHeight="1" x14ac:dyDescent="0.2">
      <c r="G44145" s="889"/>
    </row>
    <row r="44146" spans="7:7" ht="10.5" customHeight="1" x14ac:dyDescent="0.2">
      <c r="G44146" s="889"/>
    </row>
    <row r="44147" spans="7:7" ht="10.5" customHeight="1" x14ac:dyDescent="0.2">
      <c r="G44147" s="889"/>
    </row>
    <row r="44148" spans="7:7" ht="10.5" customHeight="1" x14ac:dyDescent="0.2">
      <c r="G44148" s="889"/>
    </row>
    <row r="44149" spans="7:7" ht="10.5" customHeight="1" x14ac:dyDescent="0.2">
      <c r="G44149" s="889"/>
    </row>
    <row r="44150" spans="7:7" ht="10.5" customHeight="1" x14ac:dyDescent="0.2">
      <c r="G44150" s="889"/>
    </row>
    <row r="44151" spans="7:7" ht="10.5" customHeight="1" x14ac:dyDescent="0.2">
      <c r="G44151" s="889"/>
    </row>
    <row r="44152" spans="7:7" ht="10.5" customHeight="1" x14ac:dyDescent="0.2">
      <c r="G44152" s="889"/>
    </row>
    <row r="44153" spans="7:7" ht="10.5" customHeight="1" x14ac:dyDescent="0.2">
      <c r="G44153" s="889"/>
    </row>
    <row r="44154" spans="7:7" ht="10.5" customHeight="1" x14ac:dyDescent="0.2">
      <c r="G44154" s="889"/>
    </row>
    <row r="44155" spans="7:7" ht="10.5" customHeight="1" x14ac:dyDescent="0.2">
      <c r="G44155" s="889"/>
    </row>
    <row r="44156" spans="7:7" ht="10.5" customHeight="1" x14ac:dyDescent="0.2">
      <c r="G44156" s="889"/>
    </row>
    <row r="44157" spans="7:7" ht="10.5" customHeight="1" x14ac:dyDescent="0.2">
      <c r="G44157" s="889"/>
    </row>
    <row r="44158" spans="7:7" ht="10.5" customHeight="1" x14ac:dyDescent="0.2">
      <c r="G44158" s="889"/>
    </row>
    <row r="44159" spans="7:7" ht="10.5" customHeight="1" x14ac:dyDescent="0.2">
      <c r="G44159" s="889"/>
    </row>
    <row r="44160" spans="7:7" ht="10.5" customHeight="1" x14ac:dyDescent="0.2">
      <c r="G44160" s="889"/>
    </row>
    <row r="44161" spans="7:7" ht="10.5" customHeight="1" x14ac:dyDescent="0.2">
      <c r="G44161" s="889"/>
    </row>
    <row r="44162" spans="7:7" ht="10.5" customHeight="1" x14ac:dyDescent="0.2">
      <c r="G44162" s="889"/>
    </row>
    <row r="44163" spans="7:7" ht="10.5" customHeight="1" x14ac:dyDescent="0.2">
      <c r="G44163" s="889"/>
    </row>
    <row r="44164" spans="7:7" ht="10.5" customHeight="1" x14ac:dyDescent="0.2">
      <c r="G44164" s="889"/>
    </row>
    <row r="44165" spans="7:7" ht="10.5" customHeight="1" x14ac:dyDescent="0.2">
      <c r="G44165" s="889"/>
    </row>
    <row r="44166" spans="7:7" ht="10.5" customHeight="1" x14ac:dyDescent="0.2">
      <c r="G44166" s="889"/>
    </row>
    <row r="44167" spans="7:7" ht="10.5" customHeight="1" x14ac:dyDescent="0.2">
      <c r="G44167" s="889"/>
    </row>
    <row r="44168" spans="7:7" ht="10.5" customHeight="1" x14ac:dyDescent="0.2">
      <c r="G44168" s="889"/>
    </row>
    <row r="44169" spans="7:7" ht="10.5" customHeight="1" x14ac:dyDescent="0.2">
      <c r="G44169" s="889"/>
    </row>
    <row r="44170" spans="7:7" ht="10.5" customHeight="1" x14ac:dyDescent="0.2">
      <c r="G44170" s="889"/>
    </row>
    <row r="44171" spans="7:7" ht="10.5" customHeight="1" x14ac:dyDescent="0.2">
      <c r="G44171" s="889"/>
    </row>
    <row r="44172" spans="7:7" ht="10.5" customHeight="1" x14ac:dyDescent="0.2">
      <c r="G44172" s="889"/>
    </row>
    <row r="44173" spans="7:7" ht="10.5" customHeight="1" x14ac:dyDescent="0.2">
      <c r="G44173" s="889"/>
    </row>
    <row r="44174" spans="7:7" ht="10.5" customHeight="1" x14ac:dyDescent="0.2">
      <c r="G44174" s="889"/>
    </row>
    <row r="44175" spans="7:7" ht="10.5" customHeight="1" x14ac:dyDescent="0.2">
      <c r="G44175" s="889"/>
    </row>
    <row r="44176" spans="7:7" ht="10.5" customHeight="1" x14ac:dyDescent="0.2">
      <c r="G44176" s="889"/>
    </row>
    <row r="44177" spans="7:7" ht="10.5" customHeight="1" x14ac:dyDescent="0.2">
      <c r="G44177" s="889"/>
    </row>
    <row r="44178" spans="7:7" ht="10.5" customHeight="1" x14ac:dyDescent="0.2">
      <c r="G44178" s="889"/>
    </row>
    <row r="44179" spans="7:7" ht="10.5" customHeight="1" x14ac:dyDescent="0.2">
      <c r="G44179" s="889"/>
    </row>
    <row r="44180" spans="7:7" ht="10.5" customHeight="1" x14ac:dyDescent="0.2">
      <c r="G44180" s="889"/>
    </row>
    <row r="44181" spans="7:7" ht="10.5" customHeight="1" x14ac:dyDescent="0.2">
      <c r="G44181" s="889"/>
    </row>
    <row r="44182" spans="7:7" ht="10.5" customHeight="1" x14ac:dyDescent="0.2">
      <c r="G44182" s="889"/>
    </row>
    <row r="44183" spans="7:7" ht="10.5" customHeight="1" x14ac:dyDescent="0.2">
      <c r="G44183" s="889"/>
    </row>
    <row r="44184" spans="7:7" ht="10.5" customHeight="1" x14ac:dyDescent="0.2">
      <c r="G44184" s="889"/>
    </row>
    <row r="44185" spans="7:7" ht="10.5" customHeight="1" x14ac:dyDescent="0.2">
      <c r="G44185" s="889"/>
    </row>
    <row r="44186" spans="7:7" ht="10.5" customHeight="1" x14ac:dyDescent="0.2">
      <c r="G44186" s="889"/>
    </row>
    <row r="44187" spans="7:7" ht="10.5" customHeight="1" x14ac:dyDescent="0.2">
      <c r="G44187" s="889"/>
    </row>
    <row r="44188" spans="7:7" ht="10.5" customHeight="1" x14ac:dyDescent="0.2">
      <c r="G44188" s="889"/>
    </row>
    <row r="44189" spans="7:7" ht="10.5" customHeight="1" x14ac:dyDescent="0.2">
      <c r="G44189" s="889"/>
    </row>
    <row r="44190" spans="7:7" ht="10.5" customHeight="1" x14ac:dyDescent="0.2">
      <c r="G44190" s="889"/>
    </row>
    <row r="44191" spans="7:7" ht="10.5" customHeight="1" x14ac:dyDescent="0.2">
      <c r="G44191" s="889"/>
    </row>
    <row r="44192" spans="7:7" ht="10.5" customHeight="1" x14ac:dyDescent="0.2">
      <c r="G44192" s="889"/>
    </row>
    <row r="44193" spans="7:7" ht="10.5" customHeight="1" x14ac:dyDescent="0.2">
      <c r="G44193" s="889"/>
    </row>
    <row r="44194" spans="7:7" ht="10.5" customHeight="1" x14ac:dyDescent="0.2">
      <c r="G44194" s="889"/>
    </row>
    <row r="44195" spans="7:7" ht="10.5" customHeight="1" x14ac:dyDescent="0.2">
      <c r="G44195" s="889"/>
    </row>
    <row r="44196" spans="7:7" ht="10.5" customHeight="1" x14ac:dyDescent="0.2">
      <c r="G44196" s="889"/>
    </row>
    <row r="44197" spans="7:7" ht="10.5" customHeight="1" x14ac:dyDescent="0.2">
      <c r="G44197" s="889"/>
    </row>
    <row r="44198" spans="7:7" ht="10.5" customHeight="1" x14ac:dyDescent="0.2">
      <c r="G44198" s="889"/>
    </row>
    <row r="44199" spans="7:7" ht="10.5" customHeight="1" x14ac:dyDescent="0.2">
      <c r="G44199" s="889"/>
    </row>
    <row r="44200" spans="7:7" ht="10.5" customHeight="1" x14ac:dyDescent="0.2">
      <c r="G44200" s="889"/>
    </row>
    <row r="44201" spans="7:7" ht="10.5" customHeight="1" x14ac:dyDescent="0.2">
      <c r="G44201" s="889"/>
    </row>
    <row r="44202" spans="7:7" ht="10.5" customHeight="1" x14ac:dyDescent="0.2">
      <c r="G44202" s="889"/>
    </row>
    <row r="44203" spans="7:7" ht="10.5" customHeight="1" x14ac:dyDescent="0.2">
      <c r="G44203" s="889"/>
    </row>
    <row r="44204" spans="7:7" ht="10.5" customHeight="1" x14ac:dyDescent="0.2">
      <c r="G44204" s="889"/>
    </row>
    <row r="44205" spans="7:7" ht="10.5" customHeight="1" x14ac:dyDescent="0.2">
      <c r="G44205" s="889"/>
    </row>
    <row r="44206" spans="7:7" ht="10.5" customHeight="1" x14ac:dyDescent="0.2">
      <c r="G44206" s="889"/>
    </row>
    <row r="44207" spans="7:7" ht="10.5" customHeight="1" x14ac:dyDescent="0.2">
      <c r="G44207" s="889"/>
    </row>
    <row r="44208" spans="7:7" ht="10.5" customHeight="1" x14ac:dyDescent="0.2">
      <c r="G44208" s="889"/>
    </row>
    <row r="44209" spans="7:7" ht="10.5" customHeight="1" x14ac:dyDescent="0.2">
      <c r="G44209" s="889"/>
    </row>
    <row r="44210" spans="7:7" ht="10.5" customHeight="1" x14ac:dyDescent="0.2">
      <c r="G44210" s="889"/>
    </row>
    <row r="44211" spans="7:7" ht="10.5" customHeight="1" x14ac:dyDescent="0.2">
      <c r="G44211" s="889"/>
    </row>
    <row r="44212" spans="7:7" ht="10.5" customHeight="1" x14ac:dyDescent="0.2">
      <c r="G44212" s="889"/>
    </row>
    <row r="44213" spans="7:7" ht="10.5" customHeight="1" x14ac:dyDescent="0.2">
      <c r="G44213" s="889"/>
    </row>
    <row r="44214" spans="7:7" ht="10.5" customHeight="1" x14ac:dyDescent="0.2">
      <c r="G44214" s="889"/>
    </row>
    <row r="44215" spans="7:7" ht="10.5" customHeight="1" x14ac:dyDescent="0.2">
      <c r="G44215" s="889"/>
    </row>
    <row r="44216" spans="7:7" ht="10.5" customHeight="1" x14ac:dyDescent="0.2">
      <c r="G44216" s="889"/>
    </row>
    <row r="44217" spans="7:7" ht="10.5" customHeight="1" x14ac:dyDescent="0.2">
      <c r="G44217" s="889"/>
    </row>
    <row r="44218" spans="7:7" ht="10.5" customHeight="1" x14ac:dyDescent="0.2">
      <c r="G44218" s="889"/>
    </row>
    <row r="44219" spans="7:7" ht="10.5" customHeight="1" x14ac:dyDescent="0.2">
      <c r="G44219" s="889"/>
    </row>
    <row r="44220" spans="7:7" ht="10.5" customHeight="1" x14ac:dyDescent="0.2">
      <c r="G44220" s="889"/>
    </row>
    <row r="44221" spans="7:7" ht="10.5" customHeight="1" x14ac:dyDescent="0.2">
      <c r="G44221" s="889"/>
    </row>
    <row r="44222" spans="7:7" ht="10.5" customHeight="1" x14ac:dyDescent="0.2">
      <c r="G44222" s="889"/>
    </row>
    <row r="44223" spans="7:7" ht="10.5" customHeight="1" x14ac:dyDescent="0.2">
      <c r="G44223" s="889"/>
    </row>
    <row r="44224" spans="7:7" ht="10.5" customHeight="1" x14ac:dyDescent="0.2">
      <c r="G44224" s="889"/>
    </row>
    <row r="44225" spans="7:7" ht="10.5" customHeight="1" x14ac:dyDescent="0.2">
      <c r="G44225" s="889"/>
    </row>
    <row r="44226" spans="7:7" ht="10.5" customHeight="1" x14ac:dyDescent="0.2">
      <c r="G44226" s="889"/>
    </row>
    <row r="44227" spans="7:7" ht="10.5" customHeight="1" x14ac:dyDescent="0.2">
      <c r="G44227" s="889"/>
    </row>
    <row r="44228" spans="7:7" ht="10.5" customHeight="1" x14ac:dyDescent="0.2">
      <c r="G44228" s="889"/>
    </row>
    <row r="44229" spans="7:7" ht="10.5" customHeight="1" x14ac:dyDescent="0.2">
      <c r="G44229" s="889"/>
    </row>
    <row r="44230" spans="7:7" ht="10.5" customHeight="1" x14ac:dyDescent="0.2">
      <c r="G44230" s="889"/>
    </row>
    <row r="44231" spans="7:7" ht="10.5" customHeight="1" x14ac:dyDescent="0.2">
      <c r="G44231" s="889"/>
    </row>
    <row r="44232" spans="7:7" ht="10.5" customHeight="1" x14ac:dyDescent="0.2">
      <c r="G44232" s="889"/>
    </row>
    <row r="44233" spans="7:7" ht="10.5" customHeight="1" x14ac:dyDescent="0.2">
      <c r="G44233" s="889"/>
    </row>
    <row r="44234" spans="7:7" ht="10.5" customHeight="1" x14ac:dyDescent="0.2">
      <c r="G44234" s="889"/>
    </row>
    <row r="44235" spans="7:7" ht="10.5" customHeight="1" x14ac:dyDescent="0.2">
      <c r="G44235" s="889"/>
    </row>
    <row r="44236" spans="7:7" ht="10.5" customHeight="1" x14ac:dyDescent="0.2">
      <c r="G44236" s="889"/>
    </row>
    <row r="44237" spans="7:7" ht="10.5" customHeight="1" x14ac:dyDescent="0.2">
      <c r="G44237" s="889"/>
    </row>
    <row r="44238" spans="7:7" ht="10.5" customHeight="1" x14ac:dyDescent="0.2">
      <c r="G44238" s="889"/>
    </row>
    <row r="44239" spans="7:7" ht="10.5" customHeight="1" x14ac:dyDescent="0.2">
      <c r="G44239" s="889"/>
    </row>
    <row r="44240" spans="7:7" ht="10.5" customHeight="1" x14ac:dyDescent="0.2">
      <c r="G44240" s="889"/>
    </row>
    <row r="44241" spans="7:7" ht="10.5" customHeight="1" x14ac:dyDescent="0.2">
      <c r="G44241" s="889"/>
    </row>
    <row r="44242" spans="7:7" ht="10.5" customHeight="1" x14ac:dyDescent="0.2">
      <c r="G44242" s="889"/>
    </row>
    <row r="44243" spans="7:7" ht="10.5" customHeight="1" x14ac:dyDescent="0.2">
      <c r="G44243" s="889"/>
    </row>
    <row r="44244" spans="7:7" ht="10.5" customHeight="1" x14ac:dyDescent="0.2">
      <c r="G44244" s="889"/>
    </row>
    <row r="44245" spans="7:7" ht="10.5" customHeight="1" x14ac:dyDescent="0.2">
      <c r="G44245" s="889"/>
    </row>
    <row r="44246" spans="7:7" ht="10.5" customHeight="1" x14ac:dyDescent="0.2">
      <c r="G44246" s="889"/>
    </row>
    <row r="44247" spans="7:7" ht="10.5" customHeight="1" x14ac:dyDescent="0.2">
      <c r="G44247" s="889"/>
    </row>
    <row r="44248" spans="7:7" ht="10.5" customHeight="1" x14ac:dyDescent="0.2">
      <c r="G44248" s="889"/>
    </row>
    <row r="44249" spans="7:7" ht="10.5" customHeight="1" x14ac:dyDescent="0.2">
      <c r="G44249" s="889"/>
    </row>
    <row r="44250" spans="7:7" ht="10.5" customHeight="1" x14ac:dyDescent="0.2">
      <c r="G44250" s="889"/>
    </row>
    <row r="44251" spans="7:7" ht="10.5" customHeight="1" x14ac:dyDescent="0.2">
      <c r="G44251" s="889"/>
    </row>
    <row r="44252" spans="7:7" ht="10.5" customHeight="1" x14ac:dyDescent="0.2">
      <c r="G44252" s="889"/>
    </row>
    <row r="44253" spans="7:7" ht="10.5" customHeight="1" x14ac:dyDescent="0.2">
      <c r="G44253" s="889"/>
    </row>
    <row r="44254" spans="7:7" ht="10.5" customHeight="1" x14ac:dyDescent="0.2">
      <c r="G44254" s="889"/>
    </row>
    <row r="44255" spans="7:7" ht="10.5" customHeight="1" x14ac:dyDescent="0.2">
      <c r="G44255" s="889"/>
    </row>
    <row r="44256" spans="7:7" ht="10.5" customHeight="1" x14ac:dyDescent="0.2">
      <c r="G44256" s="889"/>
    </row>
    <row r="44257" spans="7:7" ht="10.5" customHeight="1" x14ac:dyDescent="0.2">
      <c r="G44257" s="889"/>
    </row>
    <row r="44258" spans="7:7" ht="10.5" customHeight="1" x14ac:dyDescent="0.2">
      <c r="G44258" s="889"/>
    </row>
    <row r="44259" spans="7:7" ht="10.5" customHeight="1" x14ac:dyDescent="0.2">
      <c r="G44259" s="889"/>
    </row>
    <row r="44260" spans="7:7" ht="10.5" customHeight="1" x14ac:dyDescent="0.2">
      <c r="G44260" s="889"/>
    </row>
    <row r="44261" spans="7:7" ht="10.5" customHeight="1" x14ac:dyDescent="0.2">
      <c r="G44261" s="889"/>
    </row>
    <row r="44262" spans="7:7" ht="10.5" customHeight="1" x14ac:dyDescent="0.2">
      <c r="G44262" s="889"/>
    </row>
    <row r="44263" spans="7:7" ht="10.5" customHeight="1" x14ac:dyDescent="0.2">
      <c r="G44263" s="889"/>
    </row>
    <row r="44264" spans="7:7" ht="10.5" customHeight="1" x14ac:dyDescent="0.2">
      <c r="G44264" s="889"/>
    </row>
    <row r="44265" spans="7:7" ht="10.5" customHeight="1" x14ac:dyDescent="0.2">
      <c r="G44265" s="889"/>
    </row>
    <row r="44266" spans="7:7" ht="10.5" customHeight="1" x14ac:dyDescent="0.2">
      <c r="G44266" s="889"/>
    </row>
    <row r="44267" spans="7:7" ht="10.5" customHeight="1" x14ac:dyDescent="0.2">
      <c r="G44267" s="889"/>
    </row>
    <row r="44268" spans="7:7" ht="10.5" customHeight="1" x14ac:dyDescent="0.2">
      <c r="G44268" s="889"/>
    </row>
    <row r="44269" spans="7:7" ht="10.5" customHeight="1" x14ac:dyDescent="0.2">
      <c r="G44269" s="889"/>
    </row>
    <row r="44270" spans="7:7" ht="10.5" customHeight="1" x14ac:dyDescent="0.2">
      <c r="G44270" s="889"/>
    </row>
    <row r="44271" spans="7:7" ht="10.5" customHeight="1" x14ac:dyDescent="0.2">
      <c r="G44271" s="889"/>
    </row>
    <row r="44272" spans="7:7" ht="10.5" customHeight="1" x14ac:dyDescent="0.2">
      <c r="G44272" s="889"/>
    </row>
    <row r="44273" spans="7:7" ht="10.5" customHeight="1" x14ac:dyDescent="0.2">
      <c r="G44273" s="889"/>
    </row>
    <row r="44274" spans="7:7" ht="10.5" customHeight="1" x14ac:dyDescent="0.2">
      <c r="G44274" s="889"/>
    </row>
    <row r="44275" spans="7:7" ht="10.5" customHeight="1" x14ac:dyDescent="0.2">
      <c r="G44275" s="889"/>
    </row>
    <row r="44276" spans="7:7" ht="10.5" customHeight="1" x14ac:dyDescent="0.2">
      <c r="G44276" s="889"/>
    </row>
    <row r="44277" spans="7:7" ht="10.5" customHeight="1" x14ac:dyDescent="0.2">
      <c r="G44277" s="889"/>
    </row>
    <row r="44278" spans="7:7" ht="10.5" customHeight="1" x14ac:dyDescent="0.2">
      <c r="G44278" s="889"/>
    </row>
    <row r="44279" spans="7:7" ht="10.5" customHeight="1" x14ac:dyDescent="0.2">
      <c r="G44279" s="889"/>
    </row>
    <row r="44280" spans="7:7" ht="10.5" customHeight="1" x14ac:dyDescent="0.2">
      <c r="G44280" s="889"/>
    </row>
    <row r="44281" spans="7:7" ht="10.5" customHeight="1" x14ac:dyDescent="0.2">
      <c r="G44281" s="889"/>
    </row>
    <row r="44282" spans="7:7" ht="10.5" customHeight="1" x14ac:dyDescent="0.2">
      <c r="G44282" s="889"/>
    </row>
    <row r="44283" spans="7:7" ht="10.5" customHeight="1" x14ac:dyDescent="0.2">
      <c r="G44283" s="889"/>
    </row>
    <row r="44284" spans="7:7" ht="10.5" customHeight="1" x14ac:dyDescent="0.2">
      <c r="G44284" s="889"/>
    </row>
    <row r="44285" spans="7:7" ht="10.5" customHeight="1" x14ac:dyDescent="0.2">
      <c r="G44285" s="889"/>
    </row>
    <row r="44286" spans="7:7" ht="10.5" customHeight="1" x14ac:dyDescent="0.2">
      <c r="G44286" s="889"/>
    </row>
    <row r="44287" spans="7:7" ht="10.5" customHeight="1" x14ac:dyDescent="0.2">
      <c r="G44287" s="889"/>
    </row>
    <row r="44288" spans="7:7" ht="10.5" customHeight="1" x14ac:dyDescent="0.2">
      <c r="G44288" s="889"/>
    </row>
    <row r="44289" spans="7:7" ht="10.5" customHeight="1" x14ac:dyDescent="0.2">
      <c r="G44289" s="889"/>
    </row>
    <row r="44290" spans="7:7" ht="10.5" customHeight="1" x14ac:dyDescent="0.2">
      <c r="G44290" s="889"/>
    </row>
    <row r="44291" spans="7:7" ht="10.5" customHeight="1" x14ac:dyDescent="0.2">
      <c r="G44291" s="889"/>
    </row>
    <row r="44292" spans="7:7" ht="10.5" customHeight="1" x14ac:dyDescent="0.2">
      <c r="G44292" s="889"/>
    </row>
    <row r="44293" spans="7:7" ht="10.5" customHeight="1" x14ac:dyDescent="0.2">
      <c r="G44293" s="889"/>
    </row>
    <row r="44294" spans="7:7" ht="10.5" customHeight="1" x14ac:dyDescent="0.2">
      <c r="G44294" s="889"/>
    </row>
    <row r="44295" spans="7:7" ht="10.5" customHeight="1" x14ac:dyDescent="0.2">
      <c r="G44295" s="889"/>
    </row>
    <row r="44296" spans="7:7" ht="10.5" customHeight="1" x14ac:dyDescent="0.2">
      <c r="G44296" s="889"/>
    </row>
    <row r="44297" spans="7:7" ht="10.5" customHeight="1" x14ac:dyDescent="0.2">
      <c r="G44297" s="889"/>
    </row>
    <row r="44298" spans="7:7" ht="10.5" customHeight="1" x14ac:dyDescent="0.2">
      <c r="G44298" s="889"/>
    </row>
    <row r="44299" spans="7:7" ht="10.5" customHeight="1" x14ac:dyDescent="0.2">
      <c r="G44299" s="889"/>
    </row>
    <row r="44300" spans="7:7" ht="10.5" customHeight="1" x14ac:dyDescent="0.2">
      <c r="G44300" s="889"/>
    </row>
    <row r="44301" spans="7:7" ht="10.5" customHeight="1" x14ac:dyDescent="0.2">
      <c r="G44301" s="889"/>
    </row>
    <row r="44302" spans="7:7" ht="10.5" customHeight="1" x14ac:dyDescent="0.2">
      <c r="G44302" s="889"/>
    </row>
    <row r="44303" spans="7:7" ht="10.5" customHeight="1" x14ac:dyDescent="0.2">
      <c r="G44303" s="889"/>
    </row>
    <row r="44304" spans="7:7" ht="10.5" customHeight="1" x14ac:dyDescent="0.2">
      <c r="G44304" s="889"/>
    </row>
    <row r="44305" spans="7:7" ht="10.5" customHeight="1" x14ac:dyDescent="0.2">
      <c r="G44305" s="889"/>
    </row>
    <row r="44306" spans="7:7" ht="10.5" customHeight="1" x14ac:dyDescent="0.2">
      <c r="G44306" s="889"/>
    </row>
    <row r="44307" spans="7:7" ht="10.5" customHeight="1" x14ac:dyDescent="0.2">
      <c r="G44307" s="889"/>
    </row>
    <row r="44308" spans="7:7" ht="10.5" customHeight="1" x14ac:dyDescent="0.2">
      <c r="G44308" s="889"/>
    </row>
    <row r="44309" spans="7:7" ht="10.5" customHeight="1" x14ac:dyDescent="0.2">
      <c r="G44309" s="889"/>
    </row>
    <row r="44310" spans="7:7" ht="10.5" customHeight="1" x14ac:dyDescent="0.2">
      <c r="G44310" s="889"/>
    </row>
    <row r="44311" spans="7:7" ht="10.5" customHeight="1" x14ac:dyDescent="0.2">
      <c r="G44311" s="889"/>
    </row>
    <row r="44312" spans="7:7" ht="10.5" customHeight="1" x14ac:dyDescent="0.2">
      <c r="G44312" s="889"/>
    </row>
    <row r="44313" spans="7:7" ht="10.5" customHeight="1" x14ac:dyDescent="0.2">
      <c r="G44313" s="889"/>
    </row>
    <row r="44314" spans="7:7" ht="10.5" customHeight="1" x14ac:dyDescent="0.2">
      <c r="G44314" s="889"/>
    </row>
    <row r="44315" spans="7:7" ht="10.5" customHeight="1" x14ac:dyDescent="0.2">
      <c r="G44315" s="889"/>
    </row>
    <row r="44316" spans="7:7" ht="10.5" customHeight="1" x14ac:dyDescent="0.2">
      <c r="G44316" s="889"/>
    </row>
    <row r="44317" spans="7:7" ht="10.5" customHeight="1" x14ac:dyDescent="0.2">
      <c r="G44317" s="889"/>
    </row>
    <row r="44318" spans="7:7" ht="10.5" customHeight="1" x14ac:dyDescent="0.2">
      <c r="G44318" s="889"/>
    </row>
    <row r="44319" spans="7:7" ht="10.5" customHeight="1" x14ac:dyDescent="0.2">
      <c r="G44319" s="889"/>
    </row>
    <row r="44320" spans="7:7" ht="10.5" customHeight="1" x14ac:dyDescent="0.2">
      <c r="G44320" s="889"/>
    </row>
    <row r="44321" spans="7:7" ht="10.5" customHeight="1" x14ac:dyDescent="0.2">
      <c r="G44321" s="889"/>
    </row>
    <row r="44322" spans="7:7" ht="10.5" customHeight="1" x14ac:dyDescent="0.2">
      <c r="G44322" s="889"/>
    </row>
    <row r="44323" spans="7:7" ht="10.5" customHeight="1" x14ac:dyDescent="0.2">
      <c r="G44323" s="889"/>
    </row>
    <row r="44324" spans="7:7" ht="10.5" customHeight="1" x14ac:dyDescent="0.2">
      <c r="G44324" s="889"/>
    </row>
    <row r="44325" spans="7:7" ht="10.5" customHeight="1" x14ac:dyDescent="0.2">
      <c r="G44325" s="889"/>
    </row>
    <row r="44326" spans="7:7" ht="10.5" customHeight="1" x14ac:dyDescent="0.2">
      <c r="G44326" s="889"/>
    </row>
    <row r="44327" spans="7:7" ht="10.5" customHeight="1" x14ac:dyDescent="0.2">
      <c r="G44327" s="889"/>
    </row>
    <row r="44328" spans="7:7" ht="10.5" customHeight="1" x14ac:dyDescent="0.2">
      <c r="G44328" s="889"/>
    </row>
    <row r="44329" spans="7:7" ht="10.5" customHeight="1" x14ac:dyDescent="0.2">
      <c r="G44329" s="889"/>
    </row>
    <row r="44330" spans="7:7" ht="10.5" customHeight="1" x14ac:dyDescent="0.2">
      <c r="G44330" s="889"/>
    </row>
    <row r="44331" spans="7:7" ht="10.5" customHeight="1" x14ac:dyDescent="0.2">
      <c r="G44331" s="889"/>
    </row>
    <row r="44332" spans="7:7" ht="10.5" customHeight="1" x14ac:dyDescent="0.2">
      <c r="G44332" s="889"/>
    </row>
    <row r="44333" spans="7:7" ht="10.5" customHeight="1" x14ac:dyDescent="0.2">
      <c r="G44333" s="889"/>
    </row>
    <row r="44334" spans="7:7" ht="10.5" customHeight="1" x14ac:dyDescent="0.2">
      <c r="G44334" s="889"/>
    </row>
    <row r="44335" spans="7:7" ht="10.5" customHeight="1" x14ac:dyDescent="0.2">
      <c r="G44335" s="889"/>
    </row>
    <row r="44336" spans="7:7" ht="10.5" customHeight="1" x14ac:dyDescent="0.2">
      <c r="G44336" s="889"/>
    </row>
    <row r="44337" spans="7:7" ht="10.5" customHeight="1" x14ac:dyDescent="0.2">
      <c r="G44337" s="889"/>
    </row>
    <row r="44338" spans="7:7" ht="10.5" customHeight="1" x14ac:dyDescent="0.2">
      <c r="G44338" s="889"/>
    </row>
    <row r="44339" spans="7:7" ht="10.5" customHeight="1" x14ac:dyDescent="0.2">
      <c r="G44339" s="889"/>
    </row>
    <row r="44340" spans="7:7" ht="10.5" customHeight="1" x14ac:dyDescent="0.2">
      <c r="G44340" s="889"/>
    </row>
    <row r="44341" spans="7:7" ht="10.5" customHeight="1" x14ac:dyDescent="0.2">
      <c r="G44341" s="889"/>
    </row>
    <row r="44342" spans="7:7" ht="10.5" customHeight="1" x14ac:dyDescent="0.2">
      <c r="G44342" s="889"/>
    </row>
    <row r="44343" spans="7:7" ht="10.5" customHeight="1" x14ac:dyDescent="0.2">
      <c r="G44343" s="889"/>
    </row>
    <row r="44344" spans="7:7" ht="10.5" customHeight="1" x14ac:dyDescent="0.2">
      <c r="G44344" s="889"/>
    </row>
    <row r="44345" spans="7:7" ht="10.5" customHeight="1" x14ac:dyDescent="0.2">
      <c r="G44345" s="889"/>
    </row>
    <row r="44346" spans="7:7" ht="10.5" customHeight="1" x14ac:dyDescent="0.2">
      <c r="G44346" s="889"/>
    </row>
    <row r="44347" spans="7:7" ht="10.5" customHeight="1" x14ac:dyDescent="0.2">
      <c r="G44347" s="889"/>
    </row>
    <row r="44348" spans="7:7" ht="10.5" customHeight="1" x14ac:dyDescent="0.2">
      <c r="G44348" s="889"/>
    </row>
    <row r="44349" spans="7:7" ht="10.5" customHeight="1" x14ac:dyDescent="0.2">
      <c r="G44349" s="889"/>
    </row>
    <row r="44350" spans="7:7" ht="10.5" customHeight="1" x14ac:dyDescent="0.2">
      <c r="G44350" s="889"/>
    </row>
    <row r="44351" spans="7:7" ht="10.5" customHeight="1" x14ac:dyDescent="0.2">
      <c r="G44351" s="889"/>
    </row>
    <row r="44352" spans="7:7" ht="10.5" customHeight="1" x14ac:dyDescent="0.2">
      <c r="G44352" s="889"/>
    </row>
    <row r="44353" spans="7:7" ht="10.5" customHeight="1" x14ac:dyDescent="0.2">
      <c r="G44353" s="889"/>
    </row>
    <row r="44354" spans="7:7" ht="10.5" customHeight="1" x14ac:dyDescent="0.2">
      <c r="G44354" s="889"/>
    </row>
    <row r="44355" spans="7:7" ht="10.5" customHeight="1" x14ac:dyDescent="0.2">
      <c r="G44355" s="889"/>
    </row>
    <row r="44356" spans="7:7" ht="10.5" customHeight="1" x14ac:dyDescent="0.2">
      <c r="G44356" s="889"/>
    </row>
    <row r="44357" spans="7:7" ht="10.5" customHeight="1" x14ac:dyDescent="0.2">
      <c r="G44357" s="889"/>
    </row>
    <row r="44358" spans="7:7" ht="10.5" customHeight="1" x14ac:dyDescent="0.2">
      <c r="G44358" s="889"/>
    </row>
    <row r="44359" spans="7:7" ht="10.5" customHeight="1" x14ac:dyDescent="0.2">
      <c r="G44359" s="889"/>
    </row>
    <row r="44360" spans="7:7" ht="10.5" customHeight="1" x14ac:dyDescent="0.2">
      <c r="G44360" s="889"/>
    </row>
    <row r="44361" spans="7:7" ht="10.5" customHeight="1" x14ac:dyDescent="0.2">
      <c r="G44361" s="889"/>
    </row>
    <row r="44362" spans="7:7" ht="10.5" customHeight="1" x14ac:dyDescent="0.2">
      <c r="G44362" s="889"/>
    </row>
    <row r="44363" spans="7:7" ht="10.5" customHeight="1" x14ac:dyDescent="0.2">
      <c r="G44363" s="889"/>
    </row>
    <row r="44364" spans="7:7" ht="10.5" customHeight="1" x14ac:dyDescent="0.2">
      <c r="G44364" s="889"/>
    </row>
    <row r="44365" spans="7:7" ht="10.5" customHeight="1" x14ac:dyDescent="0.2">
      <c r="G44365" s="889"/>
    </row>
    <row r="44366" spans="7:7" ht="10.5" customHeight="1" x14ac:dyDescent="0.2">
      <c r="G44366" s="889"/>
    </row>
    <row r="44367" spans="7:7" ht="10.5" customHeight="1" x14ac:dyDescent="0.2">
      <c r="G44367" s="889"/>
    </row>
    <row r="44368" spans="7:7" ht="10.5" customHeight="1" x14ac:dyDescent="0.2">
      <c r="G44368" s="889"/>
    </row>
    <row r="44369" spans="7:7" ht="10.5" customHeight="1" x14ac:dyDescent="0.2">
      <c r="G44369" s="889"/>
    </row>
    <row r="44370" spans="7:7" ht="10.5" customHeight="1" x14ac:dyDescent="0.2">
      <c r="G44370" s="889"/>
    </row>
    <row r="44371" spans="7:7" ht="10.5" customHeight="1" x14ac:dyDescent="0.2">
      <c r="G44371" s="889"/>
    </row>
    <row r="44372" spans="7:7" ht="10.5" customHeight="1" x14ac:dyDescent="0.2">
      <c r="G44372" s="889"/>
    </row>
    <row r="44373" spans="7:7" ht="10.5" customHeight="1" x14ac:dyDescent="0.2">
      <c r="G44373" s="889"/>
    </row>
    <row r="44374" spans="7:7" ht="10.5" customHeight="1" x14ac:dyDescent="0.2">
      <c r="G44374" s="889"/>
    </row>
    <row r="44375" spans="7:7" ht="10.5" customHeight="1" x14ac:dyDescent="0.2">
      <c r="G44375" s="889"/>
    </row>
    <row r="44376" spans="7:7" ht="10.5" customHeight="1" x14ac:dyDescent="0.2">
      <c r="G44376" s="889"/>
    </row>
    <row r="44377" spans="7:7" ht="10.5" customHeight="1" x14ac:dyDescent="0.2">
      <c r="G44377" s="889"/>
    </row>
    <row r="44378" spans="7:7" ht="10.5" customHeight="1" x14ac:dyDescent="0.2">
      <c r="G44378" s="889"/>
    </row>
    <row r="44379" spans="7:7" ht="10.5" customHeight="1" x14ac:dyDescent="0.2">
      <c r="G44379" s="889"/>
    </row>
    <row r="44380" spans="7:7" ht="10.5" customHeight="1" x14ac:dyDescent="0.2">
      <c r="G44380" s="889"/>
    </row>
    <row r="44381" spans="7:7" ht="10.5" customHeight="1" x14ac:dyDescent="0.2">
      <c r="G44381" s="889"/>
    </row>
    <row r="44382" spans="7:7" ht="10.5" customHeight="1" x14ac:dyDescent="0.2">
      <c r="G44382" s="889"/>
    </row>
    <row r="44383" spans="7:7" ht="10.5" customHeight="1" x14ac:dyDescent="0.2">
      <c r="G44383" s="889"/>
    </row>
    <row r="44384" spans="7:7" ht="10.5" customHeight="1" x14ac:dyDescent="0.2">
      <c r="G44384" s="889"/>
    </row>
    <row r="44385" spans="7:7" ht="10.5" customHeight="1" x14ac:dyDescent="0.2">
      <c r="G44385" s="889"/>
    </row>
    <row r="44386" spans="7:7" ht="10.5" customHeight="1" x14ac:dyDescent="0.2">
      <c r="G44386" s="889"/>
    </row>
    <row r="44387" spans="7:7" ht="10.5" customHeight="1" x14ac:dyDescent="0.2">
      <c r="G44387" s="889"/>
    </row>
    <row r="44388" spans="7:7" ht="10.5" customHeight="1" x14ac:dyDescent="0.2">
      <c r="G44388" s="889"/>
    </row>
    <row r="44389" spans="7:7" ht="10.5" customHeight="1" x14ac:dyDescent="0.2">
      <c r="G44389" s="889"/>
    </row>
    <row r="44390" spans="7:7" ht="10.5" customHeight="1" x14ac:dyDescent="0.2">
      <c r="G44390" s="889"/>
    </row>
    <row r="44391" spans="7:7" ht="10.5" customHeight="1" x14ac:dyDescent="0.2">
      <c r="G44391" s="889"/>
    </row>
    <row r="44392" spans="7:7" ht="10.5" customHeight="1" x14ac:dyDescent="0.2">
      <c r="G44392" s="889"/>
    </row>
    <row r="44393" spans="7:7" ht="10.5" customHeight="1" x14ac:dyDescent="0.2">
      <c r="G44393" s="889"/>
    </row>
    <row r="44394" spans="7:7" ht="10.5" customHeight="1" x14ac:dyDescent="0.2">
      <c r="G44394" s="889"/>
    </row>
    <row r="44395" spans="7:7" ht="10.5" customHeight="1" x14ac:dyDescent="0.2">
      <c r="G44395" s="889"/>
    </row>
    <row r="44396" spans="7:7" ht="10.5" customHeight="1" x14ac:dyDescent="0.2">
      <c r="G44396" s="889"/>
    </row>
    <row r="44397" spans="7:7" ht="10.5" customHeight="1" x14ac:dyDescent="0.2">
      <c r="G44397" s="889"/>
    </row>
    <row r="44398" spans="7:7" ht="10.5" customHeight="1" x14ac:dyDescent="0.2">
      <c r="G44398" s="889"/>
    </row>
    <row r="44399" spans="7:7" ht="10.5" customHeight="1" x14ac:dyDescent="0.2">
      <c r="G44399" s="889"/>
    </row>
    <row r="44400" spans="7:7" ht="10.5" customHeight="1" x14ac:dyDescent="0.2">
      <c r="G44400" s="889"/>
    </row>
    <row r="44401" spans="7:7" ht="10.5" customHeight="1" x14ac:dyDescent="0.2">
      <c r="G44401" s="889"/>
    </row>
    <row r="44402" spans="7:7" ht="10.5" customHeight="1" x14ac:dyDescent="0.2">
      <c r="G44402" s="889"/>
    </row>
    <row r="44403" spans="7:7" ht="10.5" customHeight="1" x14ac:dyDescent="0.2">
      <c r="G44403" s="889"/>
    </row>
    <row r="44404" spans="7:7" ht="10.5" customHeight="1" x14ac:dyDescent="0.2">
      <c r="G44404" s="889"/>
    </row>
    <row r="44405" spans="7:7" ht="10.5" customHeight="1" x14ac:dyDescent="0.2">
      <c r="G44405" s="889"/>
    </row>
    <row r="44406" spans="7:7" ht="10.5" customHeight="1" x14ac:dyDescent="0.2">
      <c r="G44406" s="889"/>
    </row>
    <row r="44407" spans="7:7" ht="10.5" customHeight="1" x14ac:dyDescent="0.2">
      <c r="G44407" s="889"/>
    </row>
    <row r="44408" spans="7:7" ht="10.5" customHeight="1" x14ac:dyDescent="0.2">
      <c r="G44408" s="889"/>
    </row>
    <row r="44409" spans="7:7" ht="10.5" customHeight="1" x14ac:dyDescent="0.2">
      <c r="G44409" s="889"/>
    </row>
    <row r="44410" spans="7:7" ht="10.5" customHeight="1" x14ac:dyDescent="0.2">
      <c r="G44410" s="889"/>
    </row>
    <row r="44411" spans="7:7" ht="10.5" customHeight="1" x14ac:dyDescent="0.2">
      <c r="G44411" s="889"/>
    </row>
    <row r="44412" spans="7:7" ht="10.5" customHeight="1" x14ac:dyDescent="0.2">
      <c r="G44412" s="889"/>
    </row>
    <row r="44413" spans="7:7" ht="10.5" customHeight="1" x14ac:dyDescent="0.2">
      <c r="G44413" s="889"/>
    </row>
    <row r="44414" spans="7:7" ht="10.5" customHeight="1" x14ac:dyDescent="0.2">
      <c r="G44414" s="889"/>
    </row>
    <row r="44415" spans="7:7" ht="10.5" customHeight="1" x14ac:dyDescent="0.2">
      <c r="G44415" s="889"/>
    </row>
    <row r="44416" spans="7:7" ht="10.5" customHeight="1" x14ac:dyDescent="0.2">
      <c r="G44416" s="889"/>
    </row>
    <row r="44417" spans="7:7" ht="10.5" customHeight="1" x14ac:dyDescent="0.2">
      <c r="G44417" s="889"/>
    </row>
    <row r="44418" spans="7:7" ht="10.5" customHeight="1" x14ac:dyDescent="0.2">
      <c r="G44418" s="889"/>
    </row>
    <row r="44419" spans="7:7" ht="10.5" customHeight="1" x14ac:dyDescent="0.2">
      <c r="G44419" s="889"/>
    </row>
    <row r="44420" spans="7:7" ht="10.5" customHeight="1" x14ac:dyDescent="0.2">
      <c r="G44420" s="889"/>
    </row>
    <row r="44421" spans="7:7" ht="10.5" customHeight="1" x14ac:dyDescent="0.2">
      <c r="G44421" s="889"/>
    </row>
    <row r="44422" spans="7:7" ht="10.5" customHeight="1" x14ac:dyDescent="0.2">
      <c r="G44422" s="889"/>
    </row>
    <row r="44423" spans="7:7" ht="10.5" customHeight="1" x14ac:dyDescent="0.2">
      <c r="G44423" s="889"/>
    </row>
    <row r="44424" spans="7:7" ht="10.5" customHeight="1" x14ac:dyDescent="0.2">
      <c r="G44424" s="889"/>
    </row>
    <row r="44425" spans="7:7" ht="10.5" customHeight="1" x14ac:dyDescent="0.2">
      <c r="G44425" s="889"/>
    </row>
    <row r="44426" spans="7:7" ht="10.5" customHeight="1" x14ac:dyDescent="0.2">
      <c r="G44426" s="889"/>
    </row>
    <row r="44427" spans="7:7" ht="10.5" customHeight="1" x14ac:dyDescent="0.2">
      <c r="G44427" s="889"/>
    </row>
    <row r="44428" spans="7:7" ht="10.5" customHeight="1" x14ac:dyDescent="0.2">
      <c r="G44428" s="889"/>
    </row>
    <row r="44429" spans="7:7" ht="10.5" customHeight="1" x14ac:dyDescent="0.2">
      <c r="G44429" s="889"/>
    </row>
    <row r="44430" spans="7:7" ht="10.5" customHeight="1" x14ac:dyDescent="0.2">
      <c r="G44430" s="889"/>
    </row>
    <row r="44431" spans="7:7" ht="10.5" customHeight="1" x14ac:dyDescent="0.2">
      <c r="G44431" s="889"/>
    </row>
    <row r="44432" spans="7:7" ht="10.5" customHeight="1" x14ac:dyDescent="0.2">
      <c r="G44432" s="889"/>
    </row>
    <row r="44433" spans="7:7" ht="10.5" customHeight="1" x14ac:dyDescent="0.2">
      <c r="G44433" s="889"/>
    </row>
    <row r="44434" spans="7:7" ht="10.5" customHeight="1" x14ac:dyDescent="0.2">
      <c r="G44434" s="889"/>
    </row>
    <row r="44435" spans="7:7" ht="10.5" customHeight="1" x14ac:dyDescent="0.2">
      <c r="G44435" s="889"/>
    </row>
    <row r="44436" spans="7:7" ht="10.5" customHeight="1" x14ac:dyDescent="0.2">
      <c r="G44436" s="889"/>
    </row>
    <row r="44437" spans="7:7" ht="10.5" customHeight="1" x14ac:dyDescent="0.2">
      <c r="G44437" s="889"/>
    </row>
    <row r="44438" spans="7:7" ht="10.5" customHeight="1" x14ac:dyDescent="0.2">
      <c r="G44438" s="889"/>
    </row>
    <row r="44439" spans="7:7" ht="10.5" customHeight="1" x14ac:dyDescent="0.2">
      <c r="G44439" s="889"/>
    </row>
    <row r="44440" spans="7:7" ht="10.5" customHeight="1" x14ac:dyDescent="0.2">
      <c r="G44440" s="889"/>
    </row>
    <row r="44441" spans="7:7" ht="10.5" customHeight="1" x14ac:dyDescent="0.2">
      <c r="G44441" s="889"/>
    </row>
    <row r="44442" spans="7:7" ht="10.5" customHeight="1" x14ac:dyDescent="0.2">
      <c r="G44442" s="889"/>
    </row>
    <row r="44443" spans="7:7" ht="10.5" customHeight="1" x14ac:dyDescent="0.2">
      <c r="G44443" s="889"/>
    </row>
    <row r="44444" spans="7:7" ht="10.5" customHeight="1" x14ac:dyDescent="0.2">
      <c r="G44444" s="889"/>
    </row>
    <row r="44445" spans="7:7" ht="10.5" customHeight="1" x14ac:dyDescent="0.2">
      <c r="G44445" s="889"/>
    </row>
    <row r="44446" spans="7:7" ht="10.5" customHeight="1" x14ac:dyDescent="0.2">
      <c r="G44446" s="889"/>
    </row>
    <row r="44447" spans="7:7" ht="10.5" customHeight="1" x14ac:dyDescent="0.2">
      <c r="G44447" s="889"/>
    </row>
    <row r="44448" spans="7:7" ht="10.5" customHeight="1" x14ac:dyDescent="0.2">
      <c r="G44448" s="889"/>
    </row>
    <row r="44449" spans="7:7" ht="10.5" customHeight="1" x14ac:dyDescent="0.2">
      <c r="G44449" s="889"/>
    </row>
    <row r="44450" spans="7:7" ht="10.5" customHeight="1" x14ac:dyDescent="0.2">
      <c r="G44450" s="889"/>
    </row>
    <row r="44451" spans="7:7" ht="10.5" customHeight="1" x14ac:dyDescent="0.2">
      <c r="G44451" s="889"/>
    </row>
    <row r="44452" spans="7:7" ht="10.5" customHeight="1" x14ac:dyDescent="0.2">
      <c r="G44452" s="889"/>
    </row>
    <row r="44453" spans="7:7" ht="10.5" customHeight="1" x14ac:dyDescent="0.2">
      <c r="G44453" s="889"/>
    </row>
    <row r="44454" spans="7:7" ht="10.5" customHeight="1" x14ac:dyDescent="0.2">
      <c r="G44454" s="889"/>
    </row>
    <row r="44455" spans="7:7" ht="10.5" customHeight="1" x14ac:dyDescent="0.2">
      <c r="G44455" s="889"/>
    </row>
    <row r="44456" spans="7:7" ht="10.5" customHeight="1" x14ac:dyDescent="0.2">
      <c r="G44456" s="889"/>
    </row>
    <row r="44457" spans="7:7" ht="10.5" customHeight="1" x14ac:dyDescent="0.2">
      <c r="G44457" s="889"/>
    </row>
    <row r="44458" spans="7:7" ht="10.5" customHeight="1" x14ac:dyDescent="0.2">
      <c r="G44458" s="889"/>
    </row>
    <row r="44459" spans="7:7" ht="10.5" customHeight="1" x14ac:dyDescent="0.2">
      <c r="G44459" s="889"/>
    </row>
    <row r="44460" spans="7:7" ht="10.5" customHeight="1" x14ac:dyDescent="0.2">
      <c r="G44460" s="889"/>
    </row>
    <row r="44461" spans="7:7" ht="10.5" customHeight="1" x14ac:dyDescent="0.2">
      <c r="G44461" s="889"/>
    </row>
    <row r="44462" spans="7:7" ht="10.5" customHeight="1" x14ac:dyDescent="0.2">
      <c r="G44462" s="889"/>
    </row>
    <row r="44463" spans="7:7" ht="10.5" customHeight="1" x14ac:dyDescent="0.2">
      <c r="G44463" s="889"/>
    </row>
    <row r="44464" spans="7:7" ht="10.5" customHeight="1" x14ac:dyDescent="0.2">
      <c r="G44464" s="889"/>
    </row>
    <row r="44465" spans="7:7" ht="10.5" customHeight="1" x14ac:dyDescent="0.2">
      <c r="G44465" s="889"/>
    </row>
    <row r="44466" spans="7:7" ht="10.5" customHeight="1" x14ac:dyDescent="0.2">
      <c r="G44466" s="889"/>
    </row>
    <row r="44467" spans="7:7" ht="10.5" customHeight="1" x14ac:dyDescent="0.2">
      <c r="G44467" s="889"/>
    </row>
    <row r="44468" spans="7:7" ht="10.5" customHeight="1" x14ac:dyDescent="0.2">
      <c r="G44468" s="889"/>
    </row>
    <row r="44469" spans="7:7" ht="10.5" customHeight="1" x14ac:dyDescent="0.2">
      <c r="G44469" s="889"/>
    </row>
    <row r="44470" spans="7:7" ht="10.5" customHeight="1" x14ac:dyDescent="0.2">
      <c r="G44470" s="889"/>
    </row>
    <row r="44471" spans="7:7" ht="10.5" customHeight="1" x14ac:dyDescent="0.2">
      <c r="G44471" s="889"/>
    </row>
    <row r="44472" spans="7:7" ht="10.5" customHeight="1" x14ac:dyDescent="0.2">
      <c r="G44472" s="889"/>
    </row>
    <row r="44473" spans="7:7" ht="10.5" customHeight="1" x14ac:dyDescent="0.2">
      <c r="G44473" s="889"/>
    </row>
    <row r="44474" spans="7:7" ht="10.5" customHeight="1" x14ac:dyDescent="0.2">
      <c r="G44474" s="889"/>
    </row>
    <row r="44475" spans="7:7" ht="10.5" customHeight="1" x14ac:dyDescent="0.2">
      <c r="G44475" s="889"/>
    </row>
    <row r="44476" spans="7:7" ht="10.5" customHeight="1" x14ac:dyDescent="0.2">
      <c r="G44476" s="889"/>
    </row>
    <row r="44477" spans="7:7" ht="10.5" customHeight="1" x14ac:dyDescent="0.2">
      <c r="G44477" s="889"/>
    </row>
    <row r="44478" spans="7:7" ht="10.5" customHeight="1" x14ac:dyDescent="0.2">
      <c r="G44478" s="889"/>
    </row>
    <row r="44479" spans="7:7" ht="10.5" customHeight="1" x14ac:dyDescent="0.2">
      <c r="G44479" s="889"/>
    </row>
    <row r="44480" spans="7:7" ht="10.5" customHeight="1" x14ac:dyDescent="0.2">
      <c r="G44480" s="889"/>
    </row>
    <row r="44481" spans="7:7" ht="10.5" customHeight="1" x14ac:dyDescent="0.2">
      <c r="G44481" s="889"/>
    </row>
    <row r="44482" spans="7:7" ht="10.5" customHeight="1" x14ac:dyDescent="0.2">
      <c r="G44482" s="889"/>
    </row>
    <row r="44483" spans="7:7" ht="10.5" customHeight="1" x14ac:dyDescent="0.2">
      <c r="G44483" s="889"/>
    </row>
    <row r="44484" spans="7:7" ht="10.5" customHeight="1" x14ac:dyDescent="0.2">
      <c r="G44484" s="889"/>
    </row>
    <row r="44485" spans="7:7" ht="10.5" customHeight="1" x14ac:dyDescent="0.2">
      <c r="G44485" s="889"/>
    </row>
    <row r="44486" spans="7:7" ht="10.5" customHeight="1" x14ac:dyDescent="0.2">
      <c r="G44486" s="889"/>
    </row>
    <row r="44487" spans="7:7" ht="10.5" customHeight="1" x14ac:dyDescent="0.2">
      <c r="G44487" s="889"/>
    </row>
    <row r="44488" spans="7:7" ht="10.5" customHeight="1" x14ac:dyDescent="0.2">
      <c r="G44488" s="889"/>
    </row>
    <row r="44489" spans="7:7" ht="10.5" customHeight="1" x14ac:dyDescent="0.2">
      <c r="G44489" s="889"/>
    </row>
    <row r="44490" spans="7:7" ht="10.5" customHeight="1" x14ac:dyDescent="0.2">
      <c r="G44490" s="889"/>
    </row>
    <row r="44491" spans="7:7" ht="10.5" customHeight="1" x14ac:dyDescent="0.2">
      <c r="G44491" s="889"/>
    </row>
    <row r="44492" spans="7:7" ht="10.5" customHeight="1" x14ac:dyDescent="0.2">
      <c r="G44492" s="889"/>
    </row>
    <row r="44493" spans="7:7" ht="10.5" customHeight="1" x14ac:dyDescent="0.2">
      <c r="G44493" s="889"/>
    </row>
    <row r="44494" spans="7:7" ht="10.5" customHeight="1" x14ac:dyDescent="0.2">
      <c r="G44494" s="889"/>
    </row>
    <row r="44495" spans="7:7" ht="10.5" customHeight="1" x14ac:dyDescent="0.2">
      <c r="G44495" s="889"/>
    </row>
    <row r="44496" spans="7:7" ht="10.5" customHeight="1" x14ac:dyDescent="0.2">
      <c r="G44496" s="889"/>
    </row>
    <row r="44497" spans="7:7" ht="10.5" customHeight="1" x14ac:dyDescent="0.2">
      <c r="G44497" s="889"/>
    </row>
    <row r="44498" spans="7:7" ht="10.5" customHeight="1" x14ac:dyDescent="0.2">
      <c r="G44498" s="889"/>
    </row>
    <row r="44499" spans="7:7" ht="10.5" customHeight="1" x14ac:dyDescent="0.2">
      <c r="G44499" s="889"/>
    </row>
    <row r="44500" spans="7:7" ht="10.5" customHeight="1" x14ac:dyDescent="0.2">
      <c r="G44500" s="889"/>
    </row>
    <row r="44501" spans="7:7" ht="10.5" customHeight="1" x14ac:dyDescent="0.2">
      <c r="G44501" s="889"/>
    </row>
    <row r="44502" spans="7:7" ht="10.5" customHeight="1" x14ac:dyDescent="0.2">
      <c r="G44502" s="889"/>
    </row>
    <row r="44503" spans="7:7" ht="10.5" customHeight="1" x14ac:dyDescent="0.2">
      <c r="G44503" s="889"/>
    </row>
    <row r="44504" spans="7:7" ht="10.5" customHeight="1" x14ac:dyDescent="0.2">
      <c r="G44504" s="889"/>
    </row>
    <row r="44505" spans="7:7" ht="10.5" customHeight="1" x14ac:dyDescent="0.2">
      <c r="G44505" s="889"/>
    </row>
    <row r="44506" spans="7:7" ht="10.5" customHeight="1" x14ac:dyDescent="0.2">
      <c r="G44506" s="889"/>
    </row>
    <row r="44507" spans="7:7" ht="10.5" customHeight="1" x14ac:dyDescent="0.2">
      <c r="G44507" s="889"/>
    </row>
    <row r="44508" spans="7:7" ht="10.5" customHeight="1" x14ac:dyDescent="0.2">
      <c r="G44508" s="889"/>
    </row>
    <row r="44509" spans="7:7" ht="10.5" customHeight="1" x14ac:dyDescent="0.2">
      <c r="G44509" s="889"/>
    </row>
    <row r="44510" spans="7:7" ht="10.5" customHeight="1" x14ac:dyDescent="0.2">
      <c r="G44510" s="889"/>
    </row>
    <row r="44511" spans="7:7" ht="10.5" customHeight="1" x14ac:dyDescent="0.2">
      <c r="G44511" s="889"/>
    </row>
    <row r="44512" spans="7:7" ht="10.5" customHeight="1" x14ac:dyDescent="0.2">
      <c r="G44512" s="889"/>
    </row>
    <row r="44513" spans="7:7" ht="10.5" customHeight="1" x14ac:dyDescent="0.2">
      <c r="G44513" s="889"/>
    </row>
    <row r="44514" spans="7:7" ht="10.5" customHeight="1" x14ac:dyDescent="0.2">
      <c r="G44514" s="889"/>
    </row>
    <row r="44515" spans="7:7" ht="10.5" customHeight="1" x14ac:dyDescent="0.2">
      <c r="G44515" s="889"/>
    </row>
    <row r="44516" spans="7:7" ht="10.5" customHeight="1" x14ac:dyDescent="0.2">
      <c r="G44516" s="889"/>
    </row>
    <row r="44517" spans="7:7" ht="10.5" customHeight="1" x14ac:dyDescent="0.2">
      <c r="G44517" s="889"/>
    </row>
    <row r="44518" spans="7:7" ht="10.5" customHeight="1" x14ac:dyDescent="0.2">
      <c r="G44518" s="889"/>
    </row>
    <row r="44519" spans="7:7" ht="10.5" customHeight="1" x14ac:dyDescent="0.2">
      <c r="G44519" s="889"/>
    </row>
    <row r="44520" spans="7:7" ht="10.5" customHeight="1" x14ac:dyDescent="0.2">
      <c r="G44520" s="889"/>
    </row>
    <row r="44521" spans="7:7" ht="10.5" customHeight="1" x14ac:dyDescent="0.2">
      <c r="G44521" s="889"/>
    </row>
    <row r="44522" spans="7:7" ht="10.5" customHeight="1" x14ac:dyDescent="0.2">
      <c r="G44522" s="889"/>
    </row>
    <row r="44523" spans="7:7" ht="10.5" customHeight="1" x14ac:dyDescent="0.2">
      <c r="G44523" s="889"/>
    </row>
    <row r="44524" spans="7:7" ht="10.5" customHeight="1" x14ac:dyDescent="0.2">
      <c r="G44524" s="889"/>
    </row>
    <row r="44525" spans="7:7" ht="10.5" customHeight="1" x14ac:dyDescent="0.2">
      <c r="G44525" s="889"/>
    </row>
    <row r="44526" spans="7:7" ht="10.5" customHeight="1" x14ac:dyDescent="0.2">
      <c r="G44526" s="889"/>
    </row>
    <row r="44527" spans="7:7" ht="10.5" customHeight="1" x14ac:dyDescent="0.2">
      <c r="G44527" s="889"/>
    </row>
    <row r="44528" spans="7:7" ht="10.5" customHeight="1" x14ac:dyDescent="0.2">
      <c r="G44528" s="889"/>
    </row>
    <row r="44529" spans="7:7" ht="10.5" customHeight="1" x14ac:dyDescent="0.2">
      <c r="G44529" s="889"/>
    </row>
    <row r="44530" spans="7:7" ht="10.5" customHeight="1" x14ac:dyDescent="0.2">
      <c r="G44530" s="889"/>
    </row>
    <row r="44531" spans="7:7" ht="10.5" customHeight="1" x14ac:dyDescent="0.2">
      <c r="G44531" s="889"/>
    </row>
    <row r="44532" spans="7:7" ht="10.5" customHeight="1" x14ac:dyDescent="0.2">
      <c r="G44532" s="889"/>
    </row>
    <row r="44533" spans="7:7" ht="10.5" customHeight="1" x14ac:dyDescent="0.2">
      <c r="G44533" s="889"/>
    </row>
    <row r="44534" spans="7:7" ht="10.5" customHeight="1" x14ac:dyDescent="0.2">
      <c r="G44534" s="889"/>
    </row>
    <row r="44535" spans="7:7" ht="10.5" customHeight="1" x14ac:dyDescent="0.2">
      <c r="G44535" s="889"/>
    </row>
    <row r="44536" spans="7:7" ht="10.5" customHeight="1" x14ac:dyDescent="0.2">
      <c r="G44536" s="889"/>
    </row>
    <row r="44537" spans="7:7" ht="10.5" customHeight="1" x14ac:dyDescent="0.2">
      <c r="G44537" s="889"/>
    </row>
    <row r="44538" spans="7:7" ht="10.5" customHeight="1" x14ac:dyDescent="0.2">
      <c r="G44538" s="889"/>
    </row>
    <row r="44539" spans="7:7" ht="10.5" customHeight="1" x14ac:dyDescent="0.2">
      <c r="G44539" s="889"/>
    </row>
    <row r="44540" spans="7:7" ht="10.5" customHeight="1" x14ac:dyDescent="0.2">
      <c r="G44540" s="889"/>
    </row>
    <row r="44541" spans="7:7" ht="10.5" customHeight="1" x14ac:dyDescent="0.2">
      <c r="G44541" s="889"/>
    </row>
    <row r="44542" spans="7:7" ht="10.5" customHeight="1" x14ac:dyDescent="0.2">
      <c r="G44542" s="889"/>
    </row>
    <row r="44543" spans="7:7" ht="10.5" customHeight="1" x14ac:dyDescent="0.2">
      <c r="G44543" s="889"/>
    </row>
    <row r="44544" spans="7:7" ht="10.5" customHeight="1" x14ac:dyDescent="0.2">
      <c r="G44544" s="889"/>
    </row>
    <row r="44545" spans="7:7" ht="10.5" customHeight="1" x14ac:dyDescent="0.2">
      <c r="G44545" s="889"/>
    </row>
    <row r="44546" spans="7:7" ht="10.5" customHeight="1" x14ac:dyDescent="0.2">
      <c r="G44546" s="889"/>
    </row>
    <row r="44547" spans="7:7" ht="10.5" customHeight="1" x14ac:dyDescent="0.2">
      <c r="G44547" s="889"/>
    </row>
    <row r="44548" spans="7:7" ht="10.5" customHeight="1" x14ac:dyDescent="0.2">
      <c r="G44548" s="889"/>
    </row>
    <row r="44549" spans="7:7" ht="10.5" customHeight="1" x14ac:dyDescent="0.2">
      <c r="G44549" s="889"/>
    </row>
    <row r="44550" spans="7:7" ht="10.5" customHeight="1" x14ac:dyDescent="0.2">
      <c r="G44550" s="889"/>
    </row>
    <row r="44551" spans="7:7" ht="10.5" customHeight="1" x14ac:dyDescent="0.2">
      <c r="G44551" s="889"/>
    </row>
    <row r="44552" spans="7:7" ht="10.5" customHeight="1" x14ac:dyDescent="0.2">
      <c r="G44552" s="889"/>
    </row>
    <row r="44553" spans="7:7" ht="10.5" customHeight="1" x14ac:dyDescent="0.2">
      <c r="G44553" s="889"/>
    </row>
    <row r="44554" spans="7:7" ht="10.5" customHeight="1" x14ac:dyDescent="0.2">
      <c r="G44554" s="889"/>
    </row>
    <row r="44555" spans="7:7" ht="10.5" customHeight="1" x14ac:dyDescent="0.2">
      <c r="G44555" s="889"/>
    </row>
    <row r="44556" spans="7:7" ht="10.5" customHeight="1" x14ac:dyDescent="0.2">
      <c r="G44556" s="889"/>
    </row>
    <row r="44557" spans="7:7" ht="10.5" customHeight="1" x14ac:dyDescent="0.2">
      <c r="G44557" s="889"/>
    </row>
    <row r="44558" spans="7:7" ht="10.5" customHeight="1" x14ac:dyDescent="0.2">
      <c r="G44558" s="889"/>
    </row>
    <row r="44559" spans="7:7" ht="10.5" customHeight="1" x14ac:dyDescent="0.2">
      <c r="G44559" s="889"/>
    </row>
    <row r="44560" spans="7:7" ht="10.5" customHeight="1" x14ac:dyDescent="0.2">
      <c r="G44560" s="889"/>
    </row>
    <row r="44561" spans="7:7" ht="10.5" customHeight="1" x14ac:dyDescent="0.2">
      <c r="G44561" s="889"/>
    </row>
    <row r="44562" spans="7:7" ht="10.5" customHeight="1" x14ac:dyDescent="0.2">
      <c r="G44562" s="889"/>
    </row>
    <row r="44563" spans="7:7" ht="10.5" customHeight="1" x14ac:dyDescent="0.2">
      <c r="G44563" s="889"/>
    </row>
    <row r="44564" spans="7:7" ht="10.5" customHeight="1" x14ac:dyDescent="0.2">
      <c r="G44564" s="889"/>
    </row>
    <row r="44565" spans="7:7" ht="10.5" customHeight="1" x14ac:dyDescent="0.2">
      <c r="G44565" s="889"/>
    </row>
    <row r="44566" spans="7:7" ht="10.5" customHeight="1" x14ac:dyDescent="0.2">
      <c r="G44566" s="889"/>
    </row>
    <row r="44567" spans="7:7" ht="10.5" customHeight="1" x14ac:dyDescent="0.2">
      <c r="G44567" s="889"/>
    </row>
    <row r="44568" spans="7:7" ht="10.5" customHeight="1" x14ac:dyDescent="0.2">
      <c r="G44568" s="889"/>
    </row>
    <row r="44569" spans="7:7" ht="10.5" customHeight="1" x14ac:dyDescent="0.2">
      <c r="G44569" s="889"/>
    </row>
    <row r="44570" spans="7:7" ht="10.5" customHeight="1" x14ac:dyDescent="0.2">
      <c r="G44570" s="889"/>
    </row>
    <row r="44571" spans="7:7" ht="10.5" customHeight="1" x14ac:dyDescent="0.2">
      <c r="G44571" s="889"/>
    </row>
    <row r="44572" spans="7:7" ht="10.5" customHeight="1" x14ac:dyDescent="0.2">
      <c r="G44572" s="889"/>
    </row>
    <row r="44573" spans="7:7" ht="10.5" customHeight="1" x14ac:dyDescent="0.2">
      <c r="G44573" s="889"/>
    </row>
    <row r="44574" spans="7:7" ht="10.5" customHeight="1" x14ac:dyDescent="0.2">
      <c r="G44574" s="889"/>
    </row>
    <row r="44575" spans="7:7" ht="10.5" customHeight="1" x14ac:dyDescent="0.2">
      <c r="G44575" s="889"/>
    </row>
    <row r="44576" spans="7:7" ht="10.5" customHeight="1" x14ac:dyDescent="0.2">
      <c r="G44576" s="889"/>
    </row>
    <row r="44577" spans="7:7" ht="10.5" customHeight="1" x14ac:dyDescent="0.2">
      <c r="G44577" s="889"/>
    </row>
    <row r="44578" spans="7:7" ht="10.5" customHeight="1" x14ac:dyDescent="0.2">
      <c r="G44578" s="889"/>
    </row>
    <row r="44579" spans="7:7" ht="10.5" customHeight="1" x14ac:dyDescent="0.2">
      <c r="G44579" s="889"/>
    </row>
    <row r="44580" spans="7:7" ht="10.5" customHeight="1" x14ac:dyDescent="0.2">
      <c r="G44580" s="889"/>
    </row>
    <row r="44581" spans="7:7" ht="10.5" customHeight="1" x14ac:dyDescent="0.2">
      <c r="G44581" s="889"/>
    </row>
    <row r="44582" spans="7:7" ht="10.5" customHeight="1" x14ac:dyDescent="0.2">
      <c r="G44582" s="889"/>
    </row>
    <row r="44583" spans="7:7" ht="10.5" customHeight="1" x14ac:dyDescent="0.2">
      <c r="G44583" s="889"/>
    </row>
    <row r="44584" spans="7:7" ht="10.5" customHeight="1" x14ac:dyDescent="0.2">
      <c r="G44584" s="889"/>
    </row>
    <row r="44585" spans="7:7" ht="10.5" customHeight="1" x14ac:dyDescent="0.2">
      <c r="G44585" s="889"/>
    </row>
    <row r="44586" spans="7:7" ht="10.5" customHeight="1" x14ac:dyDescent="0.2">
      <c r="G44586" s="889"/>
    </row>
    <row r="44587" spans="7:7" ht="10.5" customHeight="1" x14ac:dyDescent="0.2">
      <c r="G44587" s="889"/>
    </row>
    <row r="44588" spans="7:7" ht="10.5" customHeight="1" x14ac:dyDescent="0.2">
      <c r="G44588" s="889"/>
    </row>
    <row r="44589" spans="7:7" ht="10.5" customHeight="1" x14ac:dyDescent="0.2">
      <c r="G44589" s="889"/>
    </row>
    <row r="44590" spans="7:7" ht="10.5" customHeight="1" x14ac:dyDescent="0.2">
      <c r="G44590" s="889"/>
    </row>
    <row r="44591" spans="7:7" ht="10.5" customHeight="1" x14ac:dyDescent="0.2">
      <c r="G44591" s="889"/>
    </row>
    <row r="44592" spans="7:7" ht="10.5" customHeight="1" x14ac:dyDescent="0.2">
      <c r="G44592" s="889"/>
    </row>
    <row r="44593" spans="7:7" ht="10.5" customHeight="1" x14ac:dyDescent="0.2">
      <c r="G44593" s="889"/>
    </row>
    <row r="44594" spans="7:7" ht="10.5" customHeight="1" x14ac:dyDescent="0.2">
      <c r="G44594" s="889"/>
    </row>
    <row r="44595" spans="7:7" ht="10.5" customHeight="1" x14ac:dyDescent="0.2">
      <c r="G44595" s="889"/>
    </row>
    <row r="44596" spans="7:7" ht="10.5" customHeight="1" x14ac:dyDescent="0.2">
      <c r="G44596" s="889"/>
    </row>
    <row r="44597" spans="7:7" ht="10.5" customHeight="1" x14ac:dyDescent="0.2">
      <c r="G44597" s="889"/>
    </row>
    <row r="44598" spans="7:7" ht="10.5" customHeight="1" x14ac:dyDescent="0.2">
      <c r="G44598" s="889"/>
    </row>
    <row r="44599" spans="7:7" ht="10.5" customHeight="1" x14ac:dyDescent="0.2">
      <c r="G44599" s="889"/>
    </row>
    <row r="44600" spans="7:7" ht="10.5" customHeight="1" x14ac:dyDescent="0.2">
      <c r="G44600" s="889"/>
    </row>
    <row r="44601" spans="7:7" ht="10.5" customHeight="1" x14ac:dyDescent="0.2">
      <c r="G44601" s="889"/>
    </row>
    <row r="44602" spans="7:7" ht="10.5" customHeight="1" x14ac:dyDescent="0.2">
      <c r="G44602" s="889"/>
    </row>
    <row r="44603" spans="7:7" ht="10.5" customHeight="1" x14ac:dyDescent="0.2">
      <c r="G44603" s="889"/>
    </row>
    <row r="44604" spans="7:7" ht="10.5" customHeight="1" x14ac:dyDescent="0.2">
      <c r="G44604" s="889"/>
    </row>
    <row r="44605" spans="7:7" ht="10.5" customHeight="1" x14ac:dyDescent="0.2">
      <c r="G44605" s="889"/>
    </row>
    <row r="44606" spans="7:7" ht="10.5" customHeight="1" x14ac:dyDescent="0.2">
      <c r="G44606" s="889"/>
    </row>
    <row r="44607" spans="7:7" ht="10.5" customHeight="1" x14ac:dyDescent="0.2">
      <c r="G44607" s="889"/>
    </row>
    <row r="44608" spans="7:7" ht="10.5" customHeight="1" x14ac:dyDescent="0.2">
      <c r="G44608" s="889"/>
    </row>
    <row r="44609" spans="7:7" ht="10.5" customHeight="1" x14ac:dyDescent="0.2">
      <c r="G44609" s="889"/>
    </row>
    <row r="44610" spans="7:7" ht="10.5" customHeight="1" x14ac:dyDescent="0.2">
      <c r="G44610" s="889"/>
    </row>
    <row r="44611" spans="7:7" ht="10.5" customHeight="1" x14ac:dyDescent="0.2">
      <c r="G44611" s="889"/>
    </row>
    <row r="44612" spans="7:7" ht="10.5" customHeight="1" x14ac:dyDescent="0.2">
      <c r="G44612" s="889"/>
    </row>
    <row r="44613" spans="7:7" ht="10.5" customHeight="1" x14ac:dyDescent="0.2">
      <c r="G44613" s="889"/>
    </row>
    <row r="44614" spans="7:7" ht="10.5" customHeight="1" x14ac:dyDescent="0.2">
      <c r="G44614" s="889"/>
    </row>
    <row r="44615" spans="7:7" ht="10.5" customHeight="1" x14ac:dyDescent="0.2">
      <c r="G44615" s="889"/>
    </row>
    <row r="44616" spans="7:7" ht="10.5" customHeight="1" x14ac:dyDescent="0.2">
      <c r="G44616" s="889"/>
    </row>
    <row r="44617" spans="7:7" ht="10.5" customHeight="1" x14ac:dyDescent="0.2">
      <c r="G44617" s="889"/>
    </row>
    <row r="44618" spans="7:7" ht="10.5" customHeight="1" x14ac:dyDescent="0.2">
      <c r="G44618" s="889"/>
    </row>
    <row r="44619" spans="7:7" ht="10.5" customHeight="1" x14ac:dyDescent="0.2">
      <c r="G44619" s="889"/>
    </row>
    <row r="44620" spans="7:7" ht="10.5" customHeight="1" x14ac:dyDescent="0.2">
      <c r="G44620" s="889"/>
    </row>
    <row r="44621" spans="7:7" ht="10.5" customHeight="1" x14ac:dyDescent="0.2">
      <c r="G44621" s="889"/>
    </row>
    <row r="44622" spans="7:7" ht="10.5" customHeight="1" x14ac:dyDescent="0.2">
      <c r="G44622" s="889"/>
    </row>
    <row r="44623" spans="7:7" ht="10.5" customHeight="1" x14ac:dyDescent="0.2">
      <c r="G44623" s="889"/>
    </row>
    <row r="44624" spans="7:7" ht="10.5" customHeight="1" x14ac:dyDescent="0.2">
      <c r="G44624" s="889"/>
    </row>
    <row r="44625" spans="7:7" ht="10.5" customHeight="1" x14ac:dyDescent="0.2">
      <c r="G44625" s="889"/>
    </row>
    <row r="44626" spans="7:7" ht="10.5" customHeight="1" x14ac:dyDescent="0.2">
      <c r="G44626" s="889"/>
    </row>
    <row r="44627" spans="7:7" ht="10.5" customHeight="1" x14ac:dyDescent="0.2">
      <c r="G44627" s="889"/>
    </row>
    <row r="44628" spans="7:7" ht="10.5" customHeight="1" x14ac:dyDescent="0.2">
      <c r="G44628" s="889"/>
    </row>
    <row r="44629" spans="7:7" ht="10.5" customHeight="1" x14ac:dyDescent="0.2">
      <c r="G44629" s="889"/>
    </row>
    <row r="44630" spans="7:7" ht="10.5" customHeight="1" x14ac:dyDescent="0.2">
      <c r="G44630" s="889"/>
    </row>
    <row r="44631" spans="7:7" ht="10.5" customHeight="1" x14ac:dyDescent="0.2">
      <c r="G44631" s="889"/>
    </row>
    <row r="44632" spans="7:7" ht="10.5" customHeight="1" x14ac:dyDescent="0.2">
      <c r="G44632" s="889"/>
    </row>
    <row r="44633" spans="7:7" ht="10.5" customHeight="1" x14ac:dyDescent="0.2">
      <c r="G44633" s="889"/>
    </row>
    <row r="44634" spans="7:7" ht="10.5" customHeight="1" x14ac:dyDescent="0.2">
      <c r="G44634" s="889"/>
    </row>
    <row r="44635" spans="7:7" ht="10.5" customHeight="1" x14ac:dyDescent="0.2">
      <c r="G44635" s="889"/>
    </row>
    <row r="44636" spans="7:7" ht="10.5" customHeight="1" x14ac:dyDescent="0.2">
      <c r="G44636" s="889"/>
    </row>
    <row r="44637" spans="7:7" ht="10.5" customHeight="1" x14ac:dyDescent="0.2">
      <c r="G44637" s="889"/>
    </row>
    <row r="44638" spans="7:7" ht="10.5" customHeight="1" x14ac:dyDescent="0.2">
      <c r="G44638" s="889"/>
    </row>
    <row r="44639" spans="7:7" ht="10.5" customHeight="1" x14ac:dyDescent="0.2">
      <c r="G44639" s="889"/>
    </row>
    <row r="44640" spans="7:7" ht="10.5" customHeight="1" x14ac:dyDescent="0.2">
      <c r="G44640" s="889"/>
    </row>
    <row r="44641" spans="7:7" ht="10.5" customHeight="1" x14ac:dyDescent="0.2">
      <c r="G44641" s="889"/>
    </row>
    <row r="44642" spans="7:7" ht="10.5" customHeight="1" x14ac:dyDescent="0.2">
      <c r="G44642" s="889"/>
    </row>
    <row r="44643" spans="7:7" ht="10.5" customHeight="1" x14ac:dyDescent="0.2">
      <c r="G44643" s="889"/>
    </row>
    <row r="44644" spans="7:7" ht="10.5" customHeight="1" x14ac:dyDescent="0.2">
      <c r="G44644" s="889"/>
    </row>
    <row r="44645" spans="7:7" ht="10.5" customHeight="1" x14ac:dyDescent="0.2">
      <c r="G44645" s="889"/>
    </row>
    <row r="44646" spans="7:7" ht="10.5" customHeight="1" x14ac:dyDescent="0.2">
      <c r="G44646" s="889"/>
    </row>
    <row r="44647" spans="7:7" ht="10.5" customHeight="1" x14ac:dyDescent="0.2">
      <c r="G44647" s="889"/>
    </row>
    <row r="44648" spans="7:7" ht="10.5" customHeight="1" x14ac:dyDescent="0.2">
      <c r="G44648" s="889"/>
    </row>
    <row r="44649" spans="7:7" ht="10.5" customHeight="1" x14ac:dyDescent="0.2">
      <c r="G44649" s="889"/>
    </row>
    <row r="44650" spans="7:7" ht="10.5" customHeight="1" x14ac:dyDescent="0.2">
      <c r="G44650" s="889"/>
    </row>
    <row r="44651" spans="7:7" ht="10.5" customHeight="1" x14ac:dyDescent="0.2">
      <c r="G44651" s="889"/>
    </row>
    <row r="44652" spans="7:7" ht="10.5" customHeight="1" x14ac:dyDescent="0.2">
      <c r="G44652" s="889"/>
    </row>
    <row r="44653" spans="7:7" ht="10.5" customHeight="1" x14ac:dyDescent="0.2">
      <c r="G44653" s="889"/>
    </row>
    <row r="44654" spans="7:7" ht="10.5" customHeight="1" x14ac:dyDescent="0.2">
      <c r="G44654" s="889"/>
    </row>
    <row r="44655" spans="7:7" ht="10.5" customHeight="1" x14ac:dyDescent="0.2">
      <c r="G44655" s="889"/>
    </row>
    <row r="44656" spans="7:7" ht="10.5" customHeight="1" x14ac:dyDescent="0.2">
      <c r="G44656" s="889"/>
    </row>
    <row r="44657" spans="7:7" ht="10.5" customHeight="1" x14ac:dyDescent="0.2">
      <c r="G44657" s="889"/>
    </row>
    <row r="44658" spans="7:7" ht="10.5" customHeight="1" x14ac:dyDescent="0.2">
      <c r="G44658" s="889"/>
    </row>
    <row r="44659" spans="7:7" ht="10.5" customHeight="1" x14ac:dyDescent="0.2">
      <c r="G44659" s="889"/>
    </row>
    <row r="44660" spans="7:7" ht="10.5" customHeight="1" x14ac:dyDescent="0.2">
      <c r="G44660" s="889"/>
    </row>
    <row r="44661" spans="7:7" ht="10.5" customHeight="1" x14ac:dyDescent="0.2">
      <c r="G44661" s="889"/>
    </row>
    <row r="44662" spans="7:7" ht="10.5" customHeight="1" x14ac:dyDescent="0.2">
      <c r="G44662" s="889"/>
    </row>
    <row r="44663" spans="7:7" ht="10.5" customHeight="1" x14ac:dyDescent="0.2">
      <c r="G44663" s="889"/>
    </row>
    <row r="44664" spans="7:7" ht="10.5" customHeight="1" x14ac:dyDescent="0.2">
      <c r="G44664" s="889"/>
    </row>
    <row r="44665" spans="7:7" ht="10.5" customHeight="1" x14ac:dyDescent="0.2">
      <c r="G44665" s="889"/>
    </row>
    <row r="44666" spans="7:7" ht="10.5" customHeight="1" x14ac:dyDescent="0.2">
      <c r="G44666" s="889"/>
    </row>
    <row r="44667" spans="7:7" ht="10.5" customHeight="1" x14ac:dyDescent="0.2">
      <c r="G44667" s="889"/>
    </row>
    <row r="44668" spans="7:7" ht="10.5" customHeight="1" x14ac:dyDescent="0.2">
      <c r="G44668" s="889"/>
    </row>
    <row r="44669" spans="7:7" ht="10.5" customHeight="1" x14ac:dyDescent="0.2">
      <c r="G44669" s="889"/>
    </row>
    <row r="44670" spans="7:7" ht="10.5" customHeight="1" x14ac:dyDescent="0.2">
      <c r="G44670" s="889"/>
    </row>
    <row r="44671" spans="7:7" ht="10.5" customHeight="1" x14ac:dyDescent="0.2">
      <c r="G44671" s="889"/>
    </row>
    <row r="44672" spans="7:7" ht="10.5" customHeight="1" x14ac:dyDescent="0.2">
      <c r="G44672" s="889"/>
    </row>
    <row r="44673" spans="7:7" ht="10.5" customHeight="1" x14ac:dyDescent="0.2">
      <c r="G44673" s="889"/>
    </row>
    <row r="44674" spans="7:7" ht="10.5" customHeight="1" x14ac:dyDescent="0.2">
      <c r="G44674" s="889"/>
    </row>
    <row r="44675" spans="7:7" ht="10.5" customHeight="1" x14ac:dyDescent="0.2">
      <c r="G44675" s="889"/>
    </row>
    <row r="44676" spans="7:7" ht="10.5" customHeight="1" x14ac:dyDescent="0.2">
      <c r="G44676" s="889"/>
    </row>
    <row r="44677" spans="7:7" ht="10.5" customHeight="1" x14ac:dyDescent="0.2">
      <c r="G44677" s="889"/>
    </row>
    <row r="44678" spans="7:7" ht="10.5" customHeight="1" x14ac:dyDescent="0.2">
      <c r="G44678" s="889"/>
    </row>
    <row r="44679" spans="7:7" ht="10.5" customHeight="1" x14ac:dyDescent="0.2">
      <c r="G44679" s="889"/>
    </row>
    <row r="44680" spans="7:7" ht="10.5" customHeight="1" x14ac:dyDescent="0.2">
      <c r="G44680" s="889"/>
    </row>
    <row r="44681" spans="7:7" ht="10.5" customHeight="1" x14ac:dyDescent="0.2">
      <c r="G44681" s="889"/>
    </row>
    <row r="44682" spans="7:7" ht="10.5" customHeight="1" x14ac:dyDescent="0.2">
      <c r="G44682" s="889"/>
    </row>
    <row r="44683" spans="7:7" ht="10.5" customHeight="1" x14ac:dyDescent="0.2">
      <c r="G44683" s="889"/>
    </row>
    <row r="44684" spans="7:7" ht="10.5" customHeight="1" x14ac:dyDescent="0.2">
      <c r="G44684" s="889"/>
    </row>
    <row r="44685" spans="7:7" ht="10.5" customHeight="1" x14ac:dyDescent="0.2">
      <c r="G44685" s="889"/>
    </row>
    <row r="44686" spans="7:7" ht="10.5" customHeight="1" x14ac:dyDescent="0.2">
      <c r="G44686" s="889"/>
    </row>
    <row r="44687" spans="7:7" ht="10.5" customHeight="1" x14ac:dyDescent="0.2">
      <c r="G44687" s="889"/>
    </row>
    <row r="44688" spans="7:7" ht="10.5" customHeight="1" x14ac:dyDescent="0.2">
      <c r="G44688" s="889"/>
    </row>
    <row r="44689" spans="7:7" ht="10.5" customHeight="1" x14ac:dyDescent="0.2">
      <c r="G44689" s="889"/>
    </row>
    <row r="44690" spans="7:7" ht="10.5" customHeight="1" x14ac:dyDescent="0.2">
      <c r="G44690" s="889"/>
    </row>
    <row r="44691" spans="7:7" ht="10.5" customHeight="1" x14ac:dyDescent="0.2">
      <c r="G44691" s="889"/>
    </row>
    <row r="44692" spans="7:7" ht="10.5" customHeight="1" x14ac:dyDescent="0.2">
      <c r="G44692" s="889"/>
    </row>
    <row r="44693" spans="7:7" ht="10.5" customHeight="1" x14ac:dyDescent="0.2">
      <c r="G44693" s="889"/>
    </row>
    <row r="44694" spans="7:7" ht="10.5" customHeight="1" x14ac:dyDescent="0.2">
      <c r="G44694" s="889"/>
    </row>
    <row r="44695" spans="7:7" ht="10.5" customHeight="1" x14ac:dyDescent="0.2">
      <c r="G44695" s="889"/>
    </row>
    <row r="44696" spans="7:7" ht="10.5" customHeight="1" x14ac:dyDescent="0.2">
      <c r="G44696" s="889"/>
    </row>
    <row r="44697" spans="7:7" ht="10.5" customHeight="1" x14ac:dyDescent="0.2">
      <c r="G44697" s="889"/>
    </row>
    <row r="44698" spans="7:7" ht="10.5" customHeight="1" x14ac:dyDescent="0.2">
      <c r="G44698" s="889"/>
    </row>
    <row r="44699" spans="7:7" ht="10.5" customHeight="1" x14ac:dyDescent="0.2">
      <c r="G44699" s="889"/>
    </row>
    <row r="44700" spans="7:7" ht="10.5" customHeight="1" x14ac:dyDescent="0.2">
      <c r="G44700" s="889"/>
    </row>
    <row r="44701" spans="7:7" ht="10.5" customHeight="1" x14ac:dyDescent="0.2">
      <c r="G44701" s="889"/>
    </row>
    <row r="44702" spans="7:7" ht="10.5" customHeight="1" x14ac:dyDescent="0.2">
      <c r="G44702" s="889"/>
    </row>
    <row r="44703" spans="7:7" ht="10.5" customHeight="1" x14ac:dyDescent="0.2">
      <c r="G44703" s="889"/>
    </row>
    <row r="44704" spans="7:7" ht="10.5" customHeight="1" x14ac:dyDescent="0.2">
      <c r="G44704" s="889"/>
    </row>
    <row r="44705" spans="7:7" ht="10.5" customHeight="1" x14ac:dyDescent="0.2">
      <c r="G44705" s="889"/>
    </row>
    <row r="44706" spans="7:7" ht="10.5" customHeight="1" x14ac:dyDescent="0.2">
      <c r="G44706" s="889"/>
    </row>
    <row r="44707" spans="7:7" ht="10.5" customHeight="1" x14ac:dyDescent="0.2">
      <c r="G44707" s="889"/>
    </row>
    <row r="44708" spans="7:7" ht="10.5" customHeight="1" x14ac:dyDescent="0.2">
      <c r="G44708" s="889"/>
    </row>
    <row r="44709" spans="7:7" ht="10.5" customHeight="1" x14ac:dyDescent="0.2">
      <c r="G44709" s="889"/>
    </row>
    <row r="44710" spans="7:7" ht="10.5" customHeight="1" x14ac:dyDescent="0.2">
      <c r="G44710" s="889"/>
    </row>
    <row r="44711" spans="7:7" ht="10.5" customHeight="1" x14ac:dyDescent="0.2">
      <c r="G44711" s="889"/>
    </row>
    <row r="44712" spans="7:7" ht="10.5" customHeight="1" x14ac:dyDescent="0.2">
      <c r="G44712" s="889"/>
    </row>
    <row r="44713" spans="7:7" ht="10.5" customHeight="1" x14ac:dyDescent="0.2">
      <c r="G44713" s="889"/>
    </row>
    <row r="44714" spans="7:7" ht="10.5" customHeight="1" x14ac:dyDescent="0.2">
      <c r="G44714" s="889"/>
    </row>
    <row r="44715" spans="7:7" ht="10.5" customHeight="1" x14ac:dyDescent="0.2">
      <c r="G44715" s="889"/>
    </row>
    <row r="44716" spans="7:7" ht="10.5" customHeight="1" x14ac:dyDescent="0.2">
      <c r="G44716" s="889"/>
    </row>
    <row r="44717" spans="7:7" ht="10.5" customHeight="1" x14ac:dyDescent="0.2">
      <c r="G44717" s="889"/>
    </row>
    <row r="44718" spans="7:7" ht="10.5" customHeight="1" x14ac:dyDescent="0.2">
      <c r="G44718" s="889"/>
    </row>
    <row r="44719" spans="7:7" ht="10.5" customHeight="1" x14ac:dyDescent="0.2">
      <c r="G44719" s="889"/>
    </row>
    <row r="44720" spans="7:7" ht="10.5" customHeight="1" x14ac:dyDescent="0.2">
      <c r="G44720" s="889"/>
    </row>
    <row r="44721" spans="7:7" ht="10.5" customHeight="1" x14ac:dyDescent="0.2">
      <c r="G44721" s="889"/>
    </row>
    <row r="44722" spans="7:7" ht="10.5" customHeight="1" x14ac:dyDescent="0.2">
      <c r="G44722" s="889"/>
    </row>
    <row r="44723" spans="7:7" ht="10.5" customHeight="1" x14ac:dyDescent="0.2">
      <c r="G44723" s="889"/>
    </row>
    <row r="44724" spans="7:7" ht="10.5" customHeight="1" x14ac:dyDescent="0.2">
      <c r="G44724" s="889"/>
    </row>
    <row r="44725" spans="7:7" ht="10.5" customHeight="1" x14ac:dyDescent="0.2">
      <c r="G44725" s="889"/>
    </row>
    <row r="44726" spans="7:7" ht="10.5" customHeight="1" x14ac:dyDescent="0.2">
      <c r="G44726" s="889"/>
    </row>
    <row r="44727" spans="7:7" ht="10.5" customHeight="1" x14ac:dyDescent="0.2">
      <c r="G44727" s="889"/>
    </row>
    <row r="44728" spans="7:7" ht="10.5" customHeight="1" x14ac:dyDescent="0.2">
      <c r="G44728" s="889"/>
    </row>
    <row r="44729" spans="7:7" ht="10.5" customHeight="1" x14ac:dyDescent="0.2">
      <c r="G44729" s="889"/>
    </row>
    <row r="44730" spans="7:7" ht="10.5" customHeight="1" x14ac:dyDescent="0.2">
      <c r="G44730" s="889"/>
    </row>
    <row r="44731" spans="7:7" ht="10.5" customHeight="1" x14ac:dyDescent="0.2">
      <c r="G44731" s="889"/>
    </row>
    <row r="44732" spans="7:7" ht="10.5" customHeight="1" x14ac:dyDescent="0.2">
      <c r="G44732" s="889"/>
    </row>
    <row r="44733" spans="7:7" ht="10.5" customHeight="1" x14ac:dyDescent="0.2">
      <c r="G44733" s="889"/>
    </row>
    <row r="44734" spans="7:7" ht="10.5" customHeight="1" x14ac:dyDescent="0.2">
      <c r="G44734" s="889"/>
    </row>
    <row r="44735" spans="7:7" ht="10.5" customHeight="1" x14ac:dyDescent="0.2">
      <c r="G44735" s="889"/>
    </row>
    <row r="44736" spans="7:7" ht="10.5" customHeight="1" x14ac:dyDescent="0.2">
      <c r="G44736" s="889"/>
    </row>
    <row r="44737" spans="7:7" ht="10.5" customHeight="1" x14ac:dyDescent="0.2">
      <c r="G44737" s="889"/>
    </row>
    <row r="44738" spans="7:7" ht="10.5" customHeight="1" x14ac:dyDescent="0.2">
      <c r="G44738" s="889"/>
    </row>
    <row r="44739" spans="7:7" ht="10.5" customHeight="1" x14ac:dyDescent="0.2">
      <c r="G44739" s="889"/>
    </row>
    <row r="44740" spans="7:7" ht="10.5" customHeight="1" x14ac:dyDescent="0.2">
      <c r="G44740" s="889"/>
    </row>
    <row r="44741" spans="7:7" ht="10.5" customHeight="1" x14ac:dyDescent="0.2">
      <c r="G44741" s="889"/>
    </row>
    <row r="44742" spans="7:7" ht="10.5" customHeight="1" x14ac:dyDescent="0.2">
      <c r="G44742" s="889"/>
    </row>
    <row r="44743" spans="7:7" ht="10.5" customHeight="1" x14ac:dyDescent="0.2">
      <c r="G44743" s="889"/>
    </row>
    <row r="44744" spans="7:7" ht="10.5" customHeight="1" x14ac:dyDescent="0.2">
      <c r="G44744" s="889"/>
    </row>
    <row r="44745" spans="7:7" ht="10.5" customHeight="1" x14ac:dyDescent="0.2">
      <c r="G44745" s="889"/>
    </row>
    <row r="44746" spans="7:7" ht="10.5" customHeight="1" x14ac:dyDescent="0.2">
      <c r="G44746" s="889"/>
    </row>
    <row r="44747" spans="7:7" ht="10.5" customHeight="1" x14ac:dyDescent="0.2">
      <c r="G44747" s="889"/>
    </row>
    <row r="44748" spans="7:7" ht="10.5" customHeight="1" x14ac:dyDescent="0.2">
      <c r="G44748" s="889"/>
    </row>
    <row r="44749" spans="7:7" ht="10.5" customHeight="1" x14ac:dyDescent="0.2">
      <c r="G44749" s="889"/>
    </row>
    <row r="44750" spans="7:7" ht="10.5" customHeight="1" x14ac:dyDescent="0.2">
      <c r="G44750" s="889"/>
    </row>
    <row r="44751" spans="7:7" ht="10.5" customHeight="1" x14ac:dyDescent="0.2">
      <c r="G44751" s="889"/>
    </row>
    <row r="44752" spans="7:7" ht="10.5" customHeight="1" x14ac:dyDescent="0.2">
      <c r="G44752" s="889"/>
    </row>
    <row r="44753" spans="7:7" ht="10.5" customHeight="1" x14ac:dyDescent="0.2">
      <c r="G44753" s="889"/>
    </row>
    <row r="44754" spans="7:7" ht="10.5" customHeight="1" x14ac:dyDescent="0.2">
      <c r="G44754" s="889"/>
    </row>
    <row r="44755" spans="7:7" ht="10.5" customHeight="1" x14ac:dyDescent="0.2">
      <c r="G44755" s="889"/>
    </row>
    <row r="44756" spans="7:7" ht="10.5" customHeight="1" x14ac:dyDescent="0.2">
      <c r="G44756" s="889"/>
    </row>
    <row r="44757" spans="7:7" ht="10.5" customHeight="1" x14ac:dyDescent="0.2">
      <c r="G44757" s="889"/>
    </row>
    <row r="44758" spans="7:7" ht="10.5" customHeight="1" x14ac:dyDescent="0.2">
      <c r="G44758" s="889"/>
    </row>
    <row r="44759" spans="7:7" ht="10.5" customHeight="1" x14ac:dyDescent="0.2">
      <c r="G44759" s="889"/>
    </row>
    <row r="44760" spans="7:7" ht="10.5" customHeight="1" x14ac:dyDescent="0.2">
      <c r="G44760" s="889"/>
    </row>
    <row r="44761" spans="7:7" ht="10.5" customHeight="1" x14ac:dyDescent="0.2">
      <c r="G44761" s="889"/>
    </row>
    <row r="44762" spans="7:7" ht="10.5" customHeight="1" x14ac:dyDescent="0.2">
      <c r="G44762" s="889"/>
    </row>
    <row r="44763" spans="7:7" ht="10.5" customHeight="1" x14ac:dyDescent="0.2">
      <c r="G44763" s="889"/>
    </row>
    <row r="44764" spans="7:7" ht="10.5" customHeight="1" x14ac:dyDescent="0.2">
      <c r="G44764" s="889"/>
    </row>
    <row r="44765" spans="7:7" ht="10.5" customHeight="1" x14ac:dyDescent="0.2">
      <c r="G44765" s="889"/>
    </row>
    <row r="44766" spans="7:7" ht="10.5" customHeight="1" x14ac:dyDescent="0.2">
      <c r="G44766" s="889"/>
    </row>
    <row r="44767" spans="7:7" ht="10.5" customHeight="1" x14ac:dyDescent="0.2">
      <c r="G44767" s="889"/>
    </row>
    <row r="44768" spans="7:7" ht="10.5" customHeight="1" x14ac:dyDescent="0.2">
      <c r="G44768" s="889"/>
    </row>
    <row r="44769" spans="7:7" ht="10.5" customHeight="1" x14ac:dyDescent="0.2">
      <c r="G44769" s="889"/>
    </row>
    <row r="44770" spans="7:7" ht="10.5" customHeight="1" x14ac:dyDescent="0.2">
      <c r="G44770" s="889"/>
    </row>
    <row r="44771" spans="7:7" ht="10.5" customHeight="1" x14ac:dyDescent="0.2">
      <c r="G44771" s="889"/>
    </row>
    <row r="44772" spans="7:7" ht="10.5" customHeight="1" x14ac:dyDescent="0.2">
      <c r="G44772" s="889"/>
    </row>
    <row r="44773" spans="7:7" ht="10.5" customHeight="1" x14ac:dyDescent="0.2">
      <c r="G44773" s="889"/>
    </row>
    <row r="44774" spans="7:7" ht="10.5" customHeight="1" x14ac:dyDescent="0.2">
      <c r="G44774" s="889"/>
    </row>
    <row r="44775" spans="7:7" ht="10.5" customHeight="1" x14ac:dyDescent="0.2">
      <c r="G44775" s="889"/>
    </row>
    <row r="44776" spans="7:7" ht="10.5" customHeight="1" x14ac:dyDescent="0.2">
      <c r="G44776" s="889"/>
    </row>
    <row r="44777" spans="7:7" ht="10.5" customHeight="1" x14ac:dyDescent="0.2">
      <c r="G44777" s="889"/>
    </row>
    <row r="44778" spans="7:7" ht="10.5" customHeight="1" x14ac:dyDescent="0.2">
      <c r="G44778" s="889"/>
    </row>
    <row r="44779" spans="7:7" ht="10.5" customHeight="1" x14ac:dyDescent="0.2">
      <c r="G44779" s="889"/>
    </row>
    <row r="44780" spans="7:7" ht="10.5" customHeight="1" x14ac:dyDescent="0.2">
      <c r="G44780" s="889"/>
    </row>
    <row r="44781" spans="7:7" ht="10.5" customHeight="1" x14ac:dyDescent="0.2">
      <c r="G44781" s="889"/>
    </row>
    <row r="44782" spans="7:7" ht="10.5" customHeight="1" x14ac:dyDescent="0.2">
      <c r="G44782" s="889"/>
    </row>
    <row r="44783" spans="7:7" ht="10.5" customHeight="1" x14ac:dyDescent="0.2">
      <c r="G44783" s="889"/>
    </row>
    <row r="44784" spans="7:7" ht="10.5" customHeight="1" x14ac:dyDescent="0.2">
      <c r="G44784" s="889"/>
    </row>
    <row r="44785" spans="7:7" ht="10.5" customHeight="1" x14ac:dyDescent="0.2">
      <c r="G44785" s="889"/>
    </row>
    <row r="44786" spans="7:7" ht="10.5" customHeight="1" x14ac:dyDescent="0.2">
      <c r="G44786" s="889"/>
    </row>
    <row r="44787" spans="7:7" ht="10.5" customHeight="1" x14ac:dyDescent="0.2">
      <c r="G44787" s="889"/>
    </row>
    <row r="44788" spans="7:7" ht="10.5" customHeight="1" x14ac:dyDescent="0.2">
      <c r="G44788" s="889"/>
    </row>
    <row r="44789" spans="7:7" ht="10.5" customHeight="1" x14ac:dyDescent="0.2">
      <c r="G44789" s="889"/>
    </row>
    <row r="44790" spans="7:7" ht="10.5" customHeight="1" x14ac:dyDescent="0.2">
      <c r="G44790" s="889"/>
    </row>
    <row r="44791" spans="7:7" ht="10.5" customHeight="1" x14ac:dyDescent="0.2">
      <c r="G44791" s="889"/>
    </row>
    <row r="44792" spans="7:7" ht="10.5" customHeight="1" x14ac:dyDescent="0.2">
      <c r="G44792" s="889"/>
    </row>
    <row r="44793" spans="7:7" ht="10.5" customHeight="1" x14ac:dyDescent="0.2">
      <c r="G44793" s="889"/>
    </row>
    <row r="44794" spans="7:7" ht="10.5" customHeight="1" x14ac:dyDescent="0.2">
      <c r="G44794" s="889"/>
    </row>
    <row r="44795" spans="7:7" ht="10.5" customHeight="1" x14ac:dyDescent="0.2">
      <c r="G44795" s="889"/>
    </row>
    <row r="44796" spans="7:7" ht="10.5" customHeight="1" x14ac:dyDescent="0.2">
      <c r="G44796" s="889"/>
    </row>
    <row r="44797" spans="7:7" ht="10.5" customHeight="1" x14ac:dyDescent="0.2">
      <c r="G44797" s="889"/>
    </row>
    <row r="44798" spans="7:7" ht="10.5" customHeight="1" x14ac:dyDescent="0.2">
      <c r="G44798" s="889"/>
    </row>
    <row r="44799" spans="7:7" ht="10.5" customHeight="1" x14ac:dyDescent="0.2">
      <c r="G44799" s="889"/>
    </row>
    <row r="44800" spans="7:7" ht="10.5" customHeight="1" x14ac:dyDescent="0.2">
      <c r="G44800" s="889"/>
    </row>
    <row r="44801" spans="7:7" ht="10.5" customHeight="1" x14ac:dyDescent="0.2">
      <c r="G44801" s="889"/>
    </row>
    <row r="44802" spans="7:7" ht="10.5" customHeight="1" x14ac:dyDescent="0.2">
      <c r="G44802" s="889"/>
    </row>
    <row r="44803" spans="7:7" ht="10.5" customHeight="1" x14ac:dyDescent="0.2">
      <c r="G44803" s="889"/>
    </row>
    <row r="44804" spans="7:7" ht="10.5" customHeight="1" x14ac:dyDescent="0.2">
      <c r="G44804" s="889"/>
    </row>
    <row r="44805" spans="7:7" ht="10.5" customHeight="1" x14ac:dyDescent="0.2">
      <c r="G44805" s="889"/>
    </row>
    <row r="44806" spans="7:7" ht="10.5" customHeight="1" x14ac:dyDescent="0.2">
      <c r="G44806" s="889"/>
    </row>
    <row r="44807" spans="7:7" ht="10.5" customHeight="1" x14ac:dyDescent="0.2">
      <c r="G44807" s="889"/>
    </row>
    <row r="44808" spans="7:7" ht="10.5" customHeight="1" x14ac:dyDescent="0.2">
      <c r="G44808" s="889"/>
    </row>
    <row r="44809" spans="7:7" ht="10.5" customHeight="1" x14ac:dyDescent="0.2">
      <c r="G44809" s="889"/>
    </row>
    <row r="44810" spans="7:7" ht="10.5" customHeight="1" x14ac:dyDescent="0.2">
      <c r="G44810" s="889"/>
    </row>
    <row r="44811" spans="7:7" ht="10.5" customHeight="1" x14ac:dyDescent="0.2">
      <c r="G44811" s="889"/>
    </row>
    <row r="44812" spans="7:7" ht="10.5" customHeight="1" x14ac:dyDescent="0.2">
      <c r="G44812" s="889"/>
    </row>
    <row r="44813" spans="7:7" ht="10.5" customHeight="1" x14ac:dyDescent="0.2">
      <c r="G44813" s="889"/>
    </row>
    <row r="44814" spans="7:7" ht="10.5" customHeight="1" x14ac:dyDescent="0.2">
      <c r="G44814" s="889"/>
    </row>
    <row r="44815" spans="7:7" ht="10.5" customHeight="1" x14ac:dyDescent="0.2">
      <c r="G44815" s="889"/>
    </row>
    <row r="44816" spans="7:7" ht="10.5" customHeight="1" x14ac:dyDescent="0.2">
      <c r="G44816" s="889"/>
    </row>
    <row r="44817" spans="7:7" ht="10.5" customHeight="1" x14ac:dyDescent="0.2">
      <c r="G44817" s="889"/>
    </row>
    <row r="44818" spans="7:7" ht="10.5" customHeight="1" x14ac:dyDescent="0.2">
      <c r="G44818" s="889"/>
    </row>
    <row r="44819" spans="7:7" ht="10.5" customHeight="1" x14ac:dyDescent="0.2">
      <c r="G44819" s="889"/>
    </row>
    <row r="44820" spans="7:7" ht="10.5" customHeight="1" x14ac:dyDescent="0.2">
      <c r="G44820" s="889"/>
    </row>
    <row r="44821" spans="7:7" ht="10.5" customHeight="1" x14ac:dyDescent="0.2">
      <c r="G44821" s="889"/>
    </row>
    <row r="44822" spans="7:7" ht="10.5" customHeight="1" x14ac:dyDescent="0.2">
      <c r="G44822" s="889"/>
    </row>
    <row r="44823" spans="7:7" ht="10.5" customHeight="1" x14ac:dyDescent="0.2">
      <c r="G44823" s="889"/>
    </row>
    <row r="44824" spans="7:7" ht="10.5" customHeight="1" x14ac:dyDescent="0.2">
      <c r="G44824" s="889"/>
    </row>
    <row r="44825" spans="7:7" ht="10.5" customHeight="1" x14ac:dyDescent="0.2">
      <c r="G44825" s="889"/>
    </row>
    <row r="44826" spans="7:7" ht="10.5" customHeight="1" x14ac:dyDescent="0.2">
      <c r="G44826" s="889"/>
    </row>
    <row r="44827" spans="7:7" ht="10.5" customHeight="1" x14ac:dyDescent="0.2">
      <c r="G44827" s="889"/>
    </row>
    <row r="44828" spans="7:7" ht="10.5" customHeight="1" x14ac:dyDescent="0.2">
      <c r="G44828" s="889"/>
    </row>
    <row r="44829" spans="7:7" ht="10.5" customHeight="1" x14ac:dyDescent="0.2">
      <c r="G44829" s="889"/>
    </row>
    <row r="44830" spans="7:7" ht="10.5" customHeight="1" x14ac:dyDescent="0.2">
      <c r="G44830" s="889"/>
    </row>
    <row r="44831" spans="7:7" ht="10.5" customHeight="1" x14ac:dyDescent="0.2">
      <c r="G44831" s="889"/>
    </row>
    <row r="44832" spans="7:7" ht="10.5" customHeight="1" x14ac:dyDescent="0.2">
      <c r="G44832" s="889"/>
    </row>
    <row r="44833" spans="7:7" ht="10.5" customHeight="1" x14ac:dyDescent="0.2">
      <c r="G44833" s="889"/>
    </row>
    <row r="44834" spans="7:7" ht="10.5" customHeight="1" x14ac:dyDescent="0.2">
      <c r="G44834" s="889"/>
    </row>
    <row r="44835" spans="7:7" ht="10.5" customHeight="1" x14ac:dyDescent="0.2">
      <c r="G44835" s="889"/>
    </row>
    <row r="44836" spans="7:7" ht="10.5" customHeight="1" x14ac:dyDescent="0.2">
      <c r="G44836" s="889"/>
    </row>
    <row r="44837" spans="7:7" ht="10.5" customHeight="1" x14ac:dyDescent="0.2">
      <c r="G44837" s="889"/>
    </row>
    <row r="44838" spans="7:7" ht="10.5" customHeight="1" x14ac:dyDescent="0.2">
      <c r="G44838" s="889"/>
    </row>
    <row r="44839" spans="7:7" ht="10.5" customHeight="1" x14ac:dyDescent="0.2">
      <c r="G44839" s="889"/>
    </row>
    <row r="44840" spans="7:7" ht="10.5" customHeight="1" x14ac:dyDescent="0.2">
      <c r="G44840" s="889"/>
    </row>
    <row r="44841" spans="7:7" ht="10.5" customHeight="1" x14ac:dyDescent="0.2">
      <c r="G44841" s="889"/>
    </row>
    <row r="44842" spans="7:7" ht="10.5" customHeight="1" x14ac:dyDescent="0.2">
      <c r="G44842" s="889"/>
    </row>
    <row r="44843" spans="7:7" ht="10.5" customHeight="1" x14ac:dyDescent="0.2">
      <c r="G44843" s="889"/>
    </row>
    <row r="44844" spans="7:7" ht="10.5" customHeight="1" x14ac:dyDescent="0.2">
      <c r="G44844" s="889"/>
    </row>
    <row r="44845" spans="7:7" ht="10.5" customHeight="1" x14ac:dyDescent="0.2">
      <c r="G44845" s="889"/>
    </row>
    <row r="44846" spans="7:7" ht="10.5" customHeight="1" x14ac:dyDescent="0.2">
      <c r="G44846" s="889"/>
    </row>
    <row r="44847" spans="7:7" ht="10.5" customHeight="1" x14ac:dyDescent="0.2">
      <c r="G44847" s="889"/>
    </row>
    <row r="44848" spans="7:7" ht="10.5" customHeight="1" x14ac:dyDescent="0.2">
      <c r="G44848" s="889"/>
    </row>
    <row r="44849" spans="7:7" ht="10.5" customHeight="1" x14ac:dyDescent="0.2">
      <c r="G44849" s="889"/>
    </row>
    <row r="44850" spans="7:7" ht="10.5" customHeight="1" x14ac:dyDescent="0.2">
      <c r="G44850" s="889"/>
    </row>
    <row r="44851" spans="7:7" ht="10.5" customHeight="1" x14ac:dyDescent="0.2">
      <c r="G44851" s="889"/>
    </row>
    <row r="44852" spans="7:7" ht="10.5" customHeight="1" x14ac:dyDescent="0.2">
      <c r="G44852" s="889"/>
    </row>
    <row r="44853" spans="7:7" ht="10.5" customHeight="1" x14ac:dyDescent="0.2">
      <c r="G44853" s="889"/>
    </row>
    <row r="44854" spans="7:7" ht="10.5" customHeight="1" x14ac:dyDescent="0.2">
      <c r="G44854" s="889"/>
    </row>
    <row r="44855" spans="7:7" ht="10.5" customHeight="1" x14ac:dyDescent="0.2">
      <c r="G44855" s="889"/>
    </row>
    <row r="44856" spans="7:7" ht="10.5" customHeight="1" x14ac:dyDescent="0.2">
      <c r="G44856" s="889"/>
    </row>
    <row r="44857" spans="7:7" ht="10.5" customHeight="1" x14ac:dyDescent="0.2">
      <c r="G44857" s="889"/>
    </row>
    <row r="44858" spans="7:7" ht="10.5" customHeight="1" x14ac:dyDescent="0.2">
      <c r="G44858" s="889"/>
    </row>
    <row r="44859" spans="7:7" ht="10.5" customHeight="1" x14ac:dyDescent="0.2">
      <c r="G44859" s="889"/>
    </row>
    <row r="44860" spans="7:7" ht="10.5" customHeight="1" x14ac:dyDescent="0.2">
      <c r="G44860" s="889"/>
    </row>
    <row r="44861" spans="7:7" ht="10.5" customHeight="1" x14ac:dyDescent="0.2">
      <c r="G44861" s="889"/>
    </row>
    <row r="44862" spans="7:7" ht="10.5" customHeight="1" x14ac:dyDescent="0.2">
      <c r="G44862" s="889"/>
    </row>
    <row r="44863" spans="7:7" ht="10.5" customHeight="1" x14ac:dyDescent="0.2">
      <c r="G44863" s="889"/>
    </row>
    <row r="44864" spans="7:7" ht="10.5" customHeight="1" x14ac:dyDescent="0.2">
      <c r="G44864" s="889"/>
    </row>
    <row r="44865" spans="7:7" ht="10.5" customHeight="1" x14ac:dyDescent="0.2">
      <c r="G44865" s="889"/>
    </row>
    <row r="44866" spans="7:7" ht="10.5" customHeight="1" x14ac:dyDescent="0.2">
      <c r="G44866" s="889"/>
    </row>
    <row r="44867" spans="7:7" ht="10.5" customHeight="1" x14ac:dyDescent="0.2">
      <c r="G44867" s="889"/>
    </row>
    <row r="44868" spans="7:7" ht="10.5" customHeight="1" x14ac:dyDescent="0.2">
      <c r="G44868" s="889"/>
    </row>
    <row r="44869" spans="7:7" ht="10.5" customHeight="1" x14ac:dyDescent="0.2">
      <c r="G44869" s="889"/>
    </row>
    <row r="44870" spans="7:7" ht="10.5" customHeight="1" x14ac:dyDescent="0.2">
      <c r="G44870" s="889"/>
    </row>
    <row r="44871" spans="7:7" ht="10.5" customHeight="1" x14ac:dyDescent="0.2">
      <c r="G44871" s="889"/>
    </row>
    <row r="44872" spans="7:7" ht="10.5" customHeight="1" x14ac:dyDescent="0.2">
      <c r="G44872" s="889"/>
    </row>
    <row r="44873" spans="7:7" ht="10.5" customHeight="1" x14ac:dyDescent="0.2">
      <c r="G44873" s="889"/>
    </row>
    <row r="44874" spans="7:7" ht="10.5" customHeight="1" x14ac:dyDescent="0.2">
      <c r="G44874" s="889"/>
    </row>
    <row r="44875" spans="7:7" ht="10.5" customHeight="1" x14ac:dyDescent="0.2">
      <c r="G44875" s="889"/>
    </row>
    <row r="44876" spans="7:7" ht="10.5" customHeight="1" x14ac:dyDescent="0.2">
      <c r="G44876" s="889"/>
    </row>
    <row r="44877" spans="7:7" ht="10.5" customHeight="1" x14ac:dyDescent="0.2">
      <c r="G44877" s="889"/>
    </row>
    <row r="44878" spans="7:7" ht="10.5" customHeight="1" x14ac:dyDescent="0.2">
      <c r="G44878" s="889"/>
    </row>
    <row r="44879" spans="7:7" ht="10.5" customHeight="1" x14ac:dyDescent="0.2">
      <c r="G44879" s="889"/>
    </row>
    <row r="44880" spans="7:7" ht="10.5" customHeight="1" x14ac:dyDescent="0.2">
      <c r="G44880" s="889"/>
    </row>
    <row r="44881" spans="7:7" ht="10.5" customHeight="1" x14ac:dyDescent="0.2">
      <c r="G44881" s="889"/>
    </row>
    <row r="44882" spans="7:7" ht="10.5" customHeight="1" x14ac:dyDescent="0.2">
      <c r="G44882" s="889"/>
    </row>
    <row r="44883" spans="7:7" ht="10.5" customHeight="1" x14ac:dyDescent="0.2">
      <c r="G44883" s="889"/>
    </row>
    <row r="44884" spans="7:7" ht="10.5" customHeight="1" x14ac:dyDescent="0.2">
      <c r="G44884" s="889"/>
    </row>
    <row r="44885" spans="7:7" ht="10.5" customHeight="1" x14ac:dyDescent="0.2">
      <c r="G44885" s="889"/>
    </row>
    <row r="44886" spans="7:7" ht="10.5" customHeight="1" x14ac:dyDescent="0.2">
      <c r="G44886" s="889"/>
    </row>
    <row r="44887" spans="7:7" ht="10.5" customHeight="1" x14ac:dyDescent="0.2">
      <c r="G44887" s="889"/>
    </row>
    <row r="44888" spans="7:7" ht="10.5" customHeight="1" x14ac:dyDescent="0.2">
      <c r="G44888" s="889"/>
    </row>
    <row r="44889" spans="7:7" ht="10.5" customHeight="1" x14ac:dyDescent="0.2">
      <c r="G44889" s="889"/>
    </row>
    <row r="44890" spans="7:7" ht="10.5" customHeight="1" x14ac:dyDescent="0.2">
      <c r="G44890" s="889"/>
    </row>
    <row r="44891" spans="7:7" ht="10.5" customHeight="1" x14ac:dyDescent="0.2">
      <c r="G44891" s="889"/>
    </row>
    <row r="44892" spans="7:7" ht="10.5" customHeight="1" x14ac:dyDescent="0.2">
      <c r="G44892" s="889"/>
    </row>
    <row r="44893" spans="7:7" ht="10.5" customHeight="1" x14ac:dyDescent="0.2">
      <c r="G44893" s="889"/>
    </row>
    <row r="44894" spans="7:7" ht="10.5" customHeight="1" x14ac:dyDescent="0.2">
      <c r="G44894" s="889"/>
    </row>
    <row r="44895" spans="7:7" ht="10.5" customHeight="1" x14ac:dyDescent="0.2">
      <c r="G44895" s="889"/>
    </row>
    <row r="44896" spans="7:7" ht="10.5" customHeight="1" x14ac:dyDescent="0.2">
      <c r="G44896" s="889"/>
    </row>
    <row r="44897" spans="7:7" ht="10.5" customHeight="1" x14ac:dyDescent="0.2">
      <c r="G44897" s="889"/>
    </row>
    <row r="44898" spans="7:7" ht="10.5" customHeight="1" x14ac:dyDescent="0.2">
      <c r="G44898" s="889"/>
    </row>
    <row r="44899" spans="7:7" ht="10.5" customHeight="1" x14ac:dyDescent="0.2">
      <c r="G44899" s="889"/>
    </row>
    <row r="44900" spans="7:7" ht="10.5" customHeight="1" x14ac:dyDescent="0.2">
      <c r="G44900" s="889"/>
    </row>
    <row r="44901" spans="7:7" ht="10.5" customHeight="1" x14ac:dyDescent="0.2">
      <c r="G44901" s="889"/>
    </row>
    <row r="44902" spans="7:7" ht="10.5" customHeight="1" x14ac:dyDescent="0.2">
      <c r="G44902" s="889"/>
    </row>
    <row r="44903" spans="7:7" ht="10.5" customHeight="1" x14ac:dyDescent="0.2">
      <c r="G44903" s="889"/>
    </row>
    <row r="44904" spans="7:7" ht="10.5" customHeight="1" x14ac:dyDescent="0.2">
      <c r="G44904" s="889"/>
    </row>
    <row r="44905" spans="7:7" ht="10.5" customHeight="1" x14ac:dyDescent="0.2">
      <c r="G44905" s="889"/>
    </row>
    <row r="44906" spans="7:7" ht="10.5" customHeight="1" x14ac:dyDescent="0.2">
      <c r="G44906" s="889"/>
    </row>
    <row r="44907" spans="7:7" ht="10.5" customHeight="1" x14ac:dyDescent="0.2">
      <c r="G44907" s="889"/>
    </row>
    <row r="44908" spans="7:7" ht="10.5" customHeight="1" x14ac:dyDescent="0.2">
      <c r="G44908" s="889"/>
    </row>
    <row r="44909" spans="7:7" ht="10.5" customHeight="1" x14ac:dyDescent="0.2">
      <c r="G44909" s="889"/>
    </row>
    <row r="44910" spans="7:7" ht="10.5" customHeight="1" x14ac:dyDescent="0.2">
      <c r="G44910" s="889"/>
    </row>
    <row r="44911" spans="7:7" ht="10.5" customHeight="1" x14ac:dyDescent="0.2">
      <c r="G44911" s="889"/>
    </row>
    <row r="44912" spans="7:7" ht="10.5" customHeight="1" x14ac:dyDescent="0.2">
      <c r="G44912" s="889"/>
    </row>
    <row r="44913" spans="7:7" ht="10.5" customHeight="1" x14ac:dyDescent="0.2">
      <c r="G44913" s="889"/>
    </row>
    <row r="44914" spans="7:7" ht="10.5" customHeight="1" x14ac:dyDescent="0.2">
      <c r="G44914" s="889"/>
    </row>
    <row r="44915" spans="7:7" ht="10.5" customHeight="1" x14ac:dyDescent="0.2">
      <c r="G44915" s="889"/>
    </row>
    <row r="44916" spans="7:7" ht="10.5" customHeight="1" x14ac:dyDescent="0.2">
      <c r="G44916" s="889"/>
    </row>
    <row r="44917" spans="7:7" ht="10.5" customHeight="1" x14ac:dyDescent="0.2">
      <c r="G44917" s="889"/>
    </row>
    <row r="44918" spans="7:7" ht="10.5" customHeight="1" x14ac:dyDescent="0.2">
      <c r="G44918" s="889"/>
    </row>
    <row r="44919" spans="7:7" ht="10.5" customHeight="1" x14ac:dyDescent="0.2">
      <c r="G44919" s="889"/>
    </row>
    <row r="44920" spans="7:7" ht="10.5" customHeight="1" x14ac:dyDescent="0.2">
      <c r="G44920" s="889"/>
    </row>
    <row r="44921" spans="7:7" ht="10.5" customHeight="1" x14ac:dyDescent="0.2">
      <c r="G44921" s="889"/>
    </row>
    <row r="44922" spans="7:7" ht="10.5" customHeight="1" x14ac:dyDescent="0.2">
      <c r="G44922" s="889"/>
    </row>
    <row r="44923" spans="7:7" ht="10.5" customHeight="1" x14ac:dyDescent="0.2">
      <c r="G44923" s="889"/>
    </row>
    <row r="44924" spans="7:7" ht="10.5" customHeight="1" x14ac:dyDescent="0.2">
      <c r="G44924" s="889"/>
    </row>
    <row r="44925" spans="7:7" ht="10.5" customHeight="1" x14ac:dyDescent="0.2">
      <c r="G44925" s="889"/>
    </row>
    <row r="44926" spans="7:7" ht="10.5" customHeight="1" x14ac:dyDescent="0.2">
      <c r="G44926" s="889"/>
    </row>
    <row r="44927" spans="7:7" ht="10.5" customHeight="1" x14ac:dyDescent="0.2">
      <c r="G44927" s="889"/>
    </row>
    <row r="44928" spans="7:7" ht="10.5" customHeight="1" x14ac:dyDescent="0.2">
      <c r="G44928" s="889"/>
    </row>
    <row r="44929" spans="7:7" ht="10.5" customHeight="1" x14ac:dyDescent="0.2">
      <c r="G44929" s="889"/>
    </row>
    <row r="44930" spans="7:7" ht="10.5" customHeight="1" x14ac:dyDescent="0.2">
      <c r="G44930" s="889"/>
    </row>
    <row r="44931" spans="7:7" ht="10.5" customHeight="1" x14ac:dyDescent="0.2">
      <c r="G44931" s="889"/>
    </row>
    <row r="44932" spans="7:7" ht="10.5" customHeight="1" x14ac:dyDescent="0.2">
      <c r="G44932" s="889"/>
    </row>
    <row r="44933" spans="7:7" ht="10.5" customHeight="1" x14ac:dyDescent="0.2">
      <c r="G44933" s="889"/>
    </row>
    <row r="44934" spans="7:7" ht="10.5" customHeight="1" x14ac:dyDescent="0.2">
      <c r="G44934" s="889"/>
    </row>
    <row r="44935" spans="7:7" ht="10.5" customHeight="1" x14ac:dyDescent="0.2">
      <c r="G44935" s="889"/>
    </row>
    <row r="44936" spans="7:7" ht="10.5" customHeight="1" x14ac:dyDescent="0.2">
      <c r="G44936" s="889"/>
    </row>
    <row r="44937" spans="7:7" ht="10.5" customHeight="1" x14ac:dyDescent="0.2">
      <c r="G44937" s="889"/>
    </row>
    <row r="44938" spans="7:7" ht="10.5" customHeight="1" x14ac:dyDescent="0.2">
      <c r="G44938" s="889"/>
    </row>
    <row r="44939" spans="7:7" ht="10.5" customHeight="1" x14ac:dyDescent="0.2">
      <c r="G44939" s="889"/>
    </row>
    <row r="44940" spans="7:7" ht="10.5" customHeight="1" x14ac:dyDescent="0.2">
      <c r="G44940" s="889"/>
    </row>
    <row r="44941" spans="7:7" ht="10.5" customHeight="1" x14ac:dyDescent="0.2">
      <c r="G44941" s="889"/>
    </row>
    <row r="44942" spans="7:7" ht="10.5" customHeight="1" x14ac:dyDescent="0.2">
      <c r="G44942" s="889"/>
    </row>
    <row r="44943" spans="7:7" ht="10.5" customHeight="1" x14ac:dyDescent="0.2">
      <c r="G44943" s="889"/>
    </row>
    <row r="44944" spans="7:7" ht="10.5" customHeight="1" x14ac:dyDescent="0.2">
      <c r="G44944" s="889"/>
    </row>
    <row r="44945" spans="7:7" ht="10.5" customHeight="1" x14ac:dyDescent="0.2">
      <c r="G44945" s="889"/>
    </row>
    <row r="44946" spans="7:7" ht="10.5" customHeight="1" x14ac:dyDescent="0.2">
      <c r="G44946" s="889"/>
    </row>
    <row r="44947" spans="7:7" ht="10.5" customHeight="1" x14ac:dyDescent="0.2">
      <c r="G44947" s="889"/>
    </row>
    <row r="44948" spans="7:7" ht="10.5" customHeight="1" x14ac:dyDescent="0.2">
      <c r="G44948" s="889"/>
    </row>
    <row r="44949" spans="7:7" ht="10.5" customHeight="1" x14ac:dyDescent="0.2">
      <c r="G44949" s="889"/>
    </row>
    <row r="44950" spans="7:7" ht="10.5" customHeight="1" x14ac:dyDescent="0.2">
      <c r="G44950" s="889"/>
    </row>
    <row r="44951" spans="7:7" ht="10.5" customHeight="1" x14ac:dyDescent="0.2">
      <c r="G44951" s="889"/>
    </row>
    <row r="44952" spans="7:7" ht="10.5" customHeight="1" x14ac:dyDescent="0.2">
      <c r="G44952" s="889"/>
    </row>
    <row r="44953" spans="7:7" ht="10.5" customHeight="1" x14ac:dyDescent="0.2">
      <c r="G44953" s="889"/>
    </row>
    <row r="44954" spans="7:7" ht="10.5" customHeight="1" x14ac:dyDescent="0.2">
      <c r="G44954" s="889"/>
    </row>
    <row r="44955" spans="7:7" ht="10.5" customHeight="1" x14ac:dyDescent="0.2">
      <c r="G44955" s="889"/>
    </row>
    <row r="44956" spans="7:7" ht="10.5" customHeight="1" x14ac:dyDescent="0.2">
      <c r="G44956" s="889"/>
    </row>
    <row r="44957" spans="7:7" ht="10.5" customHeight="1" x14ac:dyDescent="0.2">
      <c r="G44957" s="889"/>
    </row>
    <row r="44958" spans="7:7" ht="10.5" customHeight="1" x14ac:dyDescent="0.2">
      <c r="G44958" s="889"/>
    </row>
    <row r="44959" spans="7:7" ht="10.5" customHeight="1" x14ac:dyDescent="0.2">
      <c r="G44959" s="889"/>
    </row>
    <row r="44960" spans="7:7" ht="10.5" customHeight="1" x14ac:dyDescent="0.2">
      <c r="G44960" s="889"/>
    </row>
    <row r="44961" spans="7:7" ht="10.5" customHeight="1" x14ac:dyDescent="0.2">
      <c r="G44961" s="889"/>
    </row>
    <row r="44962" spans="7:7" ht="10.5" customHeight="1" x14ac:dyDescent="0.2">
      <c r="G44962" s="889"/>
    </row>
    <row r="44963" spans="7:7" ht="10.5" customHeight="1" x14ac:dyDescent="0.2">
      <c r="G44963" s="889"/>
    </row>
    <row r="44964" spans="7:7" ht="10.5" customHeight="1" x14ac:dyDescent="0.2">
      <c r="G44964" s="889"/>
    </row>
    <row r="44965" spans="7:7" ht="10.5" customHeight="1" x14ac:dyDescent="0.2">
      <c r="G44965" s="889"/>
    </row>
    <row r="44966" spans="7:7" ht="10.5" customHeight="1" x14ac:dyDescent="0.2">
      <c r="G44966" s="889"/>
    </row>
    <row r="44967" spans="7:7" ht="10.5" customHeight="1" x14ac:dyDescent="0.2">
      <c r="G44967" s="889"/>
    </row>
    <row r="44968" spans="7:7" ht="10.5" customHeight="1" x14ac:dyDescent="0.2">
      <c r="G44968" s="889"/>
    </row>
    <row r="44969" spans="7:7" ht="10.5" customHeight="1" x14ac:dyDescent="0.2">
      <c r="G44969" s="889"/>
    </row>
    <row r="44970" spans="7:7" ht="10.5" customHeight="1" x14ac:dyDescent="0.2">
      <c r="G44970" s="889"/>
    </row>
    <row r="44971" spans="7:7" ht="10.5" customHeight="1" x14ac:dyDescent="0.2">
      <c r="G44971" s="889"/>
    </row>
    <row r="44972" spans="7:7" ht="10.5" customHeight="1" x14ac:dyDescent="0.2">
      <c r="G44972" s="889"/>
    </row>
    <row r="44973" spans="7:7" ht="10.5" customHeight="1" x14ac:dyDescent="0.2">
      <c r="G44973" s="889"/>
    </row>
    <row r="44974" spans="7:7" ht="10.5" customHeight="1" x14ac:dyDescent="0.2">
      <c r="G44974" s="889"/>
    </row>
    <row r="44975" spans="7:7" ht="10.5" customHeight="1" x14ac:dyDescent="0.2">
      <c r="G44975" s="889"/>
    </row>
    <row r="44976" spans="7:7" ht="10.5" customHeight="1" x14ac:dyDescent="0.2">
      <c r="G44976" s="889"/>
    </row>
    <row r="44977" spans="7:7" ht="10.5" customHeight="1" x14ac:dyDescent="0.2">
      <c r="G44977" s="889"/>
    </row>
    <row r="44978" spans="7:7" ht="10.5" customHeight="1" x14ac:dyDescent="0.2">
      <c r="G44978" s="889"/>
    </row>
    <row r="44979" spans="7:7" ht="10.5" customHeight="1" x14ac:dyDescent="0.2">
      <c r="G44979" s="889"/>
    </row>
    <row r="44980" spans="7:7" ht="10.5" customHeight="1" x14ac:dyDescent="0.2">
      <c r="G44980" s="889"/>
    </row>
    <row r="44981" spans="7:7" ht="10.5" customHeight="1" x14ac:dyDescent="0.2">
      <c r="G44981" s="889"/>
    </row>
    <row r="44982" spans="7:7" ht="10.5" customHeight="1" x14ac:dyDescent="0.2">
      <c r="G44982" s="889"/>
    </row>
    <row r="44983" spans="7:7" ht="10.5" customHeight="1" x14ac:dyDescent="0.2">
      <c r="G44983" s="889"/>
    </row>
    <row r="44984" spans="7:7" ht="10.5" customHeight="1" x14ac:dyDescent="0.2">
      <c r="G44984" s="889"/>
    </row>
    <row r="44985" spans="7:7" ht="10.5" customHeight="1" x14ac:dyDescent="0.2">
      <c r="G44985" s="889"/>
    </row>
    <row r="44986" spans="7:7" ht="10.5" customHeight="1" x14ac:dyDescent="0.2">
      <c r="G44986" s="889"/>
    </row>
    <row r="44987" spans="7:7" ht="10.5" customHeight="1" x14ac:dyDescent="0.2">
      <c r="G44987" s="889"/>
    </row>
    <row r="44988" spans="7:7" ht="10.5" customHeight="1" x14ac:dyDescent="0.2">
      <c r="G44988" s="889"/>
    </row>
    <row r="44989" spans="7:7" ht="10.5" customHeight="1" x14ac:dyDescent="0.2">
      <c r="G44989" s="889"/>
    </row>
    <row r="44990" spans="7:7" ht="10.5" customHeight="1" x14ac:dyDescent="0.2">
      <c r="G44990" s="889"/>
    </row>
    <row r="44991" spans="7:7" ht="10.5" customHeight="1" x14ac:dyDescent="0.2">
      <c r="G44991" s="889"/>
    </row>
    <row r="44992" spans="7:7" ht="10.5" customHeight="1" x14ac:dyDescent="0.2">
      <c r="G44992" s="889"/>
    </row>
    <row r="44993" spans="7:7" ht="10.5" customHeight="1" x14ac:dyDescent="0.2">
      <c r="G44993" s="889"/>
    </row>
    <row r="44994" spans="7:7" ht="10.5" customHeight="1" x14ac:dyDescent="0.2">
      <c r="G44994" s="889"/>
    </row>
    <row r="44995" spans="7:7" ht="10.5" customHeight="1" x14ac:dyDescent="0.2">
      <c r="G44995" s="889"/>
    </row>
    <row r="44996" spans="7:7" ht="10.5" customHeight="1" x14ac:dyDescent="0.2">
      <c r="G44996" s="889"/>
    </row>
    <row r="44997" spans="7:7" ht="10.5" customHeight="1" x14ac:dyDescent="0.2">
      <c r="G44997" s="889"/>
    </row>
    <row r="44998" spans="7:7" ht="10.5" customHeight="1" x14ac:dyDescent="0.2">
      <c r="G44998" s="889"/>
    </row>
    <row r="44999" spans="7:7" ht="10.5" customHeight="1" x14ac:dyDescent="0.2">
      <c r="G44999" s="889"/>
    </row>
    <row r="45000" spans="7:7" ht="10.5" customHeight="1" x14ac:dyDescent="0.2">
      <c r="G45000" s="889"/>
    </row>
    <row r="45001" spans="7:7" ht="10.5" customHeight="1" x14ac:dyDescent="0.2">
      <c r="G45001" s="889"/>
    </row>
    <row r="45002" spans="7:7" ht="10.5" customHeight="1" x14ac:dyDescent="0.2">
      <c r="G45002" s="889"/>
    </row>
    <row r="45003" spans="7:7" ht="10.5" customHeight="1" x14ac:dyDescent="0.2">
      <c r="G45003" s="889"/>
    </row>
    <row r="45004" spans="7:7" ht="10.5" customHeight="1" x14ac:dyDescent="0.2">
      <c r="G45004" s="889"/>
    </row>
    <row r="45005" spans="7:7" ht="10.5" customHeight="1" x14ac:dyDescent="0.2">
      <c r="G45005" s="889"/>
    </row>
    <row r="45006" spans="7:7" ht="10.5" customHeight="1" x14ac:dyDescent="0.2">
      <c r="G45006" s="889"/>
    </row>
    <row r="45007" spans="7:7" ht="10.5" customHeight="1" x14ac:dyDescent="0.2">
      <c r="G45007" s="889"/>
    </row>
    <row r="45008" spans="7:7" ht="10.5" customHeight="1" x14ac:dyDescent="0.2">
      <c r="G45008" s="889"/>
    </row>
    <row r="45009" spans="7:7" ht="10.5" customHeight="1" x14ac:dyDescent="0.2">
      <c r="G45009" s="889"/>
    </row>
    <row r="45010" spans="7:7" ht="10.5" customHeight="1" x14ac:dyDescent="0.2">
      <c r="G45010" s="889"/>
    </row>
    <row r="45011" spans="7:7" ht="10.5" customHeight="1" x14ac:dyDescent="0.2">
      <c r="G45011" s="889"/>
    </row>
    <row r="45012" spans="7:7" ht="10.5" customHeight="1" x14ac:dyDescent="0.2">
      <c r="G45012" s="889"/>
    </row>
    <row r="45013" spans="7:7" ht="10.5" customHeight="1" x14ac:dyDescent="0.2">
      <c r="G45013" s="889"/>
    </row>
    <row r="45014" spans="7:7" ht="10.5" customHeight="1" x14ac:dyDescent="0.2">
      <c r="G45014" s="889"/>
    </row>
    <row r="45015" spans="7:7" ht="10.5" customHeight="1" x14ac:dyDescent="0.2">
      <c r="G45015" s="889"/>
    </row>
    <row r="45016" spans="7:7" ht="10.5" customHeight="1" x14ac:dyDescent="0.2">
      <c r="G45016" s="889"/>
    </row>
    <row r="45017" spans="7:7" ht="10.5" customHeight="1" x14ac:dyDescent="0.2">
      <c r="G45017" s="889"/>
    </row>
    <row r="45018" spans="7:7" ht="10.5" customHeight="1" x14ac:dyDescent="0.2">
      <c r="G45018" s="889"/>
    </row>
    <row r="45019" spans="7:7" ht="10.5" customHeight="1" x14ac:dyDescent="0.2">
      <c r="G45019" s="889"/>
    </row>
    <row r="45020" spans="7:7" ht="10.5" customHeight="1" x14ac:dyDescent="0.2">
      <c r="G45020" s="889"/>
    </row>
    <row r="45021" spans="7:7" ht="10.5" customHeight="1" x14ac:dyDescent="0.2">
      <c r="G45021" s="889"/>
    </row>
    <row r="45022" spans="7:7" ht="10.5" customHeight="1" x14ac:dyDescent="0.2">
      <c r="G45022" s="889"/>
    </row>
    <row r="45023" spans="7:7" ht="10.5" customHeight="1" x14ac:dyDescent="0.2">
      <c r="G45023" s="889"/>
    </row>
    <row r="45024" spans="7:7" ht="10.5" customHeight="1" x14ac:dyDescent="0.2">
      <c r="G45024" s="889"/>
    </row>
    <row r="45025" spans="7:7" ht="10.5" customHeight="1" x14ac:dyDescent="0.2">
      <c r="G45025" s="889"/>
    </row>
    <row r="45026" spans="7:7" ht="10.5" customHeight="1" x14ac:dyDescent="0.2">
      <c r="G45026" s="889"/>
    </row>
    <row r="45027" spans="7:7" ht="10.5" customHeight="1" x14ac:dyDescent="0.2">
      <c r="G45027" s="889"/>
    </row>
    <row r="45028" spans="7:7" ht="10.5" customHeight="1" x14ac:dyDescent="0.2">
      <c r="G45028" s="889"/>
    </row>
    <row r="45029" spans="7:7" ht="10.5" customHeight="1" x14ac:dyDescent="0.2">
      <c r="G45029" s="889"/>
    </row>
    <row r="45030" spans="7:7" ht="10.5" customHeight="1" x14ac:dyDescent="0.2">
      <c r="G45030" s="889"/>
    </row>
    <row r="45031" spans="7:7" ht="10.5" customHeight="1" x14ac:dyDescent="0.2">
      <c r="G45031" s="889"/>
    </row>
    <row r="45032" spans="7:7" ht="10.5" customHeight="1" x14ac:dyDescent="0.2">
      <c r="G45032" s="889"/>
    </row>
    <row r="45033" spans="7:7" ht="10.5" customHeight="1" x14ac:dyDescent="0.2">
      <c r="G45033" s="889"/>
    </row>
    <row r="45034" spans="7:7" ht="10.5" customHeight="1" x14ac:dyDescent="0.2">
      <c r="G45034" s="889"/>
    </row>
    <row r="45035" spans="7:7" ht="10.5" customHeight="1" x14ac:dyDescent="0.2">
      <c r="G45035" s="889"/>
    </row>
    <row r="45036" spans="7:7" ht="10.5" customHeight="1" x14ac:dyDescent="0.2">
      <c r="G45036" s="889"/>
    </row>
    <row r="45037" spans="7:7" ht="10.5" customHeight="1" x14ac:dyDescent="0.2">
      <c r="G45037" s="889"/>
    </row>
    <row r="45038" spans="7:7" ht="10.5" customHeight="1" x14ac:dyDescent="0.2">
      <c r="G45038" s="889"/>
    </row>
    <row r="45039" spans="7:7" ht="10.5" customHeight="1" x14ac:dyDescent="0.2">
      <c r="G45039" s="889"/>
    </row>
    <row r="45040" spans="7:7" ht="10.5" customHeight="1" x14ac:dyDescent="0.2">
      <c r="G45040" s="889"/>
    </row>
    <row r="45041" spans="7:7" ht="10.5" customHeight="1" x14ac:dyDescent="0.2">
      <c r="G45041" s="889"/>
    </row>
    <row r="45042" spans="7:7" ht="10.5" customHeight="1" x14ac:dyDescent="0.2">
      <c r="G45042" s="889"/>
    </row>
    <row r="45043" spans="7:7" ht="10.5" customHeight="1" x14ac:dyDescent="0.2">
      <c r="G45043" s="889"/>
    </row>
    <row r="45044" spans="7:7" ht="10.5" customHeight="1" x14ac:dyDescent="0.2">
      <c r="G45044" s="889"/>
    </row>
    <row r="45045" spans="7:7" ht="10.5" customHeight="1" x14ac:dyDescent="0.2">
      <c r="G45045" s="889"/>
    </row>
    <row r="45046" spans="7:7" ht="10.5" customHeight="1" x14ac:dyDescent="0.2">
      <c r="G45046" s="889"/>
    </row>
    <row r="45047" spans="7:7" ht="10.5" customHeight="1" x14ac:dyDescent="0.2">
      <c r="G45047" s="889"/>
    </row>
    <row r="45048" spans="7:7" ht="10.5" customHeight="1" x14ac:dyDescent="0.2">
      <c r="G45048" s="889"/>
    </row>
    <row r="45049" spans="7:7" ht="10.5" customHeight="1" x14ac:dyDescent="0.2">
      <c r="G45049" s="889"/>
    </row>
    <row r="45050" spans="7:7" ht="10.5" customHeight="1" x14ac:dyDescent="0.2">
      <c r="G45050" s="889"/>
    </row>
    <row r="45051" spans="7:7" ht="10.5" customHeight="1" x14ac:dyDescent="0.2">
      <c r="G45051" s="889"/>
    </row>
    <row r="45052" spans="7:7" ht="10.5" customHeight="1" x14ac:dyDescent="0.2">
      <c r="G45052" s="889"/>
    </row>
    <row r="45053" spans="7:7" ht="10.5" customHeight="1" x14ac:dyDescent="0.2">
      <c r="G45053" s="889"/>
    </row>
    <row r="45054" spans="7:7" ht="10.5" customHeight="1" x14ac:dyDescent="0.2">
      <c r="G45054" s="889"/>
    </row>
    <row r="45055" spans="7:7" ht="10.5" customHeight="1" x14ac:dyDescent="0.2">
      <c r="G45055" s="889"/>
    </row>
    <row r="45056" spans="7:7" ht="10.5" customHeight="1" x14ac:dyDescent="0.2">
      <c r="G45056" s="889"/>
    </row>
    <row r="45057" spans="7:7" ht="10.5" customHeight="1" x14ac:dyDescent="0.2">
      <c r="G45057" s="889"/>
    </row>
    <row r="45058" spans="7:7" ht="10.5" customHeight="1" x14ac:dyDescent="0.2">
      <c r="G45058" s="889"/>
    </row>
    <row r="45059" spans="7:7" ht="10.5" customHeight="1" x14ac:dyDescent="0.2">
      <c r="G45059" s="889"/>
    </row>
    <row r="45060" spans="7:7" ht="10.5" customHeight="1" x14ac:dyDescent="0.2">
      <c r="G45060" s="889"/>
    </row>
    <row r="45061" spans="7:7" ht="10.5" customHeight="1" x14ac:dyDescent="0.2">
      <c r="G45061" s="889"/>
    </row>
    <row r="45062" spans="7:7" ht="10.5" customHeight="1" x14ac:dyDescent="0.2">
      <c r="G45062" s="889"/>
    </row>
    <row r="45063" spans="7:7" ht="10.5" customHeight="1" x14ac:dyDescent="0.2">
      <c r="G45063" s="889"/>
    </row>
    <row r="45064" spans="7:7" ht="10.5" customHeight="1" x14ac:dyDescent="0.2">
      <c r="G45064" s="889"/>
    </row>
    <row r="45065" spans="7:7" ht="10.5" customHeight="1" x14ac:dyDescent="0.2">
      <c r="G45065" s="889"/>
    </row>
    <row r="45066" spans="7:7" ht="10.5" customHeight="1" x14ac:dyDescent="0.2">
      <c r="G45066" s="889"/>
    </row>
    <row r="45067" spans="7:7" ht="10.5" customHeight="1" x14ac:dyDescent="0.2">
      <c r="G45067" s="889"/>
    </row>
    <row r="45068" spans="7:7" ht="10.5" customHeight="1" x14ac:dyDescent="0.2">
      <c r="G45068" s="889"/>
    </row>
    <row r="45069" spans="7:7" ht="10.5" customHeight="1" x14ac:dyDescent="0.2">
      <c r="G45069" s="889"/>
    </row>
    <row r="45070" spans="7:7" ht="10.5" customHeight="1" x14ac:dyDescent="0.2">
      <c r="G45070" s="889"/>
    </row>
    <row r="45071" spans="7:7" ht="10.5" customHeight="1" x14ac:dyDescent="0.2">
      <c r="G45071" s="889"/>
    </row>
    <row r="45072" spans="7:7" ht="10.5" customHeight="1" x14ac:dyDescent="0.2">
      <c r="G45072" s="889"/>
    </row>
    <row r="45073" spans="7:7" ht="10.5" customHeight="1" x14ac:dyDescent="0.2">
      <c r="G45073" s="889"/>
    </row>
    <row r="45074" spans="7:7" ht="10.5" customHeight="1" x14ac:dyDescent="0.2">
      <c r="G45074" s="889"/>
    </row>
    <row r="45075" spans="7:7" ht="10.5" customHeight="1" x14ac:dyDescent="0.2">
      <c r="G45075" s="889"/>
    </row>
    <row r="45076" spans="7:7" ht="10.5" customHeight="1" x14ac:dyDescent="0.2">
      <c r="G45076" s="889"/>
    </row>
    <row r="45077" spans="7:7" ht="10.5" customHeight="1" x14ac:dyDescent="0.2">
      <c r="G45077" s="889"/>
    </row>
    <row r="45078" spans="7:7" ht="10.5" customHeight="1" x14ac:dyDescent="0.2">
      <c r="G45078" s="889"/>
    </row>
    <row r="45079" spans="7:7" ht="10.5" customHeight="1" x14ac:dyDescent="0.2">
      <c r="G45079" s="889"/>
    </row>
    <row r="45080" spans="7:7" ht="10.5" customHeight="1" x14ac:dyDescent="0.2">
      <c r="G45080" s="889"/>
    </row>
    <row r="45081" spans="7:7" ht="10.5" customHeight="1" x14ac:dyDescent="0.2">
      <c r="G45081" s="889"/>
    </row>
    <row r="45082" spans="7:7" ht="10.5" customHeight="1" x14ac:dyDescent="0.2">
      <c r="G45082" s="889"/>
    </row>
    <row r="45083" spans="7:7" ht="10.5" customHeight="1" x14ac:dyDescent="0.2">
      <c r="G45083" s="889"/>
    </row>
    <row r="45084" spans="7:7" ht="10.5" customHeight="1" x14ac:dyDescent="0.2">
      <c r="G45084" s="889"/>
    </row>
    <row r="45085" spans="7:7" ht="10.5" customHeight="1" x14ac:dyDescent="0.2">
      <c r="G45085" s="889"/>
    </row>
    <row r="45086" spans="7:7" ht="10.5" customHeight="1" x14ac:dyDescent="0.2">
      <c r="G45086" s="889"/>
    </row>
    <row r="45087" spans="7:7" ht="10.5" customHeight="1" x14ac:dyDescent="0.2">
      <c r="G45087" s="889"/>
    </row>
    <row r="45088" spans="7:7" ht="10.5" customHeight="1" x14ac:dyDescent="0.2">
      <c r="G45088" s="889"/>
    </row>
    <row r="45089" spans="7:7" ht="10.5" customHeight="1" x14ac:dyDescent="0.2">
      <c r="G45089" s="889"/>
    </row>
    <row r="45090" spans="7:7" ht="10.5" customHeight="1" x14ac:dyDescent="0.2">
      <c r="G45090" s="889"/>
    </row>
    <row r="45091" spans="7:7" ht="10.5" customHeight="1" x14ac:dyDescent="0.2">
      <c r="G45091" s="889"/>
    </row>
    <row r="45092" spans="7:7" ht="10.5" customHeight="1" x14ac:dyDescent="0.2">
      <c r="G45092" s="889"/>
    </row>
    <row r="45093" spans="7:7" ht="10.5" customHeight="1" x14ac:dyDescent="0.2">
      <c r="G45093" s="889"/>
    </row>
    <row r="45094" spans="7:7" ht="10.5" customHeight="1" x14ac:dyDescent="0.2">
      <c r="G45094" s="889"/>
    </row>
    <row r="45095" spans="7:7" ht="10.5" customHeight="1" x14ac:dyDescent="0.2">
      <c r="G45095" s="889"/>
    </row>
    <row r="45096" spans="7:7" ht="10.5" customHeight="1" x14ac:dyDescent="0.2">
      <c r="G45096" s="889"/>
    </row>
    <row r="45097" spans="7:7" ht="10.5" customHeight="1" x14ac:dyDescent="0.2">
      <c r="G45097" s="889"/>
    </row>
    <row r="45098" spans="7:7" ht="10.5" customHeight="1" x14ac:dyDescent="0.2">
      <c r="G45098" s="889"/>
    </row>
    <row r="45099" spans="7:7" ht="10.5" customHeight="1" x14ac:dyDescent="0.2">
      <c r="G45099" s="889"/>
    </row>
    <row r="45100" spans="7:7" ht="10.5" customHeight="1" x14ac:dyDescent="0.2">
      <c r="G45100" s="889"/>
    </row>
    <row r="45101" spans="7:7" ht="10.5" customHeight="1" x14ac:dyDescent="0.2">
      <c r="G45101" s="889"/>
    </row>
    <row r="45102" spans="7:7" ht="10.5" customHeight="1" x14ac:dyDescent="0.2">
      <c r="G45102" s="889"/>
    </row>
    <row r="45103" spans="7:7" ht="10.5" customHeight="1" x14ac:dyDescent="0.2">
      <c r="G45103" s="889"/>
    </row>
    <row r="45104" spans="7:7" ht="10.5" customHeight="1" x14ac:dyDescent="0.2">
      <c r="G45104" s="889"/>
    </row>
    <row r="45105" spans="7:7" ht="10.5" customHeight="1" x14ac:dyDescent="0.2">
      <c r="G45105" s="889"/>
    </row>
    <row r="45106" spans="7:7" ht="10.5" customHeight="1" x14ac:dyDescent="0.2">
      <c r="G45106" s="889"/>
    </row>
    <row r="45107" spans="7:7" ht="10.5" customHeight="1" x14ac:dyDescent="0.2">
      <c r="G45107" s="889"/>
    </row>
    <row r="45108" spans="7:7" ht="10.5" customHeight="1" x14ac:dyDescent="0.2">
      <c r="G45108" s="889"/>
    </row>
    <row r="45109" spans="7:7" ht="10.5" customHeight="1" x14ac:dyDescent="0.2">
      <c r="G45109" s="889"/>
    </row>
    <row r="45110" spans="7:7" ht="10.5" customHeight="1" x14ac:dyDescent="0.2">
      <c r="G45110" s="889"/>
    </row>
    <row r="45111" spans="7:7" ht="10.5" customHeight="1" x14ac:dyDescent="0.2">
      <c r="G45111" s="889"/>
    </row>
    <row r="45112" spans="7:7" ht="10.5" customHeight="1" x14ac:dyDescent="0.2">
      <c r="G45112" s="889"/>
    </row>
    <row r="45113" spans="7:7" ht="10.5" customHeight="1" x14ac:dyDescent="0.2">
      <c r="G45113" s="889"/>
    </row>
    <row r="45114" spans="7:7" ht="10.5" customHeight="1" x14ac:dyDescent="0.2">
      <c r="G45114" s="889"/>
    </row>
    <row r="45115" spans="7:7" ht="10.5" customHeight="1" x14ac:dyDescent="0.2">
      <c r="G45115" s="889"/>
    </row>
    <row r="45116" spans="7:7" ht="10.5" customHeight="1" x14ac:dyDescent="0.2">
      <c r="G45116" s="889"/>
    </row>
    <row r="45117" spans="7:7" ht="10.5" customHeight="1" x14ac:dyDescent="0.2">
      <c r="G45117" s="889"/>
    </row>
    <row r="45118" spans="7:7" ht="10.5" customHeight="1" x14ac:dyDescent="0.2">
      <c r="G45118" s="889"/>
    </row>
    <row r="45119" spans="7:7" ht="10.5" customHeight="1" x14ac:dyDescent="0.2">
      <c r="G45119" s="889"/>
    </row>
    <row r="45120" spans="7:7" ht="10.5" customHeight="1" x14ac:dyDescent="0.2">
      <c r="G45120" s="889"/>
    </row>
    <row r="45121" spans="7:7" ht="10.5" customHeight="1" x14ac:dyDescent="0.2">
      <c r="G45121" s="889"/>
    </row>
    <row r="45122" spans="7:7" ht="10.5" customHeight="1" x14ac:dyDescent="0.2">
      <c r="G45122" s="889"/>
    </row>
    <row r="45123" spans="7:7" ht="10.5" customHeight="1" x14ac:dyDescent="0.2">
      <c r="G45123" s="889"/>
    </row>
    <row r="45124" spans="7:7" ht="10.5" customHeight="1" x14ac:dyDescent="0.2">
      <c r="G45124" s="889"/>
    </row>
    <row r="45125" spans="7:7" ht="10.5" customHeight="1" x14ac:dyDescent="0.2">
      <c r="G45125" s="889"/>
    </row>
    <row r="45126" spans="7:7" ht="10.5" customHeight="1" x14ac:dyDescent="0.2">
      <c r="G45126" s="889"/>
    </row>
    <row r="45127" spans="7:7" ht="10.5" customHeight="1" x14ac:dyDescent="0.2">
      <c r="G45127" s="889"/>
    </row>
    <row r="45128" spans="7:7" ht="10.5" customHeight="1" x14ac:dyDescent="0.2">
      <c r="G45128" s="889"/>
    </row>
    <row r="45129" spans="7:7" ht="10.5" customHeight="1" x14ac:dyDescent="0.2">
      <c r="G45129" s="889"/>
    </row>
    <row r="45130" spans="7:7" ht="10.5" customHeight="1" x14ac:dyDescent="0.2">
      <c r="G45130" s="889"/>
    </row>
    <row r="45131" spans="7:7" ht="10.5" customHeight="1" x14ac:dyDescent="0.2">
      <c r="G45131" s="889"/>
    </row>
    <row r="45132" spans="7:7" ht="10.5" customHeight="1" x14ac:dyDescent="0.2">
      <c r="G45132" s="889"/>
    </row>
    <row r="45133" spans="7:7" ht="10.5" customHeight="1" x14ac:dyDescent="0.2">
      <c r="G45133" s="889"/>
    </row>
    <row r="45134" spans="7:7" ht="10.5" customHeight="1" x14ac:dyDescent="0.2">
      <c r="G45134" s="889"/>
    </row>
    <row r="45135" spans="7:7" ht="10.5" customHeight="1" x14ac:dyDescent="0.2">
      <c r="G45135" s="889"/>
    </row>
    <row r="45136" spans="7:7" ht="10.5" customHeight="1" x14ac:dyDescent="0.2">
      <c r="G45136" s="889"/>
    </row>
    <row r="45137" spans="7:7" ht="10.5" customHeight="1" x14ac:dyDescent="0.2">
      <c r="G45137" s="889"/>
    </row>
    <row r="45138" spans="7:7" ht="10.5" customHeight="1" x14ac:dyDescent="0.2">
      <c r="G45138" s="889"/>
    </row>
    <row r="45139" spans="7:7" ht="10.5" customHeight="1" x14ac:dyDescent="0.2">
      <c r="G45139" s="889"/>
    </row>
    <row r="45140" spans="7:7" ht="10.5" customHeight="1" x14ac:dyDescent="0.2">
      <c r="G45140" s="889"/>
    </row>
    <row r="45141" spans="7:7" ht="10.5" customHeight="1" x14ac:dyDescent="0.2">
      <c r="G45141" s="889"/>
    </row>
    <row r="45142" spans="7:7" ht="10.5" customHeight="1" x14ac:dyDescent="0.2">
      <c r="G45142" s="889"/>
    </row>
    <row r="45143" spans="7:7" ht="10.5" customHeight="1" x14ac:dyDescent="0.2">
      <c r="G45143" s="889"/>
    </row>
    <row r="45144" spans="7:7" ht="10.5" customHeight="1" x14ac:dyDescent="0.2">
      <c r="G45144" s="889"/>
    </row>
    <row r="45145" spans="7:7" ht="10.5" customHeight="1" x14ac:dyDescent="0.2">
      <c r="G45145" s="889"/>
    </row>
    <row r="45146" spans="7:7" ht="10.5" customHeight="1" x14ac:dyDescent="0.2">
      <c r="G45146" s="889"/>
    </row>
    <row r="45147" spans="7:7" ht="10.5" customHeight="1" x14ac:dyDescent="0.2">
      <c r="G45147" s="889"/>
    </row>
    <row r="45148" spans="7:7" ht="10.5" customHeight="1" x14ac:dyDescent="0.2">
      <c r="G45148" s="889"/>
    </row>
    <row r="45149" spans="7:7" ht="10.5" customHeight="1" x14ac:dyDescent="0.2">
      <c r="G45149" s="889"/>
    </row>
    <row r="45150" spans="7:7" ht="10.5" customHeight="1" x14ac:dyDescent="0.2">
      <c r="G45150" s="889"/>
    </row>
    <row r="45151" spans="7:7" ht="10.5" customHeight="1" x14ac:dyDescent="0.2">
      <c r="G45151" s="889"/>
    </row>
    <row r="45152" spans="7:7" ht="10.5" customHeight="1" x14ac:dyDescent="0.2">
      <c r="G45152" s="889"/>
    </row>
    <row r="45153" spans="7:7" ht="10.5" customHeight="1" x14ac:dyDescent="0.2">
      <c r="G45153" s="889"/>
    </row>
    <row r="45154" spans="7:7" ht="10.5" customHeight="1" x14ac:dyDescent="0.2">
      <c r="G45154" s="889"/>
    </row>
    <row r="45155" spans="7:7" ht="10.5" customHeight="1" x14ac:dyDescent="0.2">
      <c r="G45155" s="889"/>
    </row>
    <row r="45156" spans="7:7" ht="10.5" customHeight="1" x14ac:dyDescent="0.2">
      <c r="G45156" s="889"/>
    </row>
    <row r="45157" spans="7:7" ht="10.5" customHeight="1" x14ac:dyDescent="0.2">
      <c r="G45157" s="889"/>
    </row>
    <row r="45158" spans="7:7" ht="10.5" customHeight="1" x14ac:dyDescent="0.2">
      <c r="G45158" s="889"/>
    </row>
    <row r="45159" spans="7:7" ht="10.5" customHeight="1" x14ac:dyDescent="0.2">
      <c r="G45159" s="889"/>
    </row>
    <row r="45160" spans="7:7" ht="10.5" customHeight="1" x14ac:dyDescent="0.2">
      <c r="G45160" s="889"/>
    </row>
    <row r="45161" spans="7:7" ht="10.5" customHeight="1" x14ac:dyDescent="0.2">
      <c r="G45161" s="889"/>
    </row>
    <row r="45162" spans="7:7" ht="10.5" customHeight="1" x14ac:dyDescent="0.2">
      <c r="G45162" s="889"/>
    </row>
    <row r="45163" spans="7:7" ht="10.5" customHeight="1" x14ac:dyDescent="0.2">
      <c r="G45163" s="889"/>
    </row>
    <row r="45164" spans="7:7" ht="10.5" customHeight="1" x14ac:dyDescent="0.2">
      <c r="G45164" s="889"/>
    </row>
    <row r="45165" spans="7:7" ht="10.5" customHeight="1" x14ac:dyDescent="0.2">
      <c r="G45165" s="889"/>
    </row>
    <row r="45166" spans="7:7" ht="10.5" customHeight="1" x14ac:dyDescent="0.2">
      <c r="G45166" s="889"/>
    </row>
    <row r="45167" spans="7:7" ht="10.5" customHeight="1" x14ac:dyDescent="0.2">
      <c r="G45167" s="889"/>
    </row>
    <row r="45168" spans="7:7" ht="10.5" customHeight="1" x14ac:dyDescent="0.2">
      <c r="G45168" s="889"/>
    </row>
    <row r="45169" spans="7:7" ht="10.5" customHeight="1" x14ac:dyDescent="0.2">
      <c r="G45169" s="889"/>
    </row>
    <row r="45170" spans="7:7" ht="10.5" customHeight="1" x14ac:dyDescent="0.2">
      <c r="G45170" s="889"/>
    </row>
    <row r="45171" spans="7:7" ht="10.5" customHeight="1" x14ac:dyDescent="0.2">
      <c r="G45171" s="889"/>
    </row>
    <row r="45172" spans="7:7" ht="10.5" customHeight="1" x14ac:dyDescent="0.2">
      <c r="G45172" s="889"/>
    </row>
    <row r="45173" spans="7:7" ht="10.5" customHeight="1" x14ac:dyDescent="0.2">
      <c r="G45173" s="889"/>
    </row>
    <row r="45174" spans="7:7" ht="10.5" customHeight="1" x14ac:dyDescent="0.2">
      <c r="G45174" s="889"/>
    </row>
    <row r="45175" spans="7:7" ht="10.5" customHeight="1" x14ac:dyDescent="0.2">
      <c r="G45175" s="889"/>
    </row>
    <row r="45176" spans="7:7" ht="10.5" customHeight="1" x14ac:dyDescent="0.2">
      <c r="G45176" s="889"/>
    </row>
    <row r="45177" spans="7:7" ht="10.5" customHeight="1" x14ac:dyDescent="0.2">
      <c r="G45177" s="889"/>
    </row>
    <row r="45178" spans="7:7" ht="10.5" customHeight="1" x14ac:dyDescent="0.2">
      <c r="G45178" s="889"/>
    </row>
    <row r="45179" spans="7:7" ht="10.5" customHeight="1" x14ac:dyDescent="0.2">
      <c r="G45179" s="889"/>
    </row>
    <row r="45180" spans="7:7" ht="10.5" customHeight="1" x14ac:dyDescent="0.2">
      <c r="G45180" s="889"/>
    </row>
    <row r="45181" spans="7:7" ht="10.5" customHeight="1" x14ac:dyDescent="0.2">
      <c r="G45181" s="889"/>
    </row>
    <row r="45182" spans="7:7" ht="10.5" customHeight="1" x14ac:dyDescent="0.2">
      <c r="G45182" s="889"/>
    </row>
    <row r="45183" spans="7:7" ht="10.5" customHeight="1" x14ac:dyDescent="0.2">
      <c r="G45183" s="889"/>
    </row>
    <row r="45184" spans="7:7" ht="10.5" customHeight="1" x14ac:dyDescent="0.2">
      <c r="G45184" s="889"/>
    </row>
    <row r="45185" spans="7:7" ht="10.5" customHeight="1" x14ac:dyDescent="0.2">
      <c r="G45185" s="889"/>
    </row>
    <row r="45186" spans="7:7" ht="10.5" customHeight="1" x14ac:dyDescent="0.2">
      <c r="G45186" s="889"/>
    </row>
    <row r="45187" spans="7:7" ht="10.5" customHeight="1" x14ac:dyDescent="0.2">
      <c r="G45187" s="889"/>
    </row>
    <row r="45188" spans="7:7" ht="10.5" customHeight="1" x14ac:dyDescent="0.2">
      <c r="G45188" s="889"/>
    </row>
    <row r="45189" spans="7:7" ht="10.5" customHeight="1" x14ac:dyDescent="0.2">
      <c r="G45189" s="889"/>
    </row>
    <row r="45190" spans="7:7" ht="10.5" customHeight="1" x14ac:dyDescent="0.2">
      <c r="G45190" s="889"/>
    </row>
    <row r="45191" spans="7:7" ht="10.5" customHeight="1" x14ac:dyDescent="0.2">
      <c r="G45191" s="889"/>
    </row>
    <row r="45192" spans="7:7" ht="10.5" customHeight="1" x14ac:dyDescent="0.2">
      <c r="G45192" s="889"/>
    </row>
    <row r="45193" spans="7:7" ht="10.5" customHeight="1" x14ac:dyDescent="0.2">
      <c r="G45193" s="889"/>
    </row>
    <row r="45194" spans="7:7" ht="10.5" customHeight="1" x14ac:dyDescent="0.2">
      <c r="G45194" s="889"/>
    </row>
    <row r="45195" spans="7:7" ht="10.5" customHeight="1" x14ac:dyDescent="0.2">
      <c r="G45195" s="889"/>
    </row>
    <row r="45196" spans="7:7" ht="10.5" customHeight="1" x14ac:dyDescent="0.2">
      <c r="G45196" s="889"/>
    </row>
    <row r="45197" spans="7:7" ht="10.5" customHeight="1" x14ac:dyDescent="0.2">
      <c r="G45197" s="889"/>
    </row>
    <row r="45198" spans="7:7" ht="10.5" customHeight="1" x14ac:dyDescent="0.2">
      <c r="G45198" s="889"/>
    </row>
    <row r="45199" spans="7:7" ht="10.5" customHeight="1" x14ac:dyDescent="0.2">
      <c r="G45199" s="889"/>
    </row>
    <row r="45200" spans="7:7" ht="10.5" customHeight="1" x14ac:dyDescent="0.2">
      <c r="G45200" s="889"/>
    </row>
    <row r="45201" spans="7:7" ht="10.5" customHeight="1" x14ac:dyDescent="0.2">
      <c r="G45201" s="889"/>
    </row>
    <row r="45202" spans="7:7" ht="10.5" customHeight="1" x14ac:dyDescent="0.2">
      <c r="G45202" s="889"/>
    </row>
    <row r="45203" spans="7:7" ht="10.5" customHeight="1" x14ac:dyDescent="0.2">
      <c r="G45203" s="889"/>
    </row>
    <row r="45204" spans="7:7" ht="10.5" customHeight="1" x14ac:dyDescent="0.2">
      <c r="G45204" s="889"/>
    </row>
    <row r="45205" spans="7:7" ht="10.5" customHeight="1" x14ac:dyDescent="0.2">
      <c r="G45205" s="889"/>
    </row>
    <row r="45206" spans="7:7" ht="10.5" customHeight="1" x14ac:dyDescent="0.2">
      <c r="G45206" s="889"/>
    </row>
    <row r="45207" spans="7:7" ht="10.5" customHeight="1" x14ac:dyDescent="0.2">
      <c r="G45207" s="889"/>
    </row>
    <row r="45208" spans="7:7" ht="10.5" customHeight="1" x14ac:dyDescent="0.2">
      <c r="G45208" s="889"/>
    </row>
    <row r="45209" spans="7:7" ht="10.5" customHeight="1" x14ac:dyDescent="0.2">
      <c r="G45209" s="889"/>
    </row>
    <row r="45210" spans="7:7" ht="10.5" customHeight="1" x14ac:dyDescent="0.2">
      <c r="G45210" s="889"/>
    </row>
    <row r="45211" spans="7:7" ht="10.5" customHeight="1" x14ac:dyDescent="0.2">
      <c r="G45211" s="889"/>
    </row>
    <row r="45212" spans="7:7" ht="10.5" customHeight="1" x14ac:dyDescent="0.2">
      <c r="G45212" s="889"/>
    </row>
    <row r="45213" spans="7:7" ht="10.5" customHeight="1" x14ac:dyDescent="0.2">
      <c r="G45213" s="889"/>
    </row>
    <row r="45214" spans="7:7" ht="10.5" customHeight="1" x14ac:dyDescent="0.2">
      <c r="G45214" s="889"/>
    </row>
    <row r="45215" spans="7:7" ht="10.5" customHeight="1" x14ac:dyDescent="0.2">
      <c r="G45215" s="889"/>
    </row>
    <row r="45216" spans="7:7" ht="10.5" customHeight="1" x14ac:dyDescent="0.2">
      <c r="G45216" s="889"/>
    </row>
    <row r="45217" spans="7:7" ht="10.5" customHeight="1" x14ac:dyDescent="0.2">
      <c r="G45217" s="889"/>
    </row>
    <row r="45218" spans="7:7" ht="10.5" customHeight="1" x14ac:dyDescent="0.2">
      <c r="G45218" s="889"/>
    </row>
    <row r="45219" spans="7:7" ht="10.5" customHeight="1" x14ac:dyDescent="0.2">
      <c r="G45219" s="889"/>
    </row>
    <row r="45220" spans="7:7" ht="10.5" customHeight="1" x14ac:dyDescent="0.2">
      <c r="G45220" s="889"/>
    </row>
    <row r="45221" spans="7:7" ht="10.5" customHeight="1" x14ac:dyDescent="0.2">
      <c r="G45221" s="889"/>
    </row>
    <row r="45222" spans="7:7" ht="10.5" customHeight="1" x14ac:dyDescent="0.2">
      <c r="G45222" s="889"/>
    </row>
    <row r="45223" spans="7:7" ht="10.5" customHeight="1" x14ac:dyDescent="0.2">
      <c r="G45223" s="889"/>
    </row>
    <row r="45224" spans="7:7" ht="10.5" customHeight="1" x14ac:dyDescent="0.2">
      <c r="G45224" s="889"/>
    </row>
    <row r="45225" spans="7:7" ht="10.5" customHeight="1" x14ac:dyDescent="0.2">
      <c r="G45225" s="889"/>
    </row>
    <row r="45226" spans="7:7" ht="10.5" customHeight="1" x14ac:dyDescent="0.2">
      <c r="G45226" s="889"/>
    </row>
    <row r="45227" spans="7:7" ht="10.5" customHeight="1" x14ac:dyDescent="0.2">
      <c r="G45227" s="889"/>
    </row>
    <row r="45228" spans="7:7" ht="10.5" customHeight="1" x14ac:dyDescent="0.2">
      <c r="G45228" s="889"/>
    </row>
    <row r="45229" spans="7:7" ht="10.5" customHeight="1" x14ac:dyDescent="0.2">
      <c r="G45229" s="889"/>
    </row>
    <row r="45230" spans="7:7" ht="10.5" customHeight="1" x14ac:dyDescent="0.2">
      <c r="G45230" s="889"/>
    </row>
    <row r="45231" spans="7:7" ht="10.5" customHeight="1" x14ac:dyDescent="0.2">
      <c r="G45231" s="889"/>
    </row>
    <row r="45232" spans="7:7" ht="10.5" customHeight="1" x14ac:dyDescent="0.2">
      <c r="G45232" s="889"/>
    </row>
    <row r="45233" spans="7:7" ht="10.5" customHeight="1" x14ac:dyDescent="0.2">
      <c r="G45233" s="889"/>
    </row>
    <row r="45234" spans="7:7" ht="10.5" customHeight="1" x14ac:dyDescent="0.2">
      <c r="G45234" s="889"/>
    </row>
    <row r="45235" spans="7:7" ht="10.5" customHeight="1" x14ac:dyDescent="0.2">
      <c r="G45235" s="889"/>
    </row>
    <row r="45236" spans="7:7" ht="10.5" customHeight="1" x14ac:dyDescent="0.2">
      <c r="G45236" s="889"/>
    </row>
    <row r="45237" spans="7:7" ht="10.5" customHeight="1" x14ac:dyDescent="0.2">
      <c r="G45237" s="889"/>
    </row>
    <row r="45238" spans="7:7" ht="10.5" customHeight="1" x14ac:dyDescent="0.2">
      <c r="G45238" s="889"/>
    </row>
    <row r="45239" spans="7:7" ht="10.5" customHeight="1" x14ac:dyDescent="0.2">
      <c r="G45239" s="889"/>
    </row>
    <row r="45240" spans="7:7" ht="10.5" customHeight="1" x14ac:dyDescent="0.2">
      <c r="G45240" s="889"/>
    </row>
    <row r="45241" spans="7:7" ht="10.5" customHeight="1" x14ac:dyDescent="0.2">
      <c r="G45241" s="889"/>
    </row>
    <row r="45242" spans="7:7" ht="10.5" customHeight="1" x14ac:dyDescent="0.2">
      <c r="G45242" s="889"/>
    </row>
    <row r="45243" spans="7:7" ht="10.5" customHeight="1" x14ac:dyDescent="0.2">
      <c r="G45243" s="889"/>
    </row>
    <row r="45244" spans="7:7" ht="10.5" customHeight="1" x14ac:dyDescent="0.2">
      <c r="G45244" s="889"/>
    </row>
    <row r="45245" spans="7:7" ht="10.5" customHeight="1" x14ac:dyDescent="0.2">
      <c r="G45245" s="889"/>
    </row>
    <row r="45246" spans="7:7" ht="10.5" customHeight="1" x14ac:dyDescent="0.2">
      <c r="G45246" s="889"/>
    </row>
    <row r="45247" spans="7:7" ht="10.5" customHeight="1" x14ac:dyDescent="0.2">
      <c r="G45247" s="889"/>
    </row>
    <row r="45248" spans="7:7" ht="10.5" customHeight="1" x14ac:dyDescent="0.2">
      <c r="G45248" s="889"/>
    </row>
    <row r="45249" spans="7:7" ht="10.5" customHeight="1" x14ac:dyDescent="0.2">
      <c r="G45249" s="889"/>
    </row>
    <row r="45250" spans="7:7" ht="10.5" customHeight="1" x14ac:dyDescent="0.2">
      <c r="G45250" s="889"/>
    </row>
    <row r="45251" spans="7:7" ht="10.5" customHeight="1" x14ac:dyDescent="0.2">
      <c r="G45251" s="889"/>
    </row>
    <row r="45252" spans="7:7" ht="10.5" customHeight="1" x14ac:dyDescent="0.2">
      <c r="G45252" s="889"/>
    </row>
    <row r="45253" spans="7:7" ht="10.5" customHeight="1" x14ac:dyDescent="0.2">
      <c r="G45253" s="889"/>
    </row>
    <row r="45254" spans="7:7" ht="10.5" customHeight="1" x14ac:dyDescent="0.2">
      <c r="G45254" s="889"/>
    </row>
    <row r="45255" spans="7:7" ht="10.5" customHeight="1" x14ac:dyDescent="0.2">
      <c r="G45255" s="889"/>
    </row>
    <row r="45256" spans="7:7" ht="10.5" customHeight="1" x14ac:dyDescent="0.2">
      <c r="G45256" s="889"/>
    </row>
    <row r="45257" spans="7:7" ht="10.5" customHeight="1" x14ac:dyDescent="0.2">
      <c r="G45257" s="889"/>
    </row>
    <row r="45258" spans="7:7" ht="10.5" customHeight="1" x14ac:dyDescent="0.2">
      <c r="G45258" s="889"/>
    </row>
    <row r="45259" spans="7:7" ht="10.5" customHeight="1" x14ac:dyDescent="0.2">
      <c r="G45259" s="889"/>
    </row>
    <row r="45260" spans="7:7" ht="10.5" customHeight="1" x14ac:dyDescent="0.2">
      <c r="G45260" s="889"/>
    </row>
    <row r="45261" spans="7:7" ht="10.5" customHeight="1" x14ac:dyDescent="0.2">
      <c r="G45261" s="889"/>
    </row>
    <row r="45262" spans="7:7" ht="10.5" customHeight="1" x14ac:dyDescent="0.2">
      <c r="G45262" s="889"/>
    </row>
    <row r="45263" spans="7:7" ht="10.5" customHeight="1" x14ac:dyDescent="0.2">
      <c r="G45263" s="889"/>
    </row>
    <row r="45264" spans="7:7" ht="10.5" customHeight="1" x14ac:dyDescent="0.2">
      <c r="G45264" s="889"/>
    </row>
    <row r="45265" spans="7:7" ht="10.5" customHeight="1" x14ac:dyDescent="0.2">
      <c r="G45265" s="889"/>
    </row>
    <row r="45266" spans="7:7" ht="10.5" customHeight="1" x14ac:dyDescent="0.2">
      <c r="G45266" s="889"/>
    </row>
    <row r="45267" spans="7:7" ht="10.5" customHeight="1" x14ac:dyDescent="0.2">
      <c r="G45267" s="889"/>
    </row>
    <row r="45268" spans="7:7" ht="10.5" customHeight="1" x14ac:dyDescent="0.2">
      <c r="G45268" s="889"/>
    </row>
    <row r="45269" spans="7:7" ht="10.5" customHeight="1" x14ac:dyDescent="0.2">
      <c r="G45269" s="889"/>
    </row>
    <row r="45270" spans="7:7" ht="10.5" customHeight="1" x14ac:dyDescent="0.2">
      <c r="G45270" s="889"/>
    </row>
    <row r="45271" spans="7:7" ht="10.5" customHeight="1" x14ac:dyDescent="0.2">
      <c r="G45271" s="889"/>
    </row>
    <row r="45272" spans="7:7" ht="10.5" customHeight="1" x14ac:dyDescent="0.2">
      <c r="G45272" s="889"/>
    </row>
    <row r="45273" spans="7:7" ht="10.5" customHeight="1" x14ac:dyDescent="0.2">
      <c r="G45273" s="889"/>
    </row>
    <row r="45274" spans="7:7" ht="10.5" customHeight="1" x14ac:dyDescent="0.2">
      <c r="G45274" s="889"/>
    </row>
    <row r="45275" spans="7:7" ht="10.5" customHeight="1" x14ac:dyDescent="0.2">
      <c r="G45275" s="889"/>
    </row>
    <row r="45276" spans="7:7" ht="10.5" customHeight="1" x14ac:dyDescent="0.2">
      <c r="G45276" s="889"/>
    </row>
    <row r="45277" spans="7:7" ht="10.5" customHeight="1" x14ac:dyDescent="0.2">
      <c r="G45277" s="889"/>
    </row>
    <row r="45278" spans="7:7" ht="10.5" customHeight="1" x14ac:dyDescent="0.2">
      <c r="G45278" s="889"/>
    </row>
    <row r="45279" spans="7:7" ht="10.5" customHeight="1" x14ac:dyDescent="0.2">
      <c r="G45279" s="889"/>
    </row>
    <row r="45280" spans="7:7" ht="10.5" customHeight="1" x14ac:dyDescent="0.2">
      <c r="G45280" s="889"/>
    </row>
    <row r="45281" spans="7:7" ht="10.5" customHeight="1" x14ac:dyDescent="0.2">
      <c r="G45281" s="889"/>
    </row>
    <row r="45282" spans="7:7" ht="10.5" customHeight="1" x14ac:dyDescent="0.2">
      <c r="G45282" s="889"/>
    </row>
    <row r="45283" spans="7:7" ht="10.5" customHeight="1" x14ac:dyDescent="0.2">
      <c r="G45283" s="889"/>
    </row>
    <row r="45284" spans="7:7" ht="10.5" customHeight="1" x14ac:dyDescent="0.2">
      <c r="G45284" s="889"/>
    </row>
    <row r="45285" spans="7:7" ht="10.5" customHeight="1" x14ac:dyDescent="0.2">
      <c r="G45285" s="889"/>
    </row>
    <row r="45286" spans="7:7" ht="10.5" customHeight="1" x14ac:dyDescent="0.2">
      <c r="G45286" s="889"/>
    </row>
    <row r="45287" spans="7:7" ht="10.5" customHeight="1" x14ac:dyDescent="0.2">
      <c r="G45287" s="889"/>
    </row>
    <row r="45288" spans="7:7" ht="10.5" customHeight="1" x14ac:dyDescent="0.2">
      <c r="G45288" s="889"/>
    </row>
    <row r="45289" spans="7:7" ht="10.5" customHeight="1" x14ac:dyDescent="0.2">
      <c r="G45289" s="889"/>
    </row>
    <row r="45290" spans="7:7" ht="10.5" customHeight="1" x14ac:dyDescent="0.2">
      <c r="G45290" s="889"/>
    </row>
    <row r="45291" spans="7:7" ht="10.5" customHeight="1" x14ac:dyDescent="0.2">
      <c r="G45291" s="889"/>
    </row>
    <row r="45292" spans="7:7" ht="10.5" customHeight="1" x14ac:dyDescent="0.2">
      <c r="G45292" s="889"/>
    </row>
    <row r="45293" spans="7:7" ht="10.5" customHeight="1" x14ac:dyDescent="0.2">
      <c r="G45293" s="889"/>
    </row>
    <row r="45294" spans="7:7" ht="10.5" customHeight="1" x14ac:dyDescent="0.2">
      <c r="G45294" s="889"/>
    </row>
    <row r="45295" spans="7:7" ht="10.5" customHeight="1" x14ac:dyDescent="0.2">
      <c r="G45295" s="889"/>
    </row>
    <row r="45296" spans="7:7" ht="10.5" customHeight="1" x14ac:dyDescent="0.2">
      <c r="G45296" s="889"/>
    </row>
    <row r="45297" spans="7:7" ht="10.5" customHeight="1" x14ac:dyDescent="0.2">
      <c r="G45297" s="889"/>
    </row>
    <row r="45298" spans="7:7" ht="10.5" customHeight="1" x14ac:dyDescent="0.2">
      <c r="G45298" s="889"/>
    </row>
    <row r="45299" spans="7:7" ht="10.5" customHeight="1" x14ac:dyDescent="0.2">
      <c r="G45299" s="889"/>
    </row>
    <row r="45300" spans="7:7" ht="10.5" customHeight="1" x14ac:dyDescent="0.2">
      <c r="G45300" s="889"/>
    </row>
    <row r="45301" spans="7:7" ht="10.5" customHeight="1" x14ac:dyDescent="0.2">
      <c r="G45301" s="889"/>
    </row>
    <row r="45302" spans="7:7" ht="10.5" customHeight="1" x14ac:dyDescent="0.2">
      <c r="G45302" s="889"/>
    </row>
    <row r="45303" spans="7:7" ht="10.5" customHeight="1" x14ac:dyDescent="0.2">
      <c r="G45303" s="889"/>
    </row>
    <row r="45304" spans="7:7" ht="10.5" customHeight="1" x14ac:dyDescent="0.2">
      <c r="G45304" s="889"/>
    </row>
    <row r="45305" spans="7:7" ht="10.5" customHeight="1" x14ac:dyDescent="0.2">
      <c r="G45305" s="889"/>
    </row>
    <row r="45306" spans="7:7" ht="10.5" customHeight="1" x14ac:dyDescent="0.2">
      <c r="G45306" s="889"/>
    </row>
    <row r="45307" spans="7:7" ht="10.5" customHeight="1" x14ac:dyDescent="0.2">
      <c r="G45307" s="889"/>
    </row>
    <row r="45308" spans="7:7" ht="10.5" customHeight="1" x14ac:dyDescent="0.2">
      <c r="G45308" s="889"/>
    </row>
    <row r="45309" spans="7:7" ht="10.5" customHeight="1" x14ac:dyDescent="0.2">
      <c r="G45309" s="889"/>
    </row>
    <row r="45310" spans="7:7" ht="10.5" customHeight="1" x14ac:dyDescent="0.2">
      <c r="G45310" s="889"/>
    </row>
    <row r="45311" spans="7:7" ht="10.5" customHeight="1" x14ac:dyDescent="0.2">
      <c r="G45311" s="889"/>
    </row>
    <row r="45312" spans="7:7" ht="10.5" customHeight="1" x14ac:dyDescent="0.2">
      <c r="G45312" s="889"/>
    </row>
    <row r="45313" spans="7:7" ht="10.5" customHeight="1" x14ac:dyDescent="0.2">
      <c r="G45313" s="889"/>
    </row>
    <row r="45314" spans="7:7" ht="10.5" customHeight="1" x14ac:dyDescent="0.2">
      <c r="G45314" s="889"/>
    </row>
    <row r="45315" spans="7:7" ht="10.5" customHeight="1" x14ac:dyDescent="0.2">
      <c r="G45315" s="889"/>
    </row>
    <row r="45316" spans="7:7" ht="10.5" customHeight="1" x14ac:dyDescent="0.2">
      <c r="G45316" s="889"/>
    </row>
    <row r="45317" spans="7:7" ht="10.5" customHeight="1" x14ac:dyDescent="0.2">
      <c r="G45317" s="889"/>
    </row>
    <row r="45318" spans="7:7" ht="10.5" customHeight="1" x14ac:dyDescent="0.2">
      <c r="G45318" s="889"/>
    </row>
    <row r="45319" spans="7:7" ht="10.5" customHeight="1" x14ac:dyDescent="0.2">
      <c r="G45319" s="889"/>
    </row>
    <row r="45320" spans="7:7" ht="10.5" customHeight="1" x14ac:dyDescent="0.2">
      <c r="G45320" s="889"/>
    </row>
    <row r="45321" spans="7:7" ht="10.5" customHeight="1" x14ac:dyDescent="0.2">
      <c r="G45321" s="889"/>
    </row>
    <row r="45322" spans="7:7" ht="10.5" customHeight="1" x14ac:dyDescent="0.2">
      <c r="G45322" s="889"/>
    </row>
    <row r="45323" spans="7:7" ht="10.5" customHeight="1" x14ac:dyDescent="0.2">
      <c r="G45323" s="889"/>
    </row>
    <row r="45324" spans="7:7" ht="10.5" customHeight="1" x14ac:dyDescent="0.2">
      <c r="G45324" s="889"/>
    </row>
    <row r="45325" spans="7:7" ht="10.5" customHeight="1" x14ac:dyDescent="0.2">
      <c r="G45325" s="889"/>
    </row>
    <row r="45326" spans="7:7" ht="10.5" customHeight="1" x14ac:dyDescent="0.2">
      <c r="G45326" s="889"/>
    </row>
    <row r="45327" spans="7:7" ht="10.5" customHeight="1" x14ac:dyDescent="0.2">
      <c r="G45327" s="889"/>
    </row>
    <row r="45328" spans="7:7" ht="10.5" customHeight="1" x14ac:dyDescent="0.2">
      <c r="G45328" s="889"/>
    </row>
    <row r="45329" spans="7:7" ht="10.5" customHeight="1" x14ac:dyDescent="0.2">
      <c r="G45329" s="889"/>
    </row>
    <row r="45330" spans="7:7" ht="10.5" customHeight="1" x14ac:dyDescent="0.2">
      <c r="G45330" s="889"/>
    </row>
    <row r="45331" spans="7:7" ht="10.5" customHeight="1" x14ac:dyDescent="0.2">
      <c r="G45331" s="889"/>
    </row>
    <row r="45332" spans="7:7" ht="10.5" customHeight="1" x14ac:dyDescent="0.2">
      <c r="G45332" s="889"/>
    </row>
    <row r="45333" spans="7:7" ht="10.5" customHeight="1" x14ac:dyDescent="0.2">
      <c r="G45333" s="889"/>
    </row>
    <row r="45334" spans="7:7" ht="10.5" customHeight="1" x14ac:dyDescent="0.2">
      <c r="G45334" s="889"/>
    </row>
    <row r="45335" spans="7:7" ht="10.5" customHeight="1" x14ac:dyDescent="0.2">
      <c r="G45335" s="889"/>
    </row>
    <row r="45336" spans="7:7" ht="10.5" customHeight="1" x14ac:dyDescent="0.2">
      <c r="G45336" s="889"/>
    </row>
    <row r="45337" spans="7:7" ht="10.5" customHeight="1" x14ac:dyDescent="0.2">
      <c r="G45337" s="889"/>
    </row>
    <row r="45338" spans="7:7" ht="10.5" customHeight="1" x14ac:dyDescent="0.2">
      <c r="G45338" s="889"/>
    </row>
    <row r="45339" spans="7:7" ht="10.5" customHeight="1" x14ac:dyDescent="0.2">
      <c r="G45339" s="889"/>
    </row>
    <row r="45340" spans="7:7" ht="10.5" customHeight="1" x14ac:dyDescent="0.2">
      <c r="G45340" s="889"/>
    </row>
    <row r="45341" spans="7:7" ht="10.5" customHeight="1" x14ac:dyDescent="0.2">
      <c r="G45341" s="889"/>
    </row>
    <row r="45342" spans="7:7" ht="10.5" customHeight="1" x14ac:dyDescent="0.2">
      <c r="G45342" s="889"/>
    </row>
    <row r="45343" spans="7:7" ht="10.5" customHeight="1" x14ac:dyDescent="0.2">
      <c r="G45343" s="889"/>
    </row>
    <row r="45344" spans="7:7" ht="10.5" customHeight="1" x14ac:dyDescent="0.2">
      <c r="G45344" s="889"/>
    </row>
    <row r="45345" spans="7:7" ht="10.5" customHeight="1" x14ac:dyDescent="0.2">
      <c r="G45345" s="889"/>
    </row>
    <row r="45346" spans="7:7" ht="10.5" customHeight="1" x14ac:dyDescent="0.2">
      <c r="G45346" s="889"/>
    </row>
    <row r="45347" spans="7:7" ht="10.5" customHeight="1" x14ac:dyDescent="0.2">
      <c r="G45347" s="889"/>
    </row>
    <row r="45348" spans="7:7" ht="10.5" customHeight="1" x14ac:dyDescent="0.2">
      <c r="G45348" s="889"/>
    </row>
    <row r="45349" spans="7:7" ht="10.5" customHeight="1" x14ac:dyDescent="0.2">
      <c r="G45349" s="889"/>
    </row>
    <row r="45350" spans="7:7" ht="10.5" customHeight="1" x14ac:dyDescent="0.2">
      <c r="G45350" s="889"/>
    </row>
    <row r="45351" spans="7:7" ht="10.5" customHeight="1" x14ac:dyDescent="0.2">
      <c r="G45351" s="889"/>
    </row>
    <row r="45352" spans="7:7" ht="10.5" customHeight="1" x14ac:dyDescent="0.2">
      <c r="G45352" s="889"/>
    </row>
    <row r="45353" spans="7:7" ht="10.5" customHeight="1" x14ac:dyDescent="0.2">
      <c r="G45353" s="889"/>
    </row>
    <row r="45354" spans="7:7" ht="10.5" customHeight="1" x14ac:dyDescent="0.2">
      <c r="G45354" s="889"/>
    </row>
    <row r="45355" spans="7:7" ht="10.5" customHeight="1" x14ac:dyDescent="0.2">
      <c r="G45355" s="889"/>
    </row>
    <row r="45356" spans="7:7" ht="10.5" customHeight="1" x14ac:dyDescent="0.2">
      <c r="G45356" s="889"/>
    </row>
    <row r="45357" spans="7:7" ht="10.5" customHeight="1" x14ac:dyDescent="0.2">
      <c r="G45357" s="889"/>
    </row>
    <row r="45358" spans="7:7" ht="10.5" customHeight="1" x14ac:dyDescent="0.2">
      <c r="G45358" s="889"/>
    </row>
    <row r="45359" spans="7:7" ht="10.5" customHeight="1" x14ac:dyDescent="0.2">
      <c r="G45359" s="889"/>
    </row>
    <row r="45360" spans="7:7" ht="10.5" customHeight="1" x14ac:dyDescent="0.2">
      <c r="G45360" s="889"/>
    </row>
    <row r="45361" spans="7:7" ht="10.5" customHeight="1" x14ac:dyDescent="0.2">
      <c r="G45361" s="889"/>
    </row>
    <row r="45362" spans="7:7" ht="10.5" customHeight="1" x14ac:dyDescent="0.2">
      <c r="G45362" s="889"/>
    </row>
    <row r="45363" spans="7:7" ht="10.5" customHeight="1" x14ac:dyDescent="0.2">
      <c r="G45363" s="889"/>
    </row>
    <row r="45364" spans="7:7" ht="10.5" customHeight="1" x14ac:dyDescent="0.2">
      <c r="G45364" s="889"/>
    </row>
    <row r="45365" spans="7:7" ht="10.5" customHeight="1" x14ac:dyDescent="0.2">
      <c r="G45365" s="889"/>
    </row>
    <row r="45366" spans="7:7" ht="10.5" customHeight="1" x14ac:dyDescent="0.2">
      <c r="G45366" s="889"/>
    </row>
    <row r="45367" spans="7:7" ht="10.5" customHeight="1" x14ac:dyDescent="0.2">
      <c r="G45367" s="889"/>
    </row>
    <row r="45368" spans="7:7" ht="10.5" customHeight="1" x14ac:dyDescent="0.2">
      <c r="G45368" s="889"/>
    </row>
    <row r="45369" spans="7:7" ht="10.5" customHeight="1" x14ac:dyDescent="0.2">
      <c r="G45369" s="889"/>
    </row>
    <row r="45370" spans="7:7" ht="10.5" customHeight="1" x14ac:dyDescent="0.2">
      <c r="G45370" s="889"/>
    </row>
    <row r="45371" spans="7:7" ht="10.5" customHeight="1" x14ac:dyDescent="0.2">
      <c r="G45371" s="889"/>
    </row>
    <row r="45372" spans="7:7" ht="10.5" customHeight="1" x14ac:dyDescent="0.2">
      <c r="G45372" s="889"/>
    </row>
    <row r="45373" spans="7:7" ht="10.5" customHeight="1" x14ac:dyDescent="0.2">
      <c r="G45373" s="889"/>
    </row>
    <row r="45374" spans="7:7" ht="10.5" customHeight="1" x14ac:dyDescent="0.2">
      <c r="G45374" s="889"/>
    </row>
    <row r="45375" spans="7:7" ht="10.5" customHeight="1" x14ac:dyDescent="0.2">
      <c r="G45375" s="889"/>
    </row>
    <row r="45376" spans="7:7" ht="10.5" customHeight="1" x14ac:dyDescent="0.2">
      <c r="G45376" s="889"/>
    </row>
    <row r="45377" spans="7:7" ht="10.5" customHeight="1" x14ac:dyDescent="0.2">
      <c r="G45377" s="889"/>
    </row>
    <row r="45378" spans="7:7" ht="10.5" customHeight="1" x14ac:dyDescent="0.2">
      <c r="G45378" s="889"/>
    </row>
    <row r="45379" spans="7:7" ht="10.5" customHeight="1" x14ac:dyDescent="0.2">
      <c r="G45379" s="889"/>
    </row>
    <row r="45380" spans="7:7" ht="10.5" customHeight="1" x14ac:dyDescent="0.2">
      <c r="G45380" s="889"/>
    </row>
    <row r="45381" spans="7:7" ht="10.5" customHeight="1" x14ac:dyDescent="0.2">
      <c r="G45381" s="889"/>
    </row>
    <row r="45382" spans="7:7" ht="10.5" customHeight="1" x14ac:dyDescent="0.2">
      <c r="G45382" s="889"/>
    </row>
    <row r="45383" spans="7:7" ht="10.5" customHeight="1" x14ac:dyDescent="0.2">
      <c r="G45383" s="889"/>
    </row>
    <row r="45384" spans="7:7" ht="10.5" customHeight="1" x14ac:dyDescent="0.2">
      <c r="G45384" s="889"/>
    </row>
    <row r="45385" spans="7:7" ht="10.5" customHeight="1" x14ac:dyDescent="0.2">
      <c r="G45385" s="889"/>
    </row>
    <row r="45386" spans="7:7" ht="10.5" customHeight="1" x14ac:dyDescent="0.2">
      <c r="G45386" s="889"/>
    </row>
    <row r="45387" spans="7:7" ht="10.5" customHeight="1" x14ac:dyDescent="0.2">
      <c r="G45387" s="889"/>
    </row>
    <row r="45388" spans="7:7" ht="10.5" customHeight="1" x14ac:dyDescent="0.2">
      <c r="G45388" s="889"/>
    </row>
    <row r="45389" spans="7:7" ht="10.5" customHeight="1" x14ac:dyDescent="0.2">
      <c r="G45389" s="889"/>
    </row>
    <row r="45390" spans="7:7" ht="10.5" customHeight="1" x14ac:dyDescent="0.2">
      <c r="G45390" s="889"/>
    </row>
    <row r="45391" spans="7:7" ht="10.5" customHeight="1" x14ac:dyDescent="0.2">
      <c r="G45391" s="889"/>
    </row>
    <row r="45392" spans="7:7" ht="10.5" customHeight="1" x14ac:dyDescent="0.2">
      <c r="G45392" s="889"/>
    </row>
    <row r="45393" spans="7:7" ht="10.5" customHeight="1" x14ac:dyDescent="0.2">
      <c r="G45393" s="889"/>
    </row>
    <row r="45394" spans="7:7" ht="10.5" customHeight="1" x14ac:dyDescent="0.2">
      <c r="G45394" s="889"/>
    </row>
    <row r="45395" spans="7:7" ht="10.5" customHeight="1" x14ac:dyDescent="0.2">
      <c r="G45395" s="889"/>
    </row>
    <row r="45396" spans="7:7" ht="10.5" customHeight="1" x14ac:dyDescent="0.2">
      <c r="G45396" s="889"/>
    </row>
    <row r="45397" spans="7:7" ht="10.5" customHeight="1" x14ac:dyDescent="0.2">
      <c r="G45397" s="889"/>
    </row>
    <row r="45398" spans="7:7" ht="10.5" customHeight="1" x14ac:dyDescent="0.2">
      <c r="G45398" s="889"/>
    </row>
    <row r="45399" spans="7:7" ht="10.5" customHeight="1" x14ac:dyDescent="0.2">
      <c r="G45399" s="889"/>
    </row>
    <row r="45400" spans="7:7" ht="10.5" customHeight="1" x14ac:dyDescent="0.2">
      <c r="G45400" s="889"/>
    </row>
    <row r="45401" spans="7:7" ht="10.5" customHeight="1" x14ac:dyDescent="0.2">
      <c r="G45401" s="889"/>
    </row>
    <row r="45402" spans="7:7" ht="10.5" customHeight="1" x14ac:dyDescent="0.2">
      <c r="G45402" s="889"/>
    </row>
    <row r="45403" spans="7:7" ht="10.5" customHeight="1" x14ac:dyDescent="0.2">
      <c r="G45403" s="889"/>
    </row>
    <row r="45404" spans="7:7" ht="10.5" customHeight="1" x14ac:dyDescent="0.2">
      <c r="G45404" s="889"/>
    </row>
    <row r="45405" spans="7:7" ht="10.5" customHeight="1" x14ac:dyDescent="0.2">
      <c r="G45405" s="889"/>
    </row>
    <row r="45406" spans="7:7" ht="10.5" customHeight="1" x14ac:dyDescent="0.2">
      <c r="G45406" s="889"/>
    </row>
    <row r="45407" spans="7:7" ht="10.5" customHeight="1" x14ac:dyDescent="0.2">
      <c r="G45407" s="889"/>
    </row>
    <row r="45408" spans="7:7" ht="10.5" customHeight="1" x14ac:dyDescent="0.2">
      <c r="G45408" s="889"/>
    </row>
    <row r="45409" spans="7:7" ht="10.5" customHeight="1" x14ac:dyDescent="0.2">
      <c r="G45409" s="889"/>
    </row>
    <row r="45410" spans="7:7" ht="10.5" customHeight="1" x14ac:dyDescent="0.2">
      <c r="G45410" s="889"/>
    </row>
    <row r="45411" spans="7:7" ht="10.5" customHeight="1" x14ac:dyDescent="0.2">
      <c r="G45411" s="889"/>
    </row>
    <row r="45412" spans="7:7" ht="10.5" customHeight="1" x14ac:dyDescent="0.2">
      <c r="G45412" s="889"/>
    </row>
    <row r="45413" spans="7:7" ht="10.5" customHeight="1" x14ac:dyDescent="0.2">
      <c r="G45413" s="889"/>
    </row>
    <row r="45414" spans="7:7" ht="10.5" customHeight="1" x14ac:dyDescent="0.2">
      <c r="G45414" s="889"/>
    </row>
    <row r="45415" spans="7:7" ht="10.5" customHeight="1" x14ac:dyDescent="0.2">
      <c r="G45415" s="889"/>
    </row>
    <row r="45416" spans="7:7" ht="10.5" customHeight="1" x14ac:dyDescent="0.2">
      <c r="G45416" s="889"/>
    </row>
    <row r="45417" spans="7:7" ht="10.5" customHeight="1" x14ac:dyDescent="0.2">
      <c r="G45417" s="889"/>
    </row>
    <row r="45418" spans="7:7" ht="10.5" customHeight="1" x14ac:dyDescent="0.2">
      <c r="G45418" s="889"/>
    </row>
    <row r="45419" spans="7:7" ht="10.5" customHeight="1" x14ac:dyDescent="0.2">
      <c r="G45419" s="889"/>
    </row>
    <row r="45420" spans="7:7" ht="10.5" customHeight="1" x14ac:dyDescent="0.2">
      <c r="G45420" s="889"/>
    </row>
    <row r="45421" spans="7:7" ht="10.5" customHeight="1" x14ac:dyDescent="0.2">
      <c r="G45421" s="889"/>
    </row>
    <row r="45422" spans="7:7" ht="10.5" customHeight="1" x14ac:dyDescent="0.2">
      <c r="G45422" s="889"/>
    </row>
    <row r="45423" spans="7:7" ht="10.5" customHeight="1" x14ac:dyDescent="0.2">
      <c r="G45423" s="889"/>
    </row>
    <row r="45424" spans="7:7" ht="10.5" customHeight="1" x14ac:dyDescent="0.2">
      <c r="G45424" s="889"/>
    </row>
    <row r="45425" spans="7:7" ht="10.5" customHeight="1" x14ac:dyDescent="0.2">
      <c r="G45425" s="889"/>
    </row>
    <row r="45426" spans="7:7" ht="10.5" customHeight="1" x14ac:dyDescent="0.2">
      <c r="G45426" s="889"/>
    </row>
    <row r="45427" spans="7:7" ht="10.5" customHeight="1" x14ac:dyDescent="0.2">
      <c r="G45427" s="889"/>
    </row>
    <row r="45428" spans="7:7" ht="10.5" customHeight="1" x14ac:dyDescent="0.2">
      <c r="G45428" s="889"/>
    </row>
    <row r="45429" spans="7:7" ht="10.5" customHeight="1" x14ac:dyDescent="0.2">
      <c r="G45429" s="889"/>
    </row>
    <row r="45430" spans="7:7" ht="10.5" customHeight="1" x14ac:dyDescent="0.2">
      <c r="G45430" s="889"/>
    </row>
    <row r="45431" spans="7:7" ht="10.5" customHeight="1" x14ac:dyDescent="0.2">
      <c r="G45431" s="889"/>
    </row>
    <row r="45432" spans="7:7" ht="10.5" customHeight="1" x14ac:dyDescent="0.2">
      <c r="G45432" s="889"/>
    </row>
    <row r="45433" spans="7:7" ht="10.5" customHeight="1" x14ac:dyDescent="0.2">
      <c r="G45433" s="889"/>
    </row>
    <row r="45434" spans="7:7" ht="10.5" customHeight="1" x14ac:dyDescent="0.2">
      <c r="G45434" s="889"/>
    </row>
    <row r="45435" spans="7:7" ht="10.5" customHeight="1" x14ac:dyDescent="0.2">
      <c r="G45435" s="889"/>
    </row>
    <row r="45436" spans="7:7" ht="10.5" customHeight="1" x14ac:dyDescent="0.2">
      <c r="G45436" s="889"/>
    </row>
    <row r="45437" spans="7:7" ht="10.5" customHeight="1" x14ac:dyDescent="0.2">
      <c r="G45437" s="889"/>
    </row>
    <row r="45438" spans="7:7" ht="10.5" customHeight="1" x14ac:dyDescent="0.2">
      <c r="G45438" s="889"/>
    </row>
    <row r="45439" spans="7:7" ht="10.5" customHeight="1" x14ac:dyDescent="0.2">
      <c r="G45439" s="889"/>
    </row>
    <row r="45440" spans="7:7" ht="10.5" customHeight="1" x14ac:dyDescent="0.2">
      <c r="G45440" s="889"/>
    </row>
    <row r="45441" spans="7:7" ht="10.5" customHeight="1" x14ac:dyDescent="0.2">
      <c r="G45441" s="889"/>
    </row>
    <row r="45442" spans="7:7" ht="10.5" customHeight="1" x14ac:dyDescent="0.2">
      <c r="G45442" s="889"/>
    </row>
    <row r="45443" spans="7:7" ht="10.5" customHeight="1" x14ac:dyDescent="0.2">
      <c r="G45443" s="889"/>
    </row>
    <row r="45444" spans="7:7" ht="10.5" customHeight="1" x14ac:dyDescent="0.2">
      <c r="G45444" s="889"/>
    </row>
    <row r="45445" spans="7:7" ht="10.5" customHeight="1" x14ac:dyDescent="0.2">
      <c r="G45445" s="889"/>
    </row>
    <row r="45446" spans="7:7" ht="10.5" customHeight="1" x14ac:dyDescent="0.2">
      <c r="G45446" s="889"/>
    </row>
    <row r="45447" spans="7:7" ht="10.5" customHeight="1" x14ac:dyDescent="0.2">
      <c r="G45447" s="889"/>
    </row>
    <row r="45448" spans="7:7" ht="10.5" customHeight="1" x14ac:dyDescent="0.2">
      <c r="G45448" s="889"/>
    </row>
    <row r="45449" spans="7:7" ht="10.5" customHeight="1" x14ac:dyDescent="0.2">
      <c r="G45449" s="889"/>
    </row>
    <row r="45450" spans="7:7" ht="10.5" customHeight="1" x14ac:dyDescent="0.2">
      <c r="G45450" s="889"/>
    </row>
    <row r="45451" spans="7:7" ht="10.5" customHeight="1" x14ac:dyDescent="0.2">
      <c r="G45451" s="889"/>
    </row>
    <row r="45452" spans="7:7" ht="10.5" customHeight="1" x14ac:dyDescent="0.2">
      <c r="G45452" s="889"/>
    </row>
    <row r="45453" spans="7:7" ht="10.5" customHeight="1" x14ac:dyDescent="0.2">
      <c r="G45453" s="889"/>
    </row>
    <row r="45454" spans="7:7" ht="10.5" customHeight="1" x14ac:dyDescent="0.2">
      <c r="G45454" s="889"/>
    </row>
    <row r="45455" spans="7:7" ht="10.5" customHeight="1" x14ac:dyDescent="0.2">
      <c r="G45455" s="889"/>
    </row>
    <row r="45456" spans="7:7" ht="10.5" customHeight="1" x14ac:dyDescent="0.2">
      <c r="G45456" s="889"/>
    </row>
    <row r="45457" spans="7:7" ht="10.5" customHeight="1" x14ac:dyDescent="0.2">
      <c r="G45457" s="889"/>
    </row>
    <row r="45458" spans="7:7" ht="10.5" customHeight="1" x14ac:dyDescent="0.2">
      <c r="G45458" s="889"/>
    </row>
    <row r="45459" spans="7:7" ht="10.5" customHeight="1" x14ac:dyDescent="0.2">
      <c r="G45459" s="889"/>
    </row>
    <row r="45460" spans="7:7" ht="10.5" customHeight="1" x14ac:dyDescent="0.2">
      <c r="G45460" s="889"/>
    </row>
    <row r="45461" spans="7:7" ht="10.5" customHeight="1" x14ac:dyDescent="0.2">
      <c r="G45461" s="889"/>
    </row>
    <row r="45462" spans="7:7" ht="10.5" customHeight="1" x14ac:dyDescent="0.2">
      <c r="G45462" s="889"/>
    </row>
    <row r="45463" spans="7:7" ht="10.5" customHeight="1" x14ac:dyDescent="0.2">
      <c r="G45463" s="889"/>
    </row>
    <row r="45464" spans="7:7" ht="10.5" customHeight="1" x14ac:dyDescent="0.2">
      <c r="G45464" s="889"/>
    </row>
    <row r="45465" spans="7:7" ht="10.5" customHeight="1" x14ac:dyDescent="0.2">
      <c r="G45465" s="889"/>
    </row>
    <row r="45466" spans="7:7" ht="10.5" customHeight="1" x14ac:dyDescent="0.2">
      <c r="G45466" s="889"/>
    </row>
    <row r="45467" spans="7:7" ht="10.5" customHeight="1" x14ac:dyDescent="0.2">
      <c r="G45467" s="889"/>
    </row>
    <row r="45468" spans="7:7" ht="10.5" customHeight="1" x14ac:dyDescent="0.2">
      <c r="G45468" s="889"/>
    </row>
    <row r="45469" spans="7:7" ht="10.5" customHeight="1" x14ac:dyDescent="0.2">
      <c r="G45469" s="889"/>
    </row>
    <row r="45470" spans="7:7" ht="10.5" customHeight="1" x14ac:dyDescent="0.2">
      <c r="G45470" s="889"/>
    </row>
    <row r="45471" spans="7:7" ht="10.5" customHeight="1" x14ac:dyDescent="0.2">
      <c r="G45471" s="889"/>
    </row>
    <row r="45472" spans="7:7" ht="10.5" customHeight="1" x14ac:dyDescent="0.2">
      <c r="G45472" s="889"/>
    </row>
    <row r="45473" spans="7:7" ht="10.5" customHeight="1" x14ac:dyDescent="0.2">
      <c r="G45473" s="889"/>
    </row>
    <row r="45474" spans="7:7" ht="10.5" customHeight="1" x14ac:dyDescent="0.2">
      <c r="G45474" s="889"/>
    </row>
    <row r="45475" spans="7:7" ht="10.5" customHeight="1" x14ac:dyDescent="0.2">
      <c r="G45475" s="889"/>
    </row>
    <row r="45476" spans="7:7" ht="10.5" customHeight="1" x14ac:dyDescent="0.2">
      <c r="G45476" s="889"/>
    </row>
    <row r="45477" spans="7:7" ht="10.5" customHeight="1" x14ac:dyDescent="0.2">
      <c r="G45477" s="889"/>
    </row>
    <row r="45478" spans="7:7" ht="10.5" customHeight="1" x14ac:dyDescent="0.2">
      <c r="G45478" s="889"/>
    </row>
    <row r="45479" spans="7:7" ht="10.5" customHeight="1" x14ac:dyDescent="0.2">
      <c r="G45479" s="889"/>
    </row>
    <row r="45480" spans="7:7" ht="10.5" customHeight="1" x14ac:dyDescent="0.2">
      <c r="G45480" s="889"/>
    </row>
    <row r="45481" spans="7:7" ht="10.5" customHeight="1" x14ac:dyDescent="0.2">
      <c r="G45481" s="889"/>
    </row>
    <row r="45482" spans="7:7" ht="10.5" customHeight="1" x14ac:dyDescent="0.2">
      <c r="G45482" s="889"/>
    </row>
    <row r="45483" spans="7:7" ht="10.5" customHeight="1" x14ac:dyDescent="0.2">
      <c r="G45483" s="889"/>
    </row>
    <row r="45484" spans="7:7" ht="10.5" customHeight="1" x14ac:dyDescent="0.2">
      <c r="G45484" s="889"/>
    </row>
    <row r="45485" spans="7:7" ht="10.5" customHeight="1" x14ac:dyDescent="0.2">
      <c r="G45485" s="889"/>
    </row>
    <row r="45486" spans="7:7" ht="10.5" customHeight="1" x14ac:dyDescent="0.2">
      <c r="G45486" s="889"/>
    </row>
    <row r="45487" spans="7:7" ht="10.5" customHeight="1" x14ac:dyDescent="0.2">
      <c r="G45487" s="889"/>
    </row>
    <row r="45488" spans="7:7" ht="10.5" customHeight="1" x14ac:dyDescent="0.2">
      <c r="G45488" s="889"/>
    </row>
    <row r="45489" spans="7:7" ht="10.5" customHeight="1" x14ac:dyDescent="0.2">
      <c r="G45489" s="889"/>
    </row>
    <row r="45490" spans="7:7" ht="10.5" customHeight="1" x14ac:dyDescent="0.2">
      <c r="G45490" s="889"/>
    </row>
    <row r="45491" spans="7:7" ht="10.5" customHeight="1" x14ac:dyDescent="0.2">
      <c r="G45491" s="889"/>
    </row>
    <row r="45492" spans="7:7" ht="10.5" customHeight="1" x14ac:dyDescent="0.2">
      <c r="G45492" s="889"/>
    </row>
    <row r="45493" spans="7:7" ht="10.5" customHeight="1" x14ac:dyDescent="0.2">
      <c r="G45493" s="889"/>
    </row>
    <row r="45494" spans="7:7" ht="10.5" customHeight="1" x14ac:dyDescent="0.2">
      <c r="G45494" s="889"/>
    </row>
    <row r="45495" spans="7:7" ht="10.5" customHeight="1" x14ac:dyDescent="0.2">
      <c r="G45495" s="889"/>
    </row>
    <row r="45496" spans="7:7" ht="10.5" customHeight="1" x14ac:dyDescent="0.2">
      <c r="G45496" s="889"/>
    </row>
    <row r="45497" spans="7:7" ht="10.5" customHeight="1" x14ac:dyDescent="0.2">
      <c r="G45497" s="889"/>
    </row>
    <row r="45498" spans="7:7" ht="10.5" customHeight="1" x14ac:dyDescent="0.2">
      <c r="G45498" s="889"/>
    </row>
    <row r="45499" spans="7:7" ht="10.5" customHeight="1" x14ac:dyDescent="0.2">
      <c r="G45499" s="889"/>
    </row>
    <row r="45500" spans="7:7" ht="10.5" customHeight="1" x14ac:dyDescent="0.2">
      <c r="G45500" s="889"/>
    </row>
    <row r="45501" spans="7:7" ht="10.5" customHeight="1" x14ac:dyDescent="0.2">
      <c r="G45501" s="889"/>
    </row>
    <row r="45502" spans="7:7" ht="10.5" customHeight="1" x14ac:dyDescent="0.2">
      <c r="G45502" s="889"/>
    </row>
    <row r="45503" spans="7:7" ht="10.5" customHeight="1" x14ac:dyDescent="0.2">
      <c r="G45503" s="889"/>
    </row>
    <row r="45504" spans="7:7" ht="10.5" customHeight="1" x14ac:dyDescent="0.2">
      <c r="G45504" s="889"/>
    </row>
    <row r="45505" spans="7:7" ht="10.5" customHeight="1" x14ac:dyDescent="0.2">
      <c r="G45505" s="889"/>
    </row>
    <row r="45506" spans="7:7" ht="10.5" customHeight="1" x14ac:dyDescent="0.2">
      <c r="G45506" s="889"/>
    </row>
    <row r="45507" spans="7:7" ht="10.5" customHeight="1" x14ac:dyDescent="0.2">
      <c r="G45507" s="889"/>
    </row>
    <row r="45508" spans="7:7" ht="10.5" customHeight="1" x14ac:dyDescent="0.2">
      <c r="G45508" s="889"/>
    </row>
    <row r="45509" spans="7:7" ht="10.5" customHeight="1" x14ac:dyDescent="0.2">
      <c r="G45509" s="889"/>
    </row>
    <row r="45510" spans="7:7" ht="10.5" customHeight="1" x14ac:dyDescent="0.2">
      <c r="G45510" s="889"/>
    </row>
    <row r="45511" spans="7:7" ht="10.5" customHeight="1" x14ac:dyDescent="0.2">
      <c r="G45511" s="889"/>
    </row>
    <row r="45512" spans="7:7" ht="10.5" customHeight="1" x14ac:dyDescent="0.2">
      <c r="G45512" s="889"/>
    </row>
    <row r="45513" spans="7:7" ht="10.5" customHeight="1" x14ac:dyDescent="0.2">
      <c r="G45513" s="889"/>
    </row>
    <row r="45514" spans="7:7" ht="10.5" customHeight="1" x14ac:dyDescent="0.2">
      <c r="G45514" s="889"/>
    </row>
    <row r="45515" spans="7:7" ht="10.5" customHeight="1" x14ac:dyDescent="0.2">
      <c r="G45515" s="889"/>
    </row>
    <row r="45516" spans="7:7" ht="10.5" customHeight="1" x14ac:dyDescent="0.2">
      <c r="G45516" s="889"/>
    </row>
    <row r="45517" spans="7:7" ht="10.5" customHeight="1" x14ac:dyDescent="0.2">
      <c r="G45517" s="889"/>
    </row>
    <row r="45518" spans="7:7" ht="10.5" customHeight="1" x14ac:dyDescent="0.2">
      <c r="G45518" s="889"/>
    </row>
    <row r="45519" spans="7:7" ht="10.5" customHeight="1" x14ac:dyDescent="0.2">
      <c r="G45519" s="889"/>
    </row>
    <row r="45520" spans="7:7" ht="10.5" customHeight="1" x14ac:dyDescent="0.2">
      <c r="G45520" s="889"/>
    </row>
    <row r="45521" spans="7:7" ht="10.5" customHeight="1" x14ac:dyDescent="0.2">
      <c r="G45521" s="889"/>
    </row>
    <row r="45522" spans="7:7" ht="10.5" customHeight="1" x14ac:dyDescent="0.2">
      <c r="G45522" s="889"/>
    </row>
    <row r="45523" spans="7:7" ht="10.5" customHeight="1" x14ac:dyDescent="0.2">
      <c r="G45523" s="889"/>
    </row>
    <row r="45524" spans="7:7" ht="10.5" customHeight="1" x14ac:dyDescent="0.2">
      <c r="G45524" s="889"/>
    </row>
    <row r="45525" spans="7:7" ht="10.5" customHeight="1" x14ac:dyDescent="0.2">
      <c r="G45525" s="889"/>
    </row>
    <row r="45526" spans="7:7" ht="10.5" customHeight="1" x14ac:dyDescent="0.2">
      <c r="G45526" s="889"/>
    </row>
    <row r="45527" spans="7:7" ht="10.5" customHeight="1" x14ac:dyDescent="0.2">
      <c r="G45527" s="889"/>
    </row>
    <row r="45528" spans="7:7" ht="10.5" customHeight="1" x14ac:dyDescent="0.2">
      <c r="G45528" s="889"/>
    </row>
    <row r="45529" spans="7:7" ht="10.5" customHeight="1" x14ac:dyDescent="0.2">
      <c r="G45529" s="889"/>
    </row>
    <row r="45530" spans="7:7" ht="10.5" customHeight="1" x14ac:dyDescent="0.2">
      <c r="G45530" s="889"/>
    </row>
    <row r="45531" spans="7:7" ht="10.5" customHeight="1" x14ac:dyDescent="0.2">
      <c r="G45531" s="889"/>
    </row>
    <row r="45532" spans="7:7" ht="10.5" customHeight="1" x14ac:dyDescent="0.2">
      <c r="G45532" s="889"/>
    </row>
    <row r="45533" spans="7:7" ht="10.5" customHeight="1" x14ac:dyDescent="0.2">
      <c r="G45533" s="889"/>
    </row>
    <row r="45534" spans="7:7" ht="10.5" customHeight="1" x14ac:dyDescent="0.2">
      <c r="G45534" s="889"/>
    </row>
    <row r="45535" spans="7:7" ht="10.5" customHeight="1" x14ac:dyDescent="0.2">
      <c r="G45535" s="889"/>
    </row>
    <row r="45536" spans="7:7" ht="10.5" customHeight="1" x14ac:dyDescent="0.2">
      <c r="G45536" s="889"/>
    </row>
    <row r="45537" spans="7:7" ht="10.5" customHeight="1" x14ac:dyDescent="0.2">
      <c r="G45537" s="889"/>
    </row>
    <row r="45538" spans="7:7" ht="10.5" customHeight="1" x14ac:dyDescent="0.2">
      <c r="G45538" s="889"/>
    </row>
    <row r="45539" spans="7:7" ht="10.5" customHeight="1" x14ac:dyDescent="0.2">
      <c r="G45539" s="889"/>
    </row>
    <row r="45540" spans="7:7" ht="10.5" customHeight="1" x14ac:dyDescent="0.2">
      <c r="G45540" s="889"/>
    </row>
    <row r="45541" spans="7:7" ht="10.5" customHeight="1" x14ac:dyDescent="0.2">
      <c r="G45541" s="889"/>
    </row>
    <row r="45542" spans="7:7" ht="10.5" customHeight="1" x14ac:dyDescent="0.2">
      <c r="G45542" s="889"/>
    </row>
    <row r="45543" spans="7:7" ht="10.5" customHeight="1" x14ac:dyDescent="0.2">
      <c r="G45543" s="889"/>
    </row>
    <row r="45544" spans="7:7" ht="10.5" customHeight="1" x14ac:dyDescent="0.2">
      <c r="G45544" s="889"/>
    </row>
    <row r="45545" spans="7:7" ht="10.5" customHeight="1" x14ac:dyDescent="0.2">
      <c r="G45545" s="889"/>
    </row>
    <row r="45546" spans="7:7" ht="10.5" customHeight="1" x14ac:dyDescent="0.2">
      <c r="G45546" s="889"/>
    </row>
    <row r="45547" spans="7:7" ht="10.5" customHeight="1" x14ac:dyDescent="0.2">
      <c r="G45547" s="889"/>
    </row>
    <row r="45548" spans="7:7" ht="10.5" customHeight="1" x14ac:dyDescent="0.2">
      <c r="G45548" s="889"/>
    </row>
    <row r="45549" spans="7:7" ht="10.5" customHeight="1" x14ac:dyDescent="0.2">
      <c r="G45549" s="889"/>
    </row>
    <row r="45550" spans="7:7" ht="10.5" customHeight="1" x14ac:dyDescent="0.2">
      <c r="G45550" s="889"/>
    </row>
    <row r="45551" spans="7:7" ht="10.5" customHeight="1" x14ac:dyDescent="0.2">
      <c r="G45551" s="889"/>
    </row>
    <row r="45552" spans="7:7" ht="10.5" customHeight="1" x14ac:dyDescent="0.2">
      <c r="G45552" s="889"/>
    </row>
    <row r="45553" spans="7:7" ht="10.5" customHeight="1" x14ac:dyDescent="0.2">
      <c r="G45553" s="889"/>
    </row>
    <row r="45554" spans="7:7" ht="10.5" customHeight="1" x14ac:dyDescent="0.2">
      <c r="G45554" s="889"/>
    </row>
    <row r="45555" spans="7:7" ht="10.5" customHeight="1" x14ac:dyDescent="0.2">
      <c r="G45555" s="889"/>
    </row>
    <row r="45556" spans="7:7" ht="10.5" customHeight="1" x14ac:dyDescent="0.2">
      <c r="G45556" s="889"/>
    </row>
    <row r="45557" spans="7:7" ht="10.5" customHeight="1" x14ac:dyDescent="0.2">
      <c r="G45557" s="889"/>
    </row>
    <row r="45558" spans="7:7" ht="10.5" customHeight="1" x14ac:dyDescent="0.2">
      <c r="G45558" s="889"/>
    </row>
    <row r="45559" spans="7:7" ht="10.5" customHeight="1" x14ac:dyDescent="0.2">
      <c r="G45559" s="889"/>
    </row>
    <row r="45560" spans="7:7" ht="10.5" customHeight="1" x14ac:dyDescent="0.2">
      <c r="G45560" s="889"/>
    </row>
    <row r="45561" spans="7:7" ht="10.5" customHeight="1" x14ac:dyDescent="0.2">
      <c r="G45561" s="889"/>
    </row>
    <row r="45562" spans="7:7" ht="10.5" customHeight="1" x14ac:dyDescent="0.2">
      <c r="G45562" s="889"/>
    </row>
    <row r="45563" spans="7:7" ht="10.5" customHeight="1" x14ac:dyDescent="0.2">
      <c r="G45563" s="889"/>
    </row>
    <row r="45564" spans="7:7" ht="10.5" customHeight="1" x14ac:dyDescent="0.2">
      <c r="G45564" s="889"/>
    </row>
    <row r="45565" spans="7:7" ht="10.5" customHeight="1" x14ac:dyDescent="0.2">
      <c r="G45565" s="889"/>
    </row>
    <row r="45566" spans="7:7" ht="10.5" customHeight="1" x14ac:dyDescent="0.2">
      <c r="G45566" s="889"/>
    </row>
    <row r="45567" spans="7:7" ht="10.5" customHeight="1" x14ac:dyDescent="0.2">
      <c r="G45567" s="889"/>
    </row>
    <row r="45568" spans="7:7" ht="10.5" customHeight="1" x14ac:dyDescent="0.2">
      <c r="G45568" s="889"/>
    </row>
    <row r="45569" spans="7:7" ht="10.5" customHeight="1" x14ac:dyDescent="0.2">
      <c r="G45569" s="889"/>
    </row>
    <row r="45570" spans="7:7" ht="10.5" customHeight="1" x14ac:dyDescent="0.2">
      <c r="G45570" s="889"/>
    </row>
    <row r="45571" spans="7:7" ht="10.5" customHeight="1" x14ac:dyDescent="0.2">
      <c r="G45571" s="889"/>
    </row>
    <row r="45572" spans="7:7" ht="10.5" customHeight="1" x14ac:dyDescent="0.2">
      <c r="G45572" s="889"/>
    </row>
    <row r="45573" spans="7:7" ht="10.5" customHeight="1" x14ac:dyDescent="0.2">
      <c r="G45573" s="889"/>
    </row>
    <row r="45574" spans="7:7" ht="10.5" customHeight="1" x14ac:dyDescent="0.2">
      <c r="G45574" s="889"/>
    </row>
    <row r="45575" spans="7:7" ht="10.5" customHeight="1" x14ac:dyDescent="0.2">
      <c r="G45575" s="889"/>
    </row>
    <row r="45576" spans="7:7" ht="10.5" customHeight="1" x14ac:dyDescent="0.2">
      <c r="G45576" s="889"/>
    </row>
    <row r="45577" spans="7:7" ht="10.5" customHeight="1" x14ac:dyDescent="0.2">
      <c r="G45577" s="889"/>
    </row>
    <row r="45578" spans="7:7" ht="10.5" customHeight="1" x14ac:dyDescent="0.2">
      <c r="G45578" s="889"/>
    </row>
    <row r="45579" spans="7:7" ht="10.5" customHeight="1" x14ac:dyDescent="0.2">
      <c r="G45579" s="889"/>
    </row>
    <row r="45580" spans="7:7" ht="10.5" customHeight="1" x14ac:dyDescent="0.2">
      <c r="G45580" s="889"/>
    </row>
    <row r="45581" spans="7:7" ht="10.5" customHeight="1" x14ac:dyDescent="0.2">
      <c r="G45581" s="889"/>
    </row>
    <row r="45582" spans="7:7" ht="10.5" customHeight="1" x14ac:dyDescent="0.2">
      <c r="G45582" s="889"/>
    </row>
    <row r="45583" spans="7:7" ht="10.5" customHeight="1" x14ac:dyDescent="0.2">
      <c r="G45583" s="889"/>
    </row>
    <row r="45584" spans="7:7" ht="10.5" customHeight="1" x14ac:dyDescent="0.2">
      <c r="G45584" s="889"/>
    </row>
    <row r="45585" spans="7:7" ht="10.5" customHeight="1" x14ac:dyDescent="0.2">
      <c r="G45585" s="889"/>
    </row>
    <row r="45586" spans="7:7" ht="10.5" customHeight="1" x14ac:dyDescent="0.2">
      <c r="G45586" s="889"/>
    </row>
    <row r="45587" spans="7:7" ht="10.5" customHeight="1" x14ac:dyDescent="0.2">
      <c r="G45587" s="889"/>
    </row>
    <row r="45588" spans="7:7" ht="10.5" customHeight="1" x14ac:dyDescent="0.2">
      <c r="G45588" s="889"/>
    </row>
    <row r="45589" spans="7:7" ht="10.5" customHeight="1" x14ac:dyDescent="0.2">
      <c r="G45589" s="889"/>
    </row>
    <row r="45590" spans="7:7" ht="10.5" customHeight="1" x14ac:dyDescent="0.2">
      <c r="G45590" s="889"/>
    </row>
    <row r="45591" spans="7:7" ht="10.5" customHeight="1" x14ac:dyDescent="0.2">
      <c r="G45591" s="889"/>
    </row>
    <row r="45592" spans="7:7" ht="10.5" customHeight="1" x14ac:dyDescent="0.2">
      <c r="G45592" s="889"/>
    </row>
    <row r="45593" spans="7:7" ht="10.5" customHeight="1" x14ac:dyDescent="0.2">
      <c r="G45593" s="889"/>
    </row>
    <row r="45594" spans="7:7" ht="10.5" customHeight="1" x14ac:dyDescent="0.2">
      <c r="G45594" s="889"/>
    </row>
    <row r="45595" spans="7:7" ht="10.5" customHeight="1" x14ac:dyDescent="0.2">
      <c r="G45595" s="889"/>
    </row>
    <row r="45596" spans="7:7" ht="10.5" customHeight="1" x14ac:dyDescent="0.2">
      <c r="G45596" s="889"/>
    </row>
    <row r="45597" spans="7:7" ht="10.5" customHeight="1" x14ac:dyDescent="0.2">
      <c r="G45597" s="889"/>
    </row>
    <row r="45598" spans="7:7" ht="10.5" customHeight="1" x14ac:dyDescent="0.2">
      <c r="G45598" s="889"/>
    </row>
    <row r="45599" spans="7:7" ht="10.5" customHeight="1" x14ac:dyDescent="0.2">
      <c r="G45599" s="889"/>
    </row>
    <row r="45600" spans="7:7" ht="10.5" customHeight="1" x14ac:dyDescent="0.2">
      <c r="G45600" s="889"/>
    </row>
    <row r="45601" spans="7:7" ht="10.5" customHeight="1" x14ac:dyDescent="0.2">
      <c r="G45601" s="889"/>
    </row>
    <row r="45602" spans="7:7" ht="10.5" customHeight="1" x14ac:dyDescent="0.2">
      <c r="G45602" s="889"/>
    </row>
    <row r="45603" spans="7:7" ht="10.5" customHeight="1" x14ac:dyDescent="0.2">
      <c r="G45603" s="889"/>
    </row>
    <row r="45604" spans="7:7" ht="10.5" customHeight="1" x14ac:dyDescent="0.2">
      <c r="G45604" s="889"/>
    </row>
    <row r="45605" spans="7:7" ht="10.5" customHeight="1" x14ac:dyDescent="0.2">
      <c r="G45605" s="889"/>
    </row>
    <row r="45606" spans="7:7" ht="10.5" customHeight="1" x14ac:dyDescent="0.2">
      <c r="G45606" s="889"/>
    </row>
    <row r="45607" spans="7:7" ht="10.5" customHeight="1" x14ac:dyDescent="0.2">
      <c r="G45607" s="889"/>
    </row>
    <row r="45608" spans="7:7" ht="10.5" customHeight="1" x14ac:dyDescent="0.2">
      <c r="G45608" s="889"/>
    </row>
    <row r="45609" spans="7:7" ht="10.5" customHeight="1" x14ac:dyDescent="0.2">
      <c r="G45609" s="889"/>
    </row>
    <row r="45610" spans="7:7" ht="10.5" customHeight="1" x14ac:dyDescent="0.2">
      <c r="G45610" s="889"/>
    </row>
    <row r="45611" spans="7:7" ht="10.5" customHeight="1" x14ac:dyDescent="0.2">
      <c r="G45611" s="889"/>
    </row>
    <row r="45612" spans="7:7" ht="10.5" customHeight="1" x14ac:dyDescent="0.2">
      <c r="G45612" s="889"/>
    </row>
    <row r="45613" spans="7:7" ht="10.5" customHeight="1" x14ac:dyDescent="0.2">
      <c r="G45613" s="889"/>
    </row>
    <row r="45614" spans="7:7" ht="10.5" customHeight="1" x14ac:dyDescent="0.2">
      <c r="G45614" s="889"/>
    </row>
    <row r="45615" spans="7:7" ht="10.5" customHeight="1" x14ac:dyDescent="0.2">
      <c r="G45615" s="889"/>
    </row>
    <row r="45616" spans="7:7" ht="10.5" customHeight="1" x14ac:dyDescent="0.2">
      <c r="G45616" s="889"/>
    </row>
    <row r="45617" spans="7:7" ht="10.5" customHeight="1" x14ac:dyDescent="0.2">
      <c r="G45617" s="889"/>
    </row>
    <row r="45618" spans="7:7" ht="10.5" customHeight="1" x14ac:dyDescent="0.2">
      <c r="G45618" s="889"/>
    </row>
    <row r="45619" spans="7:7" ht="10.5" customHeight="1" x14ac:dyDescent="0.2">
      <c r="G45619" s="889"/>
    </row>
    <row r="45620" spans="7:7" ht="10.5" customHeight="1" x14ac:dyDescent="0.2">
      <c r="G45620" s="889"/>
    </row>
    <row r="45621" spans="7:7" ht="10.5" customHeight="1" x14ac:dyDescent="0.2">
      <c r="G45621" s="889"/>
    </row>
    <row r="45622" spans="7:7" ht="10.5" customHeight="1" x14ac:dyDescent="0.2">
      <c r="G45622" s="889"/>
    </row>
    <row r="45623" spans="7:7" ht="10.5" customHeight="1" x14ac:dyDescent="0.2">
      <c r="G45623" s="889"/>
    </row>
    <row r="45624" spans="7:7" ht="10.5" customHeight="1" x14ac:dyDescent="0.2">
      <c r="G45624" s="889"/>
    </row>
    <row r="45625" spans="7:7" ht="10.5" customHeight="1" x14ac:dyDescent="0.2">
      <c r="G45625" s="889"/>
    </row>
    <row r="45626" spans="7:7" ht="10.5" customHeight="1" x14ac:dyDescent="0.2">
      <c r="G45626" s="889"/>
    </row>
    <row r="45627" spans="7:7" ht="10.5" customHeight="1" x14ac:dyDescent="0.2">
      <c r="G45627" s="889"/>
    </row>
    <row r="45628" spans="7:7" ht="10.5" customHeight="1" x14ac:dyDescent="0.2">
      <c r="G45628" s="889"/>
    </row>
    <row r="45629" spans="7:7" ht="10.5" customHeight="1" x14ac:dyDescent="0.2">
      <c r="G45629" s="889"/>
    </row>
    <row r="45630" spans="7:7" ht="10.5" customHeight="1" x14ac:dyDescent="0.2">
      <c r="G45630" s="889"/>
    </row>
    <row r="45631" spans="7:7" ht="10.5" customHeight="1" x14ac:dyDescent="0.2">
      <c r="G45631" s="889"/>
    </row>
    <row r="45632" spans="7:7" ht="10.5" customHeight="1" x14ac:dyDescent="0.2">
      <c r="G45632" s="889"/>
    </row>
    <row r="45633" spans="7:7" ht="10.5" customHeight="1" x14ac:dyDescent="0.2">
      <c r="G45633" s="889"/>
    </row>
    <row r="45634" spans="7:7" ht="10.5" customHeight="1" x14ac:dyDescent="0.2">
      <c r="G45634" s="889"/>
    </row>
    <row r="45635" spans="7:7" ht="10.5" customHeight="1" x14ac:dyDescent="0.2">
      <c r="G45635" s="889"/>
    </row>
    <row r="45636" spans="7:7" ht="10.5" customHeight="1" x14ac:dyDescent="0.2">
      <c r="G45636" s="889"/>
    </row>
    <row r="45637" spans="7:7" ht="10.5" customHeight="1" x14ac:dyDescent="0.2">
      <c r="G45637" s="889"/>
    </row>
    <row r="45638" spans="7:7" ht="10.5" customHeight="1" x14ac:dyDescent="0.2">
      <c r="G45638" s="889"/>
    </row>
    <row r="45639" spans="7:7" ht="10.5" customHeight="1" x14ac:dyDescent="0.2">
      <c r="G45639" s="889"/>
    </row>
    <row r="45640" spans="7:7" ht="10.5" customHeight="1" x14ac:dyDescent="0.2">
      <c r="G45640" s="889"/>
    </row>
    <row r="45641" spans="7:7" ht="10.5" customHeight="1" x14ac:dyDescent="0.2">
      <c r="G45641" s="889"/>
    </row>
    <row r="45642" spans="7:7" ht="10.5" customHeight="1" x14ac:dyDescent="0.2">
      <c r="G45642" s="889"/>
    </row>
    <row r="45643" spans="7:7" ht="10.5" customHeight="1" x14ac:dyDescent="0.2">
      <c r="G45643" s="889"/>
    </row>
    <row r="45644" spans="7:7" ht="10.5" customHeight="1" x14ac:dyDescent="0.2">
      <c r="G45644" s="889"/>
    </row>
    <row r="45645" spans="7:7" ht="10.5" customHeight="1" x14ac:dyDescent="0.2">
      <c r="G45645" s="889"/>
    </row>
    <row r="45646" spans="7:7" ht="10.5" customHeight="1" x14ac:dyDescent="0.2">
      <c r="G45646" s="889"/>
    </row>
    <row r="45647" spans="7:7" ht="10.5" customHeight="1" x14ac:dyDescent="0.2">
      <c r="G45647" s="889"/>
    </row>
    <row r="45648" spans="7:7" ht="10.5" customHeight="1" x14ac:dyDescent="0.2">
      <c r="G45648" s="889"/>
    </row>
    <row r="45649" spans="7:7" ht="10.5" customHeight="1" x14ac:dyDescent="0.2">
      <c r="G45649" s="889"/>
    </row>
    <row r="45650" spans="7:7" ht="10.5" customHeight="1" x14ac:dyDescent="0.2">
      <c r="G45650" s="889"/>
    </row>
    <row r="45651" spans="7:7" ht="10.5" customHeight="1" x14ac:dyDescent="0.2">
      <c r="G45651" s="889"/>
    </row>
    <row r="45652" spans="7:7" ht="10.5" customHeight="1" x14ac:dyDescent="0.2">
      <c r="G45652" s="889"/>
    </row>
    <row r="45653" spans="7:7" ht="10.5" customHeight="1" x14ac:dyDescent="0.2">
      <c r="G45653" s="889"/>
    </row>
    <row r="45654" spans="7:7" ht="10.5" customHeight="1" x14ac:dyDescent="0.2">
      <c r="G45654" s="889"/>
    </row>
    <row r="45655" spans="7:7" ht="10.5" customHeight="1" x14ac:dyDescent="0.2">
      <c r="G45655" s="889"/>
    </row>
    <row r="45656" spans="7:7" ht="10.5" customHeight="1" x14ac:dyDescent="0.2">
      <c r="G45656" s="889"/>
    </row>
    <row r="45657" spans="7:7" ht="10.5" customHeight="1" x14ac:dyDescent="0.2">
      <c r="G45657" s="889"/>
    </row>
    <row r="45658" spans="7:7" ht="10.5" customHeight="1" x14ac:dyDescent="0.2">
      <c r="G45658" s="889"/>
    </row>
    <row r="45659" spans="7:7" ht="10.5" customHeight="1" x14ac:dyDescent="0.2">
      <c r="G45659" s="889"/>
    </row>
    <row r="45660" spans="7:7" ht="10.5" customHeight="1" x14ac:dyDescent="0.2">
      <c r="G45660" s="889"/>
    </row>
    <row r="45661" spans="7:7" ht="10.5" customHeight="1" x14ac:dyDescent="0.2">
      <c r="G45661" s="889"/>
    </row>
    <row r="45662" spans="7:7" ht="10.5" customHeight="1" x14ac:dyDescent="0.2">
      <c r="G45662" s="889"/>
    </row>
    <row r="45663" spans="7:7" ht="10.5" customHeight="1" x14ac:dyDescent="0.2">
      <c r="G45663" s="889"/>
    </row>
    <row r="45664" spans="7:7" ht="10.5" customHeight="1" x14ac:dyDescent="0.2">
      <c r="G45664" s="889"/>
    </row>
    <row r="45665" spans="7:7" ht="10.5" customHeight="1" x14ac:dyDescent="0.2">
      <c r="G45665" s="889"/>
    </row>
    <row r="45666" spans="7:7" ht="10.5" customHeight="1" x14ac:dyDescent="0.2">
      <c r="G45666" s="889"/>
    </row>
    <row r="45667" spans="7:7" ht="10.5" customHeight="1" x14ac:dyDescent="0.2">
      <c r="G45667" s="889"/>
    </row>
    <row r="45668" spans="7:7" ht="10.5" customHeight="1" x14ac:dyDescent="0.2">
      <c r="G45668" s="889"/>
    </row>
    <row r="45669" spans="7:7" ht="10.5" customHeight="1" x14ac:dyDescent="0.2">
      <c r="G45669" s="889"/>
    </row>
    <row r="45670" spans="7:7" ht="10.5" customHeight="1" x14ac:dyDescent="0.2">
      <c r="G45670" s="889"/>
    </row>
    <row r="45671" spans="7:7" ht="10.5" customHeight="1" x14ac:dyDescent="0.2">
      <c r="G45671" s="889"/>
    </row>
    <row r="45672" spans="7:7" ht="10.5" customHeight="1" x14ac:dyDescent="0.2">
      <c r="G45672" s="889"/>
    </row>
    <row r="45673" spans="7:7" ht="10.5" customHeight="1" x14ac:dyDescent="0.2">
      <c r="G45673" s="889"/>
    </row>
    <row r="45674" spans="7:7" ht="10.5" customHeight="1" x14ac:dyDescent="0.2">
      <c r="G45674" s="889"/>
    </row>
    <row r="45675" spans="7:7" ht="10.5" customHeight="1" x14ac:dyDescent="0.2">
      <c r="G45675" s="889"/>
    </row>
    <row r="45676" spans="7:7" ht="10.5" customHeight="1" x14ac:dyDescent="0.2">
      <c r="G45676" s="889"/>
    </row>
    <row r="45677" spans="7:7" ht="10.5" customHeight="1" x14ac:dyDescent="0.2">
      <c r="G45677" s="889"/>
    </row>
    <row r="45678" spans="7:7" ht="10.5" customHeight="1" x14ac:dyDescent="0.2">
      <c r="G45678" s="889"/>
    </row>
    <row r="45679" spans="7:7" ht="10.5" customHeight="1" x14ac:dyDescent="0.2">
      <c r="G45679" s="889"/>
    </row>
    <row r="45680" spans="7:7" ht="10.5" customHeight="1" x14ac:dyDescent="0.2">
      <c r="G45680" s="889"/>
    </row>
    <row r="45681" spans="7:7" ht="10.5" customHeight="1" x14ac:dyDescent="0.2">
      <c r="G45681" s="889"/>
    </row>
    <row r="45682" spans="7:7" ht="10.5" customHeight="1" x14ac:dyDescent="0.2">
      <c r="G45682" s="889"/>
    </row>
    <row r="45683" spans="7:7" ht="10.5" customHeight="1" x14ac:dyDescent="0.2">
      <c r="G45683" s="889"/>
    </row>
    <row r="45684" spans="7:7" ht="10.5" customHeight="1" x14ac:dyDescent="0.2">
      <c r="G45684" s="889"/>
    </row>
    <row r="45685" spans="7:7" ht="10.5" customHeight="1" x14ac:dyDescent="0.2">
      <c r="G45685" s="889"/>
    </row>
    <row r="45686" spans="7:7" ht="10.5" customHeight="1" x14ac:dyDescent="0.2">
      <c r="G45686" s="889"/>
    </row>
    <row r="45687" spans="7:7" ht="10.5" customHeight="1" x14ac:dyDescent="0.2">
      <c r="G45687" s="889"/>
    </row>
    <row r="45688" spans="7:7" ht="10.5" customHeight="1" x14ac:dyDescent="0.2">
      <c r="G45688" s="889"/>
    </row>
    <row r="45689" spans="7:7" ht="10.5" customHeight="1" x14ac:dyDescent="0.2">
      <c r="G45689" s="889"/>
    </row>
    <row r="45690" spans="7:7" ht="10.5" customHeight="1" x14ac:dyDescent="0.2">
      <c r="G45690" s="889"/>
    </row>
    <row r="45691" spans="7:7" ht="10.5" customHeight="1" x14ac:dyDescent="0.2">
      <c r="G45691" s="889"/>
    </row>
    <row r="45692" spans="7:7" ht="10.5" customHeight="1" x14ac:dyDescent="0.2">
      <c r="G45692" s="889"/>
    </row>
    <row r="45693" spans="7:7" ht="10.5" customHeight="1" x14ac:dyDescent="0.2">
      <c r="G45693" s="889"/>
    </row>
    <row r="45694" spans="7:7" ht="10.5" customHeight="1" x14ac:dyDescent="0.2">
      <c r="G45694" s="889"/>
    </row>
    <row r="45695" spans="7:7" ht="10.5" customHeight="1" x14ac:dyDescent="0.2">
      <c r="G45695" s="889"/>
    </row>
    <row r="45696" spans="7:7" ht="10.5" customHeight="1" x14ac:dyDescent="0.2">
      <c r="G45696" s="889"/>
    </row>
    <row r="45697" spans="7:7" ht="10.5" customHeight="1" x14ac:dyDescent="0.2">
      <c r="G45697" s="889"/>
    </row>
    <row r="45698" spans="7:7" ht="10.5" customHeight="1" x14ac:dyDescent="0.2">
      <c r="G45698" s="889"/>
    </row>
    <row r="45699" spans="7:7" ht="10.5" customHeight="1" x14ac:dyDescent="0.2">
      <c r="G45699" s="889"/>
    </row>
    <row r="45700" spans="7:7" ht="10.5" customHeight="1" x14ac:dyDescent="0.2">
      <c r="G45700" s="889"/>
    </row>
    <row r="45701" spans="7:7" ht="10.5" customHeight="1" x14ac:dyDescent="0.2">
      <c r="G45701" s="889"/>
    </row>
    <row r="45702" spans="7:7" ht="10.5" customHeight="1" x14ac:dyDescent="0.2">
      <c r="G45702" s="889"/>
    </row>
    <row r="45703" spans="7:7" ht="10.5" customHeight="1" x14ac:dyDescent="0.2">
      <c r="G45703" s="889"/>
    </row>
    <row r="45704" spans="7:7" ht="10.5" customHeight="1" x14ac:dyDescent="0.2">
      <c r="G45704" s="889"/>
    </row>
    <row r="45705" spans="7:7" ht="10.5" customHeight="1" x14ac:dyDescent="0.2">
      <c r="G45705" s="889"/>
    </row>
    <row r="45706" spans="7:7" ht="10.5" customHeight="1" x14ac:dyDescent="0.2">
      <c r="G45706" s="889"/>
    </row>
    <row r="45707" spans="7:7" ht="10.5" customHeight="1" x14ac:dyDescent="0.2">
      <c r="G45707" s="889"/>
    </row>
    <row r="45708" spans="7:7" ht="10.5" customHeight="1" x14ac:dyDescent="0.2">
      <c r="G45708" s="889"/>
    </row>
    <row r="45709" spans="7:7" ht="10.5" customHeight="1" x14ac:dyDescent="0.2">
      <c r="G45709" s="889"/>
    </row>
    <row r="45710" spans="7:7" ht="10.5" customHeight="1" x14ac:dyDescent="0.2">
      <c r="G45710" s="889"/>
    </row>
    <row r="45711" spans="7:7" ht="10.5" customHeight="1" x14ac:dyDescent="0.2">
      <c r="G45711" s="889"/>
    </row>
    <row r="45712" spans="7:7" ht="10.5" customHeight="1" x14ac:dyDescent="0.2">
      <c r="G45712" s="889"/>
    </row>
    <row r="45713" spans="7:7" ht="10.5" customHeight="1" x14ac:dyDescent="0.2">
      <c r="G45713" s="889"/>
    </row>
    <row r="45714" spans="7:7" ht="10.5" customHeight="1" x14ac:dyDescent="0.2">
      <c r="G45714" s="889"/>
    </row>
    <row r="45715" spans="7:7" ht="10.5" customHeight="1" x14ac:dyDescent="0.2">
      <c r="G45715" s="889"/>
    </row>
    <row r="45716" spans="7:7" ht="10.5" customHeight="1" x14ac:dyDescent="0.2">
      <c r="G45716" s="889"/>
    </row>
    <row r="45717" spans="7:7" ht="10.5" customHeight="1" x14ac:dyDescent="0.2">
      <c r="G45717" s="889"/>
    </row>
    <row r="45718" spans="7:7" ht="10.5" customHeight="1" x14ac:dyDescent="0.2">
      <c r="G45718" s="889"/>
    </row>
    <row r="45719" spans="7:7" ht="10.5" customHeight="1" x14ac:dyDescent="0.2">
      <c r="G45719" s="889"/>
    </row>
    <row r="45720" spans="7:7" ht="10.5" customHeight="1" x14ac:dyDescent="0.2">
      <c r="G45720" s="889"/>
    </row>
    <row r="45721" spans="7:7" ht="10.5" customHeight="1" x14ac:dyDescent="0.2">
      <c r="G45721" s="889"/>
    </row>
    <row r="45722" spans="7:7" ht="10.5" customHeight="1" x14ac:dyDescent="0.2">
      <c r="G45722" s="889"/>
    </row>
    <row r="45723" spans="7:7" ht="10.5" customHeight="1" x14ac:dyDescent="0.2">
      <c r="G45723" s="889"/>
    </row>
    <row r="45724" spans="7:7" ht="10.5" customHeight="1" x14ac:dyDescent="0.2">
      <c r="G45724" s="889"/>
    </row>
    <row r="45725" spans="7:7" ht="10.5" customHeight="1" x14ac:dyDescent="0.2">
      <c r="G45725" s="889"/>
    </row>
    <row r="45726" spans="7:7" ht="10.5" customHeight="1" x14ac:dyDescent="0.2">
      <c r="G45726" s="889"/>
    </row>
    <row r="45727" spans="7:7" ht="10.5" customHeight="1" x14ac:dyDescent="0.2">
      <c r="G45727" s="889"/>
    </row>
    <row r="45728" spans="7:7" ht="10.5" customHeight="1" x14ac:dyDescent="0.2">
      <c r="G45728" s="889"/>
    </row>
    <row r="45729" spans="7:7" ht="10.5" customHeight="1" x14ac:dyDescent="0.2">
      <c r="G45729" s="889"/>
    </row>
    <row r="45730" spans="7:7" ht="10.5" customHeight="1" x14ac:dyDescent="0.2">
      <c r="G45730" s="889"/>
    </row>
    <row r="45731" spans="7:7" ht="10.5" customHeight="1" x14ac:dyDescent="0.2">
      <c r="G45731" s="889"/>
    </row>
    <row r="45732" spans="7:7" ht="10.5" customHeight="1" x14ac:dyDescent="0.2">
      <c r="G45732" s="889"/>
    </row>
    <row r="45733" spans="7:7" ht="10.5" customHeight="1" x14ac:dyDescent="0.2">
      <c r="G45733" s="889"/>
    </row>
    <row r="45734" spans="7:7" ht="10.5" customHeight="1" x14ac:dyDescent="0.2">
      <c r="G45734" s="889"/>
    </row>
    <row r="45735" spans="7:7" ht="10.5" customHeight="1" x14ac:dyDescent="0.2">
      <c r="G45735" s="889"/>
    </row>
    <row r="45736" spans="7:7" ht="10.5" customHeight="1" x14ac:dyDescent="0.2">
      <c r="G45736" s="889"/>
    </row>
    <row r="45737" spans="7:7" ht="10.5" customHeight="1" x14ac:dyDescent="0.2">
      <c r="G45737" s="889"/>
    </row>
    <row r="45738" spans="7:7" ht="10.5" customHeight="1" x14ac:dyDescent="0.2">
      <c r="G45738" s="889"/>
    </row>
    <row r="45739" spans="7:7" ht="10.5" customHeight="1" x14ac:dyDescent="0.2">
      <c r="G45739" s="889"/>
    </row>
    <row r="45740" spans="7:7" ht="10.5" customHeight="1" x14ac:dyDescent="0.2">
      <c r="G45740" s="889"/>
    </row>
    <row r="45741" spans="7:7" ht="10.5" customHeight="1" x14ac:dyDescent="0.2">
      <c r="G45741" s="889"/>
    </row>
    <row r="45742" spans="7:7" ht="10.5" customHeight="1" x14ac:dyDescent="0.2">
      <c r="G45742" s="889"/>
    </row>
    <row r="45743" spans="7:7" ht="10.5" customHeight="1" x14ac:dyDescent="0.2">
      <c r="G45743" s="889"/>
    </row>
    <row r="45744" spans="7:7" ht="10.5" customHeight="1" x14ac:dyDescent="0.2">
      <c r="G45744" s="889"/>
    </row>
    <row r="45745" spans="7:7" ht="10.5" customHeight="1" x14ac:dyDescent="0.2">
      <c r="G45745" s="889"/>
    </row>
    <row r="45746" spans="7:7" ht="10.5" customHeight="1" x14ac:dyDescent="0.2">
      <c r="G45746" s="889"/>
    </row>
    <row r="45747" spans="7:7" ht="10.5" customHeight="1" x14ac:dyDescent="0.2">
      <c r="G45747" s="889"/>
    </row>
    <row r="45748" spans="7:7" ht="10.5" customHeight="1" x14ac:dyDescent="0.2">
      <c r="G45748" s="889"/>
    </row>
    <row r="45749" spans="7:7" ht="10.5" customHeight="1" x14ac:dyDescent="0.2">
      <c r="G45749" s="889"/>
    </row>
    <row r="45750" spans="7:7" ht="10.5" customHeight="1" x14ac:dyDescent="0.2">
      <c r="G45750" s="889"/>
    </row>
    <row r="45751" spans="7:7" ht="10.5" customHeight="1" x14ac:dyDescent="0.2">
      <c r="G45751" s="889"/>
    </row>
    <row r="45752" spans="7:7" ht="10.5" customHeight="1" x14ac:dyDescent="0.2">
      <c r="G45752" s="889"/>
    </row>
    <row r="45753" spans="7:7" ht="10.5" customHeight="1" x14ac:dyDescent="0.2">
      <c r="G45753" s="889"/>
    </row>
    <row r="45754" spans="7:7" ht="10.5" customHeight="1" x14ac:dyDescent="0.2">
      <c r="G45754" s="889"/>
    </row>
    <row r="45755" spans="7:7" ht="10.5" customHeight="1" x14ac:dyDescent="0.2">
      <c r="G45755" s="889"/>
    </row>
    <row r="45756" spans="7:7" ht="10.5" customHeight="1" x14ac:dyDescent="0.2">
      <c r="G45756" s="889"/>
    </row>
    <row r="45757" spans="7:7" ht="10.5" customHeight="1" x14ac:dyDescent="0.2">
      <c r="G45757" s="889"/>
    </row>
    <row r="45758" spans="7:7" ht="10.5" customHeight="1" x14ac:dyDescent="0.2">
      <c r="G45758" s="889"/>
    </row>
    <row r="45759" spans="7:7" ht="10.5" customHeight="1" x14ac:dyDescent="0.2">
      <c r="G45759" s="889"/>
    </row>
    <row r="45760" spans="7:7" ht="10.5" customHeight="1" x14ac:dyDescent="0.2">
      <c r="G45760" s="889"/>
    </row>
    <row r="45761" spans="7:7" ht="10.5" customHeight="1" x14ac:dyDescent="0.2">
      <c r="G45761" s="889"/>
    </row>
    <row r="45762" spans="7:7" ht="10.5" customHeight="1" x14ac:dyDescent="0.2">
      <c r="G45762" s="889"/>
    </row>
    <row r="45763" spans="7:7" ht="10.5" customHeight="1" x14ac:dyDescent="0.2">
      <c r="G45763" s="889"/>
    </row>
    <row r="45764" spans="7:7" ht="10.5" customHeight="1" x14ac:dyDescent="0.2">
      <c r="G45764" s="889"/>
    </row>
    <row r="45765" spans="7:7" ht="10.5" customHeight="1" x14ac:dyDescent="0.2">
      <c r="G45765" s="889"/>
    </row>
    <row r="45766" spans="7:7" ht="10.5" customHeight="1" x14ac:dyDescent="0.2">
      <c r="G45766" s="889"/>
    </row>
    <row r="45767" spans="7:7" ht="10.5" customHeight="1" x14ac:dyDescent="0.2">
      <c r="G45767" s="889"/>
    </row>
    <row r="45768" spans="7:7" ht="10.5" customHeight="1" x14ac:dyDescent="0.2">
      <c r="G45768" s="889"/>
    </row>
    <row r="45769" spans="7:7" ht="10.5" customHeight="1" x14ac:dyDescent="0.2">
      <c r="G45769" s="889"/>
    </row>
    <row r="45770" spans="7:7" ht="10.5" customHeight="1" x14ac:dyDescent="0.2">
      <c r="G45770" s="889"/>
    </row>
    <row r="45771" spans="7:7" ht="10.5" customHeight="1" x14ac:dyDescent="0.2">
      <c r="G45771" s="889"/>
    </row>
    <row r="45772" spans="7:7" ht="10.5" customHeight="1" x14ac:dyDescent="0.2">
      <c r="G45772" s="889"/>
    </row>
    <row r="45773" spans="7:7" ht="10.5" customHeight="1" x14ac:dyDescent="0.2">
      <c r="G45773" s="889"/>
    </row>
    <row r="45774" spans="7:7" ht="10.5" customHeight="1" x14ac:dyDescent="0.2">
      <c r="G45774" s="889"/>
    </row>
    <row r="45775" spans="7:7" ht="10.5" customHeight="1" x14ac:dyDescent="0.2">
      <c r="G45775" s="889"/>
    </row>
    <row r="45776" spans="7:7" ht="10.5" customHeight="1" x14ac:dyDescent="0.2">
      <c r="G45776" s="889"/>
    </row>
    <row r="45777" spans="7:7" ht="10.5" customHeight="1" x14ac:dyDescent="0.2">
      <c r="G45777" s="889"/>
    </row>
    <row r="45778" spans="7:7" ht="10.5" customHeight="1" x14ac:dyDescent="0.2">
      <c r="G45778" s="889"/>
    </row>
    <row r="45779" spans="7:7" ht="10.5" customHeight="1" x14ac:dyDescent="0.2">
      <c r="G45779" s="889"/>
    </row>
    <row r="45780" spans="7:7" ht="10.5" customHeight="1" x14ac:dyDescent="0.2">
      <c r="G45780" s="889"/>
    </row>
    <row r="45781" spans="7:7" ht="10.5" customHeight="1" x14ac:dyDescent="0.2">
      <c r="G45781" s="889"/>
    </row>
    <row r="45782" spans="7:7" ht="10.5" customHeight="1" x14ac:dyDescent="0.2">
      <c r="G45782" s="889"/>
    </row>
    <row r="45783" spans="7:7" ht="10.5" customHeight="1" x14ac:dyDescent="0.2">
      <c r="G45783" s="889"/>
    </row>
    <row r="45784" spans="7:7" ht="10.5" customHeight="1" x14ac:dyDescent="0.2">
      <c r="G45784" s="889"/>
    </row>
    <row r="45785" spans="7:7" ht="10.5" customHeight="1" x14ac:dyDescent="0.2">
      <c r="G45785" s="889"/>
    </row>
    <row r="45786" spans="7:7" ht="10.5" customHeight="1" x14ac:dyDescent="0.2">
      <c r="G45786" s="889"/>
    </row>
    <row r="45787" spans="7:7" ht="10.5" customHeight="1" x14ac:dyDescent="0.2">
      <c r="G45787" s="889"/>
    </row>
    <row r="45788" spans="7:7" ht="10.5" customHeight="1" x14ac:dyDescent="0.2">
      <c r="G45788" s="889"/>
    </row>
    <row r="45789" spans="7:7" ht="10.5" customHeight="1" x14ac:dyDescent="0.2">
      <c r="G45789" s="889"/>
    </row>
    <row r="45790" spans="7:7" ht="10.5" customHeight="1" x14ac:dyDescent="0.2">
      <c r="G45790" s="889"/>
    </row>
    <row r="45791" spans="7:7" ht="10.5" customHeight="1" x14ac:dyDescent="0.2">
      <c r="G45791" s="889"/>
    </row>
    <row r="45792" spans="7:7" ht="10.5" customHeight="1" x14ac:dyDescent="0.2">
      <c r="G45792" s="889"/>
    </row>
    <row r="45793" spans="7:7" ht="10.5" customHeight="1" x14ac:dyDescent="0.2">
      <c r="G45793" s="889"/>
    </row>
    <row r="45794" spans="7:7" ht="10.5" customHeight="1" x14ac:dyDescent="0.2">
      <c r="G45794" s="889"/>
    </row>
    <row r="45795" spans="7:7" ht="10.5" customHeight="1" x14ac:dyDescent="0.2">
      <c r="G45795" s="889"/>
    </row>
    <row r="45796" spans="7:7" ht="10.5" customHeight="1" x14ac:dyDescent="0.2">
      <c r="G45796" s="889"/>
    </row>
    <row r="45797" spans="7:7" ht="10.5" customHeight="1" x14ac:dyDescent="0.2">
      <c r="G45797" s="889"/>
    </row>
    <row r="45798" spans="7:7" ht="10.5" customHeight="1" x14ac:dyDescent="0.2">
      <c r="G45798" s="889"/>
    </row>
    <row r="45799" spans="7:7" ht="10.5" customHeight="1" x14ac:dyDescent="0.2">
      <c r="G45799" s="889"/>
    </row>
    <row r="45800" spans="7:7" ht="10.5" customHeight="1" x14ac:dyDescent="0.2">
      <c r="G45800" s="889"/>
    </row>
    <row r="45801" spans="7:7" ht="10.5" customHeight="1" x14ac:dyDescent="0.2">
      <c r="G45801" s="889"/>
    </row>
    <row r="45802" spans="7:7" ht="10.5" customHeight="1" x14ac:dyDescent="0.2">
      <c r="G45802" s="889"/>
    </row>
    <row r="45803" spans="7:7" ht="10.5" customHeight="1" x14ac:dyDescent="0.2">
      <c r="G45803" s="889"/>
    </row>
    <row r="45804" spans="7:7" ht="10.5" customHeight="1" x14ac:dyDescent="0.2">
      <c r="G45804" s="889"/>
    </row>
    <row r="45805" spans="7:7" ht="10.5" customHeight="1" x14ac:dyDescent="0.2">
      <c r="G45805" s="889"/>
    </row>
    <row r="45806" spans="7:7" ht="10.5" customHeight="1" x14ac:dyDescent="0.2">
      <c r="G45806" s="889"/>
    </row>
    <row r="45807" spans="7:7" ht="10.5" customHeight="1" x14ac:dyDescent="0.2">
      <c r="G45807" s="889"/>
    </row>
    <row r="45808" spans="7:7" ht="10.5" customHeight="1" x14ac:dyDescent="0.2">
      <c r="G45808" s="889"/>
    </row>
    <row r="45809" spans="7:7" ht="10.5" customHeight="1" x14ac:dyDescent="0.2">
      <c r="G45809" s="889"/>
    </row>
    <row r="45810" spans="7:7" ht="10.5" customHeight="1" x14ac:dyDescent="0.2">
      <c r="G45810" s="889"/>
    </row>
    <row r="45811" spans="7:7" ht="10.5" customHeight="1" x14ac:dyDescent="0.2">
      <c r="G45811" s="889"/>
    </row>
    <row r="45812" spans="7:7" ht="10.5" customHeight="1" x14ac:dyDescent="0.2">
      <c r="G45812" s="889"/>
    </row>
    <row r="45813" spans="7:7" ht="10.5" customHeight="1" x14ac:dyDescent="0.2">
      <c r="G45813" s="889"/>
    </row>
    <row r="45814" spans="7:7" ht="10.5" customHeight="1" x14ac:dyDescent="0.2">
      <c r="G45814" s="889"/>
    </row>
    <row r="45815" spans="7:7" ht="10.5" customHeight="1" x14ac:dyDescent="0.2">
      <c r="G45815" s="889"/>
    </row>
    <row r="45816" spans="7:7" ht="10.5" customHeight="1" x14ac:dyDescent="0.2">
      <c r="G45816" s="889"/>
    </row>
    <row r="45817" spans="7:7" ht="10.5" customHeight="1" x14ac:dyDescent="0.2">
      <c r="G45817" s="889"/>
    </row>
    <row r="45818" spans="7:7" ht="10.5" customHeight="1" x14ac:dyDescent="0.2">
      <c r="G45818" s="889"/>
    </row>
    <row r="45819" spans="7:7" ht="10.5" customHeight="1" x14ac:dyDescent="0.2">
      <c r="G45819" s="889"/>
    </row>
    <row r="45820" spans="7:7" ht="10.5" customHeight="1" x14ac:dyDescent="0.2">
      <c r="G45820" s="889"/>
    </row>
    <row r="45821" spans="7:7" ht="10.5" customHeight="1" x14ac:dyDescent="0.2">
      <c r="G45821" s="889"/>
    </row>
    <row r="45822" spans="7:7" ht="10.5" customHeight="1" x14ac:dyDescent="0.2">
      <c r="G45822" s="889"/>
    </row>
    <row r="45823" spans="7:7" ht="10.5" customHeight="1" x14ac:dyDescent="0.2">
      <c r="G45823" s="889"/>
    </row>
    <row r="45824" spans="7:7" ht="10.5" customHeight="1" x14ac:dyDescent="0.2">
      <c r="G45824" s="889"/>
    </row>
    <row r="45825" spans="7:7" ht="10.5" customHeight="1" x14ac:dyDescent="0.2">
      <c r="G45825" s="889"/>
    </row>
    <row r="45826" spans="7:7" ht="10.5" customHeight="1" x14ac:dyDescent="0.2">
      <c r="G45826" s="889"/>
    </row>
    <row r="45827" spans="7:7" ht="10.5" customHeight="1" x14ac:dyDescent="0.2">
      <c r="G45827" s="889"/>
    </row>
    <row r="45828" spans="7:7" ht="10.5" customHeight="1" x14ac:dyDescent="0.2">
      <c r="G45828" s="889"/>
    </row>
    <row r="45829" spans="7:7" ht="10.5" customHeight="1" x14ac:dyDescent="0.2">
      <c r="G45829" s="889"/>
    </row>
    <row r="45830" spans="7:7" ht="10.5" customHeight="1" x14ac:dyDescent="0.2">
      <c r="G45830" s="889"/>
    </row>
    <row r="45831" spans="7:7" ht="10.5" customHeight="1" x14ac:dyDescent="0.2">
      <c r="G45831" s="889"/>
    </row>
    <row r="45832" spans="7:7" ht="10.5" customHeight="1" x14ac:dyDescent="0.2">
      <c r="G45832" s="889"/>
    </row>
    <row r="45833" spans="7:7" ht="10.5" customHeight="1" x14ac:dyDescent="0.2">
      <c r="G45833" s="889"/>
    </row>
    <row r="45834" spans="7:7" ht="10.5" customHeight="1" x14ac:dyDescent="0.2">
      <c r="G45834" s="889"/>
    </row>
    <row r="45835" spans="7:7" ht="10.5" customHeight="1" x14ac:dyDescent="0.2">
      <c r="G45835" s="889"/>
    </row>
    <row r="45836" spans="7:7" ht="10.5" customHeight="1" x14ac:dyDescent="0.2">
      <c r="G45836" s="889"/>
    </row>
    <row r="45837" spans="7:7" ht="10.5" customHeight="1" x14ac:dyDescent="0.2">
      <c r="G45837" s="889"/>
    </row>
    <row r="45838" spans="7:7" ht="10.5" customHeight="1" x14ac:dyDescent="0.2">
      <c r="G45838" s="889"/>
    </row>
    <row r="45839" spans="7:7" ht="10.5" customHeight="1" x14ac:dyDescent="0.2">
      <c r="G45839" s="889"/>
    </row>
    <row r="45840" spans="7:7" ht="10.5" customHeight="1" x14ac:dyDescent="0.2">
      <c r="G45840" s="889"/>
    </row>
    <row r="45841" spans="7:7" ht="10.5" customHeight="1" x14ac:dyDescent="0.2">
      <c r="G45841" s="889"/>
    </row>
    <row r="45842" spans="7:7" ht="10.5" customHeight="1" x14ac:dyDescent="0.2">
      <c r="G45842" s="889"/>
    </row>
    <row r="45843" spans="7:7" ht="10.5" customHeight="1" x14ac:dyDescent="0.2">
      <c r="G45843" s="889"/>
    </row>
    <row r="45844" spans="7:7" ht="10.5" customHeight="1" x14ac:dyDescent="0.2">
      <c r="G45844" s="889"/>
    </row>
    <row r="45845" spans="7:7" ht="10.5" customHeight="1" x14ac:dyDescent="0.2">
      <c r="G45845" s="889"/>
    </row>
    <row r="45846" spans="7:7" ht="10.5" customHeight="1" x14ac:dyDescent="0.2">
      <c r="G45846" s="889"/>
    </row>
    <row r="45847" spans="7:7" ht="10.5" customHeight="1" x14ac:dyDescent="0.2">
      <c r="G45847" s="889"/>
    </row>
    <row r="45848" spans="7:7" ht="10.5" customHeight="1" x14ac:dyDescent="0.2">
      <c r="G45848" s="889"/>
    </row>
    <row r="45849" spans="7:7" ht="10.5" customHeight="1" x14ac:dyDescent="0.2">
      <c r="G45849" s="889"/>
    </row>
    <row r="45850" spans="7:7" ht="10.5" customHeight="1" x14ac:dyDescent="0.2">
      <c r="G45850" s="889"/>
    </row>
    <row r="45851" spans="7:7" ht="10.5" customHeight="1" x14ac:dyDescent="0.2">
      <c r="G45851" s="889"/>
    </row>
    <row r="45852" spans="7:7" ht="10.5" customHeight="1" x14ac:dyDescent="0.2">
      <c r="G45852" s="889"/>
    </row>
    <row r="45853" spans="7:7" ht="10.5" customHeight="1" x14ac:dyDescent="0.2">
      <c r="G45853" s="889"/>
    </row>
    <row r="45854" spans="7:7" ht="10.5" customHeight="1" x14ac:dyDescent="0.2">
      <c r="G45854" s="889"/>
    </row>
    <row r="45855" spans="7:7" ht="10.5" customHeight="1" x14ac:dyDescent="0.2">
      <c r="G45855" s="889"/>
    </row>
    <row r="45856" spans="7:7" ht="10.5" customHeight="1" x14ac:dyDescent="0.2">
      <c r="G45856" s="889"/>
    </row>
    <row r="45857" spans="7:7" ht="10.5" customHeight="1" x14ac:dyDescent="0.2">
      <c r="G45857" s="889"/>
    </row>
    <row r="45858" spans="7:7" ht="10.5" customHeight="1" x14ac:dyDescent="0.2">
      <c r="G45858" s="889"/>
    </row>
    <row r="45859" spans="7:7" ht="10.5" customHeight="1" x14ac:dyDescent="0.2">
      <c r="G45859" s="889"/>
    </row>
    <row r="45860" spans="7:7" ht="10.5" customHeight="1" x14ac:dyDescent="0.2">
      <c r="G45860" s="889"/>
    </row>
    <row r="45861" spans="7:7" ht="10.5" customHeight="1" x14ac:dyDescent="0.2">
      <c r="G45861" s="889"/>
    </row>
    <row r="45862" spans="7:7" ht="10.5" customHeight="1" x14ac:dyDescent="0.2">
      <c r="G45862" s="889"/>
    </row>
    <row r="45863" spans="7:7" ht="10.5" customHeight="1" x14ac:dyDescent="0.2">
      <c r="G45863" s="889"/>
    </row>
    <row r="45864" spans="7:7" ht="10.5" customHeight="1" x14ac:dyDescent="0.2">
      <c r="G45864" s="889"/>
    </row>
    <row r="45865" spans="7:7" ht="10.5" customHeight="1" x14ac:dyDescent="0.2">
      <c r="G45865" s="889"/>
    </row>
    <row r="45866" spans="7:7" ht="10.5" customHeight="1" x14ac:dyDescent="0.2">
      <c r="G45866" s="889"/>
    </row>
    <row r="45867" spans="7:7" ht="10.5" customHeight="1" x14ac:dyDescent="0.2">
      <c r="G45867" s="889"/>
    </row>
    <row r="45868" spans="7:7" ht="10.5" customHeight="1" x14ac:dyDescent="0.2">
      <c r="G45868" s="889"/>
    </row>
    <row r="45869" spans="7:7" ht="10.5" customHeight="1" x14ac:dyDescent="0.2">
      <c r="G45869" s="889"/>
    </row>
    <row r="45870" spans="7:7" ht="10.5" customHeight="1" x14ac:dyDescent="0.2">
      <c r="G45870" s="889"/>
    </row>
    <row r="45871" spans="7:7" ht="10.5" customHeight="1" x14ac:dyDescent="0.2">
      <c r="G45871" s="889"/>
    </row>
    <row r="45872" spans="7:7" ht="10.5" customHeight="1" x14ac:dyDescent="0.2">
      <c r="G45872" s="889"/>
    </row>
    <row r="45873" spans="7:7" ht="10.5" customHeight="1" x14ac:dyDescent="0.2">
      <c r="G45873" s="889"/>
    </row>
    <row r="45874" spans="7:7" ht="10.5" customHeight="1" x14ac:dyDescent="0.2">
      <c r="G45874" s="889"/>
    </row>
    <row r="45875" spans="7:7" ht="10.5" customHeight="1" x14ac:dyDescent="0.2">
      <c r="G45875" s="889"/>
    </row>
    <row r="45876" spans="7:7" ht="10.5" customHeight="1" x14ac:dyDescent="0.2">
      <c r="G45876" s="889"/>
    </row>
    <row r="45877" spans="7:7" ht="10.5" customHeight="1" x14ac:dyDescent="0.2">
      <c r="G45877" s="889"/>
    </row>
    <row r="45878" spans="7:7" ht="10.5" customHeight="1" x14ac:dyDescent="0.2">
      <c r="G45878" s="889"/>
    </row>
    <row r="45879" spans="7:7" ht="10.5" customHeight="1" x14ac:dyDescent="0.2">
      <c r="G45879" s="889"/>
    </row>
    <row r="45880" spans="7:7" ht="10.5" customHeight="1" x14ac:dyDescent="0.2">
      <c r="G45880" s="889"/>
    </row>
    <row r="45881" spans="7:7" ht="10.5" customHeight="1" x14ac:dyDescent="0.2">
      <c r="G45881" s="889"/>
    </row>
    <row r="45882" spans="7:7" ht="10.5" customHeight="1" x14ac:dyDescent="0.2">
      <c r="G45882" s="889"/>
    </row>
    <row r="45883" spans="7:7" ht="10.5" customHeight="1" x14ac:dyDescent="0.2">
      <c r="G45883" s="889"/>
    </row>
    <row r="45884" spans="7:7" ht="10.5" customHeight="1" x14ac:dyDescent="0.2">
      <c r="G45884" s="889"/>
    </row>
    <row r="45885" spans="7:7" ht="10.5" customHeight="1" x14ac:dyDescent="0.2">
      <c r="G45885" s="889"/>
    </row>
    <row r="45886" spans="7:7" ht="10.5" customHeight="1" x14ac:dyDescent="0.2">
      <c r="G45886" s="889"/>
    </row>
    <row r="45887" spans="7:7" ht="10.5" customHeight="1" x14ac:dyDescent="0.2">
      <c r="G45887" s="889"/>
    </row>
    <row r="45888" spans="7:7" ht="10.5" customHeight="1" x14ac:dyDescent="0.2">
      <c r="G45888" s="889"/>
    </row>
    <row r="45889" spans="7:7" ht="10.5" customHeight="1" x14ac:dyDescent="0.2">
      <c r="G45889" s="889"/>
    </row>
    <row r="45890" spans="7:7" ht="10.5" customHeight="1" x14ac:dyDescent="0.2">
      <c r="G45890" s="889"/>
    </row>
    <row r="45891" spans="7:7" ht="10.5" customHeight="1" x14ac:dyDescent="0.2">
      <c r="G45891" s="889"/>
    </row>
    <row r="45892" spans="7:7" ht="10.5" customHeight="1" x14ac:dyDescent="0.2">
      <c r="G45892" s="889"/>
    </row>
    <row r="45893" spans="7:7" ht="10.5" customHeight="1" x14ac:dyDescent="0.2">
      <c r="G45893" s="889"/>
    </row>
    <row r="45894" spans="7:7" ht="10.5" customHeight="1" x14ac:dyDescent="0.2">
      <c r="G45894" s="889"/>
    </row>
    <row r="45895" spans="7:7" ht="10.5" customHeight="1" x14ac:dyDescent="0.2">
      <c r="G45895" s="889"/>
    </row>
    <row r="45896" spans="7:7" ht="10.5" customHeight="1" x14ac:dyDescent="0.2">
      <c r="G45896" s="889"/>
    </row>
    <row r="45897" spans="7:7" ht="10.5" customHeight="1" x14ac:dyDescent="0.2">
      <c r="G45897" s="889"/>
    </row>
    <row r="45898" spans="7:7" ht="10.5" customHeight="1" x14ac:dyDescent="0.2">
      <c r="G45898" s="889"/>
    </row>
    <row r="45899" spans="7:7" ht="10.5" customHeight="1" x14ac:dyDescent="0.2">
      <c r="G45899" s="889"/>
    </row>
    <row r="45900" spans="7:7" ht="10.5" customHeight="1" x14ac:dyDescent="0.2">
      <c r="G45900" s="889"/>
    </row>
    <row r="45901" spans="7:7" ht="10.5" customHeight="1" x14ac:dyDescent="0.2">
      <c r="G45901" s="889"/>
    </row>
    <row r="45902" spans="7:7" ht="10.5" customHeight="1" x14ac:dyDescent="0.2">
      <c r="G45902" s="889"/>
    </row>
    <row r="45903" spans="7:7" ht="10.5" customHeight="1" x14ac:dyDescent="0.2">
      <c r="G45903" s="889"/>
    </row>
    <row r="45904" spans="7:7" ht="10.5" customHeight="1" x14ac:dyDescent="0.2">
      <c r="G45904" s="889"/>
    </row>
    <row r="45905" spans="7:7" ht="10.5" customHeight="1" x14ac:dyDescent="0.2">
      <c r="G45905" s="889"/>
    </row>
    <row r="45906" spans="7:7" ht="10.5" customHeight="1" x14ac:dyDescent="0.2">
      <c r="G45906" s="889"/>
    </row>
    <row r="45907" spans="7:7" ht="10.5" customHeight="1" x14ac:dyDescent="0.2">
      <c r="G45907" s="889"/>
    </row>
    <row r="45908" spans="7:7" ht="10.5" customHeight="1" x14ac:dyDescent="0.2">
      <c r="G45908" s="889"/>
    </row>
    <row r="45909" spans="7:7" ht="10.5" customHeight="1" x14ac:dyDescent="0.2">
      <c r="G45909" s="889"/>
    </row>
    <row r="45910" spans="7:7" ht="10.5" customHeight="1" x14ac:dyDescent="0.2">
      <c r="G45910" s="889"/>
    </row>
    <row r="45911" spans="7:7" ht="10.5" customHeight="1" x14ac:dyDescent="0.2">
      <c r="G45911" s="889"/>
    </row>
    <row r="45912" spans="7:7" ht="10.5" customHeight="1" x14ac:dyDescent="0.2">
      <c r="G45912" s="889"/>
    </row>
    <row r="45913" spans="7:7" ht="10.5" customHeight="1" x14ac:dyDescent="0.2">
      <c r="G45913" s="889"/>
    </row>
    <row r="45914" spans="7:7" ht="10.5" customHeight="1" x14ac:dyDescent="0.2">
      <c r="G45914" s="889"/>
    </row>
    <row r="45915" spans="7:7" ht="10.5" customHeight="1" x14ac:dyDescent="0.2">
      <c r="G45915" s="889"/>
    </row>
    <row r="45916" spans="7:7" ht="10.5" customHeight="1" x14ac:dyDescent="0.2">
      <c r="G45916" s="889"/>
    </row>
    <row r="45917" spans="7:7" ht="10.5" customHeight="1" x14ac:dyDescent="0.2">
      <c r="G45917" s="889"/>
    </row>
    <row r="45918" spans="7:7" ht="10.5" customHeight="1" x14ac:dyDescent="0.2">
      <c r="G45918" s="889"/>
    </row>
    <row r="45919" spans="7:7" ht="10.5" customHeight="1" x14ac:dyDescent="0.2">
      <c r="G45919" s="889"/>
    </row>
    <row r="45920" spans="7:7" ht="10.5" customHeight="1" x14ac:dyDescent="0.2">
      <c r="G45920" s="889"/>
    </row>
    <row r="45921" spans="7:7" ht="10.5" customHeight="1" x14ac:dyDescent="0.2">
      <c r="G45921" s="889"/>
    </row>
    <row r="45922" spans="7:7" ht="10.5" customHeight="1" x14ac:dyDescent="0.2">
      <c r="G45922" s="889"/>
    </row>
    <row r="45923" spans="7:7" ht="10.5" customHeight="1" x14ac:dyDescent="0.2">
      <c r="G45923" s="889"/>
    </row>
    <row r="45924" spans="7:7" ht="10.5" customHeight="1" x14ac:dyDescent="0.2">
      <c r="G45924" s="889"/>
    </row>
    <row r="45925" spans="7:7" ht="10.5" customHeight="1" x14ac:dyDescent="0.2">
      <c r="G45925" s="889"/>
    </row>
    <row r="45926" spans="7:7" ht="10.5" customHeight="1" x14ac:dyDescent="0.2">
      <c r="G45926" s="889"/>
    </row>
    <row r="45927" spans="7:7" ht="10.5" customHeight="1" x14ac:dyDescent="0.2">
      <c r="G45927" s="889"/>
    </row>
    <row r="45928" spans="7:7" ht="10.5" customHeight="1" x14ac:dyDescent="0.2">
      <c r="G45928" s="889"/>
    </row>
    <row r="45929" spans="7:7" ht="10.5" customHeight="1" x14ac:dyDescent="0.2">
      <c r="G45929" s="889"/>
    </row>
    <row r="45930" spans="7:7" ht="10.5" customHeight="1" x14ac:dyDescent="0.2">
      <c r="G45930" s="889"/>
    </row>
    <row r="45931" spans="7:7" ht="10.5" customHeight="1" x14ac:dyDescent="0.2">
      <c r="G45931" s="889"/>
    </row>
    <row r="45932" spans="7:7" ht="10.5" customHeight="1" x14ac:dyDescent="0.2">
      <c r="G45932" s="889"/>
    </row>
    <row r="45933" spans="7:7" ht="10.5" customHeight="1" x14ac:dyDescent="0.2">
      <c r="G45933" s="889"/>
    </row>
    <row r="45934" spans="7:7" ht="10.5" customHeight="1" x14ac:dyDescent="0.2">
      <c r="G45934" s="889"/>
    </row>
    <row r="45935" spans="7:7" ht="10.5" customHeight="1" x14ac:dyDescent="0.2">
      <c r="G45935" s="889"/>
    </row>
    <row r="45936" spans="7:7" ht="10.5" customHeight="1" x14ac:dyDescent="0.2">
      <c r="G45936" s="889"/>
    </row>
    <row r="45937" spans="7:7" ht="10.5" customHeight="1" x14ac:dyDescent="0.2">
      <c r="G45937" s="889"/>
    </row>
    <row r="45938" spans="7:7" ht="10.5" customHeight="1" x14ac:dyDescent="0.2">
      <c r="G45938" s="889"/>
    </row>
    <row r="45939" spans="7:7" ht="10.5" customHeight="1" x14ac:dyDescent="0.2">
      <c r="G45939" s="889"/>
    </row>
    <row r="45940" spans="7:7" ht="10.5" customHeight="1" x14ac:dyDescent="0.2">
      <c r="G45940" s="889"/>
    </row>
    <row r="45941" spans="7:7" ht="10.5" customHeight="1" x14ac:dyDescent="0.2">
      <c r="G45941" s="889"/>
    </row>
    <row r="45942" spans="7:7" ht="10.5" customHeight="1" x14ac:dyDescent="0.2">
      <c r="G45942" s="889"/>
    </row>
    <row r="45943" spans="7:7" ht="10.5" customHeight="1" x14ac:dyDescent="0.2">
      <c r="G45943" s="889"/>
    </row>
    <row r="45944" spans="7:7" ht="10.5" customHeight="1" x14ac:dyDescent="0.2">
      <c r="G45944" s="889"/>
    </row>
    <row r="45945" spans="7:7" ht="10.5" customHeight="1" x14ac:dyDescent="0.2">
      <c r="G45945" s="889"/>
    </row>
    <row r="45946" spans="7:7" ht="10.5" customHeight="1" x14ac:dyDescent="0.2">
      <c r="G45946" s="889"/>
    </row>
    <row r="45947" spans="7:7" ht="10.5" customHeight="1" x14ac:dyDescent="0.2">
      <c r="G45947" s="889"/>
    </row>
    <row r="45948" spans="7:7" ht="10.5" customHeight="1" x14ac:dyDescent="0.2">
      <c r="G45948" s="889"/>
    </row>
    <row r="45949" spans="7:7" ht="10.5" customHeight="1" x14ac:dyDescent="0.2">
      <c r="G45949" s="889"/>
    </row>
    <row r="45950" spans="7:7" ht="10.5" customHeight="1" x14ac:dyDescent="0.2">
      <c r="G45950" s="889"/>
    </row>
    <row r="45951" spans="7:7" ht="10.5" customHeight="1" x14ac:dyDescent="0.2">
      <c r="G45951" s="889"/>
    </row>
    <row r="45952" spans="7:7" ht="10.5" customHeight="1" x14ac:dyDescent="0.2">
      <c r="G45952" s="889"/>
    </row>
    <row r="45953" spans="7:7" ht="10.5" customHeight="1" x14ac:dyDescent="0.2">
      <c r="G45953" s="889"/>
    </row>
    <row r="45954" spans="7:7" ht="10.5" customHeight="1" x14ac:dyDescent="0.2">
      <c r="G45954" s="889"/>
    </row>
    <row r="45955" spans="7:7" ht="10.5" customHeight="1" x14ac:dyDescent="0.2">
      <c r="G45955" s="889"/>
    </row>
    <row r="45956" spans="7:7" ht="10.5" customHeight="1" x14ac:dyDescent="0.2">
      <c r="G45956" s="889"/>
    </row>
    <row r="45957" spans="7:7" ht="10.5" customHeight="1" x14ac:dyDescent="0.2">
      <c r="G45957" s="889"/>
    </row>
    <row r="45958" spans="7:7" ht="10.5" customHeight="1" x14ac:dyDescent="0.2">
      <c r="G45958" s="889"/>
    </row>
    <row r="45959" spans="7:7" ht="10.5" customHeight="1" x14ac:dyDescent="0.2">
      <c r="G45959" s="889"/>
    </row>
    <row r="45960" spans="7:7" ht="10.5" customHeight="1" x14ac:dyDescent="0.2">
      <c r="G45960" s="889"/>
    </row>
    <row r="45961" spans="7:7" ht="10.5" customHeight="1" x14ac:dyDescent="0.2">
      <c r="G45961" s="889"/>
    </row>
    <row r="45962" spans="7:7" ht="10.5" customHeight="1" x14ac:dyDescent="0.2">
      <c r="G45962" s="889"/>
    </row>
    <row r="45963" spans="7:7" ht="10.5" customHeight="1" x14ac:dyDescent="0.2">
      <c r="G45963" s="889"/>
    </row>
    <row r="45964" spans="7:7" ht="10.5" customHeight="1" x14ac:dyDescent="0.2">
      <c r="G45964" s="889"/>
    </row>
    <row r="45965" spans="7:7" ht="10.5" customHeight="1" x14ac:dyDescent="0.2">
      <c r="G45965" s="889"/>
    </row>
    <row r="45966" spans="7:7" ht="10.5" customHeight="1" x14ac:dyDescent="0.2">
      <c r="G45966" s="889"/>
    </row>
    <row r="45967" spans="7:7" ht="10.5" customHeight="1" x14ac:dyDescent="0.2">
      <c r="G45967" s="889"/>
    </row>
    <row r="45968" spans="7:7" ht="10.5" customHeight="1" x14ac:dyDescent="0.2">
      <c r="G45968" s="889"/>
    </row>
    <row r="45969" spans="7:7" ht="10.5" customHeight="1" x14ac:dyDescent="0.2">
      <c r="G45969" s="889"/>
    </row>
    <row r="45970" spans="7:7" ht="10.5" customHeight="1" x14ac:dyDescent="0.2">
      <c r="G45970" s="889"/>
    </row>
    <row r="45971" spans="7:7" ht="10.5" customHeight="1" x14ac:dyDescent="0.2">
      <c r="G45971" s="889"/>
    </row>
    <row r="45972" spans="7:7" ht="10.5" customHeight="1" x14ac:dyDescent="0.2">
      <c r="G45972" s="889"/>
    </row>
    <row r="45973" spans="7:7" ht="10.5" customHeight="1" x14ac:dyDescent="0.2">
      <c r="G45973" s="889"/>
    </row>
    <row r="45974" spans="7:7" ht="10.5" customHeight="1" x14ac:dyDescent="0.2">
      <c r="G45974" s="889"/>
    </row>
    <row r="45975" spans="7:7" ht="10.5" customHeight="1" x14ac:dyDescent="0.2">
      <c r="G45975" s="889"/>
    </row>
    <row r="45976" spans="7:7" ht="10.5" customHeight="1" x14ac:dyDescent="0.2">
      <c r="G45976" s="889"/>
    </row>
    <row r="45977" spans="7:7" ht="10.5" customHeight="1" x14ac:dyDescent="0.2">
      <c r="G45977" s="889"/>
    </row>
    <row r="45978" spans="7:7" ht="10.5" customHeight="1" x14ac:dyDescent="0.2">
      <c r="G45978" s="889"/>
    </row>
    <row r="45979" spans="7:7" ht="10.5" customHeight="1" x14ac:dyDescent="0.2">
      <c r="G45979" s="889"/>
    </row>
    <row r="45980" spans="7:7" ht="10.5" customHeight="1" x14ac:dyDescent="0.2">
      <c r="G45980" s="889"/>
    </row>
    <row r="45981" spans="7:7" ht="10.5" customHeight="1" x14ac:dyDescent="0.2">
      <c r="G45981" s="889"/>
    </row>
    <row r="45982" spans="7:7" ht="10.5" customHeight="1" x14ac:dyDescent="0.2">
      <c r="G45982" s="889"/>
    </row>
    <row r="45983" spans="7:7" ht="10.5" customHeight="1" x14ac:dyDescent="0.2">
      <c r="G45983" s="889"/>
    </row>
    <row r="45984" spans="7:7" ht="10.5" customHeight="1" x14ac:dyDescent="0.2">
      <c r="G45984" s="889"/>
    </row>
    <row r="45985" spans="7:7" ht="10.5" customHeight="1" x14ac:dyDescent="0.2">
      <c r="G45985" s="889"/>
    </row>
    <row r="45986" spans="7:7" ht="10.5" customHeight="1" x14ac:dyDescent="0.2">
      <c r="G45986" s="889"/>
    </row>
    <row r="45987" spans="7:7" ht="10.5" customHeight="1" x14ac:dyDescent="0.2">
      <c r="G45987" s="889"/>
    </row>
    <row r="45988" spans="7:7" ht="10.5" customHeight="1" x14ac:dyDescent="0.2">
      <c r="G45988" s="889"/>
    </row>
    <row r="45989" spans="7:7" ht="10.5" customHeight="1" x14ac:dyDescent="0.2">
      <c r="G45989" s="889"/>
    </row>
    <row r="45990" spans="7:7" ht="10.5" customHeight="1" x14ac:dyDescent="0.2">
      <c r="G45990" s="889"/>
    </row>
    <row r="45991" spans="7:7" ht="10.5" customHeight="1" x14ac:dyDescent="0.2">
      <c r="G45991" s="889"/>
    </row>
    <row r="45992" spans="7:7" ht="10.5" customHeight="1" x14ac:dyDescent="0.2">
      <c r="G45992" s="889"/>
    </row>
    <row r="45993" spans="7:7" ht="10.5" customHeight="1" x14ac:dyDescent="0.2">
      <c r="G45993" s="889"/>
    </row>
    <row r="45994" spans="7:7" ht="10.5" customHeight="1" x14ac:dyDescent="0.2">
      <c r="G45994" s="889"/>
    </row>
    <row r="45995" spans="7:7" ht="10.5" customHeight="1" x14ac:dyDescent="0.2">
      <c r="G45995" s="889"/>
    </row>
    <row r="45996" spans="7:7" ht="10.5" customHeight="1" x14ac:dyDescent="0.2">
      <c r="G45996" s="889"/>
    </row>
    <row r="45997" spans="7:7" ht="10.5" customHeight="1" x14ac:dyDescent="0.2">
      <c r="G45997" s="889"/>
    </row>
    <row r="45998" spans="7:7" ht="10.5" customHeight="1" x14ac:dyDescent="0.2">
      <c r="G45998" s="889"/>
    </row>
    <row r="45999" spans="7:7" ht="10.5" customHeight="1" x14ac:dyDescent="0.2">
      <c r="G45999" s="889"/>
    </row>
    <row r="46000" spans="7:7" ht="10.5" customHeight="1" x14ac:dyDescent="0.2">
      <c r="G46000" s="889"/>
    </row>
    <row r="46001" spans="7:7" ht="10.5" customHeight="1" x14ac:dyDescent="0.2">
      <c r="G46001" s="889"/>
    </row>
    <row r="46002" spans="7:7" ht="10.5" customHeight="1" x14ac:dyDescent="0.2">
      <c r="G46002" s="889"/>
    </row>
    <row r="46003" spans="7:7" ht="10.5" customHeight="1" x14ac:dyDescent="0.2">
      <c r="G46003" s="889"/>
    </row>
    <row r="46004" spans="7:7" ht="10.5" customHeight="1" x14ac:dyDescent="0.2">
      <c r="G46004" s="889"/>
    </row>
    <row r="46005" spans="7:7" ht="10.5" customHeight="1" x14ac:dyDescent="0.2">
      <c r="G46005" s="889"/>
    </row>
    <row r="46006" spans="7:7" ht="10.5" customHeight="1" x14ac:dyDescent="0.2">
      <c r="G46006" s="889"/>
    </row>
    <row r="46007" spans="7:7" ht="10.5" customHeight="1" x14ac:dyDescent="0.2">
      <c r="G46007" s="889"/>
    </row>
    <row r="46008" spans="7:7" ht="10.5" customHeight="1" x14ac:dyDescent="0.2">
      <c r="G46008" s="889"/>
    </row>
    <row r="46009" spans="7:7" ht="10.5" customHeight="1" x14ac:dyDescent="0.2">
      <c r="G46009" s="889"/>
    </row>
    <row r="46010" spans="7:7" ht="10.5" customHeight="1" x14ac:dyDescent="0.2">
      <c r="G46010" s="889"/>
    </row>
    <row r="46011" spans="7:7" ht="10.5" customHeight="1" x14ac:dyDescent="0.2">
      <c r="G46011" s="889"/>
    </row>
    <row r="46012" spans="7:7" ht="10.5" customHeight="1" x14ac:dyDescent="0.2">
      <c r="G46012" s="889"/>
    </row>
    <row r="46013" spans="7:7" ht="10.5" customHeight="1" x14ac:dyDescent="0.2">
      <c r="G46013" s="889"/>
    </row>
    <row r="46014" spans="7:7" ht="10.5" customHeight="1" x14ac:dyDescent="0.2">
      <c r="G46014" s="889"/>
    </row>
    <row r="46015" spans="7:7" ht="10.5" customHeight="1" x14ac:dyDescent="0.2">
      <c r="G46015" s="889"/>
    </row>
    <row r="46016" spans="7:7" ht="10.5" customHeight="1" x14ac:dyDescent="0.2">
      <c r="G46016" s="889"/>
    </row>
    <row r="46017" spans="7:7" ht="10.5" customHeight="1" x14ac:dyDescent="0.2">
      <c r="G46017" s="889"/>
    </row>
    <row r="46018" spans="7:7" ht="10.5" customHeight="1" x14ac:dyDescent="0.2">
      <c r="G46018" s="889"/>
    </row>
    <row r="46019" spans="7:7" ht="10.5" customHeight="1" x14ac:dyDescent="0.2">
      <c r="G46019" s="889"/>
    </row>
    <row r="46020" spans="7:7" ht="10.5" customHeight="1" x14ac:dyDescent="0.2">
      <c r="G46020" s="889"/>
    </row>
    <row r="46021" spans="7:7" ht="10.5" customHeight="1" x14ac:dyDescent="0.2">
      <c r="G46021" s="889"/>
    </row>
    <row r="46022" spans="7:7" ht="10.5" customHeight="1" x14ac:dyDescent="0.2">
      <c r="G46022" s="889"/>
    </row>
    <row r="46023" spans="7:7" ht="10.5" customHeight="1" x14ac:dyDescent="0.2">
      <c r="G46023" s="889"/>
    </row>
    <row r="46024" spans="7:7" ht="10.5" customHeight="1" x14ac:dyDescent="0.2">
      <c r="G46024" s="889"/>
    </row>
    <row r="46025" spans="7:7" ht="10.5" customHeight="1" x14ac:dyDescent="0.2">
      <c r="G46025" s="889"/>
    </row>
    <row r="46026" spans="7:7" ht="10.5" customHeight="1" x14ac:dyDescent="0.2">
      <c r="G46026" s="889"/>
    </row>
    <row r="46027" spans="7:7" ht="10.5" customHeight="1" x14ac:dyDescent="0.2">
      <c r="G46027" s="889"/>
    </row>
    <row r="46028" spans="7:7" ht="10.5" customHeight="1" x14ac:dyDescent="0.2">
      <c r="G46028" s="889"/>
    </row>
    <row r="46029" spans="7:7" ht="10.5" customHeight="1" x14ac:dyDescent="0.2">
      <c r="G46029" s="889"/>
    </row>
    <row r="46030" spans="7:7" ht="10.5" customHeight="1" x14ac:dyDescent="0.2">
      <c r="G46030" s="889"/>
    </row>
    <row r="46031" spans="7:7" ht="10.5" customHeight="1" x14ac:dyDescent="0.2">
      <c r="G46031" s="889"/>
    </row>
    <row r="46032" spans="7:7" ht="10.5" customHeight="1" x14ac:dyDescent="0.2">
      <c r="G46032" s="889"/>
    </row>
    <row r="46033" spans="7:7" ht="10.5" customHeight="1" x14ac:dyDescent="0.2">
      <c r="G46033" s="889"/>
    </row>
    <row r="46034" spans="7:7" ht="10.5" customHeight="1" x14ac:dyDescent="0.2">
      <c r="G46034" s="889"/>
    </row>
    <row r="46035" spans="7:7" ht="10.5" customHeight="1" x14ac:dyDescent="0.2">
      <c r="G46035" s="889"/>
    </row>
    <row r="46036" spans="7:7" ht="10.5" customHeight="1" x14ac:dyDescent="0.2">
      <c r="G46036" s="889"/>
    </row>
    <row r="46037" spans="7:7" ht="10.5" customHeight="1" x14ac:dyDescent="0.2">
      <c r="G46037" s="889"/>
    </row>
    <row r="46038" spans="7:7" ht="10.5" customHeight="1" x14ac:dyDescent="0.2">
      <c r="G46038" s="889"/>
    </row>
    <row r="46039" spans="7:7" ht="10.5" customHeight="1" x14ac:dyDescent="0.2">
      <c r="G46039" s="889"/>
    </row>
    <row r="46040" spans="7:7" ht="10.5" customHeight="1" x14ac:dyDescent="0.2">
      <c r="G46040" s="889"/>
    </row>
    <row r="46041" spans="7:7" ht="10.5" customHeight="1" x14ac:dyDescent="0.2">
      <c r="G46041" s="889"/>
    </row>
    <row r="46042" spans="7:7" ht="10.5" customHeight="1" x14ac:dyDescent="0.2">
      <c r="G46042" s="889"/>
    </row>
    <row r="46043" spans="7:7" ht="10.5" customHeight="1" x14ac:dyDescent="0.2">
      <c r="G46043" s="889"/>
    </row>
    <row r="46044" spans="7:7" ht="10.5" customHeight="1" x14ac:dyDescent="0.2">
      <c r="G46044" s="889"/>
    </row>
    <row r="46045" spans="7:7" ht="10.5" customHeight="1" x14ac:dyDescent="0.2">
      <c r="G46045" s="889"/>
    </row>
    <row r="46046" spans="7:7" ht="10.5" customHeight="1" x14ac:dyDescent="0.2">
      <c r="G46046" s="889"/>
    </row>
    <row r="46047" spans="7:7" ht="10.5" customHeight="1" x14ac:dyDescent="0.2">
      <c r="G46047" s="889"/>
    </row>
    <row r="46048" spans="7:7" ht="10.5" customHeight="1" x14ac:dyDescent="0.2">
      <c r="G46048" s="889"/>
    </row>
    <row r="46049" spans="7:7" ht="10.5" customHeight="1" x14ac:dyDescent="0.2">
      <c r="G46049" s="889"/>
    </row>
    <row r="46050" spans="7:7" ht="10.5" customHeight="1" x14ac:dyDescent="0.2">
      <c r="G46050" s="889"/>
    </row>
    <row r="46051" spans="7:7" ht="10.5" customHeight="1" x14ac:dyDescent="0.2">
      <c r="G46051" s="889"/>
    </row>
    <row r="46052" spans="7:7" ht="10.5" customHeight="1" x14ac:dyDescent="0.2">
      <c r="G46052" s="889"/>
    </row>
    <row r="46053" spans="7:7" ht="10.5" customHeight="1" x14ac:dyDescent="0.2">
      <c r="G46053" s="889"/>
    </row>
    <row r="46054" spans="7:7" ht="10.5" customHeight="1" x14ac:dyDescent="0.2">
      <c r="G46054" s="889"/>
    </row>
    <row r="46055" spans="7:7" ht="10.5" customHeight="1" x14ac:dyDescent="0.2">
      <c r="G46055" s="889"/>
    </row>
    <row r="46056" spans="7:7" ht="10.5" customHeight="1" x14ac:dyDescent="0.2">
      <c r="G46056" s="889"/>
    </row>
    <row r="46057" spans="7:7" ht="10.5" customHeight="1" x14ac:dyDescent="0.2">
      <c r="G46057" s="889"/>
    </row>
    <row r="46058" spans="7:7" ht="10.5" customHeight="1" x14ac:dyDescent="0.2">
      <c r="G46058" s="889"/>
    </row>
    <row r="46059" spans="7:7" ht="10.5" customHeight="1" x14ac:dyDescent="0.2">
      <c r="G46059" s="889"/>
    </row>
    <row r="46060" spans="7:7" ht="10.5" customHeight="1" x14ac:dyDescent="0.2">
      <c r="G46060" s="889"/>
    </row>
    <row r="46061" spans="7:7" ht="10.5" customHeight="1" x14ac:dyDescent="0.2">
      <c r="G46061" s="889"/>
    </row>
    <row r="46062" spans="7:7" ht="10.5" customHeight="1" x14ac:dyDescent="0.2">
      <c r="G46062" s="889"/>
    </row>
    <row r="46063" spans="7:7" ht="10.5" customHeight="1" x14ac:dyDescent="0.2">
      <c r="G46063" s="889"/>
    </row>
    <row r="46064" spans="7:7" ht="10.5" customHeight="1" x14ac:dyDescent="0.2">
      <c r="G46064" s="889"/>
    </row>
    <row r="46065" spans="7:7" ht="10.5" customHeight="1" x14ac:dyDescent="0.2">
      <c r="G46065" s="889"/>
    </row>
    <row r="46066" spans="7:7" ht="10.5" customHeight="1" x14ac:dyDescent="0.2">
      <c r="G46066" s="889"/>
    </row>
    <row r="46067" spans="7:7" ht="10.5" customHeight="1" x14ac:dyDescent="0.2">
      <c r="G46067" s="889"/>
    </row>
    <row r="46068" spans="7:7" ht="10.5" customHeight="1" x14ac:dyDescent="0.2">
      <c r="G46068" s="889"/>
    </row>
    <row r="46069" spans="7:7" ht="10.5" customHeight="1" x14ac:dyDescent="0.2">
      <c r="G46069" s="889"/>
    </row>
    <row r="46070" spans="7:7" ht="10.5" customHeight="1" x14ac:dyDescent="0.2">
      <c r="G46070" s="889"/>
    </row>
    <row r="46071" spans="7:7" ht="10.5" customHeight="1" x14ac:dyDescent="0.2">
      <c r="G46071" s="889"/>
    </row>
    <row r="46072" spans="7:7" ht="10.5" customHeight="1" x14ac:dyDescent="0.2">
      <c r="G46072" s="889"/>
    </row>
    <row r="46073" spans="7:7" ht="10.5" customHeight="1" x14ac:dyDescent="0.2">
      <c r="G46073" s="889"/>
    </row>
    <row r="46074" spans="7:7" ht="10.5" customHeight="1" x14ac:dyDescent="0.2">
      <c r="G46074" s="889"/>
    </row>
    <row r="46075" spans="7:7" ht="10.5" customHeight="1" x14ac:dyDescent="0.2">
      <c r="G46075" s="889"/>
    </row>
    <row r="46076" spans="7:7" ht="10.5" customHeight="1" x14ac:dyDescent="0.2">
      <c r="G46076" s="889"/>
    </row>
    <row r="46077" spans="7:7" ht="10.5" customHeight="1" x14ac:dyDescent="0.2">
      <c r="G46077" s="889"/>
    </row>
    <row r="46078" spans="7:7" ht="10.5" customHeight="1" x14ac:dyDescent="0.2">
      <c r="G46078" s="889"/>
    </row>
    <row r="46079" spans="7:7" ht="10.5" customHeight="1" x14ac:dyDescent="0.2">
      <c r="G46079" s="889"/>
    </row>
    <row r="46080" spans="7:7" ht="10.5" customHeight="1" x14ac:dyDescent="0.2">
      <c r="G46080" s="889"/>
    </row>
    <row r="46081" spans="7:7" ht="10.5" customHeight="1" x14ac:dyDescent="0.2">
      <c r="G46081" s="889"/>
    </row>
    <row r="46082" spans="7:7" ht="10.5" customHeight="1" x14ac:dyDescent="0.2">
      <c r="G46082" s="889"/>
    </row>
    <row r="46083" spans="7:7" ht="10.5" customHeight="1" x14ac:dyDescent="0.2">
      <c r="G46083" s="889"/>
    </row>
    <row r="46084" spans="7:7" ht="10.5" customHeight="1" x14ac:dyDescent="0.2">
      <c r="G46084" s="889"/>
    </row>
    <row r="46085" spans="7:7" ht="10.5" customHeight="1" x14ac:dyDescent="0.2">
      <c r="G46085" s="889"/>
    </row>
    <row r="46086" spans="7:7" ht="10.5" customHeight="1" x14ac:dyDescent="0.2">
      <c r="G46086" s="889"/>
    </row>
    <row r="46087" spans="7:7" ht="10.5" customHeight="1" x14ac:dyDescent="0.2">
      <c r="G46087" s="889"/>
    </row>
    <row r="46088" spans="7:7" ht="10.5" customHeight="1" x14ac:dyDescent="0.2">
      <c r="G46088" s="889"/>
    </row>
    <row r="46089" spans="7:7" ht="10.5" customHeight="1" x14ac:dyDescent="0.2">
      <c r="G46089" s="889"/>
    </row>
    <row r="46090" spans="7:7" ht="10.5" customHeight="1" x14ac:dyDescent="0.2">
      <c r="G46090" s="889"/>
    </row>
    <row r="46091" spans="7:7" ht="10.5" customHeight="1" x14ac:dyDescent="0.2">
      <c r="G46091" s="889"/>
    </row>
    <row r="46092" spans="7:7" ht="10.5" customHeight="1" x14ac:dyDescent="0.2">
      <c r="G46092" s="889"/>
    </row>
    <row r="46093" spans="7:7" ht="10.5" customHeight="1" x14ac:dyDescent="0.2">
      <c r="G46093" s="889"/>
    </row>
    <row r="46094" spans="7:7" ht="10.5" customHeight="1" x14ac:dyDescent="0.2">
      <c r="G46094" s="889"/>
    </row>
    <row r="46095" spans="7:7" ht="10.5" customHeight="1" x14ac:dyDescent="0.2">
      <c r="G46095" s="889"/>
    </row>
    <row r="46096" spans="7:7" ht="10.5" customHeight="1" x14ac:dyDescent="0.2">
      <c r="G46096" s="889"/>
    </row>
    <row r="46097" spans="7:7" ht="10.5" customHeight="1" x14ac:dyDescent="0.2">
      <c r="G46097" s="889"/>
    </row>
    <row r="46098" spans="7:7" ht="10.5" customHeight="1" x14ac:dyDescent="0.2">
      <c r="G46098" s="889"/>
    </row>
    <row r="46099" spans="7:7" ht="10.5" customHeight="1" x14ac:dyDescent="0.2">
      <c r="G46099" s="889"/>
    </row>
    <row r="46100" spans="7:7" ht="10.5" customHeight="1" x14ac:dyDescent="0.2">
      <c r="G46100" s="889"/>
    </row>
    <row r="46101" spans="7:7" ht="10.5" customHeight="1" x14ac:dyDescent="0.2">
      <c r="G46101" s="889"/>
    </row>
    <row r="46102" spans="7:7" ht="10.5" customHeight="1" x14ac:dyDescent="0.2">
      <c r="G46102" s="889"/>
    </row>
    <row r="46103" spans="7:7" ht="10.5" customHeight="1" x14ac:dyDescent="0.2">
      <c r="G46103" s="889"/>
    </row>
    <row r="46104" spans="7:7" ht="10.5" customHeight="1" x14ac:dyDescent="0.2">
      <c r="G46104" s="889"/>
    </row>
    <row r="46105" spans="7:7" ht="10.5" customHeight="1" x14ac:dyDescent="0.2">
      <c r="G46105" s="889"/>
    </row>
    <row r="46106" spans="7:7" ht="10.5" customHeight="1" x14ac:dyDescent="0.2">
      <c r="G46106" s="889"/>
    </row>
    <row r="46107" spans="7:7" ht="10.5" customHeight="1" x14ac:dyDescent="0.2">
      <c r="G46107" s="889"/>
    </row>
    <row r="46108" spans="7:7" ht="10.5" customHeight="1" x14ac:dyDescent="0.2">
      <c r="G46108" s="889"/>
    </row>
    <row r="46109" spans="7:7" ht="10.5" customHeight="1" x14ac:dyDescent="0.2">
      <c r="G46109" s="889"/>
    </row>
    <row r="46110" spans="7:7" ht="10.5" customHeight="1" x14ac:dyDescent="0.2">
      <c r="G46110" s="889"/>
    </row>
    <row r="46111" spans="7:7" ht="10.5" customHeight="1" x14ac:dyDescent="0.2">
      <c r="G46111" s="889"/>
    </row>
    <row r="46112" spans="7:7" ht="10.5" customHeight="1" x14ac:dyDescent="0.2">
      <c r="G46112" s="889"/>
    </row>
    <row r="46113" spans="7:7" ht="10.5" customHeight="1" x14ac:dyDescent="0.2">
      <c r="G46113" s="889"/>
    </row>
    <row r="46114" spans="7:7" ht="10.5" customHeight="1" x14ac:dyDescent="0.2">
      <c r="G46114" s="889"/>
    </row>
    <row r="46115" spans="7:7" ht="10.5" customHeight="1" x14ac:dyDescent="0.2">
      <c r="G46115" s="889"/>
    </row>
    <row r="46116" spans="7:7" ht="10.5" customHeight="1" x14ac:dyDescent="0.2">
      <c r="G46116" s="889"/>
    </row>
    <row r="46117" spans="7:7" ht="10.5" customHeight="1" x14ac:dyDescent="0.2">
      <c r="G46117" s="889"/>
    </row>
    <row r="46118" spans="7:7" ht="10.5" customHeight="1" x14ac:dyDescent="0.2">
      <c r="G46118" s="889"/>
    </row>
    <row r="46119" spans="7:7" ht="10.5" customHeight="1" x14ac:dyDescent="0.2">
      <c r="G46119" s="889"/>
    </row>
    <row r="46120" spans="7:7" ht="10.5" customHeight="1" x14ac:dyDescent="0.2">
      <c r="G46120" s="889"/>
    </row>
    <row r="46121" spans="7:7" ht="10.5" customHeight="1" x14ac:dyDescent="0.2">
      <c r="G46121" s="889"/>
    </row>
    <row r="46122" spans="7:7" ht="10.5" customHeight="1" x14ac:dyDescent="0.2">
      <c r="G46122" s="889"/>
    </row>
    <row r="46123" spans="7:7" ht="10.5" customHeight="1" x14ac:dyDescent="0.2">
      <c r="G46123" s="889"/>
    </row>
    <row r="46124" spans="7:7" ht="10.5" customHeight="1" x14ac:dyDescent="0.2">
      <c r="G46124" s="889"/>
    </row>
    <row r="46125" spans="7:7" ht="10.5" customHeight="1" x14ac:dyDescent="0.2">
      <c r="G46125" s="889"/>
    </row>
    <row r="46126" spans="7:7" ht="10.5" customHeight="1" x14ac:dyDescent="0.2">
      <c r="G46126" s="889"/>
    </row>
    <row r="46127" spans="7:7" ht="10.5" customHeight="1" x14ac:dyDescent="0.2">
      <c r="G46127" s="889"/>
    </row>
    <row r="46128" spans="7:7" ht="10.5" customHeight="1" x14ac:dyDescent="0.2">
      <c r="G46128" s="889"/>
    </row>
    <row r="46129" spans="7:7" ht="10.5" customHeight="1" x14ac:dyDescent="0.2">
      <c r="G46129" s="889"/>
    </row>
    <row r="46130" spans="7:7" ht="10.5" customHeight="1" x14ac:dyDescent="0.2">
      <c r="G46130" s="889"/>
    </row>
    <row r="46131" spans="7:7" ht="10.5" customHeight="1" x14ac:dyDescent="0.2">
      <c r="G46131" s="889"/>
    </row>
    <row r="46132" spans="7:7" ht="10.5" customHeight="1" x14ac:dyDescent="0.2">
      <c r="G46132" s="889"/>
    </row>
    <row r="46133" spans="7:7" ht="10.5" customHeight="1" x14ac:dyDescent="0.2">
      <c r="G46133" s="889"/>
    </row>
    <row r="46134" spans="7:7" ht="10.5" customHeight="1" x14ac:dyDescent="0.2">
      <c r="G46134" s="889"/>
    </row>
    <row r="46135" spans="7:7" ht="10.5" customHeight="1" x14ac:dyDescent="0.2">
      <c r="G46135" s="889"/>
    </row>
    <row r="46136" spans="7:7" ht="10.5" customHeight="1" x14ac:dyDescent="0.2">
      <c r="G46136" s="889"/>
    </row>
    <row r="46137" spans="7:7" ht="10.5" customHeight="1" x14ac:dyDescent="0.2">
      <c r="G46137" s="889"/>
    </row>
    <row r="46138" spans="7:7" ht="10.5" customHeight="1" x14ac:dyDescent="0.2">
      <c r="G46138" s="889"/>
    </row>
    <row r="46139" spans="7:7" ht="10.5" customHeight="1" x14ac:dyDescent="0.2">
      <c r="G46139" s="889"/>
    </row>
    <row r="46140" spans="7:7" ht="10.5" customHeight="1" x14ac:dyDescent="0.2">
      <c r="G46140" s="889"/>
    </row>
    <row r="46141" spans="7:7" ht="10.5" customHeight="1" x14ac:dyDescent="0.2">
      <c r="G46141" s="889"/>
    </row>
    <row r="46142" spans="7:7" ht="10.5" customHeight="1" x14ac:dyDescent="0.2">
      <c r="G46142" s="889"/>
    </row>
    <row r="46143" spans="7:7" ht="10.5" customHeight="1" x14ac:dyDescent="0.2">
      <c r="G46143" s="889"/>
    </row>
    <row r="46144" spans="7:7" ht="10.5" customHeight="1" x14ac:dyDescent="0.2">
      <c r="G46144" s="889"/>
    </row>
    <row r="46145" spans="7:7" ht="10.5" customHeight="1" x14ac:dyDescent="0.2">
      <c r="G46145" s="889"/>
    </row>
    <row r="46146" spans="7:7" ht="10.5" customHeight="1" x14ac:dyDescent="0.2">
      <c r="G46146" s="889"/>
    </row>
    <row r="46147" spans="7:7" ht="10.5" customHeight="1" x14ac:dyDescent="0.2">
      <c r="G46147" s="889"/>
    </row>
    <row r="46148" spans="7:7" ht="10.5" customHeight="1" x14ac:dyDescent="0.2">
      <c r="G46148" s="889"/>
    </row>
    <row r="46149" spans="7:7" ht="10.5" customHeight="1" x14ac:dyDescent="0.2">
      <c r="G46149" s="889"/>
    </row>
    <row r="46150" spans="7:7" ht="10.5" customHeight="1" x14ac:dyDescent="0.2">
      <c r="G46150" s="889"/>
    </row>
    <row r="46151" spans="7:7" ht="10.5" customHeight="1" x14ac:dyDescent="0.2">
      <c r="G46151" s="889"/>
    </row>
    <row r="46152" spans="7:7" ht="10.5" customHeight="1" x14ac:dyDescent="0.2">
      <c r="G46152" s="889"/>
    </row>
    <row r="46153" spans="7:7" ht="10.5" customHeight="1" x14ac:dyDescent="0.2">
      <c r="G46153" s="889"/>
    </row>
    <row r="46154" spans="7:7" ht="10.5" customHeight="1" x14ac:dyDescent="0.2">
      <c r="G46154" s="889"/>
    </row>
    <row r="46155" spans="7:7" ht="10.5" customHeight="1" x14ac:dyDescent="0.2">
      <c r="G46155" s="889"/>
    </row>
    <row r="46156" spans="7:7" ht="10.5" customHeight="1" x14ac:dyDescent="0.2">
      <c r="G46156" s="889"/>
    </row>
    <row r="46157" spans="7:7" ht="10.5" customHeight="1" x14ac:dyDescent="0.2">
      <c r="G46157" s="889"/>
    </row>
    <row r="46158" spans="7:7" ht="10.5" customHeight="1" x14ac:dyDescent="0.2">
      <c r="G46158" s="889"/>
    </row>
    <row r="46159" spans="7:7" ht="10.5" customHeight="1" x14ac:dyDescent="0.2">
      <c r="G46159" s="889"/>
    </row>
    <row r="46160" spans="7:7" ht="10.5" customHeight="1" x14ac:dyDescent="0.2">
      <c r="G46160" s="889"/>
    </row>
    <row r="46161" spans="7:7" ht="10.5" customHeight="1" x14ac:dyDescent="0.2">
      <c r="G46161" s="889"/>
    </row>
    <row r="46162" spans="7:7" ht="10.5" customHeight="1" x14ac:dyDescent="0.2">
      <c r="G46162" s="889"/>
    </row>
    <row r="46163" spans="7:7" ht="10.5" customHeight="1" x14ac:dyDescent="0.2">
      <c r="G46163" s="889"/>
    </row>
    <row r="46164" spans="7:7" ht="10.5" customHeight="1" x14ac:dyDescent="0.2">
      <c r="G46164" s="889"/>
    </row>
    <row r="46165" spans="7:7" ht="10.5" customHeight="1" x14ac:dyDescent="0.2">
      <c r="G46165" s="889"/>
    </row>
    <row r="46166" spans="7:7" ht="10.5" customHeight="1" x14ac:dyDescent="0.2">
      <c r="G46166" s="889"/>
    </row>
    <row r="46167" spans="7:7" ht="10.5" customHeight="1" x14ac:dyDescent="0.2">
      <c r="G46167" s="889"/>
    </row>
    <row r="46168" spans="7:7" ht="10.5" customHeight="1" x14ac:dyDescent="0.2">
      <c r="G46168" s="889"/>
    </row>
    <row r="46169" spans="7:7" ht="10.5" customHeight="1" x14ac:dyDescent="0.2">
      <c r="G46169" s="889"/>
    </row>
    <row r="46170" spans="7:7" ht="10.5" customHeight="1" x14ac:dyDescent="0.2">
      <c r="G46170" s="889"/>
    </row>
    <row r="46171" spans="7:7" ht="10.5" customHeight="1" x14ac:dyDescent="0.2">
      <c r="G46171" s="889"/>
    </row>
    <row r="46172" spans="7:7" ht="10.5" customHeight="1" x14ac:dyDescent="0.2">
      <c r="G46172" s="889"/>
    </row>
    <row r="46173" spans="7:7" ht="10.5" customHeight="1" x14ac:dyDescent="0.2">
      <c r="G46173" s="889"/>
    </row>
    <row r="46174" spans="7:7" ht="10.5" customHeight="1" x14ac:dyDescent="0.2">
      <c r="G46174" s="889"/>
    </row>
    <row r="46175" spans="7:7" ht="10.5" customHeight="1" x14ac:dyDescent="0.2">
      <c r="G46175" s="889"/>
    </row>
    <row r="46176" spans="7:7" ht="10.5" customHeight="1" x14ac:dyDescent="0.2">
      <c r="G46176" s="889"/>
    </row>
    <row r="46177" spans="7:7" ht="10.5" customHeight="1" x14ac:dyDescent="0.2">
      <c r="G46177" s="889"/>
    </row>
    <row r="46178" spans="7:7" ht="10.5" customHeight="1" x14ac:dyDescent="0.2">
      <c r="G46178" s="889"/>
    </row>
    <row r="46179" spans="7:7" ht="10.5" customHeight="1" x14ac:dyDescent="0.2">
      <c r="G46179" s="889"/>
    </row>
    <row r="46180" spans="7:7" ht="10.5" customHeight="1" x14ac:dyDescent="0.2">
      <c r="G46180" s="889"/>
    </row>
    <row r="46181" spans="7:7" ht="10.5" customHeight="1" x14ac:dyDescent="0.2">
      <c r="G46181" s="889"/>
    </row>
    <row r="46182" spans="7:7" ht="10.5" customHeight="1" x14ac:dyDescent="0.2">
      <c r="G46182" s="889"/>
    </row>
    <row r="46183" spans="7:7" ht="10.5" customHeight="1" x14ac:dyDescent="0.2">
      <c r="G46183" s="889"/>
    </row>
    <row r="46184" spans="7:7" ht="10.5" customHeight="1" x14ac:dyDescent="0.2">
      <c r="G46184" s="889"/>
    </row>
    <row r="46185" spans="7:7" ht="10.5" customHeight="1" x14ac:dyDescent="0.2">
      <c r="G46185" s="889"/>
    </row>
    <row r="46186" spans="7:7" ht="10.5" customHeight="1" x14ac:dyDescent="0.2">
      <c r="G46186" s="889"/>
    </row>
    <row r="46187" spans="7:7" ht="10.5" customHeight="1" x14ac:dyDescent="0.2">
      <c r="G46187" s="889"/>
    </row>
    <row r="46188" spans="7:7" ht="10.5" customHeight="1" x14ac:dyDescent="0.2">
      <c r="G46188" s="889"/>
    </row>
    <row r="46189" spans="7:7" ht="10.5" customHeight="1" x14ac:dyDescent="0.2">
      <c r="G46189" s="889"/>
    </row>
    <row r="46190" spans="7:7" ht="10.5" customHeight="1" x14ac:dyDescent="0.2">
      <c r="G46190" s="889"/>
    </row>
    <row r="46191" spans="7:7" ht="10.5" customHeight="1" x14ac:dyDescent="0.2">
      <c r="G46191" s="889"/>
    </row>
    <row r="46192" spans="7:7" ht="10.5" customHeight="1" x14ac:dyDescent="0.2">
      <c r="G46192" s="889"/>
    </row>
    <row r="46193" spans="7:7" ht="10.5" customHeight="1" x14ac:dyDescent="0.2">
      <c r="G46193" s="889"/>
    </row>
    <row r="46194" spans="7:7" ht="10.5" customHeight="1" x14ac:dyDescent="0.2">
      <c r="G46194" s="889"/>
    </row>
    <row r="46195" spans="7:7" ht="10.5" customHeight="1" x14ac:dyDescent="0.2">
      <c r="G46195" s="889"/>
    </row>
    <row r="46196" spans="7:7" ht="10.5" customHeight="1" x14ac:dyDescent="0.2">
      <c r="G46196" s="889"/>
    </row>
    <row r="46197" spans="7:7" ht="10.5" customHeight="1" x14ac:dyDescent="0.2">
      <c r="G46197" s="889"/>
    </row>
    <row r="46198" spans="7:7" ht="10.5" customHeight="1" x14ac:dyDescent="0.2">
      <c r="G46198" s="889"/>
    </row>
    <row r="46199" spans="7:7" ht="10.5" customHeight="1" x14ac:dyDescent="0.2">
      <c r="G46199" s="889"/>
    </row>
    <row r="46200" spans="7:7" ht="10.5" customHeight="1" x14ac:dyDescent="0.2">
      <c r="G46200" s="889"/>
    </row>
    <row r="46201" spans="7:7" ht="10.5" customHeight="1" x14ac:dyDescent="0.2">
      <c r="G46201" s="889"/>
    </row>
    <row r="46202" spans="7:7" ht="10.5" customHeight="1" x14ac:dyDescent="0.2">
      <c r="G46202" s="889"/>
    </row>
    <row r="46203" spans="7:7" ht="10.5" customHeight="1" x14ac:dyDescent="0.2">
      <c r="G46203" s="889"/>
    </row>
    <row r="46204" spans="7:7" ht="10.5" customHeight="1" x14ac:dyDescent="0.2">
      <c r="G46204" s="889"/>
    </row>
    <row r="46205" spans="7:7" ht="10.5" customHeight="1" x14ac:dyDescent="0.2">
      <c r="G46205" s="889"/>
    </row>
    <row r="46206" spans="7:7" ht="10.5" customHeight="1" x14ac:dyDescent="0.2">
      <c r="G46206" s="889"/>
    </row>
    <row r="46207" spans="7:7" ht="10.5" customHeight="1" x14ac:dyDescent="0.2">
      <c r="G46207" s="889"/>
    </row>
    <row r="46208" spans="7:7" ht="10.5" customHeight="1" x14ac:dyDescent="0.2">
      <c r="G46208" s="889"/>
    </row>
    <row r="46209" spans="7:7" ht="10.5" customHeight="1" x14ac:dyDescent="0.2">
      <c r="G46209" s="889"/>
    </row>
    <row r="46210" spans="7:7" ht="10.5" customHeight="1" x14ac:dyDescent="0.2">
      <c r="G46210" s="889"/>
    </row>
    <row r="46211" spans="7:7" ht="10.5" customHeight="1" x14ac:dyDescent="0.2">
      <c r="G46211" s="889"/>
    </row>
    <row r="46212" spans="7:7" ht="10.5" customHeight="1" x14ac:dyDescent="0.2">
      <c r="G46212" s="889"/>
    </row>
    <row r="46213" spans="7:7" ht="10.5" customHeight="1" x14ac:dyDescent="0.2">
      <c r="G46213" s="889"/>
    </row>
    <row r="46214" spans="7:7" ht="10.5" customHeight="1" x14ac:dyDescent="0.2">
      <c r="G46214" s="889"/>
    </row>
    <row r="46215" spans="7:7" ht="10.5" customHeight="1" x14ac:dyDescent="0.2">
      <c r="G46215" s="889"/>
    </row>
    <row r="46216" spans="7:7" ht="10.5" customHeight="1" x14ac:dyDescent="0.2">
      <c r="G46216" s="889"/>
    </row>
    <row r="46217" spans="7:7" ht="10.5" customHeight="1" x14ac:dyDescent="0.2">
      <c r="G46217" s="889"/>
    </row>
    <row r="46218" spans="7:7" ht="10.5" customHeight="1" x14ac:dyDescent="0.2">
      <c r="G46218" s="889"/>
    </row>
    <row r="46219" spans="7:7" ht="10.5" customHeight="1" x14ac:dyDescent="0.2">
      <c r="G46219" s="889"/>
    </row>
    <row r="46220" spans="7:7" ht="10.5" customHeight="1" x14ac:dyDescent="0.2">
      <c r="G46220" s="889"/>
    </row>
    <row r="46221" spans="7:7" ht="10.5" customHeight="1" x14ac:dyDescent="0.2">
      <c r="G46221" s="889"/>
    </row>
    <row r="46222" spans="7:7" ht="10.5" customHeight="1" x14ac:dyDescent="0.2">
      <c r="G46222" s="889"/>
    </row>
    <row r="46223" spans="7:7" ht="10.5" customHeight="1" x14ac:dyDescent="0.2">
      <c r="G46223" s="889"/>
    </row>
    <row r="46224" spans="7:7" ht="10.5" customHeight="1" x14ac:dyDescent="0.2">
      <c r="G46224" s="889"/>
    </row>
    <row r="46225" spans="7:7" ht="10.5" customHeight="1" x14ac:dyDescent="0.2">
      <c r="G46225" s="889"/>
    </row>
    <row r="46226" spans="7:7" ht="10.5" customHeight="1" x14ac:dyDescent="0.2">
      <c r="G46226" s="889"/>
    </row>
    <row r="46227" spans="7:7" ht="10.5" customHeight="1" x14ac:dyDescent="0.2">
      <c r="G46227" s="889"/>
    </row>
    <row r="46228" spans="7:7" ht="10.5" customHeight="1" x14ac:dyDescent="0.2">
      <c r="G46228" s="889"/>
    </row>
    <row r="46229" spans="7:7" ht="10.5" customHeight="1" x14ac:dyDescent="0.2">
      <c r="G46229" s="889"/>
    </row>
    <row r="46230" spans="7:7" ht="10.5" customHeight="1" x14ac:dyDescent="0.2">
      <c r="G46230" s="889"/>
    </row>
    <row r="46231" spans="7:7" ht="10.5" customHeight="1" x14ac:dyDescent="0.2">
      <c r="G46231" s="889"/>
    </row>
    <row r="46232" spans="7:7" ht="10.5" customHeight="1" x14ac:dyDescent="0.2">
      <c r="G46232" s="889"/>
    </row>
    <row r="46233" spans="7:7" ht="10.5" customHeight="1" x14ac:dyDescent="0.2">
      <c r="G46233" s="889"/>
    </row>
    <row r="46234" spans="7:7" ht="10.5" customHeight="1" x14ac:dyDescent="0.2">
      <c r="G46234" s="889"/>
    </row>
    <row r="46235" spans="7:7" ht="10.5" customHeight="1" x14ac:dyDescent="0.2">
      <c r="G46235" s="889"/>
    </row>
    <row r="46236" spans="7:7" ht="10.5" customHeight="1" x14ac:dyDescent="0.2">
      <c r="G46236" s="889"/>
    </row>
    <row r="46237" spans="7:7" ht="10.5" customHeight="1" x14ac:dyDescent="0.2">
      <c r="G46237" s="889"/>
    </row>
    <row r="46238" spans="7:7" ht="10.5" customHeight="1" x14ac:dyDescent="0.2">
      <c r="G46238" s="889"/>
    </row>
    <row r="46239" spans="7:7" ht="10.5" customHeight="1" x14ac:dyDescent="0.2">
      <c r="G46239" s="889"/>
    </row>
    <row r="46240" spans="7:7" ht="10.5" customHeight="1" x14ac:dyDescent="0.2">
      <c r="G46240" s="889"/>
    </row>
    <row r="46241" spans="7:7" ht="10.5" customHeight="1" x14ac:dyDescent="0.2">
      <c r="G46241" s="889"/>
    </row>
    <row r="46242" spans="7:7" ht="10.5" customHeight="1" x14ac:dyDescent="0.2">
      <c r="G46242" s="889"/>
    </row>
    <row r="46243" spans="7:7" ht="10.5" customHeight="1" x14ac:dyDescent="0.2">
      <c r="G46243" s="889"/>
    </row>
    <row r="46244" spans="7:7" ht="10.5" customHeight="1" x14ac:dyDescent="0.2">
      <c r="G46244" s="889"/>
    </row>
    <row r="46245" spans="7:7" ht="10.5" customHeight="1" x14ac:dyDescent="0.2">
      <c r="G46245" s="889"/>
    </row>
    <row r="46246" spans="7:7" ht="10.5" customHeight="1" x14ac:dyDescent="0.2">
      <c r="G46246" s="889"/>
    </row>
    <row r="46247" spans="7:7" ht="10.5" customHeight="1" x14ac:dyDescent="0.2">
      <c r="G46247" s="889"/>
    </row>
    <row r="46248" spans="7:7" ht="10.5" customHeight="1" x14ac:dyDescent="0.2">
      <c r="G46248" s="889"/>
    </row>
    <row r="46249" spans="7:7" ht="10.5" customHeight="1" x14ac:dyDescent="0.2">
      <c r="G46249" s="889"/>
    </row>
    <row r="46250" spans="7:7" ht="10.5" customHeight="1" x14ac:dyDescent="0.2">
      <c r="G46250" s="889"/>
    </row>
    <row r="46251" spans="7:7" ht="10.5" customHeight="1" x14ac:dyDescent="0.2">
      <c r="G46251" s="889"/>
    </row>
    <row r="46252" spans="7:7" ht="10.5" customHeight="1" x14ac:dyDescent="0.2">
      <c r="G46252" s="889"/>
    </row>
    <row r="46253" spans="7:7" ht="10.5" customHeight="1" x14ac:dyDescent="0.2">
      <c r="G46253" s="889"/>
    </row>
    <row r="46254" spans="7:7" ht="10.5" customHeight="1" x14ac:dyDescent="0.2">
      <c r="G46254" s="889"/>
    </row>
    <row r="46255" spans="7:7" ht="10.5" customHeight="1" x14ac:dyDescent="0.2">
      <c r="G46255" s="889"/>
    </row>
    <row r="46256" spans="7:7" ht="10.5" customHeight="1" x14ac:dyDescent="0.2">
      <c r="G46256" s="889"/>
    </row>
    <row r="46257" spans="7:7" ht="10.5" customHeight="1" x14ac:dyDescent="0.2">
      <c r="G46257" s="889"/>
    </row>
    <row r="46258" spans="7:7" ht="10.5" customHeight="1" x14ac:dyDescent="0.2">
      <c r="G46258" s="889"/>
    </row>
    <row r="46259" spans="7:7" ht="10.5" customHeight="1" x14ac:dyDescent="0.2">
      <c r="G46259" s="889"/>
    </row>
    <row r="46260" spans="7:7" ht="10.5" customHeight="1" x14ac:dyDescent="0.2">
      <c r="G46260" s="889"/>
    </row>
    <row r="46261" spans="7:7" ht="10.5" customHeight="1" x14ac:dyDescent="0.2">
      <c r="G46261" s="889"/>
    </row>
    <row r="46262" spans="7:7" ht="10.5" customHeight="1" x14ac:dyDescent="0.2">
      <c r="G46262" s="889"/>
    </row>
    <row r="46263" spans="7:7" ht="10.5" customHeight="1" x14ac:dyDescent="0.2">
      <c r="G46263" s="889"/>
    </row>
    <row r="46264" spans="7:7" ht="10.5" customHeight="1" x14ac:dyDescent="0.2">
      <c r="G46264" s="889"/>
    </row>
    <row r="46265" spans="7:7" ht="10.5" customHeight="1" x14ac:dyDescent="0.2">
      <c r="G46265" s="889"/>
    </row>
    <row r="46266" spans="7:7" ht="10.5" customHeight="1" x14ac:dyDescent="0.2">
      <c r="G46266" s="889"/>
    </row>
    <row r="46267" spans="7:7" ht="10.5" customHeight="1" x14ac:dyDescent="0.2">
      <c r="G46267" s="889"/>
    </row>
    <row r="46268" spans="7:7" ht="10.5" customHeight="1" x14ac:dyDescent="0.2">
      <c r="G46268" s="889"/>
    </row>
    <row r="46269" spans="7:7" ht="10.5" customHeight="1" x14ac:dyDescent="0.2">
      <c r="G46269" s="889"/>
    </row>
    <row r="46270" spans="7:7" ht="10.5" customHeight="1" x14ac:dyDescent="0.2">
      <c r="G46270" s="889"/>
    </row>
    <row r="46271" spans="7:7" ht="10.5" customHeight="1" x14ac:dyDescent="0.2">
      <c r="G46271" s="889"/>
    </row>
    <row r="46272" spans="7:7" ht="10.5" customHeight="1" x14ac:dyDescent="0.2">
      <c r="G46272" s="889"/>
    </row>
    <row r="46273" spans="7:7" ht="10.5" customHeight="1" x14ac:dyDescent="0.2">
      <c r="G46273" s="889"/>
    </row>
    <row r="46274" spans="7:7" ht="10.5" customHeight="1" x14ac:dyDescent="0.2">
      <c r="G46274" s="889"/>
    </row>
    <row r="46275" spans="7:7" ht="10.5" customHeight="1" x14ac:dyDescent="0.2">
      <c r="G46275" s="889"/>
    </row>
    <row r="46276" spans="7:7" ht="10.5" customHeight="1" x14ac:dyDescent="0.2">
      <c r="G46276" s="889"/>
    </row>
    <row r="46277" spans="7:7" ht="10.5" customHeight="1" x14ac:dyDescent="0.2">
      <c r="G46277" s="889"/>
    </row>
    <row r="46278" spans="7:7" ht="10.5" customHeight="1" x14ac:dyDescent="0.2">
      <c r="G46278" s="889"/>
    </row>
    <row r="46279" spans="7:7" ht="10.5" customHeight="1" x14ac:dyDescent="0.2">
      <c r="G46279" s="889"/>
    </row>
    <row r="46280" spans="7:7" ht="10.5" customHeight="1" x14ac:dyDescent="0.2">
      <c r="G46280" s="889"/>
    </row>
    <row r="46281" spans="7:7" ht="10.5" customHeight="1" x14ac:dyDescent="0.2">
      <c r="G46281" s="889"/>
    </row>
    <row r="46282" spans="7:7" ht="10.5" customHeight="1" x14ac:dyDescent="0.2">
      <c r="G46282" s="889"/>
    </row>
    <row r="46283" spans="7:7" ht="10.5" customHeight="1" x14ac:dyDescent="0.2">
      <c r="G46283" s="889"/>
    </row>
    <row r="46284" spans="7:7" ht="10.5" customHeight="1" x14ac:dyDescent="0.2">
      <c r="G46284" s="889"/>
    </row>
    <row r="46285" spans="7:7" ht="10.5" customHeight="1" x14ac:dyDescent="0.2">
      <c r="G46285" s="889"/>
    </row>
    <row r="46286" spans="7:7" ht="10.5" customHeight="1" x14ac:dyDescent="0.2">
      <c r="G46286" s="889"/>
    </row>
    <row r="46287" spans="7:7" ht="10.5" customHeight="1" x14ac:dyDescent="0.2">
      <c r="G46287" s="889"/>
    </row>
    <row r="46288" spans="7:7" ht="10.5" customHeight="1" x14ac:dyDescent="0.2">
      <c r="G46288" s="889"/>
    </row>
    <row r="46289" spans="7:7" ht="10.5" customHeight="1" x14ac:dyDescent="0.2">
      <c r="G46289" s="889"/>
    </row>
    <row r="46290" spans="7:7" ht="10.5" customHeight="1" x14ac:dyDescent="0.2">
      <c r="G46290" s="889"/>
    </row>
    <row r="46291" spans="7:7" ht="10.5" customHeight="1" x14ac:dyDescent="0.2">
      <c r="G46291" s="889"/>
    </row>
    <row r="46292" spans="7:7" ht="10.5" customHeight="1" x14ac:dyDescent="0.2">
      <c r="G46292" s="889"/>
    </row>
    <row r="46293" spans="7:7" ht="10.5" customHeight="1" x14ac:dyDescent="0.2">
      <c r="G46293" s="889"/>
    </row>
    <row r="46294" spans="7:7" ht="10.5" customHeight="1" x14ac:dyDescent="0.2">
      <c r="G46294" s="889"/>
    </row>
    <row r="46295" spans="7:7" ht="10.5" customHeight="1" x14ac:dyDescent="0.2">
      <c r="G46295" s="889"/>
    </row>
    <row r="46296" spans="7:7" ht="10.5" customHeight="1" x14ac:dyDescent="0.2">
      <c r="G46296" s="889"/>
    </row>
    <row r="46297" spans="7:7" ht="10.5" customHeight="1" x14ac:dyDescent="0.2">
      <c r="G46297" s="889"/>
    </row>
    <row r="46298" spans="7:7" ht="10.5" customHeight="1" x14ac:dyDescent="0.2">
      <c r="G46298" s="889"/>
    </row>
    <row r="46299" spans="7:7" ht="10.5" customHeight="1" x14ac:dyDescent="0.2">
      <c r="G46299" s="889"/>
    </row>
    <row r="46300" spans="7:7" ht="10.5" customHeight="1" x14ac:dyDescent="0.2">
      <c r="G46300" s="889"/>
    </row>
    <row r="46301" spans="7:7" ht="10.5" customHeight="1" x14ac:dyDescent="0.2">
      <c r="G46301" s="889"/>
    </row>
    <row r="46302" spans="7:7" ht="10.5" customHeight="1" x14ac:dyDescent="0.2">
      <c r="G46302" s="889"/>
    </row>
    <row r="46303" spans="7:7" ht="10.5" customHeight="1" x14ac:dyDescent="0.2">
      <c r="G46303" s="889"/>
    </row>
    <row r="46304" spans="7:7" ht="10.5" customHeight="1" x14ac:dyDescent="0.2">
      <c r="G46304" s="889"/>
    </row>
    <row r="46305" spans="7:7" ht="10.5" customHeight="1" x14ac:dyDescent="0.2">
      <c r="G46305" s="889"/>
    </row>
    <row r="46306" spans="7:7" ht="10.5" customHeight="1" x14ac:dyDescent="0.2">
      <c r="G46306" s="889"/>
    </row>
    <row r="46307" spans="7:7" ht="10.5" customHeight="1" x14ac:dyDescent="0.2">
      <c r="G46307" s="889"/>
    </row>
    <row r="46308" spans="7:7" ht="10.5" customHeight="1" x14ac:dyDescent="0.2">
      <c r="G46308" s="889"/>
    </row>
    <row r="46309" spans="7:7" ht="10.5" customHeight="1" x14ac:dyDescent="0.2">
      <c r="G46309" s="889"/>
    </row>
    <row r="46310" spans="7:7" ht="10.5" customHeight="1" x14ac:dyDescent="0.2">
      <c r="G46310" s="889"/>
    </row>
    <row r="46311" spans="7:7" ht="10.5" customHeight="1" x14ac:dyDescent="0.2">
      <c r="G46311" s="889"/>
    </row>
    <row r="46312" spans="7:7" ht="10.5" customHeight="1" x14ac:dyDescent="0.2">
      <c r="G46312" s="889"/>
    </row>
    <row r="46313" spans="7:7" ht="10.5" customHeight="1" x14ac:dyDescent="0.2">
      <c r="G46313" s="889"/>
    </row>
    <row r="46314" spans="7:7" ht="10.5" customHeight="1" x14ac:dyDescent="0.2">
      <c r="G46314" s="889"/>
    </row>
    <row r="46315" spans="7:7" ht="10.5" customHeight="1" x14ac:dyDescent="0.2">
      <c r="G46315" s="889"/>
    </row>
    <row r="46316" spans="7:7" ht="10.5" customHeight="1" x14ac:dyDescent="0.2">
      <c r="G46316" s="889"/>
    </row>
    <row r="46317" spans="7:7" ht="10.5" customHeight="1" x14ac:dyDescent="0.2">
      <c r="G46317" s="889"/>
    </row>
    <row r="46318" spans="7:7" ht="10.5" customHeight="1" x14ac:dyDescent="0.2">
      <c r="G46318" s="889"/>
    </row>
    <row r="46319" spans="7:7" ht="10.5" customHeight="1" x14ac:dyDescent="0.2">
      <c r="G46319" s="889"/>
    </row>
    <row r="46320" spans="7:7" ht="10.5" customHeight="1" x14ac:dyDescent="0.2">
      <c r="G46320" s="889"/>
    </row>
    <row r="46321" spans="7:7" ht="10.5" customHeight="1" x14ac:dyDescent="0.2">
      <c r="G46321" s="889"/>
    </row>
    <row r="46322" spans="7:7" ht="10.5" customHeight="1" x14ac:dyDescent="0.2">
      <c r="G46322" s="889"/>
    </row>
    <row r="46323" spans="7:7" ht="10.5" customHeight="1" x14ac:dyDescent="0.2">
      <c r="G46323" s="889"/>
    </row>
    <row r="46324" spans="7:7" ht="10.5" customHeight="1" x14ac:dyDescent="0.2">
      <c r="G46324" s="889"/>
    </row>
    <row r="46325" spans="7:7" ht="10.5" customHeight="1" x14ac:dyDescent="0.2">
      <c r="G46325" s="889"/>
    </row>
    <row r="46326" spans="7:7" ht="10.5" customHeight="1" x14ac:dyDescent="0.2">
      <c r="G46326" s="889"/>
    </row>
    <row r="46327" spans="7:7" ht="10.5" customHeight="1" x14ac:dyDescent="0.2">
      <c r="G46327" s="889"/>
    </row>
    <row r="46328" spans="7:7" ht="10.5" customHeight="1" x14ac:dyDescent="0.2">
      <c r="G46328" s="889"/>
    </row>
    <row r="46329" spans="7:7" ht="10.5" customHeight="1" x14ac:dyDescent="0.2">
      <c r="G46329" s="889"/>
    </row>
    <row r="46330" spans="7:7" ht="10.5" customHeight="1" x14ac:dyDescent="0.2">
      <c r="G46330" s="889"/>
    </row>
    <row r="46331" spans="7:7" ht="10.5" customHeight="1" x14ac:dyDescent="0.2">
      <c r="G46331" s="889"/>
    </row>
    <row r="46332" spans="7:7" ht="10.5" customHeight="1" x14ac:dyDescent="0.2">
      <c r="G46332" s="889"/>
    </row>
    <row r="46333" spans="7:7" ht="10.5" customHeight="1" x14ac:dyDescent="0.2">
      <c r="G46333" s="889"/>
    </row>
    <row r="46334" spans="7:7" ht="10.5" customHeight="1" x14ac:dyDescent="0.2">
      <c r="G46334" s="889"/>
    </row>
    <row r="46335" spans="7:7" ht="10.5" customHeight="1" x14ac:dyDescent="0.2">
      <c r="G46335" s="889"/>
    </row>
    <row r="46336" spans="7:7" ht="10.5" customHeight="1" x14ac:dyDescent="0.2">
      <c r="G46336" s="889"/>
    </row>
    <row r="46337" spans="7:7" ht="10.5" customHeight="1" x14ac:dyDescent="0.2">
      <c r="G46337" s="889"/>
    </row>
    <row r="46338" spans="7:7" ht="10.5" customHeight="1" x14ac:dyDescent="0.2">
      <c r="G46338" s="889"/>
    </row>
    <row r="46339" spans="7:7" ht="10.5" customHeight="1" x14ac:dyDescent="0.2">
      <c r="G46339" s="889"/>
    </row>
    <row r="46340" spans="7:7" ht="10.5" customHeight="1" x14ac:dyDescent="0.2">
      <c r="G46340" s="889"/>
    </row>
    <row r="46341" spans="7:7" ht="10.5" customHeight="1" x14ac:dyDescent="0.2">
      <c r="G46341" s="889"/>
    </row>
    <row r="46342" spans="7:7" ht="10.5" customHeight="1" x14ac:dyDescent="0.2">
      <c r="G46342" s="889"/>
    </row>
    <row r="46343" spans="7:7" ht="10.5" customHeight="1" x14ac:dyDescent="0.2">
      <c r="G46343" s="889"/>
    </row>
    <row r="46344" spans="7:7" ht="10.5" customHeight="1" x14ac:dyDescent="0.2">
      <c r="G46344" s="889"/>
    </row>
    <row r="46345" spans="7:7" ht="10.5" customHeight="1" x14ac:dyDescent="0.2">
      <c r="G46345" s="889"/>
    </row>
    <row r="46346" spans="7:7" ht="10.5" customHeight="1" x14ac:dyDescent="0.2">
      <c r="G46346" s="889"/>
    </row>
    <row r="46347" spans="7:7" ht="10.5" customHeight="1" x14ac:dyDescent="0.2">
      <c r="G46347" s="889"/>
    </row>
    <row r="46348" spans="7:7" ht="10.5" customHeight="1" x14ac:dyDescent="0.2">
      <c r="G46348" s="889"/>
    </row>
    <row r="46349" spans="7:7" ht="10.5" customHeight="1" x14ac:dyDescent="0.2">
      <c r="G46349" s="889"/>
    </row>
    <row r="46350" spans="7:7" ht="10.5" customHeight="1" x14ac:dyDescent="0.2">
      <c r="G46350" s="889"/>
    </row>
    <row r="46351" spans="7:7" ht="10.5" customHeight="1" x14ac:dyDescent="0.2">
      <c r="G46351" s="889"/>
    </row>
    <row r="46352" spans="7:7" ht="10.5" customHeight="1" x14ac:dyDescent="0.2">
      <c r="G46352" s="889"/>
    </row>
    <row r="46353" spans="7:7" ht="10.5" customHeight="1" x14ac:dyDescent="0.2">
      <c r="G46353" s="889"/>
    </row>
    <row r="46354" spans="7:7" ht="10.5" customHeight="1" x14ac:dyDescent="0.2">
      <c r="G46354" s="889"/>
    </row>
    <row r="46355" spans="7:7" ht="10.5" customHeight="1" x14ac:dyDescent="0.2">
      <c r="G46355" s="889"/>
    </row>
    <row r="46356" spans="7:7" ht="10.5" customHeight="1" x14ac:dyDescent="0.2">
      <c r="G46356" s="889"/>
    </row>
    <row r="46357" spans="7:7" ht="10.5" customHeight="1" x14ac:dyDescent="0.2">
      <c r="G46357" s="889"/>
    </row>
    <row r="46358" spans="7:7" ht="10.5" customHeight="1" x14ac:dyDescent="0.2">
      <c r="G46358" s="889"/>
    </row>
    <row r="46359" spans="7:7" ht="10.5" customHeight="1" x14ac:dyDescent="0.2">
      <c r="G46359" s="889"/>
    </row>
    <row r="46360" spans="7:7" ht="10.5" customHeight="1" x14ac:dyDescent="0.2">
      <c r="G46360" s="889"/>
    </row>
    <row r="46361" spans="7:7" ht="10.5" customHeight="1" x14ac:dyDescent="0.2">
      <c r="G46361" s="889"/>
    </row>
    <row r="46362" spans="7:7" ht="10.5" customHeight="1" x14ac:dyDescent="0.2">
      <c r="G46362" s="889"/>
    </row>
    <row r="46363" spans="7:7" ht="10.5" customHeight="1" x14ac:dyDescent="0.2">
      <c r="G46363" s="889"/>
    </row>
    <row r="46364" spans="7:7" ht="10.5" customHeight="1" x14ac:dyDescent="0.2">
      <c r="G46364" s="889"/>
    </row>
    <row r="46365" spans="7:7" ht="10.5" customHeight="1" x14ac:dyDescent="0.2">
      <c r="G46365" s="889"/>
    </row>
    <row r="46366" spans="7:7" ht="10.5" customHeight="1" x14ac:dyDescent="0.2">
      <c r="G46366" s="889"/>
    </row>
    <row r="46367" spans="7:7" ht="10.5" customHeight="1" x14ac:dyDescent="0.2">
      <c r="G46367" s="889"/>
    </row>
    <row r="46368" spans="7:7" ht="10.5" customHeight="1" x14ac:dyDescent="0.2">
      <c r="G46368" s="889"/>
    </row>
    <row r="46369" spans="7:7" ht="10.5" customHeight="1" x14ac:dyDescent="0.2">
      <c r="G46369" s="889"/>
    </row>
    <row r="46370" spans="7:7" ht="10.5" customHeight="1" x14ac:dyDescent="0.2">
      <c r="G46370" s="889"/>
    </row>
    <row r="46371" spans="7:7" ht="10.5" customHeight="1" x14ac:dyDescent="0.2">
      <c r="G46371" s="889"/>
    </row>
    <row r="46372" spans="7:7" ht="10.5" customHeight="1" x14ac:dyDescent="0.2">
      <c r="G46372" s="889"/>
    </row>
    <row r="46373" spans="7:7" ht="10.5" customHeight="1" x14ac:dyDescent="0.2">
      <c r="G46373" s="889"/>
    </row>
    <row r="46374" spans="7:7" ht="10.5" customHeight="1" x14ac:dyDescent="0.2">
      <c r="G46374" s="889"/>
    </row>
    <row r="46375" spans="7:7" ht="10.5" customHeight="1" x14ac:dyDescent="0.2">
      <c r="G46375" s="889"/>
    </row>
    <row r="46376" spans="7:7" ht="10.5" customHeight="1" x14ac:dyDescent="0.2">
      <c r="G46376" s="889"/>
    </row>
    <row r="46377" spans="7:7" ht="10.5" customHeight="1" x14ac:dyDescent="0.2">
      <c r="G46377" s="889"/>
    </row>
    <row r="46378" spans="7:7" ht="10.5" customHeight="1" x14ac:dyDescent="0.2">
      <c r="G46378" s="889"/>
    </row>
    <row r="46379" spans="7:7" ht="10.5" customHeight="1" x14ac:dyDescent="0.2">
      <c r="G46379" s="889"/>
    </row>
    <row r="46380" spans="7:7" ht="10.5" customHeight="1" x14ac:dyDescent="0.2">
      <c r="G46380" s="889"/>
    </row>
    <row r="46381" spans="7:7" ht="10.5" customHeight="1" x14ac:dyDescent="0.2">
      <c r="G46381" s="889"/>
    </row>
    <row r="46382" spans="7:7" ht="10.5" customHeight="1" x14ac:dyDescent="0.2">
      <c r="G46382" s="889"/>
    </row>
    <row r="46383" spans="7:7" ht="10.5" customHeight="1" x14ac:dyDescent="0.2">
      <c r="G46383" s="889"/>
    </row>
    <row r="46384" spans="7:7" ht="10.5" customHeight="1" x14ac:dyDescent="0.2">
      <c r="G46384" s="889"/>
    </row>
    <row r="46385" spans="7:7" ht="10.5" customHeight="1" x14ac:dyDescent="0.2">
      <c r="G46385" s="889"/>
    </row>
    <row r="46386" spans="7:7" ht="10.5" customHeight="1" x14ac:dyDescent="0.2">
      <c r="G46386" s="889"/>
    </row>
    <row r="46387" spans="7:7" ht="10.5" customHeight="1" x14ac:dyDescent="0.2">
      <c r="G46387" s="889"/>
    </row>
    <row r="46388" spans="7:7" ht="10.5" customHeight="1" x14ac:dyDescent="0.2">
      <c r="G46388" s="889"/>
    </row>
    <row r="46389" spans="7:7" ht="10.5" customHeight="1" x14ac:dyDescent="0.2">
      <c r="G46389" s="889"/>
    </row>
    <row r="46390" spans="7:7" ht="10.5" customHeight="1" x14ac:dyDescent="0.2">
      <c r="G46390" s="889"/>
    </row>
    <row r="46391" spans="7:7" ht="10.5" customHeight="1" x14ac:dyDescent="0.2">
      <c r="G46391" s="889"/>
    </row>
    <row r="46392" spans="7:7" ht="10.5" customHeight="1" x14ac:dyDescent="0.2">
      <c r="G46392" s="889"/>
    </row>
    <row r="46393" spans="7:7" ht="10.5" customHeight="1" x14ac:dyDescent="0.2">
      <c r="G46393" s="889"/>
    </row>
    <row r="46394" spans="7:7" ht="10.5" customHeight="1" x14ac:dyDescent="0.2">
      <c r="G46394" s="889"/>
    </row>
    <row r="46395" spans="7:7" ht="10.5" customHeight="1" x14ac:dyDescent="0.2">
      <c r="G46395" s="889"/>
    </row>
    <row r="46396" spans="7:7" ht="10.5" customHeight="1" x14ac:dyDescent="0.2">
      <c r="G46396" s="889"/>
    </row>
    <row r="46397" spans="7:7" ht="10.5" customHeight="1" x14ac:dyDescent="0.2">
      <c r="G46397" s="889"/>
    </row>
    <row r="46398" spans="7:7" ht="10.5" customHeight="1" x14ac:dyDescent="0.2">
      <c r="G46398" s="889"/>
    </row>
    <row r="46399" spans="7:7" ht="10.5" customHeight="1" x14ac:dyDescent="0.2">
      <c r="G46399" s="889"/>
    </row>
    <row r="46400" spans="7:7" ht="10.5" customHeight="1" x14ac:dyDescent="0.2">
      <c r="G46400" s="889"/>
    </row>
    <row r="46401" spans="7:7" ht="10.5" customHeight="1" x14ac:dyDescent="0.2">
      <c r="G46401" s="889"/>
    </row>
    <row r="46402" spans="7:7" ht="10.5" customHeight="1" x14ac:dyDescent="0.2">
      <c r="G46402" s="889"/>
    </row>
    <row r="46403" spans="7:7" ht="10.5" customHeight="1" x14ac:dyDescent="0.2">
      <c r="G46403" s="889"/>
    </row>
    <row r="46404" spans="7:7" ht="10.5" customHeight="1" x14ac:dyDescent="0.2">
      <c r="G46404" s="889"/>
    </row>
    <row r="46405" spans="7:7" ht="10.5" customHeight="1" x14ac:dyDescent="0.2">
      <c r="G46405" s="889"/>
    </row>
    <row r="46406" spans="7:7" ht="10.5" customHeight="1" x14ac:dyDescent="0.2">
      <c r="G46406" s="889"/>
    </row>
    <row r="46407" spans="7:7" ht="10.5" customHeight="1" x14ac:dyDescent="0.2">
      <c r="G46407" s="889"/>
    </row>
    <row r="46408" spans="7:7" ht="10.5" customHeight="1" x14ac:dyDescent="0.2">
      <c r="G46408" s="889"/>
    </row>
    <row r="46409" spans="7:7" ht="10.5" customHeight="1" x14ac:dyDescent="0.2">
      <c r="G46409" s="889"/>
    </row>
    <row r="46410" spans="7:7" ht="10.5" customHeight="1" x14ac:dyDescent="0.2">
      <c r="G46410" s="889"/>
    </row>
    <row r="46411" spans="7:7" ht="10.5" customHeight="1" x14ac:dyDescent="0.2">
      <c r="G46411" s="889"/>
    </row>
    <row r="46412" spans="7:7" ht="10.5" customHeight="1" x14ac:dyDescent="0.2">
      <c r="G46412" s="889"/>
    </row>
    <row r="46413" spans="7:7" ht="10.5" customHeight="1" x14ac:dyDescent="0.2">
      <c r="G46413" s="889"/>
    </row>
    <row r="46414" spans="7:7" ht="10.5" customHeight="1" x14ac:dyDescent="0.2">
      <c r="G46414" s="889"/>
    </row>
    <row r="46415" spans="7:7" ht="10.5" customHeight="1" x14ac:dyDescent="0.2">
      <c r="G46415" s="889"/>
    </row>
    <row r="46416" spans="7:7" ht="10.5" customHeight="1" x14ac:dyDescent="0.2">
      <c r="G46416" s="889"/>
    </row>
    <row r="46417" spans="7:7" ht="10.5" customHeight="1" x14ac:dyDescent="0.2">
      <c r="G46417" s="889"/>
    </row>
    <row r="46418" spans="7:7" ht="10.5" customHeight="1" x14ac:dyDescent="0.2">
      <c r="G46418" s="889"/>
    </row>
    <row r="46419" spans="7:7" ht="10.5" customHeight="1" x14ac:dyDescent="0.2">
      <c r="G46419" s="889"/>
    </row>
    <row r="46420" spans="7:7" ht="10.5" customHeight="1" x14ac:dyDescent="0.2">
      <c r="G46420" s="889"/>
    </row>
    <row r="46421" spans="7:7" ht="10.5" customHeight="1" x14ac:dyDescent="0.2">
      <c r="G46421" s="889"/>
    </row>
    <row r="46422" spans="7:7" ht="10.5" customHeight="1" x14ac:dyDescent="0.2">
      <c r="G46422" s="889"/>
    </row>
    <row r="46423" spans="7:7" ht="10.5" customHeight="1" x14ac:dyDescent="0.2">
      <c r="G46423" s="889"/>
    </row>
    <row r="46424" spans="7:7" ht="10.5" customHeight="1" x14ac:dyDescent="0.2">
      <c r="G46424" s="889"/>
    </row>
    <row r="46425" spans="7:7" ht="10.5" customHeight="1" x14ac:dyDescent="0.2">
      <c r="G46425" s="889"/>
    </row>
    <row r="46426" spans="7:7" ht="10.5" customHeight="1" x14ac:dyDescent="0.2">
      <c r="G46426" s="889"/>
    </row>
    <row r="46427" spans="7:7" ht="10.5" customHeight="1" x14ac:dyDescent="0.2">
      <c r="G46427" s="889"/>
    </row>
    <row r="46428" spans="7:7" ht="10.5" customHeight="1" x14ac:dyDescent="0.2">
      <c r="G46428" s="889"/>
    </row>
    <row r="46429" spans="7:7" ht="10.5" customHeight="1" x14ac:dyDescent="0.2">
      <c r="G46429" s="889"/>
    </row>
    <row r="46430" spans="7:7" ht="10.5" customHeight="1" x14ac:dyDescent="0.2">
      <c r="G46430" s="889"/>
    </row>
    <row r="46431" spans="7:7" ht="10.5" customHeight="1" x14ac:dyDescent="0.2">
      <c r="G46431" s="889"/>
    </row>
    <row r="46432" spans="7:7" ht="10.5" customHeight="1" x14ac:dyDescent="0.2">
      <c r="G46432" s="889"/>
    </row>
    <row r="46433" spans="7:7" ht="10.5" customHeight="1" x14ac:dyDescent="0.2">
      <c r="G46433" s="889"/>
    </row>
    <row r="46434" spans="7:7" ht="10.5" customHeight="1" x14ac:dyDescent="0.2">
      <c r="G46434" s="889"/>
    </row>
    <row r="46435" spans="7:7" ht="10.5" customHeight="1" x14ac:dyDescent="0.2">
      <c r="G46435" s="889"/>
    </row>
    <row r="46436" spans="7:7" ht="10.5" customHeight="1" x14ac:dyDescent="0.2">
      <c r="G46436" s="889"/>
    </row>
    <row r="46437" spans="7:7" ht="10.5" customHeight="1" x14ac:dyDescent="0.2">
      <c r="G46437" s="889"/>
    </row>
    <row r="46438" spans="7:7" ht="10.5" customHeight="1" x14ac:dyDescent="0.2">
      <c r="G46438" s="889"/>
    </row>
    <row r="46439" spans="7:7" ht="10.5" customHeight="1" x14ac:dyDescent="0.2">
      <c r="G46439" s="889"/>
    </row>
    <row r="46440" spans="7:7" ht="10.5" customHeight="1" x14ac:dyDescent="0.2">
      <c r="G46440" s="889"/>
    </row>
    <row r="46441" spans="7:7" ht="10.5" customHeight="1" x14ac:dyDescent="0.2">
      <c r="G46441" s="889"/>
    </row>
    <row r="46442" spans="7:7" ht="10.5" customHeight="1" x14ac:dyDescent="0.2">
      <c r="G46442" s="889"/>
    </row>
    <row r="46443" spans="7:7" ht="10.5" customHeight="1" x14ac:dyDescent="0.2">
      <c r="G46443" s="889"/>
    </row>
    <row r="46444" spans="7:7" ht="10.5" customHeight="1" x14ac:dyDescent="0.2">
      <c r="G46444" s="889"/>
    </row>
    <row r="46445" spans="7:7" ht="10.5" customHeight="1" x14ac:dyDescent="0.2">
      <c r="G46445" s="889"/>
    </row>
    <row r="46446" spans="7:7" ht="10.5" customHeight="1" x14ac:dyDescent="0.2">
      <c r="G46446" s="889"/>
    </row>
    <row r="46447" spans="7:7" ht="10.5" customHeight="1" x14ac:dyDescent="0.2">
      <c r="G46447" s="889"/>
    </row>
    <row r="46448" spans="7:7" ht="10.5" customHeight="1" x14ac:dyDescent="0.2">
      <c r="G46448" s="889"/>
    </row>
    <row r="46449" spans="7:7" ht="10.5" customHeight="1" x14ac:dyDescent="0.2">
      <c r="G46449" s="889"/>
    </row>
    <row r="46450" spans="7:7" ht="10.5" customHeight="1" x14ac:dyDescent="0.2">
      <c r="G46450" s="889"/>
    </row>
    <row r="46451" spans="7:7" ht="10.5" customHeight="1" x14ac:dyDescent="0.2">
      <c r="G46451" s="889"/>
    </row>
    <row r="46452" spans="7:7" ht="10.5" customHeight="1" x14ac:dyDescent="0.2">
      <c r="G46452" s="889"/>
    </row>
    <row r="46453" spans="7:7" ht="10.5" customHeight="1" x14ac:dyDescent="0.2">
      <c r="G46453" s="889"/>
    </row>
    <row r="46454" spans="7:7" ht="10.5" customHeight="1" x14ac:dyDescent="0.2">
      <c r="G46454" s="889"/>
    </row>
    <row r="46455" spans="7:7" ht="10.5" customHeight="1" x14ac:dyDescent="0.2">
      <c r="G46455" s="889"/>
    </row>
    <row r="46456" spans="7:7" ht="10.5" customHeight="1" x14ac:dyDescent="0.2">
      <c r="G46456" s="889"/>
    </row>
    <row r="46457" spans="7:7" ht="10.5" customHeight="1" x14ac:dyDescent="0.2">
      <c r="G46457" s="889"/>
    </row>
    <row r="46458" spans="7:7" ht="10.5" customHeight="1" x14ac:dyDescent="0.2">
      <c r="G46458" s="889"/>
    </row>
    <row r="46459" spans="7:7" ht="10.5" customHeight="1" x14ac:dyDescent="0.2">
      <c r="G46459" s="889"/>
    </row>
    <row r="46460" spans="7:7" ht="10.5" customHeight="1" x14ac:dyDescent="0.2">
      <c r="G46460" s="889"/>
    </row>
    <row r="46461" spans="7:7" ht="10.5" customHeight="1" x14ac:dyDescent="0.2">
      <c r="G46461" s="889"/>
    </row>
    <row r="46462" spans="7:7" ht="10.5" customHeight="1" x14ac:dyDescent="0.2">
      <c r="G46462" s="889"/>
    </row>
    <row r="46463" spans="7:7" ht="10.5" customHeight="1" x14ac:dyDescent="0.2">
      <c r="G46463" s="889"/>
    </row>
    <row r="46464" spans="7:7" ht="10.5" customHeight="1" x14ac:dyDescent="0.2">
      <c r="G46464" s="889"/>
    </row>
    <row r="46465" spans="7:7" ht="10.5" customHeight="1" x14ac:dyDescent="0.2">
      <c r="G46465" s="889"/>
    </row>
    <row r="46466" spans="7:7" ht="10.5" customHeight="1" x14ac:dyDescent="0.2">
      <c r="G46466" s="889"/>
    </row>
    <row r="46467" spans="7:7" ht="10.5" customHeight="1" x14ac:dyDescent="0.2">
      <c r="G46467" s="889"/>
    </row>
    <row r="46468" spans="7:7" ht="10.5" customHeight="1" x14ac:dyDescent="0.2">
      <c r="G46468" s="889"/>
    </row>
    <row r="46469" spans="7:7" ht="10.5" customHeight="1" x14ac:dyDescent="0.2">
      <c r="G46469" s="889"/>
    </row>
    <row r="46470" spans="7:7" ht="10.5" customHeight="1" x14ac:dyDescent="0.2">
      <c r="G46470" s="889"/>
    </row>
    <row r="46471" spans="7:7" ht="10.5" customHeight="1" x14ac:dyDescent="0.2">
      <c r="G46471" s="889"/>
    </row>
    <row r="46472" spans="7:7" ht="10.5" customHeight="1" x14ac:dyDescent="0.2">
      <c r="G46472" s="889"/>
    </row>
    <row r="46473" spans="7:7" ht="10.5" customHeight="1" x14ac:dyDescent="0.2">
      <c r="G46473" s="889"/>
    </row>
    <row r="46474" spans="7:7" ht="10.5" customHeight="1" x14ac:dyDescent="0.2">
      <c r="G46474" s="889"/>
    </row>
    <row r="46475" spans="7:7" ht="10.5" customHeight="1" x14ac:dyDescent="0.2">
      <c r="G46475" s="889"/>
    </row>
    <row r="46476" spans="7:7" ht="10.5" customHeight="1" x14ac:dyDescent="0.2">
      <c r="G46476" s="889"/>
    </row>
    <row r="46477" spans="7:7" ht="10.5" customHeight="1" x14ac:dyDescent="0.2">
      <c r="G46477" s="889"/>
    </row>
    <row r="46478" spans="7:7" ht="10.5" customHeight="1" x14ac:dyDescent="0.2">
      <c r="G46478" s="889"/>
    </row>
    <row r="46479" spans="7:7" ht="10.5" customHeight="1" x14ac:dyDescent="0.2">
      <c r="G46479" s="889"/>
    </row>
    <row r="46480" spans="7:7" ht="10.5" customHeight="1" x14ac:dyDescent="0.2">
      <c r="G46480" s="889"/>
    </row>
    <row r="46481" spans="7:7" ht="10.5" customHeight="1" x14ac:dyDescent="0.2">
      <c r="G46481" s="889"/>
    </row>
    <row r="46482" spans="7:7" ht="10.5" customHeight="1" x14ac:dyDescent="0.2">
      <c r="G46482" s="889"/>
    </row>
    <row r="46483" spans="7:7" ht="10.5" customHeight="1" x14ac:dyDescent="0.2">
      <c r="G46483" s="889"/>
    </row>
    <row r="46484" spans="7:7" ht="10.5" customHeight="1" x14ac:dyDescent="0.2">
      <c r="G46484" s="889"/>
    </row>
    <row r="46485" spans="7:7" ht="10.5" customHeight="1" x14ac:dyDescent="0.2">
      <c r="G46485" s="889"/>
    </row>
    <row r="46486" spans="7:7" ht="10.5" customHeight="1" x14ac:dyDescent="0.2">
      <c r="G46486" s="889"/>
    </row>
    <row r="46487" spans="7:7" ht="10.5" customHeight="1" x14ac:dyDescent="0.2">
      <c r="G46487" s="889"/>
    </row>
    <row r="46488" spans="7:7" ht="10.5" customHeight="1" x14ac:dyDescent="0.2">
      <c r="G46488" s="889"/>
    </row>
    <row r="46489" spans="7:7" ht="10.5" customHeight="1" x14ac:dyDescent="0.2">
      <c r="G46489" s="889"/>
    </row>
    <row r="46490" spans="7:7" ht="10.5" customHeight="1" x14ac:dyDescent="0.2">
      <c r="G46490" s="889"/>
    </row>
    <row r="46491" spans="7:7" ht="10.5" customHeight="1" x14ac:dyDescent="0.2">
      <c r="G46491" s="889"/>
    </row>
    <row r="46492" spans="7:7" ht="10.5" customHeight="1" x14ac:dyDescent="0.2">
      <c r="G46492" s="889"/>
    </row>
    <row r="46493" spans="7:7" ht="10.5" customHeight="1" x14ac:dyDescent="0.2">
      <c r="G46493" s="889"/>
    </row>
    <row r="46494" spans="7:7" ht="10.5" customHeight="1" x14ac:dyDescent="0.2">
      <c r="G46494" s="889"/>
    </row>
    <row r="46495" spans="7:7" ht="10.5" customHeight="1" x14ac:dyDescent="0.2">
      <c r="G46495" s="889"/>
    </row>
    <row r="46496" spans="7:7" ht="10.5" customHeight="1" x14ac:dyDescent="0.2">
      <c r="G46496" s="889"/>
    </row>
    <row r="46497" spans="7:7" ht="10.5" customHeight="1" x14ac:dyDescent="0.2">
      <c r="G46497" s="889"/>
    </row>
    <row r="46498" spans="7:7" ht="10.5" customHeight="1" x14ac:dyDescent="0.2">
      <c r="G46498" s="889"/>
    </row>
    <row r="46499" spans="7:7" ht="10.5" customHeight="1" x14ac:dyDescent="0.2">
      <c r="G46499" s="889"/>
    </row>
    <row r="46500" spans="7:7" ht="10.5" customHeight="1" x14ac:dyDescent="0.2">
      <c r="G46500" s="889"/>
    </row>
    <row r="46501" spans="7:7" ht="10.5" customHeight="1" x14ac:dyDescent="0.2">
      <c r="G46501" s="889"/>
    </row>
    <row r="46502" spans="7:7" ht="10.5" customHeight="1" x14ac:dyDescent="0.2">
      <c r="G46502" s="889"/>
    </row>
    <row r="46503" spans="7:7" ht="10.5" customHeight="1" x14ac:dyDescent="0.2">
      <c r="G46503" s="889"/>
    </row>
    <row r="46504" spans="7:7" ht="10.5" customHeight="1" x14ac:dyDescent="0.2">
      <c r="G46504" s="889"/>
    </row>
    <row r="46505" spans="7:7" ht="10.5" customHeight="1" x14ac:dyDescent="0.2">
      <c r="G46505" s="889"/>
    </row>
    <row r="46506" spans="7:7" ht="10.5" customHeight="1" x14ac:dyDescent="0.2">
      <c r="G46506" s="889"/>
    </row>
    <row r="46507" spans="7:7" ht="10.5" customHeight="1" x14ac:dyDescent="0.2">
      <c r="G46507" s="889"/>
    </row>
    <row r="46508" spans="7:7" ht="10.5" customHeight="1" x14ac:dyDescent="0.2">
      <c r="G46508" s="889"/>
    </row>
    <row r="46509" spans="7:7" ht="10.5" customHeight="1" x14ac:dyDescent="0.2">
      <c r="G46509" s="889"/>
    </row>
    <row r="46510" spans="7:7" ht="10.5" customHeight="1" x14ac:dyDescent="0.2">
      <c r="G46510" s="889"/>
    </row>
    <row r="46511" spans="7:7" ht="10.5" customHeight="1" x14ac:dyDescent="0.2">
      <c r="G46511" s="889"/>
    </row>
    <row r="46512" spans="7:7" ht="10.5" customHeight="1" x14ac:dyDescent="0.2">
      <c r="G46512" s="889"/>
    </row>
    <row r="46513" spans="7:7" ht="10.5" customHeight="1" x14ac:dyDescent="0.2">
      <c r="G46513" s="889"/>
    </row>
    <row r="46514" spans="7:7" ht="10.5" customHeight="1" x14ac:dyDescent="0.2">
      <c r="G46514" s="889"/>
    </row>
    <row r="46515" spans="7:7" ht="10.5" customHeight="1" x14ac:dyDescent="0.2">
      <c r="G46515" s="889"/>
    </row>
    <row r="46516" spans="7:7" ht="10.5" customHeight="1" x14ac:dyDescent="0.2">
      <c r="G46516" s="889"/>
    </row>
    <row r="46517" spans="7:7" ht="10.5" customHeight="1" x14ac:dyDescent="0.2">
      <c r="G46517" s="889"/>
    </row>
    <row r="46518" spans="7:7" ht="10.5" customHeight="1" x14ac:dyDescent="0.2">
      <c r="G46518" s="889"/>
    </row>
    <row r="46519" spans="7:7" ht="10.5" customHeight="1" x14ac:dyDescent="0.2">
      <c r="G46519" s="889"/>
    </row>
    <row r="46520" spans="7:7" ht="10.5" customHeight="1" x14ac:dyDescent="0.2">
      <c r="G46520" s="889"/>
    </row>
    <row r="46521" spans="7:7" ht="10.5" customHeight="1" x14ac:dyDescent="0.2">
      <c r="G46521" s="889"/>
    </row>
    <row r="46522" spans="7:7" ht="10.5" customHeight="1" x14ac:dyDescent="0.2">
      <c r="G46522" s="889"/>
    </row>
    <row r="46523" spans="7:7" ht="10.5" customHeight="1" x14ac:dyDescent="0.2">
      <c r="G46523" s="889"/>
    </row>
    <row r="46524" spans="7:7" ht="10.5" customHeight="1" x14ac:dyDescent="0.2">
      <c r="G46524" s="889"/>
    </row>
    <row r="46525" spans="7:7" ht="10.5" customHeight="1" x14ac:dyDescent="0.2">
      <c r="G46525" s="889"/>
    </row>
    <row r="46526" spans="7:7" ht="10.5" customHeight="1" x14ac:dyDescent="0.2">
      <c r="G46526" s="889"/>
    </row>
    <row r="46527" spans="7:7" ht="10.5" customHeight="1" x14ac:dyDescent="0.2">
      <c r="G46527" s="889"/>
    </row>
    <row r="46528" spans="7:7" ht="10.5" customHeight="1" x14ac:dyDescent="0.2">
      <c r="G46528" s="889"/>
    </row>
    <row r="46529" spans="7:7" ht="10.5" customHeight="1" x14ac:dyDescent="0.2">
      <c r="G46529" s="889"/>
    </row>
    <row r="46530" spans="7:7" ht="10.5" customHeight="1" x14ac:dyDescent="0.2">
      <c r="G46530" s="889"/>
    </row>
    <row r="46531" spans="7:7" ht="10.5" customHeight="1" x14ac:dyDescent="0.2">
      <c r="G46531" s="889"/>
    </row>
    <row r="46532" spans="7:7" ht="10.5" customHeight="1" x14ac:dyDescent="0.2">
      <c r="G46532" s="889"/>
    </row>
    <row r="46533" spans="7:7" ht="10.5" customHeight="1" x14ac:dyDescent="0.2">
      <c r="G46533" s="889"/>
    </row>
    <row r="46534" spans="7:7" ht="10.5" customHeight="1" x14ac:dyDescent="0.2">
      <c r="G46534" s="889"/>
    </row>
    <row r="46535" spans="7:7" ht="10.5" customHeight="1" x14ac:dyDescent="0.2">
      <c r="G46535" s="889"/>
    </row>
    <row r="46536" spans="7:7" ht="10.5" customHeight="1" x14ac:dyDescent="0.2">
      <c r="G46536" s="889"/>
    </row>
    <row r="46537" spans="7:7" ht="10.5" customHeight="1" x14ac:dyDescent="0.2">
      <c r="G46537" s="889"/>
    </row>
    <row r="46538" spans="7:7" ht="10.5" customHeight="1" x14ac:dyDescent="0.2">
      <c r="G46538" s="889"/>
    </row>
    <row r="46539" spans="7:7" ht="10.5" customHeight="1" x14ac:dyDescent="0.2">
      <c r="G46539" s="889"/>
    </row>
    <row r="46540" spans="7:7" ht="10.5" customHeight="1" x14ac:dyDescent="0.2">
      <c r="G46540" s="889"/>
    </row>
    <row r="46541" spans="7:7" ht="10.5" customHeight="1" x14ac:dyDescent="0.2">
      <c r="G46541" s="889"/>
    </row>
    <row r="46542" spans="7:7" ht="10.5" customHeight="1" x14ac:dyDescent="0.2">
      <c r="G46542" s="889"/>
    </row>
    <row r="46543" spans="7:7" ht="10.5" customHeight="1" x14ac:dyDescent="0.2">
      <c r="G46543" s="889"/>
    </row>
    <row r="46544" spans="7:7" ht="10.5" customHeight="1" x14ac:dyDescent="0.2">
      <c r="G46544" s="889"/>
    </row>
    <row r="46545" spans="7:7" ht="10.5" customHeight="1" x14ac:dyDescent="0.2">
      <c r="G46545" s="889"/>
    </row>
    <row r="46546" spans="7:7" ht="10.5" customHeight="1" x14ac:dyDescent="0.2">
      <c r="G46546" s="889"/>
    </row>
    <row r="46547" spans="7:7" ht="10.5" customHeight="1" x14ac:dyDescent="0.2">
      <c r="G46547" s="889"/>
    </row>
    <row r="46548" spans="7:7" ht="10.5" customHeight="1" x14ac:dyDescent="0.2">
      <c r="G46548" s="889"/>
    </row>
    <row r="46549" spans="7:7" ht="10.5" customHeight="1" x14ac:dyDescent="0.2">
      <c r="G46549" s="889"/>
    </row>
    <row r="46550" spans="7:7" ht="10.5" customHeight="1" x14ac:dyDescent="0.2">
      <c r="G46550" s="889"/>
    </row>
    <row r="46551" spans="7:7" ht="10.5" customHeight="1" x14ac:dyDescent="0.2">
      <c r="G46551" s="889"/>
    </row>
    <row r="46552" spans="7:7" ht="10.5" customHeight="1" x14ac:dyDescent="0.2">
      <c r="G46552" s="889"/>
    </row>
    <row r="46553" spans="7:7" ht="10.5" customHeight="1" x14ac:dyDescent="0.2">
      <c r="G46553" s="889"/>
    </row>
    <row r="46554" spans="7:7" ht="10.5" customHeight="1" x14ac:dyDescent="0.2">
      <c r="G46554" s="889"/>
    </row>
    <row r="46555" spans="7:7" ht="10.5" customHeight="1" x14ac:dyDescent="0.2">
      <c r="G46555" s="889"/>
    </row>
    <row r="46556" spans="7:7" ht="10.5" customHeight="1" x14ac:dyDescent="0.2">
      <c r="G46556" s="889"/>
    </row>
    <row r="46557" spans="7:7" ht="10.5" customHeight="1" x14ac:dyDescent="0.2">
      <c r="G46557" s="889"/>
    </row>
    <row r="46558" spans="7:7" ht="10.5" customHeight="1" x14ac:dyDescent="0.2">
      <c r="G46558" s="889"/>
    </row>
    <row r="46559" spans="7:7" ht="10.5" customHeight="1" x14ac:dyDescent="0.2">
      <c r="G46559" s="889"/>
    </row>
    <row r="46560" spans="7:7" ht="10.5" customHeight="1" x14ac:dyDescent="0.2">
      <c r="G46560" s="889"/>
    </row>
    <row r="46561" spans="7:7" ht="10.5" customHeight="1" x14ac:dyDescent="0.2">
      <c r="G46561" s="889"/>
    </row>
    <row r="46562" spans="7:7" ht="10.5" customHeight="1" x14ac:dyDescent="0.2">
      <c r="G46562" s="889"/>
    </row>
    <row r="46563" spans="7:7" ht="10.5" customHeight="1" x14ac:dyDescent="0.2">
      <c r="G46563" s="889"/>
    </row>
    <row r="46564" spans="7:7" ht="10.5" customHeight="1" x14ac:dyDescent="0.2">
      <c r="G46564" s="889"/>
    </row>
    <row r="46565" spans="7:7" ht="10.5" customHeight="1" x14ac:dyDescent="0.2">
      <c r="G46565" s="889"/>
    </row>
    <row r="46566" spans="7:7" ht="10.5" customHeight="1" x14ac:dyDescent="0.2">
      <c r="G46566" s="889"/>
    </row>
    <row r="46567" spans="7:7" ht="10.5" customHeight="1" x14ac:dyDescent="0.2">
      <c r="G46567" s="889"/>
    </row>
    <row r="46568" spans="7:7" ht="10.5" customHeight="1" x14ac:dyDescent="0.2">
      <c r="G46568" s="889"/>
    </row>
    <row r="46569" spans="7:7" ht="10.5" customHeight="1" x14ac:dyDescent="0.2">
      <c r="G46569" s="889"/>
    </row>
    <row r="46570" spans="7:7" ht="10.5" customHeight="1" x14ac:dyDescent="0.2">
      <c r="G46570" s="889"/>
    </row>
    <row r="46571" spans="7:7" ht="10.5" customHeight="1" x14ac:dyDescent="0.2">
      <c r="G46571" s="889"/>
    </row>
    <row r="46572" spans="7:7" ht="10.5" customHeight="1" x14ac:dyDescent="0.2">
      <c r="G46572" s="889"/>
    </row>
    <row r="46573" spans="7:7" ht="10.5" customHeight="1" x14ac:dyDescent="0.2">
      <c r="G46573" s="889"/>
    </row>
    <row r="46574" spans="7:7" ht="10.5" customHeight="1" x14ac:dyDescent="0.2">
      <c r="G46574" s="889"/>
    </row>
    <row r="46575" spans="7:7" ht="10.5" customHeight="1" x14ac:dyDescent="0.2">
      <c r="G46575" s="889"/>
    </row>
    <row r="46576" spans="7:7" ht="10.5" customHeight="1" x14ac:dyDescent="0.2">
      <c r="G46576" s="889"/>
    </row>
    <row r="46577" spans="7:7" ht="10.5" customHeight="1" x14ac:dyDescent="0.2">
      <c r="G46577" s="889"/>
    </row>
    <row r="46578" spans="7:7" ht="10.5" customHeight="1" x14ac:dyDescent="0.2">
      <c r="G46578" s="889"/>
    </row>
    <row r="46579" spans="7:7" ht="10.5" customHeight="1" x14ac:dyDescent="0.2">
      <c r="G46579" s="889"/>
    </row>
    <row r="46580" spans="7:7" ht="10.5" customHeight="1" x14ac:dyDescent="0.2">
      <c r="G46580" s="889"/>
    </row>
    <row r="46581" spans="7:7" ht="10.5" customHeight="1" x14ac:dyDescent="0.2">
      <c r="G46581" s="889"/>
    </row>
    <row r="46582" spans="7:7" ht="10.5" customHeight="1" x14ac:dyDescent="0.2">
      <c r="G46582" s="889"/>
    </row>
    <row r="46583" spans="7:7" ht="10.5" customHeight="1" x14ac:dyDescent="0.2">
      <c r="G46583" s="889"/>
    </row>
    <row r="46584" spans="7:7" ht="10.5" customHeight="1" x14ac:dyDescent="0.2">
      <c r="G46584" s="889"/>
    </row>
    <row r="46585" spans="7:7" ht="10.5" customHeight="1" x14ac:dyDescent="0.2">
      <c r="G46585" s="889"/>
    </row>
    <row r="46586" spans="7:7" ht="10.5" customHeight="1" x14ac:dyDescent="0.2">
      <c r="G46586" s="889"/>
    </row>
    <row r="46587" spans="7:7" ht="10.5" customHeight="1" x14ac:dyDescent="0.2">
      <c r="G46587" s="889"/>
    </row>
    <row r="46588" spans="7:7" ht="10.5" customHeight="1" x14ac:dyDescent="0.2">
      <c r="G46588" s="889"/>
    </row>
    <row r="46589" spans="7:7" ht="10.5" customHeight="1" x14ac:dyDescent="0.2">
      <c r="G46589" s="889"/>
    </row>
    <row r="46590" spans="7:7" ht="10.5" customHeight="1" x14ac:dyDescent="0.2">
      <c r="G46590" s="889"/>
    </row>
    <row r="46591" spans="7:7" ht="10.5" customHeight="1" x14ac:dyDescent="0.2">
      <c r="G46591" s="889"/>
    </row>
    <row r="46592" spans="7:7" ht="10.5" customHeight="1" x14ac:dyDescent="0.2">
      <c r="G46592" s="889"/>
    </row>
    <row r="46593" spans="7:7" ht="10.5" customHeight="1" x14ac:dyDescent="0.2">
      <c r="G46593" s="889"/>
    </row>
    <row r="46594" spans="7:7" ht="10.5" customHeight="1" x14ac:dyDescent="0.2">
      <c r="G46594" s="889"/>
    </row>
    <row r="46595" spans="7:7" ht="10.5" customHeight="1" x14ac:dyDescent="0.2">
      <c r="G46595" s="889"/>
    </row>
    <row r="46596" spans="7:7" ht="10.5" customHeight="1" x14ac:dyDescent="0.2">
      <c r="G46596" s="889"/>
    </row>
    <row r="46597" spans="7:7" ht="10.5" customHeight="1" x14ac:dyDescent="0.2">
      <c r="G46597" s="889"/>
    </row>
    <row r="46598" spans="7:7" ht="10.5" customHeight="1" x14ac:dyDescent="0.2">
      <c r="G46598" s="889"/>
    </row>
    <row r="46599" spans="7:7" ht="10.5" customHeight="1" x14ac:dyDescent="0.2">
      <c r="G46599" s="889"/>
    </row>
    <row r="46600" spans="7:7" ht="10.5" customHeight="1" x14ac:dyDescent="0.2">
      <c r="G46600" s="889"/>
    </row>
    <row r="46601" spans="7:7" ht="10.5" customHeight="1" x14ac:dyDescent="0.2">
      <c r="G46601" s="889"/>
    </row>
    <row r="46602" spans="7:7" ht="10.5" customHeight="1" x14ac:dyDescent="0.2">
      <c r="G46602" s="889"/>
    </row>
    <row r="46603" spans="7:7" ht="10.5" customHeight="1" x14ac:dyDescent="0.2">
      <c r="G46603" s="889"/>
    </row>
    <row r="46604" spans="7:7" ht="10.5" customHeight="1" x14ac:dyDescent="0.2">
      <c r="G46604" s="889"/>
    </row>
    <row r="46605" spans="7:7" ht="10.5" customHeight="1" x14ac:dyDescent="0.2">
      <c r="G46605" s="889"/>
    </row>
    <row r="46606" spans="7:7" ht="10.5" customHeight="1" x14ac:dyDescent="0.2">
      <c r="G46606" s="889"/>
    </row>
    <row r="46607" spans="7:7" ht="10.5" customHeight="1" x14ac:dyDescent="0.2">
      <c r="G46607" s="889"/>
    </row>
    <row r="46608" spans="7:7" ht="10.5" customHeight="1" x14ac:dyDescent="0.2">
      <c r="G46608" s="889"/>
    </row>
    <row r="46609" spans="7:7" ht="10.5" customHeight="1" x14ac:dyDescent="0.2">
      <c r="G46609" s="889"/>
    </row>
    <row r="46610" spans="7:7" ht="10.5" customHeight="1" x14ac:dyDescent="0.2">
      <c r="G46610" s="889"/>
    </row>
    <row r="46611" spans="7:7" ht="10.5" customHeight="1" x14ac:dyDescent="0.2">
      <c r="G46611" s="889"/>
    </row>
    <row r="46612" spans="7:7" ht="10.5" customHeight="1" x14ac:dyDescent="0.2">
      <c r="G46612" s="889"/>
    </row>
    <row r="46613" spans="7:7" ht="10.5" customHeight="1" x14ac:dyDescent="0.2">
      <c r="G46613" s="889"/>
    </row>
    <row r="46614" spans="7:7" ht="10.5" customHeight="1" x14ac:dyDescent="0.2">
      <c r="G46614" s="889"/>
    </row>
    <row r="46615" spans="7:7" ht="10.5" customHeight="1" x14ac:dyDescent="0.2">
      <c r="G46615" s="889"/>
    </row>
    <row r="46616" spans="7:7" ht="10.5" customHeight="1" x14ac:dyDescent="0.2">
      <c r="G46616" s="889"/>
    </row>
    <row r="46617" spans="7:7" ht="10.5" customHeight="1" x14ac:dyDescent="0.2">
      <c r="G46617" s="889"/>
    </row>
    <row r="46618" spans="7:7" ht="10.5" customHeight="1" x14ac:dyDescent="0.2">
      <c r="G46618" s="889"/>
    </row>
    <row r="46619" spans="7:7" ht="10.5" customHeight="1" x14ac:dyDescent="0.2">
      <c r="G46619" s="889"/>
    </row>
    <row r="46620" spans="7:7" ht="10.5" customHeight="1" x14ac:dyDescent="0.2">
      <c r="G46620" s="889"/>
    </row>
    <row r="46621" spans="7:7" ht="10.5" customHeight="1" x14ac:dyDescent="0.2">
      <c r="G46621" s="889"/>
    </row>
    <row r="46622" spans="7:7" ht="10.5" customHeight="1" x14ac:dyDescent="0.2">
      <c r="G46622" s="889"/>
    </row>
    <row r="46623" spans="7:7" ht="10.5" customHeight="1" x14ac:dyDescent="0.2">
      <c r="G46623" s="889"/>
    </row>
    <row r="46624" spans="7:7" ht="10.5" customHeight="1" x14ac:dyDescent="0.2">
      <c r="G46624" s="889"/>
    </row>
    <row r="46625" spans="7:7" ht="10.5" customHeight="1" x14ac:dyDescent="0.2">
      <c r="G46625" s="889"/>
    </row>
    <row r="46626" spans="7:7" ht="10.5" customHeight="1" x14ac:dyDescent="0.2">
      <c r="G46626" s="889"/>
    </row>
    <row r="46627" spans="7:7" ht="10.5" customHeight="1" x14ac:dyDescent="0.2">
      <c r="G46627" s="889"/>
    </row>
    <row r="46628" spans="7:7" ht="10.5" customHeight="1" x14ac:dyDescent="0.2">
      <c r="G46628" s="889"/>
    </row>
    <row r="46629" spans="7:7" ht="10.5" customHeight="1" x14ac:dyDescent="0.2">
      <c r="G46629" s="889"/>
    </row>
    <row r="46630" spans="7:7" ht="10.5" customHeight="1" x14ac:dyDescent="0.2">
      <c r="G46630" s="889"/>
    </row>
    <row r="46631" spans="7:7" ht="10.5" customHeight="1" x14ac:dyDescent="0.2">
      <c r="G46631" s="889"/>
    </row>
    <row r="46632" spans="7:7" ht="10.5" customHeight="1" x14ac:dyDescent="0.2">
      <c r="G46632" s="889"/>
    </row>
    <row r="46633" spans="7:7" ht="10.5" customHeight="1" x14ac:dyDescent="0.2">
      <c r="G46633" s="889"/>
    </row>
    <row r="46634" spans="7:7" ht="10.5" customHeight="1" x14ac:dyDescent="0.2">
      <c r="G46634" s="889"/>
    </row>
    <row r="46635" spans="7:7" ht="10.5" customHeight="1" x14ac:dyDescent="0.2">
      <c r="G46635" s="889"/>
    </row>
    <row r="46636" spans="7:7" ht="10.5" customHeight="1" x14ac:dyDescent="0.2">
      <c r="G46636" s="889"/>
    </row>
    <row r="46637" spans="7:7" ht="10.5" customHeight="1" x14ac:dyDescent="0.2">
      <c r="G46637" s="889"/>
    </row>
    <row r="46638" spans="7:7" ht="10.5" customHeight="1" x14ac:dyDescent="0.2">
      <c r="G46638" s="889"/>
    </row>
    <row r="46639" spans="7:7" ht="10.5" customHeight="1" x14ac:dyDescent="0.2">
      <c r="G46639" s="889"/>
    </row>
    <row r="46640" spans="7:7" ht="10.5" customHeight="1" x14ac:dyDescent="0.2">
      <c r="G46640" s="889"/>
    </row>
    <row r="46641" spans="7:7" ht="10.5" customHeight="1" x14ac:dyDescent="0.2">
      <c r="G46641" s="889"/>
    </row>
    <row r="46642" spans="7:7" ht="10.5" customHeight="1" x14ac:dyDescent="0.2">
      <c r="G46642" s="889"/>
    </row>
    <row r="46643" spans="7:7" ht="10.5" customHeight="1" x14ac:dyDescent="0.2">
      <c r="G46643" s="889"/>
    </row>
    <row r="46644" spans="7:7" ht="10.5" customHeight="1" x14ac:dyDescent="0.2">
      <c r="G46644" s="889"/>
    </row>
    <row r="46645" spans="7:7" ht="10.5" customHeight="1" x14ac:dyDescent="0.2">
      <c r="G46645" s="889"/>
    </row>
    <row r="46646" spans="7:7" ht="10.5" customHeight="1" x14ac:dyDescent="0.2">
      <c r="G46646" s="889"/>
    </row>
    <row r="46647" spans="7:7" ht="10.5" customHeight="1" x14ac:dyDescent="0.2">
      <c r="G46647" s="889"/>
    </row>
    <row r="46648" spans="7:7" ht="10.5" customHeight="1" x14ac:dyDescent="0.2">
      <c r="G46648" s="889"/>
    </row>
    <row r="46649" spans="7:7" ht="10.5" customHeight="1" x14ac:dyDescent="0.2">
      <c r="G46649" s="889"/>
    </row>
    <row r="46650" spans="7:7" ht="10.5" customHeight="1" x14ac:dyDescent="0.2">
      <c r="G46650" s="889"/>
    </row>
    <row r="46651" spans="7:7" ht="10.5" customHeight="1" x14ac:dyDescent="0.2">
      <c r="G46651" s="889"/>
    </row>
    <row r="46652" spans="7:7" ht="10.5" customHeight="1" x14ac:dyDescent="0.2">
      <c r="G46652" s="889"/>
    </row>
    <row r="46653" spans="7:7" ht="10.5" customHeight="1" x14ac:dyDescent="0.2">
      <c r="G46653" s="889"/>
    </row>
    <row r="46654" spans="7:7" ht="10.5" customHeight="1" x14ac:dyDescent="0.2">
      <c r="G46654" s="889"/>
    </row>
    <row r="46655" spans="7:7" ht="10.5" customHeight="1" x14ac:dyDescent="0.2">
      <c r="G46655" s="889"/>
    </row>
    <row r="46656" spans="7:7" ht="10.5" customHeight="1" x14ac:dyDescent="0.2">
      <c r="G46656" s="889"/>
    </row>
    <row r="46657" spans="7:7" ht="10.5" customHeight="1" x14ac:dyDescent="0.2">
      <c r="G46657" s="889"/>
    </row>
    <row r="46658" spans="7:7" ht="10.5" customHeight="1" x14ac:dyDescent="0.2">
      <c r="G46658" s="889"/>
    </row>
    <row r="46659" spans="7:7" ht="10.5" customHeight="1" x14ac:dyDescent="0.2">
      <c r="G46659" s="889"/>
    </row>
    <row r="46660" spans="7:7" ht="10.5" customHeight="1" x14ac:dyDescent="0.2">
      <c r="G46660" s="889"/>
    </row>
    <row r="46661" spans="7:7" ht="10.5" customHeight="1" x14ac:dyDescent="0.2">
      <c r="G46661" s="889"/>
    </row>
    <row r="46662" spans="7:7" ht="10.5" customHeight="1" x14ac:dyDescent="0.2">
      <c r="G46662" s="889"/>
    </row>
    <row r="46663" spans="7:7" ht="10.5" customHeight="1" x14ac:dyDescent="0.2">
      <c r="G46663" s="889"/>
    </row>
    <row r="46664" spans="7:7" ht="10.5" customHeight="1" x14ac:dyDescent="0.2">
      <c r="G46664" s="889"/>
    </row>
    <row r="46665" spans="7:7" ht="10.5" customHeight="1" x14ac:dyDescent="0.2">
      <c r="G46665" s="889"/>
    </row>
    <row r="46666" spans="7:7" ht="10.5" customHeight="1" x14ac:dyDescent="0.2">
      <c r="G46666" s="889"/>
    </row>
    <row r="46667" spans="7:7" ht="10.5" customHeight="1" x14ac:dyDescent="0.2">
      <c r="G46667" s="889"/>
    </row>
    <row r="46668" spans="7:7" ht="10.5" customHeight="1" x14ac:dyDescent="0.2">
      <c r="G46668" s="889"/>
    </row>
    <row r="46669" spans="7:7" ht="10.5" customHeight="1" x14ac:dyDescent="0.2">
      <c r="G46669" s="889"/>
    </row>
    <row r="46670" spans="7:7" ht="10.5" customHeight="1" x14ac:dyDescent="0.2">
      <c r="G46670" s="889"/>
    </row>
    <row r="46671" spans="7:7" ht="10.5" customHeight="1" x14ac:dyDescent="0.2">
      <c r="G46671" s="889"/>
    </row>
    <row r="46672" spans="7:7" ht="10.5" customHeight="1" x14ac:dyDescent="0.2">
      <c r="G46672" s="889"/>
    </row>
    <row r="46673" spans="7:7" ht="10.5" customHeight="1" x14ac:dyDescent="0.2">
      <c r="G46673" s="889"/>
    </row>
    <row r="46674" spans="7:7" ht="10.5" customHeight="1" x14ac:dyDescent="0.2">
      <c r="G46674" s="889"/>
    </row>
    <row r="46675" spans="7:7" ht="10.5" customHeight="1" x14ac:dyDescent="0.2">
      <c r="G46675" s="889"/>
    </row>
    <row r="46676" spans="7:7" ht="10.5" customHeight="1" x14ac:dyDescent="0.2">
      <c r="G46676" s="889"/>
    </row>
    <row r="46677" spans="7:7" ht="10.5" customHeight="1" x14ac:dyDescent="0.2">
      <c r="G46677" s="889"/>
    </row>
    <row r="46678" spans="7:7" ht="10.5" customHeight="1" x14ac:dyDescent="0.2">
      <c r="G46678" s="889"/>
    </row>
    <row r="46679" spans="7:7" ht="10.5" customHeight="1" x14ac:dyDescent="0.2">
      <c r="G46679" s="889"/>
    </row>
    <row r="46680" spans="7:7" ht="10.5" customHeight="1" x14ac:dyDescent="0.2">
      <c r="G46680" s="889"/>
    </row>
    <row r="46681" spans="7:7" ht="10.5" customHeight="1" x14ac:dyDescent="0.2">
      <c r="G46681" s="889"/>
    </row>
    <row r="46682" spans="7:7" ht="10.5" customHeight="1" x14ac:dyDescent="0.2">
      <c r="G46682" s="889"/>
    </row>
    <row r="46683" spans="7:7" ht="10.5" customHeight="1" x14ac:dyDescent="0.2">
      <c r="G46683" s="889"/>
    </row>
    <row r="46684" spans="7:7" ht="10.5" customHeight="1" x14ac:dyDescent="0.2">
      <c r="G46684" s="889"/>
    </row>
    <row r="46685" spans="7:7" ht="10.5" customHeight="1" x14ac:dyDescent="0.2">
      <c r="G46685" s="889"/>
    </row>
    <row r="46686" spans="7:7" ht="10.5" customHeight="1" x14ac:dyDescent="0.2">
      <c r="G46686" s="889"/>
    </row>
    <row r="46687" spans="7:7" ht="10.5" customHeight="1" x14ac:dyDescent="0.2">
      <c r="G46687" s="889"/>
    </row>
    <row r="46688" spans="7:7" ht="10.5" customHeight="1" x14ac:dyDescent="0.2">
      <c r="G46688" s="889"/>
    </row>
    <row r="46689" spans="7:7" ht="10.5" customHeight="1" x14ac:dyDescent="0.2">
      <c r="G46689" s="889"/>
    </row>
    <row r="46690" spans="7:7" ht="10.5" customHeight="1" x14ac:dyDescent="0.2">
      <c r="G46690" s="889"/>
    </row>
    <row r="46691" spans="7:7" ht="10.5" customHeight="1" x14ac:dyDescent="0.2">
      <c r="G46691" s="889"/>
    </row>
    <row r="46692" spans="7:7" ht="10.5" customHeight="1" x14ac:dyDescent="0.2">
      <c r="G46692" s="889"/>
    </row>
    <row r="46693" spans="7:7" ht="10.5" customHeight="1" x14ac:dyDescent="0.2">
      <c r="G46693" s="889"/>
    </row>
    <row r="46694" spans="7:7" ht="10.5" customHeight="1" x14ac:dyDescent="0.2">
      <c r="G46694" s="889"/>
    </row>
    <row r="46695" spans="7:7" ht="10.5" customHeight="1" x14ac:dyDescent="0.2">
      <c r="G46695" s="889"/>
    </row>
    <row r="46696" spans="7:7" ht="10.5" customHeight="1" x14ac:dyDescent="0.2">
      <c r="G46696" s="889"/>
    </row>
    <row r="46697" spans="7:7" ht="10.5" customHeight="1" x14ac:dyDescent="0.2">
      <c r="G46697" s="889"/>
    </row>
    <row r="46698" spans="7:7" ht="10.5" customHeight="1" x14ac:dyDescent="0.2">
      <c r="G46698" s="889"/>
    </row>
    <row r="46699" spans="7:7" ht="10.5" customHeight="1" x14ac:dyDescent="0.2">
      <c r="G46699" s="889"/>
    </row>
    <row r="46700" spans="7:7" ht="10.5" customHeight="1" x14ac:dyDescent="0.2">
      <c r="G46700" s="889"/>
    </row>
    <row r="46701" spans="7:7" ht="10.5" customHeight="1" x14ac:dyDescent="0.2">
      <c r="G46701" s="889"/>
    </row>
    <row r="46702" spans="7:7" ht="10.5" customHeight="1" x14ac:dyDescent="0.2">
      <c r="G46702" s="889"/>
    </row>
    <row r="46703" spans="7:7" ht="10.5" customHeight="1" x14ac:dyDescent="0.2">
      <c r="G46703" s="889"/>
    </row>
    <row r="46704" spans="7:7" ht="10.5" customHeight="1" x14ac:dyDescent="0.2">
      <c r="G46704" s="889"/>
    </row>
    <row r="46705" spans="7:7" ht="10.5" customHeight="1" x14ac:dyDescent="0.2">
      <c r="G46705" s="889"/>
    </row>
    <row r="46706" spans="7:7" ht="10.5" customHeight="1" x14ac:dyDescent="0.2">
      <c r="G46706" s="889"/>
    </row>
    <row r="46707" spans="7:7" ht="10.5" customHeight="1" x14ac:dyDescent="0.2">
      <c r="G46707" s="889"/>
    </row>
    <row r="46708" spans="7:7" ht="10.5" customHeight="1" x14ac:dyDescent="0.2">
      <c r="G46708" s="889"/>
    </row>
    <row r="46709" spans="7:7" ht="10.5" customHeight="1" x14ac:dyDescent="0.2">
      <c r="G46709" s="889"/>
    </row>
    <row r="46710" spans="7:7" ht="10.5" customHeight="1" x14ac:dyDescent="0.2">
      <c r="G46710" s="889"/>
    </row>
    <row r="46711" spans="7:7" ht="10.5" customHeight="1" x14ac:dyDescent="0.2">
      <c r="G46711" s="889"/>
    </row>
    <row r="46712" spans="7:7" ht="10.5" customHeight="1" x14ac:dyDescent="0.2">
      <c r="G46712" s="889"/>
    </row>
    <row r="46713" spans="7:7" ht="10.5" customHeight="1" x14ac:dyDescent="0.2">
      <c r="G46713" s="889"/>
    </row>
    <row r="46714" spans="7:7" ht="10.5" customHeight="1" x14ac:dyDescent="0.2">
      <c r="G46714" s="889"/>
    </row>
    <row r="46715" spans="7:7" ht="10.5" customHeight="1" x14ac:dyDescent="0.2">
      <c r="G46715" s="889"/>
    </row>
    <row r="46716" spans="7:7" ht="10.5" customHeight="1" x14ac:dyDescent="0.2">
      <c r="G46716" s="889"/>
    </row>
    <row r="46717" spans="7:7" ht="10.5" customHeight="1" x14ac:dyDescent="0.2">
      <c r="G46717" s="889"/>
    </row>
    <row r="46718" spans="7:7" ht="10.5" customHeight="1" x14ac:dyDescent="0.2">
      <c r="G46718" s="889"/>
    </row>
    <row r="46719" spans="7:7" ht="10.5" customHeight="1" x14ac:dyDescent="0.2">
      <c r="G46719" s="889"/>
    </row>
    <row r="46720" spans="7:7" ht="10.5" customHeight="1" x14ac:dyDescent="0.2">
      <c r="G46720" s="889"/>
    </row>
    <row r="46721" spans="7:7" ht="10.5" customHeight="1" x14ac:dyDescent="0.2">
      <c r="G46721" s="889"/>
    </row>
    <row r="46722" spans="7:7" ht="10.5" customHeight="1" x14ac:dyDescent="0.2">
      <c r="G46722" s="889"/>
    </row>
    <row r="46723" spans="7:7" ht="10.5" customHeight="1" x14ac:dyDescent="0.2">
      <c r="G46723" s="889"/>
    </row>
    <row r="46724" spans="7:7" ht="10.5" customHeight="1" x14ac:dyDescent="0.2">
      <c r="G46724" s="889"/>
    </row>
    <row r="46725" spans="7:7" ht="10.5" customHeight="1" x14ac:dyDescent="0.2">
      <c r="G46725" s="889"/>
    </row>
    <row r="46726" spans="7:7" ht="10.5" customHeight="1" x14ac:dyDescent="0.2">
      <c r="G46726" s="889"/>
    </row>
    <row r="46727" spans="7:7" ht="10.5" customHeight="1" x14ac:dyDescent="0.2">
      <c r="G46727" s="889"/>
    </row>
    <row r="46728" spans="7:7" ht="10.5" customHeight="1" x14ac:dyDescent="0.2">
      <c r="G46728" s="889"/>
    </row>
    <row r="46729" spans="7:7" ht="10.5" customHeight="1" x14ac:dyDescent="0.2">
      <c r="G46729" s="889"/>
    </row>
    <row r="46730" spans="7:7" ht="10.5" customHeight="1" x14ac:dyDescent="0.2">
      <c r="G46730" s="889"/>
    </row>
    <row r="46731" spans="7:7" ht="10.5" customHeight="1" x14ac:dyDescent="0.2">
      <c r="G46731" s="889"/>
    </row>
    <row r="46732" spans="7:7" ht="10.5" customHeight="1" x14ac:dyDescent="0.2">
      <c r="G46732" s="889"/>
    </row>
    <row r="46733" spans="7:7" ht="10.5" customHeight="1" x14ac:dyDescent="0.2">
      <c r="G46733" s="889"/>
    </row>
    <row r="46734" spans="7:7" ht="10.5" customHeight="1" x14ac:dyDescent="0.2">
      <c r="G46734" s="889"/>
    </row>
    <row r="46735" spans="7:7" ht="10.5" customHeight="1" x14ac:dyDescent="0.2">
      <c r="G46735" s="889"/>
    </row>
    <row r="46736" spans="7:7" ht="10.5" customHeight="1" x14ac:dyDescent="0.2">
      <c r="G46736" s="889"/>
    </row>
    <row r="46737" spans="7:7" ht="10.5" customHeight="1" x14ac:dyDescent="0.2">
      <c r="G46737" s="889"/>
    </row>
    <row r="46738" spans="7:7" ht="10.5" customHeight="1" x14ac:dyDescent="0.2">
      <c r="G46738" s="889"/>
    </row>
    <row r="46739" spans="7:7" ht="10.5" customHeight="1" x14ac:dyDescent="0.2">
      <c r="G46739" s="889"/>
    </row>
    <row r="46740" spans="7:7" ht="10.5" customHeight="1" x14ac:dyDescent="0.2">
      <c r="G46740" s="889"/>
    </row>
    <row r="46741" spans="7:7" ht="10.5" customHeight="1" x14ac:dyDescent="0.2">
      <c r="G46741" s="889"/>
    </row>
    <row r="46742" spans="7:7" ht="10.5" customHeight="1" x14ac:dyDescent="0.2">
      <c r="G46742" s="889"/>
    </row>
    <row r="46743" spans="7:7" ht="10.5" customHeight="1" x14ac:dyDescent="0.2">
      <c r="G46743" s="889"/>
    </row>
    <row r="46744" spans="7:7" ht="10.5" customHeight="1" x14ac:dyDescent="0.2">
      <c r="G46744" s="889"/>
    </row>
    <row r="46745" spans="7:7" ht="10.5" customHeight="1" x14ac:dyDescent="0.2">
      <c r="G46745" s="889"/>
    </row>
    <row r="46746" spans="7:7" ht="10.5" customHeight="1" x14ac:dyDescent="0.2">
      <c r="G46746" s="889"/>
    </row>
    <row r="46747" spans="7:7" ht="10.5" customHeight="1" x14ac:dyDescent="0.2">
      <c r="G46747" s="889"/>
    </row>
    <row r="46748" spans="7:7" ht="10.5" customHeight="1" x14ac:dyDescent="0.2">
      <c r="G46748" s="889"/>
    </row>
    <row r="46749" spans="7:7" ht="10.5" customHeight="1" x14ac:dyDescent="0.2">
      <c r="G46749" s="889"/>
    </row>
    <row r="46750" spans="7:7" ht="10.5" customHeight="1" x14ac:dyDescent="0.2">
      <c r="G46750" s="889"/>
    </row>
    <row r="46751" spans="7:7" ht="10.5" customHeight="1" x14ac:dyDescent="0.2">
      <c r="G46751" s="889"/>
    </row>
    <row r="46752" spans="7:7" ht="10.5" customHeight="1" x14ac:dyDescent="0.2">
      <c r="G46752" s="889"/>
    </row>
    <row r="46753" spans="7:7" ht="10.5" customHeight="1" x14ac:dyDescent="0.2">
      <c r="G46753" s="889"/>
    </row>
    <row r="46754" spans="7:7" ht="10.5" customHeight="1" x14ac:dyDescent="0.2">
      <c r="G46754" s="889"/>
    </row>
    <row r="46755" spans="7:7" ht="10.5" customHeight="1" x14ac:dyDescent="0.2">
      <c r="G46755" s="889"/>
    </row>
    <row r="46756" spans="7:7" ht="10.5" customHeight="1" x14ac:dyDescent="0.2">
      <c r="G46756" s="889"/>
    </row>
    <row r="46757" spans="7:7" ht="10.5" customHeight="1" x14ac:dyDescent="0.2">
      <c r="G46757" s="889"/>
    </row>
    <row r="46758" spans="7:7" ht="10.5" customHeight="1" x14ac:dyDescent="0.2">
      <c r="G46758" s="889"/>
    </row>
    <row r="46759" spans="7:7" ht="10.5" customHeight="1" x14ac:dyDescent="0.2">
      <c r="G46759" s="889"/>
    </row>
    <row r="46760" spans="7:7" ht="10.5" customHeight="1" x14ac:dyDescent="0.2">
      <c r="G46760" s="889"/>
    </row>
    <row r="46761" spans="7:7" ht="10.5" customHeight="1" x14ac:dyDescent="0.2">
      <c r="G46761" s="889"/>
    </row>
    <row r="46762" spans="7:7" ht="10.5" customHeight="1" x14ac:dyDescent="0.2">
      <c r="G46762" s="889"/>
    </row>
    <row r="46763" spans="7:7" ht="10.5" customHeight="1" x14ac:dyDescent="0.2">
      <c r="G46763" s="889"/>
    </row>
    <row r="46764" spans="7:7" ht="10.5" customHeight="1" x14ac:dyDescent="0.2">
      <c r="G46764" s="889"/>
    </row>
    <row r="46765" spans="7:7" ht="10.5" customHeight="1" x14ac:dyDescent="0.2">
      <c r="G46765" s="889"/>
    </row>
    <row r="46766" spans="7:7" ht="10.5" customHeight="1" x14ac:dyDescent="0.2">
      <c r="G46766" s="889"/>
    </row>
    <row r="46767" spans="7:7" ht="10.5" customHeight="1" x14ac:dyDescent="0.2">
      <c r="G46767" s="889"/>
    </row>
    <row r="46768" spans="7:7" ht="10.5" customHeight="1" x14ac:dyDescent="0.2">
      <c r="G46768" s="889"/>
    </row>
    <row r="46769" spans="7:7" ht="10.5" customHeight="1" x14ac:dyDescent="0.2">
      <c r="G46769" s="889"/>
    </row>
    <row r="46770" spans="7:7" ht="10.5" customHeight="1" x14ac:dyDescent="0.2">
      <c r="G46770" s="889"/>
    </row>
    <row r="46771" spans="7:7" ht="10.5" customHeight="1" x14ac:dyDescent="0.2">
      <c r="G46771" s="889"/>
    </row>
    <row r="46772" spans="7:7" ht="10.5" customHeight="1" x14ac:dyDescent="0.2">
      <c r="G46772" s="889"/>
    </row>
    <row r="46773" spans="7:7" ht="10.5" customHeight="1" x14ac:dyDescent="0.2">
      <c r="G46773" s="889"/>
    </row>
    <row r="46774" spans="7:7" ht="10.5" customHeight="1" x14ac:dyDescent="0.2">
      <c r="G46774" s="889"/>
    </row>
    <row r="46775" spans="7:7" ht="10.5" customHeight="1" x14ac:dyDescent="0.2">
      <c r="G46775" s="889"/>
    </row>
    <row r="46776" spans="7:7" ht="10.5" customHeight="1" x14ac:dyDescent="0.2">
      <c r="G46776" s="889"/>
    </row>
    <row r="46777" spans="7:7" ht="10.5" customHeight="1" x14ac:dyDescent="0.2">
      <c r="G46777" s="889"/>
    </row>
    <row r="46778" spans="7:7" ht="10.5" customHeight="1" x14ac:dyDescent="0.2">
      <c r="G46778" s="889"/>
    </row>
    <row r="46779" spans="7:7" ht="10.5" customHeight="1" x14ac:dyDescent="0.2">
      <c r="G46779" s="889"/>
    </row>
    <row r="46780" spans="7:7" ht="10.5" customHeight="1" x14ac:dyDescent="0.2">
      <c r="G46780" s="889"/>
    </row>
    <row r="46781" spans="7:7" ht="10.5" customHeight="1" x14ac:dyDescent="0.2">
      <c r="G46781" s="889"/>
    </row>
    <row r="46782" spans="7:7" ht="10.5" customHeight="1" x14ac:dyDescent="0.2">
      <c r="G46782" s="889"/>
    </row>
    <row r="46783" spans="7:7" ht="10.5" customHeight="1" x14ac:dyDescent="0.2">
      <c r="G46783" s="889"/>
    </row>
    <row r="46784" spans="7:7" ht="10.5" customHeight="1" x14ac:dyDescent="0.2">
      <c r="G46784" s="889"/>
    </row>
    <row r="46785" spans="7:7" ht="10.5" customHeight="1" x14ac:dyDescent="0.2">
      <c r="G46785" s="889"/>
    </row>
    <row r="46786" spans="7:7" ht="10.5" customHeight="1" x14ac:dyDescent="0.2">
      <c r="G46786" s="889"/>
    </row>
    <row r="46787" spans="7:7" ht="10.5" customHeight="1" x14ac:dyDescent="0.2">
      <c r="G46787" s="889"/>
    </row>
    <row r="46788" spans="7:7" ht="10.5" customHeight="1" x14ac:dyDescent="0.2">
      <c r="G46788" s="889"/>
    </row>
    <row r="46789" spans="7:7" ht="10.5" customHeight="1" x14ac:dyDescent="0.2">
      <c r="G46789" s="889"/>
    </row>
    <row r="46790" spans="7:7" ht="10.5" customHeight="1" x14ac:dyDescent="0.2">
      <c r="G46790" s="889"/>
    </row>
    <row r="46791" spans="7:7" ht="10.5" customHeight="1" x14ac:dyDescent="0.2">
      <c r="G46791" s="889"/>
    </row>
    <row r="46792" spans="7:7" ht="10.5" customHeight="1" x14ac:dyDescent="0.2">
      <c r="G46792" s="889"/>
    </row>
    <row r="46793" spans="7:7" ht="10.5" customHeight="1" x14ac:dyDescent="0.2">
      <c r="G46793" s="889"/>
    </row>
    <row r="46794" spans="7:7" ht="10.5" customHeight="1" x14ac:dyDescent="0.2">
      <c r="G46794" s="889"/>
    </row>
    <row r="46795" spans="7:7" ht="10.5" customHeight="1" x14ac:dyDescent="0.2">
      <c r="G46795" s="889"/>
    </row>
    <row r="46796" spans="7:7" ht="10.5" customHeight="1" x14ac:dyDescent="0.2">
      <c r="G46796" s="889"/>
    </row>
    <row r="46797" spans="7:7" ht="10.5" customHeight="1" x14ac:dyDescent="0.2">
      <c r="G46797" s="889"/>
    </row>
    <row r="46798" spans="7:7" ht="10.5" customHeight="1" x14ac:dyDescent="0.2">
      <c r="G46798" s="889"/>
    </row>
    <row r="46799" spans="7:7" ht="10.5" customHeight="1" x14ac:dyDescent="0.2">
      <c r="G46799" s="889"/>
    </row>
    <row r="46800" spans="7:7" ht="10.5" customHeight="1" x14ac:dyDescent="0.2">
      <c r="G46800" s="889"/>
    </row>
    <row r="46801" spans="7:7" ht="10.5" customHeight="1" x14ac:dyDescent="0.2">
      <c r="G46801" s="889"/>
    </row>
    <row r="46802" spans="7:7" ht="10.5" customHeight="1" x14ac:dyDescent="0.2">
      <c r="G46802" s="889"/>
    </row>
    <row r="46803" spans="7:7" ht="10.5" customHeight="1" x14ac:dyDescent="0.2">
      <c r="G46803" s="889"/>
    </row>
    <row r="46804" spans="7:7" ht="10.5" customHeight="1" x14ac:dyDescent="0.2">
      <c r="G46804" s="889"/>
    </row>
    <row r="46805" spans="7:7" ht="10.5" customHeight="1" x14ac:dyDescent="0.2">
      <c r="G46805" s="889"/>
    </row>
    <row r="46806" spans="7:7" ht="10.5" customHeight="1" x14ac:dyDescent="0.2">
      <c r="G46806" s="889"/>
    </row>
    <row r="46807" spans="7:7" ht="10.5" customHeight="1" x14ac:dyDescent="0.2">
      <c r="G46807" s="889"/>
    </row>
    <row r="46808" spans="7:7" ht="10.5" customHeight="1" x14ac:dyDescent="0.2">
      <c r="G46808" s="889"/>
    </row>
    <row r="46809" spans="7:7" ht="10.5" customHeight="1" x14ac:dyDescent="0.2">
      <c r="G46809" s="889"/>
    </row>
    <row r="46810" spans="7:7" ht="10.5" customHeight="1" x14ac:dyDescent="0.2">
      <c r="G46810" s="889"/>
    </row>
    <row r="46811" spans="7:7" ht="10.5" customHeight="1" x14ac:dyDescent="0.2">
      <c r="G46811" s="889"/>
    </row>
    <row r="46812" spans="7:7" ht="10.5" customHeight="1" x14ac:dyDescent="0.2">
      <c r="G46812" s="889"/>
    </row>
    <row r="46813" spans="7:7" ht="10.5" customHeight="1" x14ac:dyDescent="0.2">
      <c r="G46813" s="889"/>
    </row>
    <row r="46814" spans="7:7" ht="10.5" customHeight="1" x14ac:dyDescent="0.2">
      <c r="G46814" s="889"/>
    </row>
    <row r="46815" spans="7:7" ht="10.5" customHeight="1" x14ac:dyDescent="0.2">
      <c r="G46815" s="889"/>
    </row>
    <row r="46816" spans="7:7" ht="10.5" customHeight="1" x14ac:dyDescent="0.2">
      <c r="G46816" s="889"/>
    </row>
    <row r="46817" spans="7:7" ht="10.5" customHeight="1" x14ac:dyDescent="0.2">
      <c r="G46817" s="889"/>
    </row>
    <row r="46818" spans="7:7" ht="10.5" customHeight="1" x14ac:dyDescent="0.2">
      <c r="G46818" s="889"/>
    </row>
    <row r="46819" spans="7:7" ht="10.5" customHeight="1" x14ac:dyDescent="0.2">
      <c r="G46819" s="889"/>
    </row>
    <row r="46820" spans="7:7" ht="10.5" customHeight="1" x14ac:dyDescent="0.2">
      <c r="G46820" s="889"/>
    </row>
    <row r="46821" spans="7:7" ht="10.5" customHeight="1" x14ac:dyDescent="0.2">
      <c r="G46821" s="889"/>
    </row>
    <row r="46822" spans="7:7" ht="10.5" customHeight="1" x14ac:dyDescent="0.2">
      <c r="G46822" s="889"/>
    </row>
    <row r="46823" spans="7:7" ht="10.5" customHeight="1" x14ac:dyDescent="0.2">
      <c r="G46823" s="889"/>
    </row>
    <row r="46824" spans="7:7" ht="10.5" customHeight="1" x14ac:dyDescent="0.2">
      <c r="G46824" s="889"/>
    </row>
    <row r="46825" spans="7:7" ht="10.5" customHeight="1" x14ac:dyDescent="0.2">
      <c r="G46825" s="889"/>
    </row>
    <row r="46826" spans="7:7" ht="10.5" customHeight="1" x14ac:dyDescent="0.2">
      <c r="G46826" s="889"/>
    </row>
    <row r="46827" spans="7:7" ht="10.5" customHeight="1" x14ac:dyDescent="0.2">
      <c r="G46827" s="889"/>
    </row>
    <row r="46828" spans="7:7" ht="10.5" customHeight="1" x14ac:dyDescent="0.2">
      <c r="G46828" s="889"/>
    </row>
    <row r="46829" spans="7:7" ht="10.5" customHeight="1" x14ac:dyDescent="0.2">
      <c r="G46829" s="889"/>
    </row>
    <row r="46830" spans="7:7" ht="10.5" customHeight="1" x14ac:dyDescent="0.2">
      <c r="G46830" s="889"/>
    </row>
    <row r="46831" spans="7:7" ht="10.5" customHeight="1" x14ac:dyDescent="0.2">
      <c r="G46831" s="889"/>
    </row>
    <row r="46832" spans="7:7" ht="10.5" customHeight="1" x14ac:dyDescent="0.2">
      <c r="G46832" s="889"/>
    </row>
    <row r="46833" spans="7:7" ht="10.5" customHeight="1" x14ac:dyDescent="0.2">
      <c r="G46833" s="889"/>
    </row>
    <row r="46834" spans="7:7" ht="10.5" customHeight="1" x14ac:dyDescent="0.2">
      <c r="G46834" s="889"/>
    </row>
    <row r="46835" spans="7:7" ht="10.5" customHeight="1" x14ac:dyDescent="0.2">
      <c r="G46835" s="889"/>
    </row>
    <row r="46836" spans="7:7" ht="10.5" customHeight="1" x14ac:dyDescent="0.2">
      <c r="G46836" s="889"/>
    </row>
    <row r="46837" spans="7:7" ht="10.5" customHeight="1" x14ac:dyDescent="0.2">
      <c r="G46837" s="889"/>
    </row>
    <row r="46838" spans="7:7" ht="10.5" customHeight="1" x14ac:dyDescent="0.2">
      <c r="G46838" s="889"/>
    </row>
    <row r="46839" spans="7:7" ht="10.5" customHeight="1" x14ac:dyDescent="0.2">
      <c r="G46839" s="889"/>
    </row>
    <row r="46840" spans="7:7" ht="10.5" customHeight="1" x14ac:dyDescent="0.2">
      <c r="G46840" s="889"/>
    </row>
    <row r="46841" spans="7:7" ht="10.5" customHeight="1" x14ac:dyDescent="0.2">
      <c r="G46841" s="889"/>
    </row>
    <row r="46842" spans="7:7" ht="10.5" customHeight="1" x14ac:dyDescent="0.2">
      <c r="G46842" s="889"/>
    </row>
    <row r="46843" spans="7:7" ht="10.5" customHeight="1" x14ac:dyDescent="0.2">
      <c r="G46843" s="889"/>
    </row>
    <row r="46844" spans="7:7" ht="10.5" customHeight="1" x14ac:dyDescent="0.2">
      <c r="G46844" s="889"/>
    </row>
    <row r="46845" spans="7:7" ht="10.5" customHeight="1" x14ac:dyDescent="0.2">
      <c r="G46845" s="889"/>
    </row>
    <row r="46846" spans="7:7" ht="10.5" customHeight="1" x14ac:dyDescent="0.2">
      <c r="G46846" s="889"/>
    </row>
    <row r="46847" spans="7:7" ht="10.5" customHeight="1" x14ac:dyDescent="0.2">
      <c r="G46847" s="889"/>
    </row>
    <row r="46848" spans="7:7" ht="10.5" customHeight="1" x14ac:dyDescent="0.2">
      <c r="G46848" s="889"/>
    </row>
    <row r="46849" spans="7:7" ht="10.5" customHeight="1" x14ac:dyDescent="0.2">
      <c r="G46849" s="889"/>
    </row>
    <row r="46850" spans="7:7" ht="10.5" customHeight="1" x14ac:dyDescent="0.2">
      <c r="G46850" s="889"/>
    </row>
    <row r="46851" spans="7:7" ht="10.5" customHeight="1" x14ac:dyDescent="0.2">
      <c r="G46851" s="889"/>
    </row>
    <row r="46852" spans="7:7" ht="10.5" customHeight="1" x14ac:dyDescent="0.2">
      <c r="G46852" s="889"/>
    </row>
    <row r="46853" spans="7:7" ht="10.5" customHeight="1" x14ac:dyDescent="0.2">
      <c r="G46853" s="889"/>
    </row>
    <row r="46854" spans="7:7" ht="10.5" customHeight="1" x14ac:dyDescent="0.2">
      <c r="G46854" s="889"/>
    </row>
    <row r="46855" spans="7:7" ht="10.5" customHeight="1" x14ac:dyDescent="0.2">
      <c r="G46855" s="889"/>
    </row>
    <row r="46856" spans="7:7" ht="10.5" customHeight="1" x14ac:dyDescent="0.2">
      <c r="G46856" s="889"/>
    </row>
    <row r="46857" spans="7:7" ht="10.5" customHeight="1" x14ac:dyDescent="0.2">
      <c r="G46857" s="889"/>
    </row>
    <row r="46858" spans="7:7" ht="10.5" customHeight="1" x14ac:dyDescent="0.2">
      <c r="G46858" s="889"/>
    </row>
    <row r="46859" spans="7:7" ht="10.5" customHeight="1" x14ac:dyDescent="0.2">
      <c r="G46859" s="889"/>
    </row>
    <row r="46860" spans="7:7" ht="10.5" customHeight="1" x14ac:dyDescent="0.2">
      <c r="G46860" s="889"/>
    </row>
    <row r="46861" spans="7:7" ht="10.5" customHeight="1" x14ac:dyDescent="0.2">
      <c r="G46861" s="889"/>
    </row>
    <row r="46862" spans="7:7" ht="10.5" customHeight="1" x14ac:dyDescent="0.2">
      <c r="G46862" s="889"/>
    </row>
    <row r="46863" spans="7:7" ht="10.5" customHeight="1" x14ac:dyDescent="0.2">
      <c r="G46863" s="889"/>
    </row>
    <row r="46864" spans="7:7" ht="10.5" customHeight="1" x14ac:dyDescent="0.2">
      <c r="G46864" s="889"/>
    </row>
    <row r="46865" spans="7:7" ht="10.5" customHeight="1" x14ac:dyDescent="0.2">
      <c r="G46865" s="889"/>
    </row>
    <row r="46866" spans="7:7" ht="10.5" customHeight="1" x14ac:dyDescent="0.2">
      <c r="G46866" s="889"/>
    </row>
    <row r="46867" spans="7:7" ht="10.5" customHeight="1" x14ac:dyDescent="0.2">
      <c r="G46867" s="889"/>
    </row>
    <row r="46868" spans="7:7" ht="10.5" customHeight="1" x14ac:dyDescent="0.2">
      <c r="G46868" s="889"/>
    </row>
    <row r="46869" spans="7:7" ht="10.5" customHeight="1" x14ac:dyDescent="0.2">
      <c r="G46869" s="889"/>
    </row>
    <row r="46870" spans="7:7" ht="10.5" customHeight="1" x14ac:dyDescent="0.2">
      <c r="G46870" s="889"/>
    </row>
    <row r="46871" spans="7:7" ht="10.5" customHeight="1" x14ac:dyDescent="0.2">
      <c r="G46871" s="889"/>
    </row>
    <row r="46872" spans="7:7" ht="10.5" customHeight="1" x14ac:dyDescent="0.2">
      <c r="G46872" s="889"/>
    </row>
    <row r="46873" spans="7:7" ht="10.5" customHeight="1" x14ac:dyDescent="0.2">
      <c r="G46873" s="889"/>
    </row>
    <row r="46874" spans="7:7" ht="10.5" customHeight="1" x14ac:dyDescent="0.2">
      <c r="G46874" s="889"/>
    </row>
    <row r="46875" spans="7:7" ht="10.5" customHeight="1" x14ac:dyDescent="0.2">
      <c r="G46875" s="889"/>
    </row>
    <row r="46876" spans="7:7" ht="10.5" customHeight="1" x14ac:dyDescent="0.2">
      <c r="G46876" s="889"/>
    </row>
    <row r="46877" spans="7:7" ht="10.5" customHeight="1" x14ac:dyDescent="0.2">
      <c r="G46877" s="889"/>
    </row>
    <row r="46878" spans="7:7" ht="10.5" customHeight="1" x14ac:dyDescent="0.2">
      <c r="G46878" s="889"/>
    </row>
    <row r="46879" spans="7:7" ht="10.5" customHeight="1" x14ac:dyDescent="0.2">
      <c r="G46879" s="889"/>
    </row>
    <row r="46880" spans="7:7" ht="10.5" customHeight="1" x14ac:dyDescent="0.2">
      <c r="G46880" s="889"/>
    </row>
    <row r="46881" spans="7:7" ht="10.5" customHeight="1" x14ac:dyDescent="0.2">
      <c r="G46881" s="889"/>
    </row>
    <row r="46882" spans="7:7" ht="10.5" customHeight="1" x14ac:dyDescent="0.2">
      <c r="G46882" s="889"/>
    </row>
    <row r="46883" spans="7:7" ht="10.5" customHeight="1" x14ac:dyDescent="0.2">
      <c r="G46883" s="889"/>
    </row>
    <row r="46884" spans="7:7" ht="10.5" customHeight="1" x14ac:dyDescent="0.2">
      <c r="G46884" s="889"/>
    </row>
    <row r="46885" spans="7:7" ht="10.5" customHeight="1" x14ac:dyDescent="0.2">
      <c r="G46885" s="889"/>
    </row>
    <row r="46886" spans="7:7" ht="10.5" customHeight="1" x14ac:dyDescent="0.2">
      <c r="G46886" s="889"/>
    </row>
    <row r="46887" spans="7:7" ht="10.5" customHeight="1" x14ac:dyDescent="0.2">
      <c r="G46887" s="889"/>
    </row>
    <row r="46888" spans="7:7" ht="10.5" customHeight="1" x14ac:dyDescent="0.2">
      <c r="G46888" s="889"/>
    </row>
    <row r="46889" spans="7:7" ht="10.5" customHeight="1" x14ac:dyDescent="0.2">
      <c r="G46889" s="889"/>
    </row>
    <row r="46890" spans="7:7" ht="10.5" customHeight="1" x14ac:dyDescent="0.2">
      <c r="G46890" s="889"/>
    </row>
    <row r="46891" spans="7:7" ht="10.5" customHeight="1" x14ac:dyDescent="0.2">
      <c r="G46891" s="889"/>
    </row>
    <row r="46892" spans="7:7" ht="10.5" customHeight="1" x14ac:dyDescent="0.2">
      <c r="G46892" s="889"/>
    </row>
    <row r="46893" spans="7:7" ht="10.5" customHeight="1" x14ac:dyDescent="0.2">
      <c r="G46893" s="889"/>
    </row>
    <row r="46894" spans="7:7" ht="10.5" customHeight="1" x14ac:dyDescent="0.2">
      <c r="G46894" s="889"/>
    </row>
    <row r="46895" spans="7:7" ht="10.5" customHeight="1" x14ac:dyDescent="0.2">
      <c r="G46895" s="889"/>
    </row>
    <row r="46896" spans="7:7" ht="10.5" customHeight="1" x14ac:dyDescent="0.2">
      <c r="G46896" s="889"/>
    </row>
    <row r="46897" spans="7:7" ht="10.5" customHeight="1" x14ac:dyDescent="0.2">
      <c r="G46897" s="889"/>
    </row>
    <row r="46898" spans="7:7" ht="10.5" customHeight="1" x14ac:dyDescent="0.2">
      <c r="G46898" s="889"/>
    </row>
    <row r="46899" spans="7:7" ht="10.5" customHeight="1" x14ac:dyDescent="0.2">
      <c r="G46899" s="889"/>
    </row>
    <row r="46900" spans="7:7" ht="10.5" customHeight="1" x14ac:dyDescent="0.2">
      <c r="G46900" s="889"/>
    </row>
    <row r="46901" spans="7:7" ht="10.5" customHeight="1" x14ac:dyDescent="0.2">
      <c r="G46901" s="889"/>
    </row>
    <row r="46902" spans="7:7" ht="10.5" customHeight="1" x14ac:dyDescent="0.2">
      <c r="G46902" s="889"/>
    </row>
    <row r="46903" spans="7:7" ht="10.5" customHeight="1" x14ac:dyDescent="0.2">
      <c r="G46903" s="889"/>
    </row>
    <row r="46904" spans="7:7" ht="10.5" customHeight="1" x14ac:dyDescent="0.2">
      <c r="G46904" s="889"/>
    </row>
    <row r="46905" spans="7:7" ht="10.5" customHeight="1" x14ac:dyDescent="0.2">
      <c r="G46905" s="889"/>
    </row>
    <row r="46906" spans="7:7" ht="10.5" customHeight="1" x14ac:dyDescent="0.2">
      <c r="G46906" s="889"/>
    </row>
    <row r="46907" spans="7:7" ht="10.5" customHeight="1" x14ac:dyDescent="0.2">
      <c r="G46907" s="889"/>
    </row>
    <row r="46908" spans="7:7" ht="10.5" customHeight="1" x14ac:dyDescent="0.2">
      <c r="G46908" s="889"/>
    </row>
    <row r="46909" spans="7:7" ht="10.5" customHeight="1" x14ac:dyDescent="0.2">
      <c r="G46909" s="889"/>
    </row>
    <row r="46910" spans="7:7" ht="10.5" customHeight="1" x14ac:dyDescent="0.2">
      <c r="G46910" s="889"/>
    </row>
    <row r="46911" spans="7:7" ht="10.5" customHeight="1" x14ac:dyDescent="0.2">
      <c r="G46911" s="889"/>
    </row>
    <row r="46912" spans="7:7" ht="10.5" customHeight="1" x14ac:dyDescent="0.2">
      <c r="G46912" s="889"/>
    </row>
    <row r="46913" spans="7:7" ht="10.5" customHeight="1" x14ac:dyDescent="0.2">
      <c r="G46913" s="889"/>
    </row>
    <row r="46914" spans="7:7" ht="10.5" customHeight="1" x14ac:dyDescent="0.2">
      <c r="G46914" s="889"/>
    </row>
    <row r="46915" spans="7:7" ht="10.5" customHeight="1" x14ac:dyDescent="0.2">
      <c r="G46915" s="889"/>
    </row>
    <row r="46916" spans="7:7" ht="10.5" customHeight="1" x14ac:dyDescent="0.2">
      <c r="G46916" s="889"/>
    </row>
    <row r="46917" spans="7:7" ht="10.5" customHeight="1" x14ac:dyDescent="0.2">
      <c r="G46917" s="889"/>
    </row>
    <row r="46918" spans="7:7" ht="10.5" customHeight="1" x14ac:dyDescent="0.2">
      <c r="G46918" s="889"/>
    </row>
    <row r="46919" spans="7:7" ht="10.5" customHeight="1" x14ac:dyDescent="0.2">
      <c r="G46919" s="889"/>
    </row>
    <row r="46920" spans="7:7" ht="10.5" customHeight="1" x14ac:dyDescent="0.2">
      <c r="G46920" s="889"/>
    </row>
    <row r="46921" spans="7:7" ht="10.5" customHeight="1" x14ac:dyDescent="0.2">
      <c r="G46921" s="889"/>
    </row>
    <row r="46922" spans="7:7" ht="10.5" customHeight="1" x14ac:dyDescent="0.2">
      <c r="G46922" s="889"/>
    </row>
    <row r="46923" spans="7:7" ht="10.5" customHeight="1" x14ac:dyDescent="0.2">
      <c r="G46923" s="889"/>
    </row>
    <row r="46924" spans="7:7" ht="10.5" customHeight="1" x14ac:dyDescent="0.2">
      <c r="G46924" s="889"/>
    </row>
    <row r="46925" spans="7:7" ht="10.5" customHeight="1" x14ac:dyDescent="0.2">
      <c r="G46925" s="889"/>
    </row>
    <row r="46926" spans="7:7" ht="10.5" customHeight="1" x14ac:dyDescent="0.2">
      <c r="G46926" s="889"/>
    </row>
    <row r="46927" spans="7:7" ht="10.5" customHeight="1" x14ac:dyDescent="0.2">
      <c r="G46927" s="889"/>
    </row>
    <row r="46928" spans="7:7" ht="10.5" customHeight="1" x14ac:dyDescent="0.2">
      <c r="G46928" s="889"/>
    </row>
    <row r="46929" spans="7:7" ht="10.5" customHeight="1" x14ac:dyDescent="0.2">
      <c r="G46929" s="889"/>
    </row>
    <row r="46930" spans="7:7" ht="10.5" customHeight="1" x14ac:dyDescent="0.2">
      <c r="G46930" s="889"/>
    </row>
    <row r="46931" spans="7:7" ht="10.5" customHeight="1" x14ac:dyDescent="0.2">
      <c r="G46931" s="889"/>
    </row>
    <row r="46932" spans="7:7" ht="10.5" customHeight="1" x14ac:dyDescent="0.2">
      <c r="G46932" s="889"/>
    </row>
    <row r="46933" spans="7:7" ht="10.5" customHeight="1" x14ac:dyDescent="0.2">
      <c r="G46933" s="889"/>
    </row>
    <row r="46934" spans="7:7" ht="10.5" customHeight="1" x14ac:dyDescent="0.2">
      <c r="G46934" s="889"/>
    </row>
    <row r="46935" spans="7:7" ht="10.5" customHeight="1" x14ac:dyDescent="0.2">
      <c r="G46935" s="889"/>
    </row>
    <row r="46936" spans="7:7" ht="10.5" customHeight="1" x14ac:dyDescent="0.2">
      <c r="G46936" s="889"/>
    </row>
    <row r="46937" spans="7:7" ht="10.5" customHeight="1" x14ac:dyDescent="0.2">
      <c r="G46937" s="889"/>
    </row>
    <row r="46938" spans="7:7" ht="10.5" customHeight="1" x14ac:dyDescent="0.2">
      <c r="G46938" s="889"/>
    </row>
    <row r="46939" spans="7:7" ht="10.5" customHeight="1" x14ac:dyDescent="0.2">
      <c r="G46939" s="889"/>
    </row>
    <row r="46940" spans="7:7" ht="10.5" customHeight="1" x14ac:dyDescent="0.2">
      <c r="G46940" s="889"/>
    </row>
    <row r="46941" spans="7:7" ht="10.5" customHeight="1" x14ac:dyDescent="0.2">
      <c r="G46941" s="889"/>
    </row>
    <row r="46942" spans="7:7" ht="10.5" customHeight="1" x14ac:dyDescent="0.2">
      <c r="G46942" s="889"/>
    </row>
    <row r="46943" spans="7:7" ht="10.5" customHeight="1" x14ac:dyDescent="0.2">
      <c r="G46943" s="889"/>
    </row>
    <row r="46944" spans="7:7" ht="10.5" customHeight="1" x14ac:dyDescent="0.2">
      <c r="G46944" s="889"/>
    </row>
    <row r="46945" spans="7:7" ht="10.5" customHeight="1" x14ac:dyDescent="0.2">
      <c r="G46945" s="889"/>
    </row>
    <row r="46946" spans="7:7" ht="10.5" customHeight="1" x14ac:dyDescent="0.2">
      <c r="G46946" s="889"/>
    </row>
    <row r="46947" spans="7:7" ht="10.5" customHeight="1" x14ac:dyDescent="0.2">
      <c r="G46947" s="889"/>
    </row>
    <row r="46948" spans="7:7" ht="10.5" customHeight="1" x14ac:dyDescent="0.2">
      <c r="G46948" s="889"/>
    </row>
    <row r="46949" spans="7:7" ht="10.5" customHeight="1" x14ac:dyDescent="0.2">
      <c r="G46949" s="889"/>
    </row>
    <row r="46950" spans="7:7" ht="10.5" customHeight="1" x14ac:dyDescent="0.2">
      <c r="G46950" s="889"/>
    </row>
    <row r="46951" spans="7:7" ht="10.5" customHeight="1" x14ac:dyDescent="0.2">
      <c r="G46951" s="889"/>
    </row>
    <row r="46952" spans="7:7" ht="10.5" customHeight="1" x14ac:dyDescent="0.2">
      <c r="G46952" s="889"/>
    </row>
    <row r="46953" spans="7:7" ht="10.5" customHeight="1" x14ac:dyDescent="0.2">
      <c r="G46953" s="889"/>
    </row>
    <row r="46954" spans="7:7" ht="10.5" customHeight="1" x14ac:dyDescent="0.2">
      <c r="G46954" s="889"/>
    </row>
    <row r="46955" spans="7:7" ht="10.5" customHeight="1" x14ac:dyDescent="0.2">
      <c r="G46955" s="889"/>
    </row>
    <row r="46956" spans="7:7" ht="10.5" customHeight="1" x14ac:dyDescent="0.2">
      <c r="G46956" s="889"/>
    </row>
    <row r="46957" spans="7:7" ht="10.5" customHeight="1" x14ac:dyDescent="0.2">
      <c r="G46957" s="889"/>
    </row>
    <row r="46958" spans="7:7" ht="10.5" customHeight="1" x14ac:dyDescent="0.2">
      <c r="G46958" s="889"/>
    </row>
    <row r="46959" spans="7:7" ht="10.5" customHeight="1" x14ac:dyDescent="0.2">
      <c r="G46959" s="889"/>
    </row>
    <row r="46960" spans="7:7" ht="10.5" customHeight="1" x14ac:dyDescent="0.2">
      <c r="G46960" s="889"/>
    </row>
    <row r="46961" spans="7:7" ht="10.5" customHeight="1" x14ac:dyDescent="0.2">
      <c r="G46961" s="889"/>
    </row>
    <row r="46962" spans="7:7" ht="10.5" customHeight="1" x14ac:dyDescent="0.2">
      <c r="G46962" s="889"/>
    </row>
    <row r="46963" spans="7:7" ht="10.5" customHeight="1" x14ac:dyDescent="0.2">
      <c r="G46963" s="889"/>
    </row>
    <row r="46964" spans="7:7" ht="10.5" customHeight="1" x14ac:dyDescent="0.2">
      <c r="G46964" s="889"/>
    </row>
    <row r="46965" spans="7:7" ht="10.5" customHeight="1" x14ac:dyDescent="0.2">
      <c r="G46965" s="889"/>
    </row>
    <row r="46966" spans="7:7" ht="10.5" customHeight="1" x14ac:dyDescent="0.2">
      <c r="G46966" s="889"/>
    </row>
    <row r="46967" spans="7:7" ht="10.5" customHeight="1" x14ac:dyDescent="0.2">
      <c r="G46967" s="889"/>
    </row>
    <row r="46968" spans="7:7" ht="10.5" customHeight="1" x14ac:dyDescent="0.2">
      <c r="G46968" s="889"/>
    </row>
    <row r="46969" spans="7:7" ht="10.5" customHeight="1" x14ac:dyDescent="0.2">
      <c r="G46969" s="889"/>
    </row>
    <row r="46970" spans="7:7" ht="10.5" customHeight="1" x14ac:dyDescent="0.2">
      <c r="G46970" s="889"/>
    </row>
    <row r="46971" spans="7:7" ht="10.5" customHeight="1" x14ac:dyDescent="0.2">
      <c r="G46971" s="889"/>
    </row>
    <row r="46972" spans="7:7" ht="10.5" customHeight="1" x14ac:dyDescent="0.2">
      <c r="G46972" s="889"/>
    </row>
    <row r="46973" spans="7:7" ht="10.5" customHeight="1" x14ac:dyDescent="0.2">
      <c r="G46973" s="889"/>
    </row>
    <row r="46974" spans="7:7" ht="10.5" customHeight="1" x14ac:dyDescent="0.2">
      <c r="G46974" s="889"/>
    </row>
    <row r="46975" spans="7:7" ht="10.5" customHeight="1" x14ac:dyDescent="0.2">
      <c r="G46975" s="889"/>
    </row>
    <row r="46976" spans="7:7" ht="10.5" customHeight="1" x14ac:dyDescent="0.2">
      <c r="G46976" s="889"/>
    </row>
    <row r="46977" spans="7:7" ht="10.5" customHeight="1" x14ac:dyDescent="0.2">
      <c r="G46977" s="889"/>
    </row>
    <row r="46978" spans="7:7" ht="10.5" customHeight="1" x14ac:dyDescent="0.2">
      <c r="G46978" s="889"/>
    </row>
    <row r="46979" spans="7:7" ht="10.5" customHeight="1" x14ac:dyDescent="0.2">
      <c r="G46979" s="889"/>
    </row>
    <row r="46980" spans="7:7" ht="10.5" customHeight="1" x14ac:dyDescent="0.2">
      <c r="G46980" s="889"/>
    </row>
    <row r="46981" spans="7:7" ht="10.5" customHeight="1" x14ac:dyDescent="0.2">
      <c r="G46981" s="889"/>
    </row>
    <row r="46982" spans="7:7" ht="10.5" customHeight="1" x14ac:dyDescent="0.2">
      <c r="G46982" s="889"/>
    </row>
    <row r="46983" spans="7:7" ht="10.5" customHeight="1" x14ac:dyDescent="0.2">
      <c r="G46983" s="889"/>
    </row>
    <row r="46984" spans="7:7" ht="10.5" customHeight="1" x14ac:dyDescent="0.2">
      <c r="G46984" s="889"/>
    </row>
    <row r="46985" spans="7:7" ht="10.5" customHeight="1" x14ac:dyDescent="0.2">
      <c r="G46985" s="889"/>
    </row>
    <row r="46986" spans="7:7" ht="10.5" customHeight="1" x14ac:dyDescent="0.2">
      <c r="G46986" s="889"/>
    </row>
    <row r="46987" spans="7:7" ht="10.5" customHeight="1" x14ac:dyDescent="0.2">
      <c r="G46987" s="889"/>
    </row>
    <row r="46988" spans="7:7" ht="10.5" customHeight="1" x14ac:dyDescent="0.2">
      <c r="G46988" s="889"/>
    </row>
    <row r="46989" spans="7:7" ht="10.5" customHeight="1" x14ac:dyDescent="0.2">
      <c r="G46989" s="889"/>
    </row>
    <row r="46990" spans="7:7" ht="10.5" customHeight="1" x14ac:dyDescent="0.2">
      <c r="G46990" s="889"/>
    </row>
    <row r="46991" spans="7:7" ht="10.5" customHeight="1" x14ac:dyDescent="0.2">
      <c r="G46991" s="889"/>
    </row>
    <row r="46992" spans="7:7" ht="10.5" customHeight="1" x14ac:dyDescent="0.2">
      <c r="G46992" s="889"/>
    </row>
    <row r="46993" spans="7:7" ht="10.5" customHeight="1" x14ac:dyDescent="0.2">
      <c r="G46993" s="889"/>
    </row>
    <row r="46994" spans="7:7" ht="10.5" customHeight="1" x14ac:dyDescent="0.2">
      <c r="G46994" s="889"/>
    </row>
    <row r="46995" spans="7:7" ht="10.5" customHeight="1" x14ac:dyDescent="0.2">
      <c r="G46995" s="889"/>
    </row>
    <row r="46996" spans="7:7" ht="10.5" customHeight="1" x14ac:dyDescent="0.2">
      <c r="G46996" s="889"/>
    </row>
    <row r="46997" spans="7:7" ht="10.5" customHeight="1" x14ac:dyDescent="0.2">
      <c r="G46997" s="889"/>
    </row>
    <row r="46998" spans="7:7" ht="10.5" customHeight="1" x14ac:dyDescent="0.2">
      <c r="G46998" s="889"/>
    </row>
    <row r="46999" spans="7:7" ht="10.5" customHeight="1" x14ac:dyDescent="0.2">
      <c r="G46999" s="889"/>
    </row>
    <row r="47000" spans="7:7" ht="10.5" customHeight="1" x14ac:dyDescent="0.2">
      <c r="G47000" s="889"/>
    </row>
    <row r="47001" spans="7:7" ht="10.5" customHeight="1" x14ac:dyDescent="0.2">
      <c r="G47001" s="889"/>
    </row>
    <row r="47002" spans="7:7" ht="10.5" customHeight="1" x14ac:dyDescent="0.2">
      <c r="G47002" s="889"/>
    </row>
    <row r="47003" spans="7:7" ht="10.5" customHeight="1" x14ac:dyDescent="0.2">
      <c r="G47003" s="889"/>
    </row>
    <row r="47004" spans="7:7" ht="10.5" customHeight="1" x14ac:dyDescent="0.2">
      <c r="G47004" s="889"/>
    </row>
    <row r="47005" spans="7:7" ht="10.5" customHeight="1" x14ac:dyDescent="0.2">
      <c r="G47005" s="889"/>
    </row>
    <row r="47006" spans="7:7" ht="10.5" customHeight="1" x14ac:dyDescent="0.2">
      <c r="G47006" s="889"/>
    </row>
    <row r="47007" spans="7:7" ht="10.5" customHeight="1" x14ac:dyDescent="0.2">
      <c r="G47007" s="889"/>
    </row>
    <row r="47008" spans="7:7" ht="10.5" customHeight="1" x14ac:dyDescent="0.2">
      <c r="G47008" s="889"/>
    </row>
    <row r="47009" spans="7:7" ht="10.5" customHeight="1" x14ac:dyDescent="0.2">
      <c r="G47009" s="889"/>
    </row>
    <row r="47010" spans="7:7" ht="10.5" customHeight="1" x14ac:dyDescent="0.2">
      <c r="G47010" s="889"/>
    </row>
    <row r="47011" spans="7:7" ht="10.5" customHeight="1" x14ac:dyDescent="0.2">
      <c r="G47011" s="889"/>
    </row>
    <row r="47012" spans="7:7" ht="10.5" customHeight="1" x14ac:dyDescent="0.2">
      <c r="G47012" s="889"/>
    </row>
    <row r="47013" spans="7:7" ht="10.5" customHeight="1" x14ac:dyDescent="0.2">
      <c r="G47013" s="889"/>
    </row>
    <row r="47014" spans="7:7" ht="10.5" customHeight="1" x14ac:dyDescent="0.2">
      <c r="G47014" s="889"/>
    </row>
    <row r="47015" spans="7:7" ht="10.5" customHeight="1" x14ac:dyDescent="0.2">
      <c r="G47015" s="889"/>
    </row>
    <row r="47016" spans="7:7" ht="10.5" customHeight="1" x14ac:dyDescent="0.2">
      <c r="G47016" s="889"/>
    </row>
    <row r="47017" spans="7:7" ht="10.5" customHeight="1" x14ac:dyDescent="0.2">
      <c r="G47017" s="889"/>
    </row>
    <row r="47018" spans="7:7" ht="10.5" customHeight="1" x14ac:dyDescent="0.2">
      <c r="G47018" s="889"/>
    </row>
    <row r="47019" spans="7:7" ht="10.5" customHeight="1" x14ac:dyDescent="0.2">
      <c r="G47019" s="889"/>
    </row>
    <row r="47020" spans="7:7" ht="10.5" customHeight="1" x14ac:dyDescent="0.2">
      <c r="G47020" s="889"/>
    </row>
    <row r="47021" spans="7:7" ht="10.5" customHeight="1" x14ac:dyDescent="0.2">
      <c r="G47021" s="889"/>
    </row>
    <row r="47022" spans="7:7" ht="10.5" customHeight="1" x14ac:dyDescent="0.2">
      <c r="G47022" s="889"/>
    </row>
    <row r="47023" spans="7:7" ht="10.5" customHeight="1" x14ac:dyDescent="0.2">
      <c r="G47023" s="889"/>
    </row>
    <row r="47024" spans="7:7" ht="10.5" customHeight="1" x14ac:dyDescent="0.2">
      <c r="G47024" s="889"/>
    </row>
    <row r="47025" spans="7:7" ht="10.5" customHeight="1" x14ac:dyDescent="0.2">
      <c r="G47025" s="889"/>
    </row>
    <row r="47026" spans="7:7" ht="10.5" customHeight="1" x14ac:dyDescent="0.2">
      <c r="G47026" s="889"/>
    </row>
    <row r="47027" spans="7:7" ht="10.5" customHeight="1" x14ac:dyDescent="0.2">
      <c r="G47027" s="889"/>
    </row>
    <row r="47028" spans="7:7" ht="10.5" customHeight="1" x14ac:dyDescent="0.2">
      <c r="G47028" s="889"/>
    </row>
    <row r="47029" spans="7:7" ht="10.5" customHeight="1" x14ac:dyDescent="0.2">
      <c r="G47029" s="889"/>
    </row>
    <row r="47030" spans="7:7" ht="10.5" customHeight="1" x14ac:dyDescent="0.2">
      <c r="G47030" s="889"/>
    </row>
    <row r="47031" spans="7:7" ht="10.5" customHeight="1" x14ac:dyDescent="0.2">
      <c r="G47031" s="889"/>
    </row>
    <row r="47032" spans="7:7" ht="10.5" customHeight="1" x14ac:dyDescent="0.2">
      <c r="G47032" s="889"/>
    </row>
    <row r="47033" spans="7:7" ht="10.5" customHeight="1" x14ac:dyDescent="0.2">
      <c r="G47033" s="889"/>
    </row>
    <row r="47034" spans="7:7" ht="10.5" customHeight="1" x14ac:dyDescent="0.2">
      <c r="G47034" s="889"/>
    </row>
    <row r="47035" spans="7:7" ht="10.5" customHeight="1" x14ac:dyDescent="0.2">
      <c r="G47035" s="889"/>
    </row>
    <row r="47036" spans="7:7" ht="10.5" customHeight="1" x14ac:dyDescent="0.2">
      <c r="G47036" s="889"/>
    </row>
    <row r="47037" spans="7:7" ht="10.5" customHeight="1" x14ac:dyDescent="0.2">
      <c r="G47037" s="889"/>
    </row>
    <row r="47038" spans="7:7" ht="10.5" customHeight="1" x14ac:dyDescent="0.2">
      <c r="G47038" s="889"/>
    </row>
    <row r="47039" spans="7:7" ht="10.5" customHeight="1" x14ac:dyDescent="0.2">
      <c r="G47039" s="889"/>
    </row>
    <row r="47040" spans="7:7" ht="10.5" customHeight="1" x14ac:dyDescent="0.2">
      <c r="G47040" s="889"/>
    </row>
    <row r="47041" spans="7:7" ht="10.5" customHeight="1" x14ac:dyDescent="0.2">
      <c r="G47041" s="889"/>
    </row>
    <row r="47042" spans="7:7" ht="10.5" customHeight="1" x14ac:dyDescent="0.2">
      <c r="G47042" s="889"/>
    </row>
    <row r="47043" spans="7:7" ht="10.5" customHeight="1" x14ac:dyDescent="0.2">
      <c r="G47043" s="889"/>
    </row>
    <row r="47044" spans="7:7" ht="10.5" customHeight="1" x14ac:dyDescent="0.2">
      <c r="G47044" s="889"/>
    </row>
    <row r="47045" spans="7:7" ht="10.5" customHeight="1" x14ac:dyDescent="0.2">
      <c r="G47045" s="889"/>
    </row>
    <row r="47046" spans="7:7" ht="10.5" customHeight="1" x14ac:dyDescent="0.2">
      <c r="G47046" s="889"/>
    </row>
    <row r="47047" spans="7:7" ht="10.5" customHeight="1" x14ac:dyDescent="0.2">
      <c r="G47047" s="889"/>
    </row>
    <row r="47048" spans="7:7" ht="10.5" customHeight="1" x14ac:dyDescent="0.2">
      <c r="G47048" s="889"/>
    </row>
    <row r="47049" spans="7:7" ht="10.5" customHeight="1" x14ac:dyDescent="0.2">
      <c r="G47049" s="889"/>
    </row>
    <row r="47050" spans="7:7" ht="10.5" customHeight="1" x14ac:dyDescent="0.2">
      <c r="G47050" s="889"/>
    </row>
    <row r="47051" spans="7:7" ht="10.5" customHeight="1" x14ac:dyDescent="0.2">
      <c r="G47051" s="889"/>
    </row>
    <row r="47052" spans="7:7" ht="10.5" customHeight="1" x14ac:dyDescent="0.2">
      <c r="G47052" s="889"/>
    </row>
    <row r="47053" spans="7:7" ht="10.5" customHeight="1" x14ac:dyDescent="0.2">
      <c r="G47053" s="889"/>
    </row>
    <row r="47054" spans="7:7" ht="10.5" customHeight="1" x14ac:dyDescent="0.2">
      <c r="G47054" s="889"/>
    </row>
    <row r="47055" spans="7:7" ht="10.5" customHeight="1" x14ac:dyDescent="0.2">
      <c r="G47055" s="889"/>
    </row>
    <row r="47056" spans="7:7" ht="10.5" customHeight="1" x14ac:dyDescent="0.2">
      <c r="G47056" s="889"/>
    </row>
    <row r="47057" spans="7:7" ht="10.5" customHeight="1" x14ac:dyDescent="0.2">
      <c r="G47057" s="889"/>
    </row>
    <row r="47058" spans="7:7" ht="10.5" customHeight="1" x14ac:dyDescent="0.2">
      <c r="G47058" s="889"/>
    </row>
    <row r="47059" spans="7:7" ht="10.5" customHeight="1" x14ac:dyDescent="0.2">
      <c r="G47059" s="889"/>
    </row>
    <row r="47060" spans="7:7" ht="10.5" customHeight="1" x14ac:dyDescent="0.2">
      <c r="G47060" s="889"/>
    </row>
    <row r="47061" spans="7:7" ht="10.5" customHeight="1" x14ac:dyDescent="0.2">
      <c r="G47061" s="889"/>
    </row>
    <row r="47062" spans="7:7" ht="10.5" customHeight="1" x14ac:dyDescent="0.2">
      <c r="G47062" s="889"/>
    </row>
    <row r="47063" spans="7:7" ht="10.5" customHeight="1" x14ac:dyDescent="0.2">
      <c r="G47063" s="889"/>
    </row>
    <row r="47064" spans="7:7" ht="10.5" customHeight="1" x14ac:dyDescent="0.2">
      <c r="G47064" s="889"/>
    </row>
    <row r="47065" spans="7:7" ht="10.5" customHeight="1" x14ac:dyDescent="0.2">
      <c r="G47065" s="889"/>
    </row>
    <row r="47066" spans="7:7" ht="10.5" customHeight="1" x14ac:dyDescent="0.2">
      <c r="G47066" s="889"/>
    </row>
    <row r="47067" spans="7:7" ht="10.5" customHeight="1" x14ac:dyDescent="0.2">
      <c r="G47067" s="889"/>
    </row>
    <row r="47068" spans="7:7" ht="10.5" customHeight="1" x14ac:dyDescent="0.2">
      <c r="G47068" s="889"/>
    </row>
    <row r="47069" spans="7:7" ht="10.5" customHeight="1" x14ac:dyDescent="0.2">
      <c r="G47069" s="889"/>
    </row>
    <row r="47070" spans="7:7" ht="10.5" customHeight="1" x14ac:dyDescent="0.2">
      <c r="G47070" s="889"/>
    </row>
    <row r="47071" spans="7:7" ht="10.5" customHeight="1" x14ac:dyDescent="0.2">
      <c r="G47071" s="889"/>
    </row>
    <row r="47072" spans="7:7" ht="10.5" customHeight="1" x14ac:dyDescent="0.2">
      <c r="G47072" s="889"/>
    </row>
    <row r="47073" spans="7:7" ht="10.5" customHeight="1" x14ac:dyDescent="0.2">
      <c r="G47073" s="889"/>
    </row>
    <row r="47074" spans="7:7" ht="10.5" customHeight="1" x14ac:dyDescent="0.2">
      <c r="G47074" s="889"/>
    </row>
    <row r="47075" spans="7:7" ht="10.5" customHeight="1" x14ac:dyDescent="0.2">
      <c r="G47075" s="889"/>
    </row>
    <row r="47076" spans="7:7" ht="10.5" customHeight="1" x14ac:dyDescent="0.2">
      <c r="G47076" s="889"/>
    </row>
    <row r="47077" spans="7:7" ht="10.5" customHeight="1" x14ac:dyDescent="0.2">
      <c r="G47077" s="889"/>
    </row>
    <row r="47078" spans="7:7" ht="10.5" customHeight="1" x14ac:dyDescent="0.2">
      <c r="G47078" s="889"/>
    </row>
    <row r="47079" spans="7:7" ht="10.5" customHeight="1" x14ac:dyDescent="0.2">
      <c r="G47079" s="889"/>
    </row>
    <row r="47080" spans="7:7" ht="10.5" customHeight="1" x14ac:dyDescent="0.2">
      <c r="G47080" s="889"/>
    </row>
    <row r="47081" spans="7:7" ht="10.5" customHeight="1" x14ac:dyDescent="0.2">
      <c r="G47081" s="889"/>
    </row>
    <row r="47082" spans="7:7" ht="10.5" customHeight="1" x14ac:dyDescent="0.2">
      <c r="G47082" s="889"/>
    </row>
    <row r="47083" spans="7:7" ht="10.5" customHeight="1" x14ac:dyDescent="0.2">
      <c r="G47083" s="889"/>
    </row>
    <row r="47084" spans="7:7" ht="10.5" customHeight="1" x14ac:dyDescent="0.2">
      <c r="G47084" s="889"/>
    </row>
    <row r="47085" spans="7:7" ht="10.5" customHeight="1" x14ac:dyDescent="0.2">
      <c r="G47085" s="889"/>
    </row>
    <row r="47086" spans="7:7" ht="10.5" customHeight="1" x14ac:dyDescent="0.2">
      <c r="G47086" s="889"/>
    </row>
    <row r="47087" spans="7:7" ht="10.5" customHeight="1" x14ac:dyDescent="0.2">
      <c r="G47087" s="889"/>
    </row>
    <row r="47088" spans="7:7" ht="10.5" customHeight="1" x14ac:dyDescent="0.2">
      <c r="G47088" s="889"/>
    </row>
    <row r="47089" spans="7:7" ht="10.5" customHeight="1" x14ac:dyDescent="0.2">
      <c r="G47089" s="889"/>
    </row>
    <row r="47090" spans="7:7" ht="10.5" customHeight="1" x14ac:dyDescent="0.2">
      <c r="G47090" s="889"/>
    </row>
    <row r="47091" spans="7:7" ht="10.5" customHeight="1" x14ac:dyDescent="0.2">
      <c r="G47091" s="889"/>
    </row>
    <row r="47092" spans="7:7" ht="10.5" customHeight="1" x14ac:dyDescent="0.2">
      <c r="G47092" s="889"/>
    </row>
    <row r="47093" spans="7:7" ht="10.5" customHeight="1" x14ac:dyDescent="0.2">
      <c r="G47093" s="889"/>
    </row>
    <row r="47094" spans="7:7" ht="10.5" customHeight="1" x14ac:dyDescent="0.2">
      <c r="G47094" s="889"/>
    </row>
    <row r="47095" spans="7:7" ht="10.5" customHeight="1" x14ac:dyDescent="0.2">
      <c r="G47095" s="889"/>
    </row>
    <row r="47096" spans="7:7" ht="10.5" customHeight="1" x14ac:dyDescent="0.2">
      <c r="G47096" s="889"/>
    </row>
    <row r="47097" spans="7:7" ht="10.5" customHeight="1" x14ac:dyDescent="0.2">
      <c r="G47097" s="889"/>
    </row>
    <row r="47098" spans="7:7" ht="10.5" customHeight="1" x14ac:dyDescent="0.2">
      <c r="G47098" s="889"/>
    </row>
    <row r="47099" spans="7:7" ht="10.5" customHeight="1" x14ac:dyDescent="0.2">
      <c r="G47099" s="889"/>
    </row>
    <row r="47100" spans="7:7" ht="10.5" customHeight="1" x14ac:dyDescent="0.2">
      <c r="G47100" s="889"/>
    </row>
    <row r="47101" spans="7:7" ht="10.5" customHeight="1" x14ac:dyDescent="0.2">
      <c r="G47101" s="889"/>
    </row>
    <row r="47102" spans="7:7" ht="10.5" customHeight="1" x14ac:dyDescent="0.2">
      <c r="G47102" s="889"/>
    </row>
    <row r="47103" spans="7:7" ht="10.5" customHeight="1" x14ac:dyDescent="0.2">
      <c r="G47103" s="889"/>
    </row>
    <row r="47104" spans="7:7" ht="10.5" customHeight="1" x14ac:dyDescent="0.2">
      <c r="G47104" s="889"/>
    </row>
    <row r="47105" spans="7:7" ht="10.5" customHeight="1" x14ac:dyDescent="0.2">
      <c r="G47105" s="889"/>
    </row>
    <row r="47106" spans="7:7" ht="10.5" customHeight="1" x14ac:dyDescent="0.2">
      <c r="G47106" s="889"/>
    </row>
    <row r="47107" spans="7:7" ht="10.5" customHeight="1" x14ac:dyDescent="0.2">
      <c r="G47107" s="889"/>
    </row>
    <row r="47108" spans="7:7" ht="10.5" customHeight="1" x14ac:dyDescent="0.2">
      <c r="G47108" s="889"/>
    </row>
    <row r="47109" spans="7:7" ht="10.5" customHeight="1" x14ac:dyDescent="0.2">
      <c r="G47109" s="889"/>
    </row>
    <row r="47110" spans="7:7" ht="10.5" customHeight="1" x14ac:dyDescent="0.2">
      <c r="G47110" s="889"/>
    </row>
    <row r="47111" spans="7:7" ht="10.5" customHeight="1" x14ac:dyDescent="0.2">
      <c r="G47111" s="889"/>
    </row>
    <row r="47112" spans="7:7" ht="10.5" customHeight="1" x14ac:dyDescent="0.2">
      <c r="G47112" s="889"/>
    </row>
    <row r="47113" spans="7:7" ht="10.5" customHeight="1" x14ac:dyDescent="0.2">
      <c r="G47113" s="889"/>
    </row>
    <row r="47114" spans="7:7" ht="10.5" customHeight="1" x14ac:dyDescent="0.2">
      <c r="G47114" s="889"/>
    </row>
    <row r="47115" spans="7:7" ht="10.5" customHeight="1" x14ac:dyDescent="0.2">
      <c r="G47115" s="889"/>
    </row>
    <row r="47116" spans="7:7" ht="10.5" customHeight="1" x14ac:dyDescent="0.2">
      <c r="G47116" s="889"/>
    </row>
    <row r="47117" spans="7:7" ht="10.5" customHeight="1" x14ac:dyDescent="0.2">
      <c r="G47117" s="889"/>
    </row>
    <row r="47118" spans="7:7" ht="10.5" customHeight="1" x14ac:dyDescent="0.2">
      <c r="G47118" s="889"/>
    </row>
    <row r="47119" spans="7:7" ht="10.5" customHeight="1" x14ac:dyDescent="0.2">
      <c r="G47119" s="889"/>
    </row>
    <row r="47120" spans="7:7" ht="10.5" customHeight="1" x14ac:dyDescent="0.2">
      <c r="G47120" s="889"/>
    </row>
    <row r="47121" spans="7:7" ht="10.5" customHeight="1" x14ac:dyDescent="0.2">
      <c r="G47121" s="889"/>
    </row>
    <row r="47122" spans="7:7" ht="10.5" customHeight="1" x14ac:dyDescent="0.2">
      <c r="G47122" s="889"/>
    </row>
    <row r="47123" spans="7:7" ht="10.5" customHeight="1" x14ac:dyDescent="0.2">
      <c r="G47123" s="889"/>
    </row>
    <row r="47124" spans="7:7" ht="10.5" customHeight="1" x14ac:dyDescent="0.2">
      <c r="G47124" s="889"/>
    </row>
    <row r="47125" spans="7:7" ht="10.5" customHeight="1" x14ac:dyDescent="0.2">
      <c r="G47125" s="889"/>
    </row>
    <row r="47126" spans="7:7" ht="10.5" customHeight="1" x14ac:dyDescent="0.2">
      <c r="G47126" s="889"/>
    </row>
    <row r="47127" spans="7:7" ht="10.5" customHeight="1" x14ac:dyDescent="0.2">
      <c r="G47127" s="889"/>
    </row>
    <row r="47128" spans="7:7" ht="10.5" customHeight="1" x14ac:dyDescent="0.2">
      <c r="G47128" s="889"/>
    </row>
    <row r="47129" spans="7:7" ht="10.5" customHeight="1" x14ac:dyDescent="0.2">
      <c r="G47129" s="889"/>
    </row>
    <row r="47130" spans="7:7" ht="10.5" customHeight="1" x14ac:dyDescent="0.2">
      <c r="G47130" s="889"/>
    </row>
    <row r="47131" spans="7:7" ht="10.5" customHeight="1" x14ac:dyDescent="0.2">
      <c r="G47131" s="889"/>
    </row>
    <row r="47132" spans="7:7" ht="10.5" customHeight="1" x14ac:dyDescent="0.2">
      <c r="G47132" s="889"/>
    </row>
    <row r="47133" spans="7:7" ht="10.5" customHeight="1" x14ac:dyDescent="0.2">
      <c r="G47133" s="889"/>
    </row>
    <row r="47134" spans="7:7" ht="10.5" customHeight="1" x14ac:dyDescent="0.2">
      <c r="G47134" s="889"/>
    </row>
    <row r="47135" spans="7:7" ht="10.5" customHeight="1" x14ac:dyDescent="0.2">
      <c r="G47135" s="889"/>
    </row>
    <row r="47136" spans="7:7" ht="10.5" customHeight="1" x14ac:dyDescent="0.2">
      <c r="G47136" s="889"/>
    </row>
    <row r="47137" spans="7:7" ht="10.5" customHeight="1" x14ac:dyDescent="0.2">
      <c r="G47137" s="889"/>
    </row>
    <row r="47138" spans="7:7" ht="10.5" customHeight="1" x14ac:dyDescent="0.2">
      <c r="G47138" s="889"/>
    </row>
    <row r="47139" spans="7:7" ht="10.5" customHeight="1" x14ac:dyDescent="0.2">
      <c r="G47139" s="889"/>
    </row>
    <row r="47140" spans="7:7" ht="10.5" customHeight="1" x14ac:dyDescent="0.2">
      <c r="G47140" s="889"/>
    </row>
    <row r="47141" spans="7:7" ht="10.5" customHeight="1" x14ac:dyDescent="0.2">
      <c r="G47141" s="889"/>
    </row>
    <row r="47142" spans="7:7" ht="10.5" customHeight="1" x14ac:dyDescent="0.2">
      <c r="G47142" s="889"/>
    </row>
    <row r="47143" spans="7:7" ht="10.5" customHeight="1" x14ac:dyDescent="0.2">
      <c r="G47143" s="889"/>
    </row>
    <row r="47144" spans="7:7" ht="10.5" customHeight="1" x14ac:dyDescent="0.2">
      <c r="G47144" s="889"/>
    </row>
    <row r="47145" spans="7:7" ht="10.5" customHeight="1" x14ac:dyDescent="0.2">
      <c r="G47145" s="889"/>
    </row>
    <row r="47146" spans="7:7" ht="10.5" customHeight="1" x14ac:dyDescent="0.2">
      <c r="G47146" s="889"/>
    </row>
    <row r="47147" spans="7:7" ht="10.5" customHeight="1" x14ac:dyDescent="0.2">
      <c r="G47147" s="889"/>
    </row>
    <row r="47148" spans="7:7" ht="10.5" customHeight="1" x14ac:dyDescent="0.2">
      <c r="G47148" s="889"/>
    </row>
    <row r="47149" spans="7:7" ht="10.5" customHeight="1" x14ac:dyDescent="0.2">
      <c r="G47149" s="889"/>
    </row>
    <row r="47150" spans="7:7" ht="10.5" customHeight="1" x14ac:dyDescent="0.2">
      <c r="G47150" s="889"/>
    </row>
    <row r="47151" spans="7:7" ht="10.5" customHeight="1" x14ac:dyDescent="0.2">
      <c r="G47151" s="889"/>
    </row>
    <row r="47152" spans="7:7" ht="10.5" customHeight="1" x14ac:dyDescent="0.2">
      <c r="G47152" s="889"/>
    </row>
    <row r="47153" spans="7:7" ht="10.5" customHeight="1" x14ac:dyDescent="0.2">
      <c r="G47153" s="889"/>
    </row>
    <row r="47154" spans="7:7" ht="10.5" customHeight="1" x14ac:dyDescent="0.2">
      <c r="G47154" s="889"/>
    </row>
    <row r="47155" spans="7:7" ht="10.5" customHeight="1" x14ac:dyDescent="0.2">
      <c r="G47155" s="889"/>
    </row>
    <row r="47156" spans="7:7" ht="10.5" customHeight="1" x14ac:dyDescent="0.2">
      <c r="G47156" s="889"/>
    </row>
    <row r="47157" spans="7:7" ht="10.5" customHeight="1" x14ac:dyDescent="0.2">
      <c r="G47157" s="889"/>
    </row>
    <row r="47158" spans="7:7" ht="10.5" customHeight="1" x14ac:dyDescent="0.2">
      <c r="G47158" s="889"/>
    </row>
    <row r="47159" spans="7:7" ht="10.5" customHeight="1" x14ac:dyDescent="0.2">
      <c r="G47159" s="889"/>
    </row>
    <row r="47160" spans="7:7" ht="10.5" customHeight="1" x14ac:dyDescent="0.2">
      <c r="G47160" s="889"/>
    </row>
    <row r="47161" spans="7:7" ht="10.5" customHeight="1" x14ac:dyDescent="0.2">
      <c r="G47161" s="889"/>
    </row>
    <row r="47162" spans="7:7" ht="10.5" customHeight="1" x14ac:dyDescent="0.2">
      <c r="G47162" s="889"/>
    </row>
    <row r="47163" spans="7:7" ht="10.5" customHeight="1" x14ac:dyDescent="0.2">
      <c r="G47163" s="889"/>
    </row>
    <row r="47164" spans="7:7" ht="10.5" customHeight="1" x14ac:dyDescent="0.2">
      <c r="G47164" s="889"/>
    </row>
    <row r="47165" spans="7:7" ht="10.5" customHeight="1" x14ac:dyDescent="0.2">
      <c r="G47165" s="889"/>
    </row>
    <row r="47166" spans="7:7" ht="10.5" customHeight="1" x14ac:dyDescent="0.2">
      <c r="G47166" s="889"/>
    </row>
    <row r="47167" spans="7:7" ht="10.5" customHeight="1" x14ac:dyDescent="0.2">
      <c r="G47167" s="889"/>
    </row>
    <row r="47168" spans="7:7" ht="10.5" customHeight="1" x14ac:dyDescent="0.2">
      <c r="G47168" s="889"/>
    </row>
    <row r="47169" spans="7:7" ht="10.5" customHeight="1" x14ac:dyDescent="0.2">
      <c r="G47169" s="889"/>
    </row>
    <row r="47170" spans="7:7" ht="10.5" customHeight="1" x14ac:dyDescent="0.2">
      <c r="G47170" s="889"/>
    </row>
    <row r="47171" spans="7:7" ht="10.5" customHeight="1" x14ac:dyDescent="0.2">
      <c r="G47171" s="889"/>
    </row>
    <row r="47172" spans="7:7" ht="10.5" customHeight="1" x14ac:dyDescent="0.2">
      <c r="G47172" s="889"/>
    </row>
    <row r="47173" spans="7:7" ht="10.5" customHeight="1" x14ac:dyDescent="0.2">
      <c r="G47173" s="889"/>
    </row>
    <row r="47174" spans="7:7" ht="10.5" customHeight="1" x14ac:dyDescent="0.2">
      <c r="G47174" s="889"/>
    </row>
    <row r="47175" spans="7:7" ht="10.5" customHeight="1" x14ac:dyDescent="0.2">
      <c r="G47175" s="889"/>
    </row>
    <row r="47176" spans="7:7" ht="10.5" customHeight="1" x14ac:dyDescent="0.2">
      <c r="G47176" s="889"/>
    </row>
    <row r="47177" spans="7:7" ht="10.5" customHeight="1" x14ac:dyDescent="0.2">
      <c r="G47177" s="889"/>
    </row>
    <row r="47178" spans="7:7" ht="10.5" customHeight="1" x14ac:dyDescent="0.2">
      <c r="G47178" s="889"/>
    </row>
    <row r="47179" spans="7:7" ht="10.5" customHeight="1" x14ac:dyDescent="0.2">
      <c r="G47179" s="889"/>
    </row>
    <row r="47180" spans="7:7" ht="10.5" customHeight="1" x14ac:dyDescent="0.2">
      <c r="G47180" s="889"/>
    </row>
    <row r="47181" spans="7:7" ht="10.5" customHeight="1" x14ac:dyDescent="0.2">
      <c r="G47181" s="889"/>
    </row>
    <row r="47182" spans="7:7" ht="10.5" customHeight="1" x14ac:dyDescent="0.2">
      <c r="G47182" s="889"/>
    </row>
    <row r="47183" spans="7:7" ht="10.5" customHeight="1" x14ac:dyDescent="0.2">
      <c r="G47183" s="889"/>
    </row>
    <row r="47184" spans="7:7" ht="10.5" customHeight="1" x14ac:dyDescent="0.2">
      <c r="G47184" s="889"/>
    </row>
    <row r="47185" spans="7:7" ht="10.5" customHeight="1" x14ac:dyDescent="0.2">
      <c r="G47185" s="889"/>
    </row>
    <row r="47186" spans="7:7" ht="10.5" customHeight="1" x14ac:dyDescent="0.2">
      <c r="G47186" s="889"/>
    </row>
    <row r="47187" spans="7:7" ht="10.5" customHeight="1" x14ac:dyDescent="0.2">
      <c r="G47187" s="889"/>
    </row>
    <row r="47188" spans="7:7" ht="10.5" customHeight="1" x14ac:dyDescent="0.2">
      <c r="G47188" s="889"/>
    </row>
    <row r="47189" spans="7:7" ht="10.5" customHeight="1" x14ac:dyDescent="0.2">
      <c r="G47189" s="889"/>
    </row>
    <row r="47190" spans="7:7" ht="10.5" customHeight="1" x14ac:dyDescent="0.2">
      <c r="G47190" s="889"/>
    </row>
    <row r="47191" spans="7:7" ht="10.5" customHeight="1" x14ac:dyDescent="0.2">
      <c r="G47191" s="889"/>
    </row>
    <row r="47192" spans="7:7" ht="10.5" customHeight="1" x14ac:dyDescent="0.2">
      <c r="G47192" s="889"/>
    </row>
    <row r="47193" spans="7:7" ht="10.5" customHeight="1" x14ac:dyDescent="0.2">
      <c r="G47193" s="889"/>
    </row>
    <row r="47194" spans="7:7" ht="10.5" customHeight="1" x14ac:dyDescent="0.2">
      <c r="G47194" s="889"/>
    </row>
    <row r="47195" spans="7:7" ht="10.5" customHeight="1" x14ac:dyDescent="0.2">
      <c r="G47195" s="889"/>
    </row>
    <row r="47196" spans="7:7" ht="10.5" customHeight="1" x14ac:dyDescent="0.2">
      <c r="G47196" s="889"/>
    </row>
    <row r="47197" spans="7:7" ht="10.5" customHeight="1" x14ac:dyDescent="0.2">
      <c r="G47197" s="889"/>
    </row>
    <row r="47198" spans="7:7" ht="10.5" customHeight="1" x14ac:dyDescent="0.2">
      <c r="G47198" s="889"/>
    </row>
    <row r="47199" spans="7:7" ht="10.5" customHeight="1" x14ac:dyDescent="0.2">
      <c r="G47199" s="889"/>
    </row>
    <row r="47200" spans="7:7" ht="10.5" customHeight="1" x14ac:dyDescent="0.2">
      <c r="G47200" s="889"/>
    </row>
    <row r="47201" spans="7:7" ht="10.5" customHeight="1" x14ac:dyDescent="0.2">
      <c r="G47201" s="889"/>
    </row>
    <row r="47202" spans="7:7" ht="10.5" customHeight="1" x14ac:dyDescent="0.2">
      <c r="G47202" s="889"/>
    </row>
    <row r="47203" spans="7:7" ht="10.5" customHeight="1" x14ac:dyDescent="0.2">
      <c r="G47203" s="889"/>
    </row>
    <row r="47204" spans="7:7" ht="10.5" customHeight="1" x14ac:dyDescent="0.2">
      <c r="G47204" s="889"/>
    </row>
    <row r="47205" spans="7:7" ht="10.5" customHeight="1" x14ac:dyDescent="0.2">
      <c r="G47205" s="889"/>
    </row>
    <row r="47206" spans="7:7" ht="10.5" customHeight="1" x14ac:dyDescent="0.2">
      <c r="G47206" s="889"/>
    </row>
    <row r="47207" spans="7:7" ht="10.5" customHeight="1" x14ac:dyDescent="0.2">
      <c r="G47207" s="889"/>
    </row>
    <row r="47208" spans="7:7" ht="10.5" customHeight="1" x14ac:dyDescent="0.2">
      <c r="G47208" s="889"/>
    </row>
    <row r="47209" spans="7:7" ht="10.5" customHeight="1" x14ac:dyDescent="0.2">
      <c r="G47209" s="889"/>
    </row>
    <row r="47210" spans="7:7" ht="10.5" customHeight="1" x14ac:dyDescent="0.2">
      <c r="G47210" s="889"/>
    </row>
    <row r="47211" spans="7:7" ht="10.5" customHeight="1" x14ac:dyDescent="0.2">
      <c r="G47211" s="889"/>
    </row>
    <row r="47212" spans="7:7" ht="10.5" customHeight="1" x14ac:dyDescent="0.2">
      <c r="G47212" s="889"/>
    </row>
    <row r="47213" spans="7:7" ht="10.5" customHeight="1" x14ac:dyDescent="0.2">
      <c r="G47213" s="889"/>
    </row>
    <row r="47214" spans="7:7" ht="10.5" customHeight="1" x14ac:dyDescent="0.2">
      <c r="G47214" s="889"/>
    </row>
    <row r="47215" spans="7:7" ht="10.5" customHeight="1" x14ac:dyDescent="0.2">
      <c r="G47215" s="889"/>
    </row>
    <row r="47216" spans="7:7" ht="10.5" customHeight="1" x14ac:dyDescent="0.2">
      <c r="G47216" s="889"/>
    </row>
    <row r="47217" spans="7:7" ht="10.5" customHeight="1" x14ac:dyDescent="0.2">
      <c r="G47217" s="889"/>
    </row>
    <row r="47218" spans="7:7" ht="10.5" customHeight="1" x14ac:dyDescent="0.2">
      <c r="G47218" s="889"/>
    </row>
    <row r="47219" spans="7:7" ht="10.5" customHeight="1" x14ac:dyDescent="0.2">
      <c r="G47219" s="889"/>
    </row>
    <row r="47220" spans="7:7" ht="10.5" customHeight="1" x14ac:dyDescent="0.2">
      <c r="G47220" s="889"/>
    </row>
    <row r="47221" spans="7:7" ht="10.5" customHeight="1" x14ac:dyDescent="0.2">
      <c r="G47221" s="889"/>
    </row>
    <row r="47222" spans="7:7" ht="10.5" customHeight="1" x14ac:dyDescent="0.2">
      <c r="G47222" s="889"/>
    </row>
    <row r="47223" spans="7:7" ht="10.5" customHeight="1" x14ac:dyDescent="0.2">
      <c r="G47223" s="889"/>
    </row>
    <row r="47224" spans="7:7" ht="10.5" customHeight="1" x14ac:dyDescent="0.2">
      <c r="G47224" s="889"/>
    </row>
    <row r="47225" spans="7:7" ht="10.5" customHeight="1" x14ac:dyDescent="0.2">
      <c r="G47225" s="889"/>
    </row>
    <row r="47226" spans="7:7" ht="10.5" customHeight="1" x14ac:dyDescent="0.2">
      <c r="G47226" s="889"/>
    </row>
    <row r="47227" spans="7:7" ht="10.5" customHeight="1" x14ac:dyDescent="0.2">
      <c r="G47227" s="889"/>
    </row>
    <row r="47228" spans="7:7" ht="10.5" customHeight="1" x14ac:dyDescent="0.2">
      <c r="G47228" s="889"/>
    </row>
    <row r="47229" spans="7:7" ht="10.5" customHeight="1" x14ac:dyDescent="0.2">
      <c r="G47229" s="889"/>
    </row>
    <row r="47230" spans="7:7" ht="10.5" customHeight="1" x14ac:dyDescent="0.2">
      <c r="G47230" s="889"/>
    </row>
    <row r="47231" spans="7:7" ht="10.5" customHeight="1" x14ac:dyDescent="0.2">
      <c r="G47231" s="889"/>
    </row>
    <row r="47232" spans="7:7" ht="10.5" customHeight="1" x14ac:dyDescent="0.2">
      <c r="G47232" s="889"/>
    </row>
    <row r="47233" spans="7:7" ht="10.5" customHeight="1" x14ac:dyDescent="0.2">
      <c r="G47233" s="889"/>
    </row>
    <row r="47234" spans="7:7" ht="10.5" customHeight="1" x14ac:dyDescent="0.2">
      <c r="G47234" s="889"/>
    </row>
    <row r="47235" spans="7:7" ht="10.5" customHeight="1" x14ac:dyDescent="0.2">
      <c r="G47235" s="889"/>
    </row>
    <row r="47236" spans="7:7" ht="10.5" customHeight="1" x14ac:dyDescent="0.2">
      <c r="G47236" s="889"/>
    </row>
    <row r="47237" spans="7:7" ht="10.5" customHeight="1" x14ac:dyDescent="0.2">
      <c r="G47237" s="889"/>
    </row>
    <row r="47238" spans="7:7" ht="10.5" customHeight="1" x14ac:dyDescent="0.2">
      <c r="G47238" s="889"/>
    </row>
    <row r="47239" spans="7:7" ht="10.5" customHeight="1" x14ac:dyDescent="0.2">
      <c r="G47239" s="889"/>
    </row>
    <row r="47240" spans="7:7" ht="10.5" customHeight="1" x14ac:dyDescent="0.2">
      <c r="G47240" s="889"/>
    </row>
    <row r="47241" spans="7:7" ht="10.5" customHeight="1" x14ac:dyDescent="0.2">
      <c r="G47241" s="889"/>
    </row>
    <row r="47242" spans="7:7" ht="10.5" customHeight="1" x14ac:dyDescent="0.2">
      <c r="G47242" s="889"/>
    </row>
    <row r="47243" spans="7:7" ht="10.5" customHeight="1" x14ac:dyDescent="0.2">
      <c r="G47243" s="889"/>
    </row>
    <row r="47244" spans="7:7" ht="10.5" customHeight="1" x14ac:dyDescent="0.2">
      <c r="G47244" s="889"/>
    </row>
    <row r="47245" spans="7:7" ht="10.5" customHeight="1" x14ac:dyDescent="0.2">
      <c r="G47245" s="889"/>
    </row>
    <row r="47246" spans="7:7" ht="10.5" customHeight="1" x14ac:dyDescent="0.2">
      <c r="G47246" s="889"/>
    </row>
    <row r="47247" spans="7:7" ht="10.5" customHeight="1" x14ac:dyDescent="0.2">
      <c r="G47247" s="889"/>
    </row>
    <row r="47248" spans="7:7" ht="10.5" customHeight="1" x14ac:dyDescent="0.2">
      <c r="G47248" s="889"/>
    </row>
    <row r="47249" spans="7:7" ht="10.5" customHeight="1" x14ac:dyDescent="0.2">
      <c r="G47249" s="889"/>
    </row>
    <row r="47250" spans="7:7" ht="10.5" customHeight="1" x14ac:dyDescent="0.2">
      <c r="G47250" s="889"/>
    </row>
    <row r="47251" spans="7:7" ht="10.5" customHeight="1" x14ac:dyDescent="0.2">
      <c r="G47251" s="889"/>
    </row>
    <row r="47252" spans="7:7" ht="10.5" customHeight="1" x14ac:dyDescent="0.2">
      <c r="G47252" s="889"/>
    </row>
    <row r="47253" spans="7:7" ht="10.5" customHeight="1" x14ac:dyDescent="0.2">
      <c r="G47253" s="889"/>
    </row>
    <row r="47254" spans="7:7" ht="10.5" customHeight="1" x14ac:dyDescent="0.2">
      <c r="G47254" s="889"/>
    </row>
    <row r="47255" spans="7:7" ht="10.5" customHeight="1" x14ac:dyDescent="0.2">
      <c r="G47255" s="889"/>
    </row>
    <row r="47256" spans="7:7" ht="10.5" customHeight="1" x14ac:dyDescent="0.2">
      <c r="G47256" s="889"/>
    </row>
    <row r="47257" spans="7:7" ht="10.5" customHeight="1" x14ac:dyDescent="0.2">
      <c r="G47257" s="889"/>
    </row>
    <row r="47258" spans="7:7" ht="10.5" customHeight="1" x14ac:dyDescent="0.2">
      <c r="G47258" s="889"/>
    </row>
    <row r="47259" spans="7:7" ht="10.5" customHeight="1" x14ac:dyDescent="0.2">
      <c r="G47259" s="889"/>
    </row>
    <row r="47260" spans="7:7" ht="10.5" customHeight="1" x14ac:dyDescent="0.2">
      <c r="G47260" s="889"/>
    </row>
    <row r="47261" spans="7:7" ht="10.5" customHeight="1" x14ac:dyDescent="0.2">
      <c r="G47261" s="889"/>
    </row>
    <row r="47262" spans="7:7" ht="10.5" customHeight="1" x14ac:dyDescent="0.2">
      <c r="G47262" s="889"/>
    </row>
    <row r="47263" spans="7:7" ht="10.5" customHeight="1" x14ac:dyDescent="0.2">
      <c r="G47263" s="889"/>
    </row>
    <row r="47264" spans="7:7" ht="10.5" customHeight="1" x14ac:dyDescent="0.2">
      <c r="G47264" s="889"/>
    </row>
    <row r="47265" spans="7:7" ht="10.5" customHeight="1" x14ac:dyDescent="0.2">
      <c r="G47265" s="889"/>
    </row>
    <row r="47266" spans="7:7" ht="10.5" customHeight="1" x14ac:dyDescent="0.2">
      <c r="G47266" s="889"/>
    </row>
    <row r="47267" spans="7:7" ht="10.5" customHeight="1" x14ac:dyDescent="0.2">
      <c r="G47267" s="889"/>
    </row>
    <row r="47268" spans="7:7" ht="10.5" customHeight="1" x14ac:dyDescent="0.2">
      <c r="G47268" s="889"/>
    </row>
    <row r="47269" spans="7:7" ht="10.5" customHeight="1" x14ac:dyDescent="0.2">
      <c r="G47269" s="889"/>
    </row>
    <row r="47270" spans="7:7" ht="10.5" customHeight="1" x14ac:dyDescent="0.2">
      <c r="G47270" s="889"/>
    </row>
    <row r="47271" spans="7:7" ht="10.5" customHeight="1" x14ac:dyDescent="0.2">
      <c r="G47271" s="889"/>
    </row>
    <row r="47272" spans="7:7" ht="10.5" customHeight="1" x14ac:dyDescent="0.2">
      <c r="G47272" s="889"/>
    </row>
    <row r="47273" spans="7:7" ht="10.5" customHeight="1" x14ac:dyDescent="0.2">
      <c r="G47273" s="889"/>
    </row>
    <row r="47274" spans="7:7" ht="10.5" customHeight="1" x14ac:dyDescent="0.2">
      <c r="G47274" s="889"/>
    </row>
    <row r="47275" spans="7:7" ht="10.5" customHeight="1" x14ac:dyDescent="0.2">
      <c r="G47275" s="889"/>
    </row>
    <row r="47276" spans="7:7" ht="10.5" customHeight="1" x14ac:dyDescent="0.2">
      <c r="G47276" s="889"/>
    </row>
    <row r="47277" spans="7:7" ht="10.5" customHeight="1" x14ac:dyDescent="0.2">
      <c r="G47277" s="889"/>
    </row>
    <row r="47278" spans="7:7" ht="10.5" customHeight="1" x14ac:dyDescent="0.2">
      <c r="G47278" s="889"/>
    </row>
    <row r="47279" spans="7:7" ht="10.5" customHeight="1" x14ac:dyDescent="0.2">
      <c r="G47279" s="889"/>
    </row>
    <row r="47280" spans="7:7" ht="10.5" customHeight="1" x14ac:dyDescent="0.2">
      <c r="G47280" s="889"/>
    </row>
    <row r="47281" spans="7:7" ht="10.5" customHeight="1" x14ac:dyDescent="0.2">
      <c r="G47281" s="889"/>
    </row>
    <row r="47282" spans="7:7" ht="10.5" customHeight="1" x14ac:dyDescent="0.2">
      <c r="G47282" s="889"/>
    </row>
    <row r="47283" spans="7:7" ht="10.5" customHeight="1" x14ac:dyDescent="0.2">
      <c r="G47283" s="889"/>
    </row>
    <row r="47284" spans="7:7" ht="10.5" customHeight="1" x14ac:dyDescent="0.2">
      <c r="G47284" s="889"/>
    </row>
    <row r="47285" spans="7:7" ht="10.5" customHeight="1" x14ac:dyDescent="0.2">
      <c r="G47285" s="889"/>
    </row>
    <row r="47286" spans="7:7" ht="10.5" customHeight="1" x14ac:dyDescent="0.2">
      <c r="G47286" s="889"/>
    </row>
    <row r="47287" spans="7:7" ht="10.5" customHeight="1" x14ac:dyDescent="0.2">
      <c r="G47287" s="889"/>
    </row>
    <row r="47288" spans="7:7" ht="10.5" customHeight="1" x14ac:dyDescent="0.2">
      <c r="G47288" s="889"/>
    </row>
    <row r="47289" spans="7:7" ht="10.5" customHeight="1" x14ac:dyDescent="0.2">
      <c r="G47289" s="889"/>
    </row>
    <row r="47290" spans="7:7" ht="10.5" customHeight="1" x14ac:dyDescent="0.2">
      <c r="G47290" s="889"/>
    </row>
    <row r="47291" spans="7:7" ht="10.5" customHeight="1" x14ac:dyDescent="0.2">
      <c r="G47291" s="889"/>
    </row>
    <row r="47292" spans="7:7" ht="10.5" customHeight="1" x14ac:dyDescent="0.2">
      <c r="G47292" s="889"/>
    </row>
    <row r="47293" spans="7:7" ht="10.5" customHeight="1" x14ac:dyDescent="0.2">
      <c r="G47293" s="889"/>
    </row>
    <row r="47294" spans="7:7" ht="10.5" customHeight="1" x14ac:dyDescent="0.2">
      <c r="G47294" s="889"/>
    </row>
    <row r="47295" spans="7:7" ht="10.5" customHeight="1" x14ac:dyDescent="0.2">
      <c r="G47295" s="889"/>
    </row>
    <row r="47296" spans="7:7" ht="10.5" customHeight="1" x14ac:dyDescent="0.2">
      <c r="G47296" s="889"/>
    </row>
    <row r="47297" spans="7:7" ht="10.5" customHeight="1" x14ac:dyDescent="0.2">
      <c r="G47297" s="889"/>
    </row>
    <row r="47298" spans="7:7" ht="10.5" customHeight="1" x14ac:dyDescent="0.2">
      <c r="G47298" s="889"/>
    </row>
    <row r="47299" spans="7:7" ht="10.5" customHeight="1" x14ac:dyDescent="0.2">
      <c r="G47299" s="889"/>
    </row>
    <row r="47300" spans="7:7" ht="10.5" customHeight="1" x14ac:dyDescent="0.2">
      <c r="G47300" s="889"/>
    </row>
    <row r="47301" spans="7:7" ht="10.5" customHeight="1" x14ac:dyDescent="0.2">
      <c r="G47301" s="889"/>
    </row>
    <row r="47302" spans="7:7" ht="10.5" customHeight="1" x14ac:dyDescent="0.2">
      <c r="G47302" s="889"/>
    </row>
    <row r="47303" spans="7:7" ht="10.5" customHeight="1" x14ac:dyDescent="0.2">
      <c r="G47303" s="889"/>
    </row>
    <row r="47304" spans="7:7" ht="10.5" customHeight="1" x14ac:dyDescent="0.2">
      <c r="G47304" s="889"/>
    </row>
    <row r="47305" spans="7:7" ht="10.5" customHeight="1" x14ac:dyDescent="0.2">
      <c r="G47305" s="889"/>
    </row>
    <row r="47306" spans="7:7" ht="10.5" customHeight="1" x14ac:dyDescent="0.2">
      <c r="G47306" s="889"/>
    </row>
    <row r="47307" spans="7:7" ht="10.5" customHeight="1" x14ac:dyDescent="0.2">
      <c r="G47307" s="889"/>
    </row>
    <row r="47308" spans="7:7" ht="10.5" customHeight="1" x14ac:dyDescent="0.2">
      <c r="G47308" s="889"/>
    </row>
    <row r="47309" spans="7:7" ht="10.5" customHeight="1" x14ac:dyDescent="0.2">
      <c r="G47309" s="889"/>
    </row>
    <row r="47310" spans="7:7" ht="10.5" customHeight="1" x14ac:dyDescent="0.2">
      <c r="G47310" s="889"/>
    </row>
    <row r="47311" spans="7:7" ht="10.5" customHeight="1" x14ac:dyDescent="0.2">
      <c r="G47311" s="889"/>
    </row>
    <row r="47312" spans="7:7" ht="10.5" customHeight="1" x14ac:dyDescent="0.2">
      <c r="G47312" s="889"/>
    </row>
    <row r="47313" spans="7:7" ht="10.5" customHeight="1" x14ac:dyDescent="0.2">
      <c r="G47313" s="889"/>
    </row>
    <row r="47314" spans="7:7" ht="10.5" customHeight="1" x14ac:dyDescent="0.2">
      <c r="G47314" s="889"/>
    </row>
    <row r="47315" spans="7:7" ht="10.5" customHeight="1" x14ac:dyDescent="0.2">
      <c r="G47315" s="889"/>
    </row>
    <row r="47316" spans="7:7" ht="10.5" customHeight="1" x14ac:dyDescent="0.2">
      <c r="G47316" s="889"/>
    </row>
    <row r="47317" spans="7:7" ht="10.5" customHeight="1" x14ac:dyDescent="0.2">
      <c r="G47317" s="889"/>
    </row>
    <row r="47318" spans="7:7" ht="10.5" customHeight="1" x14ac:dyDescent="0.2">
      <c r="G47318" s="889"/>
    </row>
    <row r="47319" spans="7:7" ht="10.5" customHeight="1" x14ac:dyDescent="0.2">
      <c r="G47319" s="889"/>
    </row>
    <row r="47320" spans="7:7" ht="10.5" customHeight="1" x14ac:dyDescent="0.2">
      <c r="G47320" s="889"/>
    </row>
    <row r="47321" spans="7:7" ht="10.5" customHeight="1" x14ac:dyDescent="0.2">
      <c r="G47321" s="889"/>
    </row>
    <row r="47322" spans="7:7" ht="10.5" customHeight="1" x14ac:dyDescent="0.2">
      <c r="G47322" s="889"/>
    </row>
    <row r="47323" spans="7:7" ht="10.5" customHeight="1" x14ac:dyDescent="0.2">
      <c r="G47323" s="889"/>
    </row>
    <row r="47324" spans="7:7" ht="10.5" customHeight="1" x14ac:dyDescent="0.2">
      <c r="G47324" s="889"/>
    </row>
    <row r="47325" spans="7:7" ht="10.5" customHeight="1" x14ac:dyDescent="0.2">
      <c r="G47325" s="889"/>
    </row>
    <row r="47326" spans="7:7" ht="10.5" customHeight="1" x14ac:dyDescent="0.2">
      <c r="G47326" s="889"/>
    </row>
    <row r="47327" spans="7:7" ht="10.5" customHeight="1" x14ac:dyDescent="0.2">
      <c r="G47327" s="889"/>
    </row>
    <row r="47328" spans="7:7" ht="10.5" customHeight="1" x14ac:dyDescent="0.2">
      <c r="G47328" s="889"/>
    </row>
    <row r="47329" spans="7:7" ht="10.5" customHeight="1" x14ac:dyDescent="0.2">
      <c r="G47329" s="889"/>
    </row>
    <row r="47330" spans="7:7" ht="10.5" customHeight="1" x14ac:dyDescent="0.2">
      <c r="G47330" s="889"/>
    </row>
    <row r="47331" spans="7:7" ht="10.5" customHeight="1" x14ac:dyDescent="0.2">
      <c r="G47331" s="889"/>
    </row>
    <row r="47332" spans="7:7" ht="10.5" customHeight="1" x14ac:dyDescent="0.2">
      <c r="G47332" s="889"/>
    </row>
    <row r="47333" spans="7:7" ht="10.5" customHeight="1" x14ac:dyDescent="0.2">
      <c r="G47333" s="889"/>
    </row>
    <row r="47334" spans="7:7" ht="10.5" customHeight="1" x14ac:dyDescent="0.2">
      <c r="G47334" s="889"/>
    </row>
    <row r="47335" spans="7:7" ht="10.5" customHeight="1" x14ac:dyDescent="0.2">
      <c r="G47335" s="889"/>
    </row>
    <row r="47336" spans="7:7" ht="10.5" customHeight="1" x14ac:dyDescent="0.2">
      <c r="G47336" s="889"/>
    </row>
    <row r="47337" spans="7:7" ht="10.5" customHeight="1" x14ac:dyDescent="0.2">
      <c r="G47337" s="889"/>
    </row>
    <row r="47338" spans="7:7" ht="10.5" customHeight="1" x14ac:dyDescent="0.2">
      <c r="G47338" s="889"/>
    </row>
    <row r="47339" spans="7:7" ht="10.5" customHeight="1" x14ac:dyDescent="0.2">
      <c r="G47339" s="889"/>
    </row>
    <row r="47340" spans="7:7" ht="10.5" customHeight="1" x14ac:dyDescent="0.2">
      <c r="G47340" s="889"/>
    </row>
    <row r="47341" spans="7:7" ht="10.5" customHeight="1" x14ac:dyDescent="0.2">
      <c r="G47341" s="889"/>
    </row>
    <row r="47342" spans="7:7" ht="10.5" customHeight="1" x14ac:dyDescent="0.2">
      <c r="G47342" s="889"/>
    </row>
    <row r="47343" spans="7:7" ht="10.5" customHeight="1" x14ac:dyDescent="0.2">
      <c r="G47343" s="889"/>
    </row>
    <row r="47344" spans="7:7" ht="10.5" customHeight="1" x14ac:dyDescent="0.2">
      <c r="G47344" s="889"/>
    </row>
    <row r="47345" spans="7:7" ht="10.5" customHeight="1" x14ac:dyDescent="0.2">
      <c r="G47345" s="889"/>
    </row>
    <row r="47346" spans="7:7" ht="10.5" customHeight="1" x14ac:dyDescent="0.2">
      <c r="G47346" s="889"/>
    </row>
    <row r="47347" spans="7:7" ht="10.5" customHeight="1" x14ac:dyDescent="0.2">
      <c r="G47347" s="889"/>
    </row>
    <row r="47348" spans="7:7" ht="10.5" customHeight="1" x14ac:dyDescent="0.2">
      <c r="G47348" s="889"/>
    </row>
    <row r="47349" spans="7:7" ht="10.5" customHeight="1" x14ac:dyDescent="0.2">
      <c r="G47349" s="889"/>
    </row>
    <row r="47350" spans="7:7" ht="10.5" customHeight="1" x14ac:dyDescent="0.2">
      <c r="G47350" s="889"/>
    </row>
    <row r="47351" spans="7:7" ht="10.5" customHeight="1" x14ac:dyDescent="0.2">
      <c r="G47351" s="889"/>
    </row>
    <row r="47352" spans="7:7" ht="10.5" customHeight="1" x14ac:dyDescent="0.2">
      <c r="G47352" s="889"/>
    </row>
    <row r="47353" spans="7:7" ht="10.5" customHeight="1" x14ac:dyDescent="0.2">
      <c r="G47353" s="889"/>
    </row>
    <row r="47354" spans="7:7" ht="10.5" customHeight="1" x14ac:dyDescent="0.2">
      <c r="G47354" s="889"/>
    </row>
    <row r="47355" spans="7:7" ht="10.5" customHeight="1" x14ac:dyDescent="0.2">
      <c r="G47355" s="889"/>
    </row>
    <row r="47356" spans="7:7" ht="10.5" customHeight="1" x14ac:dyDescent="0.2">
      <c r="G47356" s="889"/>
    </row>
    <row r="47357" spans="7:7" ht="10.5" customHeight="1" x14ac:dyDescent="0.2">
      <c r="G47357" s="889"/>
    </row>
    <row r="47358" spans="7:7" ht="10.5" customHeight="1" x14ac:dyDescent="0.2">
      <c r="G47358" s="889"/>
    </row>
    <row r="47359" spans="7:7" ht="10.5" customHeight="1" x14ac:dyDescent="0.2">
      <c r="G47359" s="889"/>
    </row>
    <row r="47360" spans="7:7" ht="10.5" customHeight="1" x14ac:dyDescent="0.2">
      <c r="G47360" s="889"/>
    </row>
    <row r="47361" spans="7:7" ht="10.5" customHeight="1" x14ac:dyDescent="0.2">
      <c r="G47361" s="889"/>
    </row>
    <row r="47362" spans="7:7" ht="10.5" customHeight="1" x14ac:dyDescent="0.2">
      <c r="G47362" s="889"/>
    </row>
    <row r="47363" spans="7:7" ht="10.5" customHeight="1" x14ac:dyDescent="0.2">
      <c r="G47363" s="889"/>
    </row>
    <row r="47364" spans="7:7" ht="10.5" customHeight="1" x14ac:dyDescent="0.2">
      <c r="G47364" s="889"/>
    </row>
    <row r="47365" spans="7:7" ht="10.5" customHeight="1" x14ac:dyDescent="0.2">
      <c r="G47365" s="889"/>
    </row>
    <row r="47366" spans="7:7" ht="10.5" customHeight="1" x14ac:dyDescent="0.2">
      <c r="G47366" s="889"/>
    </row>
    <row r="47367" spans="7:7" ht="10.5" customHeight="1" x14ac:dyDescent="0.2">
      <c r="G47367" s="889"/>
    </row>
    <row r="47368" spans="7:7" ht="10.5" customHeight="1" x14ac:dyDescent="0.2">
      <c r="G47368" s="889"/>
    </row>
    <row r="47369" spans="7:7" ht="10.5" customHeight="1" x14ac:dyDescent="0.2">
      <c r="G47369" s="889"/>
    </row>
    <row r="47370" spans="7:7" ht="10.5" customHeight="1" x14ac:dyDescent="0.2">
      <c r="G47370" s="889"/>
    </row>
    <row r="47371" spans="7:7" ht="10.5" customHeight="1" x14ac:dyDescent="0.2">
      <c r="G47371" s="889"/>
    </row>
    <row r="47372" spans="7:7" ht="10.5" customHeight="1" x14ac:dyDescent="0.2">
      <c r="G47372" s="889"/>
    </row>
    <row r="47373" spans="7:7" ht="10.5" customHeight="1" x14ac:dyDescent="0.2">
      <c r="G47373" s="889"/>
    </row>
    <row r="47374" spans="7:7" ht="10.5" customHeight="1" x14ac:dyDescent="0.2">
      <c r="G47374" s="889"/>
    </row>
    <row r="47375" spans="7:7" ht="10.5" customHeight="1" x14ac:dyDescent="0.2">
      <c r="G47375" s="889"/>
    </row>
    <row r="47376" spans="7:7" ht="10.5" customHeight="1" x14ac:dyDescent="0.2">
      <c r="G47376" s="889"/>
    </row>
    <row r="47377" spans="7:7" ht="10.5" customHeight="1" x14ac:dyDescent="0.2">
      <c r="G47377" s="889"/>
    </row>
    <row r="47378" spans="7:7" ht="10.5" customHeight="1" x14ac:dyDescent="0.2">
      <c r="G47378" s="889"/>
    </row>
    <row r="47379" spans="7:7" ht="10.5" customHeight="1" x14ac:dyDescent="0.2">
      <c r="G47379" s="889"/>
    </row>
    <row r="47380" spans="7:7" ht="10.5" customHeight="1" x14ac:dyDescent="0.2">
      <c r="G47380" s="889"/>
    </row>
    <row r="47381" spans="7:7" ht="10.5" customHeight="1" x14ac:dyDescent="0.2">
      <c r="G47381" s="889"/>
    </row>
    <row r="47382" spans="7:7" ht="10.5" customHeight="1" x14ac:dyDescent="0.2">
      <c r="G47382" s="889"/>
    </row>
    <row r="47383" spans="7:7" ht="10.5" customHeight="1" x14ac:dyDescent="0.2">
      <c r="G47383" s="889"/>
    </row>
    <row r="47384" spans="7:7" ht="10.5" customHeight="1" x14ac:dyDescent="0.2">
      <c r="G47384" s="889"/>
    </row>
    <row r="47385" spans="7:7" ht="10.5" customHeight="1" x14ac:dyDescent="0.2">
      <c r="G47385" s="889"/>
    </row>
    <row r="47386" spans="7:7" ht="10.5" customHeight="1" x14ac:dyDescent="0.2">
      <c r="G47386" s="889"/>
    </row>
    <row r="47387" spans="7:7" ht="10.5" customHeight="1" x14ac:dyDescent="0.2">
      <c r="G47387" s="889"/>
    </row>
    <row r="47388" spans="7:7" ht="10.5" customHeight="1" x14ac:dyDescent="0.2">
      <c r="G47388" s="889"/>
    </row>
    <row r="47389" spans="7:7" ht="10.5" customHeight="1" x14ac:dyDescent="0.2">
      <c r="G47389" s="889"/>
    </row>
    <row r="47390" spans="7:7" ht="10.5" customHeight="1" x14ac:dyDescent="0.2">
      <c r="G47390" s="889"/>
    </row>
    <row r="47391" spans="7:7" ht="10.5" customHeight="1" x14ac:dyDescent="0.2">
      <c r="G47391" s="889"/>
    </row>
    <row r="47392" spans="7:7" ht="10.5" customHeight="1" x14ac:dyDescent="0.2">
      <c r="G47392" s="889"/>
    </row>
    <row r="47393" spans="7:7" ht="10.5" customHeight="1" x14ac:dyDescent="0.2">
      <c r="G47393" s="889"/>
    </row>
    <row r="47394" spans="7:7" ht="10.5" customHeight="1" x14ac:dyDescent="0.2">
      <c r="G47394" s="889"/>
    </row>
    <row r="47395" spans="7:7" ht="10.5" customHeight="1" x14ac:dyDescent="0.2">
      <c r="G47395" s="889"/>
    </row>
    <row r="47396" spans="7:7" ht="10.5" customHeight="1" x14ac:dyDescent="0.2">
      <c r="G47396" s="889"/>
    </row>
    <row r="47397" spans="7:7" ht="10.5" customHeight="1" x14ac:dyDescent="0.2">
      <c r="G47397" s="889"/>
    </row>
    <row r="47398" spans="7:7" ht="10.5" customHeight="1" x14ac:dyDescent="0.2">
      <c r="G47398" s="889"/>
    </row>
    <row r="47399" spans="7:7" ht="10.5" customHeight="1" x14ac:dyDescent="0.2">
      <c r="G47399" s="889"/>
    </row>
    <row r="47400" spans="7:7" ht="10.5" customHeight="1" x14ac:dyDescent="0.2">
      <c r="G47400" s="889"/>
    </row>
    <row r="47401" spans="7:7" ht="10.5" customHeight="1" x14ac:dyDescent="0.2">
      <c r="G47401" s="889"/>
    </row>
    <row r="47402" spans="7:7" ht="10.5" customHeight="1" x14ac:dyDescent="0.2">
      <c r="G47402" s="889"/>
    </row>
    <row r="47403" spans="7:7" ht="10.5" customHeight="1" x14ac:dyDescent="0.2">
      <c r="G47403" s="889"/>
    </row>
    <row r="47404" spans="7:7" ht="10.5" customHeight="1" x14ac:dyDescent="0.2">
      <c r="G47404" s="889"/>
    </row>
    <row r="47405" spans="7:7" ht="10.5" customHeight="1" x14ac:dyDescent="0.2">
      <c r="G47405" s="889"/>
    </row>
    <row r="47406" spans="7:7" ht="10.5" customHeight="1" x14ac:dyDescent="0.2">
      <c r="G47406" s="889"/>
    </row>
    <row r="47407" spans="7:7" ht="10.5" customHeight="1" x14ac:dyDescent="0.2">
      <c r="G47407" s="889"/>
    </row>
    <row r="47408" spans="7:7" ht="10.5" customHeight="1" x14ac:dyDescent="0.2">
      <c r="G47408" s="889"/>
    </row>
    <row r="47409" spans="7:7" ht="10.5" customHeight="1" x14ac:dyDescent="0.2">
      <c r="G47409" s="889"/>
    </row>
    <row r="47410" spans="7:7" ht="10.5" customHeight="1" x14ac:dyDescent="0.2">
      <c r="G47410" s="889"/>
    </row>
    <row r="47411" spans="7:7" ht="10.5" customHeight="1" x14ac:dyDescent="0.2">
      <c r="G47411" s="889"/>
    </row>
    <row r="47412" spans="7:7" ht="10.5" customHeight="1" x14ac:dyDescent="0.2">
      <c r="G47412" s="889"/>
    </row>
    <row r="47413" spans="7:7" ht="10.5" customHeight="1" x14ac:dyDescent="0.2">
      <c r="G47413" s="889"/>
    </row>
    <row r="47414" spans="7:7" ht="10.5" customHeight="1" x14ac:dyDescent="0.2">
      <c r="G47414" s="889"/>
    </row>
    <row r="47415" spans="7:7" ht="10.5" customHeight="1" x14ac:dyDescent="0.2">
      <c r="G47415" s="889"/>
    </row>
    <row r="47416" spans="7:7" ht="10.5" customHeight="1" x14ac:dyDescent="0.2">
      <c r="G47416" s="889"/>
    </row>
    <row r="47417" spans="7:7" ht="10.5" customHeight="1" x14ac:dyDescent="0.2">
      <c r="G47417" s="889"/>
    </row>
    <row r="47418" spans="7:7" ht="10.5" customHeight="1" x14ac:dyDescent="0.2">
      <c r="G47418" s="889"/>
    </row>
    <row r="47419" spans="7:7" ht="10.5" customHeight="1" x14ac:dyDescent="0.2">
      <c r="G47419" s="889"/>
    </row>
    <row r="47420" spans="7:7" ht="10.5" customHeight="1" x14ac:dyDescent="0.2">
      <c r="G47420" s="889"/>
    </row>
    <row r="47421" spans="7:7" ht="10.5" customHeight="1" x14ac:dyDescent="0.2">
      <c r="G47421" s="889"/>
    </row>
    <row r="47422" spans="7:7" ht="10.5" customHeight="1" x14ac:dyDescent="0.2">
      <c r="G47422" s="889"/>
    </row>
    <row r="47423" spans="7:7" ht="10.5" customHeight="1" x14ac:dyDescent="0.2">
      <c r="G47423" s="889"/>
    </row>
    <row r="47424" spans="7:7" ht="10.5" customHeight="1" x14ac:dyDescent="0.2">
      <c r="G47424" s="889"/>
    </row>
    <row r="47425" spans="7:7" ht="10.5" customHeight="1" x14ac:dyDescent="0.2">
      <c r="G47425" s="889"/>
    </row>
    <row r="47426" spans="7:7" ht="10.5" customHeight="1" x14ac:dyDescent="0.2">
      <c r="G47426" s="889"/>
    </row>
    <row r="47427" spans="7:7" ht="10.5" customHeight="1" x14ac:dyDescent="0.2">
      <c r="G47427" s="889"/>
    </row>
    <row r="47428" spans="7:7" ht="10.5" customHeight="1" x14ac:dyDescent="0.2">
      <c r="G47428" s="889"/>
    </row>
    <row r="47429" spans="7:7" ht="10.5" customHeight="1" x14ac:dyDescent="0.2">
      <c r="G47429" s="889"/>
    </row>
    <row r="47430" spans="7:7" ht="10.5" customHeight="1" x14ac:dyDescent="0.2">
      <c r="G47430" s="889"/>
    </row>
    <row r="47431" spans="7:7" ht="10.5" customHeight="1" x14ac:dyDescent="0.2">
      <c r="G47431" s="889"/>
    </row>
    <row r="47432" spans="7:7" ht="10.5" customHeight="1" x14ac:dyDescent="0.2">
      <c r="G47432" s="889"/>
    </row>
    <row r="47433" spans="7:7" ht="10.5" customHeight="1" x14ac:dyDescent="0.2">
      <c r="G47433" s="889"/>
    </row>
    <row r="47434" spans="7:7" ht="10.5" customHeight="1" x14ac:dyDescent="0.2">
      <c r="G47434" s="889"/>
    </row>
    <row r="47435" spans="7:7" ht="10.5" customHeight="1" x14ac:dyDescent="0.2">
      <c r="G47435" s="889"/>
    </row>
    <row r="47436" spans="7:7" ht="10.5" customHeight="1" x14ac:dyDescent="0.2">
      <c r="G47436" s="889"/>
    </row>
    <row r="47437" spans="7:7" ht="10.5" customHeight="1" x14ac:dyDescent="0.2">
      <c r="G47437" s="889"/>
    </row>
    <row r="47438" spans="7:7" ht="10.5" customHeight="1" x14ac:dyDescent="0.2">
      <c r="G47438" s="889"/>
    </row>
    <row r="47439" spans="7:7" ht="10.5" customHeight="1" x14ac:dyDescent="0.2">
      <c r="G47439" s="889"/>
    </row>
    <row r="47440" spans="7:7" ht="10.5" customHeight="1" x14ac:dyDescent="0.2">
      <c r="G47440" s="889"/>
    </row>
    <row r="47441" spans="7:7" ht="10.5" customHeight="1" x14ac:dyDescent="0.2">
      <c r="G47441" s="889"/>
    </row>
    <row r="47442" spans="7:7" ht="10.5" customHeight="1" x14ac:dyDescent="0.2">
      <c r="G47442" s="889"/>
    </row>
    <row r="47443" spans="7:7" ht="10.5" customHeight="1" x14ac:dyDescent="0.2">
      <c r="G47443" s="889"/>
    </row>
    <row r="47444" spans="7:7" ht="10.5" customHeight="1" x14ac:dyDescent="0.2">
      <c r="G47444" s="889"/>
    </row>
    <row r="47445" spans="7:7" ht="10.5" customHeight="1" x14ac:dyDescent="0.2">
      <c r="G47445" s="889"/>
    </row>
    <row r="47446" spans="7:7" ht="10.5" customHeight="1" x14ac:dyDescent="0.2">
      <c r="G47446" s="889"/>
    </row>
    <row r="47447" spans="7:7" ht="10.5" customHeight="1" x14ac:dyDescent="0.2">
      <c r="G47447" s="889"/>
    </row>
    <row r="47448" spans="7:7" ht="10.5" customHeight="1" x14ac:dyDescent="0.2">
      <c r="G47448" s="889"/>
    </row>
    <row r="47449" spans="7:7" ht="10.5" customHeight="1" x14ac:dyDescent="0.2">
      <c r="G47449" s="889"/>
    </row>
    <row r="47450" spans="7:7" ht="10.5" customHeight="1" x14ac:dyDescent="0.2">
      <c r="G47450" s="889"/>
    </row>
    <row r="47451" spans="7:7" ht="10.5" customHeight="1" x14ac:dyDescent="0.2">
      <c r="G47451" s="889"/>
    </row>
    <row r="47452" spans="7:7" ht="10.5" customHeight="1" x14ac:dyDescent="0.2">
      <c r="G47452" s="889"/>
    </row>
    <row r="47453" spans="7:7" ht="10.5" customHeight="1" x14ac:dyDescent="0.2">
      <c r="G47453" s="889"/>
    </row>
    <row r="47454" spans="7:7" ht="10.5" customHeight="1" x14ac:dyDescent="0.2">
      <c r="G47454" s="889"/>
    </row>
    <row r="47455" spans="7:7" ht="10.5" customHeight="1" x14ac:dyDescent="0.2">
      <c r="G47455" s="889"/>
    </row>
    <row r="47456" spans="7:7" ht="10.5" customHeight="1" x14ac:dyDescent="0.2">
      <c r="G47456" s="889"/>
    </row>
    <row r="47457" spans="7:7" ht="10.5" customHeight="1" x14ac:dyDescent="0.2">
      <c r="G47457" s="889"/>
    </row>
    <row r="47458" spans="7:7" ht="10.5" customHeight="1" x14ac:dyDescent="0.2">
      <c r="G47458" s="889"/>
    </row>
    <row r="47459" spans="7:7" ht="10.5" customHeight="1" x14ac:dyDescent="0.2">
      <c r="G47459" s="889"/>
    </row>
    <row r="47460" spans="7:7" ht="10.5" customHeight="1" x14ac:dyDescent="0.2">
      <c r="G47460" s="889"/>
    </row>
    <row r="47461" spans="7:7" ht="10.5" customHeight="1" x14ac:dyDescent="0.2">
      <c r="G47461" s="889"/>
    </row>
    <row r="47462" spans="7:7" ht="10.5" customHeight="1" x14ac:dyDescent="0.2">
      <c r="G47462" s="889"/>
    </row>
    <row r="47463" spans="7:7" ht="10.5" customHeight="1" x14ac:dyDescent="0.2">
      <c r="G47463" s="889"/>
    </row>
    <row r="47464" spans="7:7" ht="10.5" customHeight="1" x14ac:dyDescent="0.2">
      <c r="G47464" s="889"/>
    </row>
    <row r="47465" spans="7:7" ht="10.5" customHeight="1" x14ac:dyDescent="0.2">
      <c r="G47465" s="889"/>
    </row>
    <row r="47466" spans="7:7" ht="10.5" customHeight="1" x14ac:dyDescent="0.2">
      <c r="G47466" s="889"/>
    </row>
    <row r="47467" spans="7:7" ht="10.5" customHeight="1" x14ac:dyDescent="0.2">
      <c r="G47467" s="889"/>
    </row>
    <row r="47468" spans="7:7" ht="10.5" customHeight="1" x14ac:dyDescent="0.2">
      <c r="G47468" s="889"/>
    </row>
    <row r="47469" spans="7:7" ht="10.5" customHeight="1" x14ac:dyDescent="0.2">
      <c r="G47469" s="889"/>
    </row>
    <row r="47470" spans="7:7" ht="10.5" customHeight="1" x14ac:dyDescent="0.2">
      <c r="G47470" s="889"/>
    </row>
    <row r="47471" spans="7:7" ht="10.5" customHeight="1" x14ac:dyDescent="0.2">
      <c r="G47471" s="889"/>
    </row>
    <row r="47472" spans="7:7" ht="10.5" customHeight="1" x14ac:dyDescent="0.2">
      <c r="G47472" s="889"/>
    </row>
    <row r="47473" spans="7:7" ht="10.5" customHeight="1" x14ac:dyDescent="0.2">
      <c r="G47473" s="889"/>
    </row>
    <row r="47474" spans="7:7" ht="10.5" customHeight="1" x14ac:dyDescent="0.2">
      <c r="G47474" s="889"/>
    </row>
    <row r="47475" spans="7:7" ht="10.5" customHeight="1" x14ac:dyDescent="0.2">
      <c r="G47475" s="889"/>
    </row>
    <row r="47476" spans="7:7" ht="10.5" customHeight="1" x14ac:dyDescent="0.2">
      <c r="G47476" s="889"/>
    </row>
    <row r="47477" spans="7:7" ht="10.5" customHeight="1" x14ac:dyDescent="0.2">
      <c r="G47477" s="889"/>
    </row>
    <row r="47478" spans="7:7" ht="10.5" customHeight="1" x14ac:dyDescent="0.2">
      <c r="G47478" s="889"/>
    </row>
    <row r="47479" spans="7:7" ht="10.5" customHeight="1" x14ac:dyDescent="0.2">
      <c r="G47479" s="889"/>
    </row>
    <row r="47480" spans="7:7" ht="10.5" customHeight="1" x14ac:dyDescent="0.2">
      <c r="G47480" s="889"/>
    </row>
    <row r="47481" spans="7:7" ht="10.5" customHeight="1" x14ac:dyDescent="0.2">
      <c r="G47481" s="889"/>
    </row>
    <row r="47482" spans="7:7" ht="10.5" customHeight="1" x14ac:dyDescent="0.2">
      <c r="G47482" s="889"/>
    </row>
    <row r="47483" spans="7:7" ht="10.5" customHeight="1" x14ac:dyDescent="0.2">
      <c r="G47483" s="889"/>
    </row>
    <row r="47484" spans="7:7" ht="10.5" customHeight="1" x14ac:dyDescent="0.2">
      <c r="G47484" s="889"/>
    </row>
    <row r="47485" spans="7:7" ht="10.5" customHeight="1" x14ac:dyDescent="0.2">
      <c r="G47485" s="889"/>
    </row>
    <row r="47486" spans="7:7" ht="10.5" customHeight="1" x14ac:dyDescent="0.2">
      <c r="G47486" s="889"/>
    </row>
    <row r="47487" spans="7:7" ht="10.5" customHeight="1" x14ac:dyDescent="0.2">
      <c r="G47487" s="889"/>
    </row>
    <row r="47488" spans="7:7" ht="10.5" customHeight="1" x14ac:dyDescent="0.2">
      <c r="G47488" s="889"/>
    </row>
    <row r="47489" spans="7:7" ht="10.5" customHeight="1" x14ac:dyDescent="0.2">
      <c r="G47489" s="889"/>
    </row>
    <row r="47490" spans="7:7" ht="10.5" customHeight="1" x14ac:dyDescent="0.2">
      <c r="G47490" s="889"/>
    </row>
    <row r="47491" spans="7:7" ht="10.5" customHeight="1" x14ac:dyDescent="0.2">
      <c r="G47491" s="889"/>
    </row>
    <row r="47492" spans="7:7" ht="10.5" customHeight="1" x14ac:dyDescent="0.2">
      <c r="G47492" s="889"/>
    </row>
    <row r="47493" spans="7:7" ht="10.5" customHeight="1" x14ac:dyDescent="0.2">
      <c r="G47493" s="889"/>
    </row>
    <row r="47494" spans="7:7" ht="10.5" customHeight="1" x14ac:dyDescent="0.2">
      <c r="G47494" s="889"/>
    </row>
    <row r="47495" spans="7:7" ht="10.5" customHeight="1" x14ac:dyDescent="0.2">
      <c r="G47495" s="889"/>
    </row>
    <row r="47496" spans="7:7" ht="10.5" customHeight="1" x14ac:dyDescent="0.2">
      <c r="G47496" s="889"/>
    </row>
    <row r="47497" spans="7:7" ht="10.5" customHeight="1" x14ac:dyDescent="0.2">
      <c r="G47497" s="889"/>
    </row>
    <row r="47498" spans="7:7" ht="10.5" customHeight="1" x14ac:dyDescent="0.2">
      <c r="G47498" s="889"/>
    </row>
    <row r="47499" spans="7:7" ht="10.5" customHeight="1" x14ac:dyDescent="0.2">
      <c r="G47499" s="889"/>
    </row>
    <row r="47500" spans="7:7" ht="10.5" customHeight="1" x14ac:dyDescent="0.2">
      <c r="G47500" s="889"/>
    </row>
    <row r="47501" spans="7:7" ht="10.5" customHeight="1" x14ac:dyDescent="0.2">
      <c r="G47501" s="889"/>
    </row>
    <row r="47502" spans="7:7" ht="10.5" customHeight="1" x14ac:dyDescent="0.2">
      <c r="G47502" s="889"/>
    </row>
    <row r="47503" spans="7:7" ht="10.5" customHeight="1" x14ac:dyDescent="0.2">
      <c r="G47503" s="889"/>
    </row>
    <row r="47504" spans="7:7" ht="10.5" customHeight="1" x14ac:dyDescent="0.2">
      <c r="G47504" s="889"/>
    </row>
    <row r="47505" spans="7:7" ht="10.5" customHeight="1" x14ac:dyDescent="0.2">
      <c r="G47505" s="889"/>
    </row>
    <row r="47506" spans="7:7" ht="10.5" customHeight="1" x14ac:dyDescent="0.2">
      <c r="G47506" s="889"/>
    </row>
    <row r="47507" spans="7:7" ht="10.5" customHeight="1" x14ac:dyDescent="0.2">
      <c r="G47507" s="889"/>
    </row>
    <row r="47508" spans="7:7" ht="10.5" customHeight="1" x14ac:dyDescent="0.2">
      <c r="G47508" s="889"/>
    </row>
    <row r="47509" spans="7:7" ht="10.5" customHeight="1" x14ac:dyDescent="0.2">
      <c r="G47509" s="889"/>
    </row>
    <row r="47510" spans="7:7" ht="10.5" customHeight="1" x14ac:dyDescent="0.2">
      <c r="G47510" s="889"/>
    </row>
    <row r="47511" spans="7:7" ht="10.5" customHeight="1" x14ac:dyDescent="0.2">
      <c r="G47511" s="889"/>
    </row>
    <row r="47512" spans="7:7" ht="10.5" customHeight="1" x14ac:dyDescent="0.2">
      <c r="G47512" s="889"/>
    </row>
    <row r="47513" spans="7:7" ht="10.5" customHeight="1" x14ac:dyDescent="0.2">
      <c r="G47513" s="889"/>
    </row>
    <row r="47514" spans="7:7" ht="10.5" customHeight="1" x14ac:dyDescent="0.2">
      <c r="G47514" s="889"/>
    </row>
    <row r="47515" spans="7:7" ht="10.5" customHeight="1" x14ac:dyDescent="0.2">
      <c r="G47515" s="889"/>
    </row>
    <row r="47516" spans="7:7" ht="10.5" customHeight="1" x14ac:dyDescent="0.2">
      <c r="G47516" s="889"/>
    </row>
    <row r="47517" spans="7:7" ht="10.5" customHeight="1" x14ac:dyDescent="0.2">
      <c r="G47517" s="889"/>
    </row>
    <row r="47518" spans="7:7" ht="10.5" customHeight="1" x14ac:dyDescent="0.2">
      <c r="G47518" s="889"/>
    </row>
    <row r="47519" spans="7:7" ht="10.5" customHeight="1" x14ac:dyDescent="0.2">
      <c r="G47519" s="889"/>
    </row>
    <row r="47520" spans="7:7" ht="10.5" customHeight="1" x14ac:dyDescent="0.2">
      <c r="G47520" s="889"/>
    </row>
    <row r="47521" spans="7:7" ht="10.5" customHeight="1" x14ac:dyDescent="0.2">
      <c r="G47521" s="889"/>
    </row>
    <row r="47522" spans="7:7" ht="10.5" customHeight="1" x14ac:dyDescent="0.2">
      <c r="G47522" s="889"/>
    </row>
    <row r="47523" spans="7:7" ht="10.5" customHeight="1" x14ac:dyDescent="0.2">
      <c r="G47523" s="889"/>
    </row>
    <row r="47524" spans="7:7" ht="10.5" customHeight="1" x14ac:dyDescent="0.2">
      <c r="G47524" s="889"/>
    </row>
    <row r="47525" spans="7:7" ht="10.5" customHeight="1" x14ac:dyDescent="0.2">
      <c r="G47525" s="889"/>
    </row>
    <row r="47526" spans="7:7" ht="10.5" customHeight="1" x14ac:dyDescent="0.2">
      <c r="G47526" s="889"/>
    </row>
    <row r="47527" spans="7:7" ht="10.5" customHeight="1" x14ac:dyDescent="0.2">
      <c r="G47527" s="889"/>
    </row>
    <row r="47528" spans="7:7" ht="10.5" customHeight="1" x14ac:dyDescent="0.2">
      <c r="G47528" s="889"/>
    </row>
    <row r="47529" spans="7:7" ht="10.5" customHeight="1" x14ac:dyDescent="0.2">
      <c r="G47529" s="889"/>
    </row>
    <row r="47530" spans="7:7" ht="10.5" customHeight="1" x14ac:dyDescent="0.2">
      <c r="G47530" s="889"/>
    </row>
    <row r="47531" spans="7:7" ht="10.5" customHeight="1" x14ac:dyDescent="0.2">
      <c r="G47531" s="889"/>
    </row>
    <row r="47532" spans="7:7" ht="10.5" customHeight="1" x14ac:dyDescent="0.2">
      <c r="G47532" s="889"/>
    </row>
    <row r="47533" spans="7:7" ht="10.5" customHeight="1" x14ac:dyDescent="0.2">
      <c r="G47533" s="889"/>
    </row>
    <row r="47534" spans="7:7" ht="10.5" customHeight="1" x14ac:dyDescent="0.2">
      <c r="G47534" s="889"/>
    </row>
    <row r="47535" spans="7:7" ht="10.5" customHeight="1" x14ac:dyDescent="0.2">
      <c r="G47535" s="889"/>
    </row>
    <row r="47536" spans="7:7" ht="10.5" customHeight="1" x14ac:dyDescent="0.2">
      <c r="G47536" s="889"/>
    </row>
    <row r="47537" spans="7:7" ht="10.5" customHeight="1" x14ac:dyDescent="0.2">
      <c r="G47537" s="889"/>
    </row>
    <row r="47538" spans="7:7" ht="10.5" customHeight="1" x14ac:dyDescent="0.2">
      <c r="G47538" s="889"/>
    </row>
    <row r="47539" spans="7:7" ht="10.5" customHeight="1" x14ac:dyDescent="0.2">
      <c r="G47539" s="889"/>
    </row>
    <row r="47540" spans="7:7" ht="10.5" customHeight="1" x14ac:dyDescent="0.2">
      <c r="G47540" s="889"/>
    </row>
    <row r="47541" spans="7:7" ht="10.5" customHeight="1" x14ac:dyDescent="0.2">
      <c r="G47541" s="889"/>
    </row>
    <row r="47542" spans="7:7" ht="10.5" customHeight="1" x14ac:dyDescent="0.2">
      <c r="G47542" s="889"/>
    </row>
    <row r="47543" spans="7:7" ht="10.5" customHeight="1" x14ac:dyDescent="0.2">
      <c r="G47543" s="889"/>
    </row>
    <row r="47544" spans="7:7" ht="10.5" customHeight="1" x14ac:dyDescent="0.2">
      <c r="G47544" s="889"/>
    </row>
    <row r="47545" spans="7:7" ht="10.5" customHeight="1" x14ac:dyDescent="0.2">
      <c r="G47545" s="889"/>
    </row>
    <row r="47546" spans="7:7" ht="10.5" customHeight="1" x14ac:dyDescent="0.2">
      <c r="G47546" s="889"/>
    </row>
    <row r="47547" spans="7:7" ht="10.5" customHeight="1" x14ac:dyDescent="0.2">
      <c r="G47547" s="889"/>
    </row>
    <row r="47548" spans="7:7" ht="10.5" customHeight="1" x14ac:dyDescent="0.2">
      <c r="G47548" s="889"/>
    </row>
    <row r="47549" spans="7:7" ht="10.5" customHeight="1" x14ac:dyDescent="0.2">
      <c r="G47549" s="889"/>
    </row>
    <row r="47550" spans="7:7" ht="10.5" customHeight="1" x14ac:dyDescent="0.2">
      <c r="G47550" s="889"/>
    </row>
    <row r="47551" spans="7:7" ht="10.5" customHeight="1" x14ac:dyDescent="0.2">
      <c r="G47551" s="889"/>
    </row>
    <row r="47552" spans="7:7" ht="10.5" customHeight="1" x14ac:dyDescent="0.2">
      <c r="G47552" s="889"/>
    </row>
    <row r="47553" spans="7:7" ht="10.5" customHeight="1" x14ac:dyDescent="0.2">
      <c r="G47553" s="889"/>
    </row>
    <row r="47554" spans="7:7" ht="10.5" customHeight="1" x14ac:dyDescent="0.2">
      <c r="G47554" s="889"/>
    </row>
    <row r="47555" spans="7:7" ht="10.5" customHeight="1" x14ac:dyDescent="0.2">
      <c r="G47555" s="889"/>
    </row>
    <row r="47556" spans="7:7" ht="10.5" customHeight="1" x14ac:dyDescent="0.2">
      <c r="G47556" s="889"/>
    </row>
    <row r="47557" spans="7:7" ht="10.5" customHeight="1" x14ac:dyDescent="0.2">
      <c r="G47557" s="889"/>
    </row>
    <row r="47558" spans="7:7" ht="10.5" customHeight="1" x14ac:dyDescent="0.2">
      <c r="G47558" s="889"/>
    </row>
    <row r="47559" spans="7:7" ht="10.5" customHeight="1" x14ac:dyDescent="0.2">
      <c r="G47559" s="889"/>
    </row>
    <row r="47560" spans="7:7" ht="10.5" customHeight="1" x14ac:dyDescent="0.2">
      <c r="G47560" s="889"/>
    </row>
    <row r="47561" spans="7:7" ht="10.5" customHeight="1" x14ac:dyDescent="0.2">
      <c r="G47561" s="889"/>
    </row>
    <row r="47562" spans="7:7" ht="10.5" customHeight="1" x14ac:dyDescent="0.2">
      <c r="G47562" s="889"/>
    </row>
    <row r="47563" spans="7:7" ht="10.5" customHeight="1" x14ac:dyDescent="0.2">
      <c r="G47563" s="889"/>
    </row>
    <row r="47564" spans="7:7" ht="10.5" customHeight="1" x14ac:dyDescent="0.2">
      <c r="G47564" s="889"/>
    </row>
    <row r="47565" spans="7:7" ht="10.5" customHeight="1" x14ac:dyDescent="0.2">
      <c r="G47565" s="889"/>
    </row>
    <row r="47566" spans="7:7" ht="10.5" customHeight="1" x14ac:dyDescent="0.2">
      <c r="G47566" s="889"/>
    </row>
    <row r="47567" spans="7:7" ht="10.5" customHeight="1" x14ac:dyDescent="0.2">
      <c r="G47567" s="889"/>
    </row>
    <row r="47568" spans="7:7" ht="10.5" customHeight="1" x14ac:dyDescent="0.2">
      <c r="G47568" s="889"/>
    </row>
    <row r="47569" spans="7:7" ht="10.5" customHeight="1" x14ac:dyDescent="0.2">
      <c r="G47569" s="889"/>
    </row>
    <row r="47570" spans="7:7" ht="10.5" customHeight="1" x14ac:dyDescent="0.2">
      <c r="G47570" s="889"/>
    </row>
    <row r="47571" spans="7:7" ht="10.5" customHeight="1" x14ac:dyDescent="0.2">
      <c r="G47571" s="889"/>
    </row>
    <row r="47572" spans="7:7" ht="10.5" customHeight="1" x14ac:dyDescent="0.2">
      <c r="G47572" s="889"/>
    </row>
    <row r="47573" spans="7:7" ht="10.5" customHeight="1" x14ac:dyDescent="0.2">
      <c r="G47573" s="889"/>
    </row>
    <row r="47574" spans="7:7" ht="10.5" customHeight="1" x14ac:dyDescent="0.2">
      <c r="G47574" s="889"/>
    </row>
    <row r="47575" spans="7:7" ht="10.5" customHeight="1" x14ac:dyDescent="0.2">
      <c r="G47575" s="889"/>
    </row>
    <row r="47576" spans="7:7" ht="10.5" customHeight="1" x14ac:dyDescent="0.2">
      <c r="G47576" s="889"/>
    </row>
    <row r="47577" spans="7:7" ht="10.5" customHeight="1" x14ac:dyDescent="0.2">
      <c r="G47577" s="889"/>
    </row>
    <row r="47578" spans="7:7" ht="10.5" customHeight="1" x14ac:dyDescent="0.2">
      <c r="G47578" s="889"/>
    </row>
    <row r="47579" spans="7:7" ht="10.5" customHeight="1" x14ac:dyDescent="0.2">
      <c r="G47579" s="889"/>
    </row>
    <row r="47580" spans="7:7" ht="10.5" customHeight="1" x14ac:dyDescent="0.2">
      <c r="G47580" s="889"/>
    </row>
    <row r="47581" spans="7:7" ht="10.5" customHeight="1" x14ac:dyDescent="0.2">
      <c r="G47581" s="889"/>
    </row>
    <row r="47582" spans="7:7" ht="10.5" customHeight="1" x14ac:dyDescent="0.2">
      <c r="G47582" s="889"/>
    </row>
    <row r="47583" spans="7:7" ht="10.5" customHeight="1" x14ac:dyDescent="0.2">
      <c r="G47583" s="889"/>
    </row>
    <row r="47584" spans="7:7" ht="10.5" customHeight="1" x14ac:dyDescent="0.2">
      <c r="G47584" s="889"/>
    </row>
    <row r="47585" spans="7:7" ht="10.5" customHeight="1" x14ac:dyDescent="0.2">
      <c r="G47585" s="889"/>
    </row>
    <row r="47586" spans="7:7" ht="10.5" customHeight="1" x14ac:dyDescent="0.2">
      <c r="G47586" s="889"/>
    </row>
    <row r="47587" spans="7:7" ht="10.5" customHeight="1" x14ac:dyDescent="0.2">
      <c r="G47587" s="889"/>
    </row>
    <row r="47588" spans="7:7" ht="10.5" customHeight="1" x14ac:dyDescent="0.2">
      <c r="G47588" s="889"/>
    </row>
    <row r="47589" spans="7:7" ht="10.5" customHeight="1" x14ac:dyDescent="0.2">
      <c r="G47589" s="889"/>
    </row>
    <row r="47590" spans="7:7" ht="10.5" customHeight="1" x14ac:dyDescent="0.2">
      <c r="G47590" s="889"/>
    </row>
    <row r="47591" spans="7:7" ht="10.5" customHeight="1" x14ac:dyDescent="0.2">
      <c r="G47591" s="889"/>
    </row>
    <row r="47592" spans="7:7" ht="10.5" customHeight="1" x14ac:dyDescent="0.2">
      <c r="G47592" s="889"/>
    </row>
    <row r="47593" spans="7:7" ht="10.5" customHeight="1" x14ac:dyDescent="0.2">
      <c r="G47593" s="889"/>
    </row>
    <row r="47594" spans="7:7" ht="10.5" customHeight="1" x14ac:dyDescent="0.2">
      <c r="G47594" s="889"/>
    </row>
    <row r="47595" spans="7:7" ht="10.5" customHeight="1" x14ac:dyDescent="0.2">
      <c r="G47595" s="889"/>
    </row>
    <row r="47596" spans="7:7" ht="10.5" customHeight="1" x14ac:dyDescent="0.2">
      <c r="G47596" s="889"/>
    </row>
    <row r="47597" spans="7:7" ht="10.5" customHeight="1" x14ac:dyDescent="0.2">
      <c r="G47597" s="889"/>
    </row>
    <row r="47598" spans="7:7" ht="10.5" customHeight="1" x14ac:dyDescent="0.2">
      <c r="G47598" s="889"/>
    </row>
    <row r="47599" spans="7:7" ht="10.5" customHeight="1" x14ac:dyDescent="0.2">
      <c r="G47599" s="889"/>
    </row>
    <row r="47600" spans="7:7" ht="10.5" customHeight="1" x14ac:dyDescent="0.2">
      <c r="G47600" s="889"/>
    </row>
    <row r="47601" spans="7:7" ht="10.5" customHeight="1" x14ac:dyDescent="0.2">
      <c r="G47601" s="889"/>
    </row>
    <row r="47602" spans="7:7" ht="10.5" customHeight="1" x14ac:dyDescent="0.2">
      <c r="G47602" s="889"/>
    </row>
    <row r="47603" spans="7:7" ht="10.5" customHeight="1" x14ac:dyDescent="0.2">
      <c r="G47603" s="889"/>
    </row>
    <row r="47604" spans="7:7" ht="10.5" customHeight="1" x14ac:dyDescent="0.2">
      <c r="G47604" s="889"/>
    </row>
    <row r="47605" spans="7:7" ht="10.5" customHeight="1" x14ac:dyDescent="0.2">
      <c r="G47605" s="889"/>
    </row>
    <row r="47606" spans="7:7" ht="10.5" customHeight="1" x14ac:dyDescent="0.2">
      <c r="G47606" s="889"/>
    </row>
    <row r="47607" spans="7:7" ht="10.5" customHeight="1" x14ac:dyDescent="0.2">
      <c r="G47607" s="889"/>
    </row>
    <row r="47608" spans="7:7" ht="10.5" customHeight="1" x14ac:dyDescent="0.2">
      <c r="G47608" s="889"/>
    </row>
    <row r="47609" spans="7:7" ht="10.5" customHeight="1" x14ac:dyDescent="0.2">
      <c r="G47609" s="889"/>
    </row>
    <row r="47610" spans="7:7" ht="10.5" customHeight="1" x14ac:dyDescent="0.2">
      <c r="G47610" s="889"/>
    </row>
    <row r="47611" spans="7:7" ht="10.5" customHeight="1" x14ac:dyDescent="0.2">
      <c r="G47611" s="889"/>
    </row>
    <row r="47612" spans="7:7" ht="10.5" customHeight="1" x14ac:dyDescent="0.2">
      <c r="G47612" s="889"/>
    </row>
    <row r="47613" spans="7:7" ht="10.5" customHeight="1" x14ac:dyDescent="0.2">
      <c r="G47613" s="889"/>
    </row>
    <row r="47614" spans="7:7" ht="10.5" customHeight="1" x14ac:dyDescent="0.2">
      <c r="G47614" s="889"/>
    </row>
    <row r="47615" spans="7:7" ht="10.5" customHeight="1" x14ac:dyDescent="0.2">
      <c r="G47615" s="889"/>
    </row>
    <row r="47616" spans="7:7" ht="10.5" customHeight="1" x14ac:dyDescent="0.2">
      <c r="G47616" s="889"/>
    </row>
    <row r="47617" spans="7:7" ht="10.5" customHeight="1" x14ac:dyDescent="0.2">
      <c r="G47617" s="889"/>
    </row>
    <row r="47618" spans="7:7" ht="10.5" customHeight="1" x14ac:dyDescent="0.2">
      <c r="G47618" s="889"/>
    </row>
    <row r="47619" spans="7:7" ht="10.5" customHeight="1" x14ac:dyDescent="0.2">
      <c r="G47619" s="889"/>
    </row>
    <row r="47620" spans="7:7" ht="10.5" customHeight="1" x14ac:dyDescent="0.2">
      <c r="G47620" s="889"/>
    </row>
    <row r="47621" spans="7:7" ht="10.5" customHeight="1" x14ac:dyDescent="0.2">
      <c r="G47621" s="889"/>
    </row>
    <row r="47622" spans="7:7" ht="10.5" customHeight="1" x14ac:dyDescent="0.2">
      <c r="G47622" s="889"/>
    </row>
    <row r="47623" spans="7:7" ht="10.5" customHeight="1" x14ac:dyDescent="0.2">
      <c r="G47623" s="889"/>
    </row>
    <row r="47624" spans="7:7" ht="10.5" customHeight="1" x14ac:dyDescent="0.2">
      <c r="G47624" s="889"/>
    </row>
    <row r="47625" spans="7:7" ht="10.5" customHeight="1" x14ac:dyDescent="0.2">
      <c r="G47625" s="889"/>
    </row>
    <row r="47626" spans="7:7" ht="10.5" customHeight="1" x14ac:dyDescent="0.2">
      <c r="G47626" s="889"/>
    </row>
    <row r="47627" spans="7:7" ht="10.5" customHeight="1" x14ac:dyDescent="0.2">
      <c r="G47627" s="889"/>
    </row>
    <row r="47628" spans="7:7" ht="10.5" customHeight="1" x14ac:dyDescent="0.2">
      <c r="G47628" s="889"/>
    </row>
    <row r="47629" spans="7:7" ht="10.5" customHeight="1" x14ac:dyDescent="0.2">
      <c r="G47629" s="889"/>
    </row>
    <row r="47630" spans="7:7" ht="10.5" customHeight="1" x14ac:dyDescent="0.2">
      <c r="G47630" s="889"/>
    </row>
    <row r="47631" spans="7:7" ht="10.5" customHeight="1" x14ac:dyDescent="0.2">
      <c r="G47631" s="889"/>
    </row>
    <row r="47632" spans="7:7" ht="10.5" customHeight="1" x14ac:dyDescent="0.2">
      <c r="G47632" s="889"/>
    </row>
    <row r="47633" spans="7:7" ht="10.5" customHeight="1" x14ac:dyDescent="0.2">
      <c r="G47633" s="889"/>
    </row>
    <row r="47634" spans="7:7" ht="10.5" customHeight="1" x14ac:dyDescent="0.2">
      <c r="G47634" s="889"/>
    </row>
    <row r="47635" spans="7:7" ht="10.5" customHeight="1" x14ac:dyDescent="0.2">
      <c r="G47635" s="889"/>
    </row>
    <row r="47636" spans="7:7" ht="10.5" customHeight="1" x14ac:dyDescent="0.2">
      <c r="G47636" s="889"/>
    </row>
    <row r="47637" spans="7:7" ht="10.5" customHeight="1" x14ac:dyDescent="0.2">
      <c r="G47637" s="889"/>
    </row>
    <row r="47638" spans="7:7" ht="10.5" customHeight="1" x14ac:dyDescent="0.2">
      <c r="G47638" s="889"/>
    </row>
    <row r="47639" spans="7:7" ht="10.5" customHeight="1" x14ac:dyDescent="0.2">
      <c r="G47639" s="889"/>
    </row>
    <row r="47640" spans="7:7" ht="10.5" customHeight="1" x14ac:dyDescent="0.2">
      <c r="G47640" s="889"/>
    </row>
    <row r="47641" spans="7:7" ht="10.5" customHeight="1" x14ac:dyDescent="0.2">
      <c r="G47641" s="889"/>
    </row>
    <row r="47642" spans="7:7" ht="10.5" customHeight="1" x14ac:dyDescent="0.2">
      <c r="G47642" s="889"/>
    </row>
    <row r="47643" spans="7:7" ht="10.5" customHeight="1" x14ac:dyDescent="0.2">
      <c r="G47643" s="889"/>
    </row>
    <row r="47644" spans="7:7" ht="10.5" customHeight="1" x14ac:dyDescent="0.2">
      <c r="G47644" s="889"/>
    </row>
    <row r="47645" spans="7:7" ht="10.5" customHeight="1" x14ac:dyDescent="0.2">
      <c r="G47645" s="889"/>
    </row>
    <row r="47646" spans="7:7" ht="10.5" customHeight="1" x14ac:dyDescent="0.2">
      <c r="G47646" s="889"/>
    </row>
    <row r="47647" spans="7:7" ht="10.5" customHeight="1" x14ac:dyDescent="0.2">
      <c r="G47647" s="889"/>
    </row>
    <row r="47648" spans="7:7" ht="10.5" customHeight="1" x14ac:dyDescent="0.2">
      <c r="G47648" s="889"/>
    </row>
    <row r="47649" spans="7:7" ht="10.5" customHeight="1" x14ac:dyDescent="0.2">
      <c r="G47649" s="889"/>
    </row>
    <row r="47650" spans="7:7" ht="10.5" customHeight="1" x14ac:dyDescent="0.2">
      <c r="G47650" s="889"/>
    </row>
    <row r="47651" spans="7:7" ht="10.5" customHeight="1" x14ac:dyDescent="0.2">
      <c r="G47651" s="889"/>
    </row>
    <row r="47652" spans="7:7" ht="10.5" customHeight="1" x14ac:dyDescent="0.2">
      <c r="G47652" s="889"/>
    </row>
    <row r="47653" spans="7:7" ht="10.5" customHeight="1" x14ac:dyDescent="0.2">
      <c r="G47653" s="889"/>
    </row>
    <row r="47654" spans="7:7" ht="10.5" customHeight="1" x14ac:dyDescent="0.2">
      <c r="G47654" s="889"/>
    </row>
    <row r="47655" spans="7:7" ht="10.5" customHeight="1" x14ac:dyDescent="0.2">
      <c r="G47655" s="889"/>
    </row>
    <row r="47656" spans="7:7" ht="10.5" customHeight="1" x14ac:dyDescent="0.2">
      <c r="G47656" s="889"/>
    </row>
    <row r="47657" spans="7:7" ht="10.5" customHeight="1" x14ac:dyDescent="0.2">
      <c r="G47657" s="889"/>
    </row>
    <row r="47658" spans="7:7" ht="10.5" customHeight="1" x14ac:dyDescent="0.2">
      <c r="G47658" s="889"/>
    </row>
    <row r="47659" spans="7:7" ht="10.5" customHeight="1" x14ac:dyDescent="0.2">
      <c r="G47659" s="889"/>
    </row>
    <row r="47660" spans="7:7" ht="10.5" customHeight="1" x14ac:dyDescent="0.2">
      <c r="G47660" s="889"/>
    </row>
    <row r="47661" spans="7:7" ht="10.5" customHeight="1" x14ac:dyDescent="0.2">
      <c r="G47661" s="889"/>
    </row>
    <row r="47662" spans="7:7" ht="10.5" customHeight="1" x14ac:dyDescent="0.2">
      <c r="G47662" s="889"/>
    </row>
    <row r="47663" spans="7:7" ht="10.5" customHeight="1" x14ac:dyDescent="0.2">
      <c r="G47663" s="889"/>
    </row>
    <row r="47664" spans="7:7" ht="10.5" customHeight="1" x14ac:dyDescent="0.2">
      <c r="G47664" s="889"/>
    </row>
    <row r="47665" spans="7:7" ht="10.5" customHeight="1" x14ac:dyDescent="0.2">
      <c r="G47665" s="889"/>
    </row>
    <row r="47666" spans="7:7" ht="10.5" customHeight="1" x14ac:dyDescent="0.2">
      <c r="G47666" s="889"/>
    </row>
    <row r="47667" spans="7:7" ht="10.5" customHeight="1" x14ac:dyDescent="0.2">
      <c r="G47667" s="889"/>
    </row>
    <row r="47668" spans="7:7" ht="10.5" customHeight="1" x14ac:dyDescent="0.2">
      <c r="G47668" s="889"/>
    </row>
    <row r="47669" spans="7:7" ht="10.5" customHeight="1" x14ac:dyDescent="0.2">
      <c r="G47669" s="889"/>
    </row>
    <row r="47670" spans="7:7" ht="10.5" customHeight="1" x14ac:dyDescent="0.2">
      <c r="G47670" s="889"/>
    </row>
    <row r="47671" spans="7:7" ht="10.5" customHeight="1" x14ac:dyDescent="0.2">
      <c r="G47671" s="889"/>
    </row>
    <row r="47672" spans="7:7" ht="10.5" customHeight="1" x14ac:dyDescent="0.2">
      <c r="G47672" s="889"/>
    </row>
    <row r="47673" spans="7:7" ht="10.5" customHeight="1" x14ac:dyDescent="0.2">
      <c r="G47673" s="889"/>
    </row>
    <row r="47674" spans="7:7" ht="10.5" customHeight="1" x14ac:dyDescent="0.2">
      <c r="G47674" s="889"/>
    </row>
    <row r="47675" spans="7:7" ht="10.5" customHeight="1" x14ac:dyDescent="0.2">
      <c r="G47675" s="889"/>
    </row>
    <row r="47676" spans="7:7" ht="10.5" customHeight="1" x14ac:dyDescent="0.2">
      <c r="G47676" s="889"/>
    </row>
    <row r="47677" spans="7:7" ht="10.5" customHeight="1" x14ac:dyDescent="0.2">
      <c r="G47677" s="889"/>
    </row>
    <row r="47678" spans="7:7" ht="10.5" customHeight="1" x14ac:dyDescent="0.2">
      <c r="G47678" s="889"/>
    </row>
    <row r="47679" spans="7:7" ht="10.5" customHeight="1" x14ac:dyDescent="0.2">
      <c r="G47679" s="889"/>
    </row>
    <row r="47680" spans="7:7" ht="10.5" customHeight="1" x14ac:dyDescent="0.2">
      <c r="G47680" s="889"/>
    </row>
    <row r="47681" spans="7:7" ht="10.5" customHeight="1" x14ac:dyDescent="0.2">
      <c r="G47681" s="889"/>
    </row>
    <row r="47682" spans="7:7" ht="10.5" customHeight="1" x14ac:dyDescent="0.2">
      <c r="G47682" s="889"/>
    </row>
    <row r="47683" spans="7:7" ht="10.5" customHeight="1" x14ac:dyDescent="0.2">
      <c r="G47683" s="889"/>
    </row>
    <row r="47684" spans="7:7" ht="10.5" customHeight="1" x14ac:dyDescent="0.2">
      <c r="G47684" s="889"/>
    </row>
    <row r="47685" spans="7:7" ht="10.5" customHeight="1" x14ac:dyDescent="0.2">
      <c r="G47685" s="889"/>
    </row>
    <row r="47686" spans="7:7" ht="10.5" customHeight="1" x14ac:dyDescent="0.2">
      <c r="G47686" s="889"/>
    </row>
    <row r="47687" spans="7:7" ht="10.5" customHeight="1" x14ac:dyDescent="0.2">
      <c r="G47687" s="889"/>
    </row>
    <row r="47688" spans="7:7" ht="10.5" customHeight="1" x14ac:dyDescent="0.2">
      <c r="G47688" s="889"/>
    </row>
    <row r="47689" spans="7:7" ht="10.5" customHeight="1" x14ac:dyDescent="0.2">
      <c r="G47689" s="889"/>
    </row>
    <row r="47690" spans="7:7" ht="10.5" customHeight="1" x14ac:dyDescent="0.2">
      <c r="G47690" s="889"/>
    </row>
    <row r="47691" spans="7:7" ht="10.5" customHeight="1" x14ac:dyDescent="0.2">
      <c r="G47691" s="889"/>
    </row>
    <row r="47692" spans="7:7" ht="10.5" customHeight="1" x14ac:dyDescent="0.2">
      <c r="G47692" s="889"/>
    </row>
    <row r="47693" spans="7:7" ht="10.5" customHeight="1" x14ac:dyDescent="0.2">
      <c r="G47693" s="889"/>
    </row>
    <row r="47694" spans="7:7" ht="10.5" customHeight="1" x14ac:dyDescent="0.2">
      <c r="G47694" s="889"/>
    </row>
    <row r="47695" spans="7:7" ht="10.5" customHeight="1" x14ac:dyDescent="0.2">
      <c r="G47695" s="889"/>
    </row>
    <row r="47696" spans="7:7" ht="10.5" customHeight="1" x14ac:dyDescent="0.2">
      <c r="G47696" s="889"/>
    </row>
    <row r="47697" spans="7:7" ht="10.5" customHeight="1" x14ac:dyDescent="0.2">
      <c r="G47697" s="889"/>
    </row>
    <row r="47698" spans="7:7" ht="10.5" customHeight="1" x14ac:dyDescent="0.2">
      <c r="G47698" s="889"/>
    </row>
    <row r="47699" spans="7:7" ht="10.5" customHeight="1" x14ac:dyDescent="0.2">
      <c r="G47699" s="889"/>
    </row>
    <row r="47700" spans="7:7" ht="10.5" customHeight="1" x14ac:dyDescent="0.2">
      <c r="G47700" s="889"/>
    </row>
    <row r="47701" spans="7:7" ht="10.5" customHeight="1" x14ac:dyDescent="0.2">
      <c r="G47701" s="889"/>
    </row>
    <row r="47702" spans="7:7" ht="10.5" customHeight="1" x14ac:dyDescent="0.2">
      <c r="G47702" s="889"/>
    </row>
    <row r="47703" spans="7:7" ht="10.5" customHeight="1" x14ac:dyDescent="0.2">
      <c r="G47703" s="889"/>
    </row>
    <row r="47704" spans="7:7" ht="10.5" customHeight="1" x14ac:dyDescent="0.2">
      <c r="G47704" s="889"/>
    </row>
    <row r="47705" spans="7:7" ht="10.5" customHeight="1" x14ac:dyDescent="0.2">
      <c r="G47705" s="889"/>
    </row>
    <row r="47706" spans="7:7" ht="10.5" customHeight="1" x14ac:dyDescent="0.2">
      <c r="G47706" s="889"/>
    </row>
    <row r="47707" spans="7:7" ht="10.5" customHeight="1" x14ac:dyDescent="0.2">
      <c r="G47707" s="889"/>
    </row>
    <row r="47708" spans="7:7" ht="10.5" customHeight="1" x14ac:dyDescent="0.2">
      <c r="G47708" s="889"/>
    </row>
    <row r="47709" spans="7:7" ht="10.5" customHeight="1" x14ac:dyDescent="0.2">
      <c r="G47709" s="889"/>
    </row>
    <row r="47710" spans="7:7" ht="10.5" customHeight="1" x14ac:dyDescent="0.2">
      <c r="G47710" s="889"/>
    </row>
    <row r="47711" spans="7:7" ht="10.5" customHeight="1" x14ac:dyDescent="0.2">
      <c r="G47711" s="889"/>
    </row>
    <row r="47712" spans="7:7" ht="10.5" customHeight="1" x14ac:dyDescent="0.2">
      <c r="G47712" s="889"/>
    </row>
    <row r="47713" spans="7:7" ht="10.5" customHeight="1" x14ac:dyDescent="0.2">
      <c r="G47713" s="889"/>
    </row>
    <row r="47714" spans="7:7" ht="10.5" customHeight="1" x14ac:dyDescent="0.2">
      <c r="G47714" s="889"/>
    </row>
    <row r="47715" spans="7:7" ht="10.5" customHeight="1" x14ac:dyDescent="0.2">
      <c r="G47715" s="889"/>
    </row>
    <row r="47716" spans="7:7" ht="10.5" customHeight="1" x14ac:dyDescent="0.2">
      <c r="G47716" s="889"/>
    </row>
    <row r="47717" spans="7:7" ht="10.5" customHeight="1" x14ac:dyDescent="0.2">
      <c r="G47717" s="889"/>
    </row>
    <row r="47718" spans="7:7" ht="10.5" customHeight="1" x14ac:dyDescent="0.2">
      <c r="G47718" s="889"/>
    </row>
    <row r="47719" spans="7:7" ht="10.5" customHeight="1" x14ac:dyDescent="0.2">
      <c r="G47719" s="889"/>
    </row>
    <row r="47720" spans="7:7" ht="10.5" customHeight="1" x14ac:dyDescent="0.2">
      <c r="G47720" s="889"/>
    </row>
    <row r="47721" spans="7:7" ht="10.5" customHeight="1" x14ac:dyDescent="0.2">
      <c r="G47721" s="889"/>
    </row>
    <row r="47722" spans="7:7" ht="10.5" customHeight="1" x14ac:dyDescent="0.2">
      <c r="G47722" s="889"/>
    </row>
    <row r="47723" spans="7:7" ht="10.5" customHeight="1" x14ac:dyDescent="0.2">
      <c r="G47723" s="889"/>
    </row>
    <row r="47724" spans="7:7" ht="10.5" customHeight="1" x14ac:dyDescent="0.2">
      <c r="G47724" s="889"/>
    </row>
    <row r="47725" spans="7:7" ht="10.5" customHeight="1" x14ac:dyDescent="0.2">
      <c r="G47725" s="889"/>
    </row>
    <row r="47726" spans="7:7" ht="10.5" customHeight="1" x14ac:dyDescent="0.2">
      <c r="G47726" s="889"/>
    </row>
    <row r="47727" spans="7:7" ht="10.5" customHeight="1" x14ac:dyDescent="0.2">
      <c r="G47727" s="889"/>
    </row>
    <row r="47728" spans="7:7" ht="10.5" customHeight="1" x14ac:dyDescent="0.2">
      <c r="G47728" s="889"/>
    </row>
    <row r="47729" spans="7:7" ht="10.5" customHeight="1" x14ac:dyDescent="0.2">
      <c r="G47729" s="889"/>
    </row>
    <row r="47730" spans="7:7" ht="10.5" customHeight="1" x14ac:dyDescent="0.2">
      <c r="G47730" s="889"/>
    </row>
    <row r="47731" spans="7:7" ht="10.5" customHeight="1" x14ac:dyDescent="0.2">
      <c r="G47731" s="889"/>
    </row>
    <row r="47732" spans="7:7" ht="10.5" customHeight="1" x14ac:dyDescent="0.2">
      <c r="G47732" s="889"/>
    </row>
    <row r="47733" spans="7:7" ht="10.5" customHeight="1" x14ac:dyDescent="0.2">
      <c r="G47733" s="889"/>
    </row>
    <row r="47734" spans="7:7" ht="10.5" customHeight="1" x14ac:dyDescent="0.2">
      <c r="G47734" s="889"/>
    </row>
    <row r="47735" spans="7:7" ht="10.5" customHeight="1" x14ac:dyDescent="0.2">
      <c r="G47735" s="889"/>
    </row>
    <row r="47736" spans="7:7" ht="10.5" customHeight="1" x14ac:dyDescent="0.2">
      <c r="G47736" s="889"/>
    </row>
    <row r="47737" spans="7:7" ht="10.5" customHeight="1" x14ac:dyDescent="0.2">
      <c r="G47737" s="889"/>
    </row>
    <row r="47738" spans="7:7" ht="10.5" customHeight="1" x14ac:dyDescent="0.2">
      <c r="G47738" s="889"/>
    </row>
    <row r="47739" spans="7:7" ht="10.5" customHeight="1" x14ac:dyDescent="0.2">
      <c r="G47739" s="889"/>
    </row>
    <row r="47740" spans="7:7" ht="10.5" customHeight="1" x14ac:dyDescent="0.2">
      <c r="G47740" s="889"/>
    </row>
    <row r="47741" spans="7:7" ht="10.5" customHeight="1" x14ac:dyDescent="0.2">
      <c r="G47741" s="889"/>
    </row>
    <row r="47742" spans="7:7" ht="10.5" customHeight="1" x14ac:dyDescent="0.2">
      <c r="G47742" s="889"/>
    </row>
    <row r="47743" spans="7:7" ht="10.5" customHeight="1" x14ac:dyDescent="0.2">
      <c r="G47743" s="889"/>
    </row>
    <row r="47744" spans="7:7" ht="10.5" customHeight="1" x14ac:dyDescent="0.2">
      <c r="G47744" s="889"/>
    </row>
    <row r="47745" spans="7:7" ht="10.5" customHeight="1" x14ac:dyDescent="0.2">
      <c r="G47745" s="889"/>
    </row>
    <row r="47746" spans="7:7" ht="10.5" customHeight="1" x14ac:dyDescent="0.2">
      <c r="G47746" s="889"/>
    </row>
    <row r="47747" spans="7:7" ht="10.5" customHeight="1" x14ac:dyDescent="0.2">
      <c r="G47747" s="889"/>
    </row>
    <row r="47748" spans="7:7" ht="10.5" customHeight="1" x14ac:dyDescent="0.2">
      <c r="G47748" s="889"/>
    </row>
    <row r="47749" spans="7:7" ht="10.5" customHeight="1" x14ac:dyDescent="0.2">
      <c r="G47749" s="889"/>
    </row>
    <row r="47750" spans="7:7" ht="10.5" customHeight="1" x14ac:dyDescent="0.2">
      <c r="G47750" s="889"/>
    </row>
    <row r="47751" spans="7:7" ht="10.5" customHeight="1" x14ac:dyDescent="0.2">
      <c r="G47751" s="889"/>
    </row>
    <row r="47752" spans="7:7" ht="10.5" customHeight="1" x14ac:dyDescent="0.2">
      <c r="G47752" s="889"/>
    </row>
    <row r="47753" spans="7:7" ht="10.5" customHeight="1" x14ac:dyDescent="0.2">
      <c r="G47753" s="889"/>
    </row>
    <row r="47754" spans="7:7" ht="10.5" customHeight="1" x14ac:dyDescent="0.2">
      <c r="G47754" s="889"/>
    </row>
    <row r="47755" spans="7:7" ht="10.5" customHeight="1" x14ac:dyDescent="0.2">
      <c r="G47755" s="889"/>
    </row>
    <row r="47756" spans="7:7" ht="10.5" customHeight="1" x14ac:dyDescent="0.2">
      <c r="G47756" s="889"/>
    </row>
    <row r="47757" spans="7:7" ht="10.5" customHeight="1" x14ac:dyDescent="0.2">
      <c r="G47757" s="889"/>
    </row>
    <row r="47758" spans="7:7" ht="10.5" customHeight="1" x14ac:dyDescent="0.2">
      <c r="G47758" s="889"/>
    </row>
    <row r="47759" spans="7:7" ht="10.5" customHeight="1" x14ac:dyDescent="0.2">
      <c r="G47759" s="889"/>
    </row>
    <row r="47760" spans="7:7" ht="10.5" customHeight="1" x14ac:dyDescent="0.2">
      <c r="G47760" s="889"/>
    </row>
    <row r="47761" spans="7:7" ht="10.5" customHeight="1" x14ac:dyDescent="0.2">
      <c r="G47761" s="889"/>
    </row>
    <row r="47762" spans="7:7" ht="10.5" customHeight="1" x14ac:dyDescent="0.2">
      <c r="G47762" s="889"/>
    </row>
    <row r="47763" spans="7:7" ht="10.5" customHeight="1" x14ac:dyDescent="0.2">
      <c r="G47763" s="889"/>
    </row>
    <row r="47764" spans="7:7" ht="10.5" customHeight="1" x14ac:dyDescent="0.2">
      <c r="G47764" s="889"/>
    </row>
    <row r="47765" spans="7:7" ht="10.5" customHeight="1" x14ac:dyDescent="0.2">
      <c r="G47765" s="889"/>
    </row>
    <row r="47766" spans="7:7" ht="10.5" customHeight="1" x14ac:dyDescent="0.2">
      <c r="G47766" s="889"/>
    </row>
    <row r="47767" spans="7:7" ht="10.5" customHeight="1" x14ac:dyDescent="0.2">
      <c r="G47767" s="889"/>
    </row>
    <row r="47768" spans="7:7" ht="10.5" customHeight="1" x14ac:dyDescent="0.2">
      <c r="G47768" s="889"/>
    </row>
    <row r="47769" spans="7:7" ht="10.5" customHeight="1" x14ac:dyDescent="0.2">
      <c r="G47769" s="889"/>
    </row>
    <row r="47770" spans="7:7" ht="10.5" customHeight="1" x14ac:dyDescent="0.2">
      <c r="G47770" s="889"/>
    </row>
    <row r="47771" spans="7:7" ht="10.5" customHeight="1" x14ac:dyDescent="0.2">
      <c r="G47771" s="889"/>
    </row>
    <row r="47772" spans="7:7" ht="10.5" customHeight="1" x14ac:dyDescent="0.2">
      <c r="G47772" s="889"/>
    </row>
    <row r="47773" spans="7:7" ht="10.5" customHeight="1" x14ac:dyDescent="0.2">
      <c r="G47773" s="889"/>
    </row>
    <row r="47774" spans="7:7" ht="10.5" customHeight="1" x14ac:dyDescent="0.2">
      <c r="G47774" s="889"/>
    </row>
    <row r="47775" spans="7:7" ht="10.5" customHeight="1" x14ac:dyDescent="0.2">
      <c r="G47775" s="889"/>
    </row>
    <row r="47776" spans="7:7" ht="10.5" customHeight="1" x14ac:dyDescent="0.2">
      <c r="G47776" s="889"/>
    </row>
    <row r="47777" spans="7:7" ht="10.5" customHeight="1" x14ac:dyDescent="0.2">
      <c r="G47777" s="889"/>
    </row>
    <row r="47778" spans="7:7" ht="10.5" customHeight="1" x14ac:dyDescent="0.2">
      <c r="G47778" s="889"/>
    </row>
    <row r="47779" spans="7:7" ht="10.5" customHeight="1" x14ac:dyDescent="0.2">
      <c r="G47779" s="889"/>
    </row>
    <row r="47780" spans="7:7" ht="10.5" customHeight="1" x14ac:dyDescent="0.2">
      <c r="G47780" s="889"/>
    </row>
    <row r="47781" spans="7:7" ht="10.5" customHeight="1" x14ac:dyDescent="0.2">
      <c r="G47781" s="889"/>
    </row>
    <row r="47782" spans="7:7" ht="10.5" customHeight="1" x14ac:dyDescent="0.2">
      <c r="G47782" s="889"/>
    </row>
    <row r="47783" spans="7:7" ht="10.5" customHeight="1" x14ac:dyDescent="0.2">
      <c r="G47783" s="889"/>
    </row>
    <row r="47784" spans="7:7" ht="10.5" customHeight="1" x14ac:dyDescent="0.2">
      <c r="G47784" s="889"/>
    </row>
    <row r="47785" spans="7:7" ht="10.5" customHeight="1" x14ac:dyDescent="0.2">
      <c r="G47785" s="889"/>
    </row>
    <row r="47786" spans="7:7" ht="10.5" customHeight="1" x14ac:dyDescent="0.2">
      <c r="G47786" s="889"/>
    </row>
    <row r="47787" spans="7:7" ht="10.5" customHeight="1" x14ac:dyDescent="0.2">
      <c r="G47787" s="889"/>
    </row>
    <row r="47788" spans="7:7" ht="10.5" customHeight="1" x14ac:dyDescent="0.2">
      <c r="G47788" s="889"/>
    </row>
    <row r="47789" spans="7:7" ht="10.5" customHeight="1" x14ac:dyDescent="0.2">
      <c r="G47789" s="889"/>
    </row>
    <row r="47790" spans="7:7" ht="10.5" customHeight="1" x14ac:dyDescent="0.2">
      <c r="G47790" s="889"/>
    </row>
    <row r="47791" spans="7:7" ht="10.5" customHeight="1" x14ac:dyDescent="0.2">
      <c r="G47791" s="889"/>
    </row>
    <row r="47792" spans="7:7" ht="10.5" customHeight="1" x14ac:dyDescent="0.2">
      <c r="G47792" s="889"/>
    </row>
    <row r="47793" spans="7:7" ht="10.5" customHeight="1" x14ac:dyDescent="0.2">
      <c r="G47793" s="889"/>
    </row>
    <row r="47794" spans="7:7" ht="10.5" customHeight="1" x14ac:dyDescent="0.2">
      <c r="G47794" s="889"/>
    </row>
    <row r="47795" spans="7:7" ht="10.5" customHeight="1" x14ac:dyDescent="0.2">
      <c r="G47795" s="889"/>
    </row>
    <row r="47796" spans="7:7" ht="10.5" customHeight="1" x14ac:dyDescent="0.2">
      <c r="G47796" s="889"/>
    </row>
    <row r="47797" spans="7:7" ht="10.5" customHeight="1" x14ac:dyDescent="0.2">
      <c r="G47797" s="889"/>
    </row>
    <row r="47798" spans="7:7" ht="10.5" customHeight="1" x14ac:dyDescent="0.2">
      <c r="G47798" s="889"/>
    </row>
    <row r="47799" spans="7:7" ht="10.5" customHeight="1" x14ac:dyDescent="0.2">
      <c r="G47799" s="889"/>
    </row>
    <row r="47800" spans="7:7" ht="10.5" customHeight="1" x14ac:dyDescent="0.2">
      <c r="G47800" s="889"/>
    </row>
    <row r="47801" spans="7:7" ht="10.5" customHeight="1" x14ac:dyDescent="0.2">
      <c r="G47801" s="889"/>
    </row>
    <row r="47802" spans="7:7" ht="10.5" customHeight="1" x14ac:dyDescent="0.2">
      <c r="G47802" s="889"/>
    </row>
    <row r="47803" spans="7:7" ht="10.5" customHeight="1" x14ac:dyDescent="0.2">
      <c r="G47803" s="889"/>
    </row>
    <row r="47804" spans="7:7" ht="10.5" customHeight="1" x14ac:dyDescent="0.2">
      <c r="G47804" s="889"/>
    </row>
    <row r="47805" spans="7:7" ht="10.5" customHeight="1" x14ac:dyDescent="0.2">
      <c r="G47805" s="889"/>
    </row>
    <row r="47806" spans="7:7" ht="10.5" customHeight="1" x14ac:dyDescent="0.2">
      <c r="G47806" s="889"/>
    </row>
    <row r="47807" spans="7:7" ht="10.5" customHeight="1" x14ac:dyDescent="0.2">
      <c r="G47807" s="889"/>
    </row>
    <row r="47808" spans="7:7" ht="10.5" customHeight="1" x14ac:dyDescent="0.2">
      <c r="G47808" s="889"/>
    </row>
    <row r="47809" spans="7:7" ht="10.5" customHeight="1" x14ac:dyDescent="0.2">
      <c r="G47809" s="889"/>
    </row>
    <row r="47810" spans="7:7" ht="10.5" customHeight="1" x14ac:dyDescent="0.2">
      <c r="G47810" s="889"/>
    </row>
    <row r="47811" spans="7:7" ht="10.5" customHeight="1" x14ac:dyDescent="0.2">
      <c r="G47811" s="889"/>
    </row>
    <row r="47812" spans="7:7" ht="10.5" customHeight="1" x14ac:dyDescent="0.2">
      <c r="G47812" s="889"/>
    </row>
    <row r="47813" spans="7:7" ht="10.5" customHeight="1" x14ac:dyDescent="0.2">
      <c r="G47813" s="889"/>
    </row>
    <row r="47814" spans="7:7" ht="10.5" customHeight="1" x14ac:dyDescent="0.2">
      <c r="G47814" s="889"/>
    </row>
    <row r="47815" spans="7:7" ht="10.5" customHeight="1" x14ac:dyDescent="0.2">
      <c r="G47815" s="889"/>
    </row>
    <row r="47816" spans="7:7" ht="10.5" customHeight="1" x14ac:dyDescent="0.2">
      <c r="G47816" s="889"/>
    </row>
    <row r="47817" spans="7:7" ht="10.5" customHeight="1" x14ac:dyDescent="0.2">
      <c r="G47817" s="889"/>
    </row>
    <row r="47818" spans="7:7" ht="10.5" customHeight="1" x14ac:dyDescent="0.2">
      <c r="G47818" s="889"/>
    </row>
    <row r="47819" spans="7:7" ht="10.5" customHeight="1" x14ac:dyDescent="0.2">
      <c r="G47819" s="889"/>
    </row>
    <row r="47820" spans="7:7" ht="10.5" customHeight="1" x14ac:dyDescent="0.2">
      <c r="G47820" s="889"/>
    </row>
    <row r="47821" spans="7:7" ht="10.5" customHeight="1" x14ac:dyDescent="0.2">
      <c r="G47821" s="889"/>
    </row>
    <row r="47822" spans="7:7" ht="10.5" customHeight="1" x14ac:dyDescent="0.2">
      <c r="G47822" s="889"/>
    </row>
    <row r="47823" spans="7:7" ht="10.5" customHeight="1" x14ac:dyDescent="0.2">
      <c r="G47823" s="889"/>
    </row>
    <row r="47824" spans="7:7" ht="10.5" customHeight="1" x14ac:dyDescent="0.2">
      <c r="G47824" s="889"/>
    </row>
    <row r="47825" spans="7:7" ht="10.5" customHeight="1" x14ac:dyDescent="0.2">
      <c r="G47825" s="889"/>
    </row>
    <row r="47826" spans="7:7" ht="10.5" customHeight="1" x14ac:dyDescent="0.2">
      <c r="G47826" s="889"/>
    </row>
    <row r="47827" spans="7:7" ht="10.5" customHeight="1" x14ac:dyDescent="0.2">
      <c r="G47827" s="889"/>
    </row>
    <row r="47828" spans="7:7" ht="10.5" customHeight="1" x14ac:dyDescent="0.2">
      <c r="G47828" s="889"/>
    </row>
    <row r="47829" spans="7:7" ht="10.5" customHeight="1" x14ac:dyDescent="0.2">
      <c r="G47829" s="889"/>
    </row>
    <row r="47830" spans="7:7" ht="10.5" customHeight="1" x14ac:dyDescent="0.2">
      <c r="G47830" s="889"/>
    </row>
    <row r="47831" spans="7:7" ht="10.5" customHeight="1" x14ac:dyDescent="0.2">
      <c r="G47831" s="889"/>
    </row>
    <row r="47832" spans="7:7" ht="10.5" customHeight="1" x14ac:dyDescent="0.2">
      <c r="G47832" s="889"/>
    </row>
    <row r="47833" spans="7:7" ht="10.5" customHeight="1" x14ac:dyDescent="0.2">
      <c r="G47833" s="889"/>
    </row>
    <row r="47834" spans="7:7" ht="10.5" customHeight="1" x14ac:dyDescent="0.2">
      <c r="G47834" s="889"/>
    </row>
    <row r="47835" spans="7:7" ht="10.5" customHeight="1" x14ac:dyDescent="0.2">
      <c r="G47835" s="889"/>
    </row>
    <row r="47836" spans="7:7" ht="10.5" customHeight="1" x14ac:dyDescent="0.2">
      <c r="G47836" s="889"/>
    </row>
    <row r="47837" spans="7:7" ht="10.5" customHeight="1" x14ac:dyDescent="0.2">
      <c r="G47837" s="889"/>
    </row>
    <row r="47838" spans="7:7" ht="10.5" customHeight="1" x14ac:dyDescent="0.2">
      <c r="G47838" s="889"/>
    </row>
    <row r="47839" spans="7:7" ht="10.5" customHeight="1" x14ac:dyDescent="0.2">
      <c r="G47839" s="889"/>
    </row>
    <row r="47840" spans="7:7" ht="10.5" customHeight="1" x14ac:dyDescent="0.2">
      <c r="G47840" s="889"/>
    </row>
    <row r="47841" spans="7:7" ht="10.5" customHeight="1" x14ac:dyDescent="0.2">
      <c r="G47841" s="889"/>
    </row>
    <row r="47842" spans="7:7" ht="10.5" customHeight="1" x14ac:dyDescent="0.2">
      <c r="G47842" s="889"/>
    </row>
    <row r="47843" spans="7:7" ht="10.5" customHeight="1" x14ac:dyDescent="0.2">
      <c r="G47843" s="889"/>
    </row>
    <row r="47844" spans="7:7" ht="10.5" customHeight="1" x14ac:dyDescent="0.2">
      <c r="G47844" s="889"/>
    </row>
    <row r="47845" spans="7:7" ht="10.5" customHeight="1" x14ac:dyDescent="0.2">
      <c r="G47845" s="889"/>
    </row>
    <row r="47846" spans="7:7" ht="10.5" customHeight="1" x14ac:dyDescent="0.2">
      <c r="G47846" s="889"/>
    </row>
    <row r="47847" spans="7:7" ht="10.5" customHeight="1" x14ac:dyDescent="0.2">
      <c r="G47847" s="889"/>
    </row>
    <row r="47848" spans="7:7" ht="10.5" customHeight="1" x14ac:dyDescent="0.2">
      <c r="G47848" s="889"/>
    </row>
    <row r="47849" spans="7:7" ht="10.5" customHeight="1" x14ac:dyDescent="0.2">
      <c r="G47849" s="889"/>
    </row>
    <row r="47850" spans="7:7" ht="10.5" customHeight="1" x14ac:dyDescent="0.2">
      <c r="G47850" s="889"/>
    </row>
    <row r="47851" spans="7:7" ht="10.5" customHeight="1" x14ac:dyDescent="0.2">
      <c r="G47851" s="889"/>
    </row>
    <row r="47852" spans="7:7" ht="10.5" customHeight="1" x14ac:dyDescent="0.2">
      <c r="G47852" s="889"/>
    </row>
    <row r="47853" spans="7:7" ht="10.5" customHeight="1" x14ac:dyDescent="0.2">
      <c r="G47853" s="889"/>
    </row>
    <row r="47854" spans="7:7" ht="10.5" customHeight="1" x14ac:dyDescent="0.2">
      <c r="G47854" s="889"/>
    </row>
    <row r="47855" spans="7:7" ht="10.5" customHeight="1" x14ac:dyDescent="0.2">
      <c r="G47855" s="889"/>
    </row>
    <row r="47856" spans="7:7" ht="10.5" customHeight="1" x14ac:dyDescent="0.2">
      <c r="G47856" s="889"/>
    </row>
    <row r="47857" spans="7:7" ht="10.5" customHeight="1" x14ac:dyDescent="0.2">
      <c r="G47857" s="889"/>
    </row>
    <row r="47858" spans="7:7" ht="10.5" customHeight="1" x14ac:dyDescent="0.2">
      <c r="G47858" s="889"/>
    </row>
    <row r="47859" spans="7:7" ht="10.5" customHeight="1" x14ac:dyDescent="0.2">
      <c r="G47859" s="889"/>
    </row>
    <row r="47860" spans="7:7" ht="10.5" customHeight="1" x14ac:dyDescent="0.2">
      <c r="G47860" s="889"/>
    </row>
    <row r="47861" spans="7:7" ht="10.5" customHeight="1" x14ac:dyDescent="0.2">
      <c r="G47861" s="889"/>
    </row>
    <row r="47862" spans="7:7" ht="10.5" customHeight="1" x14ac:dyDescent="0.2">
      <c r="G47862" s="889"/>
    </row>
    <row r="47863" spans="7:7" ht="10.5" customHeight="1" x14ac:dyDescent="0.2">
      <c r="G47863" s="889"/>
    </row>
    <row r="47864" spans="7:7" ht="10.5" customHeight="1" x14ac:dyDescent="0.2">
      <c r="G47864" s="889"/>
    </row>
    <row r="47865" spans="7:7" ht="10.5" customHeight="1" x14ac:dyDescent="0.2">
      <c r="G47865" s="889"/>
    </row>
    <row r="47866" spans="7:7" ht="10.5" customHeight="1" x14ac:dyDescent="0.2">
      <c r="G47866" s="889"/>
    </row>
    <row r="47867" spans="7:7" ht="10.5" customHeight="1" x14ac:dyDescent="0.2">
      <c r="G47867" s="889"/>
    </row>
    <row r="47868" spans="7:7" ht="10.5" customHeight="1" x14ac:dyDescent="0.2">
      <c r="G47868" s="889"/>
    </row>
    <row r="47869" spans="7:7" ht="10.5" customHeight="1" x14ac:dyDescent="0.2">
      <c r="G47869" s="889"/>
    </row>
    <row r="47870" spans="7:7" ht="10.5" customHeight="1" x14ac:dyDescent="0.2">
      <c r="G47870" s="889"/>
    </row>
    <row r="47871" spans="7:7" ht="10.5" customHeight="1" x14ac:dyDescent="0.2">
      <c r="G47871" s="889"/>
    </row>
    <row r="47872" spans="7:7" ht="10.5" customHeight="1" x14ac:dyDescent="0.2">
      <c r="G47872" s="889"/>
    </row>
    <row r="47873" spans="7:7" ht="10.5" customHeight="1" x14ac:dyDescent="0.2">
      <c r="G47873" s="889"/>
    </row>
    <row r="47874" spans="7:7" ht="10.5" customHeight="1" x14ac:dyDescent="0.2">
      <c r="G47874" s="889"/>
    </row>
    <row r="47875" spans="7:7" ht="10.5" customHeight="1" x14ac:dyDescent="0.2">
      <c r="G47875" s="889"/>
    </row>
    <row r="47876" spans="7:7" ht="10.5" customHeight="1" x14ac:dyDescent="0.2">
      <c r="G47876" s="889"/>
    </row>
    <row r="47877" spans="7:7" ht="10.5" customHeight="1" x14ac:dyDescent="0.2">
      <c r="G47877" s="889"/>
    </row>
    <row r="47878" spans="7:7" ht="10.5" customHeight="1" x14ac:dyDescent="0.2">
      <c r="G47878" s="889"/>
    </row>
    <row r="47879" spans="7:7" ht="10.5" customHeight="1" x14ac:dyDescent="0.2">
      <c r="G47879" s="889"/>
    </row>
    <row r="47880" spans="7:7" ht="10.5" customHeight="1" x14ac:dyDescent="0.2">
      <c r="G47880" s="889"/>
    </row>
    <row r="47881" spans="7:7" ht="10.5" customHeight="1" x14ac:dyDescent="0.2">
      <c r="G47881" s="889"/>
    </row>
    <row r="47882" spans="7:7" ht="10.5" customHeight="1" x14ac:dyDescent="0.2">
      <c r="G47882" s="889"/>
    </row>
    <row r="47883" spans="7:7" ht="10.5" customHeight="1" x14ac:dyDescent="0.2">
      <c r="G47883" s="889"/>
    </row>
    <row r="47884" spans="7:7" ht="10.5" customHeight="1" x14ac:dyDescent="0.2">
      <c r="G47884" s="889"/>
    </row>
    <row r="47885" spans="7:7" ht="10.5" customHeight="1" x14ac:dyDescent="0.2">
      <c r="G47885" s="889"/>
    </row>
    <row r="47886" spans="7:7" ht="10.5" customHeight="1" x14ac:dyDescent="0.2">
      <c r="G47886" s="889"/>
    </row>
    <row r="47887" spans="7:7" ht="10.5" customHeight="1" x14ac:dyDescent="0.2">
      <c r="G47887" s="889"/>
    </row>
    <row r="47888" spans="7:7" ht="10.5" customHeight="1" x14ac:dyDescent="0.2">
      <c r="G47888" s="889"/>
    </row>
    <row r="47889" spans="7:7" ht="10.5" customHeight="1" x14ac:dyDescent="0.2">
      <c r="G47889" s="889"/>
    </row>
    <row r="47890" spans="7:7" ht="10.5" customHeight="1" x14ac:dyDescent="0.2">
      <c r="G47890" s="889"/>
    </row>
    <row r="47891" spans="7:7" ht="10.5" customHeight="1" x14ac:dyDescent="0.2">
      <c r="G47891" s="889"/>
    </row>
    <row r="47892" spans="7:7" ht="10.5" customHeight="1" x14ac:dyDescent="0.2">
      <c r="G47892" s="889"/>
    </row>
    <row r="47893" spans="7:7" ht="10.5" customHeight="1" x14ac:dyDescent="0.2">
      <c r="G47893" s="889"/>
    </row>
    <row r="47894" spans="7:7" ht="10.5" customHeight="1" x14ac:dyDescent="0.2">
      <c r="G47894" s="889"/>
    </row>
    <row r="47895" spans="7:7" ht="10.5" customHeight="1" x14ac:dyDescent="0.2">
      <c r="G47895" s="889"/>
    </row>
    <row r="47896" spans="7:7" ht="10.5" customHeight="1" x14ac:dyDescent="0.2">
      <c r="G47896" s="889"/>
    </row>
    <row r="47897" spans="7:7" ht="10.5" customHeight="1" x14ac:dyDescent="0.2">
      <c r="G47897" s="889"/>
    </row>
    <row r="47898" spans="7:7" ht="10.5" customHeight="1" x14ac:dyDescent="0.2">
      <c r="G47898" s="889"/>
    </row>
    <row r="47899" spans="7:7" ht="10.5" customHeight="1" x14ac:dyDescent="0.2">
      <c r="G47899" s="889"/>
    </row>
    <row r="47900" spans="7:7" ht="10.5" customHeight="1" x14ac:dyDescent="0.2">
      <c r="G47900" s="889"/>
    </row>
    <row r="47901" spans="7:7" ht="10.5" customHeight="1" x14ac:dyDescent="0.2">
      <c r="G47901" s="889"/>
    </row>
    <row r="47902" spans="7:7" ht="10.5" customHeight="1" x14ac:dyDescent="0.2">
      <c r="G47902" s="889"/>
    </row>
    <row r="47903" spans="7:7" ht="10.5" customHeight="1" x14ac:dyDescent="0.2">
      <c r="G47903" s="889"/>
    </row>
    <row r="47904" spans="7:7" ht="10.5" customHeight="1" x14ac:dyDescent="0.2">
      <c r="G47904" s="889"/>
    </row>
    <row r="47905" spans="7:7" ht="10.5" customHeight="1" x14ac:dyDescent="0.2">
      <c r="G47905" s="889"/>
    </row>
    <row r="47906" spans="7:7" ht="10.5" customHeight="1" x14ac:dyDescent="0.2">
      <c r="G47906" s="889"/>
    </row>
    <row r="47907" spans="7:7" ht="10.5" customHeight="1" x14ac:dyDescent="0.2">
      <c r="G47907" s="889"/>
    </row>
    <row r="47908" spans="7:7" ht="10.5" customHeight="1" x14ac:dyDescent="0.2">
      <c r="G47908" s="889"/>
    </row>
    <row r="47909" spans="7:7" ht="10.5" customHeight="1" x14ac:dyDescent="0.2">
      <c r="G47909" s="889"/>
    </row>
    <row r="47910" spans="7:7" ht="10.5" customHeight="1" x14ac:dyDescent="0.2">
      <c r="G47910" s="889"/>
    </row>
    <row r="47911" spans="7:7" ht="10.5" customHeight="1" x14ac:dyDescent="0.2">
      <c r="G47911" s="889"/>
    </row>
    <row r="47912" spans="7:7" ht="10.5" customHeight="1" x14ac:dyDescent="0.2">
      <c r="G47912" s="889"/>
    </row>
    <row r="47913" spans="7:7" ht="10.5" customHeight="1" x14ac:dyDescent="0.2">
      <c r="G47913" s="889"/>
    </row>
    <row r="47914" spans="7:7" ht="10.5" customHeight="1" x14ac:dyDescent="0.2">
      <c r="G47914" s="889"/>
    </row>
    <row r="47915" spans="7:7" ht="10.5" customHeight="1" x14ac:dyDescent="0.2">
      <c r="G47915" s="889"/>
    </row>
    <row r="47916" spans="7:7" ht="10.5" customHeight="1" x14ac:dyDescent="0.2">
      <c r="G47916" s="889"/>
    </row>
    <row r="47917" spans="7:7" ht="10.5" customHeight="1" x14ac:dyDescent="0.2">
      <c r="G47917" s="889"/>
    </row>
    <row r="47918" spans="7:7" ht="10.5" customHeight="1" x14ac:dyDescent="0.2">
      <c r="G47918" s="889"/>
    </row>
    <row r="47919" spans="7:7" ht="10.5" customHeight="1" x14ac:dyDescent="0.2">
      <c r="G47919" s="889"/>
    </row>
    <row r="47920" spans="7:7" ht="10.5" customHeight="1" x14ac:dyDescent="0.2">
      <c r="G47920" s="889"/>
    </row>
    <row r="47921" spans="7:7" ht="10.5" customHeight="1" x14ac:dyDescent="0.2">
      <c r="G47921" s="889"/>
    </row>
    <row r="47922" spans="7:7" ht="10.5" customHeight="1" x14ac:dyDescent="0.2">
      <c r="G47922" s="889"/>
    </row>
    <row r="47923" spans="7:7" ht="10.5" customHeight="1" x14ac:dyDescent="0.2">
      <c r="G47923" s="889"/>
    </row>
    <row r="47924" spans="7:7" ht="10.5" customHeight="1" x14ac:dyDescent="0.2">
      <c r="G47924" s="889"/>
    </row>
    <row r="47925" spans="7:7" ht="10.5" customHeight="1" x14ac:dyDescent="0.2">
      <c r="G47925" s="889"/>
    </row>
    <row r="47926" spans="7:7" ht="10.5" customHeight="1" x14ac:dyDescent="0.2">
      <c r="G47926" s="889"/>
    </row>
    <row r="47927" spans="7:7" ht="10.5" customHeight="1" x14ac:dyDescent="0.2">
      <c r="G47927" s="889"/>
    </row>
    <row r="47928" spans="7:7" ht="10.5" customHeight="1" x14ac:dyDescent="0.2">
      <c r="G47928" s="889"/>
    </row>
    <row r="47929" spans="7:7" ht="10.5" customHeight="1" x14ac:dyDescent="0.2">
      <c r="G47929" s="889"/>
    </row>
    <row r="47930" spans="7:7" ht="10.5" customHeight="1" x14ac:dyDescent="0.2">
      <c r="G47930" s="889"/>
    </row>
    <row r="47931" spans="7:7" ht="10.5" customHeight="1" x14ac:dyDescent="0.2">
      <c r="G47931" s="889"/>
    </row>
    <row r="47932" spans="7:7" ht="10.5" customHeight="1" x14ac:dyDescent="0.2">
      <c r="G47932" s="889"/>
    </row>
    <row r="47933" spans="7:7" ht="10.5" customHeight="1" x14ac:dyDescent="0.2">
      <c r="G47933" s="889"/>
    </row>
    <row r="47934" spans="7:7" ht="10.5" customHeight="1" x14ac:dyDescent="0.2">
      <c r="G47934" s="889"/>
    </row>
    <row r="47935" spans="7:7" ht="10.5" customHeight="1" x14ac:dyDescent="0.2">
      <c r="G47935" s="889"/>
    </row>
    <row r="47936" spans="7:7" ht="10.5" customHeight="1" x14ac:dyDescent="0.2">
      <c r="G47936" s="889"/>
    </row>
    <row r="47937" spans="7:7" ht="10.5" customHeight="1" x14ac:dyDescent="0.2">
      <c r="G47937" s="889"/>
    </row>
    <row r="47938" spans="7:7" ht="10.5" customHeight="1" x14ac:dyDescent="0.2">
      <c r="G47938" s="889"/>
    </row>
    <row r="47939" spans="7:7" ht="10.5" customHeight="1" x14ac:dyDescent="0.2">
      <c r="G47939" s="889"/>
    </row>
    <row r="47940" spans="7:7" ht="10.5" customHeight="1" x14ac:dyDescent="0.2">
      <c r="G47940" s="889"/>
    </row>
    <row r="47941" spans="7:7" ht="10.5" customHeight="1" x14ac:dyDescent="0.2">
      <c r="G47941" s="889"/>
    </row>
    <row r="47942" spans="7:7" ht="10.5" customHeight="1" x14ac:dyDescent="0.2">
      <c r="G47942" s="889"/>
    </row>
    <row r="47943" spans="7:7" ht="10.5" customHeight="1" x14ac:dyDescent="0.2">
      <c r="G47943" s="889"/>
    </row>
    <row r="47944" spans="7:7" ht="10.5" customHeight="1" x14ac:dyDescent="0.2">
      <c r="G47944" s="889"/>
    </row>
    <row r="47945" spans="7:7" ht="10.5" customHeight="1" x14ac:dyDescent="0.2">
      <c r="G47945" s="889"/>
    </row>
    <row r="47946" spans="7:7" ht="10.5" customHeight="1" x14ac:dyDescent="0.2">
      <c r="G47946" s="889"/>
    </row>
    <row r="47947" spans="7:7" ht="10.5" customHeight="1" x14ac:dyDescent="0.2">
      <c r="G47947" s="889"/>
    </row>
    <row r="47948" spans="7:7" ht="10.5" customHeight="1" x14ac:dyDescent="0.2">
      <c r="G47948" s="889"/>
    </row>
    <row r="47949" spans="7:7" ht="10.5" customHeight="1" x14ac:dyDescent="0.2">
      <c r="G47949" s="889"/>
    </row>
    <row r="47950" spans="7:7" ht="10.5" customHeight="1" x14ac:dyDescent="0.2">
      <c r="G47950" s="889"/>
    </row>
    <row r="47951" spans="7:7" ht="10.5" customHeight="1" x14ac:dyDescent="0.2">
      <c r="G47951" s="889"/>
    </row>
    <row r="47952" spans="7:7" ht="10.5" customHeight="1" x14ac:dyDescent="0.2">
      <c r="G47952" s="889"/>
    </row>
    <row r="47953" spans="7:7" ht="10.5" customHeight="1" x14ac:dyDescent="0.2">
      <c r="G47953" s="889"/>
    </row>
    <row r="47954" spans="7:7" ht="10.5" customHeight="1" x14ac:dyDescent="0.2">
      <c r="G47954" s="889"/>
    </row>
    <row r="47955" spans="7:7" ht="10.5" customHeight="1" x14ac:dyDescent="0.2">
      <c r="G47955" s="889"/>
    </row>
    <row r="47956" spans="7:7" ht="10.5" customHeight="1" x14ac:dyDescent="0.2">
      <c r="G47956" s="889"/>
    </row>
    <row r="47957" spans="7:7" ht="10.5" customHeight="1" x14ac:dyDescent="0.2">
      <c r="G47957" s="889"/>
    </row>
    <row r="47958" spans="7:7" ht="10.5" customHeight="1" x14ac:dyDescent="0.2">
      <c r="G47958" s="889"/>
    </row>
    <row r="47959" spans="7:7" ht="10.5" customHeight="1" x14ac:dyDescent="0.2">
      <c r="G47959" s="889"/>
    </row>
    <row r="47960" spans="7:7" ht="10.5" customHeight="1" x14ac:dyDescent="0.2">
      <c r="G47960" s="889"/>
    </row>
    <row r="47961" spans="7:7" ht="10.5" customHeight="1" x14ac:dyDescent="0.2">
      <c r="G47961" s="889"/>
    </row>
    <row r="47962" spans="7:7" ht="10.5" customHeight="1" x14ac:dyDescent="0.2">
      <c r="G47962" s="889"/>
    </row>
    <row r="47963" spans="7:7" ht="10.5" customHeight="1" x14ac:dyDescent="0.2">
      <c r="G47963" s="889"/>
    </row>
    <row r="47964" spans="7:7" ht="10.5" customHeight="1" x14ac:dyDescent="0.2">
      <c r="G47964" s="889"/>
    </row>
    <row r="47965" spans="7:7" ht="10.5" customHeight="1" x14ac:dyDescent="0.2">
      <c r="G47965" s="889"/>
    </row>
    <row r="47966" spans="7:7" ht="10.5" customHeight="1" x14ac:dyDescent="0.2">
      <c r="G47966" s="889"/>
    </row>
    <row r="47967" spans="7:7" ht="10.5" customHeight="1" x14ac:dyDescent="0.2">
      <c r="G47967" s="889"/>
    </row>
    <row r="47968" spans="7:7" ht="10.5" customHeight="1" x14ac:dyDescent="0.2">
      <c r="G47968" s="889"/>
    </row>
    <row r="47969" spans="7:7" ht="10.5" customHeight="1" x14ac:dyDescent="0.2">
      <c r="G47969" s="889"/>
    </row>
    <row r="47970" spans="7:7" ht="10.5" customHeight="1" x14ac:dyDescent="0.2">
      <c r="G47970" s="889"/>
    </row>
    <row r="47971" spans="7:7" ht="10.5" customHeight="1" x14ac:dyDescent="0.2">
      <c r="G47971" s="889"/>
    </row>
    <row r="47972" spans="7:7" ht="10.5" customHeight="1" x14ac:dyDescent="0.2">
      <c r="G47972" s="889"/>
    </row>
    <row r="47973" spans="7:7" ht="10.5" customHeight="1" x14ac:dyDescent="0.2">
      <c r="G47973" s="889"/>
    </row>
    <row r="47974" spans="7:7" ht="10.5" customHeight="1" x14ac:dyDescent="0.2">
      <c r="G47974" s="889"/>
    </row>
    <row r="47975" spans="7:7" ht="10.5" customHeight="1" x14ac:dyDescent="0.2">
      <c r="G47975" s="889"/>
    </row>
    <row r="47976" spans="7:7" ht="10.5" customHeight="1" x14ac:dyDescent="0.2">
      <c r="G47976" s="889"/>
    </row>
    <row r="47977" spans="7:7" ht="10.5" customHeight="1" x14ac:dyDescent="0.2">
      <c r="G47977" s="889"/>
    </row>
    <row r="47978" spans="7:7" ht="10.5" customHeight="1" x14ac:dyDescent="0.2">
      <c r="G47978" s="889"/>
    </row>
    <row r="47979" spans="7:7" ht="10.5" customHeight="1" x14ac:dyDescent="0.2">
      <c r="G47979" s="889"/>
    </row>
    <row r="47980" spans="7:7" ht="10.5" customHeight="1" x14ac:dyDescent="0.2">
      <c r="G47980" s="889"/>
    </row>
    <row r="47981" spans="7:7" ht="10.5" customHeight="1" x14ac:dyDescent="0.2">
      <c r="G47981" s="889"/>
    </row>
    <row r="47982" spans="7:7" ht="10.5" customHeight="1" x14ac:dyDescent="0.2">
      <c r="G47982" s="889"/>
    </row>
    <row r="47983" spans="7:7" ht="10.5" customHeight="1" x14ac:dyDescent="0.2">
      <c r="G47983" s="889"/>
    </row>
    <row r="47984" spans="7:7" ht="10.5" customHeight="1" x14ac:dyDescent="0.2">
      <c r="G47984" s="889"/>
    </row>
    <row r="47985" spans="7:7" ht="10.5" customHeight="1" x14ac:dyDescent="0.2">
      <c r="G47985" s="889"/>
    </row>
    <row r="47986" spans="7:7" ht="10.5" customHeight="1" x14ac:dyDescent="0.2">
      <c r="G47986" s="889"/>
    </row>
    <row r="47987" spans="7:7" ht="10.5" customHeight="1" x14ac:dyDescent="0.2">
      <c r="G47987" s="889"/>
    </row>
    <row r="47988" spans="7:7" ht="10.5" customHeight="1" x14ac:dyDescent="0.2">
      <c r="G47988" s="889"/>
    </row>
    <row r="47989" spans="7:7" ht="10.5" customHeight="1" x14ac:dyDescent="0.2">
      <c r="G47989" s="889"/>
    </row>
    <row r="47990" spans="7:7" ht="10.5" customHeight="1" x14ac:dyDescent="0.2">
      <c r="G47990" s="889"/>
    </row>
    <row r="47991" spans="7:7" ht="10.5" customHeight="1" x14ac:dyDescent="0.2">
      <c r="G47991" s="889"/>
    </row>
    <row r="47992" spans="7:7" ht="10.5" customHeight="1" x14ac:dyDescent="0.2">
      <c r="G47992" s="889"/>
    </row>
    <row r="47993" spans="7:7" ht="10.5" customHeight="1" x14ac:dyDescent="0.2">
      <c r="G47993" s="889"/>
    </row>
    <row r="47994" spans="7:7" ht="10.5" customHeight="1" x14ac:dyDescent="0.2">
      <c r="G47994" s="889"/>
    </row>
    <row r="47995" spans="7:7" ht="10.5" customHeight="1" x14ac:dyDescent="0.2">
      <c r="G47995" s="889"/>
    </row>
    <row r="47996" spans="7:7" ht="10.5" customHeight="1" x14ac:dyDescent="0.2">
      <c r="G47996" s="889"/>
    </row>
    <row r="47997" spans="7:7" ht="10.5" customHeight="1" x14ac:dyDescent="0.2">
      <c r="G47997" s="889"/>
    </row>
    <row r="47998" spans="7:7" ht="10.5" customHeight="1" x14ac:dyDescent="0.2">
      <c r="G47998" s="889"/>
    </row>
    <row r="47999" spans="7:7" ht="10.5" customHeight="1" x14ac:dyDescent="0.2">
      <c r="G47999" s="889"/>
    </row>
    <row r="48000" spans="7:7" ht="10.5" customHeight="1" x14ac:dyDescent="0.2">
      <c r="G48000" s="889"/>
    </row>
    <row r="48001" spans="7:7" ht="10.5" customHeight="1" x14ac:dyDescent="0.2">
      <c r="G48001" s="889"/>
    </row>
    <row r="48002" spans="7:7" ht="10.5" customHeight="1" x14ac:dyDescent="0.2">
      <c r="G48002" s="889"/>
    </row>
    <row r="48003" spans="7:7" ht="10.5" customHeight="1" x14ac:dyDescent="0.2">
      <c r="G48003" s="889"/>
    </row>
    <row r="48004" spans="7:7" ht="10.5" customHeight="1" x14ac:dyDescent="0.2">
      <c r="G48004" s="889"/>
    </row>
    <row r="48005" spans="7:7" ht="10.5" customHeight="1" x14ac:dyDescent="0.2">
      <c r="G48005" s="889"/>
    </row>
    <row r="48006" spans="7:7" ht="10.5" customHeight="1" x14ac:dyDescent="0.2">
      <c r="G48006" s="889"/>
    </row>
    <row r="48007" spans="7:7" ht="10.5" customHeight="1" x14ac:dyDescent="0.2">
      <c r="G48007" s="889"/>
    </row>
    <row r="48008" spans="7:7" ht="10.5" customHeight="1" x14ac:dyDescent="0.2">
      <c r="G48008" s="889"/>
    </row>
    <row r="48009" spans="7:7" ht="10.5" customHeight="1" x14ac:dyDescent="0.2">
      <c r="G48009" s="889"/>
    </row>
    <row r="48010" spans="7:7" ht="10.5" customHeight="1" x14ac:dyDescent="0.2">
      <c r="G48010" s="889"/>
    </row>
    <row r="48011" spans="7:7" ht="10.5" customHeight="1" x14ac:dyDescent="0.2">
      <c r="G48011" s="889"/>
    </row>
    <row r="48012" spans="7:7" ht="10.5" customHeight="1" x14ac:dyDescent="0.2">
      <c r="G48012" s="889"/>
    </row>
    <row r="48013" spans="7:7" ht="10.5" customHeight="1" x14ac:dyDescent="0.2">
      <c r="G48013" s="889"/>
    </row>
    <row r="48014" spans="7:7" ht="10.5" customHeight="1" x14ac:dyDescent="0.2">
      <c r="G48014" s="889"/>
    </row>
    <row r="48015" spans="7:7" ht="10.5" customHeight="1" x14ac:dyDescent="0.2">
      <c r="G48015" s="889"/>
    </row>
    <row r="48016" spans="7:7" ht="10.5" customHeight="1" x14ac:dyDescent="0.2">
      <c r="G48016" s="889"/>
    </row>
    <row r="48017" spans="7:7" ht="10.5" customHeight="1" x14ac:dyDescent="0.2">
      <c r="G48017" s="889"/>
    </row>
    <row r="48018" spans="7:7" ht="10.5" customHeight="1" x14ac:dyDescent="0.2">
      <c r="G48018" s="889"/>
    </row>
    <row r="48019" spans="7:7" ht="10.5" customHeight="1" x14ac:dyDescent="0.2">
      <c r="G48019" s="889"/>
    </row>
    <row r="48020" spans="7:7" ht="10.5" customHeight="1" x14ac:dyDescent="0.2">
      <c r="G48020" s="889"/>
    </row>
    <row r="48021" spans="7:7" ht="10.5" customHeight="1" x14ac:dyDescent="0.2">
      <c r="G48021" s="889"/>
    </row>
    <row r="48022" spans="7:7" ht="10.5" customHeight="1" x14ac:dyDescent="0.2">
      <c r="G48022" s="889"/>
    </row>
    <row r="48023" spans="7:7" ht="10.5" customHeight="1" x14ac:dyDescent="0.2">
      <c r="G48023" s="889"/>
    </row>
    <row r="48024" spans="7:7" ht="10.5" customHeight="1" x14ac:dyDescent="0.2">
      <c r="G48024" s="889"/>
    </row>
    <row r="48025" spans="7:7" ht="10.5" customHeight="1" x14ac:dyDescent="0.2">
      <c r="G48025" s="889"/>
    </row>
    <row r="48026" spans="7:7" ht="10.5" customHeight="1" x14ac:dyDescent="0.2">
      <c r="G48026" s="889"/>
    </row>
    <row r="48027" spans="7:7" ht="10.5" customHeight="1" x14ac:dyDescent="0.2">
      <c r="G48027" s="889"/>
    </row>
    <row r="48028" spans="7:7" ht="10.5" customHeight="1" x14ac:dyDescent="0.2">
      <c r="G48028" s="889"/>
    </row>
    <row r="48029" spans="7:7" ht="10.5" customHeight="1" x14ac:dyDescent="0.2">
      <c r="G48029" s="889"/>
    </row>
    <row r="48030" spans="7:7" ht="10.5" customHeight="1" x14ac:dyDescent="0.2">
      <c r="G48030" s="889"/>
    </row>
    <row r="48031" spans="7:7" ht="10.5" customHeight="1" x14ac:dyDescent="0.2">
      <c r="G48031" s="889"/>
    </row>
    <row r="48032" spans="7:7" ht="10.5" customHeight="1" x14ac:dyDescent="0.2">
      <c r="G48032" s="889"/>
    </row>
    <row r="48033" spans="7:7" ht="10.5" customHeight="1" x14ac:dyDescent="0.2">
      <c r="G48033" s="889"/>
    </row>
    <row r="48034" spans="7:7" ht="10.5" customHeight="1" x14ac:dyDescent="0.2">
      <c r="G48034" s="889"/>
    </row>
    <row r="48035" spans="7:7" ht="10.5" customHeight="1" x14ac:dyDescent="0.2">
      <c r="G48035" s="889"/>
    </row>
    <row r="48036" spans="7:7" ht="10.5" customHeight="1" x14ac:dyDescent="0.2">
      <c r="G48036" s="889"/>
    </row>
    <row r="48037" spans="7:7" ht="10.5" customHeight="1" x14ac:dyDescent="0.2">
      <c r="G48037" s="889"/>
    </row>
    <row r="48038" spans="7:7" ht="10.5" customHeight="1" x14ac:dyDescent="0.2">
      <c r="G48038" s="889"/>
    </row>
    <row r="48039" spans="7:7" ht="10.5" customHeight="1" x14ac:dyDescent="0.2">
      <c r="G48039" s="889"/>
    </row>
    <row r="48040" spans="7:7" ht="10.5" customHeight="1" x14ac:dyDescent="0.2">
      <c r="G48040" s="889"/>
    </row>
    <row r="48041" spans="7:7" ht="10.5" customHeight="1" x14ac:dyDescent="0.2">
      <c r="G48041" s="889"/>
    </row>
    <row r="48042" spans="7:7" ht="10.5" customHeight="1" x14ac:dyDescent="0.2">
      <c r="G48042" s="889"/>
    </row>
    <row r="48043" spans="7:7" ht="10.5" customHeight="1" x14ac:dyDescent="0.2">
      <c r="G48043" s="889"/>
    </row>
    <row r="48044" spans="7:7" ht="10.5" customHeight="1" x14ac:dyDescent="0.2">
      <c r="G48044" s="889"/>
    </row>
    <row r="48045" spans="7:7" ht="10.5" customHeight="1" x14ac:dyDescent="0.2">
      <c r="G48045" s="889"/>
    </row>
    <row r="48046" spans="7:7" ht="10.5" customHeight="1" x14ac:dyDescent="0.2">
      <c r="G48046" s="889"/>
    </row>
    <row r="48047" spans="7:7" ht="10.5" customHeight="1" x14ac:dyDescent="0.2">
      <c r="G48047" s="889"/>
    </row>
    <row r="48048" spans="7:7" ht="10.5" customHeight="1" x14ac:dyDescent="0.2">
      <c r="G48048" s="889"/>
    </row>
    <row r="48049" spans="7:7" ht="10.5" customHeight="1" x14ac:dyDescent="0.2">
      <c r="G48049" s="889"/>
    </row>
    <row r="48050" spans="7:7" ht="10.5" customHeight="1" x14ac:dyDescent="0.2">
      <c r="G48050" s="889"/>
    </row>
    <row r="48051" spans="7:7" ht="10.5" customHeight="1" x14ac:dyDescent="0.2">
      <c r="G48051" s="889"/>
    </row>
    <row r="48052" spans="7:7" ht="10.5" customHeight="1" x14ac:dyDescent="0.2">
      <c r="G48052" s="889"/>
    </row>
    <row r="48053" spans="7:7" ht="10.5" customHeight="1" x14ac:dyDescent="0.2">
      <c r="G48053" s="889"/>
    </row>
    <row r="48054" spans="7:7" ht="10.5" customHeight="1" x14ac:dyDescent="0.2">
      <c r="G48054" s="889"/>
    </row>
    <row r="48055" spans="7:7" ht="10.5" customHeight="1" x14ac:dyDescent="0.2">
      <c r="G48055" s="889"/>
    </row>
    <row r="48056" spans="7:7" ht="10.5" customHeight="1" x14ac:dyDescent="0.2">
      <c r="G48056" s="889"/>
    </row>
    <row r="48057" spans="7:7" ht="10.5" customHeight="1" x14ac:dyDescent="0.2">
      <c r="G48057" s="889"/>
    </row>
    <row r="48058" spans="7:7" ht="10.5" customHeight="1" x14ac:dyDescent="0.2">
      <c r="G48058" s="889"/>
    </row>
    <row r="48059" spans="7:7" ht="10.5" customHeight="1" x14ac:dyDescent="0.2">
      <c r="G48059" s="889"/>
    </row>
    <row r="48060" spans="7:7" ht="10.5" customHeight="1" x14ac:dyDescent="0.2">
      <c r="G48060" s="889"/>
    </row>
    <row r="48061" spans="7:7" ht="10.5" customHeight="1" x14ac:dyDescent="0.2">
      <c r="G48061" s="889"/>
    </row>
    <row r="48062" spans="7:7" ht="10.5" customHeight="1" x14ac:dyDescent="0.2">
      <c r="G48062" s="889"/>
    </row>
    <row r="48063" spans="7:7" ht="10.5" customHeight="1" x14ac:dyDescent="0.2">
      <c r="G48063" s="889"/>
    </row>
    <row r="48064" spans="7:7" ht="10.5" customHeight="1" x14ac:dyDescent="0.2">
      <c r="G48064" s="889"/>
    </row>
    <row r="48065" spans="7:7" ht="10.5" customHeight="1" x14ac:dyDescent="0.2">
      <c r="G48065" s="889"/>
    </row>
    <row r="48066" spans="7:7" ht="10.5" customHeight="1" x14ac:dyDescent="0.2">
      <c r="G48066" s="889"/>
    </row>
    <row r="48067" spans="7:7" ht="10.5" customHeight="1" x14ac:dyDescent="0.2">
      <c r="G48067" s="889"/>
    </row>
    <row r="48068" spans="7:7" ht="10.5" customHeight="1" x14ac:dyDescent="0.2">
      <c r="G48068" s="889"/>
    </row>
    <row r="48069" spans="7:7" ht="10.5" customHeight="1" x14ac:dyDescent="0.2">
      <c r="G48069" s="889"/>
    </row>
    <row r="48070" spans="7:7" ht="10.5" customHeight="1" x14ac:dyDescent="0.2">
      <c r="G48070" s="889"/>
    </row>
    <row r="48071" spans="7:7" ht="10.5" customHeight="1" x14ac:dyDescent="0.2">
      <c r="G48071" s="889"/>
    </row>
    <row r="48072" spans="7:7" ht="10.5" customHeight="1" x14ac:dyDescent="0.2">
      <c r="G48072" s="889"/>
    </row>
    <row r="48073" spans="7:7" ht="10.5" customHeight="1" x14ac:dyDescent="0.2">
      <c r="G48073" s="889"/>
    </row>
    <row r="48074" spans="7:7" ht="10.5" customHeight="1" x14ac:dyDescent="0.2">
      <c r="G48074" s="889"/>
    </row>
    <row r="48075" spans="7:7" ht="10.5" customHeight="1" x14ac:dyDescent="0.2">
      <c r="G48075" s="889"/>
    </row>
    <row r="48076" spans="7:7" ht="10.5" customHeight="1" x14ac:dyDescent="0.2">
      <c r="G48076" s="889"/>
    </row>
    <row r="48077" spans="7:7" ht="10.5" customHeight="1" x14ac:dyDescent="0.2">
      <c r="G48077" s="889"/>
    </row>
    <row r="48078" spans="7:7" ht="10.5" customHeight="1" x14ac:dyDescent="0.2">
      <c r="G48078" s="889"/>
    </row>
    <row r="48079" spans="7:7" ht="10.5" customHeight="1" x14ac:dyDescent="0.2">
      <c r="G48079" s="889"/>
    </row>
    <row r="48080" spans="7:7" ht="10.5" customHeight="1" x14ac:dyDescent="0.2">
      <c r="G48080" s="889"/>
    </row>
    <row r="48081" spans="7:7" ht="10.5" customHeight="1" x14ac:dyDescent="0.2">
      <c r="G48081" s="889"/>
    </row>
    <row r="48082" spans="7:7" ht="10.5" customHeight="1" x14ac:dyDescent="0.2">
      <c r="G48082" s="889"/>
    </row>
    <row r="48083" spans="7:7" ht="10.5" customHeight="1" x14ac:dyDescent="0.2">
      <c r="G48083" s="889"/>
    </row>
    <row r="48084" spans="7:7" ht="10.5" customHeight="1" x14ac:dyDescent="0.2">
      <c r="G48084" s="889"/>
    </row>
    <row r="48085" spans="7:7" ht="10.5" customHeight="1" x14ac:dyDescent="0.2">
      <c r="G48085" s="889"/>
    </row>
    <row r="48086" spans="7:7" ht="10.5" customHeight="1" x14ac:dyDescent="0.2">
      <c r="G48086" s="889"/>
    </row>
    <row r="48087" spans="7:7" ht="10.5" customHeight="1" x14ac:dyDescent="0.2">
      <c r="G48087" s="889"/>
    </row>
    <row r="48088" spans="7:7" ht="10.5" customHeight="1" x14ac:dyDescent="0.2">
      <c r="G48088" s="889"/>
    </row>
    <row r="48089" spans="7:7" ht="10.5" customHeight="1" x14ac:dyDescent="0.2">
      <c r="G48089" s="889"/>
    </row>
    <row r="48090" spans="7:7" ht="10.5" customHeight="1" x14ac:dyDescent="0.2">
      <c r="G48090" s="889"/>
    </row>
    <row r="48091" spans="7:7" ht="10.5" customHeight="1" x14ac:dyDescent="0.2">
      <c r="G48091" s="889"/>
    </row>
    <row r="48092" spans="7:7" ht="10.5" customHeight="1" x14ac:dyDescent="0.2">
      <c r="G48092" s="889"/>
    </row>
    <row r="48093" spans="7:7" ht="10.5" customHeight="1" x14ac:dyDescent="0.2">
      <c r="G48093" s="889"/>
    </row>
    <row r="48094" spans="7:7" ht="10.5" customHeight="1" x14ac:dyDescent="0.2">
      <c r="G48094" s="889"/>
    </row>
    <row r="48095" spans="7:7" ht="10.5" customHeight="1" x14ac:dyDescent="0.2">
      <c r="G48095" s="889"/>
    </row>
    <row r="48096" spans="7:7" ht="10.5" customHeight="1" x14ac:dyDescent="0.2">
      <c r="G48096" s="889"/>
    </row>
    <row r="48097" spans="7:7" ht="10.5" customHeight="1" x14ac:dyDescent="0.2">
      <c r="G48097" s="889"/>
    </row>
    <row r="48098" spans="7:7" ht="10.5" customHeight="1" x14ac:dyDescent="0.2">
      <c r="G48098" s="889"/>
    </row>
    <row r="48099" spans="7:7" ht="10.5" customHeight="1" x14ac:dyDescent="0.2">
      <c r="G48099" s="889"/>
    </row>
    <row r="48100" spans="7:7" ht="10.5" customHeight="1" x14ac:dyDescent="0.2">
      <c r="G48100" s="889"/>
    </row>
    <row r="48101" spans="7:7" ht="10.5" customHeight="1" x14ac:dyDescent="0.2">
      <c r="G48101" s="889"/>
    </row>
    <row r="48102" spans="7:7" ht="10.5" customHeight="1" x14ac:dyDescent="0.2">
      <c r="G48102" s="889"/>
    </row>
    <row r="48103" spans="7:7" ht="10.5" customHeight="1" x14ac:dyDescent="0.2">
      <c r="G48103" s="889"/>
    </row>
    <row r="48104" spans="7:7" ht="10.5" customHeight="1" x14ac:dyDescent="0.2">
      <c r="G48104" s="889"/>
    </row>
    <row r="48105" spans="7:7" ht="10.5" customHeight="1" x14ac:dyDescent="0.2">
      <c r="G48105" s="889"/>
    </row>
    <row r="48106" spans="7:7" ht="10.5" customHeight="1" x14ac:dyDescent="0.2">
      <c r="G48106" s="889"/>
    </row>
    <row r="48107" spans="7:7" ht="10.5" customHeight="1" x14ac:dyDescent="0.2">
      <c r="G48107" s="889"/>
    </row>
    <row r="48108" spans="7:7" ht="10.5" customHeight="1" x14ac:dyDescent="0.2">
      <c r="G48108" s="889"/>
    </row>
    <row r="48109" spans="7:7" ht="10.5" customHeight="1" x14ac:dyDescent="0.2">
      <c r="G48109" s="889"/>
    </row>
    <row r="48110" spans="7:7" ht="10.5" customHeight="1" x14ac:dyDescent="0.2">
      <c r="G48110" s="889"/>
    </row>
    <row r="48111" spans="7:7" ht="10.5" customHeight="1" x14ac:dyDescent="0.2">
      <c r="G48111" s="889"/>
    </row>
    <row r="48112" spans="7:7" ht="10.5" customHeight="1" x14ac:dyDescent="0.2">
      <c r="G48112" s="889"/>
    </row>
    <row r="48113" spans="7:7" ht="10.5" customHeight="1" x14ac:dyDescent="0.2">
      <c r="G48113" s="889"/>
    </row>
    <row r="48114" spans="7:7" ht="10.5" customHeight="1" x14ac:dyDescent="0.2">
      <c r="G48114" s="889"/>
    </row>
    <row r="48115" spans="7:7" ht="10.5" customHeight="1" x14ac:dyDescent="0.2">
      <c r="G48115" s="889"/>
    </row>
    <row r="48116" spans="7:7" ht="10.5" customHeight="1" x14ac:dyDescent="0.2">
      <c r="G48116" s="889"/>
    </row>
    <row r="48117" spans="7:7" ht="10.5" customHeight="1" x14ac:dyDescent="0.2">
      <c r="G48117" s="889"/>
    </row>
    <row r="48118" spans="7:7" ht="10.5" customHeight="1" x14ac:dyDescent="0.2">
      <c r="G48118" s="889"/>
    </row>
    <row r="48119" spans="7:7" ht="10.5" customHeight="1" x14ac:dyDescent="0.2">
      <c r="G48119" s="889"/>
    </row>
    <row r="48120" spans="7:7" ht="10.5" customHeight="1" x14ac:dyDescent="0.2">
      <c r="G48120" s="889"/>
    </row>
    <row r="48121" spans="7:7" ht="10.5" customHeight="1" x14ac:dyDescent="0.2">
      <c r="G48121" s="889"/>
    </row>
    <row r="48122" spans="7:7" ht="10.5" customHeight="1" x14ac:dyDescent="0.2">
      <c r="G48122" s="889"/>
    </row>
    <row r="48123" spans="7:7" ht="10.5" customHeight="1" x14ac:dyDescent="0.2">
      <c r="G48123" s="889"/>
    </row>
    <row r="48124" spans="7:7" ht="10.5" customHeight="1" x14ac:dyDescent="0.2">
      <c r="G48124" s="889"/>
    </row>
    <row r="48125" spans="7:7" ht="10.5" customHeight="1" x14ac:dyDescent="0.2">
      <c r="G48125" s="889"/>
    </row>
    <row r="48126" spans="7:7" ht="10.5" customHeight="1" x14ac:dyDescent="0.2">
      <c r="G48126" s="889"/>
    </row>
    <row r="48127" spans="7:7" ht="10.5" customHeight="1" x14ac:dyDescent="0.2">
      <c r="G48127" s="889"/>
    </row>
    <row r="48128" spans="7:7" ht="10.5" customHeight="1" x14ac:dyDescent="0.2">
      <c r="G48128" s="889"/>
    </row>
    <row r="48129" spans="7:7" ht="10.5" customHeight="1" x14ac:dyDescent="0.2">
      <c r="G48129" s="889"/>
    </row>
    <row r="48130" spans="7:7" ht="10.5" customHeight="1" x14ac:dyDescent="0.2">
      <c r="G48130" s="889"/>
    </row>
    <row r="48131" spans="7:7" ht="10.5" customHeight="1" x14ac:dyDescent="0.2">
      <c r="G48131" s="889"/>
    </row>
    <row r="48132" spans="7:7" ht="10.5" customHeight="1" x14ac:dyDescent="0.2">
      <c r="G48132" s="889"/>
    </row>
    <row r="48133" spans="7:7" ht="10.5" customHeight="1" x14ac:dyDescent="0.2">
      <c r="G48133" s="889"/>
    </row>
    <row r="48134" spans="7:7" ht="10.5" customHeight="1" x14ac:dyDescent="0.2">
      <c r="G48134" s="889"/>
    </row>
    <row r="48135" spans="7:7" ht="10.5" customHeight="1" x14ac:dyDescent="0.2">
      <c r="G48135" s="889"/>
    </row>
    <row r="48136" spans="7:7" ht="10.5" customHeight="1" x14ac:dyDescent="0.2">
      <c r="G48136" s="889"/>
    </row>
    <row r="48137" spans="7:7" ht="10.5" customHeight="1" x14ac:dyDescent="0.2">
      <c r="G48137" s="889"/>
    </row>
    <row r="48138" spans="7:7" ht="10.5" customHeight="1" x14ac:dyDescent="0.2">
      <c r="G48138" s="889"/>
    </row>
    <row r="48139" spans="7:7" ht="10.5" customHeight="1" x14ac:dyDescent="0.2">
      <c r="G48139" s="889"/>
    </row>
    <row r="48140" spans="7:7" ht="10.5" customHeight="1" x14ac:dyDescent="0.2">
      <c r="G48140" s="889"/>
    </row>
    <row r="48141" spans="7:7" ht="10.5" customHeight="1" x14ac:dyDescent="0.2">
      <c r="G48141" s="889"/>
    </row>
    <row r="48142" spans="7:7" ht="10.5" customHeight="1" x14ac:dyDescent="0.2">
      <c r="G48142" s="889"/>
    </row>
    <row r="48143" spans="7:7" ht="10.5" customHeight="1" x14ac:dyDescent="0.2">
      <c r="G48143" s="889"/>
    </row>
    <row r="48144" spans="7:7" ht="10.5" customHeight="1" x14ac:dyDescent="0.2">
      <c r="G48144" s="889"/>
    </row>
    <row r="48145" spans="7:7" ht="10.5" customHeight="1" x14ac:dyDescent="0.2">
      <c r="G48145" s="889"/>
    </row>
    <row r="48146" spans="7:7" ht="10.5" customHeight="1" x14ac:dyDescent="0.2">
      <c r="G48146" s="889"/>
    </row>
    <row r="48147" spans="7:7" ht="10.5" customHeight="1" x14ac:dyDescent="0.2">
      <c r="G48147" s="889"/>
    </row>
    <row r="48148" spans="7:7" ht="10.5" customHeight="1" x14ac:dyDescent="0.2">
      <c r="G48148" s="889"/>
    </row>
    <row r="48149" spans="7:7" ht="10.5" customHeight="1" x14ac:dyDescent="0.2">
      <c r="G48149" s="889"/>
    </row>
    <row r="48150" spans="7:7" ht="10.5" customHeight="1" x14ac:dyDescent="0.2">
      <c r="G48150" s="889"/>
    </row>
    <row r="48151" spans="7:7" ht="10.5" customHeight="1" x14ac:dyDescent="0.2">
      <c r="G48151" s="889"/>
    </row>
    <row r="48152" spans="7:7" ht="10.5" customHeight="1" x14ac:dyDescent="0.2">
      <c r="G48152" s="889"/>
    </row>
    <row r="48153" spans="7:7" ht="10.5" customHeight="1" x14ac:dyDescent="0.2">
      <c r="G48153" s="889"/>
    </row>
    <row r="48154" spans="7:7" ht="10.5" customHeight="1" x14ac:dyDescent="0.2">
      <c r="G48154" s="889"/>
    </row>
    <row r="48155" spans="7:7" ht="10.5" customHeight="1" x14ac:dyDescent="0.2">
      <c r="G48155" s="889"/>
    </row>
    <row r="48156" spans="7:7" ht="10.5" customHeight="1" x14ac:dyDescent="0.2">
      <c r="G48156" s="889"/>
    </row>
    <row r="48157" spans="7:7" ht="10.5" customHeight="1" x14ac:dyDescent="0.2">
      <c r="G48157" s="889"/>
    </row>
    <row r="48158" spans="7:7" ht="10.5" customHeight="1" x14ac:dyDescent="0.2">
      <c r="G48158" s="889"/>
    </row>
    <row r="48159" spans="7:7" ht="10.5" customHeight="1" x14ac:dyDescent="0.2">
      <c r="G48159" s="889"/>
    </row>
    <row r="48160" spans="7:7" ht="10.5" customHeight="1" x14ac:dyDescent="0.2">
      <c r="G48160" s="889"/>
    </row>
    <row r="48161" spans="7:7" ht="10.5" customHeight="1" x14ac:dyDescent="0.2">
      <c r="G48161" s="889"/>
    </row>
    <row r="48162" spans="7:7" ht="10.5" customHeight="1" x14ac:dyDescent="0.2">
      <c r="G48162" s="889"/>
    </row>
    <row r="48163" spans="7:7" ht="10.5" customHeight="1" x14ac:dyDescent="0.2">
      <c r="G48163" s="889"/>
    </row>
    <row r="48164" spans="7:7" ht="10.5" customHeight="1" x14ac:dyDescent="0.2">
      <c r="G48164" s="889"/>
    </row>
    <row r="48165" spans="7:7" ht="10.5" customHeight="1" x14ac:dyDescent="0.2">
      <c r="G48165" s="889"/>
    </row>
    <row r="48166" spans="7:7" ht="10.5" customHeight="1" x14ac:dyDescent="0.2">
      <c r="G48166" s="889"/>
    </row>
    <row r="48167" spans="7:7" ht="10.5" customHeight="1" x14ac:dyDescent="0.2">
      <c r="G48167" s="889"/>
    </row>
    <row r="48168" spans="7:7" ht="10.5" customHeight="1" x14ac:dyDescent="0.2">
      <c r="G48168" s="889"/>
    </row>
    <row r="48169" spans="7:7" ht="10.5" customHeight="1" x14ac:dyDescent="0.2">
      <c r="G48169" s="889"/>
    </row>
    <row r="48170" spans="7:7" ht="10.5" customHeight="1" x14ac:dyDescent="0.2">
      <c r="G48170" s="889"/>
    </row>
    <row r="48171" spans="7:7" ht="10.5" customHeight="1" x14ac:dyDescent="0.2">
      <c r="G48171" s="889"/>
    </row>
    <row r="48172" spans="7:7" ht="10.5" customHeight="1" x14ac:dyDescent="0.2">
      <c r="G48172" s="889"/>
    </row>
    <row r="48173" spans="7:7" ht="10.5" customHeight="1" x14ac:dyDescent="0.2">
      <c r="G48173" s="889"/>
    </row>
    <row r="48174" spans="7:7" ht="10.5" customHeight="1" x14ac:dyDescent="0.2">
      <c r="G48174" s="889"/>
    </row>
    <row r="48175" spans="7:7" ht="10.5" customHeight="1" x14ac:dyDescent="0.2">
      <c r="G48175" s="889"/>
    </row>
    <row r="48176" spans="7:7" ht="10.5" customHeight="1" x14ac:dyDescent="0.2">
      <c r="G48176" s="889"/>
    </row>
    <row r="48177" spans="7:7" ht="10.5" customHeight="1" x14ac:dyDescent="0.2">
      <c r="G48177" s="889"/>
    </row>
    <row r="48178" spans="7:7" ht="10.5" customHeight="1" x14ac:dyDescent="0.2">
      <c r="G48178" s="889"/>
    </row>
    <row r="48179" spans="7:7" ht="10.5" customHeight="1" x14ac:dyDescent="0.2">
      <c r="G48179" s="889"/>
    </row>
    <row r="48180" spans="7:7" ht="10.5" customHeight="1" x14ac:dyDescent="0.2">
      <c r="G48180" s="889"/>
    </row>
    <row r="48181" spans="7:7" ht="10.5" customHeight="1" x14ac:dyDescent="0.2">
      <c r="G48181" s="889"/>
    </row>
    <row r="48182" spans="7:7" ht="10.5" customHeight="1" x14ac:dyDescent="0.2">
      <c r="G48182" s="889"/>
    </row>
    <row r="48183" spans="7:7" ht="10.5" customHeight="1" x14ac:dyDescent="0.2">
      <c r="G48183" s="889"/>
    </row>
    <row r="48184" spans="7:7" ht="10.5" customHeight="1" x14ac:dyDescent="0.2">
      <c r="G48184" s="889"/>
    </row>
    <row r="48185" spans="7:7" ht="10.5" customHeight="1" x14ac:dyDescent="0.2">
      <c r="G48185" s="889"/>
    </row>
    <row r="48186" spans="7:7" ht="10.5" customHeight="1" x14ac:dyDescent="0.2">
      <c r="G48186" s="889"/>
    </row>
    <row r="48187" spans="7:7" ht="10.5" customHeight="1" x14ac:dyDescent="0.2">
      <c r="G48187" s="889"/>
    </row>
    <row r="48188" spans="7:7" ht="10.5" customHeight="1" x14ac:dyDescent="0.2">
      <c r="G48188" s="889"/>
    </row>
    <row r="48189" spans="7:7" ht="10.5" customHeight="1" x14ac:dyDescent="0.2">
      <c r="G48189" s="889"/>
    </row>
    <row r="48190" spans="7:7" ht="10.5" customHeight="1" x14ac:dyDescent="0.2">
      <c r="G48190" s="889"/>
    </row>
    <row r="48191" spans="7:7" ht="10.5" customHeight="1" x14ac:dyDescent="0.2">
      <c r="G48191" s="889"/>
    </row>
    <row r="48192" spans="7:7" ht="10.5" customHeight="1" x14ac:dyDescent="0.2">
      <c r="G48192" s="889"/>
    </row>
    <row r="48193" spans="7:7" ht="10.5" customHeight="1" x14ac:dyDescent="0.2">
      <c r="G48193" s="889"/>
    </row>
    <row r="48194" spans="7:7" ht="10.5" customHeight="1" x14ac:dyDescent="0.2">
      <c r="G48194" s="889"/>
    </row>
    <row r="48195" spans="7:7" ht="10.5" customHeight="1" x14ac:dyDescent="0.2">
      <c r="G48195" s="889"/>
    </row>
    <row r="48196" spans="7:7" ht="10.5" customHeight="1" x14ac:dyDescent="0.2">
      <c r="G48196" s="889"/>
    </row>
    <row r="48197" spans="7:7" ht="10.5" customHeight="1" x14ac:dyDescent="0.2">
      <c r="G48197" s="889"/>
    </row>
    <row r="48198" spans="7:7" ht="10.5" customHeight="1" x14ac:dyDescent="0.2">
      <c r="G48198" s="889"/>
    </row>
    <row r="48199" spans="7:7" ht="10.5" customHeight="1" x14ac:dyDescent="0.2">
      <c r="G48199" s="889"/>
    </row>
    <row r="48200" spans="7:7" ht="10.5" customHeight="1" x14ac:dyDescent="0.2">
      <c r="G48200" s="889"/>
    </row>
    <row r="48201" spans="7:7" ht="10.5" customHeight="1" x14ac:dyDescent="0.2">
      <c r="G48201" s="889"/>
    </row>
    <row r="48202" spans="7:7" ht="10.5" customHeight="1" x14ac:dyDescent="0.2">
      <c r="G48202" s="889"/>
    </row>
    <row r="48203" spans="7:7" ht="10.5" customHeight="1" x14ac:dyDescent="0.2">
      <c r="G48203" s="889"/>
    </row>
    <row r="48204" spans="7:7" ht="10.5" customHeight="1" x14ac:dyDescent="0.2">
      <c r="G48204" s="889"/>
    </row>
    <row r="48205" spans="7:7" ht="10.5" customHeight="1" x14ac:dyDescent="0.2">
      <c r="G48205" s="889"/>
    </row>
    <row r="48206" spans="7:7" ht="10.5" customHeight="1" x14ac:dyDescent="0.2">
      <c r="G48206" s="889"/>
    </row>
    <row r="48207" spans="7:7" ht="10.5" customHeight="1" x14ac:dyDescent="0.2">
      <c r="G48207" s="889"/>
    </row>
    <row r="48208" spans="7:7" ht="10.5" customHeight="1" x14ac:dyDescent="0.2">
      <c r="G48208" s="889"/>
    </row>
    <row r="48209" spans="7:7" ht="10.5" customHeight="1" x14ac:dyDescent="0.2">
      <c r="G48209" s="889"/>
    </row>
    <row r="48210" spans="7:7" ht="10.5" customHeight="1" x14ac:dyDescent="0.2">
      <c r="G48210" s="889"/>
    </row>
    <row r="48211" spans="7:7" ht="10.5" customHeight="1" x14ac:dyDescent="0.2">
      <c r="G48211" s="889"/>
    </row>
    <row r="48212" spans="7:7" ht="10.5" customHeight="1" x14ac:dyDescent="0.2">
      <c r="G48212" s="889"/>
    </row>
    <row r="48213" spans="7:7" ht="10.5" customHeight="1" x14ac:dyDescent="0.2">
      <c r="G48213" s="889"/>
    </row>
    <row r="48214" spans="7:7" ht="10.5" customHeight="1" x14ac:dyDescent="0.2">
      <c r="G48214" s="889"/>
    </row>
    <row r="48215" spans="7:7" ht="10.5" customHeight="1" x14ac:dyDescent="0.2">
      <c r="G48215" s="889"/>
    </row>
    <row r="48216" spans="7:7" ht="10.5" customHeight="1" x14ac:dyDescent="0.2">
      <c r="G48216" s="889"/>
    </row>
    <row r="48217" spans="7:7" ht="10.5" customHeight="1" x14ac:dyDescent="0.2">
      <c r="G48217" s="889"/>
    </row>
    <row r="48218" spans="7:7" ht="10.5" customHeight="1" x14ac:dyDescent="0.2">
      <c r="G48218" s="889"/>
    </row>
    <row r="48219" spans="7:7" ht="10.5" customHeight="1" x14ac:dyDescent="0.2">
      <c r="G48219" s="889"/>
    </row>
    <row r="48220" spans="7:7" ht="10.5" customHeight="1" x14ac:dyDescent="0.2">
      <c r="G48220" s="889"/>
    </row>
    <row r="48221" spans="7:7" ht="10.5" customHeight="1" x14ac:dyDescent="0.2">
      <c r="G48221" s="889"/>
    </row>
    <row r="48222" spans="7:7" ht="10.5" customHeight="1" x14ac:dyDescent="0.2">
      <c r="G48222" s="889"/>
    </row>
    <row r="48223" spans="7:7" ht="10.5" customHeight="1" x14ac:dyDescent="0.2">
      <c r="G48223" s="889"/>
    </row>
    <row r="48224" spans="7:7" ht="10.5" customHeight="1" x14ac:dyDescent="0.2">
      <c r="G48224" s="889"/>
    </row>
    <row r="48225" spans="7:7" ht="10.5" customHeight="1" x14ac:dyDescent="0.2">
      <c r="G48225" s="889"/>
    </row>
    <row r="48226" spans="7:7" ht="10.5" customHeight="1" x14ac:dyDescent="0.2">
      <c r="G48226" s="889"/>
    </row>
    <row r="48227" spans="7:7" ht="10.5" customHeight="1" x14ac:dyDescent="0.2">
      <c r="G48227" s="889"/>
    </row>
    <row r="48228" spans="7:7" ht="10.5" customHeight="1" x14ac:dyDescent="0.2">
      <c r="G48228" s="889"/>
    </row>
    <row r="48229" spans="7:7" ht="10.5" customHeight="1" x14ac:dyDescent="0.2">
      <c r="G48229" s="889"/>
    </row>
    <row r="48230" spans="7:7" ht="10.5" customHeight="1" x14ac:dyDescent="0.2">
      <c r="G48230" s="889"/>
    </row>
    <row r="48231" spans="7:7" ht="10.5" customHeight="1" x14ac:dyDescent="0.2">
      <c r="G48231" s="889"/>
    </row>
    <row r="48232" spans="7:7" ht="10.5" customHeight="1" x14ac:dyDescent="0.2">
      <c r="G48232" s="889"/>
    </row>
    <row r="48233" spans="7:7" ht="10.5" customHeight="1" x14ac:dyDescent="0.2">
      <c r="G48233" s="889"/>
    </row>
    <row r="48234" spans="7:7" ht="10.5" customHeight="1" x14ac:dyDescent="0.2">
      <c r="G48234" s="889"/>
    </row>
    <row r="48235" spans="7:7" ht="10.5" customHeight="1" x14ac:dyDescent="0.2">
      <c r="G48235" s="889"/>
    </row>
    <row r="48236" spans="7:7" ht="10.5" customHeight="1" x14ac:dyDescent="0.2">
      <c r="G48236" s="889"/>
    </row>
    <row r="48237" spans="7:7" ht="10.5" customHeight="1" x14ac:dyDescent="0.2">
      <c r="G48237" s="889"/>
    </row>
    <row r="48238" spans="7:7" ht="10.5" customHeight="1" x14ac:dyDescent="0.2">
      <c r="G48238" s="889"/>
    </row>
    <row r="48239" spans="7:7" ht="10.5" customHeight="1" x14ac:dyDescent="0.2">
      <c r="G48239" s="889"/>
    </row>
    <row r="48240" spans="7:7" ht="10.5" customHeight="1" x14ac:dyDescent="0.2">
      <c r="G48240" s="889"/>
    </row>
    <row r="48241" spans="7:7" ht="10.5" customHeight="1" x14ac:dyDescent="0.2">
      <c r="G48241" s="889"/>
    </row>
    <row r="48242" spans="7:7" ht="10.5" customHeight="1" x14ac:dyDescent="0.2">
      <c r="G48242" s="889"/>
    </row>
    <row r="48243" spans="7:7" ht="10.5" customHeight="1" x14ac:dyDescent="0.2">
      <c r="G48243" s="889"/>
    </row>
    <row r="48244" spans="7:7" ht="10.5" customHeight="1" x14ac:dyDescent="0.2">
      <c r="G48244" s="889"/>
    </row>
    <row r="48245" spans="7:7" ht="10.5" customHeight="1" x14ac:dyDescent="0.2">
      <c r="G48245" s="889"/>
    </row>
    <row r="48246" spans="7:7" ht="10.5" customHeight="1" x14ac:dyDescent="0.2">
      <c r="G48246" s="889"/>
    </row>
    <row r="48247" spans="7:7" ht="10.5" customHeight="1" x14ac:dyDescent="0.2">
      <c r="G48247" s="889"/>
    </row>
    <row r="48248" spans="7:7" ht="10.5" customHeight="1" x14ac:dyDescent="0.2">
      <c r="G48248" s="889"/>
    </row>
    <row r="48249" spans="7:7" ht="10.5" customHeight="1" x14ac:dyDescent="0.2">
      <c r="G48249" s="889"/>
    </row>
    <row r="48250" spans="7:7" ht="10.5" customHeight="1" x14ac:dyDescent="0.2">
      <c r="G48250" s="889"/>
    </row>
    <row r="48251" spans="7:7" ht="10.5" customHeight="1" x14ac:dyDescent="0.2">
      <c r="G48251" s="889"/>
    </row>
    <row r="48252" spans="7:7" ht="10.5" customHeight="1" x14ac:dyDescent="0.2">
      <c r="G48252" s="889"/>
    </row>
    <row r="48253" spans="7:7" ht="10.5" customHeight="1" x14ac:dyDescent="0.2">
      <c r="G48253" s="889"/>
    </row>
    <row r="48254" spans="7:7" ht="10.5" customHeight="1" x14ac:dyDescent="0.2">
      <c r="G48254" s="889"/>
    </row>
    <row r="48255" spans="7:7" ht="10.5" customHeight="1" x14ac:dyDescent="0.2">
      <c r="G48255" s="889"/>
    </row>
    <row r="48256" spans="7:7" ht="10.5" customHeight="1" x14ac:dyDescent="0.2">
      <c r="G48256" s="889"/>
    </row>
    <row r="48257" spans="7:7" ht="10.5" customHeight="1" x14ac:dyDescent="0.2">
      <c r="G48257" s="889"/>
    </row>
    <row r="48258" spans="7:7" ht="10.5" customHeight="1" x14ac:dyDescent="0.2">
      <c r="G48258" s="889"/>
    </row>
    <row r="48259" spans="7:7" ht="10.5" customHeight="1" x14ac:dyDescent="0.2">
      <c r="G48259" s="889"/>
    </row>
    <row r="48260" spans="7:7" ht="10.5" customHeight="1" x14ac:dyDescent="0.2">
      <c r="G48260" s="889"/>
    </row>
    <row r="48261" spans="7:7" ht="10.5" customHeight="1" x14ac:dyDescent="0.2">
      <c r="G48261" s="889"/>
    </row>
    <row r="48262" spans="7:7" ht="10.5" customHeight="1" x14ac:dyDescent="0.2">
      <c r="G48262" s="889"/>
    </row>
    <row r="48263" spans="7:7" ht="10.5" customHeight="1" x14ac:dyDescent="0.2">
      <c r="G48263" s="889"/>
    </row>
    <row r="48264" spans="7:7" ht="10.5" customHeight="1" x14ac:dyDescent="0.2">
      <c r="G48264" s="889"/>
    </row>
    <row r="48265" spans="7:7" ht="10.5" customHeight="1" x14ac:dyDescent="0.2">
      <c r="G48265" s="889"/>
    </row>
    <row r="48266" spans="7:7" ht="10.5" customHeight="1" x14ac:dyDescent="0.2">
      <c r="G48266" s="889"/>
    </row>
    <row r="48267" spans="7:7" ht="10.5" customHeight="1" x14ac:dyDescent="0.2">
      <c r="G48267" s="889"/>
    </row>
    <row r="48268" spans="7:7" ht="10.5" customHeight="1" x14ac:dyDescent="0.2">
      <c r="G48268" s="889"/>
    </row>
    <row r="48269" spans="7:7" ht="10.5" customHeight="1" x14ac:dyDescent="0.2">
      <c r="G48269" s="889"/>
    </row>
    <row r="48270" spans="7:7" ht="10.5" customHeight="1" x14ac:dyDescent="0.2">
      <c r="G48270" s="889"/>
    </row>
    <row r="48271" spans="7:7" ht="10.5" customHeight="1" x14ac:dyDescent="0.2">
      <c r="G48271" s="889"/>
    </row>
    <row r="48272" spans="7:7" ht="10.5" customHeight="1" x14ac:dyDescent="0.2">
      <c r="G48272" s="889"/>
    </row>
    <row r="48273" spans="7:7" ht="10.5" customHeight="1" x14ac:dyDescent="0.2">
      <c r="G48273" s="889"/>
    </row>
    <row r="48274" spans="7:7" ht="10.5" customHeight="1" x14ac:dyDescent="0.2">
      <c r="G48274" s="889"/>
    </row>
    <row r="48275" spans="7:7" ht="10.5" customHeight="1" x14ac:dyDescent="0.2">
      <c r="G48275" s="889"/>
    </row>
    <row r="48276" spans="7:7" ht="10.5" customHeight="1" x14ac:dyDescent="0.2">
      <c r="G48276" s="889"/>
    </row>
    <row r="48277" spans="7:7" ht="10.5" customHeight="1" x14ac:dyDescent="0.2">
      <c r="G48277" s="889"/>
    </row>
    <row r="48278" spans="7:7" ht="10.5" customHeight="1" x14ac:dyDescent="0.2">
      <c r="G48278" s="889"/>
    </row>
    <row r="48279" spans="7:7" ht="10.5" customHeight="1" x14ac:dyDescent="0.2">
      <c r="G48279" s="889"/>
    </row>
    <row r="48280" spans="7:7" ht="10.5" customHeight="1" x14ac:dyDescent="0.2">
      <c r="G48280" s="889"/>
    </row>
    <row r="48281" spans="7:7" ht="10.5" customHeight="1" x14ac:dyDescent="0.2">
      <c r="G48281" s="889"/>
    </row>
    <row r="48282" spans="7:7" ht="10.5" customHeight="1" x14ac:dyDescent="0.2">
      <c r="G48282" s="889"/>
    </row>
    <row r="48283" spans="7:7" ht="10.5" customHeight="1" x14ac:dyDescent="0.2">
      <c r="G48283" s="889"/>
    </row>
    <row r="48284" spans="7:7" ht="10.5" customHeight="1" x14ac:dyDescent="0.2">
      <c r="G48284" s="889"/>
    </row>
    <row r="48285" spans="7:7" ht="10.5" customHeight="1" x14ac:dyDescent="0.2">
      <c r="G48285" s="889"/>
    </row>
    <row r="48286" spans="7:7" ht="10.5" customHeight="1" x14ac:dyDescent="0.2">
      <c r="G48286" s="889"/>
    </row>
    <row r="48287" spans="7:7" ht="10.5" customHeight="1" x14ac:dyDescent="0.2">
      <c r="G48287" s="889"/>
    </row>
    <row r="48288" spans="7:7" ht="10.5" customHeight="1" x14ac:dyDescent="0.2">
      <c r="G48288" s="889"/>
    </row>
    <row r="48289" spans="7:7" ht="10.5" customHeight="1" x14ac:dyDescent="0.2">
      <c r="G48289" s="889"/>
    </row>
    <row r="48290" spans="7:7" ht="10.5" customHeight="1" x14ac:dyDescent="0.2">
      <c r="G48290" s="889"/>
    </row>
    <row r="48291" spans="7:7" ht="10.5" customHeight="1" x14ac:dyDescent="0.2">
      <c r="G48291" s="889"/>
    </row>
    <row r="48292" spans="7:7" ht="10.5" customHeight="1" x14ac:dyDescent="0.2">
      <c r="G48292" s="889"/>
    </row>
    <row r="48293" spans="7:7" ht="10.5" customHeight="1" x14ac:dyDescent="0.2">
      <c r="G48293" s="889"/>
    </row>
    <row r="48294" spans="7:7" ht="10.5" customHeight="1" x14ac:dyDescent="0.2">
      <c r="G48294" s="889"/>
    </row>
    <row r="48295" spans="7:7" ht="10.5" customHeight="1" x14ac:dyDescent="0.2">
      <c r="G48295" s="889"/>
    </row>
    <row r="48296" spans="7:7" ht="10.5" customHeight="1" x14ac:dyDescent="0.2">
      <c r="G48296" s="889"/>
    </row>
    <row r="48297" spans="7:7" ht="10.5" customHeight="1" x14ac:dyDescent="0.2">
      <c r="G48297" s="889"/>
    </row>
    <row r="48298" spans="7:7" ht="10.5" customHeight="1" x14ac:dyDescent="0.2">
      <c r="G48298" s="889"/>
    </row>
    <row r="48299" spans="7:7" ht="10.5" customHeight="1" x14ac:dyDescent="0.2">
      <c r="G48299" s="889"/>
    </row>
    <row r="48300" spans="7:7" ht="10.5" customHeight="1" x14ac:dyDescent="0.2">
      <c r="G48300" s="889"/>
    </row>
    <row r="48301" spans="7:7" ht="10.5" customHeight="1" x14ac:dyDescent="0.2">
      <c r="G48301" s="889"/>
    </row>
    <row r="48302" spans="7:7" ht="10.5" customHeight="1" x14ac:dyDescent="0.2">
      <c r="G48302" s="889"/>
    </row>
    <row r="48303" spans="7:7" ht="10.5" customHeight="1" x14ac:dyDescent="0.2">
      <c r="G48303" s="889"/>
    </row>
    <row r="48304" spans="7:7" ht="10.5" customHeight="1" x14ac:dyDescent="0.2">
      <c r="G48304" s="889"/>
    </row>
    <row r="48305" spans="7:7" ht="10.5" customHeight="1" x14ac:dyDescent="0.2">
      <c r="G48305" s="889"/>
    </row>
    <row r="48306" spans="7:7" ht="10.5" customHeight="1" x14ac:dyDescent="0.2">
      <c r="G48306" s="889"/>
    </row>
    <row r="48307" spans="7:7" ht="10.5" customHeight="1" x14ac:dyDescent="0.2">
      <c r="G48307" s="889"/>
    </row>
    <row r="48308" spans="7:7" ht="10.5" customHeight="1" x14ac:dyDescent="0.2">
      <c r="G48308" s="889"/>
    </row>
    <row r="48309" spans="7:7" ht="10.5" customHeight="1" x14ac:dyDescent="0.2">
      <c r="G48309" s="889"/>
    </row>
    <row r="48310" spans="7:7" ht="10.5" customHeight="1" x14ac:dyDescent="0.2">
      <c r="G48310" s="889"/>
    </row>
    <row r="48311" spans="7:7" ht="10.5" customHeight="1" x14ac:dyDescent="0.2">
      <c r="G48311" s="889"/>
    </row>
    <row r="48312" spans="7:7" ht="10.5" customHeight="1" x14ac:dyDescent="0.2">
      <c r="G48312" s="889"/>
    </row>
    <row r="48313" spans="7:7" ht="10.5" customHeight="1" x14ac:dyDescent="0.2">
      <c r="G48313" s="889"/>
    </row>
    <row r="48314" spans="7:7" ht="10.5" customHeight="1" x14ac:dyDescent="0.2">
      <c r="G48314" s="889"/>
    </row>
    <row r="48315" spans="7:7" ht="10.5" customHeight="1" x14ac:dyDescent="0.2">
      <c r="G48315" s="889"/>
    </row>
    <row r="48316" spans="7:7" ht="10.5" customHeight="1" x14ac:dyDescent="0.2">
      <c r="G48316" s="889"/>
    </row>
    <row r="48317" spans="7:7" ht="10.5" customHeight="1" x14ac:dyDescent="0.2">
      <c r="G48317" s="889"/>
    </row>
    <row r="48318" spans="7:7" ht="10.5" customHeight="1" x14ac:dyDescent="0.2">
      <c r="G48318" s="889"/>
    </row>
    <row r="48319" spans="7:7" ht="10.5" customHeight="1" x14ac:dyDescent="0.2">
      <c r="G48319" s="889"/>
    </row>
    <row r="48320" spans="7:7" ht="10.5" customHeight="1" x14ac:dyDescent="0.2">
      <c r="G48320" s="889"/>
    </row>
    <row r="48321" spans="7:7" ht="10.5" customHeight="1" x14ac:dyDescent="0.2">
      <c r="G48321" s="889"/>
    </row>
    <row r="48322" spans="7:7" ht="10.5" customHeight="1" x14ac:dyDescent="0.2">
      <c r="G48322" s="889"/>
    </row>
    <row r="48323" spans="7:7" ht="10.5" customHeight="1" x14ac:dyDescent="0.2">
      <c r="G48323" s="889"/>
    </row>
    <row r="48324" spans="7:7" ht="10.5" customHeight="1" x14ac:dyDescent="0.2">
      <c r="G48324" s="889"/>
    </row>
    <row r="48325" spans="7:7" ht="10.5" customHeight="1" x14ac:dyDescent="0.2">
      <c r="G48325" s="889"/>
    </row>
    <row r="48326" spans="7:7" ht="10.5" customHeight="1" x14ac:dyDescent="0.2">
      <c r="G48326" s="889"/>
    </row>
    <row r="48327" spans="7:7" ht="10.5" customHeight="1" x14ac:dyDescent="0.2">
      <c r="G48327" s="889"/>
    </row>
    <row r="48328" spans="7:7" ht="10.5" customHeight="1" x14ac:dyDescent="0.2">
      <c r="G48328" s="889"/>
    </row>
    <row r="48329" spans="7:7" ht="10.5" customHeight="1" x14ac:dyDescent="0.2">
      <c r="G48329" s="889"/>
    </row>
    <row r="48330" spans="7:7" ht="10.5" customHeight="1" x14ac:dyDescent="0.2">
      <c r="G48330" s="889"/>
    </row>
    <row r="48331" spans="7:7" ht="10.5" customHeight="1" x14ac:dyDescent="0.2">
      <c r="G48331" s="889"/>
    </row>
    <row r="48332" spans="7:7" ht="10.5" customHeight="1" x14ac:dyDescent="0.2">
      <c r="G48332" s="889"/>
    </row>
    <row r="48333" spans="7:7" ht="10.5" customHeight="1" x14ac:dyDescent="0.2">
      <c r="G48333" s="889"/>
    </row>
    <row r="48334" spans="7:7" ht="10.5" customHeight="1" x14ac:dyDescent="0.2">
      <c r="G48334" s="889"/>
    </row>
    <row r="48335" spans="7:7" ht="10.5" customHeight="1" x14ac:dyDescent="0.2">
      <c r="G48335" s="889"/>
    </row>
    <row r="48336" spans="7:7" ht="10.5" customHeight="1" x14ac:dyDescent="0.2">
      <c r="G48336" s="889"/>
    </row>
    <row r="48337" spans="7:7" ht="10.5" customHeight="1" x14ac:dyDescent="0.2">
      <c r="G48337" s="889"/>
    </row>
    <row r="48338" spans="7:7" ht="10.5" customHeight="1" x14ac:dyDescent="0.2">
      <c r="G48338" s="889"/>
    </row>
    <row r="48339" spans="7:7" ht="10.5" customHeight="1" x14ac:dyDescent="0.2">
      <c r="G48339" s="889"/>
    </row>
    <row r="48340" spans="7:7" ht="10.5" customHeight="1" x14ac:dyDescent="0.2">
      <c r="G48340" s="889"/>
    </row>
    <row r="48341" spans="7:7" ht="10.5" customHeight="1" x14ac:dyDescent="0.2">
      <c r="G48341" s="889"/>
    </row>
    <row r="48342" spans="7:7" ht="10.5" customHeight="1" x14ac:dyDescent="0.2">
      <c r="G48342" s="889"/>
    </row>
    <row r="48343" spans="7:7" ht="10.5" customHeight="1" x14ac:dyDescent="0.2">
      <c r="G48343" s="889"/>
    </row>
    <row r="48344" spans="7:7" ht="10.5" customHeight="1" x14ac:dyDescent="0.2">
      <c r="G48344" s="889"/>
    </row>
    <row r="48345" spans="7:7" ht="10.5" customHeight="1" x14ac:dyDescent="0.2">
      <c r="G48345" s="889"/>
    </row>
    <row r="48346" spans="7:7" ht="10.5" customHeight="1" x14ac:dyDescent="0.2">
      <c r="G48346" s="889"/>
    </row>
    <row r="48347" spans="7:7" ht="10.5" customHeight="1" x14ac:dyDescent="0.2">
      <c r="G48347" s="889"/>
    </row>
    <row r="48348" spans="7:7" ht="10.5" customHeight="1" x14ac:dyDescent="0.2">
      <c r="G48348" s="889"/>
    </row>
    <row r="48349" spans="7:7" ht="10.5" customHeight="1" x14ac:dyDescent="0.2">
      <c r="G48349" s="889"/>
    </row>
    <row r="48350" spans="7:7" ht="10.5" customHeight="1" x14ac:dyDescent="0.2">
      <c r="G48350" s="889"/>
    </row>
    <row r="48351" spans="7:7" ht="10.5" customHeight="1" x14ac:dyDescent="0.2">
      <c r="G48351" s="889"/>
    </row>
    <row r="48352" spans="7:7" ht="10.5" customHeight="1" x14ac:dyDescent="0.2">
      <c r="G48352" s="889"/>
    </row>
    <row r="48353" spans="7:7" ht="10.5" customHeight="1" x14ac:dyDescent="0.2">
      <c r="G48353" s="889"/>
    </row>
    <row r="48354" spans="7:7" ht="10.5" customHeight="1" x14ac:dyDescent="0.2">
      <c r="G48354" s="889"/>
    </row>
    <row r="48355" spans="7:7" ht="10.5" customHeight="1" x14ac:dyDescent="0.2">
      <c r="G48355" s="889"/>
    </row>
    <row r="48356" spans="7:7" ht="10.5" customHeight="1" x14ac:dyDescent="0.2">
      <c r="G48356" s="889"/>
    </row>
    <row r="48357" spans="7:7" ht="10.5" customHeight="1" x14ac:dyDescent="0.2">
      <c r="G48357" s="889"/>
    </row>
    <row r="48358" spans="7:7" ht="10.5" customHeight="1" x14ac:dyDescent="0.2">
      <c r="G48358" s="889"/>
    </row>
    <row r="48359" spans="7:7" ht="10.5" customHeight="1" x14ac:dyDescent="0.2">
      <c r="G48359" s="889"/>
    </row>
    <row r="48360" spans="7:7" ht="10.5" customHeight="1" x14ac:dyDescent="0.2">
      <c r="G48360" s="889"/>
    </row>
    <row r="48361" spans="7:7" ht="10.5" customHeight="1" x14ac:dyDescent="0.2">
      <c r="G48361" s="889"/>
    </row>
    <row r="48362" spans="7:7" ht="10.5" customHeight="1" x14ac:dyDescent="0.2">
      <c r="G48362" s="889"/>
    </row>
    <row r="48363" spans="7:7" ht="10.5" customHeight="1" x14ac:dyDescent="0.2">
      <c r="G48363" s="889"/>
    </row>
    <row r="48364" spans="7:7" ht="10.5" customHeight="1" x14ac:dyDescent="0.2">
      <c r="G48364" s="889"/>
    </row>
    <row r="48365" spans="7:7" ht="10.5" customHeight="1" x14ac:dyDescent="0.2">
      <c r="G48365" s="889"/>
    </row>
    <row r="48366" spans="7:7" ht="10.5" customHeight="1" x14ac:dyDescent="0.2">
      <c r="G48366" s="889"/>
    </row>
    <row r="48367" spans="7:7" ht="10.5" customHeight="1" x14ac:dyDescent="0.2">
      <c r="G48367" s="889"/>
    </row>
    <row r="48368" spans="7:7" ht="10.5" customHeight="1" x14ac:dyDescent="0.2">
      <c r="G48368" s="889"/>
    </row>
    <row r="48369" spans="7:7" ht="10.5" customHeight="1" x14ac:dyDescent="0.2">
      <c r="G48369" s="889"/>
    </row>
    <row r="48370" spans="7:7" ht="10.5" customHeight="1" x14ac:dyDescent="0.2">
      <c r="G48370" s="889"/>
    </row>
    <row r="48371" spans="7:7" ht="10.5" customHeight="1" x14ac:dyDescent="0.2">
      <c r="G48371" s="889"/>
    </row>
    <row r="48372" spans="7:7" ht="10.5" customHeight="1" x14ac:dyDescent="0.2">
      <c r="G48372" s="889"/>
    </row>
    <row r="48373" spans="7:7" ht="10.5" customHeight="1" x14ac:dyDescent="0.2">
      <c r="G48373" s="889"/>
    </row>
    <row r="48374" spans="7:7" ht="10.5" customHeight="1" x14ac:dyDescent="0.2">
      <c r="G48374" s="889"/>
    </row>
    <row r="48375" spans="7:7" ht="10.5" customHeight="1" x14ac:dyDescent="0.2">
      <c r="G48375" s="889"/>
    </row>
    <row r="48376" spans="7:7" ht="10.5" customHeight="1" x14ac:dyDescent="0.2">
      <c r="G48376" s="889"/>
    </row>
    <row r="48377" spans="7:7" ht="10.5" customHeight="1" x14ac:dyDescent="0.2">
      <c r="G48377" s="889"/>
    </row>
    <row r="48378" spans="7:7" ht="10.5" customHeight="1" x14ac:dyDescent="0.2">
      <c r="G48378" s="889"/>
    </row>
    <row r="48379" spans="7:7" ht="10.5" customHeight="1" x14ac:dyDescent="0.2">
      <c r="G48379" s="889"/>
    </row>
    <row r="48380" spans="7:7" ht="10.5" customHeight="1" x14ac:dyDescent="0.2">
      <c r="G48380" s="889"/>
    </row>
    <row r="48381" spans="7:7" ht="10.5" customHeight="1" x14ac:dyDescent="0.2">
      <c r="G48381" s="889"/>
    </row>
    <row r="48382" spans="7:7" ht="10.5" customHeight="1" x14ac:dyDescent="0.2">
      <c r="G48382" s="889"/>
    </row>
    <row r="48383" spans="7:7" ht="10.5" customHeight="1" x14ac:dyDescent="0.2">
      <c r="G48383" s="889"/>
    </row>
    <row r="48384" spans="7:7" ht="10.5" customHeight="1" x14ac:dyDescent="0.2">
      <c r="G48384" s="889"/>
    </row>
    <row r="48385" spans="7:7" ht="10.5" customHeight="1" x14ac:dyDescent="0.2">
      <c r="G48385" s="889"/>
    </row>
    <row r="48386" spans="7:7" ht="10.5" customHeight="1" x14ac:dyDescent="0.2">
      <c r="G48386" s="889"/>
    </row>
    <row r="48387" spans="7:7" ht="10.5" customHeight="1" x14ac:dyDescent="0.2">
      <c r="G48387" s="889"/>
    </row>
    <row r="48388" spans="7:7" ht="10.5" customHeight="1" x14ac:dyDescent="0.2">
      <c r="G48388" s="889"/>
    </row>
    <row r="48389" spans="7:7" ht="10.5" customHeight="1" x14ac:dyDescent="0.2">
      <c r="G48389" s="889"/>
    </row>
    <row r="48390" spans="7:7" ht="10.5" customHeight="1" x14ac:dyDescent="0.2">
      <c r="G48390" s="889"/>
    </row>
    <row r="48391" spans="7:7" ht="10.5" customHeight="1" x14ac:dyDescent="0.2">
      <c r="G48391" s="889"/>
    </row>
    <row r="48392" spans="7:7" ht="10.5" customHeight="1" x14ac:dyDescent="0.2">
      <c r="G48392" s="889"/>
    </row>
    <row r="48393" spans="7:7" ht="10.5" customHeight="1" x14ac:dyDescent="0.2">
      <c r="G48393" s="889"/>
    </row>
    <row r="48394" spans="7:7" ht="10.5" customHeight="1" x14ac:dyDescent="0.2">
      <c r="G48394" s="889"/>
    </row>
    <row r="48395" spans="7:7" ht="10.5" customHeight="1" x14ac:dyDescent="0.2">
      <c r="G48395" s="889"/>
    </row>
    <row r="48396" spans="7:7" ht="10.5" customHeight="1" x14ac:dyDescent="0.2">
      <c r="G48396" s="889"/>
    </row>
    <row r="48397" spans="7:7" ht="10.5" customHeight="1" x14ac:dyDescent="0.2">
      <c r="G48397" s="889"/>
    </row>
    <row r="48398" spans="7:7" ht="10.5" customHeight="1" x14ac:dyDescent="0.2">
      <c r="G48398" s="889"/>
    </row>
    <row r="48399" spans="7:7" ht="10.5" customHeight="1" x14ac:dyDescent="0.2">
      <c r="G48399" s="889"/>
    </row>
    <row r="48400" spans="7:7" ht="10.5" customHeight="1" x14ac:dyDescent="0.2">
      <c r="G48400" s="889"/>
    </row>
    <row r="48401" spans="7:7" ht="10.5" customHeight="1" x14ac:dyDescent="0.2">
      <c r="G48401" s="889"/>
    </row>
    <row r="48402" spans="7:7" ht="10.5" customHeight="1" x14ac:dyDescent="0.2">
      <c r="G48402" s="889"/>
    </row>
    <row r="48403" spans="7:7" ht="10.5" customHeight="1" x14ac:dyDescent="0.2">
      <c r="G48403" s="889"/>
    </row>
    <row r="48404" spans="7:7" ht="10.5" customHeight="1" x14ac:dyDescent="0.2">
      <c r="G48404" s="889"/>
    </row>
    <row r="48405" spans="7:7" ht="10.5" customHeight="1" x14ac:dyDescent="0.2">
      <c r="G48405" s="889"/>
    </row>
    <row r="48406" spans="7:7" ht="10.5" customHeight="1" x14ac:dyDescent="0.2">
      <c r="G48406" s="889"/>
    </row>
    <row r="48407" spans="7:7" ht="10.5" customHeight="1" x14ac:dyDescent="0.2">
      <c r="G48407" s="889"/>
    </row>
    <row r="48408" spans="7:7" ht="10.5" customHeight="1" x14ac:dyDescent="0.2">
      <c r="G48408" s="889"/>
    </row>
    <row r="48409" spans="7:7" ht="10.5" customHeight="1" x14ac:dyDescent="0.2">
      <c r="G48409" s="889"/>
    </row>
    <row r="48410" spans="7:7" ht="10.5" customHeight="1" x14ac:dyDescent="0.2">
      <c r="G48410" s="889"/>
    </row>
    <row r="48411" spans="7:7" ht="10.5" customHeight="1" x14ac:dyDescent="0.2">
      <c r="G48411" s="889"/>
    </row>
    <row r="48412" spans="7:7" ht="10.5" customHeight="1" x14ac:dyDescent="0.2">
      <c r="G48412" s="889"/>
    </row>
    <row r="48413" spans="7:7" ht="10.5" customHeight="1" x14ac:dyDescent="0.2">
      <c r="G48413" s="889"/>
    </row>
    <row r="48414" spans="7:7" ht="10.5" customHeight="1" x14ac:dyDescent="0.2">
      <c r="G48414" s="889"/>
    </row>
    <row r="48415" spans="7:7" ht="10.5" customHeight="1" x14ac:dyDescent="0.2">
      <c r="G48415" s="889"/>
    </row>
    <row r="48416" spans="7:7" ht="10.5" customHeight="1" x14ac:dyDescent="0.2">
      <c r="G48416" s="889"/>
    </row>
    <row r="48417" spans="7:7" ht="10.5" customHeight="1" x14ac:dyDescent="0.2">
      <c r="G48417" s="889"/>
    </row>
    <row r="48418" spans="7:7" ht="10.5" customHeight="1" x14ac:dyDescent="0.2">
      <c r="G48418" s="889"/>
    </row>
    <row r="48419" spans="7:7" ht="10.5" customHeight="1" x14ac:dyDescent="0.2">
      <c r="G48419" s="889"/>
    </row>
    <row r="48420" spans="7:7" ht="10.5" customHeight="1" x14ac:dyDescent="0.2">
      <c r="G48420" s="889"/>
    </row>
    <row r="48421" spans="7:7" ht="10.5" customHeight="1" x14ac:dyDescent="0.2">
      <c r="G48421" s="889"/>
    </row>
    <row r="48422" spans="7:7" ht="10.5" customHeight="1" x14ac:dyDescent="0.2">
      <c r="G48422" s="889"/>
    </row>
    <row r="48423" spans="7:7" ht="10.5" customHeight="1" x14ac:dyDescent="0.2">
      <c r="G48423" s="889"/>
    </row>
    <row r="48424" spans="7:7" ht="10.5" customHeight="1" x14ac:dyDescent="0.2">
      <c r="G48424" s="889"/>
    </row>
    <row r="48425" spans="7:7" ht="10.5" customHeight="1" x14ac:dyDescent="0.2">
      <c r="G48425" s="889"/>
    </row>
    <row r="48426" spans="7:7" ht="10.5" customHeight="1" x14ac:dyDescent="0.2">
      <c r="G48426" s="889"/>
    </row>
    <row r="48427" spans="7:7" ht="10.5" customHeight="1" x14ac:dyDescent="0.2">
      <c r="G48427" s="889"/>
    </row>
    <row r="48428" spans="7:7" ht="10.5" customHeight="1" x14ac:dyDescent="0.2">
      <c r="G48428" s="889"/>
    </row>
    <row r="48429" spans="7:7" ht="10.5" customHeight="1" x14ac:dyDescent="0.2">
      <c r="G48429" s="889"/>
    </row>
    <row r="48430" spans="7:7" ht="10.5" customHeight="1" x14ac:dyDescent="0.2">
      <c r="G48430" s="889"/>
    </row>
    <row r="48431" spans="7:7" ht="10.5" customHeight="1" x14ac:dyDescent="0.2">
      <c r="G48431" s="889"/>
    </row>
    <row r="48432" spans="7:7" ht="10.5" customHeight="1" x14ac:dyDescent="0.2">
      <c r="G48432" s="889"/>
    </row>
    <row r="48433" spans="7:7" ht="10.5" customHeight="1" x14ac:dyDescent="0.2">
      <c r="G48433" s="889"/>
    </row>
    <row r="48434" spans="7:7" ht="10.5" customHeight="1" x14ac:dyDescent="0.2">
      <c r="G48434" s="889"/>
    </row>
    <row r="48435" spans="7:7" ht="10.5" customHeight="1" x14ac:dyDescent="0.2">
      <c r="G48435" s="889"/>
    </row>
    <row r="48436" spans="7:7" ht="10.5" customHeight="1" x14ac:dyDescent="0.2">
      <c r="G48436" s="889"/>
    </row>
    <row r="48437" spans="7:7" ht="10.5" customHeight="1" x14ac:dyDescent="0.2">
      <c r="G48437" s="889"/>
    </row>
    <row r="48438" spans="7:7" ht="10.5" customHeight="1" x14ac:dyDescent="0.2">
      <c r="G48438" s="889"/>
    </row>
    <row r="48439" spans="7:7" ht="10.5" customHeight="1" x14ac:dyDescent="0.2">
      <c r="G48439" s="889"/>
    </row>
    <row r="48440" spans="7:7" ht="10.5" customHeight="1" x14ac:dyDescent="0.2">
      <c r="G48440" s="889"/>
    </row>
    <row r="48441" spans="7:7" ht="10.5" customHeight="1" x14ac:dyDescent="0.2">
      <c r="G48441" s="889"/>
    </row>
    <row r="48442" spans="7:7" ht="10.5" customHeight="1" x14ac:dyDescent="0.2">
      <c r="G48442" s="889"/>
    </row>
    <row r="48443" spans="7:7" ht="10.5" customHeight="1" x14ac:dyDescent="0.2">
      <c r="G48443" s="889"/>
    </row>
    <row r="48444" spans="7:7" ht="10.5" customHeight="1" x14ac:dyDescent="0.2">
      <c r="G48444" s="889"/>
    </row>
    <row r="48445" spans="7:7" ht="10.5" customHeight="1" x14ac:dyDescent="0.2">
      <c r="G48445" s="889"/>
    </row>
    <row r="48446" spans="7:7" ht="10.5" customHeight="1" x14ac:dyDescent="0.2">
      <c r="G48446" s="889"/>
    </row>
    <row r="48447" spans="7:7" ht="10.5" customHeight="1" x14ac:dyDescent="0.2">
      <c r="G48447" s="889"/>
    </row>
    <row r="48448" spans="7:7" ht="10.5" customHeight="1" x14ac:dyDescent="0.2">
      <c r="G48448" s="889"/>
    </row>
    <row r="48449" spans="7:7" ht="10.5" customHeight="1" x14ac:dyDescent="0.2">
      <c r="G48449" s="889"/>
    </row>
    <row r="48450" spans="7:7" ht="10.5" customHeight="1" x14ac:dyDescent="0.2">
      <c r="G48450" s="889"/>
    </row>
    <row r="48451" spans="7:7" ht="10.5" customHeight="1" x14ac:dyDescent="0.2">
      <c r="G48451" s="889"/>
    </row>
    <row r="48452" spans="7:7" ht="10.5" customHeight="1" x14ac:dyDescent="0.2">
      <c r="G48452" s="889"/>
    </row>
    <row r="48453" spans="7:7" ht="10.5" customHeight="1" x14ac:dyDescent="0.2">
      <c r="G48453" s="889"/>
    </row>
    <row r="48454" spans="7:7" ht="10.5" customHeight="1" x14ac:dyDescent="0.2">
      <c r="G48454" s="889"/>
    </row>
    <row r="48455" spans="7:7" ht="10.5" customHeight="1" x14ac:dyDescent="0.2">
      <c r="G48455" s="889"/>
    </row>
    <row r="48456" spans="7:7" ht="10.5" customHeight="1" x14ac:dyDescent="0.2">
      <c r="G48456" s="889"/>
    </row>
    <row r="48457" spans="7:7" ht="10.5" customHeight="1" x14ac:dyDescent="0.2">
      <c r="G48457" s="889"/>
    </row>
    <row r="48458" spans="7:7" ht="10.5" customHeight="1" x14ac:dyDescent="0.2">
      <c r="G48458" s="889"/>
    </row>
    <row r="48459" spans="7:7" ht="10.5" customHeight="1" x14ac:dyDescent="0.2">
      <c r="G48459" s="889"/>
    </row>
    <row r="48460" spans="7:7" ht="10.5" customHeight="1" x14ac:dyDescent="0.2">
      <c r="G48460" s="889"/>
    </row>
    <row r="48461" spans="7:7" ht="10.5" customHeight="1" x14ac:dyDescent="0.2">
      <c r="G48461" s="889"/>
    </row>
    <row r="48462" spans="7:7" ht="10.5" customHeight="1" x14ac:dyDescent="0.2">
      <c r="G48462" s="889"/>
    </row>
    <row r="48463" spans="7:7" ht="10.5" customHeight="1" x14ac:dyDescent="0.2">
      <c r="G48463" s="889"/>
    </row>
    <row r="48464" spans="7:7" ht="10.5" customHeight="1" x14ac:dyDescent="0.2">
      <c r="G48464" s="889"/>
    </row>
    <row r="48465" spans="7:7" ht="10.5" customHeight="1" x14ac:dyDescent="0.2">
      <c r="G48465" s="889"/>
    </row>
    <row r="48466" spans="7:7" ht="10.5" customHeight="1" x14ac:dyDescent="0.2">
      <c r="G48466" s="889"/>
    </row>
    <row r="48467" spans="7:7" ht="10.5" customHeight="1" x14ac:dyDescent="0.2">
      <c r="G48467" s="889"/>
    </row>
    <row r="48468" spans="7:7" ht="10.5" customHeight="1" x14ac:dyDescent="0.2">
      <c r="G48468" s="889"/>
    </row>
    <row r="48469" spans="7:7" ht="10.5" customHeight="1" x14ac:dyDescent="0.2">
      <c r="G48469" s="889"/>
    </row>
    <row r="48470" spans="7:7" ht="10.5" customHeight="1" x14ac:dyDescent="0.2">
      <c r="G48470" s="889"/>
    </row>
    <row r="48471" spans="7:7" ht="10.5" customHeight="1" x14ac:dyDescent="0.2">
      <c r="G48471" s="889"/>
    </row>
    <row r="48472" spans="7:7" ht="10.5" customHeight="1" x14ac:dyDescent="0.2">
      <c r="G48472" s="889"/>
    </row>
    <row r="48473" spans="7:7" ht="10.5" customHeight="1" x14ac:dyDescent="0.2">
      <c r="G48473" s="889"/>
    </row>
    <row r="48474" spans="7:7" ht="10.5" customHeight="1" x14ac:dyDescent="0.2">
      <c r="G48474" s="889"/>
    </row>
    <row r="48475" spans="7:7" ht="10.5" customHeight="1" x14ac:dyDescent="0.2">
      <c r="G48475" s="889"/>
    </row>
    <row r="48476" spans="7:7" ht="10.5" customHeight="1" x14ac:dyDescent="0.2">
      <c r="G48476" s="889"/>
    </row>
    <row r="48477" spans="7:7" ht="10.5" customHeight="1" x14ac:dyDescent="0.2">
      <c r="G48477" s="889"/>
    </row>
    <row r="48478" spans="7:7" ht="10.5" customHeight="1" x14ac:dyDescent="0.2">
      <c r="G48478" s="889"/>
    </row>
    <row r="48479" spans="7:7" ht="10.5" customHeight="1" x14ac:dyDescent="0.2">
      <c r="G48479" s="889"/>
    </row>
    <row r="48480" spans="7:7" ht="10.5" customHeight="1" x14ac:dyDescent="0.2">
      <c r="G48480" s="889"/>
    </row>
    <row r="48481" spans="7:7" ht="10.5" customHeight="1" x14ac:dyDescent="0.2">
      <c r="G48481" s="889"/>
    </row>
    <row r="48482" spans="7:7" ht="10.5" customHeight="1" x14ac:dyDescent="0.2">
      <c r="G48482" s="889"/>
    </row>
    <row r="48483" spans="7:7" ht="10.5" customHeight="1" x14ac:dyDescent="0.2">
      <c r="G48483" s="889"/>
    </row>
    <row r="48484" spans="7:7" ht="10.5" customHeight="1" x14ac:dyDescent="0.2">
      <c r="G48484" s="889"/>
    </row>
    <row r="48485" spans="7:7" ht="10.5" customHeight="1" x14ac:dyDescent="0.2">
      <c r="G48485" s="889"/>
    </row>
    <row r="48486" spans="7:7" ht="10.5" customHeight="1" x14ac:dyDescent="0.2">
      <c r="G48486" s="889"/>
    </row>
    <row r="48487" spans="7:7" ht="10.5" customHeight="1" x14ac:dyDescent="0.2">
      <c r="G48487" s="889"/>
    </row>
    <row r="48488" spans="7:7" ht="10.5" customHeight="1" x14ac:dyDescent="0.2">
      <c r="G48488" s="889"/>
    </row>
    <row r="48489" spans="7:7" ht="10.5" customHeight="1" x14ac:dyDescent="0.2">
      <c r="G48489" s="889"/>
    </row>
    <row r="48490" spans="7:7" ht="10.5" customHeight="1" x14ac:dyDescent="0.2">
      <c r="G48490" s="889"/>
    </row>
    <row r="48491" spans="7:7" ht="10.5" customHeight="1" x14ac:dyDescent="0.2">
      <c r="G48491" s="889"/>
    </row>
    <row r="48492" spans="7:7" ht="10.5" customHeight="1" x14ac:dyDescent="0.2">
      <c r="G48492" s="889"/>
    </row>
    <row r="48493" spans="7:7" ht="10.5" customHeight="1" x14ac:dyDescent="0.2">
      <c r="G48493" s="889"/>
    </row>
    <row r="48494" spans="7:7" ht="10.5" customHeight="1" x14ac:dyDescent="0.2">
      <c r="G48494" s="889"/>
    </row>
    <row r="48495" spans="7:7" ht="10.5" customHeight="1" x14ac:dyDescent="0.2">
      <c r="G48495" s="889"/>
    </row>
    <row r="48496" spans="7:7" ht="10.5" customHeight="1" x14ac:dyDescent="0.2">
      <c r="G48496" s="889"/>
    </row>
    <row r="48497" spans="7:7" ht="10.5" customHeight="1" x14ac:dyDescent="0.2">
      <c r="G48497" s="889"/>
    </row>
    <row r="48498" spans="7:7" ht="10.5" customHeight="1" x14ac:dyDescent="0.2">
      <c r="G48498" s="889"/>
    </row>
    <row r="48499" spans="7:7" ht="10.5" customHeight="1" x14ac:dyDescent="0.2">
      <c r="G48499" s="889"/>
    </row>
    <row r="48500" spans="7:7" ht="10.5" customHeight="1" x14ac:dyDescent="0.2">
      <c r="G48500" s="889"/>
    </row>
    <row r="48501" spans="7:7" ht="10.5" customHeight="1" x14ac:dyDescent="0.2">
      <c r="G48501" s="889"/>
    </row>
    <row r="48502" spans="7:7" ht="10.5" customHeight="1" x14ac:dyDescent="0.2">
      <c r="G48502" s="889"/>
    </row>
    <row r="48503" spans="7:7" ht="10.5" customHeight="1" x14ac:dyDescent="0.2">
      <c r="G48503" s="889"/>
    </row>
    <row r="48504" spans="7:7" ht="10.5" customHeight="1" x14ac:dyDescent="0.2">
      <c r="G48504" s="889"/>
    </row>
    <row r="48505" spans="7:7" ht="10.5" customHeight="1" x14ac:dyDescent="0.2">
      <c r="G48505" s="889"/>
    </row>
    <row r="48506" spans="7:7" ht="10.5" customHeight="1" x14ac:dyDescent="0.2">
      <c r="G48506" s="889"/>
    </row>
    <row r="48507" spans="7:7" ht="10.5" customHeight="1" x14ac:dyDescent="0.2">
      <c r="G48507" s="889"/>
    </row>
    <row r="48508" spans="7:7" ht="10.5" customHeight="1" x14ac:dyDescent="0.2">
      <c r="G48508" s="889"/>
    </row>
    <row r="48509" spans="7:7" ht="10.5" customHeight="1" x14ac:dyDescent="0.2">
      <c r="G48509" s="889"/>
    </row>
    <row r="48510" spans="7:7" ht="10.5" customHeight="1" x14ac:dyDescent="0.2">
      <c r="G48510" s="889"/>
    </row>
    <row r="48511" spans="7:7" ht="10.5" customHeight="1" x14ac:dyDescent="0.2">
      <c r="G48511" s="889"/>
    </row>
    <row r="48512" spans="7:7" ht="10.5" customHeight="1" x14ac:dyDescent="0.2">
      <c r="G48512" s="889"/>
    </row>
    <row r="48513" spans="7:7" ht="10.5" customHeight="1" x14ac:dyDescent="0.2">
      <c r="G48513" s="889"/>
    </row>
    <row r="48514" spans="7:7" ht="10.5" customHeight="1" x14ac:dyDescent="0.2">
      <c r="G48514" s="889"/>
    </row>
    <row r="48515" spans="7:7" ht="10.5" customHeight="1" x14ac:dyDescent="0.2">
      <c r="G48515" s="889"/>
    </row>
    <row r="48516" spans="7:7" ht="10.5" customHeight="1" x14ac:dyDescent="0.2">
      <c r="G48516" s="889"/>
    </row>
    <row r="48517" spans="7:7" ht="10.5" customHeight="1" x14ac:dyDescent="0.2">
      <c r="G48517" s="889"/>
    </row>
    <row r="48518" spans="7:7" ht="10.5" customHeight="1" x14ac:dyDescent="0.2">
      <c r="G48518" s="889"/>
    </row>
    <row r="48519" spans="7:7" ht="10.5" customHeight="1" x14ac:dyDescent="0.2">
      <c r="G48519" s="889"/>
    </row>
    <row r="48520" spans="7:7" ht="10.5" customHeight="1" x14ac:dyDescent="0.2">
      <c r="G48520" s="889"/>
    </row>
    <row r="48521" spans="7:7" ht="10.5" customHeight="1" x14ac:dyDescent="0.2">
      <c r="G48521" s="889"/>
    </row>
    <row r="48522" spans="7:7" ht="10.5" customHeight="1" x14ac:dyDescent="0.2">
      <c r="G48522" s="889"/>
    </row>
    <row r="48523" spans="7:7" ht="10.5" customHeight="1" x14ac:dyDescent="0.2">
      <c r="G48523" s="889"/>
    </row>
    <row r="48524" spans="7:7" ht="10.5" customHeight="1" x14ac:dyDescent="0.2">
      <c r="G48524" s="889"/>
    </row>
    <row r="48525" spans="7:7" ht="10.5" customHeight="1" x14ac:dyDescent="0.2">
      <c r="G48525" s="889"/>
    </row>
    <row r="48526" spans="7:7" ht="10.5" customHeight="1" x14ac:dyDescent="0.2">
      <c r="G48526" s="889"/>
    </row>
    <row r="48527" spans="7:7" ht="10.5" customHeight="1" x14ac:dyDescent="0.2">
      <c r="G48527" s="889"/>
    </row>
    <row r="48528" spans="7:7" ht="10.5" customHeight="1" x14ac:dyDescent="0.2">
      <c r="G48528" s="889"/>
    </row>
    <row r="48529" spans="7:7" ht="10.5" customHeight="1" x14ac:dyDescent="0.2">
      <c r="G48529" s="889"/>
    </row>
    <row r="48530" spans="7:7" ht="10.5" customHeight="1" x14ac:dyDescent="0.2">
      <c r="G48530" s="889"/>
    </row>
    <row r="48531" spans="7:7" ht="10.5" customHeight="1" x14ac:dyDescent="0.2">
      <c r="G48531" s="889"/>
    </row>
    <row r="48532" spans="7:7" ht="10.5" customHeight="1" x14ac:dyDescent="0.2">
      <c r="G48532" s="889"/>
    </row>
    <row r="48533" spans="7:7" ht="10.5" customHeight="1" x14ac:dyDescent="0.2">
      <c r="G48533" s="889"/>
    </row>
    <row r="48534" spans="7:7" ht="10.5" customHeight="1" x14ac:dyDescent="0.2">
      <c r="G48534" s="889"/>
    </row>
    <row r="48535" spans="7:7" ht="10.5" customHeight="1" x14ac:dyDescent="0.2">
      <c r="G48535" s="889"/>
    </row>
    <row r="48536" spans="7:7" ht="10.5" customHeight="1" x14ac:dyDescent="0.2">
      <c r="G48536" s="889"/>
    </row>
    <row r="48537" spans="7:7" ht="10.5" customHeight="1" x14ac:dyDescent="0.2">
      <c r="G48537" s="889"/>
    </row>
    <row r="48538" spans="7:7" ht="10.5" customHeight="1" x14ac:dyDescent="0.2">
      <c r="G48538" s="889"/>
    </row>
    <row r="48539" spans="7:7" ht="10.5" customHeight="1" x14ac:dyDescent="0.2">
      <c r="G48539" s="889"/>
    </row>
    <row r="48540" spans="7:7" ht="10.5" customHeight="1" x14ac:dyDescent="0.2">
      <c r="G48540" s="889"/>
    </row>
    <row r="48541" spans="7:7" ht="10.5" customHeight="1" x14ac:dyDescent="0.2">
      <c r="G48541" s="889"/>
    </row>
    <row r="48542" spans="7:7" ht="10.5" customHeight="1" x14ac:dyDescent="0.2">
      <c r="G48542" s="889"/>
    </row>
    <row r="48543" spans="7:7" ht="10.5" customHeight="1" x14ac:dyDescent="0.2">
      <c r="G48543" s="889"/>
    </row>
    <row r="48544" spans="7:7" ht="10.5" customHeight="1" x14ac:dyDescent="0.2">
      <c r="G48544" s="889"/>
    </row>
    <row r="48545" spans="7:7" ht="10.5" customHeight="1" x14ac:dyDescent="0.2">
      <c r="G48545" s="889"/>
    </row>
    <row r="48546" spans="7:7" ht="10.5" customHeight="1" x14ac:dyDescent="0.2">
      <c r="G48546" s="889"/>
    </row>
    <row r="48547" spans="7:7" ht="10.5" customHeight="1" x14ac:dyDescent="0.2">
      <c r="G48547" s="889"/>
    </row>
    <row r="48548" spans="7:7" ht="10.5" customHeight="1" x14ac:dyDescent="0.2">
      <c r="G48548" s="889"/>
    </row>
    <row r="48549" spans="7:7" ht="10.5" customHeight="1" x14ac:dyDescent="0.2">
      <c r="G48549" s="889"/>
    </row>
    <row r="48550" spans="7:7" ht="10.5" customHeight="1" x14ac:dyDescent="0.2">
      <c r="G48550" s="889"/>
    </row>
    <row r="48551" spans="7:7" ht="10.5" customHeight="1" x14ac:dyDescent="0.2">
      <c r="G48551" s="889"/>
    </row>
    <row r="48552" spans="7:7" ht="10.5" customHeight="1" x14ac:dyDescent="0.2">
      <c r="G48552" s="889"/>
    </row>
    <row r="48553" spans="7:7" ht="10.5" customHeight="1" x14ac:dyDescent="0.2">
      <c r="G48553" s="889"/>
    </row>
    <row r="48554" spans="7:7" ht="10.5" customHeight="1" x14ac:dyDescent="0.2">
      <c r="G48554" s="889"/>
    </row>
    <row r="48555" spans="7:7" ht="10.5" customHeight="1" x14ac:dyDescent="0.2">
      <c r="G48555" s="889"/>
    </row>
    <row r="48556" spans="7:7" ht="10.5" customHeight="1" x14ac:dyDescent="0.2">
      <c r="G48556" s="889"/>
    </row>
    <row r="48557" spans="7:7" ht="10.5" customHeight="1" x14ac:dyDescent="0.2">
      <c r="G48557" s="889"/>
    </row>
    <row r="48558" spans="7:7" ht="10.5" customHeight="1" x14ac:dyDescent="0.2">
      <c r="G48558" s="889"/>
    </row>
    <row r="48559" spans="7:7" ht="10.5" customHeight="1" x14ac:dyDescent="0.2">
      <c r="G48559" s="889"/>
    </row>
    <row r="48560" spans="7:7" ht="10.5" customHeight="1" x14ac:dyDescent="0.2">
      <c r="G48560" s="889"/>
    </row>
    <row r="48561" spans="7:7" ht="10.5" customHeight="1" x14ac:dyDescent="0.2">
      <c r="G48561" s="889"/>
    </row>
    <row r="48562" spans="7:7" ht="10.5" customHeight="1" x14ac:dyDescent="0.2">
      <c r="G48562" s="889"/>
    </row>
    <row r="48563" spans="7:7" ht="10.5" customHeight="1" x14ac:dyDescent="0.2">
      <c r="G48563" s="889"/>
    </row>
    <row r="48564" spans="7:7" ht="10.5" customHeight="1" x14ac:dyDescent="0.2">
      <c r="G48564" s="889"/>
    </row>
    <row r="48565" spans="7:7" ht="10.5" customHeight="1" x14ac:dyDescent="0.2">
      <c r="G48565" s="889"/>
    </row>
    <row r="48566" spans="7:7" ht="10.5" customHeight="1" x14ac:dyDescent="0.2">
      <c r="G48566" s="889"/>
    </row>
    <row r="48567" spans="7:7" ht="10.5" customHeight="1" x14ac:dyDescent="0.2">
      <c r="G48567" s="889"/>
    </row>
    <row r="48568" spans="7:7" ht="10.5" customHeight="1" x14ac:dyDescent="0.2">
      <c r="G48568" s="889"/>
    </row>
    <row r="48569" spans="7:7" ht="10.5" customHeight="1" x14ac:dyDescent="0.2">
      <c r="G48569" s="889"/>
    </row>
    <row r="48570" spans="7:7" ht="10.5" customHeight="1" x14ac:dyDescent="0.2">
      <c r="G48570" s="889"/>
    </row>
    <row r="48571" spans="7:7" ht="10.5" customHeight="1" x14ac:dyDescent="0.2">
      <c r="G48571" s="889"/>
    </row>
    <row r="48572" spans="7:7" ht="10.5" customHeight="1" x14ac:dyDescent="0.2">
      <c r="G48572" s="889"/>
    </row>
    <row r="48573" spans="7:7" ht="10.5" customHeight="1" x14ac:dyDescent="0.2">
      <c r="G48573" s="889"/>
    </row>
    <row r="48574" spans="7:7" ht="10.5" customHeight="1" x14ac:dyDescent="0.2">
      <c r="G48574" s="889"/>
    </row>
    <row r="48575" spans="7:7" ht="10.5" customHeight="1" x14ac:dyDescent="0.2">
      <c r="G48575" s="889"/>
    </row>
    <row r="48576" spans="7:7" ht="10.5" customHeight="1" x14ac:dyDescent="0.2">
      <c r="G48576" s="889"/>
    </row>
    <row r="48577" spans="7:7" ht="10.5" customHeight="1" x14ac:dyDescent="0.2">
      <c r="G48577" s="889"/>
    </row>
    <row r="48578" spans="7:7" ht="10.5" customHeight="1" x14ac:dyDescent="0.2">
      <c r="G48578" s="889"/>
    </row>
    <row r="48579" spans="7:7" ht="10.5" customHeight="1" x14ac:dyDescent="0.2">
      <c r="G48579" s="889"/>
    </row>
    <row r="48580" spans="7:7" ht="10.5" customHeight="1" x14ac:dyDescent="0.2">
      <c r="G48580" s="889"/>
    </row>
    <row r="48581" spans="7:7" ht="10.5" customHeight="1" x14ac:dyDescent="0.2">
      <c r="G48581" s="889"/>
    </row>
    <row r="48582" spans="7:7" ht="10.5" customHeight="1" x14ac:dyDescent="0.2">
      <c r="G48582" s="889"/>
    </row>
    <row r="48583" spans="7:7" ht="10.5" customHeight="1" x14ac:dyDescent="0.2">
      <c r="G48583" s="889"/>
    </row>
    <row r="48584" spans="7:7" ht="10.5" customHeight="1" x14ac:dyDescent="0.2">
      <c r="G48584" s="889"/>
    </row>
    <row r="48585" spans="7:7" ht="10.5" customHeight="1" x14ac:dyDescent="0.2">
      <c r="G48585" s="889"/>
    </row>
    <row r="48586" spans="7:7" ht="10.5" customHeight="1" x14ac:dyDescent="0.2">
      <c r="G48586" s="889"/>
    </row>
    <row r="48587" spans="7:7" ht="10.5" customHeight="1" x14ac:dyDescent="0.2">
      <c r="G48587" s="889"/>
    </row>
    <row r="48588" spans="7:7" ht="10.5" customHeight="1" x14ac:dyDescent="0.2">
      <c r="G48588" s="889"/>
    </row>
    <row r="48589" spans="7:7" ht="10.5" customHeight="1" x14ac:dyDescent="0.2">
      <c r="G48589" s="889"/>
    </row>
    <row r="48590" spans="7:7" ht="10.5" customHeight="1" x14ac:dyDescent="0.2">
      <c r="G48590" s="889"/>
    </row>
    <row r="48591" spans="7:7" ht="10.5" customHeight="1" x14ac:dyDescent="0.2">
      <c r="G48591" s="889"/>
    </row>
    <row r="48592" spans="7:7" ht="10.5" customHeight="1" x14ac:dyDescent="0.2">
      <c r="G48592" s="889"/>
    </row>
    <row r="48593" spans="7:7" ht="10.5" customHeight="1" x14ac:dyDescent="0.2">
      <c r="G48593" s="889"/>
    </row>
    <row r="48594" spans="7:7" ht="10.5" customHeight="1" x14ac:dyDescent="0.2">
      <c r="G48594" s="889"/>
    </row>
    <row r="48595" spans="7:7" ht="10.5" customHeight="1" x14ac:dyDescent="0.2">
      <c r="G48595" s="889"/>
    </row>
    <row r="48596" spans="7:7" ht="10.5" customHeight="1" x14ac:dyDescent="0.2">
      <c r="G48596" s="889"/>
    </row>
    <row r="48597" spans="7:7" ht="10.5" customHeight="1" x14ac:dyDescent="0.2">
      <c r="G48597" s="889"/>
    </row>
    <row r="48598" spans="7:7" ht="10.5" customHeight="1" x14ac:dyDescent="0.2">
      <c r="G48598" s="889"/>
    </row>
    <row r="48599" spans="7:7" ht="10.5" customHeight="1" x14ac:dyDescent="0.2">
      <c r="G48599" s="889"/>
    </row>
    <row r="48600" spans="7:7" ht="10.5" customHeight="1" x14ac:dyDescent="0.2">
      <c r="G48600" s="889"/>
    </row>
    <row r="48601" spans="7:7" ht="10.5" customHeight="1" x14ac:dyDescent="0.2">
      <c r="G48601" s="889"/>
    </row>
    <row r="48602" spans="7:7" ht="10.5" customHeight="1" x14ac:dyDescent="0.2">
      <c r="G48602" s="889"/>
    </row>
    <row r="48603" spans="7:7" ht="10.5" customHeight="1" x14ac:dyDescent="0.2">
      <c r="G48603" s="889"/>
    </row>
    <row r="48604" spans="7:7" ht="10.5" customHeight="1" x14ac:dyDescent="0.2">
      <c r="G48604" s="889"/>
    </row>
    <row r="48605" spans="7:7" ht="10.5" customHeight="1" x14ac:dyDescent="0.2">
      <c r="G48605" s="889"/>
    </row>
    <row r="48606" spans="7:7" ht="10.5" customHeight="1" x14ac:dyDescent="0.2">
      <c r="G48606" s="889"/>
    </row>
    <row r="48607" spans="7:7" ht="10.5" customHeight="1" x14ac:dyDescent="0.2">
      <c r="G48607" s="889"/>
    </row>
    <row r="48608" spans="7:7" ht="10.5" customHeight="1" x14ac:dyDescent="0.2">
      <c r="G48608" s="889"/>
    </row>
    <row r="48609" spans="7:7" ht="10.5" customHeight="1" x14ac:dyDescent="0.2">
      <c r="G48609" s="889"/>
    </row>
    <row r="48610" spans="7:7" ht="10.5" customHeight="1" x14ac:dyDescent="0.2">
      <c r="G48610" s="889"/>
    </row>
    <row r="48611" spans="7:7" ht="10.5" customHeight="1" x14ac:dyDescent="0.2">
      <c r="G48611" s="889"/>
    </row>
    <row r="48612" spans="7:7" ht="10.5" customHeight="1" x14ac:dyDescent="0.2">
      <c r="G48612" s="889"/>
    </row>
    <row r="48613" spans="7:7" ht="10.5" customHeight="1" x14ac:dyDescent="0.2">
      <c r="G48613" s="889"/>
    </row>
    <row r="48614" spans="7:7" ht="10.5" customHeight="1" x14ac:dyDescent="0.2">
      <c r="G48614" s="889"/>
    </row>
    <row r="48615" spans="7:7" ht="10.5" customHeight="1" x14ac:dyDescent="0.2">
      <c r="G48615" s="889"/>
    </row>
    <row r="48616" spans="7:7" ht="10.5" customHeight="1" x14ac:dyDescent="0.2">
      <c r="G48616" s="889"/>
    </row>
    <row r="48617" spans="7:7" ht="10.5" customHeight="1" x14ac:dyDescent="0.2">
      <c r="G48617" s="889"/>
    </row>
    <row r="48618" spans="7:7" ht="10.5" customHeight="1" x14ac:dyDescent="0.2">
      <c r="G48618" s="889"/>
    </row>
    <row r="48619" spans="7:7" ht="10.5" customHeight="1" x14ac:dyDescent="0.2">
      <c r="G48619" s="889"/>
    </row>
    <row r="48620" spans="7:7" ht="10.5" customHeight="1" x14ac:dyDescent="0.2">
      <c r="G48620" s="889"/>
    </row>
    <row r="48621" spans="7:7" ht="10.5" customHeight="1" x14ac:dyDescent="0.2">
      <c r="G48621" s="889"/>
    </row>
    <row r="48622" spans="7:7" ht="10.5" customHeight="1" x14ac:dyDescent="0.2">
      <c r="G48622" s="889"/>
    </row>
    <row r="48623" spans="7:7" ht="10.5" customHeight="1" x14ac:dyDescent="0.2">
      <c r="G48623" s="889"/>
    </row>
    <row r="48624" spans="7:7" ht="10.5" customHeight="1" x14ac:dyDescent="0.2">
      <c r="G48624" s="889"/>
    </row>
    <row r="48625" spans="7:7" ht="10.5" customHeight="1" x14ac:dyDescent="0.2">
      <c r="G48625" s="889"/>
    </row>
    <row r="48626" spans="7:7" ht="10.5" customHeight="1" x14ac:dyDescent="0.2">
      <c r="G48626" s="889"/>
    </row>
    <row r="48627" spans="7:7" ht="10.5" customHeight="1" x14ac:dyDescent="0.2">
      <c r="G48627" s="889"/>
    </row>
    <row r="48628" spans="7:7" ht="10.5" customHeight="1" x14ac:dyDescent="0.2">
      <c r="G48628" s="889"/>
    </row>
    <row r="48629" spans="7:7" ht="10.5" customHeight="1" x14ac:dyDescent="0.2">
      <c r="G48629" s="889"/>
    </row>
    <row r="48630" spans="7:7" ht="10.5" customHeight="1" x14ac:dyDescent="0.2">
      <c r="G48630" s="889"/>
    </row>
    <row r="48631" spans="7:7" ht="10.5" customHeight="1" x14ac:dyDescent="0.2">
      <c r="G48631" s="889"/>
    </row>
    <row r="48632" spans="7:7" ht="10.5" customHeight="1" x14ac:dyDescent="0.2">
      <c r="G48632" s="889"/>
    </row>
    <row r="48633" spans="7:7" ht="10.5" customHeight="1" x14ac:dyDescent="0.2">
      <c r="G48633" s="889"/>
    </row>
    <row r="48634" spans="7:7" ht="10.5" customHeight="1" x14ac:dyDescent="0.2">
      <c r="G48634" s="889"/>
    </row>
    <row r="48635" spans="7:7" ht="10.5" customHeight="1" x14ac:dyDescent="0.2">
      <c r="G48635" s="889"/>
    </row>
    <row r="48636" spans="7:7" ht="10.5" customHeight="1" x14ac:dyDescent="0.2">
      <c r="G48636" s="889"/>
    </row>
    <row r="48637" spans="7:7" ht="10.5" customHeight="1" x14ac:dyDescent="0.2">
      <c r="G48637" s="889"/>
    </row>
    <row r="48638" spans="7:7" ht="10.5" customHeight="1" x14ac:dyDescent="0.2">
      <c r="G48638" s="889"/>
    </row>
    <row r="48639" spans="7:7" ht="10.5" customHeight="1" x14ac:dyDescent="0.2">
      <c r="G48639" s="889"/>
    </row>
    <row r="48640" spans="7:7" ht="10.5" customHeight="1" x14ac:dyDescent="0.2">
      <c r="G48640" s="889"/>
    </row>
    <row r="48641" spans="7:7" ht="10.5" customHeight="1" x14ac:dyDescent="0.2">
      <c r="G48641" s="889"/>
    </row>
    <row r="48642" spans="7:7" ht="10.5" customHeight="1" x14ac:dyDescent="0.2">
      <c r="G48642" s="889"/>
    </row>
    <row r="48643" spans="7:7" ht="10.5" customHeight="1" x14ac:dyDescent="0.2">
      <c r="G48643" s="889"/>
    </row>
    <row r="48644" spans="7:7" ht="10.5" customHeight="1" x14ac:dyDescent="0.2">
      <c r="G48644" s="889"/>
    </row>
    <row r="48645" spans="7:7" ht="10.5" customHeight="1" x14ac:dyDescent="0.2">
      <c r="G48645" s="889"/>
    </row>
    <row r="48646" spans="7:7" ht="10.5" customHeight="1" x14ac:dyDescent="0.2">
      <c r="G48646" s="889"/>
    </row>
    <row r="48647" spans="7:7" ht="10.5" customHeight="1" x14ac:dyDescent="0.2">
      <c r="G48647" s="889"/>
    </row>
    <row r="48648" spans="7:7" ht="10.5" customHeight="1" x14ac:dyDescent="0.2">
      <c r="G48648" s="889"/>
    </row>
    <row r="48649" spans="7:7" ht="10.5" customHeight="1" x14ac:dyDescent="0.2">
      <c r="G48649" s="889"/>
    </row>
    <row r="48650" spans="7:7" ht="10.5" customHeight="1" x14ac:dyDescent="0.2">
      <c r="G48650" s="889"/>
    </row>
    <row r="48651" spans="7:7" ht="10.5" customHeight="1" x14ac:dyDescent="0.2">
      <c r="G48651" s="889"/>
    </row>
    <row r="48652" spans="7:7" ht="10.5" customHeight="1" x14ac:dyDescent="0.2">
      <c r="G48652" s="889"/>
    </row>
    <row r="48653" spans="7:7" ht="10.5" customHeight="1" x14ac:dyDescent="0.2">
      <c r="G48653" s="889"/>
    </row>
    <row r="48654" spans="7:7" ht="10.5" customHeight="1" x14ac:dyDescent="0.2">
      <c r="G48654" s="889"/>
    </row>
    <row r="48655" spans="7:7" ht="10.5" customHeight="1" x14ac:dyDescent="0.2">
      <c r="G48655" s="889"/>
    </row>
    <row r="48656" spans="7:7" ht="10.5" customHeight="1" x14ac:dyDescent="0.2">
      <c r="G48656" s="889"/>
    </row>
    <row r="48657" spans="7:7" ht="10.5" customHeight="1" x14ac:dyDescent="0.2">
      <c r="G48657" s="889"/>
    </row>
    <row r="48658" spans="7:7" ht="10.5" customHeight="1" x14ac:dyDescent="0.2">
      <c r="G48658" s="889"/>
    </row>
    <row r="48659" spans="7:7" ht="10.5" customHeight="1" x14ac:dyDescent="0.2">
      <c r="G48659" s="889"/>
    </row>
    <row r="48660" spans="7:7" ht="10.5" customHeight="1" x14ac:dyDescent="0.2">
      <c r="G48660" s="889"/>
    </row>
    <row r="48661" spans="7:7" ht="10.5" customHeight="1" x14ac:dyDescent="0.2">
      <c r="G48661" s="889"/>
    </row>
    <row r="48662" spans="7:7" ht="10.5" customHeight="1" x14ac:dyDescent="0.2">
      <c r="G48662" s="889"/>
    </row>
    <row r="48663" spans="7:7" ht="10.5" customHeight="1" x14ac:dyDescent="0.2">
      <c r="G48663" s="889"/>
    </row>
    <row r="48664" spans="7:7" ht="10.5" customHeight="1" x14ac:dyDescent="0.2">
      <c r="G48664" s="889"/>
    </row>
    <row r="48665" spans="7:7" ht="10.5" customHeight="1" x14ac:dyDescent="0.2">
      <c r="G48665" s="889"/>
    </row>
    <row r="48666" spans="7:7" ht="10.5" customHeight="1" x14ac:dyDescent="0.2">
      <c r="G48666" s="889"/>
    </row>
    <row r="48667" spans="7:7" ht="10.5" customHeight="1" x14ac:dyDescent="0.2">
      <c r="G48667" s="889"/>
    </row>
    <row r="48668" spans="7:7" ht="10.5" customHeight="1" x14ac:dyDescent="0.2">
      <c r="G48668" s="889"/>
    </row>
    <row r="48669" spans="7:7" ht="10.5" customHeight="1" x14ac:dyDescent="0.2">
      <c r="G48669" s="889"/>
    </row>
    <row r="48670" spans="7:7" ht="10.5" customHeight="1" x14ac:dyDescent="0.2">
      <c r="G48670" s="889"/>
    </row>
    <row r="48671" spans="7:7" ht="10.5" customHeight="1" x14ac:dyDescent="0.2">
      <c r="G48671" s="889"/>
    </row>
    <row r="48672" spans="7:7" ht="10.5" customHeight="1" x14ac:dyDescent="0.2">
      <c r="G48672" s="889"/>
    </row>
    <row r="48673" spans="7:7" ht="10.5" customHeight="1" x14ac:dyDescent="0.2">
      <c r="G48673" s="889"/>
    </row>
    <row r="48674" spans="7:7" ht="10.5" customHeight="1" x14ac:dyDescent="0.2">
      <c r="G48674" s="889"/>
    </row>
    <row r="48675" spans="7:7" ht="10.5" customHeight="1" x14ac:dyDescent="0.2">
      <c r="G48675" s="889"/>
    </row>
    <row r="48676" spans="7:7" ht="10.5" customHeight="1" x14ac:dyDescent="0.2">
      <c r="G48676" s="889"/>
    </row>
    <row r="48677" spans="7:7" ht="10.5" customHeight="1" x14ac:dyDescent="0.2">
      <c r="G48677" s="889"/>
    </row>
    <row r="48678" spans="7:7" ht="10.5" customHeight="1" x14ac:dyDescent="0.2">
      <c r="G48678" s="889"/>
    </row>
    <row r="48679" spans="7:7" ht="10.5" customHeight="1" x14ac:dyDescent="0.2">
      <c r="G48679" s="889"/>
    </row>
    <row r="48680" spans="7:7" ht="10.5" customHeight="1" x14ac:dyDescent="0.2">
      <c r="G48680" s="889"/>
    </row>
    <row r="48681" spans="7:7" ht="10.5" customHeight="1" x14ac:dyDescent="0.2">
      <c r="G48681" s="889"/>
    </row>
    <row r="48682" spans="7:7" ht="10.5" customHeight="1" x14ac:dyDescent="0.2">
      <c r="G48682" s="889"/>
    </row>
    <row r="48683" spans="7:7" ht="10.5" customHeight="1" x14ac:dyDescent="0.2">
      <c r="G48683" s="889"/>
    </row>
    <row r="48684" spans="7:7" ht="10.5" customHeight="1" x14ac:dyDescent="0.2">
      <c r="G48684" s="889"/>
    </row>
    <row r="48685" spans="7:7" ht="10.5" customHeight="1" x14ac:dyDescent="0.2">
      <c r="G48685" s="889"/>
    </row>
    <row r="48686" spans="7:7" ht="10.5" customHeight="1" x14ac:dyDescent="0.2">
      <c r="G48686" s="889"/>
    </row>
    <row r="48687" spans="7:7" ht="10.5" customHeight="1" x14ac:dyDescent="0.2">
      <c r="G48687" s="889"/>
    </row>
    <row r="48688" spans="7:7" ht="10.5" customHeight="1" x14ac:dyDescent="0.2">
      <c r="G48688" s="889"/>
    </row>
    <row r="48689" spans="7:7" ht="10.5" customHeight="1" x14ac:dyDescent="0.2">
      <c r="G48689" s="889"/>
    </row>
    <row r="48690" spans="7:7" ht="10.5" customHeight="1" x14ac:dyDescent="0.2">
      <c r="G48690" s="889"/>
    </row>
    <row r="48691" spans="7:7" ht="10.5" customHeight="1" x14ac:dyDescent="0.2">
      <c r="G48691" s="889"/>
    </row>
    <row r="48692" spans="7:7" ht="10.5" customHeight="1" x14ac:dyDescent="0.2">
      <c r="G48692" s="889"/>
    </row>
    <row r="48693" spans="7:7" ht="10.5" customHeight="1" x14ac:dyDescent="0.2">
      <c r="G48693" s="889"/>
    </row>
    <row r="48694" spans="7:7" ht="10.5" customHeight="1" x14ac:dyDescent="0.2">
      <c r="G48694" s="889"/>
    </row>
    <row r="48695" spans="7:7" ht="10.5" customHeight="1" x14ac:dyDescent="0.2">
      <c r="G48695" s="889"/>
    </row>
    <row r="48696" spans="7:7" ht="10.5" customHeight="1" x14ac:dyDescent="0.2">
      <c r="G48696" s="889"/>
    </row>
    <row r="48697" spans="7:7" ht="10.5" customHeight="1" x14ac:dyDescent="0.2">
      <c r="G48697" s="889"/>
    </row>
    <row r="48698" spans="7:7" ht="10.5" customHeight="1" x14ac:dyDescent="0.2">
      <c r="G48698" s="889"/>
    </row>
    <row r="48699" spans="7:7" ht="10.5" customHeight="1" x14ac:dyDescent="0.2">
      <c r="G48699" s="889"/>
    </row>
    <row r="48700" spans="7:7" ht="10.5" customHeight="1" x14ac:dyDescent="0.2">
      <c r="G48700" s="889"/>
    </row>
    <row r="48701" spans="7:7" ht="10.5" customHeight="1" x14ac:dyDescent="0.2">
      <c r="G48701" s="889"/>
    </row>
    <row r="48702" spans="7:7" ht="10.5" customHeight="1" x14ac:dyDescent="0.2">
      <c r="G48702" s="889"/>
    </row>
    <row r="48703" spans="7:7" ht="10.5" customHeight="1" x14ac:dyDescent="0.2">
      <c r="G48703" s="889"/>
    </row>
    <row r="48704" spans="7:7" ht="10.5" customHeight="1" x14ac:dyDescent="0.2">
      <c r="G48704" s="889"/>
    </row>
    <row r="48705" spans="7:7" ht="10.5" customHeight="1" x14ac:dyDescent="0.2">
      <c r="G48705" s="889"/>
    </row>
    <row r="48706" spans="7:7" ht="10.5" customHeight="1" x14ac:dyDescent="0.2">
      <c r="G48706" s="889"/>
    </row>
    <row r="48707" spans="7:7" ht="10.5" customHeight="1" x14ac:dyDescent="0.2">
      <c r="G48707" s="889"/>
    </row>
    <row r="48708" spans="7:7" ht="10.5" customHeight="1" x14ac:dyDescent="0.2">
      <c r="G48708" s="889"/>
    </row>
    <row r="48709" spans="7:7" ht="10.5" customHeight="1" x14ac:dyDescent="0.2">
      <c r="G48709" s="889"/>
    </row>
    <row r="48710" spans="7:7" ht="10.5" customHeight="1" x14ac:dyDescent="0.2">
      <c r="G48710" s="889"/>
    </row>
    <row r="48711" spans="7:7" ht="10.5" customHeight="1" x14ac:dyDescent="0.2">
      <c r="G48711" s="889"/>
    </row>
    <row r="48712" spans="7:7" ht="10.5" customHeight="1" x14ac:dyDescent="0.2">
      <c r="G48712" s="889"/>
    </row>
    <row r="48713" spans="7:7" ht="10.5" customHeight="1" x14ac:dyDescent="0.2">
      <c r="G48713" s="889"/>
    </row>
    <row r="48714" spans="7:7" ht="10.5" customHeight="1" x14ac:dyDescent="0.2">
      <c r="G48714" s="889"/>
    </row>
    <row r="48715" spans="7:7" ht="10.5" customHeight="1" x14ac:dyDescent="0.2">
      <c r="G48715" s="889"/>
    </row>
    <row r="48716" spans="7:7" ht="10.5" customHeight="1" x14ac:dyDescent="0.2">
      <c r="G48716" s="889"/>
    </row>
    <row r="48717" spans="7:7" ht="10.5" customHeight="1" x14ac:dyDescent="0.2">
      <c r="G48717" s="889"/>
    </row>
    <row r="48718" spans="7:7" ht="10.5" customHeight="1" x14ac:dyDescent="0.2">
      <c r="G48718" s="889"/>
    </row>
    <row r="48719" spans="7:7" ht="10.5" customHeight="1" x14ac:dyDescent="0.2">
      <c r="G48719" s="889"/>
    </row>
    <row r="48720" spans="7:7" ht="10.5" customHeight="1" x14ac:dyDescent="0.2">
      <c r="G48720" s="889"/>
    </row>
    <row r="48721" spans="7:7" ht="10.5" customHeight="1" x14ac:dyDescent="0.2">
      <c r="G48721" s="889"/>
    </row>
    <row r="48722" spans="7:7" ht="10.5" customHeight="1" x14ac:dyDescent="0.2">
      <c r="G48722" s="889"/>
    </row>
    <row r="48723" spans="7:7" ht="10.5" customHeight="1" x14ac:dyDescent="0.2">
      <c r="G48723" s="889"/>
    </row>
    <row r="48724" spans="7:7" ht="10.5" customHeight="1" x14ac:dyDescent="0.2">
      <c r="G48724" s="889"/>
    </row>
    <row r="48725" spans="7:7" ht="10.5" customHeight="1" x14ac:dyDescent="0.2">
      <c r="G48725" s="889"/>
    </row>
    <row r="48726" spans="7:7" ht="10.5" customHeight="1" x14ac:dyDescent="0.2">
      <c r="G48726" s="889"/>
    </row>
    <row r="48727" spans="7:7" ht="10.5" customHeight="1" x14ac:dyDescent="0.2">
      <c r="G48727" s="889"/>
    </row>
    <row r="48728" spans="7:7" ht="10.5" customHeight="1" x14ac:dyDescent="0.2">
      <c r="G48728" s="889"/>
    </row>
    <row r="48729" spans="7:7" ht="10.5" customHeight="1" x14ac:dyDescent="0.2">
      <c r="G48729" s="889"/>
    </row>
    <row r="48730" spans="7:7" ht="10.5" customHeight="1" x14ac:dyDescent="0.2">
      <c r="G48730" s="889"/>
    </row>
    <row r="48731" spans="7:7" ht="10.5" customHeight="1" x14ac:dyDescent="0.2">
      <c r="G48731" s="889"/>
    </row>
    <row r="48732" spans="7:7" ht="10.5" customHeight="1" x14ac:dyDescent="0.2">
      <c r="G48732" s="889"/>
    </row>
    <row r="48733" spans="7:7" ht="10.5" customHeight="1" x14ac:dyDescent="0.2">
      <c r="G48733" s="889"/>
    </row>
    <row r="48734" spans="7:7" ht="10.5" customHeight="1" x14ac:dyDescent="0.2">
      <c r="G48734" s="889"/>
    </row>
    <row r="48735" spans="7:7" ht="10.5" customHeight="1" x14ac:dyDescent="0.2">
      <c r="G48735" s="889"/>
    </row>
    <row r="48736" spans="7:7" ht="10.5" customHeight="1" x14ac:dyDescent="0.2">
      <c r="G48736" s="889"/>
    </row>
    <row r="48737" spans="7:7" ht="10.5" customHeight="1" x14ac:dyDescent="0.2">
      <c r="G48737" s="889"/>
    </row>
    <row r="48738" spans="7:7" ht="10.5" customHeight="1" x14ac:dyDescent="0.2">
      <c r="G48738" s="889"/>
    </row>
    <row r="48739" spans="7:7" ht="10.5" customHeight="1" x14ac:dyDescent="0.2">
      <c r="G48739" s="889"/>
    </row>
    <row r="48740" spans="7:7" ht="10.5" customHeight="1" x14ac:dyDescent="0.2">
      <c r="G48740" s="889"/>
    </row>
    <row r="48741" spans="7:7" ht="10.5" customHeight="1" x14ac:dyDescent="0.2">
      <c r="G48741" s="889"/>
    </row>
    <row r="48742" spans="7:7" ht="10.5" customHeight="1" x14ac:dyDescent="0.2">
      <c r="G48742" s="889"/>
    </row>
    <row r="48743" spans="7:7" ht="10.5" customHeight="1" x14ac:dyDescent="0.2">
      <c r="G48743" s="889"/>
    </row>
    <row r="48744" spans="7:7" ht="10.5" customHeight="1" x14ac:dyDescent="0.2">
      <c r="G48744" s="889"/>
    </row>
    <row r="48745" spans="7:7" ht="10.5" customHeight="1" x14ac:dyDescent="0.2">
      <c r="G48745" s="889"/>
    </row>
    <row r="48746" spans="7:7" ht="10.5" customHeight="1" x14ac:dyDescent="0.2">
      <c r="G48746" s="889"/>
    </row>
    <row r="48747" spans="7:7" ht="10.5" customHeight="1" x14ac:dyDescent="0.2">
      <c r="G48747" s="889"/>
    </row>
    <row r="48748" spans="7:7" ht="10.5" customHeight="1" x14ac:dyDescent="0.2">
      <c r="G48748" s="889"/>
    </row>
    <row r="48749" spans="7:7" ht="10.5" customHeight="1" x14ac:dyDescent="0.2">
      <c r="G48749" s="889"/>
    </row>
    <row r="48750" spans="7:7" ht="10.5" customHeight="1" x14ac:dyDescent="0.2">
      <c r="G48750" s="889"/>
    </row>
    <row r="48751" spans="7:7" ht="10.5" customHeight="1" x14ac:dyDescent="0.2">
      <c r="G48751" s="889"/>
    </row>
    <row r="48752" spans="7:7" ht="10.5" customHeight="1" x14ac:dyDescent="0.2">
      <c r="G48752" s="889"/>
    </row>
    <row r="48753" spans="7:7" ht="10.5" customHeight="1" x14ac:dyDescent="0.2">
      <c r="G48753" s="889"/>
    </row>
    <row r="48754" spans="7:7" ht="10.5" customHeight="1" x14ac:dyDescent="0.2">
      <c r="G48754" s="889"/>
    </row>
    <row r="48755" spans="7:7" ht="10.5" customHeight="1" x14ac:dyDescent="0.2">
      <c r="G48755" s="889"/>
    </row>
    <row r="48756" spans="7:7" ht="10.5" customHeight="1" x14ac:dyDescent="0.2">
      <c r="G48756" s="889"/>
    </row>
    <row r="48757" spans="7:7" ht="10.5" customHeight="1" x14ac:dyDescent="0.2">
      <c r="G48757" s="889"/>
    </row>
    <row r="48758" spans="7:7" ht="10.5" customHeight="1" x14ac:dyDescent="0.2">
      <c r="G48758" s="889"/>
    </row>
    <row r="48759" spans="7:7" ht="10.5" customHeight="1" x14ac:dyDescent="0.2">
      <c r="G48759" s="889"/>
    </row>
    <row r="48760" spans="7:7" ht="10.5" customHeight="1" x14ac:dyDescent="0.2">
      <c r="G48760" s="889"/>
    </row>
    <row r="48761" spans="7:7" ht="10.5" customHeight="1" x14ac:dyDescent="0.2">
      <c r="G48761" s="889"/>
    </row>
    <row r="48762" spans="7:7" ht="10.5" customHeight="1" x14ac:dyDescent="0.2">
      <c r="G48762" s="889"/>
    </row>
    <row r="48763" spans="7:7" ht="10.5" customHeight="1" x14ac:dyDescent="0.2">
      <c r="G48763" s="889"/>
    </row>
    <row r="48764" spans="7:7" ht="10.5" customHeight="1" x14ac:dyDescent="0.2">
      <c r="G48764" s="889"/>
    </row>
    <row r="48765" spans="7:7" ht="10.5" customHeight="1" x14ac:dyDescent="0.2">
      <c r="G48765" s="889"/>
    </row>
    <row r="48766" spans="7:7" ht="10.5" customHeight="1" x14ac:dyDescent="0.2">
      <c r="G48766" s="889"/>
    </row>
    <row r="48767" spans="7:7" ht="10.5" customHeight="1" x14ac:dyDescent="0.2">
      <c r="G48767" s="889"/>
    </row>
    <row r="48768" spans="7:7" ht="10.5" customHeight="1" x14ac:dyDescent="0.2">
      <c r="G48768" s="889"/>
    </row>
    <row r="48769" spans="7:7" ht="10.5" customHeight="1" x14ac:dyDescent="0.2">
      <c r="G48769" s="889"/>
    </row>
    <row r="48770" spans="7:7" ht="10.5" customHeight="1" x14ac:dyDescent="0.2">
      <c r="G48770" s="889"/>
    </row>
    <row r="48771" spans="7:7" ht="10.5" customHeight="1" x14ac:dyDescent="0.2">
      <c r="G48771" s="889"/>
    </row>
    <row r="48772" spans="7:7" ht="10.5" customHeight="1" x14ac:dyDescent="0.2">
      <c r="G48772" s="889"/>
    </row>
    <row r="48773" spans="7:7" ht="10.5" customHeight="1" x14ac:dyDescent="0.2">
      <c r="G48773" s="889"/>
    </row>
    <row r="48774" spans="7:7" ht="10.5" customHeight="1" x14ac:dyDescent="0.2">
      <c r="G48774" s="889"/>
    </row>
    <row r="48775" spans="7:7" ht="10.5" customHeight="1" x14ac:dyDescent="0.2">
      <c r="G48775" s="889"/>
    </row>
    <row r="48776" spans="7:7" ht="10.5" customHeight="1" x14ac:dyDescent="0.2">
      <c r="G48776" s="889"/>
    </row>
    <row r="48777" spans="7:7" ht="10.5" customHeight="1" x14ac:dyDescent="0.2">
      <c r="G48777" s="889"/>
    </row>
    <row r="48778" spans="7:7" ht="10.5" customHeight="1" x14ac:dyDescent="0.2">
      <c r="G48778" s="889"/>
    </row>
    <row r="48779" spans="7:7" ht="10.5" customHeight="1" x14ac:dyDescent="0.2">
      <c r="G48779" s="889"/>
    </row>
    <row r="48780" spans="7:7" ht="10.5" customHeight="1" x14ac:dyDescent="0.2">
      <c r="G48780" s="889"/>
    </row>
    <row r="48781" spans="7:7" ht="10.5" customHeight="1" x14ac:dyDescent="0.2">
      <c r="G48781" s="889"/>
    </row>
    <row r="48782" spans="7:7" ht="10.5" customHeight="1" x14ac:dyDescent="0.2">
      <c r="G48782" s="889"/>
    </row>
    <row r="48783" spans="7:7" ht="10.5" customHeight="1" x14ac:dyDescent="0.2">
      <c r="G48783" s="889"/>
    </row>
    <row r="48784" spans="7:7" ht="10.5" customHeight="1" x14ac:dyDescent="0.2">
      <c r="G48784" s="889"/>
    </row>
    <row r="48785" spans="7:7" ht="10.5" customHeight="1" x14ac:dyDescent="0.2">
      <c r="G48785" s="889"/>
    </row>
    <row r="48786" spans="7:7" ht="10.5" customHeight="1" x14ac:dyDescent="0.2">
      <c r="G48786" s="889"/>
    </row>
    <row r="48787" spans="7:7" ht="10.5" customHeight="1" x14ac:dyDescent="0.2">
      <c r="G48787" s="889"/>
    </row>
    <row r="48788" spans="7:7" ht="10.5" customHeight="1" x14ac:dyDescent="0.2">
      <c r="G48788" s="889"/>
    </row>
    <row r="48789" spans="7:7" ht="10.5" customHeight="1" x14ac:dyDescent="0.2">
      <c r="G48789" s="889"/>
    </row>
    <row r="48790" spans="7:7" ht="10.5" customHeight="1" x14ac:dyDescent="0.2">
      <c r="G48790" s="889"/>
    </row>
    <row r="48791" spans="7:7" ht="10.5" customHeight="1" x14ac:dyDescent="0.2">
      <c r="G48791" s="889"/>
    </row>
    <row r="48792" spans="7:7" ht="10.5" customHeight="1" x14ac:dyDescent="0.2">
      <c r="G48792" s="889"/>
    </row>
    <row r="48793" spans="7:7" ht="10.5" customHeight="1" x14ac:dyDescent="0.2">
      <c r="G48793" s="889"/>
    </row>
    <row r="48794" spans="7:7" ht="10.5" customHeight="1" x14ac:dyDescent="0.2">
      <c r="G48794" s="889"/>
    </row>
    <row r="48795" spans="7:7" ht="10.5" customHeight="1" x14ac:dyDescent="0.2">
      <c r="G48795" s="889"/>
    </row>
    <row r="48796" spans="7:7" ht="10.5" customHeight="1" x14ac:dyDescent="0.2">
      <c r="G48796" s="889"/>
    </row>
    <row r="48797" spans="7:7" ht="10.5" customHeight="1" x14ac:dyDescent="0.2">
      <c r="G48797" s="889"/>
    </row>
    <row r="48798" spans="7:7" ht="10.5" customHeight="1" x14ac:dyDescent="0.2">
      <c r="G48798" s="889"/>
    </row>
    <row r="48799" spans="7:7" ht="10.5" customHeight="1" x14ac:dyDescent="0.2">
      <c r="G48799" s="889"/>
    </row>
    <row r="48800" spans="7:7" ht="10.5" customHeight="1" x14ac:dyDescent="0.2">
      <c r="G48800" s="889"/>
    </row>
    <row r="48801" spans="7:7" ht="10.5" customHeight="1" x14ac:dyDescent="0.2">
      <c r="G48801" s="889"/>
    </row>
    <row r="48802" spans="7:7" ht="10.5" customHeight="1" x14ac:dyDescent="0.2">
      <c r="G48802" s="889"/>
    </row>
    <row r="48803" spans="7:7" ht="10.5" customHeight="1" x14ac:dyDescent="0.2">
      <c r="G48803" s="889"/>
    </row>
    <row r="48804" spans="7:7" ht="10.5" customHeight="1" x14ac:dyDescent="0.2">
      <c r="G48804" s="889"/>
    </row>
    <row r="48805" spans="7:7" ht="10.5" customHeight="1" x14ac:dyDescent="0.2">
      <c r="G48805" s="889"/>
    </row>
    <row r="48806" spans="7:7" ht="10.5" customHeight="1" x14ac:dyDescent="0.2">
      <c r="G48806" s="889"/>
    </row>
    <row r="48807" spans="7:7" ht="10.5" customHeight="1" x14ac:dyDescent="0.2">
      <c r="G48807" s="889"/>
    </row>
    <row r="48808" spans="7:7" ht="10.5" customHeight="1" x14ac:dyDescent="0.2">
      <c r="G48808" s="889"/>
    </row>
    <row r="48809" spans="7:7" ht="10.5" customHeight="1" x14ac:dyDescent="0.2">
      <c r="G48809" s="889"/>
    </row>
    <row r="48810" spans="7:7" ht="10.5" customHeight="1" x14ac:dyDescent="0.2">
      <c r="G48810" s="889"/>
    </row>
    <row r="48811" spans="7:7" ht="10.5" customHeight="1" x14ac:dyDescent="0.2">
      <c r="G48811" s="889"/>
    </row>
    <row r="48812" spans="7:7" ht="10.5" customHeight="1" x14ac:dyDescent="0.2">
      <c r="G48812" s="889"/>
    </row>
    <row r="48813" spans="7:7" ht="10.5" customHeight="1" x14ac:dyDescent="0.2">
      <c r="G48813" s="889"/>
    </row>
    <row r="48814" spans="7:7" ht="10.5" customHeight="1" x14ac:dyDescent="0.2">
      <c r="G48814" s="889"/>
    </row>
    <row r="48815" spans="7:7" ht="10.5" customHeight="1" x14ac:dyDescent="0.2">
      <c r="G48815" s="889"/>
    </row>
    <row r="48816" spans="7:7" ht="10.5" customHeight="1" x14ac:dyDescent="0.2">
      <c r="G48816" s="889"/>
    </row>
    <row r="48817" spans="7:7" ht="10.5" customHeight="1" x14ac:dyDescent="0.2">
      <c r="G48817" s="889"/>
    </row>
    <row r="48818" spans="7:7" ht="10.5" customHeight="1" x14ac:dyDescent="0.2">
      <c r="G48818" s="889"/>
    </row>
    <row r="48819" spans="7:7" ht="10.5" customHeight="1" x14ac:dyDescent="0.2">
      <c r="G48819" s="889"/>
    </row>
    <row r="48820" spans="7:7" ht="10.5" customHeight="1" x14ac:dyDescent="0.2">
      <c r="G48820" s="889"/>
    </row>
    <row r="48821" spans="7:7" ht="10.5" customHeight="1" x14ac:dyDescent="0.2">
      <c r="G48821" s="889"/>
    </row>
    <row r="48822" spans="7:7" ht="10.5" customHeight="1" x14ac:dyDescent="0.2">
      <c r="G48822" s="889"/>
    </row>
    <row r="48823" spans="7:7" ht="10.5" customHeight="1" x14ac:dyDescent="0.2">
      <c r="G48823" s="889"/>
    </row>
    <row r="48824" spans="7:7" ht="10.5" customHeight="1" x14ac:dyDescent="0.2">
      <c r="G48824" s="889"/>
    </row>
    <row r="48825" spans="7:7" ht="10.5" customHeight="1" x14ac:dyDescent="0.2">
      <c r="G48825" s="889"/>
    </row>
    <row r="48826" spans="7:7" ht="10.5" customHeight="1" x14ac:dyDescent="0.2">
      <c r="G48826" s="889"/>
    </row>
    <row r="48827" spans="7:7" ht="10.5" customHeight="1" x14ac:dyDescent="0.2">
      <c r="G48827" s="889"/>
    </row>
    <row r="48828" spans="7:7" ht="10.5" customHeight="1" x14ac:dyDescent="0.2">
      <c r="G48828" s="889"/>
    </row>
    <row r="48829" spans="7:7" ht="10.5" customHeight="1" x14ac:dyDescent="0.2">
      <c r="G48829" s="889"/>
    </row>
    <row r="48830" spans="7:7" ht="10.5" customHeight="1" x14ac:dyDescent="0.2">
      <c r="G48830" s="889"/>
    </row>
    <row r="48831" spans="7:7" ht="10.5" customHeight="1" x14ac:dyDescent="0.2">
      <c r="G48831" s="889"/>
    </row>
    <row r="48832" spans="7:7" ht="10.5" customHeight="1" x14ac:dyDescent="0.2">
      <c r="G48832" s="889"/>
    </row>
    <row r="48833" spans="7:7" ht="10.5" customHeight="1" x14ac:dyDescent="0.2">
      <c r="G48833" s="889"/>
    </row>
    <row r="48834" spans="7:7" ht="10.5" customHeight="1" x14ac:dyDescent="0.2">
      <c r="G48834" s="889"/>
    </row>
    <row r="48835" spans="7:7" ht="10.5" customHeight="1" x14ac:dyDescent="0.2">
      <c r="G48835" s="889"/>
    </row>
    <row r="48836" spans="7:7" ht="10.5" customHeight="1" x14ac:dyDescent="0.2">
      <c r="G48836" s="889"/>
    </row>
    <row r="48837" spans="7:7" ht="10.5" customHeight="1" x14ac:dyDescent="0.2">
      <c r="G48837" s="889"/>
    </row>
    <row r="48838" spans="7:7" ht="10.5" customHeight="1" x14ac:dyDescent="0.2">
      <c r="G48838" s="889"/>
    </row>
    <row r="48839" spans="7:7" ht="10.5" customHeight="1" x14ac:dyDescent="0.2">
      <c r="G48839" s="889"/>
    </row>
    <row r="48840" spans="7:7" ht="10.5" customHeight="1" x14ac:dyDescent="0.2">
      <c r="G48840" s="889"/>
    </row>
    <row r="48841" spans="7:7" ht="10.5" customHeight="1" x14ac:dyDescent="0.2">
      <c r="G48841" s="889"/>
    </row>
    <row r="48842" spans="7:7" ht="10.5" customHeight="1" x14ac:dyDescent="0.2">
      <c r="G48842" s="889"/>
    </row>
    <row r="48843" spans="7:7" ht="10.5" customHeight="1" x14ac:dyDescent="0.2">
      <c r="G48843" s="889"/>
    </row>
    <row r="48844" spans="7:7" ht="10.5" customHeight="1" x14ac:dyDescent="0.2">
      <c r="G48844" s="889"/>
    </row>
    <row r="48845" spans="7:7" ht="10.5" customHeight="1" x14ac:dyDescent="0.2">
      <c r="G48845" s="889"/>
    </row>
    <row r="48846" spans="7:7" ht="10.5" customHeight="1" x14ac:dyDescent="0.2">
      <c r="G48846" s="889"/>
    </row>
    <row r="48847" spans="7:7" ht="10.5" customHeight="1" x14ac:dyDescent="0.2">
      <c r="G48847" s="889"/>
    </row>
    <row r="48848" spans="7:7" ht="10.5" customHeight="1" x14ac:dyDescent="0.2">
      <c r="G48848" s="889"/>
    </row>
    <row r="48849" spans="7:7" ht="10.5" customHeight="1" x14ac:dyDescent="0.2">
      <c r="G48849" s="889"/>
    </row>
    <row r="48850" spans="7:7" ht="10.5" customHeight="1" x14ac:dyDescent="0.2">
      <c r="G48850" s="889"/>
    </row>
    <row r="48851" spans="7:7" ht="10.5" customHeight="1" x14ac:dyDescent="0.2">
      <c r="G48851" s="889"/>
    </row>
    <row r="48852" spans="7:7" ht="10.5" customHeight="1" x14ac:dyDescent="0.2">
      <c r="G48852" s="889"/>
    </row>
    <row r="48853" spans="7:7" ht="10.5" customHeight="1" x14ac:dyDescent="0.2">
      <c r="G48853" s="889"/>
    </row>
    <row r="48854" spans="7:7" ht="10.5" customHeight="1" x14ac:dyDescent="0.2">
      <c r="G48854" s="889"/>
    </row>
    <row r="48855" spans="7:7" ht="10.5" customHeight="1" x14ac:dyDescent="0.2">
      <c r="G48855" s="889"/>
    </row>
    <row r="48856" spans="7:7" ht="10.5" customHeight="1" x14ac:dyDescent="0.2">
      <c r="G48856" s="889"/>
    </row>
    <row r="48857" spans="7:7" ht="10.5" customHeight="1" x14ac:dyDescent="0.2">
      <c r="G48857" s="889"/>
    </row>
    <row r="48858" spans="7:7" ht="10.5" customHeight="1" x14ac:dyDescent="0.2">
      <c r="G48858" s="889"/>
    </row>
    <row r="48859" spans="7:7" ht="10.5" customHeight="1" x14ac:dyDescent="0.2">
      <c r="G48859" s="889"/>
    </row>
    <row r="48860" spans="7:7" ht="10.5" customHeight="1" x14ac:dyDescent="0.2">
      <c r="G48860" s="889"/>
    </row>
    <row r="48861" spans="7:7" ht="10.5" customHeight="1" x14ac:dyDescent="0.2">
      <c r="G48861" s="889"/>
    </row>
    <row r="48862" spans="7:7" ht="10.5" customHeight="1" x14ac:dyDescent="0.2">
      <c r="G48862" s="889"/>
    </row>
    <row r="48863" spans="7:7" ht="10.5" customHeight="1" x14ac:dyDescent="0.2">
      <c r="G48863" s="889"/>
    </row>
    <row r="48864" spans="7:7" ht="10.5" customHeight="1" x14ac:dyDescent="0.2">
      <c r="G48864" s="889"/>
    </row>
    <row r="48865" spans="7:7" ht="10.5" customHeight="1" x14ac:dyDescent="0.2">
      <c r="G48865" s="889"/>
    </row>
    <row r="48866" spans="7:7" ht="10.5" customHeight="1" x14ac:dyDescent="0.2">
      <c r="G48866" s="889"/>
    </row>
    <row r="48867" spans="7:7" ht="10.5" customHeight="1" x14ac:dyDescent="0.2">
      <c r="G48867" s="889"/>
    </row>
    <row r="48868" spans="7:7" ht="10.5" customHeight="1" x14ac:dyDescent="0.2">
      <c r="G48868" s="889"/>
    </row>
    <row r="48869" spans="7:7" ht="10.5" customHeight="1" x14ac:dyDescent="0.2">
      <c r="G48869" s="889"/>
    </row>
    <row r="48870" spans="7:7" ht="10.5" customHeight="1" x14ac:dyDescent="0.2">
      <c r="G48870" s="889"/>
    </row>
    <row r="48871" spans="7:7" ht="10.5" customHeight="1" x14ac:dyDescent="0.2">
      <c r="G48871" s="889"/>
    </row>
    <row r="48872" spans="7:7" ht="10.5" customHeight="1" x14ac:dyDescent="0.2">
      <c r="G48872" s="889"/>
    </row>
    <row r="48873" spans="7:7" ht="10.5" customHeight="1" x14ac:dyDescent="0.2">
      <c r="G48873" s="889"/>
    </row>
    <row r="48874" spans="7:7" ht="10.5" customHeight="1" x14ac:dyDescent="0.2">
      <c r="G48874" s="889"/>
    </row>
    <row r="48875" spans="7:7" ht="10.5" customHeight="1" x14ac:dyDescent="0.2">
      <c r="G48875" s="889"/>
    </row>
    <row r="48876" spans="7:7" ht="10.5" customHeight="1" x14ac:dyDescent="0.2">
      <c r="G48876" s="889"/>
    </row>
    <row r="48877" spans="7:7" ht="10.5" customHeight="1" x14ac:dyDescent="0.2">
      <c r="G48877" s="889"/>
    </row>
    <row r="48878" spans="7:7" ht="10.5" customHeight="1" x14ac:dyDescent="0.2">
      <c r="G48878" s="889"/>
    </row>
    <row r="48879" spans="7:7" ht="10.5" customHeight="1" x14ac:dyDescent="0.2">
      <c r="G48879" s="889"/>
    </row>
    <row r="48880" spans="7:7" ht="10.5" customHeight="1" x14ac:dyDescent="0.2">
      <c r="G48880" s="889"/>
    </row>
    <row r="48881" spans="7:7" ht="10.5" customHeight="1" x14ac:dyDescent="0.2">
      <c r="G48881" s="889"/>
    </row>
    <row r="48882" spans="7:7" ht="10.5" customHeight="1" x14ac:dyDescent="0.2">
      <c r="G48882" s="889"/>
    </row>
    <row r="48883" spans="7:7" ht="10.5" customHeight="1" x14ac:dyDescent="0.2">
      <c r="G48883" s="889"/>
    </row>
    <row r="48884" spans="7:7" ht="10.5" customHeight="1" x14ac:dyDescent="0.2">
      <c r="G48884" s="889"/>
    </row>
    <row r="48885" spans="7:7" ht="10.5" customHeight="1" x14ac:dyDescent="0.2">
      <c r="G48885" s="889"/>
    </row>
    <row r="48886" spans="7:7" ht="10.5" customHeight="1" x14ac:dyDescent="0.2">
      <c r="G48886" s="889"/>
    </row>
    <row r="48887" spans="7:7" ht="10.5" customHeight="1" x14ac:dyDescent="0.2">
      <c r="G48887" s="889"/>
    </row>
    <row r="48888" spans="7:7" ht="10.5" customHeight="1" x14ac:dyDescent="0.2">
      <c r="G48888" s="889"/>
    </row>
    <row r="48889" spans="7:7" ht="10.5" customHeight="1" x14ac:dyDescent="0.2">
      <c r="G48889" s="889"/>
    </row>
    <row r="48890" spans="7:7" ht="10.5" customHeight="1" x14ac:dyDescent="0.2">
      <c r="G48890" s="889"/>
    </row>
    <row r="48891" spans="7:7" ht="10.5" customHeight="1" x14ac:dyDescent="0.2">
      <c r="G48891" s="889"/>
    </row>
    <row r="48892" spans="7:7" ht="10.5" customHeight="1" x14ac:dyDescent="0.2">
      <c r="G48892" s="889"/>
    </row>
    <row r="48893" spans="7:7" ht="10.5" customHeight="1" x14ac:dyDescent="0.2">
      <c r="G48893" s="889"/>
    </row>
    <row r="48894" spans="7:7" ht="10.5" customHeight="1" x14ac:dyDescent="0.2">
      <c r="G48894" s="889"/>
    </row>
    <row r="48895" spans="7:7" ht="10.5" customHeight="1" x14ac:dyDescent="0.2">
      <c r="G48895" s="889"/>
    </row>
    <row r="48896" spans="7:7" ht="10.5" customHeight="1" x14ac:dyDescent="0.2">
      <c r="G48896" s="889"/>
    </row>
    <row r="48897" spans="7:7" ht="10.5" customHeight="1" x14ac:dyDescent="0.2">
      <c r="G48897" s="889"/>
    </row>
    <row r="48898" spans="7:7" ht="10.5" customHeight="1" x14ac:dyDescent="0.2">
      <c r="G48898" s="889"/>
    </row>
    <row r="48899" spans="7:7" ht="10.5" customHeight="1" x14ac:dyDescent="0.2">
      <c r="G48899" s="889"/>
    </row>
    <row r="48900" spans="7:7" ht="10.5" customHeight="1" x14ac:dyDescent="0.2">
      <c r="G48900" s="889"/>
    </row>
    <row r="48901" spans="7:7" ht="10.5" customHeight="1" x14ac:dyDescent="0.2">
      <c r="G48901" s="889"/>
    </row>
    <row r="48902" spans="7:7" ht="10.5" customHeight="1" x14ac:dyDescent="0.2">
      <c r="G48902" s="889"/>
    </row>
    <row r="48903" spans="7:7" ht="10.5" customHeight="1" x14ac:dyDescent="0.2">
      <c r="G48903" s="889"/>
    </row>
    <row r="48904" spans="7:7" ht="10.5" customHeight="1" x14ac:dyDescent="0.2">
      <c r="G48904" s="889"/>
    </row>
    <row r="48905" spans="7:7" ht="10.5" customHeight="1" x14ac:dyDescent="0.2">
      <c r="G48905" s="889"/>
    </row>
    <row r="48906" spans="7:7" ht="10.5" customHeight="1" x14ac:dyDescent="0.2">
      <c r="G48906" s="889"/>
    </row>
    <row r="48907" spans="7:7" ht="10.5" customHeight="1" x14ac:dyDescent="0.2">
      <c r="G48907" s="889"/>
    </row>
    <row r="48908" spans="7:7" ht="10.5" customHeight="1" x14ac:dyDescent="0.2">
      <c r="G48908" s="889"/>
    </row>
    <row r="48909" spans="7:7" ht="10.5" customHeight="1" x14ac:dyDescent="0.2">
      <c r="G48909" s="889"/>
    </row>
    <row r="48910" spans="7:7" ht="10.5" customHeight="1" x14ac:dyDescent="0.2">
      <c r="G48910" s="889"/>
    </row>
    <row r="48911" spans="7:7" ht="10.5" customHeight="1" x14ac:dyDescent="0.2">
      <c r="G48911" s="889"/>
    </row>
    <row r="48912" spans="7:7" ht="10.5" customHeight="1" x14ac:dyDescent="0.2">
      <c r="G48912" s="889"/>
    </row>
    <row r="48913" spans="7:7" ht="10.5" customHeight="1" x14ac:dyDescent="0.2">
      <c r="G48913" s="889"/>
    </row>
    <row r="48914" spans="7:7" ht="10.5" customHeight="1" x14ac:dyDescent="0.2">
      <c r="G48914" s="889"/>
    </row>
    <row r="48915" spans="7:7" ht="10.5" customHeight="1" x14ac:dyDescent="0.2">
      <c r="G48915" s="889"/>
    </row>
    <row r="48916" spans="7:7" ht="10.5" customHeight="1" x14ac:dyDescent="0.2">
      <c r="G48916" s="889"/>
    </row>
    <row r="48917" spans="7:7" ht="10.5" customHeight="1" x14ac:dyDescent="0.2">
      <c r="G48917" s="889"/>
    </row>
    <row r="48918" spans="7:7" ht="10.5" customHeight="1" x14ac:dyDescent="0.2">
      <c r="G48918" s="889"/>
    </row>
    <row r="48919" spans="7:7" ht="10.5" customHeight="1" x14ac:dyDescent="0.2">
      <c r="G48919" s="889"/>
    </row>
    <row r="48920" spans="7:7" ht="10.5" customHeight="1" x14ac:dyDescent="0.2">
      <c r="G48920" s="889"/>
    </row>
    <row r="48921" spans="7:7" ht="10.5" customHeight="1" x14ac:dyDescent="0.2">
      <c r="G48921" s="889"/>
    </row>
    <row r="48922" spans="7:7" ht="10.5" customHeight="1" x14ac:dyDescent="0.2">
      <c r="G48922" s="889"/>
    </row>
    <row r="48923" spans="7:7" ht="10.5" customHeight="1" x14ac:dyDescent="0.2">
      <c r="G48923" s="889"/>
    </row>
    <row r="48924" spans="7:7" ht="10.5" customHeight="1" x14ac:dyDescent="0.2">
      <c r="G48924" s="889"/>
    </row>
    <row r="48925" spans="7:7" ht="10.5" customHeight="1" x14ac:dyDescent="0.2">
      <c r="G48925" s="889"/>
    </row>
    <row r="48926" spans="7:7" ht="10.5" customHeight="1" x14ac:dyDescent="0.2">
      <c r="G48926" s="889"/>
    </row>
    <row r="48927" spans="7:7" ht="10.5" customHeight="1" x14ac:dyDescent="0.2">
      <c r="G48927" s="889"/>
    </row>
    <row r="48928" spans="7:7" ht="10.5" customHeight="1" x14ac:dyDescent="0.2">
      <c r="G48928" s="889"/>
    </row>
    <row r="48929" spans="7:7" ht="10.5" customHeight="1" x14ac:dyDescent="0.2">
      <c r="G48929" s="889"/>
    </row>
    <row r="48930" spans="7:7" ht="10.5" customHeight="1" x14ac:dyDescent="0.2">
      <c r="G48930" s="889"/>
    </row>
    <row r="48931" spans="7:7" ht="10.5" customHeight="1" x14ac:dyDescent="0.2">
      <c r="G48931" s="889"/>
    </row>
    <row r="48932" spans="7:7" ht="10.5" customHeight="1" x14ac:dyDescent="0.2">
      <c r="G48932" s="889"/>
    </row>
    <row r="48933" spans="7:7" ht="10.5" customHeight="1" x14ac:dyDescent="0.2">
      <c r="G48933" s="889"/>
    </row>
    <row r="48934" spans="7:7" ht="10.5" customHeight="1" x14ac:dyDescent="0.2">
      <c r="G48934" s="889"/>
    </row>
    <row r="48935" spans="7:7" ht="10.5" customHeight="1" x14ac:dyDescent="0.2">
      <c r="G48935" s="889"/>
    </row>
    <row r="48936" spans="7:7" ht="10.5" customHeight="1" x14ac:dyDescent="0.2">
      <c r="G48936" s="889"/>
    </row>
    <row r="48937" spans="7:7" ht="10.5" customHeight="1" x14ac:dyDescent="0.2">
      <c r="G48937" s="889"/>
    </row>
    <row r="48938" spans="7:7" ht="10.5" customHeight="1" x14ac:dyDescent="0.2">
      <c r="G48938" s="889"/>
    </row>
    <row r="48939" spans="7:7" ht="10.5" customHeight="1" x14ac:dyDescent="0.2">
      <c r="G48939" s="889"/>
    </row>
    <row r="48940" spans="7:7" ht="10.5" customHeight="1" x14ac:dyDescent="0.2">
      <c r="G48940" s="889"/>
    </row>
    <row r="48941" spans="7:7" ht="10.5" customHeight="1" x14ac:dyDescent="0.2">
      <c r="G48941" s="889"/>
    </row>
    <row r="48942" spans="7:7" ht="10.5" customHeight="1" x14ac:dyDescent="0.2">
      <c r="G48942" s="889"/>
    </row>
    <row r="48943" spans="7:7" ht="10.5" customHeight="1" x14ac:dyDescent="0.2">
      <c r="G48943" s="889"/>
    </row>
    <row r="48944" spans="7:7" ht="10.5" customHeight="1" x14ac:dyDescent="0.2">
      <c r="G48944" s="889"/>
    </row>
    <row r="48945" spans="7:7" ht="10.5" customHeight="1" x14ac:dyDescent="0.2">
      <c r="G48945" s="889"/>
    </row>
    <row r="48946" spans="7:7" ht="10.5" customHeight="1" x14ac:dyDescent="0.2">
      <c r="G48946" s="889"/>
    </row>
    <row r="48947" spans="7:7" ht="10.5" customHeight="1" x14ac:dyDescent="0.2">
      <c r="G48947" s="889"/>
    </row>
    <row r="48948" spans="7:7" ht="10.5" customHeight="1" x14ac:dyDescent="0.2">
      <c r="G48948" s="889"/>
    </row>
    <row r="48949" spans="7:7" ht="10.5" customHeight="1" x14ac:dyDescent="0.2">
      <c r="G48949" s="889"/>
    </row>
    <row r="48950" spans="7:7" ht="10.5" customHeight="1" x14ac:dyDescent="0.2">
      <c r="G48950" s="889"/>
    </row>
    <row r="48951" spans="7:7" ht="10.5" customHeight="1" x14ac:dyDescent="0.2">
      <c r="G48951" s="889"/>
    </row>
    <row r="48952" spans="7:7" ht="10.5" customHeight="1" x14ac:dyDescent="0.2">
      <c r="G48952" s="889"/>
    </row>
    <row r="48953" spans="7:7" ht="10.5" customHeight="1" x14ac:dyDescent="0.2">
      <c r="G48953" s="889"/>
    </row>
    <row r="48954" spans="7:7" ht="10.5" customHeight="1" x14ac:dyDescent="0.2">
      <c r="G48954" s="889"/>
    </row>
    <row r="48955" spans="7:7" ht="10.5" customHeight="1" x14ac:dyDescent="0.2">
      <c r="G48955" s="889"/>
    </row>
    <row r="48956" spans="7:7" ht="10.5" customHeight="1" x14ac:dyDescent="0.2">
      <c r="G48956" s="889"/>
    </row>
    <row r="48957" spans="7:7" ht="10.5" customHeight="1" x14ac:dyDescent="0.2">
      <c r="G48957" s="889"/>
    </row>
    <row r="48958" spans="7:7" ht="10.5" customHeight="1" x14ac:dyDescent="0.2">
      <c r="G48958" s="889"/>
    </row>
    <row r="48959" spans="7:7" ht="10.5" customHeight="1" x14ac:dyDescent="0.2">
      <c r="G48959" s="889"/>
    </row>
    <row r="48960" spans="7:7" ht="10.5" customHeight="1" x14ac:dyDescent="0.2">
      <c r="G48960" s="889"/>
    </row>
    <row r="48961" spans="7:7" ht="10.5" customHeight="1" x14ac:dyDescent="0.2">
      <c r="G48961" s="889"/>
    </row>
    <row r="48962" spans="7:7" ht="10.5" customHeight="1" x14ac:dyDescent="0.2">
      <c r="G48962" s="889"/>
    </row>
    <row r="48963" spans="7:7" ht="10.5" customHeight="1" x14ac:dyDescent="0.2">
      <c r="G48963" s="889"/>
    </row>
    <row r="48964" spans="7:7" ht="10.5" customHeight="1" x14ac:dyDescent="0.2">
      <c r="G48964" s="889"/>
    </row>
    <row r="48965" spans="7:7" ht="10.5" customHeight="1" x14ac:dyDescent="0.2">
      <c r="G48965" s="889"/>
    </row>
    <row r="48966" spans="7:7" ht="10.5" customHeight="1" x14ac:dyDescent="0.2">
      <c r="G48966" s="889"/>
    </row>
    <row r="48967" spans="7:7" ht="10.5" customHeight="1" x14ac:dyDescent="0.2">
      <c r="G48967" s="889"/>
    </row>
    <row r="48968" spans="7:7" ht="10.5" customHeight="1" x14ac:dyDescent="0.2">
      <c r="G48968" s="889"/>
    </row>
    <row r="48969" spans="7:7" ht="10.5" customHeight="1" x14ac:dyDescent="0.2">
      <c r="G48969" s="889"/>
    </row>
    <row r="48970" spans="7:7" ht="10.5" customHeight="1" x14ac:dyDescent="0.2">
      <c r="G48970" s="889"/>
    </row>
    <row r="48971" spans="7:7" ht="10.5" customHeight="1" x14ac:dyDescent="0.2">
      <c r="G48971" s="889"/>
    </row>
    <row r="48972" spans="7:7" ht="10.5" customHeight="1" x14ac:dyDescent="0.2">
      <c r="G48972" s="889"/>
    </row>
    <row r="48973" spans="7:7" ht="10.5" customHeight="1" x14ac:dyDescent="0.2">
      <c r="G48973" s="889"/>
    </row>
    <row r="48974" spans="7:7" ht="10.5" customHeight="1" x14ac:dyDescent="0.2">
      <c r="G48974" s="889"/>
    </row>
    <row r="48975" spans="7:7" ht="10.5" customHeight="1" x14ac:dyDescent="0.2">
      <c r="G48975" s="889"/>
    </row>
    <row r="48976" spans="7:7" ht="10.5" customHeight="1" x14ac:dyDescent="0.2">
      <c r="G48976" s="889"/>
    </row>
    <row r="48977" spans="7:7" ht="10.5" customHeight="1" x14ac:dyDescent="0.2">
      <c r="G48977" s="889"/>
    </row>
    <row r="48978" spans="7:7" ht="10.5" customHeight="1" x14ac:dyDescent="0.2">
      <c r="G48978" s="889"/>
    </row>
    <row r="48979" spans="7:7" ht="10.5" customHeight="1" x14ac:dyDescent="0.2">
      <c r="G48979" s="889"/>
    </row>
    <row r="48980" spans="7:7" ht="10.5" customHeight="1" x14ac:dyDescent="0.2">
      <c r="G48980" s="889"/>
    </row>
    <row r="48981" spans="7:7" ht="10.5" customHeight="1" x14ac:dyDescent="0.2">
      <c r="G48981" s="889"/>
    </row>
    <row r="48982" spans="7:7" ht="10.5" customHeight="1" x14ac:dyDescent="0.2">
      <c r="G48982" s="889"/>
    </row>
    <row r="48983" spans="7:7" ht="10.5" customHeight="1" x14ac:dyDescent="0.2">
      <c r="G48983" s="889"/>
    </row>
    <row r="48984" spans="7:7" ht="10.5" customHeight="1" x14ac:dyDescent="0.2">
      <c r="G48984" s="889"/>
    </row>
    <row r="48985" spans="7:7" ht="10.5" customHeight="1" x14ac:dyDescent="0.2">
      <c r="G48985" s="889"/>
    </row>
    <row r="48986" spans="7:7" ht="10.5" customHeight="1" x14ac:dyDescent="0.2">
      <c r="G48986" s="889"/>
    </row>
    <row r="48987" spans="7:7" ht="10.5" customHeight="1" x14ac:dyDescent="0.2">
      <c r="G48987" s="889"/>
    </row>
    <row r="48988" spans="7:7" ht="10.5" customHeight="1" x14ac:dyDescent="0.2">
      <c r="G48988" s="889"/>
    </row>
    <row r="48989" spans="7:7" ht="10.5" customHeight="1" x14ac:dyDescent="0.2">
      <c r="G48989" s="889"/>
    </row>
    <row r="48990" spans="7:7" ht="10.5" customHeight="1" x14ac:dyDescent="0.2">
      <c r="G48990" s="889"/>
    </row>
    <row r="48991" spans="7:7" ht="10.5" customHeight="1" x14ac:dyDescent="0.2">
      <c r="G48991" s="889"/>
    </row>
    <row r="48992" spans="7:7" ht="10.5" customHeight="1" x14ac:dyDescent="0.2">
      <c r="G48992" s="889"/>
    </row>
    <row r="48993" spans="7:7" ht="10.5" customHeight="1" x14ac:dyDescent="0.2">
      <c r="G48993" s="889"/>
    </row>
    <row r="48994" spans="7:7" ht="10.5" customHeight="1" x14ac:dyDescent="0.2">
      <c r="G48994" s="889"/>
    </row>
    <row r="48995" spans="7:7" ht="10.5" customHeight="1" x14ac:dyDescent="0.2">
      <c r="G48995" s="889"/>
    </row>
    <row r="48996" spans="7:7" ht="10.5" customHeight="1" x14ac:dyDescent="0.2">
      <c r="G48996" s="889"/>
    </row>
    <row r="48997" spans="7:7" ht="10.5" customHeight="1" x14ac:dyDescent="0.2">
      <c r="G48997" s="889"/>
    </row>
    <row r="48998" spans="7:7" ht="10.5" customHeight="1" x14ac:dyDescent="0.2">
      <c r="G48998" s="889"/>
    </row>
    <row r="48999" spans="7:7" ht="10.5" customHeight="1" x14ac:dyDescent="0.2">
      <c r="G48999" s="889"/>
    </row>
    <row r="49000" spans="7:7" ht="10.5" customHeight="1" x14ac:dyDescent="0.2">
      <c r="G49000" s="889"/>
    </row>
    <row r="49001" spans="7:7" ht="10.5" customHeight="1" x14ac:dyDescent="0.2">
      <c r="G49001" s="889"/>
    </row>
    <row r="49002" spans="7:7" ht="10.5" customHeight="1" x14ac:dyDescent="0.2">
      <c r="G49002" s="889"/>
    </row>
    <row r="49003" spans="7:7" ht="10.5" customHeight="1" x14ac:dyDescent="0.2">
      <c r="G49003" s="889"/>
    </row>
    <row r="49004" spans="7:7" ht="10.5" customHeight="1" x14ac:dyDescent="0.2">
      <c r="G49004" s="889"/>
    </row>
    <row r="49005" spans="7:7" ht="10.5" customHeight="1" x14ac:dyDescent="0.2">
      <c r="G49005" s="889"/>
    </row>
    <row r="49006" spans="7:7" ht="10.5" customHeight="1" x14ac:dyDescent="0.2">
      <c r="G49006" s="889"/>
    </row>
    <row r="49007" spans="7:7" ht="10.5" customHeight="1" x14ac:dyDescent="0.2">
      <c r="G49007" s="889"/>
    </row>
    <row r="49008" spans="7:7" ht="10.5" customHeight="1" x14ac:dyDescent="0.2">
      <c r="G49008" s="889"/>
    </row>
    <row r="49009" spans="7:7" ht="10.5" customHeight="1" x14ac:dyDescent="0.2">
      <c r="G49009" s="889"/>
    </row>
    <row r="49010" spans="7:7" ht="10.5" customHeight="1" x14ac:dyDescent="0.2">
      <c r="G49010" s="889"/>
    </row>
    <row r="49011" spans="7:7" ht="10.5" customHeight="1" x14ac:dyDescent="0.2">
      <c r="G49011" s="889"/>
    </row>
    <row r="49012" spans="7:7" ht="10.5" customHeight="1" x14ac:dyDescent="0.2">
      <c r="G49012" s="889"/>
    </row>
    <row r="49013" spans="7:7" ht="10.5" customHeight="1" x14ac:dyDescent="0.2">
      <c r="G49013" s="889"/>
    </row>
    <row r="49014" spans="7:7" ht="10.5" customHeight="1" x14ac:dyDescent="0.2">
      <c r="G49014" s="889"/>
    </row>
    <row r="49015" spans="7:7" ht="10.5" customHeight="1" x14ac:dyDescent="0.2">
      <c r="G49015" s="889"/>
    </row>
    <row r="49016" spans="7:7" ht="10.5" customHeight="1" x14ac:dyDescent="0.2">
      <c r="G49016" s="889"/>
    </row>
    <row r="49017" spans="7:7" ht="10.5" customHeight="1" x14ac:dyDescent="0.2">
      <c r="G49017" s="889"/>
    </row>
    <row r="49018" spans="7:7" ht="10.5" customHeight="1" x14ac:dyDescent="0.2">
      <c r="G49018" s="889"/>
    </row>
    <row r="49019" spans="7:7" ht="10.5" customHeight="1" x14ac:dyDescent="0.2">
      <c r="G49019" s="889"/>
    </row>
    <row r="49020" spans="7:7" ht="10.5" customHeight="1" x14ac:dyDescent="0.2">
      <c r="G49020" s="889"/>
    </row>
    <row r="49021" spans="7:7" ht="10.5" customHeight="1" x14ac:dyDescent="0.2">
      <c r="G49021" s="889"/>
    </row>
    <row r="49022" spans="7:7" ht="10.5" customHeight="1" x14ac:dyDescent="0.2">
      <c r="G49022" s="889"/>
    </row>
    <row r="49023" spans="7:7" ht="10.5" customHeight="1" x14ac:dyDescent="0.2">
      <c r="G49023" s="889"/>
    </row>
    <row r="49024" spans="7:7" ht="10.5" customHeight="1" x14ac:dyDescent="0.2">
      <c r="G49024" s="889"/>
    </row>
    <row r="49025" spans="7:7" ht="10.5" customHeight="1" x14ac:dyDescent="0.2">
      <c r="G49025" s="889"/>
    </row>
    <row r="49026" spans="7:7" ht="10.5" customHeight="1" x14ac:dyDescent="0.2">
      <c r="G49026" s="889"/>
    </row>
    <row r="49027" spans="7:7" ht="10.5" customHeight="1" x14ac:dyDescent="0.2">
      <c r="G49027" s="889"/>
    </row>
    <row r="49028" spans="7:7" ht="10.5" customHeight="1" x14ac:dyDescent="0.2">
      <c r="G49028" s="889"/>
    </row>
    <row r="49029" spans="7:7" ht="10.5" customHeight="1" x14ac:dyDescent="0.2">
      <c r="G49029" s="889"/>
    </row>
    <row r="49030" spans="7:7" ht="10.5" customHeight="1" x14ac:dyDescent="0.2">
      <c r="G49030" s="889"/>
    </row>
    <row r="49031" spans="7:7" ht="10.5" customHeight="1" x14ac:dyDescent="0.2">
      <c r="G49031" s="889"/>
    </row>
    <row r="49032" spans="7:7" ht="10.5" customHeight="1" x14ac:dyDescent="0.2">
      <c r="G49032" s="889"/>
    </row>
    <row r="49033" spans="7:7" ht="10.5" customHeight="1" x14ac:dyDescent="0.2">
      <c r="G49033" s="889"/>
    </row>
    <row r="49034" spans="7:7" ht="10.5" customHeight="1" x14ac:dyDescent="0.2">
      <c r="G49034" s="889"/>
    </row>
    <row r="49035" spans="7:7" ht="10.5" customHeight="1" x14ac:dyDescent="0.2">
      <c r="G49035" s="889"/>
    </row>
    <row r="49036" spans="7:7" ht="10.5" customHeight="1" x14ac:dyDescent="0.2">
      <c r="G49036" s="889"/>
    </row>
    <row r="49037" spans="7:7" ht="10.5" customHeight="1" x14ac:dyDescent="0.2">
      <c r="G49037" s="889"/>
    </row>
    <row r="49038" spans="7:7" ht="10.5" customHeight="1" x14ac:dyDescent="0.2">
      <c r="G49038" s="889"/>
    </row>
    <row r="49039" spans="7:7" ht="10.5" customHeight="1" x14ac:dyDescent="0.2">
      <c r="G49039" s="889"/>
    </row>
    <row r="49040" spans="7:7" ht="10.5" customHeight="1" x14ac:dyDescent="0.2">
      <c r="G49040" s="889"/>
    </row>
    <row r="49041" spans="7:7" ht="10.5" customHeight="1" x14ac:dyDescent="0.2">
      <c r="G49041" s="889"/>
    </row>
    <row r="49042" spans="7:7" ht="10.5" customHeight="1" x14ac:dyDescent="0.2">
      <c r="G49042" s="889"/>
    </row>
    <row r="49043" spans="7:7" ht="10.5" customHeight="1" x14ac:dyDescent="0.2">
      <c r="G49043" s="889"/>
    </row>
    <row r="49044" spans="7:7" ht="10.5" customHeight="1" x14ac:dyDescent="0.2">
      <c r="G49044" s="889"/>
    </row>
    <row r="49045" spans="7:7" ht="10.5" customHeight="1" x14ac:dyDescent="0.2">
      <c r="G49045" s="889"/>
    </row>
    <row r="49046" spans="7:7" ht="10.5" customHeight="1" x14ac:dyDescent="0.2">
      <c r="G49046" s="889"/>
    </row>
    <row r="49047" spans="7:7" ht="10.5" customHeight="1" x14ac:dyDescent="0.2">
      <c r="G49047" s="889"/>
    </row>
    <row r="49048" spans="7:7" ht="10.5" customHeight="1" x14ac:dyDescent="0.2">
      <c r="G49048" s="889"/>
    </row>
    <row r="49049" spans="7:7" ht="10.5" customHeight="1" x14ac:dyDescent="0.2">
      <c r="G49049" s="889"/>
    </row>
    <row r="49050" spans="7:7" ht="10.5" customHeight="1" x14ac:dyDescent="0.2">
      <c r="G49050" s="889"/>
    </row>
    <row r="49051" spans="7:7" ht="10.5" customHeight="1" x14ac:dyDescent="0.2">
      <c r="G49051" s="889"/>
    </row>
    <row r="49052" spans="7:7" ht="10.5" customHeight="1" x14ac:dyDescent="0.2">
      <c r="G49052" s="889"/>
    </row>
    <row r="49053" spans="7:7" ht="10.5" customHeight="1" x14ac:dyDescent="0.2">
      <c r="G49053" s="889"/>
    </row>
    <row r="49054" spans="7:7" ht="10.5" customHeight="1" x14ac:dyDescent="0.2">
      <c r="G49054" s="889"/>
    </row>
    <row r="49055" spans="7:7" ht="10.5" customHeight="1" x14ac:dyDescent="0.2">
      <c r="G49055" s="889"/>
    </row>
    <row r="49056" spans="7:7" ht="10.5" customHeight="1" x14ac:dyDescent="0.2">
      <c r="G49056" s="889"/>
    </row>
    <row r="49057" spans="7:7" ht="10.5" customHeight="1" x14ac:dyDescent="0.2">
      <c r="G49057" s="889"/>
    </row>
    <row r="49058" spans="7:7" ht="10.5" customHeight="1" x14ac:dyDescent="0.2">
      <c r="G49058" s="889"/>
    </row>
    <row r="49059" spans="7:7" ht="10.5" customHeight="1" x14ac:dyDescent="0.2">
      <c r="G49059" s="889"/>
    </row>
    <row r="49060" spans="7:7" ht="10.5" customHeight="1" x14ac:dyDescent="0.2">
      <c r="G49060" s="889"/>
    </row>
    <row r="49061" spans="7:7" ht="10.5" customHeight="1" x14ac:dyDescent="0.2">
      <c r="G49061" s="889"/>
    </row>
    <row r="49062" spans="7:7" ht="10.5" customHeight="1" x14ac:dyDescent="0.2">
      <c r="G49062" s="889"/>
    </row>
    <row r="49063" spans="7:7" ht="10.5" customHeight="1" x14ac:dyDescent="0.2">
      <c r="G49063" s="889"/>
    </row>
    <row r="49064" spans="7:7" ht="10.5" customHeight="1" x14ac:dyDescent="0.2">
      <c r="G49064" s="889"/>
    </row>
    <row r="49065" spans="7:7" ht="10.5" customHeight="1" x14ac:dyDescent="0.2">
      <c r="G49065" s="889"/>
    </row>
    <row r="49066" spans="7:7" ht="10.5" customHeight="1" x14ac:dyDescent="0.2">
      <c r="G49066" s="889"/>
    </row>
    <row r="49067" spans="7:7" ht="10.5" customHeight="1" x14ac:dyDescent="0.2">
      <c r="G49067" s="889"/>
    </row>
    <row r="49068" spans="7:7" ht="10.5" customHeight="1" x14ac:dyDescent="0.2">
      <c r="G49068" s="889"/>
    </row>
    <row r="49069" spans="7:7" ht="10.5" customHeight="1" x14ac:dyDescent="0.2">
      <c r="G49069" s="889"/>
    </row>
    <row r="49070" spans="7:7" ht="10.5" customHeight="1" x14ac:dyDescent="0.2">
      <c r="G49070" s="889"/>
    </row>
    <row r="49071" spans="7:7" ht="10.5" customHeight="1" x14ac:dyDescent="0.2">
      <c r="G49071" s="889"/>
    </row>
    <row r="49072" spans="7:7" ht="10.5" customHeight="1" x14ac:dyDescent="0.2">
      <c r="G49072" s="889"/>
    </row>
    <row r="49073" spans="7:7" ht="10.5" customHeight="1" x14ac:dyDescent="0.2">
      <c r="G49073" s="889"/>
    </row>
    <row r="49074" spans="7:7" ht="10.5" customHeight="1" x14ac:dyDescent="0.2">
      <c r="G49074" s="889"/>
    </row>
    <row r="49075" spans="7:7" ht="10.5" customHeight="1" x14ac:dyDescent="0.2">
      <c r="G49075" s="889"/>
    </row>
    <row r="49076" spans="7:7" ht="10.5" customHeight="1" x14ac:dyDescent="0.2">
      <c r="G49076" s="889"/>
    </row>
    <row r="49077" spans="7:7" ht="10.5" customHeight="1" x14ac:dyDescent="0.2">
      <c r="G49077" s="889"/>
    </row>
    <row r="49078" spans="7:7" ht="10.5" customHeight="1" x14ac:dyDescent="0.2">
      <c r="G49078" s="889"/>
    </row>
    <row r="49079" spans="7:7" ht="10.5" customHeight="1" x14ac:dyDescent="0.2">
      <c r="G49079" s="889"/>
    </row>
    <row r="49080" spans="7:7" ht="10.5" customHeight="1" x14ac:dyDescent="0.2">
      <c r="G49080" s="889"/>
    </row>
    <row r="49081" spans="7:7" ht="10.5" customHeight="1" x14ac:dyDescent="0.2">
      <c r="G49081" s="889"/>
    </row>
    <row r="49082" spans="7:7" ht="10.5" customHeight="1" x14ac:dyDescent="0.2">
      <c r="G49082" s="889"/>
    </row>
    <row r="49083" spans="7:7" ht="10.5" customHeight="1" x14ac:dyDescent="0.2">
      <c r="G49083" s="889"/>
    </row>
    <row r="49084" spans="7:7" ht="10.5" customHeight="1" x14ac:dyDescent="0.2">
      <c r="G49084" s="889"/>
    </row>
    <row r="49085" spans="7:7" ht="10.5" customHeight="1" x14ac:dyDescent="0.2">
      <c r="G49085" s="889"/>
    </row>
    <row r="49086" spans="7:7" ht="10.5" customHeight="1" x14ac:dyDescent="0.2">
      <c r="G49086" s="889"/>
    </row>
    <row r="49087" spans="7:7" ht="10.5" customHeight="1" x14ac:dyDescent="0.2">
      <c r="G49087" s="889"/>
    </row>
    <row r="49088" spans="7:7" ht="10.5" customHeight="1" x14ac:dyDescent="0.2">
      <c r="G49088" s="889"/>
    </row>
    <row r="49089" spans="7:7" ht="10.5" customHeight="1" x14ac:dyDescent="0.2">
      <c r="G49089" s="889"/>
    </row>
    <row r="49090" spans="7:7" ht="10.5" customHeight="1" x14ac:dyDescent="0.2">
      <c r="G49090" s="889"/>
    </row>
    <row r="49091" spans="7:7" ht="10.5" customHeight="1" x14ac:dyDescent="0.2">
      <c r="G49091" s="889"/>
    </row>
    <row r="49092" spans="7:7" ht="10.5" customHeight="1" x14ac:dyDescent="0.2">
      <c r="G49092" s="889"/>
    </row>
    <row r="49093" spans="7:7" ht="10.5" customHeight="1" x14ac:dyDescent="0.2">
      <c r="G49093" s="889"/>
    </row>
    <row r="49094" spans="7:7" ht="10.5" customHeight="1" x14ac:dyDescent="0.2">
      <c r="G49094" s="889"/>
    </row>
    <row r="49095" spans="7:7" ht="10.5" customHeight="1" x14ac:dyDescent="0.2">
      <c r="G49095" s="889"/>
    </row>
    <row r="49096" spans="7:7" ht="10.5" customHeight="1" x14ac:dyDescent="0.2">
      <c r="G49096" s="889"/>
    </row>
    <row r="49097" spans="7:7" ht="10.5" customHeight="1" x14ac:dyDescent="0.2">
      <c r="G49097" s="889"/>
    </row>
    <row r="49098" spans="7:7" ht="10.5" customHeight="1" x14ac:dyDescent="0.2">
      <c r="G49098" s="889"/>
    </row>
    <row r="49099" spans="7:7" ht="10.5" customHeight="1" x14ac:dyDescent="0.2">
      <c r="G49099" s="889"/>
    </row>
    <row r="49100" spans="7:7" ht="10.5" customHeight="1" x14ac:dyDescent="0.2">
      <c r="G49100" s="889"/>
    </row>
    <row r="49101" spans="7:7" ht="10.5" customHeight="1" x14ac:dyDescent="0.2">
      <c r="G49101" s="889"/>
    </row>
    <row r="49102" spans="7:7" ht="10.5" customHeight="1" x14ac:dyDescent="0.2">
      <c r="G49102" s="889"/>
    </row>
    <row r="49103" spans="7:7" ht="10.5" customHeight="1" x14ac:dyDescent="0.2">
      <c r="G49103" s="889"/>
    </row>
    <row r="49104" spans="7:7" ht="10.5" customHeight="1" x14ac:dyDescent="0.2">
      <c r="G49104" s="889"/>
    </row>
    <row r="49105" spans="7:7" ht="10.5" customHeight="1" x14ac:dyDescent="0.2">
      <c r="G49105" s="889"/>
    </row>
    <row r="49106" spans="7:7" ht="10.5" customHeight="1" x14ac:dyDescent="0.2">
      <c r="G49106" s="889"/>
    </row>
    <row r="49107" spans="7:7" ht="10.5" customHeight="1" x14ac:dyDescent="0.2">
      <c r="G49107" s="889"/>
    </row>
    <row r="49108" spans="7:7" ht="10.5" customHeight="1" x14ac:dyDescent="0.2">
      <c r="G49108" s="889"/>
    </row>
    <row r="49109" spans="7:7" ht="10.5" customHeight="1" x14ac:dyDescent="0.2">
      <c r="G49109" s="889"/>
    </row>
    <row r="49110" spans="7:7" ht="10.5" customHeight="1" x14ac:dyDescent="0.2">
      <c r="G49110" s="889"/>
    </row>
    <row r="49111" spans="7:7" ht="10.5" customHeight="1" x14ac:dyDescent="0.2">
      <c r="G49111" s="889"/>
    </row>
    <row r="49112" spans="7:7" ht="10.5" customHeight="1" x14ac:dyDescent="0.2">
      <c r="G49112" s="889"/>
    </row>
    <row r="49113" spans="7:7" ht="10.5" customHeight="1" x14ac:dyDescent="0.2">
      <c r="G49113" s="889"/>
    </row>
    <row r="49114" spans="7:7" ht="10.5" customHeight="1" x14ac:dyDescent="0.2">
      <c r="G49114" s="889"/>
    </row>
    <row r="49115" spans="7:7" ht="10.5" customHeight="1" x14ac:dyDescent="0.2">
      <c r="G49115" s="889"/>
    </row>
    <row r="49116" spans="7:7" ht="10.5" customHeight="1" x14ac:dyDescent="0.2">
      <c r="G49116" s="889"/>
    </row>
    <row r="49117" spans="7:7" ht="10.5" customHeight="1" x14ac:dyDescent="0.2">
      <c r="G49117" s="889"/>
    </row>
    <row r="49118" spans="7:7" ht="10.5" customHeight="1" x14ac:dyDescent="0.2">
      <c r="G49118" s="889"/>
    </row>
    <row r="49119" spans="7:7" ht="10.5" customHeight="1" x14ac:dyDescent="0.2">
      <c r="G49119" s="889"/>
    </row>
    <row r="49120" spans="7:7" ht="10.5" customHeight="1" x14ac:dyDescent="0.2">
      <c r="G49120" s="889"/>
    </row>
    <row r="49121" spans="7:7" ht="10.5" customHeight="1" x14ac:dyDescent="0.2">
      <c r="G49121" s="889"/>
    </row>
    <row r="49122" spans="7:7" ht="10.5" customHeight="1" x14ac:dyDescent="0.2">
      <c r="G49122" s="889"/>
    </row>
    <row r="49123" spans="7:7" ht="10.5" customHeight="1" x14ac:dyDescent="0.2">
      <c r="G49123" s="889"/>
    </row>
    <row r="49124" spans="7:7" ht="10.5" customHeight="1" x14ac:dyDescent="0.2">
      <c r="G49124" s="889"/>
    </row>
    <row r="49125" spans="7:7" ht="10.5" customHeight="1" x14ac:dyDescent="0.2">
      <c r="G49125" s="889"/>
    </row>
    <row r="49126" spans="7:7" ht="10.5" customHeight="1" x14ac:dyDescent="0.2">
      <c r="G49126" s="889"/>
    </row>
    <row r="49127" spans="7:7" ht="10.5" customHeight="1" x14ac:dyDescent="0.2">
      <c r="G49127" s="889"/>
    </row>
    <row r="49128" spans="7:7" ht="10.5" customHeight="1" x14ac:dyDescent="0.2">
      <c r="G49128" s="889"/>
    </row>
    <row r="49129" spans="7:7" ht="10.5" customHeight="1" x14ac:dyDescent="0.2">
      <c r="G49129" s="889"/>
    </row>
    <row r="49130" spans="7:7" ht="10.5" customHeight="1" x14ac:dyDescent="0.2">
      <c r="G49130" s="889"/>
    </row>
    <row r="49131" spans="7:7" ht="10.5" customHeight="1" x14ac:dyDescent="0.2">
      <c r="G49131" s="889"/>
    </row>
    <row r="49132" spans="7:7" ht="10.5" customHeight="1" x14ac:dyDescent="0.2">
      <c r="G49132" s="889"/>
    </row>
    <row r="49133" spans="7:7" ht="10.5" customHeight="1" x14ac:dyDescent="0.2">
      <c r="G49133" s="889"/>
    </row>
    <row r="49134" spans="7:7" ht="10.5" customHeight="1" x14ac:dyDescent="0.2">
      <c r="G49134" s="889"/>
    </row>
    <row r="49135" spans="7:7" ht="10.5" customHeight="1" x14ac:dyDescent="0.2">
      <c r="G49135" s="889"/>
    </row>
    <row r="49136" spans="7:7" ht="10.5" customHeight="1" x14ac:dyDescent="0.2">
      <c r="G49136" s="889"/>
    </row>
    <row r="49137" spans="7:7" ht="10.5" customHeight="1" x14ac:dyDescent="0.2">
      <c r="G49137" s="889"/>
    </row>
    <row r="49138" spans="7:7" ht="10.5" customHeight="1" x14ac:dyDescent="0.2">
      <c r="G49138" s="889"/>
    </row>
    <row r="49139" spans="7:7" ht="10.5" customHeight="1" x14ac:dyDescent="0.2">
      <c r="G49139" s="889"/>
    </row>
    <row r="49140" spans="7:7" ht="10.5" customHeight="1" x14ac:dyDescent="0.2">
      <c r="G49140" s="889"/>
    </row>
    <row r="49141" spans="7:7" ht="10.5" customHeight="1" x14ac:dyDescent="0.2">
      <c r="G49141" s="889"/>
    </row>
    <row r="49142" spans="7:7" ht="10.5" customHeight="1" x14ac:dyDescent="0.2">
      <c r="G49142" s="889"/>
    </row>
    <row r="49143" spans="7:7" ht="10.5" customHeight="1" x14ac:dyDescent="0.2">
      <c r="G49143" s="889"/>
    </row>
    <row r="49144" spans="7:7" ht="10.5" customHeight="1" x14ac:dyDescent="0.2">
      <c r="G49144" s="889"/>
    </row>
    <row r="49145" spans="7:7" ht="10.5" customHeight="1" x14ac:dyDescent="0.2">
      <c r="G49145" s="889"/>
    </row>
    <row r="49146" spans="7:7" ht="10.5" customHeight="1" x14ac:dyDescent="0.2">
      <c r="G49146" s="889"/>
    </row>
    <row r="49147" spans="7:7" ht="10.5" customHeight="1" x14ac:dyDescent="0.2">
      <c r="G49147" s="889"/>
    </row>
    <row r="49148" spans="7:7" ht="10.5" customHeight="1" x14ac:dyDescent="0.2">
      <c r="G49148" s="889"/>
    </row>
    <row r="49149" spans="7:7" ht="10.5" customHeight="1" x14ac:dyDescent="0.2">
      <c r="G49149" s="889"/>
    </row>
    <row r="49150" spans="7:7" ht="10.5" customHeight="1" x14ac:dyDescent="0.2">
      <c r="G49150" s="889"/>
    </row>
    <row r="49151" spans="7:7" ht="10.5" customHeight="1" x14ac:dyDescent="0.2">
      <c r="G49151" s="889"/>
    </row>
    <row r="49152" spans="7:7" ht="10.5" customHeight="1" x14ac:dyDescent="0.2">
      <c r="G49152" s="889"/>
    </row>
    <row r="49153" spans="7:7" ht="10.5" customHeight="1" x14ac:dyDescent="0.2">
      <c r="G49153" s="889"/>
    </row>
    <row r="49154" spans="7:7" ht="10.5" customHeight="1" x14ac:dyDescent="0.2">
      <c r="G49154" s="889"/>
    </row>
    <row r="49155" spans="7:7" ht="10.5" customHeight="1" x14ac:dyDescent="0.2">
      <c r="G49155" s="889"/>
    </row>
    <row r="49156" spans="7:7" ht="10.5" customHeight="1" x14ac:dyDescent="0.2">
      <c r="G49156" s="889"/>
    </row>
    <row r="49157" spans="7:7" ht="10.5" customHeight="1" x14ac:dyDescent="0.2">
      <c r="G49157" s="889"/>
    </row>
    <row r="49158" spans="7:7" ht="10.5" customHeight="1" x14ac:dyDescent="0.2">
      <c r="G49158" s="889"/>
    </row>
    <row r="49159" spans="7:7" ht="10.5" customHeight="1" x14ac:dyDescent="0.2">
      <c r="G49159" s="889"/>
    </row>
    <row r="49160" spans="7:7" ht="10.5" customHeight="1" x14ac:dyDescent="0.2">
      <c r="G49160" s="889"/>
    </row>
    <row r="49161" spans="7:7" ht="10.5" customHeight="1" x14ac:dyDescent="0.2">
      <c r="G49161" s="889"/>
    </row>
    <row r="49162" spans="7:7" ht="10.5" customHeight="1" x14ac:dyDescent="0.2">
      <c r="G49162" s="889"/>
    </row>
    <row r="49163" spans="7:7" ht="10.5" customHeight="1" x14ac:dyDescent="0.2">
      <c r="G49163" s="889"/>
    </row>
    <row r="49164" spans="7:7" ht="10.5" customHeight="1" x14ac:dyDescent="0.2">
      <c r="G49164" s="889"/>
    </row>
    <row r="49165" spans="7:7" ht="10.5" customHeight="1" x14ac:dyDescent="0.2">
      <c r="G49165" s="889"/>
    </row>
    <row r="49166" spans="7:7" ht="10.5" customHeight="1" x14ac:dyDescent="0.2">
      <c r="G49166" s="889"/>
    </row>
    <row r="49167" spans="7:7" ht="10.5" customHeight="1" x14ac:dyDescent="0.2">
      <c r="G49167" s="889"/>
    </row>
    <row r="49168" spans="7:7" ht="10.5" customHeight="1" x14ac:dyDescent="0.2">
      <c r="G49168" s="889"/>
    </row>
    <row r="49169" spans="7:7" ht="10.5" customHeight="1" x14ac:dyDescent="0.2">
      <c r="G49169" s="889"/>
    </row>
    <row r="49170" spans="7:7" ht="10.5" customHeight="1" x14ac:dyDescent="0.2">
      <c r="G49170" s="889"/>
    </row>
    <row r="49171" spans="7:7" ht="10.5" customHeight="1" x14ac:dyDescent="0.2">
      <c r="G49171" s="889"/>
    </row>
    <row r="49172" spans="7:7" ht="10.5" customHeight="1" x14ac:dyDescent="0.2">
      <c r="G49172" s="889"/>
    </row>
    <row r="49173" spans="7:7" ht="10.5" customHeight="1" x14ac:dyDescent="0.2">
      <c r="G49173" s="889"/>
    </row>
    <row r="49174" spans="7:7" ht="10.5" customHeight="1" x14ac:dyDescent="0.2">
      <c r="G49174" s="889"/>
    </row>
    <row r="49175" spans="7:7" ht="10.5" customHeight="1" x14ac:dyDescent="0.2">
      <c r="G49175" s="889"/>
    </row>
    <row r="49176" spans="7:7" ht="10.5" customHeight="1" x14ac:dyDescent="0.2">
      <c r="G49176" s="889"/>
    </row>
    <row r="49177" spans="7:7" ht="10.5" customHeight="1" x14ac:dyDescent="0.2">
      <c r="G49177" s="889"/>
    </row>
    <row r="49178" spans="7:7" ht="10.5" customHeight="1" x14ac:dyDescent="0.2">
      <c r="G49178" s="889"/>
    </row>
    <row r="49179" spans="7:7" ht="10.5" customHeight="1" x14ac:dyDescent="0.2">
      <c r="G49179" s="889"/>
    </row>
    <row r="49180" spans="7:7" ht="10.5" customHeight="1" x14ac:dyDescent="0.2">
      <c r="G49180" s="889"/>
    </row>
    <row r="49181" spans="7:7" ht="10.5" customHeight="1" x14ac:dyDescent="0.2">
      <c r="G49181" s="889"/>
    </row>
    <row r="49182" spans="7:7" ht="10.5" customHeight="1" x14ac:dyDescent="0.2">
      <c r="G49182" s="889"/>
    </row>
    <row r="49183" spans="7:7" ht="10.5" customHeight="1" x14ac:dyDescent="0.2">
      <c r="G49183" s="889"/>
    </row>
    <row r="49184" spans="7:7" ht="10.5" customHeight="1" x14ac:dyDescent="0.2">
      <c r="G49184" s="889"/>
    </row>
    <row r="49185" spans="7:7" ht="10.5" customHeight="1" x14ac:dyDescent="0.2">
      <c r="G49185" s="889"/>
    </row>
    <row r="49186" spans="7:7" ht="10.5" customHeight="1" x14ac:dyDescent="0.2">
      <c r="G49186" s="889"/>
    </row>
    <row r="49187" spans="7:7" ht="10.5" customHeight="1" x14ac:dyDescent="0.2">
      <c r="G49187" s="889"/>
    </row>
    <row r="49188" spans="7:7" ht="10.5" customHeight="1" x14ac:dyDescent="0.2">
      <c r="G49188" s="889"/>
    </row>
    <row r="49189" spans="7:7" ht="10.5" customHeight="1" x14ac:dyDescent="0.2">
      <c r="G49189" s="889"/>
    </row>
    <row r="49190" spans="7:7" ht="10.5" customHeight="1" x14ac:dyDescent="0.2">
      <c r="G49190" s="889"/>
    </row>
    <row r="49191" spans="7:7" ht="10.5" customHeight="1" x14ac:dyDescent="0.2">
      <c r="G49191" s="889"/>
    </row>
    <row r="49192" spans="7:7" ht="10.5" customHeight="1" x14ac:dyDescent="0.2">
      <c r="G49192" s="889"/>
    </row>
    <row r="49193" spans="7:7" ht="10.5" customHeight="1" x14ac:dyDescent="0.2">
      <c r="G49193" s="889"/>
    </row>
    <row r="49194" spans="7:7" ht="10.5" customHeight="1" x14ac:dyDescent="0.2">
      <c r="G49194" s="889"/>
    </row>
    <row r="49195" spans="7:7" ht="10.5" customHeight="1" x14ac:dyDescent="0.2">
      <c r="G49195" s="889"/>
    </row>
    <row r="49196" spans="7:7" ht="10.5" customHeight="1" x14ac:dyDescent="0.2">
      <c r="G49196" s="889"/>
    </row>
    <row r="49197" spans="7:7" ht="10.5" customHeight="1" x14ac:dyDescent="0.2">
      <c r="G49197" s="889"/>
    </row>
    <row r="49198" spans="7:7" ht="10.5" customHeight="1" x14ac:dyDescent="0.2">
      <c r="G49198" s="889"/>
    </row>
    <row r="49199" spans="7:7" ht="10.5" customHeight="1" x14ac:dyDescent="0.2">
      <c r="G49199" s="889"/>
    </row>
    <row r="49200" spans="7:7" ht="10.5" customHeight="1" x14ac:dyDescent="0.2">
      <c r="G49200" s="889"/>
    </row>
    <row r="49201" spans="7:7" ht="10.5" customHeight="1" x14ac:dyDescent="0.2">
      <c r="G49201" s="889"/>
    </row>
    <row r="49202" spans="7:7" ht="10.5" customHeight="1" x14ac:dyDescent="0.2">
      <c r="G49202" s="889"/>
    </row>
    <row r="49203" spans="7:7" ht="10.5" customHeight="1" x14ac:dyDescent="0.2">
      <c r="G49203" s="889"/>
    </row>
    <row r="49204" spans="7:7" ht="10.5" customHeight="1" x14ac:dyDescent="0.2">
      <c r="G49204" s="889"/>
    </row>
    <row r="49205" spans="7:7" ht="10.5" customHeight="1" x14ac:dyDescent="0.2">
      <c r="G49205" s="889"/>
    </row>
    <row r="49206" spans="7:7" ht="10.5" customHeight="1" x14ac:dyDescent="0.2">
      <c r="G49206" s="889"/>
    </row>
    <row r="49207" spans="7:7" ht="10.5" customHeight="1" x14ac:dyDescent="0.2">
      <c r="G49207" s="889"/>
    </row>
    <row r="49208" spans="7:7" ht="10.5" customHeight="1" x14ac:dyDescent="0.2">
      <c r="G49208" s="889"/>
    </row>
    <row r="49209" spans="7:7" ht="10.5" customHeight="1" x14ac:dyDescent="0.2">
      <c r="G49209" s="889"/>
    </row>
    <row r="49210" spans="7:7" ht="10.5" customHeight="1" x14ac:dyDescent="0.2">
      <c r="G49210" s="889"/>
    </row>
    <row r="49211" spans="7:7" ht="10.5" customHeight="1" x14ac:dyDescent="0.2">
      <c r="G49211" s="889"/>
    </row>
    <row r="49212" spans="7:7" ht="10.5" customHeight="1" x14ac:dyDescent="0.2">
      <c r="G49212" s="889"/>
    </row>
    <row r="49213" spans="7:7" ht="10.5" customHeight="1" x14ac:dyDescent="0.2">
      <c r="G49213" s="889"/>
    </row>
    <row r="49214" spans="7:7" ht="10.5" customHeight="1" x14ac:dyDescent="0.2">
      <c r="G49214" s="889"/>
    </row>
    <row r="49215" spans="7:7" ht="10.5" customHeight="1" x14ac:dyDescent="0.2">
      <c r="G49215" s="889"/>
    </row>
    <row r="49216" spans="7:7" ht="10.5" customHeight="1" x14ac:dyDescent="0.2">
      <c r="G49216" s="889"/>
    </row>
    <row r="49217" spans="7:7" ht="10.5" customHeight="1" x14ac:dyDescent="0.2">
      <c r="G49217" s="889"/>
    </row>
    <row r="49218" spans="7:7" ht="10.5" customHeight="1" x14ac:dyDescent="0.2">
      <c r="G49218" s="889"/>
    </row>
    <row r="49219" spans="7:7" ht="10.5" customHeight="1" x14ac:dyDescent="0.2">
      <c r="G49219" s="889"/>
    </row>
    <row r="49220" spans="7:7" ht="10.5" customHeight="1" x14ac:dyDescent="0.2">
      <c r="G49220" s="889"/>
    </row>
    <row r="49221" spans="7:7" ht="10.5" customHeight="1" x14ac:dyDescent="0.2">
      <c r="G49221" s="889"/>
    </row>
    <row r="49222" spans="7:7" ht="10.5" customHeight="1" x14ac:dyDescent="0.2">
      <c r="G49222" s="889"/>
    </row>
    <row r="49223" spans="7:7" ht="10.5" customHeight="1" x14ac:dyDescent="0.2">
      <c r="G49223" s="889"/>
    </row>
    <row r="49224" spans="7:7" ht="10.5" customHeight="1" x14ac:dyDescent="0.2">
      <c r="G49224" s="889"/>
    </row>
    <row r="49225" spans="7:7" ht="10.5" customHeight="1" x14ac:dyDescent="0.2">
      <c r="G49225" s="889"/>
    </row>
    <row r="49226" spans="7:7" ht="10.5" customHeight="1" x14ac:dyDescent="0.2">
      <c r="G49226" s="889"/>
    </row>
    <row r="49227" spans="7:7" ht="10.5" customHeight="1" x14ac:dyDescent="0.2">
      <c r="G49227" s="889"/>
    </row>
    <row r="49228" spans="7:7" ht="10.5" customHeight="1" x14ac:dyDescent="0.2">
      <c r="G49228" s="889"/>
    </row>
    <row r="49229" spans="7:7" ht="10.5" customHeight="1" x14ac:dyDescent="0.2">
      <c r="G49229" s="889"/>
    </row>
    <row r="49230" spans="7:7" ht="10.5" customHeight="1" x14ac:dyDescent="0.2">
      <c r="G49230" s="889"/>
    </row>
    <row r="49231" spans="7:7" ht="10.5" customHeight="1" x14ac:dyDescent="0.2">
      <c r="G49231" s="889"/>
    </row>
    <row r="49232" spans="7:7" ht="10.5" customHeight="1" x14ac:dyDescent="0.2">
      <c r="G49232" s="889"/>
    </row>
    <row r="49233" spans="7:7" ht="10.5" customHeight="1" x14ac:dyDescent="0.2">
      <c r="G49233" s="889"/>
    </row>
    <row r="49234" spans="7:7" ht="10.5" customHeight="1" x14ac:dyDescent="0.2">
      <c r="G49234" s="889"/>
    </row>
    <row r="49235" spans="7:7" ht="10.5" customHeight="1" x14ac:dyDescent="0.2">
      <c r="G49235" s="889"/>
    </row>
    <row r="49236" spans="7:7" ht="10.5" customHeight="1" x14ac:dyDescent="0.2">
      <c r="G49236" s="889"/>
    </row>
    <row r="49237" spans="7:7" ht="10.5" customHeight="1" x14ac:dyDescent="0.2">
      <c r="G49237" s="889"/>
    </row>
    <row r="49238" spans="7:7" ht="10.5" customHeight="1" x14ac:dyDescent="0.2">
      <c r="G49238" s="889"/>
    </row>
    <row r="49239" spans="7:7" ht="10.5" customHeight="1" x14ac:dyDescent="0.2">
      <c r="G49239" s="889"/>
    </row>
    <row r="49240" spans="7:7" ht="10.5" customHeight="1" x14ac:dyDescent="0.2">
      <c r="G49240" s="889"/>
    </row>
    <row r="49241" spans="7:7" ht="10.5" customHeight="1" x14ac:dyDescent="0.2">
      <c r="G49241" s="889"/>
    </row>
    <row r="49242" spans="7:7" ht="10.5" customHeight="1" x14ac:dyDescent="0.2">
      <c r="G49242" s="889"/>
    </row>
    <row r="49243" spans="7:7" ht="10.5" customHeight="1" x14ac:dyDescent="0.2">
      <c r="G49243" s="889"/>
    </row>
    <row r="49244" spans="7:7" ht="10.5" customHeight="1" x14ac:dyDescent="0.2">
      <c r="G49244" s="889"/>
    </row>
    <row r="49245" spans="7:7" ht="10.5" customHeight="1" x14ac:dyDescent="0.2">
      <c r="G49245" s="889"/>
    </row>
    <row r="49246" spans="7:7" ht="10.5" customHeight="1" x14ac:dyDescent="0.2">
      <c r="G49246" s="889"/>
    </row>
    <row r="49247" spans="7:7" ht="10.5" customHeight="1" x14ac:dyDescent="0.2">
      <c r="G49247" s="889"/>
    </row>
    <row r="49248" spans="7:7" ht="10.5" customHeight="1" x14ac:dyDescent="0.2">
      <c r="G49248" s="889"/>
    </row>
    <row r="49249" spans="7:7" ht="10.5" customHeight="1" x14ac:dyDescent="0.2">
      <c r="G49249" s="889"/>
    </row>
    <row r="49250" spans="7:7" ht="10.5" customHeight="1" x14ac:dyDescent="0.2">
      <c r="G49250" s="889"/>
    </row>
    <row r="49251" spans="7:7" ht="10.5" customHeight="1" x14ac:dyDescent="0.2">
      <c r="G49251" s="889"/>
    </row>
    <row r="49252" spans="7:7" ht="10.5" customHeight="1" x14ac:dyDescent="0.2">
      <c r="G49252" s="889"/>
    </row>
    <row r="49253" spans="7:7" ht="10.5" customHeight="1" x14ac:dyDescent="0.2">
      <c r="G49253" s="889"/>
    </row>
    <row r="49254" spans="7:7" ht="10.5" customHeight="1" x14ac:dyDescent="0.2">
      <c r="G49254" s="889"/>
    </row>
    <row r="49255" spans="7:7" ht="10.5" customHeight="1" x14ac:dyDescent="0.2">
      <c r="G49255" s="889"/>
    </row>
    <row r="49256" spans="7:7" ht="10.5" customHeight="1" x14ac:dyDescent="0.2">
      <c r="G49256" s="889"/>
    </row>
    <row r="49257" spans="7:7" ht="10.5" customHeight="1" x14ac:dyDescent="0.2">
      <c r="G49257" s="889"/>
    </row>
    <row r="49258" spans="7:7" ht="10.5" customHeight="1" x14ac:dyDescent="0.2">
      <c r="G49258" s="889"/>
    </row>
    <row r="49259" spans="7:7" ht="10.5" customHeight="1" x14ac:dyDescent="0.2">
      <c r="G49259" s="889"/>
    </row>
    <row r="49260" spans="7:7" ht="10.5" customHeight="1" x14ac:dyDescent="0.2">
      <c r="G49260" s="889"/>
    </row>
    <row r="49261" spans="7:7" ht="10.5" customHeight="1" x14ac:dyDescent="0.2">
      <c r="G49261" s="889"/>
    </row>
    <row r="49262" spans="7:7" ht="10.5" customHeight="1" x14ac:dyDescent="0.2">
      <c r="G49262" s="889"/>
    </row>
    <row r="49263" spans="7:7" ht="10.5" customHeight="1" x14ac:dyDescent="0.2">
      <c r="G49263" s="889"/>
    </row>
    <row r="49264" spans="7:7" ht="10.5" customHeight="1" x14ac:dyDescent="0.2">
      <c r="G49264" s="889"/>
    </row>
    <row r="49265" spans="7:7" ht="10.5" customHeight="1" x14ac:dyDescent="0.2">
      <c r="G49265" s="889"/>
    </row>
    <row r="49266" spans="7:7" ht="10.5" customHeight="1" x14ac:dyDescent="0.2">
      <c r="G49266" s="889"/>
    </row>
    <row r="49267" spans="7:7" ht="10.5" customHeight="1" x14ac:dyDescent="0.2">
      <c r="G49267" s="889"/>
    </row>
    <row r="49268" spans="7:7" ht="10.5" customHeight="1" x14ac:dyDescent="0.2">
      <c r="G49268" s="889"/>
    </row>
    <row r="49269" spans="7:7" ht="10.5" customHeight="1" x14ac:dyDescent="0.2">
      <c r="G49269" s="889"/>
    </row>
    <row r="49270" spans="7:7" ht="10.5" customHeight="1" x14ac:dyDescent="0.2">
      <c r="G49270" s="889"/>
    </row>
    <row r="49271" spans="7:7" ht="10.5" customHeight="1" x14ac:dyDescent="0.2">
      <c r="G49271" s="889"/>
    </row>
    <row r="49272" spans="7:7" ht="10.5" customHeight="1" x14ac:dyDescent="0.2">
      <c r="G49272" s="889"/>
    </row>
    <row r="49273" spans="7:7" ht="10.5" customHeight="1" x14ac:dyDescent="0.2">
      <c r="G49273" s="889"/>
    </row>
    <row r="49274" spans="7:7" ht="10.5" customHeight="1" x14ac:dyDescent="0.2">
      <c r="G49274" s="889"/>
    </row>
    <row r="49275" spans="7:7" ht="10.5" customHeight="1" x14ac:dyDescent="0.2">
      <c r="G49275" s="889"/>
    </row>
    <row r="49276" spans="7:7" ht="10.5" customHeight="1" x14ac:dyDescent="0.2">
      <c r="G49276" s="889"/>
    </row>
    <row r="49277" spans="7:7" ht="10.5" customHeight="1" x14ac:dyDescent="0.2">
      <c r="G49277" s="889"/>
    </row>
    <row r="49278" spans="7:7" ht="10.5" customHeight="1" x14ac:dyDescent="0.2">
      <c r="G49278" s="889"/>
    </row>
    <row r="49279" spans="7:7" ht="10.5" customHeight="1" x14ac:dyDescent="0.2">
      <c r="G49279" s="889"/>
    </row>
    <row r="49280" spans="7:7" ht="10.5" customHeight="1" x14ac:dyDescent="0.2">
      <c r="G49280" s="889"/>
    </row>
    <row r="49281" spans="7:7" ht="10.5" customHeight="1" x14ac:dyDescent="0.2">
      <c r="G49281" s="889"/>
    </row>
    <row r="49282" spans="7:7" ht="10.5" customHeight="1" x14ac:dyDescent="0.2">
      <c r="G49282" s="889"/>
    </row>
    <row r="49283" spans="7:7" ht="10.5" customHeight="1" x14ac:dyDescent="0.2">
      <c r="G49283" s="889"/>
    </row>
    <row r="49284" spans="7:7" ht="10.5" customHeight="1" x14ac:dyDescent="0.2">
      <c r="G49284" s="889"/>
    </row>
    <row r="49285" spans="7:7" ht="10.5" customHeight="1" x14ac:dyDescent="0.2">
      <c r="G49285" s="889"/>
    </row>
    <row r="49286" spans="7:7" ht="10.5" customHeight="1" x14ac:dyDescent="0.2">
      <c r="G49286" s="889"/>
    </row>
    <row r="49287" spans="7:7" ht="10.5" customHeight="1" x14ac:dyDescent="0.2">
      <c r="G49287" s="889"/>
    </row>
    <row r="49288" spans="7:7" ht="10.5" customHeight="1" x14ac:dyDescent="0.2">
      <c r="G49288" s="889"/>
    </row>
    <row r="49289" spans="7:7" ht="10.5" customHeight="1" x14ac:dyDescent="0.2">
      <c r="G49289" s="889"/>
    </row>
    <row r="49290" spans="7:7" ht="10.5" customHeight="1" x14ac:dyDescent="0.2">
      <c r="G49290" s="889"/>
    </row>
    <row r="49291" spans="7:7" ht="10.5" customHeight="1" x14ac:dyDescent="0.2">
      <c r="G49291" s="889"/>
    </row>
    <row r="49292" spans="7:7" ht="10.5" customHeight="1" x14ac:dyDescent="0.2">
      <c r="G49292" s="889"/>
    </row>
    <row r="49293" spans="7:7" ht="10.5" customHeight="1" x14ac:dyDescent="0.2">
      <c r="G49293" s="889"/>
    </row>
    <row r="49294" spans="7:7" ht="10.5" customHeight="1" x14ac:dyDescent="0.2">
      <c r="G49294" s="889"/>
    </row>
    <row r="49295" spans="7:7" ht="10.5" customHeight="1" x14ac:dyDescent="0.2">
      <c r="G49295" s="889"/>
    </row>
    <row r="49296" spans="7:7" ht="10.5" customHeight="1" x14ac:dyDescent="0.2">
      <c r="G49296" s="889"/>
    </row>
    <row r="49297" spans="7:7" ht="10.5" customHeight="1" x14ac:dyDescent="0.2">
      <c r="G49297" s="889"/>
    </row>
    <row r="49298" spans="7:7" ht="10.5" customHeight="1" x14ac:dyDescent="0.2">
      <c r="G49298" s="889"/>
    </row>
    <row r="49299" spans="7:7" ht="10.5" customHeight="1" x14ac:dyDescent="0.2">
      <c r="G49299" s="889"/>
    </row>
    <row r="49300" spans="7:7" ht="10.5" customHeight="1" x14ac:dyDescent="0.2">
      <c r="G49300" s="889"/>
    </row>
    <row r="49301" spans="7:7" ht="10.5" customHeight="1" x14ac:dyDescent="0.2">
      <c r="G49301" s="889"/>
    </row>
    <row r="49302" spans="7:7" ht="10.5" customHeight="1" x14ac:dyDescent="0.2">
      <c r="G49302" s="889"/>
    </row>
    <row r="49303" spans="7:7" ht="10.5" customHeight="1" x14ac:dyDescent="0.2">
      <c r="G49303" s="889"/>
    </row>
    <row r="49304" spans="7:7" ht="10.5" customHeight="1" x14ac:dyDescent="0.2">
      <c r="G49304" s="889"/>
    </row>
    <row r="49305" spans="7:7" ht="10.5" customHeight="1" x14ac:dyDescent="0.2">
      <c r="G49305" s="889"/>
    </row>
    <row r="49306" spans="7:7" ht="10.5" customHeight="1" x14ac:dyDescent="0.2">
      <c r="G49306" s="889"/>
    </row>
    <row r="49307" spans="7:7" ht="10.5" customHeight="1" x14ac:dyDescent="0.2">
      <c r="G49307" s="889"/>
    </row>
    <row r="49308" spans="7:7" ht="10.5" customHeight="1" x14ac:dyDescent="0.2">
      <c r="G49308" s="889"/>
    </row>
    <row r="49309" spans="7:7" ht="10.5" customHeight="1" x14ac:dyDescent="0.2">
      <c r="G49309" s="889"/>
    </row>
    <row r="49310" spans="7:7" ht="10.5" customHeight="1" x14ac:dyDescent="0.2">
      <c r="G49310" s="889"/>
    </row>
    <row r="49311" spans="7:7" ht="10.5" customHeight="1" x14ac:dyDescent="0.2">
      <c r="G49311" s="889"/>
    </row>
    <row r="49312" spans="7:7" ht="10.5" customHeight="1" x14ac:dyDescent="0.2">
      <c r="G49312" s="889"/>
    </row>
    <row r="49313" spans="7:7" ht="10.5" customHeight="1" x14ac:dyDescent="0.2">
      <c r="G49313" s="889"/>
    </row>
    <row r="49314" spans="7:7" ht="10.5" customHeight="1" x14ac:dyDescent="0.2">
      <c r="G49314" s="889"/>
    </row>
    <row r="49315" spans="7:7" ht="10.5" customHeight="1" x14ac:dyDescent="0.2">
      <c r="G49315" s="889"/>
    </row>
    <row r="49316" spans="7:7" ht="10.5" customHeight="1" x14ac:dyDescent="0.2">
      <c r="G49316" s="889"/>
    </row>
    <row r="49317" spans="7:7" ht="10.5" customHeight="1" x14ac:dyDescent="0.2">
      <c r="G49317" s="889"/>
    </row>
    <row r="49318" spans="7:7" ht="10.5" customHeight="1" x14ac:dyDescent="0.2">
      <c r="G49318" s="889"/>
    </row>
    <row r="49319" spans="7:7" ht="10.5" customHeight="1" x14ac:dyDescent="0.2">
      <c r="G49319" s="889"/>
    </row>
    <row r="49320" spans="7:7" ht="10.5" customHeight="1" x14ac:dyDescent="0.2">
      <c r="G49320" s="889"/>
    </row>
    <row r="49321" spans="7:7" ht="10.5" customHeight="1" x14ac:dyDescent="0.2">
      <c r="G49321" s="889"/>
    </row>
    <row r="49322" spans="7:7" ht="10.5" customHeight="1" x14ac:dyDescent="0.2">
      <c r="G49322" s="889"/>
    </row>
    <row r="49323" spans="7:7" ht="10.5" customHeight="1" x14ac:dyDescent="0.2">
      <c r="G49323" s="889"/>
    </row>
    <row r="49324" spans="7:7" ht="10.5" customHeight="1" x14ac:dyDescent="0.2">
      <c r="G49324" s="889"/>
    </row>
    <row r="49325" spans="7:7" ht="10.5" customHeight="1" x14ac:dyDescent="0.2">
      <c r="G49325" s="889"/>
    </row>
    <row r="49326" spans="7:7" ht="10.5" customHeight="1" x14ac:dyDescent="0.2">
      <c r="G49326" s="889"/>
    </row>
    <row r="49327" spans="7:7" ht="10.5" customHeight="1" x14ac:dyDescent="0.2">
      <c r="G49327" s="889"/>
    </row>
    <row r="49328" spans="7:7" ht="10.5" customHeight="1" x14ac:dyDescent="0.2">
      <c r="G49328" s="889"/>
    </row>
    <row r="49329" spans="7:7" ht="10.5" customHeight="1" x14ac:dyDescent="0.2">
      <c r="G49329" s="889"/>
    </row>
    <row r="49330" spans="7:7" ht="10.5" customHeight="1" x14ac:dyDescent="0.2">
      <c r="G49330" s="889"/>
    </row>
    <row r="49331" spans="7:7" ht="10.5" customHeight="1" x14ac:dyDescent="0.2">
      <c r="G49331" s="889"/>
    </row>
    <row r="49332" spans="7:7" ht="10.5" customHeight="1" x14ac:dyDescent="0.2">
      <c r="G49332" s="889"/>
    </row>
    <row r="49333" spans="7:7" ht="10.5" customHeight="1" x14ac:dyDescent="0.2">
      <c r="G49333" s="889"/>
    </row>
    <row r="49334" spans="7:7" ht="10.5" customHeight="1" x14ac:dyDescent="0.2">
      <c r="G49334" s="889"/>
    </row>
    <row r="49335" spans="7:7" ht="10.5" customHeight="1" x14ac:dyDescent="0.2">
      <c r="G49335" s="889"/>
    </row>
    <row r="49336" spans="7:7" ht="10.5" customHeight="1" x14ac:dyDescent="0.2">
      <c r="G49336" s="889"/>
    </row>
    <row r="49337" spans="7:7" ht="10.5" customHeight="1" x14ac:dyDescent="0.2">
      <c r="G49337" s="889"/>
    </row>
    <row r="49338" spans="7:7" ht="10.5" customHeight="1" x14ac:dyDescent="0.2">
      <c r="G49338" s="889"/>
    </row>
    <row r="49339" spans="7:7" ht="10.5" customHeight="1" x14ac:dyDescent="0.2">
      <c r="G49339" s="889"/>
    </row>
    <row r="49340" spans="7:7" ht="10.5" customHeight="1" x14ac:dyDescent="0.2">
      <c r="G49340" s="889"/>
    </row>
    <row r="49341" spans="7:7" ht="10.5" customHeight="1" x14ac:dyDescent="0.2">
      <c r="G49341" s="889"/>
    </row>
    <row r="49342" spans="7:7" ht="10.5" customHeight="1" x14ac:dyDescent="0.2">
      <c r="G49342" s="889"/>
    </row>
    <row r="49343" spans="7:7" ht="10.5" customHeight="1" x14ac:dyDescent="0.2">
      <c r="G49343" s="889"/>
    </row>
    <row r="49344" spans="7:7" ht="10.5" customHeight="1" x14ac:dyDescent="0.2">
      <c r="G49344" s="889"/>
    </row>
    <row r="49345" spans="7:7" ht="10.5" customHeight="1" x14ac:dyDescent="0.2">
      <c r="G49345" s="889"/>
    </row>
    <row r="49346" spans="7:7" ht="10.5" customHeight="1" x14ac:dyDescent="0.2">
      <c r="G49346" s="889"/>
    </row>
    <row r="49347" spans="7:7" ht="10.5" customHeight="1" x14ac:dyDescent="0.2">
      <c r="G49347" s="889"/>
    </row>
    <row r="49348" spans="7:7" ht="10.5" customHeight="1" x14ac:dyDescent="0.2">
      <c r="G49348" s="889"/>
    </row>
    <row r="49349" spans="7:7" ht="10.5" customHeight="1" x14ac:dyDescent="0.2">
      <c r="G49349" s="889"/>
    </row>
    <row r="49350" spans="7:7" ht="10.5" customHeight="1" x14ac:dyDescent="0.2">
      <c r="G49350" s="889"/>
    </row>
    <row r="49351" spans="7:7" ht="10.5" customHeight="1" x14ac:dyDescent="0.2">
      <c r="G49351" s="889"/>
    </row>
    <row r="49352" spans="7:7" ht="10.5" customHeight="1" x14ac:dyDescent="0.2">
      <c r="G49352" s="889"/>
    </row>
    <row r="49353" spans="7:7" ht="10.5" customHeight="1" x14ac:dyDescent="0.2">
      <c r="G49353" s="889"/>
    </row>
    <row r="49354" spans="7:7" ht="10.5" customHeight="1" x14ac:dyDescent="0.2">
      <c r="G49354" s="889"/>
    </row>
    <row r="49355" spans="7:7" ht="10.5" customHeight="1" x14ac:dyDescent="0.2">
      <c r="G49355" s="889"/>
    </row>
    <row r="49356" spans="7:7" ht="10.5" customHeight="1" x14ac:dyDescent="0.2">
      <c r="G49356" s="889"/>
    </row>
    <row r="49357" spans="7:7" ht="10.5" customHeight="1" x14ac:dyDescent="0.2">
      <c r="G49357" s="889"/>
    </row>
    <row r="49358" spans="7:7" ht="10.5" customHeight="1" x14ac:dyDescent="0.2">
      <c r="G49358" s="889"/>
    </row>
    <row r="49359" spans="7:7" ht="10.5" customHeight="1" x14ac:dyDescent="0.2">
      <c r="G49359" s="889"/>
    </row>
    <row r="49360" spans="7:7" ht="10.5" customHeight="1" x14ac:dyDescent="0.2">
      <c r="G49360" s="889"/>
    </row>
    <row r="49361" spans="7:7" ht="10.5" customHeight="1" x14ac:dyDescent="0.2">
      <c r="G49361" s="889"/>
    </row>
    <row r="49362" spans="7:7" ht="10.5" customHeight="1" x14ac:dyDescent="0.2">
      <c r="G49362" s="889"/>
    </row>
    <row r="49363" spans="7:7" ht="10.5" customHeight="1" x14ac:dyDescent="0.2">
      <c r="G49363" s="889"/>
    </row>
    <row r="49364" spans="7:7" ht="10.5" customHeight="1" x14ac:dyDescent="0.2">
      <c r="G49364" s="889"/>
    </row>
    <row r="49365" spans="7:7" ht="10.5" customHeight="1" x14ac:dyDescent="0.2">
      <c r="G49365" s="889"/>
    </row>
    <row r="49366" spans="7:7" ht="10.5" customHeight="1" x14ac:dyDescent="0.2">
      <c r="G49366" s="889"/>
    </row>
    <row r="49367" spans="7:7" ht="10.5" customHeight="1" x14ac:dyDescent="0.2">
      <c r="G49367" s="889"/>
    </row>
    <row r="49368" spans="7:7" ht="10.5" customHeight="1" x14ac:dyDescent="0.2">
      <c r="G49368" s="889"/>
    </row>
    <row r="49369" spans="7:7" ht="10.5" customHeight="1" x14ac:dyDescent="0.2">
      <c r="G49369" s="889"/>
    </row>
    <row r="49370" spans="7:7" ht="10.5" customHeight="1" x14ac:dyDescent="0.2">
      <c r="G49370" s="889"/>
    </row>
    <row r="49371" spans="7:7" ht="10.5" customHeight="1" x14ac:dyDescent="0.2">
      <c r="G49371" s="889"/>
    </row>
    <row r="49372" spans="7:7" ht="10.5" customHeight="1" x14ac:dyDescent="0.2">
      <c r="G49372" s="889"/>
    </row>
    <row r="49373" spans="7:7" ht="10.5" customHeight="1" x14ac:dyDescent="0.2">
      <c r="G49373" s="889"/>
    </row>
    <row r="49374" spans="7:7" ht="10.5" customHeight="1" x14ac:dyDescent="0.2">
      <c r="G49374" s="889"/>
    </row>
    <row r="49375" spans="7:7" ht="10.5" customHeight="1" x14ac:dyDescent="0.2">
      <c r="G49375" s="889"/>
    </row>
    <row r="49376" spans="7:7" ht="10.5" customHeight="1" x14ac:dyDescent="0.2">
      <c r="G49376" s="889"/>
    </row>
    <row r="49377" spans="7:7" ht="10.5" customHeight="1" x14ac:dyDescent="0.2">
      <c r="G49377" s="889"/>
    </row>
    <row r="49378" spans="7:7" ht="10.5" customHeight="1" x14ac:dyDescent="0.2">
      <c r="G49378" s="889"/>
    </row>
    <row r="49379" spans="7:7" ht="10.5" customHeight="1" x14ac:dyDescent="0.2">
      <c r="G49379" s="889"/>
    </row>
    <row r="49380" spans="7:7" ht="10.5" customHeight="1" x14ac:dyDescent="0.2">
      <c r="G49380" s="889"/>
    </row>
    <row r="49381" spans="7:7" ht="10.5" customHeight="1" x14ac:dyDescent="0.2">
      <c r="G49381" s="889"/>
    </row>
    <row r="49382" spans="7:7" ht="10.5" customHeight="1" x14ac:dyDescent="0.2">
      <c r="G49382" s="889"/>
    </row>
    <row r="49383" spans="7:7" ht="10.5" customHeight="1" x14ac:dyDescent="0.2">
      <c r="G49383" s="889"/>
    </row>
    <row r="49384" spans="7:7" ht="10.5" customHeight="1" x14ac:dyDescent="0.2">
      <c r="G49384" s="889"/>
    </row>
    <row r="49385" spans="7:7" ht="10.5" customHeight="1" x14ac:dyDescent="0.2">
      <c r="G49385" s="889"/>
    </row>
    <row r="49386" spans="7:7" ht="10.5" customHeight="1" x14ac:dyDescent="0.2">
      <c r="G49386" s="889"/>
    </row>
    <row r="49387" spans="7:7" ht="10.5" customHeight="1" x14ac:dyDescent="0.2">
      <c r="G49387" s="889"/>
    </row>
    <row r="49388" spans="7:7" ht="10.5" customHeight="1" x14ac:dyDescent="0.2">
      <c r="G49388" s="889"/>
    </row>
    <row r="49389" spans="7:7" ht="10.5" customHeight="1" x14ac:dyDescent="0.2">
      <c r="G49389" s="889"/>
    </row>
    <row r="49390" spans="7:7" ht="10.5" customHeight="1" x14ac:dyDescent="0.2">
      <c r="G49390" s="889"/>
    </row>
    <row r="49391" spans="7:7" ht="10.5" customHeight="1" x14ac:dyDescent="0.2">
      <c r="G49391" s="889"/>
    </row>
    <row r="49392" spans="7:7" ht="10.5" customHeight="1" x14ac:dyDescent="0.2">
      <c r="G49392" s="889"/>
    </row>
    <row r="49393" spans="7:7" ht="10.5" customHeight="1" x14ac:dyDescent="0.2">
      <c r="G49393" s="889"/>
    </row>
    <row r="49394" spans="7:7" ht="10.5" customHeight="1" x14ac:dyDescent="0.2">
      <c r="G49394" s="889"/>
    </row>
    <row r="49395" spans="7:7" ht="10.5" customHeight="1" x14ac:dyDescent="0.2">
      <c r="G49395" s="889"/>
    </row>
    <row r="49396" spans="7:7" ht="10.5" customHeight="1" x14ac:dyDescent="0.2">
      <c r="G49396" s="889"/>
    </row>
    <row r="49397" spans="7:7" ht="10.5" customHeight="1" x14ac:dyDescent="0.2">
      <c r="G49397" s="889"/>
    </row>
    <row r="49398" spans="7:7" ht="10.5" customHeight="1" x14ac:dyDescent="0.2">
      <c r="G49398" s="889"/>
    </row>
    <row r="49399" spans="7:7" ht="10.5" customHeight="1" x14ac:dyDescent="0.2">
      <c r="G49399" s="889"/>
    </row>
    <row r="49400" spans="7:7" ht="10.5" customHeight="1" x14ac:dyDescent="0.2">
      <c r="G49400" s="889"/>
    </row>
    <row r="49401" spans="7:7" ht="10.5" customHeight="1" x14ac:dyDescent="0.2">
      <c r="G49401" s="889"/>
    </row>
    <row r="49402" spans="7:7" ht="10.5" customHeight="1" x14ac:dyDescent="0.2">
      <c r="G49402" s="889"/>
    </row>
    <row r="49403" spans="7:7" ht="10.5" customHeight="1" x14ac:dyDescent="0.2">
      <c r="G49403" s="889"/>
    </row>
    <row r="49404" spans="7:7" ht="10.5" customHeight="1" x14ac:dyDescent="0.2">
      <c r="G49404" s="889"/>
    </row>
    <row r="49405" spans="7:7" ht="10.5" customHeight="1" x14ac:dyDescent="0.2">
      <c r="G49405" s="889"/>
    </row>
    <row r="49406" spans="7:7" ht="10.5" customHeight="1" x14ac:dyDescent="0.2">
      <c r="G49406" s="889"/>
    </row>
    <row r="49407" spans="7:7" ht="10.5" customHeight="1" x14ac:dyDescent="0.2">
      <c r="G49407" s="889"/>
    </row>
    <row r="49408" spans="7:7" ht="10.5" customHeight="1" x14ac:dyDescent="0.2">
      <c r="G49408" s="889"/>
    </row>
    <row r="49409" spans="7:7" ht="10.5" customHeight="1" x14ac:dyDescent="0.2">
      <c r="G49409" s="889"/>
    </row>
    <row r="49410" spans="7:7" ht="10.5" customHeight="1" x14ac:dyDescent="0.2">
      <c r="G49410" s="889"/>
    </row>
    <row r="49411" spans="7:7" ht="10.5" customHeight="1" x14ac:dyDescent="0.2">
      <c r="G49411" s="889"/>
    </row>
    <row r="49412" spans="7:7" ht="10.5" customHeight="1" x14ac:dyDescent="0.2">
      <c r="G49412" s="889"/>
    </row>
    <row r="49413" spans="7:7" ht="10.5" customHeight="1" x14ac:dyDescent="0.2">
      <c r="G49413" s="889"/>
    </row>
    <row r="49414" spans="7:7" ht="10.5" customHeight="1" x14ac:dyDescent="0.2">
      <c r="G49414" s="889"/>
    </row>
    <row r="49415" spans="7:7" ht="10.5" customHeight="1" x14ac:dyDescent="0.2">
      <c r="G49415" s="889"/>
    </row>
    <row r="49416" spans="7:7" ht="10.5" customHeight="1" x14ac:dyDescent="0.2">
      <c r="G49416" s="889"/>
    </row>
    <row r="49417" spans="7:7" ht="10.5" customHeight="1" x14ac:dyDescent="0.2">
      <c r="G49417" s="889"/>
    </row>
    <row r="49418" spans="7:7" ht="10.5" customHeight="1" x14ac:dyDescent="0.2">
      <c r="G49418" s="889"/>
    </row>
    <row r="49419" spans="7:7" ht="10.5" customHeight="1" x14ac:dyDescent="0.2">
      <c r="G49419" s="889"/>
    </row>
    <row r="49420" spans="7:7" ht="10.5" customHeight="1" x14ac:dyDescent="0.2">
      <c r="G49420" s="889"/>
    </row>
    <row r="49421" spans="7:7" ht="10.5" customHeight="1" x14ac:dyDescent="0.2">
      <c r="G49421" s="889"/>
    </row>
    <row r="49422" spans="7:7" ht="10.5" customHeight="1" x14ac:dyDescent="0.2">
      <c r="G49422" s="889"/>
    </row>
    <row r="49423" spans="7:7" ht="10.5" customHeight="1" x14ac:dyDescent="0.2">
      <c r="G49423" s="889"/>
    </row>
    <row r="49424" spans="7:7" ht="10.5" customHeight="1" x14ac:dyDescent="0.2">
      <c r="G49424" s="889"/>
    </row>
    <row r="49425" spans="7:7" ht="10.5" customHeight="1" x14ac:dyDescent="0.2">
      <c r="G49425" s="889"/>
    </row>
    <row r="49426" spans="7:7" ht="10.5" customHeight="1" x14ac:dyDescent="0.2">
      <c r="G49426" s="889"/>
    </row>
    <row r="49427" spans="7:7" ht="10.5" customHeight="1" x14ac:dyDescent="0.2">
      <c r="G49427" s="889"/>
    </row>
    <row r="49428" spans="7:7" ht="10.5" customHeight="1" x14ac:dyDescent="0.2">
      <c r="G49428" s="889"/>
    </row>
    <row r="49429" spans="7:7" ht="10.5" customHeight="1" x14ac:dyDescent="0.2">
      <c r="G49429" s="889"/>
    </row>
    <row r="49430" spans="7:7" ht="10.5" customHeight="1" x14ac:dyDescent="0.2">
      <c r="G49430" s="889"/>
    </row>
    <row r="49431" spans="7:7" ht="10.5" customHeight="1" x14ac:dyDescent="0.2">
      <c r="G49431" s="889"/>
    </row>
    <row r="49432" spans="7:7" ht="10.5" customHeight="1" x14ac:dyDescent="0.2">
      <c r="G49432" s="889"/>
    </row>
    <row r="49433" spans="7:7" ht="10.5" customHeight="1" x14ac:dyDescent="0.2">
      <c r="G49433" s="889"/>
    </row>
    <row r="49434" spans="7:7" ht="10.5" customHeight="1" x14ac:dyDescent="0.2">
      <c r="G49434" s="889"/>
    </row>
    <row r="49435" spans="7:7" ht="10.5" customHeight="1" x14ac:dyDescent="0.2">
      <c r="G49435" s="889"/>
    </row>
    <row r="49436" spans="7:7" ht="10.5" customHeight="1" x14ac:dyDescent="0.2">
      <c r="G49436" s="889"/>
    </row>
    <row r="49437" spans="7:7" ht="10.5" customHeight="1" x14ac:dyDescent="0.2">
      <c r="G49437" s="889"/>
    </row>
    <row r="49438" spans="7:7" ht="10.5" customHeight="1" x14ac:dyDescent="0.2">
      <c r="G49438" s="889"/>
    </row>
    <row r="49439" spans="7:7" ht="10.5" customHeight="1" x14ac:dyDescent="0.2">
      <c r="G49439" s="889"/>
    </row>
    <row r="49440" spans="7:7" ht="10.5" customHeight="1" x14ac:dyDescent="0.2">
      <c r="G49440" s="889"/>
    </row>
    <row r="49441" spans="7:7" ht="10.5" customHeight="1" x14ac:dyDescent="0.2">
      <c r="G49441" s="889"/>
    </row>
    <row r="49442" spans="7:7" ht="10.5" customHeight="1" x14ac:dyDescent="0.2">
      <c r="G49442" s="889"/>
    </row>
    <row r="49443" spans="7:7" ht="10.5" customHeight="1" x14ac:dyDescent="0.2">
      <c r="G49443" s="889"/>
    </row>
    <row r="49444" spans="7:7" ht="10.5" customHeight="1" x14ac:dyDescent="0.2">
      <c r="G49444" s="889"/>
    </row>
    <row r="49445" spans="7:7" ht="10.5" customHeight="1" x14ac:dyDescent="0.2">
      <c r="G49445" s="889"/>
    </row>
    <row r="49446" spans="7:7" ht="10.5" customHeight="1" x14ac:dyDescent="0.2">
      <c r="G49446" s="889"/>
    </row>
    <row r="49447" spans="7:7" ht="10.5" customHeight="1" x14ac:dyDescent="0.2">
      <c r="G49447" s="889"/>
    </row>
    <row r="49448" spans="7:7" ht="10.5" customHeight="1" x14ac:dyDescent="0.2">
      <c r="G49448" s="889"/>
    </row>
    <row r="49449" spans="7:7" ht="10.5" customHeight="1" x14ac:dyDescent="0.2">
      <c r="G49449" s="889"/>
    </row>
    <row r="49450" spans="7:7" ht="10.5" customHeight="1" x14ac:dyDescent="0.2">
      <c r="G49450" s="889"/>
    </row>
    <row r="49451" spans="7:7" ht="10.5" customHeight="1" x14ac:dyDescent="0.2">
      <c r="G49451" s="889"/>
    </row>
    <row r="49452" spans="7:7" ht="10.5" customHeight="1" x14ac:dyDescent="0.2">
      <c r="G49452" s="889"/>
    </row>
    <row r="49453" spans="7:7" ht="10.5" customHeight="1" x14ac:dyDescent="0.2">
      <c r="G49453" s="889"/>
    </row>
    <row r="49454" spans="7:7" ht="10.5" customHeight="1" x14ac:dyDescent="0.2">
      <c r="G49454" s="889"/>
    </row>
    <row r="49455" spans="7:7" ht="10.5" customHeight="1" x14ac:dyDescent="0.2">
      <c r="G49455" s="889"/>
    </row>
    <row r="49456" spans="7:7" ht="10.5" customHeight="1" x14ac:dyDescent="0.2">
      <c r="G49456" s="889"/>
    </row>
    <row r="49457" spans="7:7" ht="10.5" customHeight="1" x14ac:dyDescent="0.2">
      <c r="G49457" s="889"/>
    </row>
    <row r="49458" spans="7:7" ht="10.5" customHeight="1" x14ac:dyDescent="0.2">
      <c r="G49458" s="889"/>
    </row>
    <row r="49459" spans="7:7" ht="10.5" customHeight="1" x14ac:dyDescent="0.2">
      <c r="G49459" s="889"/>
    </row>
    <row r="49460" spans="7:7" ht="10.5" customHeight="1" x14ac:dyDescent="0.2">
      <c r="G49460" s="889"/>
    </row>
    <row r="49461" spans="7:7" ht="10.5" customHeight="1" x14ac:dyDescent="0.2">
      <c r="G49461" s="889"/>
    </row>
    <row r="49462" spans="7:7" ht="10.5" customHeight="1" x14ac:dyDescent="0.2">
      <c r="G49462" s="889"/>
    </row>
    <row r="49463" spans="7:7" ht="10.5" customHeight="1" x14ac:dyDescent="0.2">
      <c r="G49463" s="889"/>
    </row>
    <row r="49464" spans="7:7" ht="10.5" customHeight="1" x14ac:dyDescent="0.2">
      <c r="G49464" s="889"/>
    </row>
    <row r="49465" spans="7:7" ht="10.5" customHeight="1" x14ac:dyDescent="0.2">
      <c r="G49465" s="889"/>
    </row>
    <row r="49466" spans="7:7" ht="10.5" customHeight="1" x14ac:dyDescent="0.2">
      <c r="G49466" s="889"/>
    </row>
    <row r="49467" spans="7:7" ht="10.5" customHeight="1" x14ac:dyDescent="0.2">
      <c r="G49467" s="889"/>
    </row>
    <row r="49468" spans="7:7" ht="10.5" customHeight="1" x14ac:dyDescent="0.2">
      <c r="G49468" s="889"/>
    </row>
    <row r="49469" spans="7:7" ht="10.5" customHeight="1" x14ac:dyDescent="0.2">
      <c r="G49469" s="889"/>
    </row>
    <row r="49470" spans="7:7" ht="10.5" customHeight="1" x14ac:dyDescent="0.2">
      <c r="G49470" s="889"/>
    </row>
    <row r="49471" spans="7:7" ht="10.5" customHeight="1" x14ac:dyDescent="0.2">
      <c r="G49471" s="889"/>
    </row>
    <row r="49472" spans="7:7" ht="10.5" customHeight="1" x14ac:dyDescent="0.2">
      <c r="G49472" s="889"/>
    </row>
    <row r="49473" spans="7:7" ht="10.5" customHeight="1" x14ac:dyDescent="0.2">
      <c r="G49473" s="889"/>
    </row>
    <row r="49474" spans="7:7" ht="10.5" customHeight="1" x14ac:dyDescent="0.2">
      <c r="G49474" s="889"/>
    </row>
    <row r="49475" spans="7:7" ht="10.5" customHeight="1" x14ac:dyDescent="0.2">
      <c r="G49475" s="889"/>
    </row>
    <row r="49476" spans="7:7" ht="10.5" customHeight="1" x14ac:dyDescent="0.2">
      <c r="G49476" s="889"/>
    </row>
    <row r="49477" spans="7:7" ht="10.5" customHeight="1" x14ac:dyDescent="0.2">
      <c r="G49477" s="889"/>
    </row>
    <row r="49478" spans="7:7" ht="10.5" customHeight="1" x14ac:dyDescent="0.2">
      <c r="G49478" s="889"/>
    </row>
    <row r="49479" spans="7:7" ht="10.5" customHeight="1" x14ac:dyDescent="0.2">
      <c r="G49479" s="889"/>
    </row>
    <row r="49480" spans="7:7" ht="10.5" customHeight="1" x14ac:dyDescent="0.2">
      <c r="G49480" s="889"/>
    </row>
    <row r="49481" spans="7:7" ht="10.5" customHeight="1" x14ac:dyDescent="0.2">
      <c r="G49481" s="889"/>
    </row>
    <row r="49482" spans="7:7" ht="10.5" customHeight="1" x14ac:dyDescent="0.2">
      <c r="G49482" s="889"/>
    </row>
    <row r="49483" spans="7:7" ht="10.5" customHeight="1" x14ac:dyDescent="0.2">
      <c r="G49483" s="889"/>
    </row>
    <row r="49484" spans="7:7" ht="10.5" customHeight="1" x14ac:dyDescent="0.2">
      <c r="G49484" s="889"/>
    </row>
    <row r="49485" spans="7:7" ht="10.5" customHeight="1" x14ac:dyDescent="0.2">
      <c r="G49485" s="889"/>
    </row>
    <row r="49486" spans="7:7" ht="10.5" customHeight="1" x14ac:dyDescent="0.2">
      <c r="G49486" s="889"/>
    </row>
    <row r="49487" spans="7:7" ht="10.5" customHeight="1" x14ac:dyDescent="0.2">
      <c r="G49487" s="889"/>
    </row>
    <row r="49488" spans="7:7" ht="10.5" customHeight="1" x14ac:dyDescent="0.2">
      <c r="G49488" s="889"/>
    </row>
    <row r="49489" spans="7:7" ht="10.5" customHeight="1" x14ac:dyDescent="0.2">
      <c r="G49489" s="889"/>
    </row>
    <row r="49490" spans="7:7" ht="10.5" customHeight="1" x14ac:dyDescent="0.2">
      <c r="G49490" s="889"/>
    </row>
    <row r="49491" spans="7:7" ht="10.5" customHeight="1" x14ac:dyDescent="0.2">
      <c r="G49491" s="889"/>
    </row>
    <row r="49492" spans="7:7" ht="10.5" customHeight="1" x14ac:dyDescent="0.2">
      <c r="G49492" s="889"/>
    </row>
    <row r="49493" spans="7:7" ht="10.5" customHeight="1" x14ac:dyDescent="0.2">
      <c r="G49493" s="889"/>
    </row>
    <row r="49494" spans="7:7" ht="10.5" customHeight="1" x14ac:dyDescent="0.2">
      <c r="G49494" s="889"/>
    </row>
    <row r="49495" spans="7:7" ht="10.5" customHeight="1" x14ac:dyDescent="0.2">
      <c r="G49495" s="889"/>
    </row>
    <row r="49496" spans="7:7" ht="10.5" customHeight="1" x14ac:dyDescent="0.2">
      <c r="G49496" s="889"/>
    </row>
    <row r="49497" spans="7:7" ht="10.5" customHeight="1" x14ac:dyDescent="0.2">
      <c r="G49497" s="889"/>
    </row>
    <row r="49498" spans="7:7" ht="10.5" customHeight="1" x14ac:dyDescent="0.2">
      <c r="G49498" s="889"/>
    </row>
    <row r="49499" spans="7:7" ht="10.5" customHeight="1" x14ac:dyDescent="0.2">
      <c r="G49499" s="889"/>
    </row>
    <row r="49500" spans="7:7" ht="10.5" customHeight="1" x14ac:dyDescent="0.2">
      <c r="G49500" s="889"/>
    </row>
    <row r="49501" spans="7:7" ht="10.5" customHeight="1" x14ac:dyDescent="0.2">
      <c r="G49501" s="889"/>
    </row>
    <row r="49502" spans="7:7" ht="10.5" customHeight="1" x14ac:dyDescent="0.2">
      <c r="G49502" s="889"/>
    </row>
    <row r="49503" spans="7:7" ht="10.5" customHeight="1" x14ac:dyDescent="0.2">
      <c r="G49503" s="889"/>
    </row>
    <row r="49504" spans="7:7" ht="10.5" customHeight="1" x14ac:dyDescent="0.2">
      <c r="G49504" s="889"/>
    </row>
    <row r="49505" spans="7:7" ht="10.5" customHeight="1" x14ac:dyDescent="0.2">
      <c r="G49505" s="889"/>
    </row>
    <row r="49506" spans="7:7" ht="10.5" customHeight="1" x14ac:dyDescent="0.2">
      <c r="G49506" s="889"/>
    </row>
    <row r="49507" spans="7:7" ht="10.5" customHeight="1" x14ac:dyDescent="0.2">
      <c r="G49507" s="889"/>
    </row>
    <row r="49508" spans="7:7" ht="10.5" customHeight="1" x14ac:dyDescent="0.2">
      <c r="G49508" s="889"/>
    </row>
    <row r="49509" spans="7:7" ht="10.5" customHeight="1" x14ac:dyDescent="0.2">
      <c r="G49509" s="889"/>
    </row>
    <row r="49510" spans="7:7" ht="10.5" customHeight="1" x14ac:dyDescent="0.2">
      <c r="G49510" s="889"/>
    </row>
    <row r="49511" spans="7:7" ht="10.5" customHeight="1" x14ac:dyDescent="0.2">
      <c r="G49511" s="889"/>
    </row>
    <row r="49512" spans="7:7" ht="10.5" customHeight="1" x14ac:dyDescent="0.2">
      <c r="G49512" s="889"/>
    </row>
    <row r="49513" spans="7:7" ht="10.5" customHeight="1" x14ac:dyDescent="0.2">
      <c r="G49513" s="889"/>
    </row>
    <row r="49514" spans="7:7" ht="10.5" customHeight="1" x14ac:dyDescent="0.2">
      <c r="G49514" s="889"/>
    </row>
    <row r="49515" spans="7:7" ht="10.5" customHeight="1" x14ac:dyDescent="0.2">
      <c r="G49515" s="889"/>
    </row>
    <row r="49516" spans="7:7" ht="10.5" customHeight="1" x14ac:dyDescent="0.2">
      <c r="G49516" s="889"/>
    </row>
    <row r="49517" spans="7:7" ht="10.5" customHeight="1" x14ac:dyDescent="0.2">
      <c r="G49517" s="889"/>
    </row>
    <row r="49518" spans="7:7" ht="10.5" customHeight="1" x14ac:dyDescent="0.2">
      <c r="G49518" s="889"/>
    </row>
    <row r="49519" spans="7:7" ht="10.5" customHeight="1" x14ac:dyDescent="0.2">
      <c r="G49519" s="889"/>
    </row>
    <row r="49520" spans="7:7" ht="10.5" customHeight="1" x14ac:dyDescent="0.2">
      <c r="G49520" s="889"/>
    </row>
    <row r="49521" spans="7:7" ht="10.5" customHeight="1" x14ac:dyDescent="0.2">
      <c r="G49521" s="889"/>
    </row>
    <row r="49522" spans="7:7" ht="10.5" customHeight="1" x14ac:dyDescent="0.2">
      <c r="G49522" s="889"/>
    </row>
    <row r="49523" spans="7:7" ht="10.5" customHeight="1" x14ac:dyDescent="0.2">
      <c r="G49523" s="889"/>
    </row>
    <row r="49524" spans="7:7" ht="10.5" customHeight="1" x14ac:dyDescent="0.2">
      <c r="G49524" s="889"/>
    </row>
    <row r="49525" spans="7:7" ht="10.5" customHeight="1" x14ac:dyDescent="0.2">
      <c r="G49525" s="889"/>
    </row>
    <row r="49526" spans="7:7" ht="10.5" customHeight="1" x14ac:dyDescent="0.2">
      <c r="G49526" s="889"/>
    </row>
    <row r="49527" spans="7:7" ht="10.5" customHeight="1" x14ac:dyDescent="0.2">
      <c r="G49527" s="889"/>
    </row>
    <row r="49528" spans="7:7" ht="10.5" customHeight="1" x14ac:dyDescent="0.2">
      <c r="G49528" s="889"/>
    </row>
    <row r="49529" spans="7:7" ht="10.5" customHeight="1" x14ac:dyDescent="0.2">
      <c r="G49529" s="889"/>
    </row>
    <row r="49530" spans="7:7" ht="10.5" customHeight="1" x14ac:dyDescent="0.2">
      <c r="G49530" s="889"/>
    </row>
    <row r="49531" spans="7:7" ht="10.5" customHeight="1" x14ac:dyDescent="0.2">
      <c r="G49531" s="889"/>
    </row>
    <row r="49532" spans="7:7" ht="10.5" customHeight="1" x14ac:dyDescent="0.2">
      <c r="G49532" s="889"/>
    </row>
    <row r="49533" spans="7:7" ht="10.5" customHeight="1" x14ac:dyDescent="0.2">
      <c r="G49533" s="889"/>
    </row>
    <row r="49534" spans="7:7" ht="10.5" customHeight="1" x14ac:dyDescent="0.2">
      <c r="G49534" s="889"/>
    </row>
    <row r="49535" spans="7:7" ht="10.5" customHeight="1" x14ac:dyDescent="0.2">
      <c r="G49535" s="889"/>
    </row>
    <row r="49536" spans="7:7" ht="10.5" customHeight="1" x14ac:dyDescent="0.2">
      <c r="G49536" s="889"/>
    </row>
    <row r="49537" spans="7:7" ht="10.5" customHeight="1" x14ac:dyDescent="0.2">
      <c r="G49537" s="889"/>
    </row>
    <row r="49538" spans="7:7" ht="10.5" customHeight="1" x14ac:dyDescent="0.2">
      <c r="G49538" s="889"/>
    </row>
    <row r="49539" spans="7:7" ht="10.5" customHeight="1" x14ac:dyDescent="0.2">
      <c r="G49539" s="889"/>
    </row>
    <row r="49540" spans="7:7" ht="10.5" customHeight="1" x14ac:dyDescent="0.2">
      <c r="G49540" s="889"/>
    </row>
    <row r="49541" spans="7:7" ht="10.5" customHeight="1" x14ac:dyDescent="0.2">
      <c r="G49541" s="889"/>
    </row>
    <row r="49542" spans="7:7" ht="10.5" customHeight="1" x14ac:dyDescent="0.2">
      <c r="G49542" s="889"/>
    </row>
    <row r="49543" spans="7:7" ht="10.5" customHeight="1" x14ac:dyDescent="0.2">
      <c r="G49543" s="889"/>
    </row>
    <row r="49544" spans="7:7" ht="10.5" customHeight="1" x14ac:dyDescent="0.2">
      <c r="G49544" s="889"/>
    </row>
    <row r="49545" spans="7:7" ht="10.5" customHeight="1" x14ac:dyDescent="0.2">
      <c r="G49545" s="889"/>
    </row>
    <row r="49546" spans="7:7" ht="10.5" customHeight="1" x14ac:dyDescent="0.2">
      <c r="G49546" s="889"/>
    </row>
    <row r="49547" spans="7:7" ht="10.5" customHeight="1" x14ac:dyDescent="0.2">
      <c r="G49547" s="889"/>
    </row>
    <row r="49548" spans="7:7" ht="10.5" customHeight="1" x14ac:dyDescent="0.2">
      <c r="G49548" s="889"/>
    </row>
    <row r="49549" spans="7:7" ht="10.5" customHeight="1" x14ac:dyDescent="0.2">
      <c r="G49549" s="889"/>
    </row>
    <row r="49550" spans="7:7" ht="10.5" customHeight="1" x14ac:dyDescent="0.2">
      <c r="G49550" s="889"/>
    </row>
    <row r="49551" spans="7:7" ht="10.5" customHeight="1" x14ac:dyDescent="0.2">
      <c r="G49551" s="889"/>
    </row>
    <row r="49552" spans="7:7" ht="10.5" customHeight="1" x14ac:dyDescent="0.2">
      <c r="G49552" s="889"/>
    </row>
    <row r="49553" spans="7:7" ht="10.5" customHeight="1" x14ac:dyDescent="0.2">
      <c r="G49553" s="889"/>
    </row>
    <row r="49554" spans="7:7" ht="10.5" customHeight="1" x14ac:dyDescent="0.2">
      <c r="G49554" s="889"/>
    </row>
    <row r="49555" spans="7:7" ht="10.5" customHeight="1" x14ac:dyDescent="0.2">
      <c r="G49555" s="889"/>
    </row>
    <row r="49556" spans="7:7" ht="10.5" customHeight="1" x14ac:dyDescent="0.2">
      <c r="G49556" s="889"/>
    </row>
    <row r="49557" spans="7:7" ht="10.5" customHeight="1" x14ac:dyDescent="0.2">
      <c r="G49557" s="889"/>
    </row>
    <row r="49558" spans="7:7" ht="10.5" customHeight="1" x14ac:dyDescent="0.2">
      <c r="G49558" s="889"/>
    </row>
    <row r="49559" spans="7:7" ht="10.5" customHeight="1" x14ac:dyDescent="0.2">
      <c r="G49559" s="889"/>
    </row>
    <row r="49560" spans="7:7" ht="10.5" customHeight="1" x14ac:dyDescent="0.2">
      <c r="G49560" s="889"/>
    </row>
    <row r="49561" spans="7:7" ht="10.5" customHeight="1" x14ac:dyDescent="0.2">
      <c r="G49561" s="889"/>
    </row>
    <row r="49562" spans="7:7" ht="10.5" customHeight="1" x14ac:dyDescent="0.2">
      <c r="G49562" s="889"/>
    </row>
    <row r="49563" spans="7:7" ht="10.5" customHeight="1" x14ac:dyDescent="0.2">
      <c r="G49563" s="889"/>
    </row>
    <row r="49564" spans="7:7" ht="10.5" customHeight="1" x14ac:dyDescent="0.2">
      <c r="G49564" s="889"/>
    </row>
    <row r="49565" spans="7:7" ht="10.5" customHeight="1" x14ac:dyDescent="0.2">
      <c r="G49565" s="889"/>
    </row>
    <row r="49566" spans="7:7" ht="10.5" customHeight="1" x14ac:dyDescent="0.2">
      <c r="G49566" s="889"/>
    </row>
    <row r="49567" spans="7:7" ht="10.5" customHeight="1" x14ac:dyDescent="0.2">
      <c r="G49567" s="889"/>
    </row>
    <row r="49568" spans="7:7" ht="10.5" customHeight="1" x14ac:dyDescent="0.2">
      <c r="G49568" s="889"/>
    </row>
    <row r="49569" spans="7:7" ht="10.5" customHeight="1" x14ac:dyDescent="0.2">
      <c r="G49569" s="889"/>
    </row>
    <row r="49570" spans="7:7" ht="10.5" customHeight="1" x14ac:dyDescent="0.2">
      <c r="G49570" s="889"/>
    </row>
    <row r="49571" spans="7:7" ht="10.5" customHeight="1" x14ac:dyDescent="0.2">
      <c r="G49571" s="889"/>
    </row>
    <row r="49572" spans="7:7" ht="10.5" customHeight="1" x14ac:dyDescent="0.2">
      <c r="G49572" s="889"/>
    </row>
    <row r="49573" spans="7:7" ht="10.5" customHeight="1" x14ac:dyDescent="0.2">
      <c r="G49573" s="889"/>
    </row>
    <row r="49574" spans="7:7" ht="10.5" customHeight="1" x14ac:dyDescent="0.2">
      <c r="G49574" s="889"/>
    </row>
    <row r="49575" spans="7:7" ht="10.5" customHeight="1" x14ac:dyDescent="0.2">
      <c r="G49575" s="889"/>
    </row>
    <row r="49576" spans="7:7" ht="10.5" customHeight="1" x14ac:dyDescent="0.2">
      <c r="G49576" s="889"/>
    </row>
    <row r="49577" spans="7:7" ht="10.5" customHeight="1" x14ac:dyDescent="0.2">
      <c r="G49577" s="889"/>
    </row>
    <row r="49578" spans="7:7" ht="10.5" customHeight="1" x14ac:dyDescent="0.2">
      <c r="G49578" s="889"/>
    </row>
    <row r="49579" spans="7:7" ht="10.5" customHeight="1" x14ac:dyDescent="0.2">
      <c r="G49579" s="889"/>
    </row>
    <row r="49580" spans="7:7" ht="10.5" customHeight="1" x14ac:dyDescent="0.2">
      <c r="G49580" s="889"/>
    </row>
    <row r="49581" spans="7:7" ht="10.5" customHeight="1" x14ac:dyDescent="0.2">
      <c r="G49581" s="889"/>
    </row>
    <row r="49582" spans="7:7" ht="10.5" customHeight="1" x14ac:dyDescent="0.2">
      <c r="G49582" s="889"/>
    </row>
    <row r="49583" spans="7:7" ht="10.5" customHeight="1" x14ac:dyDescent="0.2">
      <c r="G49583" s="889"/>
    </row>
    <row r="49584" spans="7:7" ht="10.5" customHeight="1" x14ac:dyDescent="0.2">
      <c r="G49584" s="889"/>
    </row>
    <row r="49585" spans="7:7" ht="10.5" customHeight="1" x14ac:dyDescent="0.2">
      <c r="G49585" s="889"/>
    </row>
    <row r="49586" spans="7:7" ht="10.5" customHeight="1" x14ac:dyDescent="0.2">
      <c r="G49586" s="889"/>
    </row>
    <row r="49587" spans="7:7" ht="10.5" customHeight="1" x14ac:dyDescent="0.2">
      <c r="G49587" s="889"/>
    </row>
    <row r="49588" spans="7:7" ht="10.5" customHeight="1" x14ac:dyDescent="0.2">
      <c r="G49588" s="889"/>
    </row>
    <row r="49589" spans="7:7" ht="10.5" customHeight="1" x14ac:dyDescent="0.2">
      <c r="G49589" s="889"/>
    </row>
    <row r="49590" spans="7:7" ht="10.5" customHeight="1" x14ac:dyDescent="0.2">
      <c r="G49590" s="889"/>
    </row>
    <row r="49591" spans="7:7" ht="10.5" customHeight="1" x14ac:dyDescent="0.2">
      <c r="G49591" s="889"/>
    </row>
    <row r="49592" spans="7:7" ht="10.5" customHeight="1" x14ac:dyDescent="0.2">
      <c r="G49592" s="889"/>
    </row>
    <row r="49593" spans="7:7" ht="10.5" customHeight="1" x14ac:dyDescent="0.2">
      <c r="G49593" s="889"/>
    </row>
    <row r="49594" spans="7:7" ht="10.5" customHeight="1" x14ac:dyDescent="0.2">
      <c r="G49594" s="889"/>
    </row>
    <row r="49595" spans="7:7" ht="10.5" customHeight="1" x14ac:dyDescent="0.2">
      <c r="G49595" s="889"/>
    </row>
    <row r="49596" spans="7:7" ht="10.5" customHeight="1" x14ac:dyDescent="0.2">
      <c r="G49596" s="889"/>
    </row>
    <row r="49597" spans="7:7" ht="10.5" customHeight="1" x14ac:dyDescent="0.2">
      <c r="G49597" s="889"/>
    </row>
    <row r="49598" spans="7:7" ht="10.5" customHeight="1" x14ac:dyDescent="0.2">
      <c r="G49598" s="889"/>
    </row>
    <row r="49599" spans="7:7" ht="10.5" customHeight="1" x14ac:dyDescent="0.2">
      <c r="G49599" s="889"/>
    </row>
    <row r="49600" spans="7:7" ht="10.5" customHeight="1" x14ac:dyDescent="0.2">
      <c r="G49600" s="889"/>
    </row>
    <row r="49601" spans="7:7" ht="10.5" customHeight="1" x14ac:dyDescent="0.2">
      <c r="G49601" s="889"/>
    </row>
    <row r="49602" spans="7:7" ht="10.5" customHeight="1" x14ac:dyDescent="0.2">
      <c r="G49602" s="889"/>
    </row>
    <row r="49603" spans="7:7" ht="10.5" customHeight="1" x14ac:dyDescent="0.2">
      <c r="G49603" s="889"/>
    </row>
    <row r="49604" spans="7:7" ht="10.5" customHeight="1" x14ac:dyDescent="0.2">
      <c r="G49604" s="889"/>
    </row>
    <row r="49605" spans="7:7" ht="10.5" customHeight="1" x14ac:dyDescent="0.2">
      <c r="G49605" s="889"/>
    </row>
    <row r="49606" spans="7:7" ht="10.5" customHeight="1" x14ac:dyDescent="0.2">
      <c r="G49606" s="889"/>
    </row>
    <row r="49607" spans="7:7" ht="10.5" customHeight="1" x14ac:dyDescent="0.2">
      <c r="G49607" s="889"/>
    </row>
    <row r="49608" spans="7:7" ht="10.5" customHeight="1" x14ac:dyDescent="0.2">
      <c r="G49608" s="889"/>
    </row>
    <row r="49609" spans="7:7" ht="10.5" customHeight="1" x14ac:dyDescent="0.2">
      <c r="G49609" s="889"/>
    </row>
    <row r="49610" spans="7:7" ht="10.5" customHeight="1" x14ac:dyDescent="0.2">
      <c r="G49610" s="889"/>
    </row>
    <row r="49611" spans="7:7" ht="10.5" customHeight="1" x14ac:dyDescent="0.2">
      <c r="G49611" s="889"/>
    </row>
    <row r="49612" spans="7:7" ht="10.5" customHeight="1" x14ac:dyDescent="0.2">
      <c r="G49612" s="889"/>
    </row>
    <row r="49613" spans="7:7" ht="10.5" customHeight="1" x14ac:dyDescent="0.2">
      <c r="G49613" s="889"/>
    </row>
    <row r="49614" spans="7:7" ht="10.5" customHeight="1" x14ac:dyDescent="0.2">
      <c r="G49614" s="889"/>
    </row>
    <row r="49615" spans="7:7" ht="10.5" customHeight="1" x14ac:dyDescent="0.2">
      <c r="G49615" s="889"/>
    </row>
    <row r="49616" spans="7:7" ht="10.5" customHeight="1" x14ac:dyDescent="0.2">
      <c r="G49616" s="889"/>
    </row>
    <row r="49617" spans="7:7" ht="10.5" customHeight="1" x14ac:dyDescent="0.2">
      <c r="G49617" s="889"/>
    </row>
    <row r="49618" spans="7:7" ht="10.5" customHeight="1" x14ac:dyDescent="0.2">
      <c r="G49618" s="889"/>
    </row>
    <row r="49619" spans="7:7" ht="10.5" customHeight="1" x14ac:dyDescent="0.2">
      <c r="G49619" s="889"/>
    </row>
    <row r="49620" spans="7:7" ht="10.5" customHeight="1" x14ac:dyDescent="0.2">
      <c r="G49620" s="889"/>
    </row>
    <row r="49621" spans="7:7" ht="10.5" customHeight="1" x14ac:dyDescent="0.2">
      <c r="G49621" s="889"/>
    </row>
    <row r="49622" spans="7:7" ht="10.5" customHeight="1" x14ac:dyDescent="0.2">
      <c r="G49622" s="889"/>
    </row>
    <row r="49623" spans="7:7" ht="10.5" customHeight="1" x14ac:dyDescent="0.2">
      <c r="G49623" s="889"/>
    </row>
    <row r="49624" spans="7:7" ht="10.5" customHeight="1" x14ac:dyDescent="0.2">
      <c r="G49624" s="889"/>
    </row>
    <row r="49625" spans="7:7" ht="10.5" customHeight="1" x14ac:dyDescent="0.2">
      <c r="G49625" s="889"/>
    </row>
    <row r="49626" spans="7:7" ht="10.5" customHeight="1" x14ac:dyDescent="0.2">
      <c r="G49626" s="889"/>
    </row>
    <row r="49627" spans="7:7" ht="10.5" customHeight="1" x14ac:dyDescent="0.2">
      <c r="G49627" s="889"/>
    </row>
    <row r="49628" spans="7:7" ht="10.5" customHeight="1" x14ac:dyDescent="0.2">
      <c r="G49628" s="889"/>
    </row>
    <row r="49629" spans="7:7" ht="10.5" customHeight="1" x14ac:dyDescent="0.2">
      <c r="G49629" s="889"/>
    </row>
    <row r="49630" spans="7:7" ht="10.5" customHeight="1" x14ac:dyDescent="0.2">
      <c r="G49630" s="889"/>
    </row>
    <row r="49631" spans="7:7" ht="10.5" customHeight="1" x14ac:dyDescent="0.2">
      <c r="G49631" s="889"/>
    </row>
    <row r="49632" spans="7:7" ht="10.5" customHeight="1" x14ac:dyDescent="0.2">
      <c r="G49632" s="889"/>
    </row>
    <row r="49633" spans="7:7" ht="10.5" customHeight="1" x14ac:dyDescent="0.2">
      <c r="G49633" s="889"/>
    </row>
    <row r="49634" spans="7:7" ht="10.5" customHeight="1" x14ac:dyDescent="0.2">
      <c r="G49634" s="889"/>
    </row>
    <row r="49635" spans="7:7" ht="10.5" customHeight="1" x14ac:dyDescent="0.2">
      <c r="G49635" s="889"/>
    </row>
    <row r="49636" spans="7:7" ht="10.5" customHeight="1" x14ac:dyDescent="0.2">
      <c r="G49636" s="889"/>
    </row>
    <row r="49637" spans="7:7" ht="10.5" customHeight="1" x14ac:dyDescent="0.2">
      <c r="G49637" s="889"/>
    </row>
    <row r="49638" spans="7:7" ht="10.5" customHeight="1" x14ac:dyDescent="0.2">
      <c r="G49638" s="889"/>
    </row>
    <row r="49639" spans="7:7" ht="10.5" customHeight="1" x14ac:dyDescent="0.2">
      <c r="G49639" s="889"/>
    </row>
    <row r="49640" spans="7:7" ht="10.5" customHeight="1" x14ac:dyDescent="0.2">
      <c r="G49640" s="889"/>
    </row>
    <row r="49641" spans="7:7" ht="10.5" customHeight="1" x14ac:dyDescent="0.2">
      <c r="G49641" s="889"/>
    </row>
    <row r="49642" spans="7:7" ht="10.5" customHeight="1" x14ac:dyDescent="0.2">
      <c r="G49642" s="889"/>
    </row>
    <row r="49643" spans="7:7" ht="10.5" customHeight="1" x14ac:dyDescent="0.2">
      <c r="G49643" s="889"/>
    </row>
    <row r="49644" spans="7:7" ht="10.5" customHeight="1" x14ac:dyDescent="0.2">
      <c r="G49644" s="889"/>
    </row>
    <row r="49645" spans="7:7" ht="10.5" customHeight="1" x14ac:dyDescent="0.2">
      <c r="G49645" s="889"/>
    </row>
    <row r="49646" spans="7:7" ht="10.5" customHeight="1" x14ac:dyDescent="0.2">
      <c r="G49646" s="889"/>
    </row>
    <row r="49647" spans="7:7" ht="10.5" customHeight="1" x14ac:dyDescent="0.2">
      <c r="G49647" s="889"/>
    </row>
    <row r="49648" spans="7:7" ht="10.5" customHeight="1" x14ac:dyDescent="0.2">
      <c r="G49648" s="889"/>
    </row>
    <row r="49649" spans="7:7" ht="10.5" customHeight="1" x14ac:dyDescent="0.2">
      <c r="G49649" s="889"/>
    </row>
    <row r="49650" spans="7:7" ht="10.5" customHeight="1" x14ac:dyDescent="0.2">
      <c r="G49650" s="889"/>
    </row>
    <row r="49651" spans="7:7" ht="10.5" customHeight="1" x14ac:dyDescent="0.2">
      <c r="G49651" s="889"/>
    </row>
    <row r="49652" spans="7:7" ht="10.5" customHeight="1" x14ac:dyDescent="0.2">
      <c r="G49652" s="889"/>
    </row>
    <row r="49653" spans="7:7" ht="10.5" customHeight="1" x14ac:dyDescent="0.2">
      <c r="G49653" s="889"/>
    </row>
    <row r="49654" spans="7:7" ht="10.5" customHeight="1" x14ac:dyDescent="0.2">
      <c r="G49654" s="889"/>
    </row>
    <row r="49655" spans="7:7" ht="10.5" customHeight="1" x14ac:dyDescent="0.2">
      <c r="G49655" s="889"/>
    </row>
    <row r="49656" spans="7:7" ht="10.5" customHeight="1" x14ac:dyDescent="0.2">
      <c r="G49656" s="889"/>
    </row>
    <row r="49657" spans="7:7" ht="10.5" customHeight="1" x14ac:dyDescent="0.2">
      <c r="G49657" s="889"/>
    </row>
    <row r="49658" spans="7:7" ht="10.5" customHeight="1" x14ac:dyDescent="0.2">
      <c r="G49658" s="889"/>
    </row>
    <row r="49659" spans="7:7" ht="10.5" customHeight="1" x14ac:dyDescent="0.2">
      <c r="G49659" s="889"/>
    </row>
    <row r="49660" spans="7:7" ht="10.5" customHeight="1" x14ac:dyDescent="0.2">
      <c r="G49660" s="889"/>
    </row>
    <row r="49661" spans="7:7" ht="10.5" customHeight="1" x14ac:dyDescent="0.2">
      <c r="G49661" s="889"/>
    </row>
    <row r="49662" spans="7:7" ht="10.5" customHeight="1" x14ac:dyDescent="0.2">
      <c r="G49662" s="889"/>
    </row>
    <row r="49663" spans="7:7" ht="10.5" customHeight="1" x14ac:dyDescent="0.2">
      <c r="G49663" s="889"/>
    </row>
    <row r="49664" spans="7:7" ht="10.5" customHeight="1" x14ac:dyDescent="0.2">
      <c r="G49664" s="889"/>
    </row>
    <row r="49665" spans="7:7" ht="10.5" customHeight="1" x14ac:dyDescent="0.2">
      <c r="G49665" s="889"/>
    </row>
    <row r="49666" spans="7:7" ht="10.5" customHeight="1" x14ac:dyDescent="0.2">
      <c r="G49666" s="889"/>
    </row>
    <row r="49667" spans="7:7" ht="10.5" customHeight="1" x14ac:dyDescent="0.2">
      <c r="G49667" s="889"/>
    </row>
    <row r="49668" spans="7:7" ht="10.5" customHeight="1" x14ac:dyDescent="0.2">
      <c r="G49668" s="889"/>
    </row>
    <row r="49669" spans="7:7" ht="10.5" customHeight="1" x14ac:dyDescent="0.2">
      <c r="G49669" s="889"/>
    </row>
    <row r="49670" spans="7:7" ht="10.5" customHeight="1" x14ac:dyDescent="0.2">
      <c r="G49670" s="889"/>
    </row>
    <row r="49671" spans="7:7" ht="10.5" customHeight="1" x14ac:dyDescent="0.2">
      <c r="G49671" s="889"/>
    </row>
    <row r="49672" spans="7:7" ht="10.5" customHeight="1" x14ac:dyDescent="0.2">
      <c r="G49672" s="889"/>
    </row>
    <row r="49673" spans="7:7" ht="10.5" customHeight="1" x14ac:dyDescent="0.2">
      <c r="G49673" s="889"/>
    </row>
    <row r="49674" spans="7:7" ht="10.5" customHeight="1" x14ac:dyDescent="0.2">
      <c r="G49674" s="889"/>
    </row>
    <row r="49675" spans="7:7" ht="10.5" customHeight="1" x14ac:dyDescent="0.2">
      <c r="G49675" s="889"/>
    </row>
    <row r="49676" spans="7:7" ht="10.5" customHeight="1" x14ac:dyDescent="0.2">
      <c r="G49676" s="889"/>
    </row>
    <row r="49677" spans="7:7" ht="10.5" customHeight="1" x14ac:dyDescent="0.2">
      <c r="G49677" s="889"/>
    </row>
    <row r="49678" spans="7:7" ht="10.5" customHeight="1" x14ac:dyDescent="0.2">
      <c r="G49678" s="889"/>
    </row>
    <row r="49679" spans="7:7" ht="10.5" customHeight="1" x14ac:dyDescent="0.2">
      <c r="G49679" s="889"/>
    </row>
    <row r="49680" spans="7:7" ht="10.5" customHeight="1" x14ac:dyDescent="0.2">
      <c r="G49680" s="889"/>
    </row>
    <row r="49681" spans="7:7" ht="10.5" customHeight="1" x14ac:dyDescent="0.2">
      <c r="G49681" s="889"/>
    </row>
    <row r="49682" spans="7:7" ht="10.5" customHeight="1" x14ac:dyDescent="0.2">
      <c r="G49682" s="889"/>
    </row>
    <row r="49683" spans="7:7" ht="10.5" customHeight="1" x14ac:dyDescent="0.2">
      <c r="G49683" s="889"/>
    </row>
    <row r="49684" spans="7:7" ht="10.5" customHeight="1" x14ac:dyDescent="0.2">
      <c r="G49684" s="889"/>
    </row>
    <row r="49685" spans="7:7" ht="10.5" customHeight="1" x14ac:dyDescent="0.2">
      <c r="G49685" s="889"/>
    </row>
    <row r="49686" spans="7:7" ht="10.5" customHeight="1" x14ac:dyDescent="0.2">
      <c r="G49686" s="889"/>
    </row>
    <row r="49687" spans="7:7" ht="10.5" customHeight="1" x14ac:dyDescent="0.2">
      <c r="G49687" s="889"/>
    </row>
    <row r="49688" spans="7:7" ht="10.5" customHeight="1" x14ac:dyDescent="0.2">
      <c r="G49688" s="889"/>
    </row>
    <row r="49689" spans="7:7" ht="10.5" customHeight="1" x14ac:dyDescent="0.2">
      <c r="G49689" s="889"/>
    </row>
    <row r="49690" spans="7:7" ht="10.5" customHeight="1" x14ac:dyDescent="0.2">
      <c r="G49690" s="889"/>
    </row>
    <row r="49691" spans="7:7" ht="10.5" customHeight="1" x14ac:dyDescent="0.2">
      <c r="G49691" s="889"/>
    </row>
    <row r="49692" spans="7:7" ht="10.5" customHeight="1" x14ac:dyDescent="0.2">
      <c r="G49692" s="889"/>
    </row>
    <row r="49693" spans="7:7" ht="10.5" customHeight="1" x14ac:dyDescent="0.2">
      <c r="G49693" s="889"/>
    </row>
    <row r="49694" spans="7:7" ht="10.5" customHeight="1" x14ac:dyDescent="0.2">
      <c r="G49694" s="889"/>
    </row>
    <row r="49695" spans="7:7" ht="10.5" customHeight="1" x14ac:dyDescent="0.2">
      <c r="G49695" s="889"/>
    </row>
    <row r="49696" spans="7:7" ht="10.5" customHeight="1" x14ac:dyDescent="0.2">
      <c r="G49696" s="889"/>
    </row>
    <row r="49697" spans="7:7" ht="10.5" customHeight="1" x14ac:dyDescent="0.2">
      <c r="G49697" s="889"/>
    </row>
    <row r="49698" spans="7:7" ht="10.5" customHeight="1" x14ac:dyDescent="0.2">
      <c r="G49698" s="889"/>
    </row>
    <row r="49699" spans="7:7" ht="10.5" customHeight="1" x14ac:dyDescent="0.2">
      <c r="G49699" s="889"/>
    </row>
    <row r="49700" spans="7:7" ht="10.5" customHeight="1" x14ac:dyDescent="0.2">
      <c r="G49700" s="889"/>
    </row>
    <row r="49701" spans="7:7" ht="10.5" customHeight="1" x14ac:dyDescent="0.2">
      <c r="G49701" s="889"/>
    </row>
    <row r="49702" spans="7:7" ht="10.5" customHeight="1" x14ac:dyDescent="0.2">
      <c r="G49702" s="889"/>
    </row>
    <row r="49703" spans="7:7" ht="10.5" customHeight="1" x14ac:dyDescent="0.2">
      <c r="G49703" s="889"/>
    </row>
    <row r="49704" spans="7:7" ht="10.5" customHeight="1" x14ac:dyDescent="0.2">
      <c r="G49704" s="889"/>
    </row>
    <row r="49705" spans="7:7" ht="10.5" customHeight="1" x14ac:dyDescent="0.2">
      <c r="G49705" s="889"/>
    </row>
    <row r="49706" spans="7:7" ht="10.5" customHeight="1" x14ac:dyDescent="0.2">
      <c r="G49706" s="889"/>
    </row>
    <row r="49707" spans="7:7" ht="10.5" customHeight="1" x14ac:dyDescent="0.2">
      <c r="G49707" s="889"/>
    </row>
    <row r="49708" spans="7:7" ht="10.5" customHeight="1" x14ac:dyDescent="0.2">
      <c r="G49708" s="889"/>
    </row>
    <row r="49709" spans="7:7" ht="10.5" customHeight="1" x14ac:dyDescent="0.2">
      <c r="G49709" s="889"/>
    </row>
    <row r="49710" spans="7:7" ht="10.5" customHeight="1" x14ac:dyDescent="0.2">
      <c r="G49710" s="889"/>
    </row>
    <row r="49711" spans="7:7" ht="10.5" customHeight="1" x14ac:dyDescent="0.2">
      <c r="G49711" s="889"/>
    </row>
    <row r="49712" spans="7:7" ht="10.5" customHeight="1" x14ac:dyDescent="0.2">
      <c r="G49712" s="889"/>
    </row>
    <row r="49713" spans="7:7" ht="10.5" customHeight="1" x14ac:dyDescent="0.2">
      <c r="G49713" s="889"/>
    </row>
    <row r="49714" spans="7:7" ht="10.5" customHeight="1" x14ac:dyDescent="0.2">
      <c r="G49714" s="889"/>
    </row>
    <row r="49715" spans="7:7" ht="10.5" customHeight="1" x14ac:dyDescent="0.2">
      <c r="G49715" s="889"/>
    </row>
    <row r="49716" spans="7:7" ht="10.5" customHeight="1" x14ac:dyDescent="0.2">
      <c r="G49716" s="889"/>
    </row>
    <row r="49717" spans="7:7" ht="10.5" customHeight="1" x14ac:dyDescent="0.2">
      <c r="G49717" s="889"/>
    </row>
    <row r="49718" spans="7:7" ht="10.5" customHeight="1" x14ac:dyDescent="0.2">
      <c r="G49718" s="889"/>
    </row>
    <row r="49719" spans="7:7" ht="10.5" customHeight="1" x14ac:dyDescent="0.2">
      <c r="G49719" s="889"/>
    </row>
    <row r="49720" spans="7:7" ht="10.5" customHeight="1" x14ac:dyDescent="0.2">
      <c r="G49720" s="889"/>
    </row>
    <row r="49721" spans="7:7" ht="10.5" customHeight="1" x14ac:dyDescent="0.2">
      <c r="G49721" s="889"/>
    </row>
    <row r="49722" spans="7:7" ht="10.5" customHeight="1" x14ac:dyDescent="0.2">
      <c r="G49722" s="889"/>
    </row>
    <row r="49723" spans="7:7" ht="10.5" customHeight="1" x14ac:dyDescent="0.2">
      <c r="G49723" s="889"/>
    </row>
    <row r="49724" spans="7:7" ht="10.5" customHeight="1" x14ac:dyDescent="0.2">
      <c r="G49724" s="889"/>
    </row>
    <row r="49725" spans="7:7" ht="10.5" customHeight="1" x14ac:dyDescent="0.2">
      <c r="G49725" s="889"/>
    </row>
    <row r="49726" spans="7:7" ht="10.5" customHeight="1" x14ac:dyDescent="0.2">
      <c r="G49726" s="889"/>
    </row>
    <row r="49727" spans="7:7" ht="10.5" customHeight="1" x14ac:dyDescent="0.2">
      <c r="G49727" s="889"/>
    </row>
    <row r="49728" spans="7:7" ht="10.5" customHeight="1" x14ac:dyDescent="0.2">
      <c r="G49728" s="889"/>
    </row>
    <row r="49729" spans="7:7" ht="10.5" customHeight="1" x14ac:dyDescent="0.2">
      <c r="G49729" s="889"/>
    </row>
    <row r="49730" spans="7:7" ht="10.5" customHeight="1" x14ac:dyDescent="0.2">
      <c r="G49730" s="889"/>
    </row>
    <row r="49731" spans="7:7" ht="10.5" customHeight="1" x14ac:dyDescent="0.2">
      <c r="G49731" s="889"/>
    </row>
    <row r="49732" spans="7:7" ht="10.5" customHeight="1" x14ac:dyDescent="0.2">
      <c r="G49732" s="889"/>
    </row>
    <row r="49733" spans="7:7" ht="10.5" customHeight="1" x14ac:dyDescent="0.2">
      <c r="G49733" s="889"/>
    </row>
    <row r="49734" spans="7:7" ht="10.5" customHeight="1" x14ac:dyDescent="0.2">
      <c r="G49734" s="889"/>
    </row>
    <row r="49735" spans="7:7" ht="10.5" customHeight="1" x14ac:dyDescent="0.2">
      <c r="G49735" s="889"/>
    </row>
    <row r="49736" spans="7:7" ht="10.5" customHeight="1" x14ac:dyDescent="0.2">
      <c r="G49736" s="889"/>
    </row>
    <row r="49737" spans="7:7" ht="10.5" customHeight="1" x14ac:dyDescent="0.2">
      <c r="G49737" s="889"/>
    </row>
    <row r="49738" spans="7:7" ht="10.5" customHeight="1" x14ac:dyDescent="0.2">
      <c r="G49738" s="889"/>
    </row>
    <row r="49739" spans="7:7" ht="10.5" customHeight="1" x14ac:dyDescent="0.2">
      <c r="G49739" s="889"/>
    </row>
    <row r="49740" spans="7:7" ht="10.5" customHeight="1" x14ac:dyDescent="0.2">
      <c r="G49740" s="889"/>
    </row>
    <row r="49741" spans="7:7" ht="10.5" customHeight="1" x14ac:dyDescent="0.2">
      <c r="G49741" s="889"/>
    </row>
    <row r="49742" spans="7:7" ht="10.5" customHeight="1" x14ac:dyDescent="0.2">
      <c r="G49742" s="889"/>
    </row>
    <row r="49743" spans="7:7" ht="10.5" customHeight="1" x14ac:dyDescent="0.2">
      <c r="G49743" s="889"/>
    </row>
    <row r="49744" spans="7:7" ht="10.5" customHeight="1" x14ac:dyDescent="0.2">
      <c r="G49744" s="889"/>
    </row>
    <row r="49745" spans="7:7" ht="10.5" customHeight="1" x14ac:dyDescent="0.2">
      <c r="G49745" s="889"/>
    </row>
    <row r="49746" spans="7:7" ht="10.5" customHeight="1" x14ac:dyDescent="0.2">
      <c r="G49746" s="889"/>
    </row>
    <row r="49747" spans="7:7" ht="10.5" customHeight="1" x14ac:dyDescent="0.2">
      <c r="G49747" s="889"/>
    </row>
    <row r="49748" spans="7:7" ht="10.5" customHeight="1" x14ac:dyDescent="0.2">
      <c r="G49748" s="889"/>
    </row>
    <row r="49749" spans="7:7" ht="10.5" customHeight="1" x14ac:dyDescent="0.2">
      <c r="G49749" s="889"/>
    </row>
    <row r="49750" spans="7:7" ht="10.5" customHeight="1" x14ac:dyDescent="0.2">
      <c r="G49750" s="889"/>
    </row>
    <row r="49751" spans="7:7" ht="10.5" customHeight="1" x14ac:dyDescent="0.2">
      <c r="G49751" s="889"/>
    </row>
    <row r="49752" spans="7:7" ht="10.5" customHeight="1" x14ac:dyDescent="0.2">
      <c r="G49752" s="889"/>
    </row>
    <row r="49753" spans="7:7" ht="10.5" customHeight="1" x14ac:dyDescent="0.2">
      <c r="G49753" s="889"/>
    </row>
    <row r="49754" spans="7:7" ht="10.5" customHeight="1" x14ac:dyDescent="0.2">
      <c r="G49754" s="889"/>
    </row>
    <row r="49755" spans="7:7" ht="10.5" customHeight="1" x14ac:dyDescent="0.2">
      <c r="G49755" s="889"/>
    </row>
    <row r="49756" spans="7:7" ht="10.5" customHeight="1" x14ac:dyDescent="0.2">
      <c r="G49756" s="889"/>
    </row>
    <row r="49757" spans="7:7" ht="10.5" customHeight="1" x14ac:dyDescent="0.2">
      <c r="G49757" s="889"/>
    </row>
    <row r="49758" spans="7:7" ht="10.5" customHeight="1" x14ac:dyDescent="0.2">
      <c r="G49758" s="889"/>
    </row>
    <row r="49759" spans="7:7" ht="10.5" customHeight="1" x14ac:dyDescent="0.2">
      <c r="G49759" s="889"/>
    </row>
    <row r="49760" spans="7:7" ht="10.5" customHeight="1" x14ac:dyDescent="0.2">
      <c r="G49760" s="889"/>
    </row>
    <row r="49761" spans="7:7" ht="10.5" customHeight="1" x14ac:dyDescent="0.2">
      <c r="G49761" s="889"/>
    </row>
    <row r="49762" spans="7:7" ht="10.5" customHeight="1" x14ac:dyDescent="0.2">
      <c r="G49762" s="889"/>
    </row>
    <row r="49763" spans="7:7" ht="10.5" customHeight="1" x14ac:dyDescent="0.2">
      <c r="G49763" s="889"/>
    </row>
    <row r="49764" spans="7:7" ht="10.5" customHeight="1" x14ac:dyDescent="0.2">
      <c r="G49764" s="889"/>
    </row>
    <row r="49765" spans="7:7" ht="10.5" customHeight="1" x14ac:dyDescent="0.2">
      <c r="G49765" s="889"/>
    </row>
    <row r="49766" spans="7:7" ht="10.5" customHeight="1" x14ac:dyDescent="0.2">
      <c r="G49766" s="889"/>
    </row>
    <row r="49767" spans="7:7" ht="10.5" customHeight="1" x14ac:dyDescent="0.2">
      <c r="G49767" s="889"/>
    </row>
    <row r="49768" spans="7:7" ht="10.5" customHeight="1" x14ac:dyDescent="0.2">
      <c r="G49768" s="889"/>
    </row>
    <row r="49769" spans="7:7" ht="10.5" customHeight="1" x14ac:dyDescent="0.2">
      <c r="G49769" s="889"/>
    </row>
    <row r="49770" spans="7:7" ht="10.5" customHeight="1" x14ac:dyDescent="0.2">
      <c r="G49770" s="889"/>
    </row>
    <row r="49771" spans="7:7" ht="10.5" customHeight="1" x14ac:dyDescent="0.2">
      <c r="G49771" s="889"/>
    </row>
    <row r="49772" spans="7:7" ht="10.5" customHeight="1" x14ac:dyDescent="0.2">
      <c r="G49772" s="889"/>
    </row>
    <row r="49773" spans="7:7" ht="10.5" customHeight="1" x14ac:dyDescent="0.2">
      <c r="G49773" s="889"/>
    </row>
    <row r="49774" spans="7:7" ht="10.5" customHeight="1" x14ac:dyDescent="0.2">
      <c r="G49774" s="889"/>
    </row>
    <row r="49775" spans="7:7" ht="10.5" customHeight="1" x14ac:dyDescent="0.2">
      <c r="G49775" s="889"/>
    </row>
    <row r="49776" spans="7:7" ht="10.5" customHeight="1" x14ac:dyDescent="0.2">
      <c r="G49776" s="889"/>
    </row>
    <row r="49777" spans="7:7" ht="10.5" customHeight="1" x14ac:dyDescent="0.2">
      <c r="G49777" s="889"/>
    </row>
    <row r="49778" spans="7:7" ht="10.5" customHeight="1" x14ac:dyDescent="0.2">
      <c r="G49778" s="889"/>
    </row>
    <row r="49779" spans="7:7" ht="10.5" customHeight="1" x14ac:dyDescent="0.2">
      <c r="G49779" s="889"/>
    </row>
    <row r="49780" spans="7:7" ht="10.5" customHeight="1" x14ac:dyDescent="0.2">
      <c r="G49780" s="889"/>
    </row>
    <row r="49781" spans="7:7" ht="10.5" customHeight="1" x14ac:dyDescent="0.2">
      <c r="G49781" s="889"/>
    </row>
    <row r="49782" spans="7:7" ht="10.5" customHeight="1" x14ac:dyDescent="0.2">
      <c r="G49782" s="889"/>
    </row>
    <row r="49783" spans="7:7" ht="10.5" customHeight="1" x14ac:dyDescent="0.2">
      <c r="G49783" s="889"/>
    </row>
    <row r="49784" spans="7:7" ht="10.5" customHeight="1" x14ac:dyDescent="0.2">
      <c r="G49784" s="889"/>
    </row>
    <row r="49785" spans="7:7" ht="10.5" customHeight="1" x14ac:dyDescent="0.2">
      <c r="G49785" s="889"/>
    </row>
    <row r="49786" spans="7:7" ht="10.5" customHeight="1" x14ac:dyDescent="0.2">
      <c r="G49786" s="889"/>
    </row>
    <row r="49787" spans="7:7" ht="10.5" customHeight="1" x14ac:dyDescent="0.2">
      <c r="G49787" s="889"/>
    </row>
    <row r="49788" spans="7:7" ht="10.5" customHeight="1" x14ac:dyDescent="0.2">
      <c r="G49788" s="889"/>
    </row>
    <row r="49789" spans="7:7" ht="10.5" customHeight="1" x14ac:dyDescent="0.2">
      <c r="G49789" s="889"/>
    </row>
    <row r="49790" spans="7:7" ht="10.5" customHeight="1" x14ac:dyDescent="0.2">
      <c r="G49790" s="889"/>
    </row>
    <row r="49791" spans="7:7" ht="10.5" customHeight="1" x14ac:dyDescent="0.2">
      <c r="G49791" s="889"/>
    </row>
    <row r="49792" spans="7:7" ht="10.5" customHeight="1" x14ac:dyDescent="0.2">
      <c r="G49792" s="889"/>
    </row>
    <row r="49793" spans="7:7" ht="10.5" customHeight="1" x14ac:dyDescent="0.2">
      <c r="G49793" s="889"/>
    </row>
    <row r="49794" spans="7:7" ht="10.5" customHeight="1" x14ac:dyDescent="0.2">
      <c r="G49794" s="889"/>
    </row>
    <row r="49795" spans="7:7" ht="10.5" customHeight="1" x14ac:dyDescent="0.2">
      <c r="G49795" s="889"/>
    </row>
    <row r="49796" spans="7:7" ht="10.5" customHeight="1" x14ac:dyDescent="0.2">
      <c r="G49796" s="889"/>
    </row>
    <row r="49797" spans="7:7" ht="10.5" customHeight="1" x14ac:dyDescent="0.2">
      <c r="G49797" s="889"/>
    </row>
    <row r="49798" spans="7:7" ht="10.5" customHeight="1" x14ac:dyDescent="0.2">
      <c r="G49798" s="889"/>
    </row>
    <row r="49799" spans="7:7" ht="10.5" customHeight="1" x14ac:dyDescent="0.2">
      <c r="G49799" s="889"/>
    </row>
    <row r="49800" spans="7:7" ht="10.5" customHeight="1" x14ac:dyDescent="0.2">
      <c r="G49800" s="889"/>
    </row>
    <row r="49801" spans="7:7" ht="10.5" customHeight="1" x14ac:dyDescent="0.2">
      <c r="G49801" s="889"/>
    </row>
    <row r="49802" spans="7:7" ht="10.5" customHeight="1" x14ac:dyDescent="0.2">
      <c r="G49802" s="889"/>
    </row>
    <row r="49803" spans="7:7" ht="10.5" customHeight="1" x14ac:dyDescent="0.2">
      <c r="G49803" s="889"/>
    </row>
    <row r="49804" spans="7:7" ht="10.5" customHeight="1" x14ac:dyDescent="0.2">
      <c r="G49804" s="889"/>
    </row>
    <row r="49805" spans="7:7" ht="10.5" customHeight="1" x14ac:dyDescent="0.2">
      <c r="G49805" s="889"/>
    </row>
    <row r="49806" spans="7:7" ht="10.5" customHeight="1" x14ac:dyDescent="0.2">
      <c r="G49806" s="889"/>
    </row>
    <row r="49807" spans="7:7" ht="10.5" customHeight="1" x14ac:dyDescent="0.2">
      <c r="G49807" s="889"/>
    </row>
    <row r="49808" spans="7:7" ht="10.5" customHeight="1" x14ac:dyDescent="0.2">
      <c r="G49808" s="889"/>
    </row>
    <row r="49809" spans="7:7" ht="10.5" customHeight="1" x14ac:dyDescent="0.2">
      <c r="G49809" s="889"/>
    </row>
    <row r="49810" spans="7:7" ht="10.5" customHeight="1" x14ac:dyDescent="0.2">
      <c r="G49810" s="889"/>
    </row>
    <row r="49811" spans="7:7" ht="10.5" customHeight="1" x14ac:dyDescent="0.2">
      <c r="G49811" s="889"/>
    </row>
    <row r="49812" spans="7:7" ht="10.5" customHeight="1" x14ac:dyDescent="0.2">
      <c r="G49812" s="889"/>
    </row>
    <row r="49813" spans="7:7" ht="10.5" customHeight="1" x14ac:dyDescent="0.2">
      <c r="G49813" s="889"/>
    </row>
    <row r="49814" spans="7:7" ht="10.5" customHeight="1" x14ac:dyDescent="0.2">
      <c r="G49814" s="889"/>
    </row>
    <row r="49815" spans="7:7" ht="10.5" customHeight="1" x14ac:dyDescent="0.2">
      <c r="G49815" s="889"/>
    </row>
    <row r="49816" spans="7:7" ht="10.5" customHeight="1" x14ac:dyDescent="0.2">
      <c r="G49816" s="889"/>
    </row>
    <row r="49817" spans="7:7" ht="10.5" customHeight="1" x14ac:dyDescent="0.2">
      <c r="G49817" s="889"/>
    </row>
    <row r="49818" spans="7:7" ht="10.5" customHeight="1" x14ac:dyDescent="0.2">
      <c r="G49818" s="889"/>
    </row>
    <row r="49819" spans="7:7" ht="10.5" customHeight="1" x14ac:dyDescent="0.2">
      <c r="G49819" s="889"/>
    </row>
    <row r="49820" spans="7:7" ht="10.5" customHeight="1" x14ac:dyDescent="0.2">
      <c r="G49820" s="889"/>
    </row>
    <row r="49821" spans="7:7" ht="10.5" customHeight="1" x14ac:dyDescent="0.2">
      <c r="G49821" s="889"/>
    </row>
    <row r="49822" spans="7:7" ht="10.5" customHeight="1" x14ac:dyDescent="0.2">
      <c r="G49822" s="889"/>
    </row>
    <row r="49823" spans="7:7" ht="10.5" customHeight="1" x14ac:dyDescent="0.2">
      <c r="G49823" s="889"/>
    </row>
    <row r="49824" spans="7:7" ht="10.5" customHeight="1" x14ac:dyDescent="0.2">
      <c r="G49824" s="889"/>
    </row>
    <row r="49825" spans="7:7" ht="10.5" customHeight="1" x14ac:dyDescent="0.2">
      <c r="G49825" s="889"/>
    </row>
    <row r="49826" spans="7:7" ht="10.5" customHeight="1" x14ac:dyDescent="0.2">
      <c r="G49826" s="889"/>
    </row>
    <row r="49827" spans="7:7" ht="10.5" customHeight="1" x14ac:dyDescent="0.2">
      <c r="G49827" s="889"/>
    </row>
    <row r="49828" spans="7:7" ht="10.5" customHeight="1" x14ac:dyDescent="0.2">
      <c r="G49828" s="889"/>
    </row>
    <row r="49829" spans="7:7" ht="10.5" customHeight="1" x14ac:dyDescent="0.2">
      <c r="G49829" s="889"/>
    </row>
    <row r="49830" spans="7:7" ht="10.5" customHeight="1" x14ac:dyDescent="0.2">
      <c r="G49830" s="889"/>
    </row>
    <row r="49831" spans="7:7" ht="10.5" customHeight="1" x14ac:dyDescent="0.2">
      <c r="G49831" s="889"/>
    </row>
    <row r="49832" spans="7:7" ht="10.5" customHeight="1" x14ac:dyDescent="0.2">
      <c r="G49832" s="889"/>
    </row>
    <row r="49833" spans="7:7" ht="10.5" customHeight="1" x14ac:dyDescent="0.2">
      <c r="G49833" s="889"/>
    </row>
    <row r="49834" spans="7:7" ht="10.5" customHeight="1" x14ac:dyDescent="0.2">
      <c r="G49834" s="889"/>
    </row>
    <row r="49835" spans="7:7" ht="10.5" customHeight="1" x14ac:dyDescent="0.2">
      <c r="G49835" s="889"/>
    </row>
    <row r="49836" spans="7:7" ht="10.5" customHeight="1" x14ac:dyDescent="0.2">
      <c r="G49836" s="889"/>
    </row>
    <row r="49837" spans="7:7" ht="10.5" customHeight="1" x14ac:dyDescent="0.2">
      <c r="G49837" s="889"/>
    </row>
    <row r="49838" spans="7:7" ht="10.5" customHeight="1" x14ac:dyDescent="0.2">
      <c r="G49838" s="889"/>
    </row>
    <row r="49839" spans="7:7" ht="10.5" customHeight="1" x14ac:dyDescent="0.2">
      <c r="G49839" s="889"/>
    </row>
    <row r="49840" spans="7:7" ht="10.5" customHeight="1" x14ac:dyDescent="0.2">
      <c r="G49840" s="889"/>
    </row>
    <row r="49841" spans="7:7" ht="10.5" customHeight="1" x14ac:dyDescent="0.2">
      <c r="G49841" s="889"/>
    </row>
    <row r="49842" spans="7:7" ht="10.5" customHeight="1" x14ac:dyDescent="0.2">
      <c r="G49842" s="889"/>
    </row>
    <row r="49843" spans="7:7" ht="10.5" customHeight="1" x14ac:dyDescent="0.2">
      <c r="G49843" s="889"/>
    </row>
    <row r="49844" spans="7:7" ht="10.5" customHeight="1" x14ac:dyDescent="0.2">
      <c r="G49844" s="889"/>
    </row>
    <row r="49845" spans="7:7" ht="10.5" customHeight="1" x14ac:dyDescent="0.2">
      <c r="G49845" s="889"/>
    </row>
    <row r="49846" spans="7:7" ht="10.5" customHeight="1" x14ac:dyDescent="0.2">
      <c r="G49846" s="889"/>
    </row>
    <row r="49847" spans="7:7" ht="10.5" customHeight="1" x14ac:dyDescent="0.2">
      <c r="G49847" s="889"/>
    </row>
    <row r="49848" spans="7:7" ht="10.5" customHeight="1" x14ac:dyDescent="0.2">
      <c r="G49848" s="889"/>
    </row>
    <row r="49849" spans="7:7" ht="10.5" customHeight="1" x14ac:dyDescent="0.2">
      <c r="G49849" s="889"/>
    </row>
    <row r="49850" spans="7:7" ht="10.5" customHeight="1" x14ac:dyDescent="0.2">
      <c r="G49850" s="889"/>
    </row>
    <row r="49851" spans="7:7" ht="10.5" customHeight="1" x14ac:dyDescent="0.2">
      <c r="G49851" s="889"/>
    </row>
    <row r="49852" spans="7:7" ht="10.5" customHeight="1" x14ac:dyDescent="0.2">
      <c r="G49852" s="889"/>
    </row>
    <row r="49853" spans="7:7" ht="10.5" customHeight="1" x14ac:dyDescent="0.2">
      <c r="G49853" s="889"/>
    </row>
    <row r="49854" spans="7:7" ht="10.5" customHeight="1" x14ac:dyDescent="0.2">
      <c r="G49854" s="889"/>
    </row>
    <row r="49855" spans="7:7" ht="10.5" customHeight="1" x14ac:dyDescent="0.2">
      <c r="G49855" s="889"/>
    </row>
    <row r="49856" spans="7:7" ht="10.5" customHeight="1" x14ac:dyDescent="0.2">
      <c r="G49856" s="889"/>
    </row>
    <row r="49857" spans="7:7" ht="10.5" customHeight="1" x14ac:dyDescent="0.2">
      <c r="G49857" s="889"/>
    </row>
    <row r="49858" spans="7:7" ht="10.5" customHeight="1" x14ac:dyDescent="0.2">
      <c r="G49858" s="889"/>
    </row>
    <row r="49859" spans="7:7" ht="10.5" customHeight="1" x14ac:dyDescent="0.2">
      <c r="G49859" s="889"/>
    </row>
    <row r="49860" spans="7:7" ht="10.5" customHeight="1" x14ac:dyDescent="0.2">
      <c r="G49860" s="889"/>
    </row>
    <row r="49861" spans="7:7" ht="10.5" customHeight="1" x14ac:dyDescent="0.2">
      <c r="G49861" s="889"/>
    </row>
    <row r="49862" spans="7:7" ht="10.5" customHeight="1" x14ac:dyDescent="0.2">
      <c r="G49862" s="889"/>
    </row>
    <row r="49863" spans="7:7" ht="10.5" customHeight="1" x14ac:dyDescent="0.2">
      <c r="G49863" s="889"/>
    </row>
    <row r="49864" spans="7:7" ht="10.5" customHeight="1" x14ac:dyDescent="0.2">
      <c r="G49864" s="889"/>
    </row>
    <row r="49865" spans="7:7" ht="10.5" customHeight="1" x14ac:dyDescent="0.2">
      <c r="G49865" s="889"/>
    </row>
    <row r="49866" spans="7:7" ht="10.5" customHeight="1" x14ac:dyDescent="0.2">
      <c r="G49866" s="889"/>
    </row>
    <row r="49867" spans="7:7" ht="10.5" customHeight="1" x14ac:dyDescent="0.2">
      <c r="G49867" s="889"/>
    </row>
    <row r="49868" spans="7:7" ht="10.5" customHeight="1" x14ac:dyDescent="0.2">
      <c r="G49868" s="889"/>
    </row>
    <row r="49869" spans="7:7" ht="10.5" customHeight="1" x14ac:dyDescent="0.2">
      <c r="G49869" s="889"/>
    </row>
    <row r="49870" spans="7:7" ht="10.5" customHeight="1" x14ac:dyDescent="0.2">
      <c r="G49870" s="889"/>
    </row>
    <row r="49871" spans="7:7" ht="10.5" customHeight="1" x14ac:dyDescent="0.2">
      <c r="G49871" s="889"/>
    </row>
    <row r="49872" spans="7:7" ht="10.5" customHeight="1" x14ac:dyDescent="0.2">
      <c r="G49872" s="889"/>
    </row>
    <row r="49873" spans="7:7" ht="10.5" customHeight="1" x14ac:dyDescent="0.2">
      <c r="G49873" s="889"/>
    </row>
    <row r="49874" spans="7:7" ht="10.5" customHeight="1" x14ac:dyDescent="0.2">
      <c r="G49874" s="889"/>
    </row>
    <row r="49875" spans="7:7" ht="10.5" customHeight="1" x14ac:dyDescent="0.2">
      <c r="G49875" s="889"/>
    </row>
    <row r="49876" spans="7:7" ht="10.5" customHeight="1" x14ac:dyDescent="0.2">
      <c r="G49876" s="889"/>
    </row>
    <row r="49877" spans="7:7" ht="10.5" customHeight="1" x14ac:dyDescent="0.2">
      <c r="G49877" s="889"/>
    </row>
    <row r="49878" spans="7:7" ht="10.5" customHeight="1" x14ac:dyDescent="0.2">
      <c r="G49878" s="889"/>
    </row>
    <row r="49879" spans="7:7" ht="10.5" customHeight="1" x14ac:dyDescent="0.2">
      <c r="G49879" s="889"/>
    </row>
    <row r="49880" spans="7:7" ht="10.5" customHeight="1" x14ac:dyDescent="0.2">
      <c r="G49880" s="889"/>
    </row>
    <row r="49881" spans="7:7" ht="10.5" customHeight="1" x14ac:dyDescent="0.2">
      <c r="G49881" s="889"/>
    </row>
    <row r="49882" spans="7:7" ht="10.5" customHeight="1" x14ac:dyDescent="0.2">
      <c r="G49882" s="889"/>
    </row>
    <row r="49883" spans="7:7" ht="10.5" customHeight="1" x14ac:dyDescent="0.2">
      <c r="G49883" s="889"/>
    </row>
    <row r="49884" spans="7:7" ht="10.5" customHeight="1" x14ac:dyDescent="0.2">
      <c r="G49884" s="889"/>
    </row>
    <row r="49885" spans="7:7" ht="10.5" customHeight="1" x14ac:dyDescent="0.2">
      <c r="G49885" s="889"/>
    </row>
    <row r="49886" spans="7:7" ht="10.5" customHeight="1" x14ac:dyDescent="0.2">
      <c r="G49886" s="889"/>
    </row>
    <row r="49887" spans="7:7" ht="10.5" customHeight="1" x14ac:dyDescent="0.2">
      <c r="G49887" s="889"/>
    </row>
    <row r="49888" spans="7:7" ht="10.5" customHeight="1" x14ac:dyDescent="0.2">
      <c r="G49888" s="889"/>
    </row>
    <row r="49889" spans="7:7" ht="10.5" customHeight="1" x14ac:dyDescent="0.2">
      <c r="G49889" s="889"/>
    </row>
    <row r="49890" spans="7:7" ht="10.5" customHeight="1" x14ac:dyDescent="0.2">
      <c r="G49890" s="889"/>
    </row>
    <row r="49891" spans="7:7" ht="10.5" customHeight="1" x14ac:dyDescent="0.2">
      <c r="G49891" s="889"/>
    </row>
    <row r="49892" spans="7:7" ht="10.5" customHeight="1" x14ac:dyDescent="0.2">
      <c r="G49892" s="889"/>
    </row>
    <row r="49893" spans="7:7" ht="10.5" customHeight="1" x14ac:dyDescent="0.2">
      <c r="G49893" s="889"/>
    </row>
    <row r="49894" spans="7:7" ht="10.5" customHeight="1" x14ac:dyDescent="0.2">
      <c r="G49894" s="889"/>
    </row>
    <row r="49895" spans="7:7" ht="10.5" customHeight="1" x14ac:dyDescent="0.2">
      <c r="G49895" s="889"/>
    </row>
    <row r="49896" spans="7:7" ht="10.5" customHeight="1" x14ac:dyDescent="0.2">
      <c r="G49896" s="889"/>
    </row>
    <row r="49897" spans="7:7" ht="10.5" customHeight="1" x14ac:dyDescent="0.2">
      <c r="G49897" s="889"/>
    </row>
    <row r="49898" spans="7:7" ht="10.5" customHeight="1" x14ac:dyDescent="0.2">
      <c r="G49898" s="889"/>
    </row>
    <row r="49899" spans="7:7" ht="10.5" customHeight="1" x14ac:dyDescent="0.2">
      <c r="G49899" s="889"/>
    </row>
    <row r="49900" spans="7:7" ht="10.5" customHeight="1" x14ac:dyDescent="0.2">
      <c r="G49900" s="889"/>
    </row>
    <row r="49901" spans="7:7" ht="10.5" customHeight="1" x14ac:dyDescent="0.2">
      <c r="G49901" s="889"/>
    </row>
    <row r="49902" spans="7:7" ht="10.5" customHeight="1" x14ac:dyDescent="0.2">
      <c r="G49902" s="889"/>
    </row>
    <row r="49903" spans="7:7" ht="10.5" customHeight="1" x14ac:dyDescent="0.2">
      <c r="G49903" s="889"/>
    </row>
    <row r="49904" spans="7:7" ht="10.5" customHeight="1" x14ac:dyDescent="0.2">
      <c r="G49904" s="889"/>
    </row>
    <row r="49905" spans="7:7" ht="10.5" customHeight="1" x14ac:dyDescent="0.2">
      <c r="G49905" s="889"/>
    </row>
    <row r="49906" spans="7:7" ht="10.5" customHeight="1" x14ac:dyDescent="0.2">
      <c r="G49906" s="889"/>
    </row>
    <row r="49907" spans="7:7" ht="10.5" customHeight="1" x14ac:dyDescent="0.2">
      <c r="G49907" s="889"/>
    </row>
    <row r="49908" spans="7:7" ht="10.5" customHeight="1" x14ac:dyDescent="0.2">
      <c r="G49908" s="889"/>
    </row>
    <row r="49909" spans="7:7" ht="10.5" customHeight="1" x14ac:dyDescent="0.2">
      <c r="G49909" s="889"/>
    </row>
    <row r="49910" spans="7:7" ht="10.5" customHeight="1" x14ac:dyDescent="0.2">
      <c r="G49910" s="889"/>
    </row>
    <row r="49911" spans="7:7" ht="10.5" customHeight="1" x14ac:dyDescent="0.2">
      <c r="G49911" s="889"/>
    </row>
    <row r="49912" spans="7:7" ht="10.5" customHeight="1" x14ac:dyDescent="0.2">
      <c r="G49912" s="889"/>
    </row>
    <row r="49913" spans="7:7" ht="10.5" customHeight="1" x14ac:dyDescent="0.2">
      <c r="G49913" s="889"/>
    </row>
    <row r="49914" spans="7:7" ht="10.5" customHeight="1" x14ac:dyDescent="0.2">
      <c r="G49914" s="889"/>
    </row>
    <row r="49915" spans="7:7" ht="10.5" customHeight="1" x14ac:dyDescent="0.2">
      <c r="G49915" s="889"/>
    </row>
    <row r="49916" spans="7:7" ht="10.5" customHeight="1" x14ac:dyDescent="0.2">
      <c r="G49916" s="889"/>
    </row>
    <row r="49917" spans="7:7" ht="10.5" customHeight="1" x14ac:dyDescent="0.2">
      <c r="G49917" s="889"/>
    </row>
    <row r="49918" spans="7:7" ht="10.5" customHeight="1" x14ac:dyDescent="0.2">
      <c r="G49918" s="889"/>
    </row>
    <row r="49919" spans="7:7" ht="10.5" customHeight="1" x14ac:dyDescent="0.2">
      <c r="G49919" s="889"/>
    </row>
    <row r="49920" spans="7:7" ht="10.5" customHeight="1" x14ac:dyDescent="0.2">
      <c r="G49920" s="889"/>
    </row>
    <row r="49921" spans="7:7" ht="10.5" customHeight="1" x14ac:dyDescent="0.2">
      <c r="G49921" s="889"/>
    </row>
    <row r="49922" spans="7:7" ht="10.5" customHeight="1" x14ac:dyDescent="0.2">
      <c r="G49922" s="889"/>
    </row>
    <row r="49923" spans="7:7" ht="10.5" customHeight="1" x14ac:dyDescent="0.2">
      <c r="G49923" s="889"/>
    </row>
    <row r="49924" spans="7:7" ht="10.5" customHeight="1" x14ac:dyDescent="0.2">
      <c r="G49924" s="889"/>
    </row>
    <row r="49925" spans="7:7" ht="10.5" customHeight="1" x14ac:dyDescent="0.2">
      <c r="G49925" s="889"/>
    </row>
    <row r="49926" spans="7:7" ht="10.5" customHeight="1" x14ac:dyDescent="0.2">
      <c r="G49926" s="889"/>
    </row>
    <row r="49927" spans="7:7" ht="10.5" customHeight="1" x14ac:dyDescent="0.2">
      <c r="G49927" s="889"/>
    </row>
    <row r="49928" spans="7:7" ht="10.5" customHeight="1" x14ac:dyDescent="0.2">
      <c r="G49928" s="889"/>
    </row>
    <row r="49929" spans="7:7" ht="10.5" customHeight="1" x14ac:dyDescent="0.2">
      <c r="G49929" s="889"/>
    </row>
    <row r="49930" spans="7:7" ht="10.5" customHeight="1" x14ac:dyDescent="0.2">
      <c r="G49930" s="889"/>
    </row>
    <row r="49931" spans="7:7" ht="10.5" customHeight="1" x14ac:dyDescent="0.2">
      <c r="G49931" s="889"/>
    </row>
    <row r="49932" spans="7:7" ht="10.5" customHeight="1" x14ac:dyDescent="0.2">
      <c r="G49932" s="889"/>
    </row>
    <row r="49933" spans="7:7" ht="10.5" customHeight="1" x14ac:dyDescent="0.2">
      <c r="G49933" s="889"/>
    </row>
    <row r="49934" spans="7:7" ht="10.5" customHeight="1" x14ac:dyDescent="0.2">
      <c r="G49934" s="889"/>
    </row>
    <row r="49935" spans="7:7" ht="10.5" customHeight="1" x14ac:dyDescent="0.2">
      <c r="G49935" s="889"/>
    </row>
    <row r="49936" spans="7:7" ht="10.5" customHeight="1" x14ac:dyDescent="0.2">
      <c r="G49936" s="889"/>
    </row>
    <row r="49937" spans="7:7" ht="10.5" customHeight="1" x14ac:dyDescent="0.2">
      <c r="G49937" s="889"/>
    </row>
    <row r="49938" spans="7:7" ht="10.5" customHeight="1" x14ac:dyDescent="0.2">
      <c r="G49938" s="889"/>
    </row>
    <row r="49939" spans="7:7" ht="10.5" customHeight="1" x14ac:dyDescent="0.2">
      <c r="G49939" s="889"/>
    </row>
    <row r="49940" spans="7:7" ht="10.5" customHeight="1" x14ac:dyDescent="0.2">
      <c r="G49940" s="889"/>
    </row>
    <row r="49941" spans="7:7" ht="10.5" customHeight="1" x14ac:dyDescent="0.2">
      <c r="G49941" s="889"/>
    </row>
    <row r="49942" spans="7:7" ht="10.5" customHeight="1" x14ac:dyDescent="0.2">
      <c r="G49942" s="889"/>
    </row>
    <row r="49943" spans="7:7" ht="10.5" customHeight="1" x14ac:dyDescent="0.2">
      <c r="G49943" s="889"/>
    </row>
    <row r="49944" spans="7:7" ht="10.5" customHeight="1" x14ac:dyDescent="0.2">
      <c r="G49944" s="889"/>
    </row>
    <row r="49945" spans="7:7" ht="10.5" customHeight="1" x14ac:dyDescent="0.2">
      <c r="G49945" s="889"/>
    </row>
    <row r="49946" spans="7:7" ht="10.5" customHeight="1" x14ac:dyDescent="0.2">
      <c r="G49946" s="889"/>
    </row>
    <row r="49947" spans="7:7" ht="10.5" customHeight="1" x14ac:dyDescent="0.2">
      <c r="G49947" s="889"/>
    </row>
    <row r="49948" spans="7:7" ht="10.5" customHeight="1" x14ac:dyDescent="0.2">
      <c r="G49948" s="889"/>
    </row>
    <row r="49949" spans="7:7" ht="10.5" customHeight="1" x14ac:dyDescent="0.2">
      <c r="G49949" s="889"/>
    </row>
    <row r="49950" spans="7:7" ht="10.5" customHeight="1" x14ac:dyDescent="0.2">
      <c r="G49950" s="889"/>
    </row>
    <row r="49951" spans="7:7" ht="10.5" customHeight="1" x14ac:dyDescent="0.2">
      <c r="G49951" s="889"/>
    </row>
    <row r="49952" spans="7:7" ht="10.5" customHeight="1" x14ac:dyDescent="0.2">
      <c r="G49952" s="889"/>
    </row>
    <row r="49953" spans="7:7" ht="10.5" customHeight="1" x14ac:dyDescent="0.2">
      <c r="G49953" s="889"/>
    </row>
    <row r="49954" spans="7:7" ht="10.5" customHeight="1" x14ac:dyDescent="0.2">
      <c r="G49954" s="889"/>
    </row>
    <row r="49955" spans="7:7" ht="10.5" customHeight="1" x14ac:dyDescent="0.2">
      <c r="G49955" s="889"/>
    </row>
    <row r="49956" spans="7:7" ht="10.5" customHeight="1" x14ac:dyDescent="0.2">
      <c r="G49956" s="889"/>
    </row>
    <row r="49957" spans="7:7" ht="10.5" customHeight="1" x14ac:dyDescent="0.2">
      <c r="G49957" s="889"/>
    </row>
    <row r="49958" spans="7:7" ht="10.5" customHeight="1" x14ac:dyDescent="0.2">
      <c r="G49958" s="889"/>
    </row>
    <row r="49959" spans="7:7" ht="10.5" customHeight="1" x14ac:dyDescent="0.2">
      <c r="G49959" s="889"/>
    </row>
    <row r="49960" spans="7:7" ht="10.5" customHeight="1" x14ac:dyDescent="0.2">
      <c r="G49960" s="889"/>
    </row>
    <row r="49961" spans="7:7" ht="10.5" customHeight="1" x14ac:dyDescent="0.2">
      <c r="G49961" s="889"/>
    </row>
    <row r="49962" spans="7:7" ht="10.5" customHeight="1" x14ac:dyDescent="0.2">
      <c r="G49962" s="889"/>
    </row>
    <row r="49963" spans="7:7" ht="10.5" customHeight="1" x14ac:dyDescent="0.2">
      <c r="G49963" s="889"/>
    </row>
    <row r="49964" spans="7:7" ht="10.5" customHeight="1" x14ac:dyDescent="0.2">
      <c r="G49964" s="889"/>
    </row>
    <row r="49965" spans="7:7" ht="10.5" customHeight="1" x14ac:dyDescent="0.2">
      <c r="G49965" s="889"/>
    </row>
    <row r="49966" spans="7:7" ht="10.5" customHeight="1" x14ac:dyDescent="0.2">
      <c r="G49966" s="889"/>
    </row>
    <row r="49967" spans="7:7" ht="10.5" customHeight="1" x14ac:dyDescent="0.2">
      <c r="G49967" s="889"/>
    </row>
    <row r="49968" spans="7:7" ht="10.5" customHeight="1" x14ac:dyDescent="0.2">
      <c r="G49968" s="889"/>
    </row>
    <row r="49969" spans="7:7" ht="10.5" customHeight="1" x14ac:dyDescent="0.2">
      <c r="G49969" s="889"/>
    </row>
    <row r="49970" spans="7:7" ht="10.5" customHeight="1" x14ac:dyDescent="0.2">
      <c r="G49970" s="889"/>
    </row>
    <row r="49971" spans="7:7" ht="10.5" customHeight="1" x14ac:dyDescent="0.2">
      <c r="G49971" s="889"/>
    </row>
    <row r="49972" spans="7:7" ht="10.5" customHeight="1" x14ac:dyDescent="0.2">
      <c r="G49972" s="889"/>
    </row>
    <row r="49973" spans="7:7" ht="10.5" customHeight="1" x14ac:dyDescent="0.2">
      <c r="G49973" s="889"/>
    </row>
    <row r="49974" spans="7:7" ht="10.5" customHeight="1" x14ac:dyDescent="0.2">
      <c r="G49974" s="889"/>
    </row>
    <row r="49975" spans="7:7" ht="10.5" customHeight="1" x14ac:dyDescent="0.2">
      <c r="G49975" s="889"/>
    </row>
    <row r="49976" spans="7:7" ht="10.5" customHeight="1" x14ac:dyDescent="0.2">
      <c r="G49976" s="889"/>
    </row>
    <row r="49977" spans="7:7" ht="10.5" customHeight="1" x14ac:dyDescent="0.2">
      <c r="G49977" s="889"/>
    </row>
    <row r="49978" spans="7:7" ht="10.5" customHeight="1" x14ac:dyDescent="0.2">
      <c r="G49978" s="889"/>
    </row>
    <row r="49979" spans="7:7" ht="10.5" customHeight="1" x14ac:dyDescent="0.2">
      <c r="G49979" s="889"/>
    </row>
    <row r="49980" spans="7:7" ht="10.5" customHeight="1" x14ac:dyDescent="0.2">
      <c r="G49980" s="889"/>
    </row>
    <row r="49981" spans="7:7" ht="10.5" customHeight="1" x14ac:dyDescent="0.2">
      <c r="G49981" s="889"/>
    </row>
    <row r="49982" spans="7:7" ht="10.5" customHeight="1" x14ac:dyDescent="0.2">
      <c r="G49982" s="889"/>
    </row>
    <row r="49983" spans="7:7" ht="10.5" customHeight="1" x14ac:dyDescent="0.2">
      <c r="G49983" s="889"/>
    </row>
    <row r="49984" spans="7:7" ht="10.5" customHeight="1" x14ac:dyDescent="0.2">
      <c r="G49984" s="889"/>
    </row>
    <row r="49985" spans="7:7" ht="10.5" customHeight="1" x14ac:dyDescent="0.2">
      <c r="G49985" s="889"/>
    </row>
    <row r="49986" spans="7:7" ht="10.5" customHeight="1" x14ac:dyDescent="0.2">
      <c r="G49986" s="889"/>
    </row>
    <row r="49987" spans="7:7" ht="10.5" customHeight="1" x14ac:dyDescent="0.2">
      <c r="G49987" s="889"/>
    </row>
    <row r="49988" spans="7:7" ht="10.5" customHeight="1" x14ac:dyDescent="0.2">
      <c r="G49988" s="889"/>
    </row>
    <row r="49989" spans="7:7" ht="10.5" customHeight="1" x14ac:dyDescent="0.2">
      <c r="G49989" s="889"/>
    </row>
    <row r="49990" spans="7:7" ht="10.5" customHeight="1" x14ac:dyDescent="0.2">
      <c r="G49990" s="889"/>
    </row>
    <row r="49991" spans="7:7" ht="10.5" customHeight="1" x14ac:dyDescent="0.2">
      <c r="G49991" s="889"/>
    </row>
    <row r="49992" spans="7:7" ht="10.5" customHeight="1" x14ac:dyDescent="0.2">
      <c r="G49992" s="889"/>
    </row>
    <row r="49993" spans="7:7" ht="10.5" customHeight="1" x14ac:dyDescent="0.2">
      <c r="G49993" s="889"/>
    </row>
    <row r="49994" spans="7:7" ht="10.5" customHeight="1" x14ac:dyDescent="0.2">
      <c r="G49994" s="889"/>
    </row>
    <row r="49995" spans="7:7" ht="10.5" customHeight="1" x14ac:dyDescent="0.2">
      <c r="G49995" s="889"/>
    </row>
    <row r="49996" spans="7:7" ht="10.5" customHeight="1" x14ac:dyDescent="0.2">
      <c r="G49996" s="889"/>
    </row>
    <row r="49997" spans="7:7" ht="10.5" customHeight="1" x14ac:dyDescent="0.2">
      <c r="G49997" s="889"/>
    </row>
    <row r="49998" spans="7:7" ht="10.5" customHeight="1" x14ac:dyDescent="0.2">
      <c r="G49998" s="889"/>
    </row>
    <row r="49999" spans="7:7" ht="10.5" customHeight="1" x14ac:dyDescent="0.2">
      <c r="G49999" s="889"/>
    </row>
    <row r="50000" spans="7:7" ht="10.5" customHeight="1" x14ac:dyDescent="0.2">
      <c r="G50000" s="889"/>
    </row>
    <row r="50001" spans="7:7" ht="10.5" customHeight="1" x14ac:dyDescent="0.2">
      <c r="G50001" s="889"/>
    </row>
    <row r="50002" spans="7:7" ht="10.5" customHeight="1" x14ac:dyDescent="0.2">
      <c r="G50002" s="889"/>
    </row>
    <row r="50003" spans="7:7" ht="10.5" customHeight="1" x14ac:dyDescent="0.2">
      <c r="G50003" s="889"/>
    </row>
    <row r="50004" spans="7:7" ht="10.5" customHeight="1" x14ac:dyDescent="0.2">
      <c r="G50004" s="889"/>
    </row>
    <row r="50005" spans="7:7" ht="10.5" customHeight="1" x14ac:dyDescent="0.2">
      <c r="G50005" s="889"/>
    </row>
    <row r="50006" spans="7:7" ht="10.5" customHeight="1" x14ac:dyDescent="0.2">
      <c r="G50006" s="889"/>
    </row>
    <row r="50007" spans="7:7" ht="10.5" customHeight="1" x14ac:dyDescent="0.2">
      <c r="G50007" s="889"/>
    </row>
    <row r="50008" spans="7:7" ht="10.5" customHeight="1" x14ac:dyDescent="0.2">
      <c r="G50008" s="889"/>
    </row>
    <row r="50009" spans="7:7" ht="10.5" customHeight="1" x14ac:dyDescent="0.2">
      <c r="G50009" s="889"/>
    </row>
    <row r="50010" spans="7:7" ht="10.5" customHeight="1" x14ac:dyDescent="0.2">
      <c r="G50010" s="889"/>
    </row>
    <row r="50011" spans="7:7" ht="10.5" customHeight="1" x14ac:dyDescent="0.2">
      <c r="G50011" s="889"/>
    </row>
    <row r="50012" spans="7:7" ht="10.5" customHeight="1" x14ac:dyDescent="0.2">
      <c r="G50012" s="889"/>
    </row>
    <row r="50013" spans="7:7" ht="10.5" customHeight="1" x14ac:dyDescent="0.2">
      <c r="G50013" s="889"/>
    </row>
    <row r="50014" spans="7:7" ht="10.5" customHeight="1" x14ac:dyDescent="0.2">
      <c r="G50014" s="889"/>
    </row>
    <row r="50015" spans="7:7" ht="10.5" customHeight="1" x14ac:dyDescent="0.2">
      <c r="G50015" s="889"/>
    </row>
    <row r="50016" spans="7:7" ht="10.5" customHeight="1" x14ac:dyDescent="0.2">
      <c r="G50016" s="889"/>
    </row>
    <row r="50017" spans="7:7" ht="10.5" customHeight="1" x14ac:dyDescent="0.2">
      <c r="G50017" s="889"/>
    </row>
    <row r="50018" spans="7:7" ht="10.5" customHeight="1" x14ac:dyDescent="0.2">
      <c r="G50018" s="889"/>
    </row>
    <row r="50019" spans="7:7" ht="10.5" customHeight="1" x14ac:dyDescent="0.2">
      <c r="G50019" s="889"/>
    </row>
    <row r="50020" spans="7:7" ht="10.5" customHeight="1" x14ac:dyDescent="0.2">
      <c r="G50020" s="889"/>
    </row>
    <row r="50021" spans="7:7" ht="10.5" customHeight="1" x14ac:dyDescent="0.2">
      <c r="G50021" s="889"/>
    </row>
    <row r="50022" spans="7:7" ht="10.5" customHeight="1" x14ac:dyDescent="0.2">
      <c r="G50022" s="889"/>
    </row>
    <row r="50023" spans="7:7" ht="10.5" customHeight="1" x14ac:dyDescent="0.2">
      <c r="G50023" s="889"/>
    </row>
    <row r="50024" spans="7:7" ht="10.5" customHeight="1" x14ac:dyDescent="0.2">
      <c r="G50024" s="889"/>
    </row>
    <row r="50025" spans="7:7" ht="10.5" customHeight="1" x14ac:dyDescent="0.2">
      <c r="G50025" s="889"/>
    </row>
    <row r="50026" spans="7:7" ht="10.5" customHeight="1" x14ac:dyDescent="0.2">
      <c r="G50026" s="889"/>
    </row>
    <row r="50027" spans="7:7" ht="10.5" customHeight="1" x14ac:dyDescent="0.2">
      <c r="G50027" s="889"/>
    </row>
    <row r="50028" spans="7:7" ht="10.5" customHeight="1" x14ac:dyDescent="0.2">
      <c r="G50028" s="889"/>
    </row>
    <row r="50029" spans="7:7" ht="10.5" customHeight="1" x14ac:dyDescent="0.2">
      <c r="G50029" s="889"/>
    </row>
    <row r="50030" spans="7:7" ht="10.5" customHeight="1" x14ac:dyDescent="0.2">
      <c r="G50030" s="889"/>
    </row>
    <row r="50031" spans="7:7" ht="10.5" customHeight="1" x14ac:dyDescent="0.2">
      <c r="G50031" s="889"/>
    </row>
    <row r="50032" spans="7:7" ht="10.5" customHeight="1" x14ac:dyDescent="0.2">
      <c r="G50032" s="889"/>
    </row>
    <row r="50033" spans="7:7" ht="10.5" customHeight="1" x14ac:dyDescent="0.2">
      <c r="G50033" s="889"/>
    </row>
    <row r="50034" spans="7:7" ht="10.5" customHeight="1" x14ac:dyDescent="0.2">
      <c r="G50034" s="889"/>
    </row>
    <row r="50035" spans="7:7" ht="10.5" customHeight="1" x14ac:dyDescent="0.2">
      <c r="G50035" s="889"/>
    </row>
    <row r="50036" spans="7:7" ht="10.5" customHeight="1" x14ac:dyDescent="0.2">
      <c r="G50036" s="889"/>
    </row>
    <row r="50037" spans="7:7" ht="10.5" customHeight="1" x14ac:dyDescent="0.2">
      <c r="G50037" s="889"/>
    </row>
    <row r="50038" spans="7:7" ht="10.5" customHeight="1" x14ac:dyDescent="0.2">
      <c r="G50038" s="889"/>
    </row>
    <row r="50039" spans="7:7" ht="10.5" customHeight="1" x14ac:dyDescent="0.2">
      <c r="G50039" s="889"/>
    </row>
    <row r="50040" spans="7:7" ht="10.5" customHeight="1" x14ac:dyDescent="0.2">
      <c r="G50040" s="889"/>
    </row>
    <row r="50041" spans="7:7" ht="10.5" customHeight="1" x14ac:dyDescent="0.2">
      <c r="G50041" s="889"/>
    </row>
    <row r="50042" spans="7:7" ht="10.5" customHeight="1" x14ac:dyDescent="0.2">
      <c r="G50042" s="889"/>
    </row>
    <row r="50043" spans="7:7" ht="10.5" customHeight="1" x14ac:dyDescent="0.2">
      <c r="G50043" s="889"/>
    </row>
    <row r="50044" spans="7:7" ht="10.5" customHeight="1" x14ac:dyDescent="0.2">
      <c r="G50044" s="889"/>
    </row>
    <row r="50045" spans="7:7" ht="10.5" customHeight="1" x14ac:dyDescent="0.2">
      <c r="G50045" s="889"/>
    </row>
    <row r="50046" spans="7:7" ht="10.5" customHeight="1" x14ac:dyDescent="0.2">
      <c r="G50046" s="889"/>
    </row>
    <row r="50047" spans="7:7" ht="10.5" customHeight="1" x14ac:dyDescent="0.2">
      <c r="G50047" s="889"/>
    </row>
    <row r="50048" spans="7:7" ht="10.5" customHeight="1" x14ac:dyDescent="0.2">
      <c r="G50048" s="889"/>
    </row>
    <row r="50049" spans="7:7" ht="10.5" customHeight="1" x14ac:dyDescent="0.2">
      <c r="G50049" s="889"/>
    </row>
    <row r="50050" spans="7:7" ht="10.5" customHeight="1" x14ac:dyDescent="0.2">
      <c r="G50050" s="889"/>
    </row>
    <row r="50051" spans="7:7" ht="10.5" customHeight="1" x14ac:dyDescent="0.2">
      <c r="G50051" s="889"/>
    </row>
    <row r="50052" spans="7:7" ht="10.5" customHeight="1" x14ac:dyDescent="0.2">
      <c r="G50052" s="889"/>
    </row>
    <row r="50053" spans="7:7" ht="10.5" customHeight="1" x14ac:dyDescent="0.2">
      <c r="G50053" s="889"/>
    </row>
    <row r="50054" spans="7:7" ht="10.5" customHeight="1" x14ac:dyDescent="0.2">
      <c r="G50054" s="889"/>
    </row>
    <row r="50055" spans="7:7" ht="10.5" customHeight="1" x14ac:dyDescent="0.2">
      <c r="G50055" s="889"/>
    </row>
    <row r="50056" spans="7:7" ht="10.5" customHeight="1" x14ac:dyDescent="0.2">
      <c r="G50056" s="889"/>
    </row>
    <row r="50057" spans="7:7" ht="10.5" customHeight="1" x14ac:dyDescent="0.2">
      <c r="G50057" s="889"/>
    </row>
    <row r="50058" spans="7:7" ht="10.5" customHeight="1" x14ac:dyDescent="0.2">
      <c r="G50058" s="889"/>
    </row>
    <row r="50059" spans="7:7" ht="10.5" customHeight="1" x14ac:dyDescent="0.2">
      <c r="G50059" s="889"/>
    </row>
    <row r="50060" spans="7:7" ht="10.5" customHeight="1" x14ac:dyDescent="0.2">
      <c r="G50060" s="889"/>
    </row>
    <row r="50061" spans="7:7" ht="10.5" customHeight="1" x14ac:dyDescent="0.2">
      <c r="G50061" s="889"/>
    </row>
    <row r="50062" spans="7:7" ht="10.5" customHeight="1" x14ac:dyDescent="0.2">
      <c r="G50062" s="889"/>
    </row>
    <row r="50063" spans="7:7" ht="10.5" customHeight="1" x14ac:dyDescent="0.2">
      <c r="G50063" s="889"/>
    </row>
    <row r="50064" spans="7:7" ht="10.5" customHeight="1" x14ac:dyDescent="0.2">
      <c r="G50064" s="889"/>
    </row>
    <row r="50065" spans="7:7" ht="10.5" customHeight="1" x14ac:dyDescent="0.2">
      <c r="G50065" s="889"/>
    </row>
    <row r="50066" spans="7:7" ht="10.5" customHeight="1" x14ac:dyDescent="0.2">
      <c r="G50066" s="889"/>
    </row>
    <row r="50067" spans="7:7" ht="10.5" customHeight="1" x14ac:dyDescent="0.2">
      <c r="G50067" s="889"/>
    </row>
    <row r="50068" spans="7:7" ht="10.5" customHeight="1" x14ac:dyDescent="0.2">
      <c r="G50068" s="889"/>
    </row>
    <row r="50069" spans="7:7" ht="10.5" customHeight="1" x14ac:dyDescent="0.2">
      <c r="G50069" s="889"/>
    </row>
    <row r="50070" spans="7:7" ht="10.5" customHeight="1" x14ac:dyDescent="0.2">
      <c r="G50070" s="889"/>
    </row>
    <row r="50071" spans="7:7" ht="10.5" customHeight="1" x14ac:dyDescent="0.2">
      <c r="G50071" s="889"/>
    </row>
    <row r="50072" spans="7:7" ht="10.5" customHeight="1" x14ac:dyDescent="0.2">
      <c r="G50072" s="889"/>
    </row>
    <row r="50073" spans="7:7" ht="10.5" customHeight="1" x14ac:dyDescent="0.2">
      <c r="G50073" s="889"/>
    </row>
    <row r="50074" spans="7:7" ht="10.5" customHeight="1" x14ac:dyDescent="0.2">
      <c r="G50074" s="889"/>
    </row>
    <row r="50075" spans="7:7" ht="10.5" customHeight="1" x14ac:dyDescent="0.2">
      <c r="G50075" s="889"/>
    </row>
    <row r="50076" spans="7:7" ht="10.5" customHeight="1" x14ac:dyDescent="0.2">
      <c r="G50076" s="889"/>
    </row>
    <row r="50077" spans="7:7" ht="10.5" customHeight="1" x14ac:dyDescent="0.2">
      <c r="G50077" s="889"/>
    </row>
    <row r="50078" spans="7:7" ht="10.5" customHeight="1" x14ac:dyDescent="0.2">
      <c r="G50078" s="889"/>
    </row>
    <row r="50079" spans="7:7" ht="10.5" customHeight="1" x14ac:dyDescent="0.2">
      <c r="G50079" s="889"/>
    </row>
    <row r="50080" spans="7:7" ht="10.5" customHeight="1" x14ac:dyDescent="0.2">
      <c r="G50080" s="889"/>
    </row>
    <row r="50081" spans="7:7" ht="10.5" customHeight="1" x14ac:dyDescent="0.2">
      <c r="G50081" s="889"/>
    </row>
    <row r="50082" spans="7:7" ht="10.5" customHeight="1" x14ac:dyDescent="0.2">
      <c r="G50082" s="889"/>
    </row>
    <row r="50083" spans="7:7" ht="10.5" customHeight="1" x14ac:dyDescent="0.2">
      <c r="G50083" s="889"/>
    </row>
    <row r="50084" spans="7:7" ht="10.5" customHeight="1" x14ac:dyDescent="0.2">
      <c r="G50084" s="889"/>
    </row>
    <row r="50085" spans="7:7" ht="10.5" customHeight="1" x14ac:dyDescent="0.2">
      <c r="G50085" s="889"/>
    </row>
    <row r="50086" spans="7:7" ht="10.5" customHeight="1" x14ac:dyDescent="0.2">
      <c r="G50086" s="889"/>
    </row>
    <row r="50087" spans="7:7" ht="10.5" customHeight="1" x14ac:dyDescent="0.2">
      <c r="G50087" s="889"/>
    </row>
    <row r="50088" spans="7:7" ht="10.5" customHeight="1" x14ac:dyDescent="0.2">
      <c r="G50088" s="889"/>
    </row>
    <row r="50089" spans="7:7" ht="10.5" customHeight="1" x14ac:dyDescent="0.2">
      <c r="G50089" s="889"/>
    </row>
    <row r="50090" spans="7:7" ht="10.5" customHeight="1" x14ac:dyDescent="0.2">
      <c r="G50090" s="889"/>
    </row>
    <row r="50091" spans="7:7" ht="10.5" customHeight="1" x14ac:dyDescent="0.2">
      <c r="G50091" s="889"/>
    </row>
    <row r="50092" spans="7:7" ht="10.5" customHeight="1" x14ac:dyDescent="0.2">
      <c r="G50092" s="889"/>
    </row>
    <row r="50093" spans="7:7" ht="10.5" customHeight="1" x14ac:dyDescent="0.2">
      <c r="G50093" s="889"/>
    </row>
    <row r="50094" spans="7:7" ht="10.5" customHeight="1" x14ac:dyDescent="0.2">
      <c r="G50094" s="889"/>
    </row>
    <row r="50095" spans="7:7" ht="10.5" customHeight="1" x14ac:dyDescent="0.2">
      <c r="G50095" s="889"/>
    </row>
    <row r="50096" spans="7:7" ht="10.5" customHeight="1" x14ac:dyDescent="0.2">
      <c r="G50096" s="889"/>
    </row>
    <row r="50097" spans="7:7" ht="10.5" customHeight="1" x14ac:dyDescent="0.2">
      <c r="G50097" s="889"/>
    </row>
    <row r="50098" spans="7:7" ht="10.5" customHeight="1" x14ac:dyDescent="0.2">
      <c r="G50098" s="889"/>
    </row>
    <row r="50099" spans="7:7" ht="10.5" customHeight="1" x14ac:dyDescent="0.2">
      <c r="G50099" s="889"/>
    </row>
    <row r="50100" spans="7:7" ht="10.5" customHeight="1" x14ac:dyDescent="0.2">
      <c r="G50100" s="889"/>
    </row>
    <row r="50101" spans="7:7" ht="10.5" customHeight="1" x14ac:dyDescent="0.2">
      <c r="G50101" s="889"/>
    </row>
    <row r="50102" spans="7:7" ht="10.5" customHeight="1" x14ac:dyDescent="0.2">
      <c r="G50102" s="889"/>
    </row>
    <row r="50103" spans="7:7" ht="10.5" customHeight="1" x14ac:dyDescent="0.2">
      <c r="G50103" s="889"/>
    </row>
    <row r="50104" spans="7:7" ht="10.5" customHeight="1" x14ac:dyDescent="0.2">
      <c r="G50104" s="889"/>
    </row>
    <row r="50105" spans="7:7" ht="10.5" customHeight="1" x14ac:dyDescent="0.2">
      <c r="G50105" s="889"/>
    </row>
    <row r="50106" spans="7:7" ht="10.5" customHeight="1" x14ac:dyDescent="0.2">
      <c r="G50106" s="889"/>
    </row>
    <row r="50107" spans="7:7" ht="10.5" customHeight="1" x14ac:dyDescent="0.2">
      <c r="G50107" s="889"/>
    </row>
    <row r="50108" spans="7:7" ht="10.5" customHeight="1" x14ac:dyDescent="0.2">
      <c r="G50108" s="889"/>
    </row>
    <row r="50109" spans="7:7" ht="10.5" customHeight="1" x14ac:dyDescent="0.2">
      <c r="G50109" s="889"/>
    </row>
    <row r="50110" spans="7:7" ht="10.5" customHeight="1" x14ac:dyDescent="0.2">
      <c r="G50110" s="889"/>
    </row>
    <row r="50111" spans="7:7" ht="10.5" customHeight="1" x14ac:dyDescent="0.2">
      <c r="G50111" s="889"/>
    </row>
    <row r="50112" spans="7:7" ht="10.5" customHeight="1" x14ac:dyDescent="0.2">
      <c r="G50112" s="889"/>
    </row>
    <row r="50113" spans="7:7" ht="10.5" customHeight="1" x14ac:dyDescent="0.2">
      <c r="G50113" s="889"/>
    </row>
    <row r="50114" spans="7:7" ht="10.5" customHeight="1" x14ac:dyDescent="0.2">
      <c r="G50114" s="889"/>
    </row>
    <row r="50115" spans="7:7" ht="10.5" customHeight="1" x14ac:dyDescent="0.2">
      <c r="G50115" s="889"/>
    </row>
    <row r="50116" spans="7:7" ht="10.5" customHeight="1" x14ac:dyDescent="0.2">
      <c r="G50116" s="889"/>
    </row>
    <row r="50117" spans="7:7" ht="10.5" customHeight="1" x14ac:dyDescent="0.2">
      <c r="G50117" s="889"/>
    </row>
    <row r="50118" spans="7:7" ht="10.5" customHeight="1" x14ac:dyDescent="0.2">
      <c r="G50118" s="889"/>
    </row>
    <row r="50119" spans="7:7" ht="10.5" customHeight="1" x14ac:dyDescent="0.2">
      <c r="G50119" s="889"/>
    </row>
    <row r="50120" spans="7:7" ht="10.5" customHeight="1" x14ac:dyDescent="0.2">
      <c r="G50120" s="889"/>
    </row>
    <row r="50121" spans="7:7" ht="10.5" customHeight="1" x14ac:dyDescent="0.2">
      <c r="G50121" s="889"/>
    </row>
    <row r="50122" spans="7:7" ht="10.5" customHeight="1" x14ac:dyDescent="0.2">
      <c r="G50122" s="889"/>
    </row>
    <row r="50123" spans="7:7" ht="10.5" customHeight="1" x14ac:dyDescent="0.2">
      <c r="G50123" s="889"/>
    </row>
    <row r="50124" spans="7:7" ht="10.5" customHeight="1" x14ac:dyDescent="0.2">
      <c r="G50124" s="889"/>
    </row>
    <row r="50125" spans="7:7" ht="10.5" customHeight="1" x14ac:dyDescent="0.2">
      <c r="G50125" s="889"/>
    </row>
    <row r="50126" spans="7:7" ht="10.5" customHeight="1" x14ac:dyDescent="0.2">
      <c r="G50126" s="889"/>
    </row>
    <row r="50127" spans="7:7" ht="10.5" customHeight="1" x14ac:dyDescent="0.2">
      <c r="G50127" s="889"/>
    </row>
    <row r="50128" spans="7:7" ht="10.5" customHeight="1" x14ac:dyDescent="0.2">
      <c r="G50128" s="889"/>
    </row>
    <row r="50129" spans="7:7" ht="10.5" customHeight="1" x14ac:dyDescent="0.2">
      <c r="G50129" s="889"/>
    </row>
    <row r="50130" spans="7:7" ht="10.5" customHeight="1" x14ac:dyDescent="0.2">
      <c r="G50130" s="889"/>
    </row>
    <row r="50131" spans="7:7" ht="10.5" customHeight="1" x14ac:dyDescent="0.2">
      <c r="G50131" s="889"/>
    </row>
    <row r="50132" spans="7:7" ht="10.5" customHeight="1" x14ac:dyDescent="0.2">
      <c r="G50132" s="889"/>
    </row>
    <row r="50133" spans="7:7" ht="10.5" customHeight="1" x14ac:dyDescent="0.2">
      <c r="G50133" s="889"/>
    </row>
    <row r="50134" spans="7:7" ht="10.5" customHeight="1" x14ac:dyDescent="0.2">
      <c r="G50134" s="889"/>
    </row>
    <row r="50135" spans="7:7" ht="10.5" customHeight="1" x14ac:dyDescent="0.2">
      <c r="G50135" s="889"/>
    </row>
    <row r="50136" spans="7:7" ht="10.5" customHeight="1" x14ac:dyDescent="0.2">
      <c r="G50136" s="889"/>
    </row>
    <row r="50137" spans="7:7" ht="10.5" customHeight="1" x14ac:dyDescent="0.2">
      <c r="G50137" s="889"/>
    </row>
    <row r="50138" spans="7:7" ht="10.5" customHeight="1" x14ac:dyDescent="0.2">
      <c r="G50138" s="889"/>
    </row>
    <row r="50139" spans="7:7" ht="10.5" customHeight="1" x14ac:dyDescent="0.2">
      <c r="G50139" s="889"/>
    </row>
    <row r="50140" spans="7:7" ht="10.5" customHeight="1" x14ac:dyDescent="0.2">
      <c r="G50140" s="889"/>
    </row>
    <row r="50141" spans="7:7" ht="10.5" customHeight="1" x14ac:dyDescent="0.2">
      <c r="G50141" s="889"/>
    </row>
    <row r="50142" spans="7:7" ht="10.5" customHeight="1" x14ac:dyDescent="0.2">
      <c r="G50142" s="889"/>
    </row>
    <row r="50143" spans="7:7" ht="10.5" customHeight="1" x14ac:dyDescent="0.2">
      <c r="G50143" s="889"/>
    </row>
    <row r="50144" spans="7:7" ht="10.5" customHeight="1" x14ac:dyDescent="0.2">
      <c r="G50144" s="889"/>
    </row>
    <row r="50145" spans="7:7" ht="10.5" customHeight="1" x14ac:dyDescent="0.2">
      <c r="G50145" s="889"/>
    </row>
    <row r="50146" spans="7:7" ht="10.5" customHeight="1" x14ac:dyDescent="0.2">
      <c r="G50146" s="889"/>
    </row>
    <row r="50147" spans="7:7" ht="10.5" customHeight="1" x14ac:dyDescent="0.2">
      <c r="G50147" s="889"/>
    </row>
    <row r="50148" spans="7:7" ht="10.5" customHeight="1" x14ac:dyDescent="0.2">
      <c r="G50148" s="889"/>
    </row>
    <row r="50149" spans="7:7" ht="10.5" customHeight="1" x14ac:dyDescent="0.2">
      <c r="G50149" s="889"/>
    </row>
    <row r="50150" spans="7:7" ht="10.5" customHeight="1" x14ac:dyDescent="0.2">
      <c r="G50150" s="889"/>
    </row>
    <row r="50151" spans="7:7" ht="10.5" customHeight="1" x14ac:dyDescent="0.2">
      <c r="G50151" s="889"/>
    </row>
    <row r="50152" spans="7:7" ht="10.5" customHeight="1" x14ac:dyDescent="0.2">
      <c r="G50152" s="889"/>
    </row>
    <row r="50153" spans="7:7" ht="10.5" customHeight="1" x14ac:dyDescent="0.2">
      <c r="G50153" s="889"/>
    </row>
    <row r="50154" spans="7:7" ht="10.5" customHeight="1" x14ac:dyDescent="0.2">
      <c r="G50154" s="889"/>
    </row>
    <row r="50155" spans="7:7" ht="10.5" customHeight="1" x14ac:dyDescent="0.2">
      <c r="G50155" s="889"/>
    </row>
    <row r="50156" spans="7:7" ht="10.5" customHeight="1" x14ac:dyDescent="0.2">
      <c r="G50156" s="889"/>
    </row>
    <row r="50157" spans="7:7" ht="10.5" customHeight="1" x14ac:dyDescent="0.2">
      <c r="G50157" s="889"/>
    </row>
    <row r="50158" spans="7:7" ht="10.5" customHeight="1" x14ac:dyDescent="0.2">
      <c r="G50158" s="889"/>
    </row>
    <row r="50159" spans="7:7" ht="10.5" customHeight="1" x14ac:dyDescent="0.2">
      <c r="G50159" s="889"/>
    </row>
    <row r="50160" spans="7:7" ht="10.5" customHeight="1" x14ac:dyDescent="0.2">
      <c r="G50160" s="889"/>
    </row>
    <row r="50161" spans="7:7" ht="10.5" customHeight="1" x14ac:dyDescent="0.2">
      <c r="G50161" s="889"/>
    </row>
    <row r="50162" spans="7:7" ht="10.5" customHeight="1" x14ac:dyDescent="0.2">
      <c r="G50162" s="889"/>
    </row>
    <row r="50163" spans="7:7" ht="10.5" customHeight="1" x14ac:dyDescent="0.2">
      <c r="G50163" s="889"/>
    </row>
    <row r="50164" spans="7:7" ht="10.5" customHeight="1" x14ac:dyDescent="0.2">
      <c r="G50164" s="889"/>
    </row>
    <row r="50165" spans="7:7" ht="10.5" customHeight="1" x14ac:dyDescent="0.2">
      <c r="G50165" s="889"/>
    </row>
    <row r="50166" spans="7:7" ht="10.5" customHeight="1" x14ac:dyDescent="0.2">
      <c r="G50166" s="889"/>
    </row>
    <row r="50167" spans="7:7" ht="10.5" customHeight="1" x14ac:dyDescent="0.2">
      <c r="G50167" s="889"/>
    </row>
    <row r="50168" spans="7:7" ht="10.5" customHeight="1" x14ac:dyDescent="0.2">
      <c r="G50168" s="889"/>
    </row>
    <row r="50169" spans="7:7" ht="10.5" customHeight="1" x14ac:dyDescent="0.2">
      <c r="G50169" s="889"/>
    </row>
    <row r="50170" spans="7:7" ht="10.5" customHeight="1" x14ac:dyDescent="0.2">
      <c r="G50170" s="889"/>
    </row>
    <row r="50171" spans="7:7" ht="10.5" customHeight="1" x14ac:dyDescent="0.2">
      <c r="G50171" s="889"/>
    </row>
    <row r="50172" spans="7:7" ht="10.5" customHeight="1" x14ac:dyDescent="0.2">
      <c r="G50172" s="889"/>
    </row>
    <row r="50173" spans="7:7" ht="10.5" customHeight="1" x14ac:dyDescent="0.2">
      <c r="G50173" s="889"/>
    </row>
    <row r="50174" spans="7:7" ht="10.5" customHeight="1" x14ac:dyDescent="0.2">
      <c r="G50174" s="889"/>
    </row>
    <row r="50175" spans="7:7" ht="10.5" customHeight="1" x14ac:dyDescent="0.2">
      <c r="G50175" s="889"/>
    </row>
    <row r="50176" spans="7:7" ht="10.5" customHeight="1" x14ac:dyDescent="0.2">
      <c r="G50176" s="889"/>
    </row>
    <row r="50177" spans="7:7" ht="10.5" customHeight="1" x14ac:dyDescent="0.2">
      <c r="G50177" s="889"/>
    </row>
    <row r="50178" spans="7:7" ht="10.5" customHeight="1" x14ac:dyDescent="0.2">
      <c r="G50178" s="889"/>
    </row>
    <row r="50179" spans="7:7" ht="10.5" customHeight="1" x14ac:dyDescent="0.2">
      <c r="G50179" s="889"/>
    </row>
    <row r="50180" spans="7:7" ht="10.5" customHeight="1" x14ac:dyDescent="0.2">
      <c r="G50180" s="889"/>
    </row>
    <row r="50181" spans="7:7" ht="10.5" customHeight="1" x14ac:dyDescent="0.2">
      <c r="G50181" s="889"/>
    </row>
    <row r="50182" spans="7:7" ht="10.5" customHeight="1" x14ac:dyDescent="0.2">
      <c r="G50182" s="889"/>
    </row>
    <row r="50183" spans="7:7" ht="10.5" customHeight="1" x14ac:dyDescent="0.2">
      <c r="G50183" s="889"/>
    </row>
    <row r="50184" spans="7:7" ht="10.5" customHeight="1" x14ac:dyDescent="0.2">
      <c r="G50184" s="889"/>
    </row>
    <row r="50185" spans="7:7" ht="10.5" customHeight="1" x14ac:dyDescent="0.2">
      <c r="G50185" s="889"/>
    </row>
    <row r="50186" spans="7:7" ht="10.5" customHeight="1" x14ac:dyDescent="0.2">
      <c r="G50186" s="889"/>
    </row>
    <row r="50187" spans="7:7" ht="10.5" customHeight="1" x14ac:dyDescent="0.2">
      <c r="G50187" s="889"/>
    </row>
    <row r="50188" spans="7:7" ht="10.5" customHeight="1" x14ac:dyDescent="0.2">
      <c r="G50188" s="889"/>
    </row>
    <row r="50189" spans="7:7" ht="10.5" customHeight="1" x14ac:dyDescent="0.2">
      <c r="G50189" s="889"/>
    </row>
    <row r="50190" spans="7:7" ht="10.5" customHeight="1" x14ac:dyDescent="0.2">
      <c r="G50190" s="889"/>
    </row>
    <row r="50191" spans="7:7" ht="10.5" customHeight="1" x14ac:dyDescent="0.2">
      <c r="G50191" s="889"/>
    </row>
    <row r="50192" spans="7:7" ht="10.5" customHeight="1" x14ac:dyDescent="0.2">
      <c r="G50192" s="889"/>
    </row>
    <row r="50193" spans="7:7" ht="10.5" customHeight="1" x14ac:dyDescent="0.2">
      <c r="G50193" s="889"/>
    </row>
    <row r="50194" spans="7:7" ht="10.5" customHeight="1" x14ac:dyDescent="0.2">
      <c r="G50194" s="889"/>
    </row>
    <row r="50195" spans="7:7" ht="10.5" customHeight="1" x14ac:dyDescent="0.2">
      <c r="G50195" s="889"/>
    </row>
    <row r="50196" spans="7:7" ht="10.5" customHeight="1" x14ac:dyDescent="0.2">
      <c r="G50196" s="889"/>
    </row>
    <row r="50197" spans="7:7" ht="10.5" customHeight="1" x14ac:dyDescent="0.2">
      <c r="G50197" s="889"/>
    </row>
    <row r="50198" spans="7:7" ht="10.5" customHeight="1" x14ac:dyDescent="0.2">
      <c r="G50198" s="889"/>
    </row>
    <row r="50199" spans="7:7" ht="10.5" customHeight="1" x14ac:dyDescent="0.2">
      <c r="G50199" s="889"/>
    </row>
    <row r="50200" spans="7:7" ht="10.5" customHeight="1" x14ac:dyDescent="0.2">
      <c r="G50200" s="889"/>
    </row>
    <row r="50201" spans="7:7" ht="10.5" customHeight="1" x14ac:dyDescent="0.2">
      <c r="G50201" s="889"/>
    </row>
    <row r="50202" spans="7:7" ht="10.5" customHeight="1" x14ac:dyDescent="0.2">
      <c r="G50202" s="889"/>
    </row>
    <row r="50203" spans="7:7" ht="10.5" customHeight="1" x14ac:dyDescent="0.2">
      <c r="G50203" s="889"/>
    </row>
    <row r="50204" spans="7:7" ht="10.5" customHeight="1" x14ac:dyDescent="0.2">
      <c r="G50204" s="889"/>
    </row>
    <row r="50205" spans="7:7" ht="10.5" customHeight="1" x14ac:dyDescent="0.2">
      <c r="G50205" s="889"/>
    </row>
    <row r="50206" spans="7:7" ht="10.5" customHeight="1" x14ac:dyDescent="0.2">
      <c r="G50206" s="889"/>
    </row>
    <row r="50207" spans="7:7" ht="10.5" customHeight="1" x14ac:dyDescent="0.2">
      <c r="G50207" s="889"/>
    </row>
    <row r="50208" spans="7:7" ht="10.5" customHeight="1" x14ac:dyDescent="0.2">
      <c r="G50208" s="889"/>
    </row>
    <row r="50209" spans="7:7" ht="10.5" customHeight="1" x14ac:dyDescent="0.2">
      <c r="G50209" s="889"/>
    </row>
    <row r="50210" spans="7:7" ht="10.5" customHeight="1" x14ac:dyDescent="0.2">
      <c r="G50210" s="889"/>
    </row>
    <row r="50211" spans="7:7" ht="10.5" customHeight="1" x14ac:dyDescent="0.2">
      <c r="G50211" s="889"/>
    </row>
    <row r="50212" spans="7:7" ht="10.5" customHeight="1" x14ac:dyDescent="0.2">
      <c r="G50212" s="889"/>
    </row>
    <row r="50213" spans="7:7" ht="10.5" customHeight="1" x14ac:dyDescent="0.2">
      <c r="G50213" s="889"/>
    </row>
    <row r="50214" spans="7:7" ht="10.5" customHeight="1" x14ac:dyDescent="0.2">
      <c r="G50214" s="889"/>
    </row>
    <row r="50215" spans="7:7" ht="10.5" customHeight="1" x14ac:dyDescent="0.2">
      <c r="G50215" s="889"/>
    </row>
    <row r="50216" spans="7:7" ht="10.5" customHeight="1" x14ac:dyDescent="0.2">
      <c r="G50216" s="889"/>
    </row>
    <row r="50217" spans="7:7" ht="10.5" customHeight="1" x14ac:dyDescent="0.2">
      <c r="G50217" s="889"/>
    </row>
    <row r="50218" spans="7:7" ht="10.5" customHeight="1" x14ac:dyDescent="0.2">
      <c r="G50218" s="889"/>
    </row>
    <row r="50219" spans="7:7" ht="10.5" customHeight="1" x14ac:dyDescent="0.2">
      <c r="G50219" s="889"/>
    </row>
    <row r="50220" spans="7:7" ht="10.5" customHeight="1" x14ac:dyDescent="0.2">
      <c r="G50220" s="889"/>
    </row>
    <row r="50221" spans="7:7" ht="10.5" customHeight="1" x14ac:dyDescent="0.2">
      <c r="G50221" s="889"/>
    </row>
    <row r="50222" spans="7:7" ht="10.5" customHeight="1" x14ac:dyDescent="0.2">
      <c r="G50222" s="889"/>
    </row>
    <row r="50223" spans="7:7" ht="10.5" customHeight="1" x14ac:dyDescent="0.2">
      <c r="G50223" s="889"/>
    </row>
    <row r="50224" spans="7:7" ht="10.5" customHeight="1" x14ac:dyDescent="0.2">
      <c r="G50224" s="889"/>
    </row>
    <row r="50225" spans="7:7" ht="10.5" customHeight="1" x14ac:dyDescent="0.2">
      <c r="G50225" s="889"/>
    </row>
    <row r="50226" spans="7:7" ht="10.5" customHeight="1" x14ac:dyDescent="0.2">
      <c r="G50226" s="889"/>
    </row>
    <row r="50227" spans="7:7" ht="10.5" customHeight="1" x14ac:dyDescent="0.2">
      <c r="G50227" s="889"/>
    </row>
    <row r="50228" spans="7:7" ht="10.5" customHeight="1" x14ac:dyDescent="0.2">
      <c r="G50228" s="889"/>
    </row>
    <row r="50229" spans="7:7" ht="10.5" customHeight="1" x14ac:dyDescent="0.2">
      <c r="G50229" s="889"/>
    </row>
    <row r="50230" spans="7:7" ht="10.5" customHeight="1" x14ac:dyDescent="0.2">
      <c r="G50230" s="889"/>
    </row>
    <row r="50231" spans="7:7" ht="10.5" customHeight="1" x14ac:dyDescent="0.2">
      <c r="G50231" s="889"/>
    </row>
    <row r="50232" spans="7:7" ht="10.5" customHeight="1" x14ac:dyDescent="0.2">
      <c r="G50232" s="889"/>
    </row>
    <row r="50233" spans="7:7" ht="10.5" customHeight="1" x14ac:dyDescent="0.2">
      <c r="G50233" s="889"/>
    </row>
    <row r="50234" spans="7:7" ht="10.5" customHeight="1" x14ac:dyDescent="0.2">
      <c r="G50234" s="889"/>
    </row>
    <row r="50235" spans="7:7" ht="10.5" customHeight="1" x14ac:dyDescent="0.2">
      <c r="G50235" s="889"/>
    </row>
    <row r="50236" spans="7:7" ht="10.5" customHeight="1" x14ac:dyDescent="0.2">
      <c r="G50236" s="889"/>
    </row>
    <row r="50237" spans="7:7" ht="10.5" customHeight="1" x14ac:dyDescent="0.2">
      <c r="G50237" s="889"/>
    </row>
    <row r="50238" spans="7:7" ht="10.5" customHeight="1" x14ac:dyDescent="0.2">
      <c r="G50238" s="889"/>
    </row>
    <row r="50239" spans="7:7" ht="10.5" customHeight="1" x14ac:dyDescent="0.2">
      <c r="G50239" s="889"/>
    </row>
    <row r="50240" spans="7:7" ht="10.5" customHeight="1" x14ac:dyDescent="0.2">
      <c r="G50240" s="889"/>
    </row>
    <row r="50241" spans="7:7" ht="10.5" customHeight="1" x14ac:dyDescent="0.2">
      <c r="G50241" s="889"/>
    </row>
    <row r="50242" spans="7:7" ht="10.5" customHeight="1" x14ac:dyDescent="0.2">
      <c r="G50242" s="889"/>
    </row>
    <row r="50243" spans="7:7" ht="10.5" customHeight="1" x14ac:dyDescent="0.2">
      <c r="G50243" s="889"/>
    </row>
    <row r="50244" spans="7:7" ht="10.5" customHeight="1" x14ac:dyDescent="0.2">
      <c r="G50244" s="889"/>
    </row>
    <row r="50245" spans="7:7" ht="10.5" customHeight="1" x14ac:dyDescent="0.2">
      <c r="G50245" s="889"/>
    </row>
    <row r="50246" spans="7:7" ht="10.5" customHeight="1" x14ac:dyDescent="0.2">
      <c r="G50246" s="889"/>
    </row>
    <row r="50247" spans="7:7" ht="10.5" customHeight="1" x14ac:dyDescent="0.2">
      <c r="G50247" s="889"/>
    </row>
    <row r="50248" spans="7:7" ht="10.5" customHeight="1" x14ac:dyDescent="0.2">
      <c r="G50248" s="889"/>
    </row>
    <row r="50249" spans="7:7" ht="10.5" customHeight="1" x14ac:dyDescent="0.2">
      <c r="G50249" s="889"/>
    </row>
    <row r="50250" spans="7:7" ht="10.5" customHeight="1" x14ac:dyDescent="0.2">
      <c r="G50250" s="889"/>
    </row>
    <row r="50251" spans="7:7" ht="10.5" customHeight="1" x14ac:dyDescent="0.2">
      <c r="G50251" s="889"/>
    </row>
    <row r="50252" spans="7:7" ht="10.5" customHeight="1" x14ac:dyDescent="0.2">
      <c r="G50252" s="889"/>
    </row>
    <row r="50253" spans="7:7" ht="10.5" customHeight="1" x14ac:dyDescent="0.2">
      <c r="G50253" s="889"/>
    </row>
    <row r="50254" spans="7:7" ht="10.5" customHeight="1" x14ac:dyDescent="0.2">
      <c r="G50254" s="889"/>
    </row>
    <row r="50255" spans="7:7" ht="10.5" customHeight="1" x14ac:dyDescent="0.2">
      <c r="G50255" s="889"/>
    </row>
    <row r="50256" spans="7:7" ht="10.5" customHeight="1" x14ac:dyDescent="0.2">
      <c r="G50256" s="889"/>
    </row>
    <row r="50257" spans="7:7" ht="10.5" customHeight="1" x14ac:dyDescent="0.2">
      <c r="G50257" s="889"/>
    </row>
    <row r="50258" spans="7:7" ht="10.5" customHeight="1" x14ac:dyDescent="0.2">
      <c r="G50258" s="889"/>
    </row>
    <row r="50259" spans="7:7" ht="10.5" customHeight="1" x14ac:dyDescent="0.2">
      <c r="G50259" s="889"/>
    </row>
    <row r="50260" spans="7:7" ht="10.5" customHeight="1" x14ac:dyDescent="0.2">
      <c r="G50260" s="889"/>
    </row>
    <row r="50261" spans="7:7" ht="10.5" customHeight="1" x14ac:dyDescent="0.2">
      <c r="G50261" s="889"/>
    </row>
    <row r="50262" spans="7:7" ht="10.5" customHeight="1" x14ac:dyDescent="0.2">
      <c r="G50262" s="889"/>
    </row>
    <row r="50263" spans="7:7" ht="10.5" customHeight="1" x14ac:dyDescent="0.2">
      <c r="G50263" s="889"/>
    </row>
    <row r="50264" spans="7:7" ht="10.5" customHeight="1" x14ac:dyDescent="0.2">
      <c r="G50264" s="889"/>
    </row>
    <row r="50265" spans="7:7" ht="10.5" customHeight="1" x14ac:dyDescent="0.2">
      <c r="G50265" s="889"/>
    </row>
    <row r="50266" spans="7:7" ht="10.5" customHeight="1" x14ac:dyDescent="0.2">
      <c r="G50266" s="889"/>
    </row>
    <row r="50267" spans="7:7" ht="10.5" customHeight="1" x14ac:dyDescent="0.2">
      <c r="G50267" s="889"/>
    </row>
    <row r="50268" spans="7:7" ht="10.5" customHeight="1" x14ac:dyDescent="0.2">
      <c r="G50268" s="889"/>
    </row>
    <row r="50269" spans="7:7" ht="10.5" customHeight="1" x14ac:dyDescent="0.2">
      <c r="G50269" s="889"/>
    </row>
    <row r="50270" spans="7:7" ht="10.5" customHeight="1" x14ac:dyDescent="0.2">
      <c r="G50270" s="889"/>
    </row>
    <row r="50271" spans="7:7" ht="10.5" customHeight="1" x14ac:dyDescent="0.2">
      <c r="G50271" s="889"/>
    </row>
    <row r="50272" spans="7:7" ht="10.5" customHeight="1" x14ac:dyDescent="0.2">
      <c r="G50272" s="889"/>
    </row>
    <row r="50273" spans="7:7" ht="10.5" customHeight="1" x14ac:dyDescent="0.2">
      <c r="G50273" s="889"/>
    </row>
    <row r="50274" spans="7:7" ht="10.5" customHeight="1" x14ac:dyDescent="0.2">
      <c r="G50274" s="889"/>
    </row>
    <row r="50275" spans="7:7" ht="10.5" customHeight="1" x14ac:dyDescent="0.2">
      <c r="G50275" s="889"/>
    </row>
    <row r="50276" spans="7:7" ht="10.5" customHeight="1" x14ac:dyDescent="0.2">
      <c r="G50276" s="889"/>
    </row>
    <row r="50277" spans="7:7" ht="10.5" customHeight="1" x14ac:dyDescent="0.2">
      <c r="G50277" s="889"/>
    </row>
    <row r="50278" spans="7:7" ht="10.5" customHeight="1" x14ac:dyDescent="0.2">
      <c r="G50278" s="889"/>
    </row>
    <row r="50279" spans="7:7" ht="10.5" customHeight="1" x14ac:dyDescent="0.2">
      <c r="G50279" s="889"/>
    </row>
    <row r="50280" spans="7:7" ht="10.5" customHeight="1" x14ac:dyDescent="0.2">
      <c r="G50280" s="889"/>
    </row>
    <row r="50281" spans="7:7" ht="10.5" customHeight="1" x14ac:dyDescent="0.2">
      <c r="G50281" s="889"/>
    </row>
    <row r="50282" spans="7:7" ht="10.5" customHeight="1" x14ac:dyDescent="0.2">
      <c r="G50282" s="889"/>
    </row>
    <row r="50283" spans="7:7" ht="10.5" customHeight="1" x14ac:dyDescent="0.2">
      <c r="G50283" s="889"/>
    </row>
    <row r="50284" spans="7:7" ht="10.5" customHeight="1" x14ac:dyDescent="0.2">
      <c r="G50284" s="889"/>
    </row>
    <row r="50285" spans="7:7" ht="10.5" customHeight="1" x14ac:dyDescent="0.2">
      <c r="G50285" s="889"/>
    </row>
    <row r="50286" spans="7:7" ht="10.5" customHeight="1" x14ac:dyDescent="0.2">
      <c r="G50286" s="889"/>
    </row>
    <row r="50287" spans="7:7" ht="10.5" customHeight="1" x14ac:dyDescent="0.2">
      <c r="G50287" s="889"/>
    </row>
    <row r="50288" spans="7:7" ht="10.5" customHeight="1" x14ac:dyDescent="0.2">
      <c r="G50288" s="889"/>
    </row>
    <row r="50289" spans="7:7" ht="10.5" customHeight="1" x14ac:dyDescent="0.2">
      <c r="G50289" s="889"/>
    </row>
    <row r="50290" spans="7:7" ht="10.5" customHeight="1" x14ac:dyDescent="0.2">
      <c r="G50290" s="889"/>
    </row>
    <row r="50291" spans="7:7" ht="10.5" customHeight="1" x14ac:dyDescent="0.2">
      <c r="G50291" s="889"/>
    </row>
    <row r="50292" spans="7:7" ht="10.5" customHeight="1" x14ac:dyDescent="0.2">
      <c r="G50292" s="889"/>
    </row>
    <row r="50293" spans="7:7" ht="10.5" customHeight="1" x14ac:dyDescent="0.2">
      <c r="G50293" s="889"/>
    </row>
    <row r="50294" spans="7:7" ht="10.5" customHeight="1" x14ac:dyDescent="0.2">
      <c r="G50294" s="889"/>
    </row>
    <row r="50295" spans="7:7" ht="10.5" customHeight="1" x14ac:dyDescent="0.2">
      <c r="G50295" s="889"/>
    </row>
    <row r="50296" spans="7:7" ht="10.5" customHeight="1" x14ac:dyDescent="0.2">
      <c r="G50296" s="889"/>
    </row>
    <row r="50297" spans="7:7" ht="10.5" customHeight="1" x14ac:dyDescent="0.2">
      <c r="G50297" s="889"/>
    </row>
    <row r="50298" spans="7:7" ht="10.5" customHeight="1" x14ac:dyDescent="0.2">
      <c r="G50298" s="889"/>
    </row>
    <row r="50299" spans="7:7" ht="10.5" customHeight="1" x14ac:dyDescent="0.2">
      <c r="G50299" s="889"/>
    </row>
    <row r="50300" spans="7:7" ht="10.5" customHeight="1" x14ac:dyDescent="0.2">
      <c r="G50300" s="889"/>
    </row>
    <row r="50301" spans="7:7" ht="10.5" customHeight="1" x14ac:dyDescent="0.2">
      <c r="G50301" s="889"/>
    </row>
    <row r="50302" spans="7:7" ht="10.5" customHeight="1" x14ac:dyDescent="0.2">
      <c r="G50302" s="889"/>
    </row>
    <row r="50303" spans="7:7" ht="10.5" customHeight="1" x14ac:dyDescent="0.2">
      <c r="G50303" s="889"/>
    </row>
    <row r="50304" spans="7:7" ht="10.5" customHeight="1" x14ac:dyDescent="0.2">
      <c r="G50304" s="889"/>
    </row>
    <row r="50305" spans="7:7" ht="10.5" customHeight="1" x14ac:dyDescent="0.2">
      <c r="G50305" s="889"/>
    </row>
    <row r="50306" spans="7:7" ht="10.5" customHeight="1" x14ac:dyDescent="0.2">
      <c r="G50306" s="889"/>
    </row>
    <row r="50307" spans="7:7" ht="10.5" customHeight="1" x14ac:dyDescent="0.2">
      <c r="G50307" s="889"/>
    </row>
    <row r="50308" spans="7:7" ht="10.5" customHeight="1" x14ac:dyDescent="0.2">
      <c r="G50308" s="889"/>
    </row>
    <row r="50309" spans="7:7" ht="10.5" customHeight="1" x14ac:dyDescent="0.2">
      <c r="G50309" s="889"/>
    </row>
    <row r="50310" spans="7:7" ht="10.5" customHeight="1" x14ac:dyDescent="0.2">
      <c r="G50310" s="889"/>
    </row>
    <row r="50311" spans="7:7" ht="10.5" customHeight="1" x14ac:dyDescent="0.2">
      <c r="G50311" s="889"/>
    </row>
    <row r="50312" spans="7:7" ht="10.5" customHeight="1" x14ac:dyDescent="0.2">
      <c r="G50312" s="889"/>
    </row>
    <row r="50313" spans="7:7" ht="10.5" customHeight="1" x14ac:dyDescent="0.2">
      <c r="G50313" s="889"/>
    </row>
    <row r="50314" spans="7:7" ht="10.5" customHeight="1" x14ac:dyDescent="0.2">
      <c r="G50314" s="889"/>
    </row>
    <row r="50315" spans="7:7" ht="10.5" customHeight="1" x14ac:dyDescent="0.2">
      <c r="G50315" s="889"/>
    </row>
    <row r="50316" spans="7:7" ht="10.5" customHeight="1" x14ac:dyDescent="0.2">
      <c r="G50316" s="889"/>
    </row>
    <row r="50317" spans="7:7" ht="10.5" customHeight="1" x14ac:dyDescent="0.2">
      <c r="G50317" s="889"/>
    </row>
    <row r="50318" spans="7:7" ht="10.5" customHeight="1" x14ac:dyDescent="0.2">
      <c r="G50318" s="889"/>
    </row>
    <row r="50319" spans="7:7" ht="10.5" customHeight="1" x14ac:dyDescent="0.2">
      <c r="G50319" s="889"/>
    </row>
    <row r="50320" spans="7:7" ht="10.5" customHeight="1" x14ac:dyDescent="0.2">
      <c r="G50320" s="889"/>
    </row>
    <row r="50321" spans="7:7" ht="10.5" customHeight="1" x14ac:dyDescent="0.2">
      <c r="G50321" s="889"/>
    </row>
    <row r="50322" spans="7:7" ht="10.5" customHeight="1" x14ac:dyDescent="0.2">
      <c r="G50322" s="889"/>
    </row>
    <row r="50323" spans="7:7" ht="10.5" customHeight="1" x14ac:dyDescent="0.2">
      <c r="G50323" s="889"/>
    </row>
    <row r="50324" spans="7:7" ht="10.5" customHeight="1" x14ac:dyDescent="0.2">
      <c r="G50324" s="889"/>
    </row>
    <row r="50325" spans="7:7" ht="10.5" customHeight="1" x14ac:dyDescent="0.2">
      <c r="G50325" s="889"/>
    </row>
    <row r="50326" spans="7:7" ht="10.5" customHeight="1" x14ac:dyDescent="0.2">
      <c r="G50326" s="889"/>
    </row>
    <row r="50327" spans="7:7" ht="10.5" customHeight="1" x14ac:dyDescent="0.2">
      <c r="G50327" s="889"/>
    </row>
    <row r="50328" spans="7:7" ht="10.5" customHeight="1" x14ac:dyDescent="0.2">
      <c r="G50328" s="889"/>
    </row>
    <row r="50329" spans="7:7" ht="10.5" customHeight="1" x14ac:dyDescent="0.2">
      <c r="G50329" s="889"/>
    </row>
    <row r="50330" spans="7:7" ht="10.5" customHeight="1" x14ac:dyDescent="0.2">
      <c r="G50330" s="889"/>
    </row>
    <row r="50331" spans="7:7" ht="10.5" customHeight="1" x14ac:dyDescent="0.2">
      <c r="G50331" s="889"/>
    </row>
    <row r="50332" spans="7:7" ht="10.5" customHeight="1" x14ac:dyDescent="0.2">
      <c r="G50332" s="889"/>
    </row>
    <row r="50333" spans="7:7" ht="10.5" customHeight="1" x14ac:dyDescent="0.2">
      <c r="G50333" s="889"/>
    </row>
    <row r="50334" spans="7:7" ht="10.5" customHeight="1" x14ac:dyDescent="0.2">
      <c r="G50334" s="889"/>
    </row>
    <row r="50335" spans="7:7" ht="10.5" customHeight="1" x14ac:dyDescent="0.2">
      <c r="G50335" s="889"/>
    </row>
    <row r="50336" spans="7:7" ht="10.5" customHeight="1" x14ac:dyDescent="0.2">
      <c r="G50336" s="889"/>
    </row>
    <row r="50337" spans="7:7" ht="10.5" customHeight="1" x14ac:dyDescent="0.2">
      <c r="G50337" s="889"/>
    </row>
    <row r="50338" spans="7:7" ht="10.5" customHeight="1" x14ac:dyDescent="0.2">
      <c r="G50338" s="889"/>
    </row>
    <row r="50339" spans="7:7" ht="10.5" customHeight="1" x14ac:dyDescent="0.2">
      <c r="G50339" s="889"/>
    </row>
    <row r="50340" spans="7:7" ht="10.5" customHeight="1" x14ac:dyDescent="0.2">
      <c r="G50340" s="889"/>
    </row>
    <row r="50341" spans="7:7" ht="10.5" customHeight="1" x14ac:dyDescent="0.2">
      <c r="G50341" s="889"/>
    </row>
    <row r="50342" spans="7:7" ht="10.5" customHeight="1" x14ac:dyDescent="0.2">
      <c r="G50342" s="889"/>
    </row>
    <row r="50343" spans="7:7" ht="10.5" customHeight="1" x14ac:dyDescent="0.2">
      <c r="G50343" s="889"/>
    </row>
    <row r="50344" spans="7:7" ht="10.5" customHeight="1" x14ac:dyDescent="0.2">
      <c r="G50344" s="889"/>
    </row>
    <row r="50345" spans="7:7" ht="10.5" customHeight="1" x14ac:dyDescent="0.2">
      <c r="G50345" s="889"/>
    </row>
    <row r="50346" spans="7:7" ht="10.5" customHeight="1" x14ac:dyDescent="0.2">
      <c r="G50346" s="889"/>
    </row>
    <row r="50347" spans="7:7" ht="10.5" customHeight="1" x14ac:dyDescent="0.2">
      <c r="G50347" s="889"/>
    </row>
    <row r="50348" spans="7:7" ht="10.5" customHeight="1" x14ac:dyDescent="0.2">
      <c r="G50348" s="889"/>
    </row>
    <row r="50349" spans="7:7" ht="10.5" customHeight="1" x14ac:dyDescent="0.2">
      <c r="G50349" s="889"/>
    </row>
    <row r="50350" spans="7:7" ht="10.5" customHeight="1" x14ac:dyDescent="0.2">
      <c r="G50350" s="889"/>
    </row>
    <row r="50351" spans="7:7" ht="10.5" customHeight="1" x14ac:dyDescent="0.2">
      <c r="G50351" s="889"/>
    </row>
    <row r="50352" spans="7:7" ht="10.5" customHeight="1" x14ac:dyDescent="0.2">
      <c r="G50352" s="889"/>
    </row>
    <row r="50353" spans="7:7" ht="10.5" customHeight="1" x14ac:dyDescent="0.2">
      <c r="G50353" s="889"/>
    </row>
    <row r="50354" spans="7:7" ht="10.5" customHeight="1" x14ac:dyDescent="0.2">
      <c r="G50354" s="889"/>
    </row>
    <row r="50355" spans="7:7" ht="10.5" customHeight="1" x14ac:dyDescent="0.2">
      <c r="G50355" s="889"/>
    </row>
    <row r="50356" spans="7:7" ht="10.5" customHeight="1" x14ac:dyDescent="0.2">
      <c r="G50356" s="889"/>
    </row>
    <row r="50357" spans="7:7" ht="10.5" customHeight="1" x14ac:dyDescent="0.2">
      <c r="G50357" s="889"/>
    </row>
    <row r="50358" spans="7:7" ht="10.5" customHeight="1" x14ac:dyDescent="0.2">
      <c r="G50358" s="889"/>
    </row>
    <row r="50359" spans="7:7" ht="10.5" customHeight="1" x14ac:dyDescent="0.2">
      <c r="G50359" s="889"/>
    </row>
    <row r="50360" spans="7:7" ht="10.5" customHeight="1" x14ac:dyDescent="0.2">
      <c r="G50360" s="889"/>
    </row>
    <row r="50361" spans="7:7" ht="10.5" customHeight="1" x14ac:dyDescent="0.2">
      <c r="G50361" s="889"/>
    </row>
    <row r="50362" spans="7:7" ht="10.5" customHeight="1" x14ac:dyDescent="0.2">
      <c r="G50362" s="889"/>
    </row>
    <row r="50363" spans="7:7" ht="10.5" customHeight="1" x14ac:dyDescent="0.2">
      <c r="G50363" s="889"/>
    </row>
    <row r="50364" spans="7:7" ht="10.5" customHeight="1" x14ac:dyDescent="0.2">
      <c r="G50364" s="889"/>
    </row>
    <row r="50365" spans="7:7" ht="10.5" customHeight="1" x14ac:dyDescent="0.2">
      <c r="G50365" s="889"/>
    </row>
    <row r="50366" spans="7:7" ht="10.5" customHeight="1" x14ac:dyDescent="0.2">
      <c r="G50366" s="889"/>
    </row>
    <row r="50367" spans="7:7" ht="10.5" customHeight="1" x14ac:dyDescent="0.2">
      <c r="G50367" s="889"/>
    </row>
    <row r="50368" spans="7:7" ht="10.5" customHeight="1" x14ac:dyDescent="0.2">
      <c r="G50368" s="889"/>
    </row>
    <row r="50369" spans="7:7" ht="10.5" customHeight="1" x14ac:dyDescent="0.2">
      <c r="G50369" s="889"/>
    </row>
    <row r="50370" spans="7:7" ht="10.5" customHeight="1" x14ac:dyDescent="0.2">
      <c r="G50370" s="889"/>
    </row>
    <row r="50371" spans="7:7" ht="10.5" customHeight="1" x14ac:dyDescent="0.2">
      <c r="G50371" s="889"/>
    </row>
    <row r="50372" spans="7:7" ht="10.5" customHeight="1" x14ac:dyDescent="0.2">
      <c r="G50372" s="889"/>
    </row>
    <row r="50373" spans="7:7" ht="10.5" customHeight="1" x14ac:dyDescent="0.2">
      <c r="G50373" s="889"/>
    </row>
    <row r="50374" spans="7:7" ht="10.5" customHeight="1" x14ac:dyDescent="0.2">
      <c r="G50374" s="889"/>
    </row>
    <row r="50375" spans="7:7" ht="10.5" customHeight="1" x14ac:dyDescent="0.2">
      <c r="G50375" s="889"/>
    </row>
    <row r="50376" spans="7:7" ht="10.5" customHeight="1" x14ac:dyDescent="0.2">
      <c r="G50376" s="889"/>
    </row>
    <row r="50377" spans="7:7" ht="10.5" customHeight="1" x14ac:dyDescent="0.2">
      <c r="G50377" s="889"/>
    </row>
    <row r="50378" spans="7:7" ht="10.5" customHeight="1" x14ac:dyDescent="0.2">
      <c r="G50378" s="889"/>
    </row>
    <row r="50379" spans="7:7" ht="10.5" customHeight="1" x14ac:dyDescent="0.2">
      <c r="G50379" s="889"/>
    </row>
    <row r="50380" spans="7:7" ht="10.5" customHeight="1" x14ac:dyDescent="0.2">
      <c r="G50380" s="889"/>
    </row>
    <row r="50381" spans="7:7" ht="10.5" customHeight="1" x14ac:dyDescent="0.2">
      <c r="G50381" s="889"/>
    </row>
    <row r="50382" spans="7:7" ht="10.5" customHeight="1" x14ac:dyDescent="0.2">
      <c r="G50382" s="889"/>
    </row>
    <row r="50383" spans="7:7" ht="10.5" customHeight="1" x14ac:dyDescent="0.2">
      <c r="G50383" s="889"/>
    </row>
    <row r="50384" spans="7:7" ht="10.5" customHeight="1" x14ac:dyDescent="0.2">
      <c r="G50384" s="889"/>
    </row>
    <row r="50385" spans="7:7" ht="10.5" customHeight="1" x14ac:dyDescent="0.2">
      <c r="G50385" s="889"/>
    </row>
    <row r="50386" spans="7:7" ht="10.5" customHeight="1" x14ac:dyDescent="0.2">
      <c r="G50386" s="889"/>
    </row>
    <row r="50387" spans="7:7" ht="10.5" customHeight="1" x14ac:dyDescent="0.2">
      <c r="G50387" s="889"/>
    </row>
    <row r="50388" spans="7:7" ht="10.5" customHeight="1" x14ac:dyDescent="0.2">
      <c r="G50388" s="889"/>
    </row>
    <row r="50389" spans="7:7" ht="10.5" customHeight="1" x14ac:dyDescent="0.2">
      <c r="G50389" s="889"/>
    </row>
    <row r="50390" spans="7:7" ht="10.5" customHeight="1" x14ac:dyDescent="0.2">
      <c r="G50390" s="889"/>
    </row>
    <row r="50391" spans="7:7" ht="10.5" customHeight="1" x14ac:dyDescent="0.2">
      <c r="G50391" s="889"/>
    </row>
    <row r="50392" spans="7:7" ht="10.5" customHeight="1" x14ac:dyDescent="0.2">
      <c r="G50392" s="889"/>
    </row>
    <row r="50393" spans="7:7" ht="10.5" customHeight="1" x14ac:dyDescent="0.2">
      <c r="G50393" s="889"/>
    </row>
    <row r="50394" spans="7:7" ht="10.5" customHeight="1" x14ac:dyDescent="0.2">
      <c r="G50394" s="889"/>
    </row>
    <row r="50395" spans="7:7" ht="10.5" customHeight="1" x14ac:dyDescent="0.2">
      <c r="G50395" s="889"/>
    </row>
    <row r="50396" spans="7:7" ht="10.5" customHeight="1" x14ac:dyDescent="0.2">
      <c r="G50396" s="889"/>
    </row>
    <row r="50397" spans="7:7" ht="10.5" customHeight="1" x14ac:dyDescent="0.2">
      <c r="G50397" s="889"/>
    </row>
    <row r="50398" spans="7:7" ht="10.5" customHeight="1" x14ac:dyDescent="0.2">
      <c r="G50398" s="889"/>
    </row>
    <row r="50399" spans="7:7" ht="10.5" customHeight="1" x14ac:dyDescent="0.2">
      <c r="G50399" s="889"/>
    </row>
    <row r="50400" spans="7:7" ht="10.5" customHeight="1" x14ac:dyDescent="0.2">
      <c r="G50400" s="889"/>
    </row>
    <row r="50401" spans="7:7" ht="10.5" customHeight="1" x14ac:dyDescent="0.2">
      <c r="G50401" s="889"/>
    </row>
    <row r="50402" spans="7:7" ht="10.5" customHeight="1" x14ac:dyDescent="0.2">
      <c r="G50402" s="889"/>
    </row>
    <row r="50403" spans="7:7" ht="10.5" customHeight="1" x14ac:dyDescent="0.2">
      <c r="G50403" s="889"/>
    </row>
    <row r="50404" spans="7:7" ht="10.5" customHeight="1" x14ac:dyDescent="0.2">
      <c r="G50404" s="889"/>
    </row>
    <row r="50405" spans="7:7" ht="10.5" customHeight="1" x14ac:dyDescent="0.2">
      <c r="G50405" s="889"/>
    </row>
    <row r="50406" spans="7:7" ht="10.5" customHeight="1" x14ac:dyDescent="0.2">
      <c r="G50406" s="889"/>
    </row>
    <row r="50407" spans="7:7" ht="10.5" customHeight="1" x14ac:dyDescent="0.2">
      <c r="G50407" s="889"/>
    </row>
    <row r="50408" spans="7:7" ht="10.5" customHeight="1" x14ac:dyDescent="0.2">
      <c r="G50408" s="889"/>
    </row>
    <row r="50409" spans="7:7" ht="10.5" customHeight="1" x14ac:dyDescent="0.2">
      <c r="G50409" s="889"/>
    </row>
    <row r="50410" spans="7:7" ht="10.5" customHeight="1" x14ac:dyDescent="0.2">
      <c r="G50410" s="889"/>
    </row>
    <row r="50411" spans="7:7" ht="10.5" customHeight="1" x14ac:dyDescent="0.2">
      <c r="G50411" s="889"/>
    </row>
    <row r="50412" spans="7:7" ht="10.5" customHeight="1" x14ac:dyDescent="0.2">
      <c r="G50412" s="889"/>
    </row>
    <row r="50413" spans="7:7" ht="10.5" customHeight="1" x14ac:dyDescent="0.2">
      <c r="G50413" s="889"/>
    </row>
    <row r="50414" spans="7:7" ht="10.5" customHeight="1" x14ac:dyDescent="0.2">
      <c r="G50414" s="889"/>
    </row>
    <row r="50415" spans="7:7" ht="10.5" customHeight="1" x14ac:dyDescent="0.2">
      <c r="G50415" s="889"/>
    </row>
    <row r="50416" spans="7:7" ht="10.5" customHeight="1" x14ac:dyDescent="0.2">
      <c r="G50416" s="889"/>
    </row>
    <row r="50417" spans="7:7" ht="10.5" customHeight="1" x14ac:dyDescent="0.2">
      <c r="G50417" s="889"/>
    </row>
    <row r="50418" spans="7:7" ht="10.5" customHeight="1" x14ac:dyDescent="0.2">
      <c r="G50418" s="889"/>
    </row>
    <row r="50419" spans="7:7" ht="10.5" customHeight="1" x14ac:dyDescent="0.2">
      <c r="G50419" s="889"/>
    </row>
    <row r="50420" spans="7:7" ht="10.5" customHeight="1" x14ac:dyDescent="0.2">
      <c r="G50420" s="889"/>
    </row>
    <row r="50421" spans="7:7" ht="10.5" customHeight="1" x14ac:dyDescent="0.2">
      <c r="G50421" s="889"/>
    </row>
    <row r="50422" spans="7:7" ht="10.5" customHeight="1" x14ac:dyDescent="0.2">
      <c r="G50422" s="889"/>
    </row>
    <row r="50423" spans="7:7" ht="10.5" customHeight="1" x14ac:dyDescent="0.2">
      <c r="G50423" s="889"/>
    </row>
    <row r="50424" spans="7:7" ht="10.5" customHeight="1" x14ac:dyDescent="0.2">
      <c r="G50424" s="889"/>
    </row>
    <row r="50425" spans="7:7" ht="10.5" customHeight="1" x14ac:dyDescent="0.2">
      <c r="G50425" s="889"/>
    </row>
    <row r="50426" spans="7:7" ht="10.5" customHeight="1" x14ac:dyDescent="0.2">
      <c r="G50426" s="889"/>
    </row>
    <row r="50427" spans="7:7" ht="10.5" customHeight="1" x14ac:dyDescent="0.2">
      <c r="G50427" s="889"/>
    </row>
    <row r="50428" spans="7:7" ht="10.5" customHeight="1" x14ac:dyDescent="0.2">
      <c r="G50428" s="889"/>
    </row>
    <row r="50429" spans="7:7" ht="10.5" customHeight="1" x14ac:dyDescent="0.2">
      <c r="G50429" s="889"/>
    </row>
    <row r="50430" spans="7:7" ht="10.5" customHeight="1" x14ac:dyDescent="0.2">
      <c r="G50430" s="889"/>
    </row>
    <row r="50431" spans="7:7" ht="10.5" customHeight="1" x14ac:dyDescent="0.2">
      <c r="G50431" s="889"/>
    </row>
    <row r="50432" spans="7:7" ht="10.5" customHeight="1" x14ac:dyDescent="0.2">
      <c r="G50432" s="889"/>
    </row>
    <row r="50433" spans="7:7" ht="10.5" customHeight="1" x14ac:dyDescent="0.2">
      <c r="G50433" s="889"/>
    </row>
    <row r="50434" spans="7:7" ht="10.5" customHeight="1" x14ac:dyDescent="0.2">
      <c r="G50434" s="889"/>
    </row>
    <row r="50435" spans="7:7" ht="10.5" customHeight="1" x14ac:dyDescent="0.2">
      <c r="G50435" s="889"/>
    </row>
    <row r="50436" spans="7:7" ht="10.5" customHeight="1" x14ac:dyDescent="0.2">
      <c r="G50436" s="889"/>
    </row>
    <row r="50437" spans="7:7" ht="10.5" customHeight="1" x14ac:dyDescent="0.2">
      <c r="G50437" s="889"/>
    </row>
    <row r="50438" spans="7:7" ht="10.5" customHeight="1" x14ac:dyDescent="0.2">
      <c r="G50438" s="889"/>
    </row>
    <row r="50439" spans="7:7" ht="10.5" customHeight="1" x14ac:dyDescent="0.2">
      <c r="G50439" s="889"/>
    </row>
    <row r="50440" spans="7:7" ht="10.5" customHeight="1" x14ac:dyDescent="0.2">
      <c r="G50440" s="889"/>
    </row>
    <row r="50441" spans="7:7" ht="10.5" customHeight="1" x14ac:dyDescent="0.2">
      <c r="G50441" s="889"/>
    </row>
    <row r="50442" spans="7:7" ht="10.5" customHeight="1" x14ac:dyDescent="0.2">
      <c r="G50442" s="889"/>
    </row>
    <row r="50443" spans="7:7" ht="10.5" customHeight="1" x14ac:dyDescent="0.2">
      <c r="G50443" s="889"/>
    </row>
    <row r="50444" spans="7:7" ht="10.5" customHeight="1" x14ac:dyDescent="0.2">
      <c r="G50444" s="889"/>
    </row>
    <row r="50445" spans="7:7" ht="10.5" customHeight="1" x14ac:dyDescent="0.2">
      <c r="G50445" s="889"/>
    </row>
    <row r="50446" spans="7:7" ht="10.5" customHeight="1" x14ac:dyDescent="0.2">
      <c r="G50446" s="889"/>
    </row>
    <row r="50447" spans="7:7" ht="10.5" customHeight="1" x14ac:dyDescent="0.2">
      <c r="G50447" s="889"/>
    </row>
    <row r="50448" spans="7:7" ht="10.5" customHeight="1" x14ac:dyDescent="0.2">
      <c r="G50448" s="889"/>
    </row>
    <row r="50449" spans="7:7" ht="10.5" customHeight="1" x14ac:dyDescent="0.2">
      <c r="G50449" s="889"/>
    </row>
    <row r="50450" spans="7:7" ht="10.5" customHeight="1" x14ac:dyDescent="0.2">
      <c r="G50450" s="889"/>
    </row>
    <row r="50451" spans="7:7" ht="10.5" customHeight="1" x14ac:dyDescent="0.2">
      <c r="G50451" s="889"/>
    </row>
    <row r="50452" spans="7:7" ht="10.5" customHeight="1" x14ac:dyDescent="0.2">
      <c r="G50452" s="889"/>
    </row>
    <row r="50453" spans="7:7" ht="10.5" customHeight="1" x14ac:dyDescent="0.2">
      <c r="G50453" s="889"/>
    </row>
    <row r="50454" spans="7:7" ht="10.5" customHeight="1" x14ac:dyDescent="0.2">
      <c r="G50454" s="889"/>
    </row>
    <row r="50455" spans="7:7" ht="10.5" customHeight="1" x14ac:dyDescent="0.2">
      <c r="G50455" s="889"/>
    </row>
    <row r="50456" spans="7:7" ht="10.5" customHeight="1" x14ac:dyDescent="0.2">
      <c r="G50456" s="889"/>
    </row>
    <row r="50457" spans="7:7" ht="10.5" customHeight="1" x14ac:dyDescent="0.2">
      <c r="G50457" s="889"/>
    </row>
    <row r="50458" spans="7:7" ht="10.5" customHeight="1" x14ac:dyDescent="0.2">
      <c r="G50458" s="889"/>
    </row>
    <row r="50459" spans="7:7" ht="10.5" customHeight="1" x14ac:dyDescent="0.2">
      <c r="G50459" s="889"/>
    </row>
    <row r="50460" spans="7:7" ht="10.5" customHeight="1" x14ac:dyDescent="0.2">
      <c r="G50460" s="889"/>
    </row>
    <row r="50461" spans="7:7" ht="10.5" customHeight="1" x14ac:dyDescent="0.2">
      <c r="G50461" s="889"/>
    </row>
    <row r="50462" spans="7:7" ht="10.5" customHeight="1" x14ac:dyDescent="0.2">
      <c r="G50462" s="889"/>
    </row>
    <row r="50463" spans="7:7" ht="10.5" customHeight="1" x14ac:dyDescent="0.2">
      <c r="G50463" s="889"/>
    </row>
    <row r="50464" spans="7:7" ht="10.5" customHeight="1" x14ac:dyDescent="0.2">
      <c r="G50464" s="889"/>
    </row>
    <row r="50465" spans="7:7" ht="10.5" customHeight="1" x14ac:dyDescent="0.2">
      <c r="G50465" s="889"/>
    </row>
    <row r="50466" spans="7:7" ht="10.5" customHeight="1" x14ac:dyDescent="0.2">
      <c r="G50466" s="889"/>
    </row>
    <row r="50467" spans="7:7" ht="10.5" customHeight="1" x14ac:dyDescent="0.2">
      <c r="G50467" s="889"/>
    </row>
    <row r="50468" spans="7:7" ht="10.5" customHeight="1" x14ac:dyDescent="0.2">
      <c r="G50468" s="889"/>
    </row>
    <row r="50469" spans="7:7" ht="10.5" customHeight="1" x14ac:dyDescent="0.2">
      <c r="G50469" s="889"/>
    </row>
    <row r="50470" spans="7:7" ht="10.5" customHeight="1" x14ac:dyDescent="0.2">
      <c r="G50470" s="889"/>
    </row>
    <row r="50471" spans="7:7" ht="10.5" customHeight="1" x14ac:dyDescent="0.2">
      <c r="G50471" s="889"/>
    </row>
    <row r="50472" spans="7:7" ht="10.5" customHeight="1" x14ac:dyDescent="0.2">
      <c r="G50472" s="889"/>
    </row>
    <row r="50473" spans="7:7" ht="10.5" customHeight="1" x14ac:dyDescent="0.2">
      <c r="G50473" s="889"/>
    </row>
    <row r="50474" spans="7:7" ht="10.5" customHeight="1" x14ac:dyDescent="0.2">
      <c r="G50474" s="889"/>
    </row>
    <row r="50475" spans="7:7" ht="10.5" customHeight="1" x14ac:dyDescent="0.2">
      <c r="G50475" s="889"/>
    </row>
    <row r="50476" spans="7:7" ht="10.5" customHeight="1" x14ac:dyDescent="0.2">
      <c r="G50476" s="889"/>
    </row>
    <row r="50477" spans="7:7" ht="10.5" customHeight="1" x14ac:dyDescent="0.2">
      <c r="G50477" s="889"/>
    </row>
    <row r="50478" spans="7:7" ht="10.5" customHeight="1" x14ac:dyDescent="0.2">
      <c r="G50478" s="889"/>
    </row>
    <row r="50479" spans="7:7" ht="10.5" customHeight="1" x14ac:dyDescent="0.2">
      <c r="G50479" s="889"/>
    </row>
    <row r="50480" spans="7:7" ht="10.5" customHeight="1" x14ac:dyDescent="0.2">
      <c r="G50480" s="889"/>
    </row>
    <row r="50481" spans="7:7" ht="10.5" customHeight="1" x14ac:dyDescent="0.2">
      <c r="G50481" s="889"/>
    </row>
    <row r="50482" spans="7:7" ht="10.5" customHeight="1" x14ac:dyDescent="0.2">
      <c r="G50482" s="889"/>
    </row>
    <row r="50483" spans="7:7" ht="10.5" customHeight="1" x14ac:dyDescent="0.2">
      <c r="G50483" s="889"/>
    </row>
    <row r="50484" spans="7:7" ht="10.5" customHeight="1" x14ac:dyDescent="0.2">
      <c r="G50484" s="889"/>
    </row>
    <row r="50485" spans="7:7" ht="10.5" customHeight="1" x14ac:dyDescent="0.2">
      <c r="G50485" s="889"/>
    </row>
    <row r="50486" spans="7:7" ht="10.5" customHeight="1" x14ac:dyDescent="0.2">
      <c r="G50486" s="889"/>
    </row>
    <row r="50487" spans="7:7" ht="10.5" customHeight="1" x14ac:dyDescent="0.2">
      <c r="G50487" s="889"/>
    </row>
    <row r="50488" spans="7:7" ht="10.5" customHeight="1" x14ac:dyDescent="0.2">
      <c r="G50488" s="889"/>
    </row>
    <row r="50489" spans="7:7" ht="10.5" customHeight="1" x14ac:dyDescent="0.2">
      <c r="G50489" s="889"/>
    </row>
    <row r="50490" spans="7:7" ht="10.5" customHeight="1" x14ac:dyDescent="0.2">
      <c r="G50490" s="889"/>
    </row>
    <row r="50491" spans="7:7" ht="10.5" customHeight="1" x14ac:dyDescent="0.2">
      <c r="G50491" s="889"/>
    </row>
    <row r="50492" spans="7:7" ht="10.5" customHeight="1" x14ac:dyDescent="0.2">
      <c r="G50492" s="889"/>
    </row>
    <row r="50493" spans="7:7" ht="10.5" customHeight="1" x14ac:dyDescent="0.2">
      <c r="G50493" s="889"/>
    </row>
    <row r="50494" spans="7:7" ht="10.5" customHeight="1" x14ac:dyDescent="0.2">
      <c r="G50494" s="889"/>
    </row>
    <row r="50495" spans="7:7" ht="10.5" customHeight="1" x14ac:dyDescent="0.2">
      <c r="G50495" s="889"/>
    </row>
    <row r="50496" spans="7:7" ht="10.5" customHeight="1" x14ac:dyDescent="0.2">
      <c r="G50496" s="889"/>
    </row>
    <row r="50497" spans="7:7" ht="10.5" customHeight="1" x14ac:dyDescent="0.2">
      <c r="G50497" s="889"/>
    </row>
    <row r="50498" spans="7:7" ht="10.5" customHeight="1" x14ac:dyDescent="0.2">
      <c r="G50498" s="889"/>
    </row>
    <row r="50499" spans="7:7" ht="10.5" customHeight="1" x14ac:dyDescent="0.2">
      <c r="G50499" s="889"/>
    </row>
    <row r="50500" spans="7:7" ht="10.5" customHeight="1" x14ac:dyDescent="0.2">
      <c r="G50500" s="889"/>
    </row>
    <row r="50501" spans="7:7" ht="10.5" customHeight="1" x14ac:dyDescent="0.2">
      <c r="G50501" s="889"/>
    </row>
    <row r="50502" spans="7:7" ht="10.5" customHeight="1" x14ac:dyDescent="0.2">
      <c r="G50502" s="889"/>
    </row>
    <row r="50503" spans="7:7" ht="10.5" customHeight="1" x14ac:dyDescent="0.2">
      <c r="G50503" s="889"/>
    </row>
    <row r="50504" spans="7:7" ht="10.5" customHeight="1" x14ac:dyDescent="0.2">
      <c r="G50504" s="889"/>
    </row>
    <row r="50505" spans="7:7" ht="10.5" customHeight="1" x14ac:dyDescent="0.2">
      <c r="G50505" s="889"/>
    </row>
    <row r="50506" spans="7:7" ht="10.5" customHeight="1" x14ac:dyDescent="0.2">
      <c r="G50506" s="889"/>
    </row>
    <row r="50507" spans="7:7" ht="10.5" customHeight="1" x14ac:dyDescent="0.2">
      <c r="G50507" s="889"/>
    </row>
    <row r="50508" spans="7:7" ht="10.5" customHeight="1" x14ac:dyDescent="0.2">
      <c r="G50508" s="889"/>
    </row>
    <row r="50509" spans="7:7" ht="10.5" customHeight="1" x14ac:dyDescent="0.2">
      <c r="G50509" s="889"/>
    </row>
    <row r="50510" spans="7:7" ht="10.5" customHeight="1" x14ac:dyDescent="0.2">
      <c r="G50510" s="889"/>
    </row>
    <row r="50511" spans="7:7" ht="10.5" customHeight="1" x14ac:dyDescent="0.2">
      <c r="G50511" s="889"/>
    </row>
    <row r="50512" spans="7:7" ht="10.5" customHeight="1" x14ac:dyDescent="0.2">
      <c r="G50512" s="889"/>
    </row>
    <row r="50513" spans="7:7" ht="10.5" customHeight="1" x14ac:dyDescent="0.2">
      <c r="G50513" s="889"/>
    </row>
    <row r="50514" spans="7:7" ht="10.5" customHeight="1" x14ac:dyDescent="0.2">
      <c r="G50514" s="889"/>
    </row>
    <row r="50515" spans="7:7" ht="10.5" customHeight="1" x14ac:dyDescent="0.2">
      <c r="G50515" s="889"/>
    </row>
    <row r="50516" spans="7:7" ht="10.5" customHeight="1" x14ac:dyDescent="0.2">
      <c r="G50516" s="889"/>
    </row>
    <row r="50517" spans="7:7" ht="10.5" customHeight="1" x14ac:dyDescent="0.2">
      <c r="G50517" s="889"/>
    </row>
    <row r="50518" spans="7:7" ht="10.5" customHeight="1" x14ac:dyDescent="0.2">
      <c r="G50518" s="889"/>
    </row>
    <row r="50519" spans="7:7" ht="10.5" customHeight="1" x14ac:dyDescent="0.2">
      <c r="G50519" s="889"/>
    </row>
    <row r="50520" spans="7:7" ht="10.5" customHeight="1" x14ac:dyDescent="0.2">
      <c r="G50520" s="889"/>
    </row>
    <row r="50521" spans="7:7" ht="10.5" customHeight="1" x14ac:dyDescent="0.2">
      <c r="G50521" s="889"/>
    </row>
    <row r="50522" spans="7:7" ht="10.5" customHeight="1" x14ac:dyDescent="0.2">
      <c r="G50522" s="889"/>
    </row>
    <row r="50523" spans="7:7" ht="10.5" customHeight="1" x14ac:dyDescent="0.2">
      <c r="G50523" s="889"/>
    </row>
    <row r="50524" spans="7:7" ht="10.5" customHeight="1" x14ac:dyDescent="0.2">
      <c r="G50524" s="889"/>
    </row>
    <row r="50525" spans="7:7" ht="10.5" customHeight="1" x14ac:dyDescent="0.2">
      <c r="G50525" s="889"/>
    </row>
    <row r="50526" spans="7:7" ht="10.5" customHeight="1" x14ac:dyDescent="0.2">
      <c r="G50526" s="889"/>
    </row>
    <row r="50527" spans="7:7" ht="10.5" customHeight="1" x14ac:dyDescent="0.2">
      <c r="G50527" s="889"/>
    </row>
    <row r="50528" spans="7:7" ht="10.5" customHeight="1" x14ac:dyDescent="0.2">
      <c r="G50528" s="889"/>
    </row>
    <row r="50529" spans="7:7" ht="10.5" customHeight="1" x14ac:dyDescent="0.2">
      <c r="G50529" s="889"/>
    </row>
    <row r="50530" spans="7:7" ht="10.5" customHeight="1" x14ac:dyDescent="0.2">
      <c r="G50530" s="889"/>
    </row>
    <row r="50531" spans="7:7" ht="10.5" customHeight="1" x14ac:dyDescent="0.2">
      <c r="G50531" s="889"/>
    </row>
    <row r="50532" spans="7:7" ht="10.5" customHeight="1" x14ac:dyDescent="0.2">
      <c r="G50532" s="889"/>
    </row>
    <row r="50533" spans="7:7" ht="10.5" customHeight="1" x14ac:dyDescent="0.2">
      <c r="G50533" s="889"/>
    </row>
    <row r="50534" spans="7:7" ht="10.5" customHeight="1" x14ac:dyDescent="0.2">
      <c r="G50534" s="889"/>
    </row>
    <row r="50535" spans="7:7" ht="10.5" customHeight="1" x14ac:dyDescent="0.2">
      <c r="G50535" s="889"/>
    </row>
    <row r="50536" spans="7:7" ht="10.5" customHeight="1" x14ac:dyDescent="0.2">
      <c r="G50536" s="889"/>
    </row>
    <row r="50537" spans="7:7" ht="10.5" customHeight="1" x14ac:dyDescent="0.2">
      <c r="G50537" s="889"/>
    </row>
    <row r="50538" spans="7:7" ht="10.5" customHeight="1" x14ac:dyDescent="0.2">
      <c r="G50538" s="889"/>
    </row>
    <row r="50539" spans="7:7" ht="10.5" customHeight="1" x14ac:dyDescent="0.2">
      <c r="G50539" s="889"/>
    </row>
    <row r="50540" spans="7:7" ht="10.5" customHeight="1" x14ac:dyDescent="0.2">
      <c r="G50540" s="889"/>
    </row>
    <row r="50541" spans="7:7" ht="10.5" customHeight="1" x14ac:dyDescent="0.2">
      <c r="G50541" s="889"/>
    </row>
    <row r="50542" spans="7:7" ht="10.5" customHeight="1" x14ac:dyDescent="0.2">
      <c r="G50542" s="889"/>
    </row>
    <row r="50543" spans="7:7" ht="10.5" customHeight="1" x14ac:dyDescent="0.2">
      <c r="G50543" s="889"/>
    </row>
    <row r="50544" spans="7:7" ht="10.5" customHeight="1" x14ac:dyDescent="0.2">
      <c r="G50544" s="889"/>
    </row>
    <row r="50545" spans="7:7" ht="10.5" customHeight="1" x14ac:dyDescent="0.2">
      <c r="G50545" s="889"/>
    </row>
    <row r="50546" spans="7:7" ht="10.5" customHeight="1" x14ac:dyDescent="0.2">
      <c r="G50546" s="889"/>
    </row>
    <row r="50547" spans="7:7" ht="10.5" customHeight="1" x14ac:dyDescent="0.2">
      <c r="G50547" s="889"/>
    </row>
    <row r="50548" spans="7:7" ht="10.5" customHeight="1" x14ac:dyDescent="0.2">
      <c r="G50548" s="889"/>
    </row>
    <row r="50549" spans="7:7" ht="10.5" customHeight="1" x14ac:dyDescent="0.2">
      <c r="G50549" s="889"/>
    </row>
    <row r="50550" spans="7:7" ht="10.5" customHeight="1" x14ac:dyDescent="0.2">
      <c r="G50550" s="889"/>
    </row>
    <row r="50551" spans="7:7" ht="10.5" customHeight="1" x14ac:dyDescent="0.2">
      <c r="G50551" s="889"/>
    </row>
    <row r="50552" spans="7:7" ht="10.5" customHeight="1" x14ac:dyDescent="0.2">
      <c r="G50552" s="889"/>
    </row>
    <row r="50553" spans="7:7" ht="10.5" customHeight="1" x14ac:dyDescent="0.2">
      <c r="G50553" s="889"/>
    </row>
    <row r="50554" spans="7:7" ht="10.5" customHeight="1" x14ac:dyDescent="0.2">
      <c r="G50554" s="889"/>
    </row>
    <row r="50555" spans="7:7" ht="10.5" customHeight="1" x14ac:dyDescent="0.2">
      <c r="G50555" s="889"/>
    </row>
    <row r="50556" spans="7:7" ht="10.5" customHeight="1" x14ac:dyDescent="0.2">
      <c r="G50556" s="889"/>
    </row>
    <row r="50557" spans="7:7" ht="10.5" customHeight="1" x14ac:dyDescent="0.2">
      <c r="G50557" s="889"/>
    </row>
    <row r="50558" spans="7:7" ht="10.5" customHeight="1" x14ac:dyDescent="0.2">
      <c r="G50558" s="889"/>
    </row>
    <row r="50559" spans="7:7" ht="10.5" customHeight="1" x14ac:dyDescent="0.2">
      <c r="G50559" s="889"/>
    </row>
    <row r="50560" spans="7:7" ht="10.5" customHeight="1" x14ac:dyDescent="0.2">
      <c r="G50560" s="889"/>
    </row>
    <row r="50561" spans="7:7" ht="10.5" customHeight="1" x14ac:dyDescent="0.2">
      <c r="G50561" s="889"/>
    </row>
    <row r="50562" spans="7:7" ht="10.5" customHeight="1" x14ac:dyDescent="0.2">
      <c r="G50562" s="889"/>
    </row>
    <row r="50563" spans="7:7" ht="10.5" customHeight="1" x14ac:dyDescent="0.2">
      <c r="G50563" s="889"/>
    </row>
    <row r="50564" spans="7:7" ht="10.5" customHeight="1" x14ac:dyDescent="0.2">
      <c r="G50564" s="889"/>
    </row>
    <row r="50565" spans="7:7" ht="10.5" customHeight="1" x14ac:dyDescent="0.2">
      <c r="G50565" s="889"/>
    </row>
    <row r="50566" spans="7:7" ht="10.5" customHeight="1" x14ac:dyDescent="0.2">
      <c r="G50566" s="889"/>
    </row>
    <row r="50567" spans="7:7" ht="10.5" customHeight="1" x14ac:dyDescent="0.2">
      <c r="G50567" s="889"/>
    </row>
    <row r="50568" spans="7:7" ht="10.5" customHeight="1" x14ac:dyDescent="0.2">
      <c r="G50568" s="889"/>
    </row>
    <row r="50569" spans="7:7" ht="10.5" customHeight="1" x14ac:dyDescent="0.2">
      <c r="G50569" s="889"/>
    </row>
    <row r="50570" spans="7:7" ht="10.5" customHeight="1" x14ac:dyDescent="0.2">
      <c r="G50570" s="889"/>
    </row>
    <row r="50571" spans="7:7" ht="10.5" customHeight="1" x14ac:dyDescent="0.2">
      <c r="G50571" s="889"/>
    </row>
    <row r="50572" spans="7:7" ht="10.5" customHeight="1" x14ac:dyDescent="0.2">
      <c r="G50572" s="889"/>
    </row>
    <row r="50573" spans="7:7" ht="10.5" customHeight="1" x14ac:dyDescent="0.2">
      <c r="G50573" s="889"/>
    </row>
    <row r="50574" spans="7:7" ht="10.5" customHeight="1" x14ac:dyDescent="0.2">
      <c r="G50574" s="889"/>
    </row>
    <row r="50575" spans="7:7" ht="10.5" customHeight="1" x14ac:dyDescent="0.2">
      <c r="G50575" s="889"/>
    </row>
    <row r="50576" spans="7:7" ht="10.5" customHeight="1" x14ac:dyDescent="0.2">
      <c r="G50576" s="889"/>
    </row>
    <row r="50577" spans="7:7" ht="10.5" customHeight="1" x14ac:dyDescent="0.2">
      <c r="G50577" s="889"/>
    </row>
    <row r="50578" spans="7:7" ht="10.5" customHeight="1" x14ac:dyDescent="0.2">
      <c r="G50578" s="889"/>
    </row>
    <row r="50579" spans="7:7" ht="10.5" customHeight="1" x14ac:dyDescent="0.2">
      <c r="G50579" s="889"/>
    </row>
    <row r="50580" spans="7:7" ht="10.5" customHeight="1" x14ac:dyDescent="0.2">
      <c r="G50580" s="889"/>
    </row>
    <row r="50581" spans="7:7" ht="10.5" customHeight="1" x14ac:dyDescent="0.2">
      <c r="G50581" s="889"/>
    </row>
    <row r="50582" spans="7:7" ht="10.5" customHeight="1" x14ac:dyDescent="0.2">
      <c r="G50582" s="889"/>
    </row>
    <row r="50583" spans="7:7" ht="10.5" customHeight="1" x14ac:dyDescent="0.2">
      <c r="G50583" s="889"/>
    </row>
    <row r="50584" spans="7:7" ht="10.5" customHeight="1" x14ac:dyDescent="0.2">
      <c r="G50584" s="889"/>
    </row>
    <row r="50585" spans="7:7" ht="10.5" customHeight="1" x14ac:dyDescent="0.2">
      <c r="G50585" s="889"/>
    </row>
    <row r="50586" spans="7:7" ht="10.5" customHeight="1" x14ac:dyDescent="0.2">
      <c r="G50586" s="889"/>
    </row>
    <row r="50587" spans="7:7" ht="10.5" customHeight="1" x14ac:dyDescent="0.2">
      <c r="G50587" s="889"/>
    </row>
    <row r="50588" spans="7:7" ht="10.5" customHeight="1" x14ac:dyDescent="0.2">
      <c r="G50588" s="889"/>
    </row>
    <row r="50589" spans="7:7" ht="10.5" customHeight="1" x14ac:dyDescent="0.2">
      <c r="G50589" s="889"/>
    </row>
    <row r="50590" spans="7:7" ht="10.5" customHeight="1" x14ac:dyDescent="0.2">
      <c r="G50590" s="889"/>
    </row>
    <row r="50591" spans="7:7" ht="10.5" customHeight="1" x14ac:dyDescent="0.2">
      <c r="G50591" s="889"/>
    </row>
    <row r="50592" spans="7:7" ht="10.5" customHeight="1" x14ac:dyDescent="0.2">
      <c r="G50592" s="889"/>
    </row>
    <row r="50593" spans="7:7" ht="10.5" customHeight="1" x14ac:dyDescent="0.2">
      <c r="G50593" s="889"/>
    </row>
    <row r="50594" spans="7:7" ht="10.5" customHeight="1" x14ac:dyDescent="0.2">
      <c r="G50594" s="889"/>
    </row>
    <row r="50595" spans="7:7" ht="10.5" customHeight="1" x14ac:dyDescent="0.2">
      <c r="G50595" s="889"/>
    </row>
    <row r="50596" spans="7:7" ht="10.5" customHeight="1" x14ac:dyDescent="0.2">
      <c r="G50596" s="889"/>
    </row>
    <row r="50597" spans="7:7" ht="10.5" customHeight="1" x14ac:dyDescent="0.2">
      <c r="G50597" s="889"/>
    </row>
    <row r="50598" spans="7:7" ht="10.5" customHeight="1" x14ac:dyDescent="0.2">
      <c r="G50598" s="889"/>
    </row>
    <row r="50599" spans="7:7" ht="10.5" customHeight="1" x14ac:dyDescent="0.2">
      <c r="G50599" s="889"/>
    </row>
    <row r="50600" spans="7:7" ht="10.5" customHeight="1" x14ac:dyDescent="0.2">
      <c r="G50600" s="889"/>
    </row>
    <row r="50601" spans="7:7" ht="10.5" customHeight="1" x14ac:dyDescent="0.2">
      <c r="G50601" s="889"/>
    </row>
    <row r="50602" spans="7:7" ht="10.5" customHeight="1" x14ac:dyDescent="0.2">
      <c r="G50602" s="889"/>
    </row>
    <row r="50603" spans="7:7" ht="10.5" customHeight="1" x14ac:dyDescent="0.2">
      <c r="G50603" s="889"/>
    </row>
    <row r="50604" spans="7:7" ht="10.5" customHeight="1" x14ac:dyDescent="0.2">
      <c r="G50604" s="889"/>
    </row>
    <row r="50605" spans="7:7" ht="10.5" customHeight="1" x14ac:dyDescent="0.2">
      <c r="G50605" s="889"/>
    </row>
    <row r="50606" spans="7:7" ht="10.5" customHeight="1" x14ac:dyDescent="0.2">
      <c r="G50606" s="889"/>
    </row>
    <row r="50607" spans="7:7" ht="10.5" customHeight="1" x14ac:dyDescent="0.2">
      <c r="G50607" s="889"/>
    </row>
    <row r="50608" spans="7:7" ht="10.5" customHeight="1" x14ac:dyDescent="0.2">
      <c r="G50608" s="889"/>
    </row>
    <row r="50609" spans="7:7" ht="10.5" customHeight="1" x14ac:dyDescent="0.2">
      <c r="G50609" s="889"/>
    </row>
    <row r="50610" spans="7:7" ht="10.5" customHeight="1" x14ac:dyDescent="0.2">
      <c r="G50610" s="889"/>
    </row>
    <row r="50611" spans="7:7" ht="10.5" customHeight="1" x14ac:dyDescent="0.2">
      <c r="G50611" s="889"/>
    </row>
    <row r="50612" spans="7:7" ht="10.5" customHeight="1" x14ac:dyDescent="0.2">
      <c r="G50612" s="889"/>
    </row>
    <row r="50613" spans="7:7" ht="10.5" customHeight="1" x14ac:dyDescent="0.2">
      <c r="G50613" s="889"/>
    </row>
    <row r="50614" spans="7:7" ht="10.5" customHeight="1" x14ac:dyDescent="0.2">
      <c r="G50614" s="889"/>
    </row>
    <row r="50615" spans="7:7" ht="10.5" customHeight="1" x14ac:dyDescent="0.2">
      <c r="G50615" s="889"/>
    </row>
    <row r="50616" spans="7:7" ht="10.5" customHeight="1" x14ac:dyDescent="0.2">
      <c r="G50616" s="889"/>
    </row>
    <row r="50617" spans="7:7" ht="10.5" customHeight="1" x14ac:dyDescent="0.2">
      <c r="G50617" s="889"/>
    </row>
    <row r="50618" spans="7:7" ht="10.5" customHeight="1" x14ac:dyDescent="0.2">
      <c r="G50618" s="889"/>
    </row>
    <row r="50619" spans="7:7" ht="10.5" customHeight="1" x14ac:dyDescent="0.2">
      <c r="G50619" s="889"/>
    </row>
    <row r="50620" spans="7:7" ht="10.5" customHeight="1" x14ac:dyDescent="0.2">
      <c r="G50620" s="889"/>
    </row>
    <row r="50621" spans="7:7" ht="10.5" customHeight="1" x14ac:dyDescent="0.2">
      <c r="G50621" s="889"/>
    </row>
    <row r="50622" spans="7:7" ht="10.5" customHeight="1" x14ac:dyDescent="0.2">
      <c r="G50622" s="889"/>
    </row>
    <row r="50623" spans="7:7" ht="10.5" customHeight="1" x14ac:dyDescent="0.2">
      <c r="G50623" s="889"/>
    </row>
    <row r="50624" spans="7:7" ht="10.5" customHeight="1" x14ac:dyDescent="0.2">
      <c r="G50624" s="889"/>
    </row>
    <row r="50625" spans="7:7" ht="10.5" customHeight="1" x14ac:dyDescent="0.2">
      <c r="G50625" s="889"/>
    </row>
    <row r="50626" spans="7:7" ht="10.5" customHeight="1" x14ac:dyDescent="0.2">
      <c r="G50626" s="889"/>
    </row>
    <row r="50627" spans="7:7" ht="10.5" customHeight="1" x14ac:dyDescent="0.2">
      <c r="G50627" s="889"/>
    </row>
    <row r="50628" spans="7:7" ht="10.5" customHeight="1" x14ac:dyDescent="0.2">
      <c r="G50628" s="889"/>
    </row>
    <row r="50629" spans="7:7" ht="10.5" customHeight="1" x14ac:dyDescent="0.2">
      <c r="G50629" s="889"/>
    </row>
    <row r="50630" spans="7:7" ht="10.5" customHeight="1" x14ac:dyDescent="0.2">
      <c r="G50630" s="889"/>
    </row>
    <row r="50631" spans="7:7" ht="10.5" customHeight="1" x14ac:dyDescent="0.2">
      <c r="G50631" s="889"/>
    </row>
    <row r="50632" spans="7:7" ht="10.5" customHeight="1" x14ac:dyDescent="0.2">
      <c r="G50632" s="889"/>
    </row>
    <row r="50633" spans="7:7" ht="10.5" customHeight="1" x14ac:dyDescent="0.2">
      <c r="G50633" s="889"/>
    </row>
    <row r="50634" spans="7:7" ht="10.5" customHeight="1" x14ac:dyDescent="0.2">
      <c r="G50634" s="889"/>
    </row>
    <row r="50635" spans="7:7" ht="10.5" customHeight="1" x14ac:dyDescent="0.2">
      <c r="G50635" s="889"/>
    </row>
    <row r="50636" spans="7:7" ht="10.5" customHeight="1" x14ac:dyDescent="0.2">
      <c r="G50636" s="889"/>
    </row>
    <row r="50637" spans="7:7" ht="10.5" customHeight="1" x14ac:dyDescent="0.2">
      <c r="G50637" s="889"/>
    </row>
    <row r="50638" spans="7:7" ht="10.5" customHeight="1" x14ac:dyDescent="0.2">
      <c r="G50638" s="889"/>
    </row>
    <row r="50639" spans="7:7" ht="10.5" customHeight="1" x14ac:dyDescent="0.2">
      <c r="G50639" s="889"/>
    </row>
    <row r="50640" spans="7:7" ht="10.5" customHeight="1" x14ac:dyDescent="0.2">
      <c r="G50640" s="889"/>
    </row>
    <row r="50641" spans="7:7" ht="10.5" customHeight="1" x14ac:dyDescent="0.2">
      <c r="G50641" s="889"/>
    </row>
    <row r="50642" spans="7:7" ht="10.5" customHeight="1" x14ac:dyDescent="0.2">
      <c r="G50642" s="889"/>
    </row>
    <row r="50643" spans="7:7" ht="10.5" customHeight="1" x14ac:dyDescent="0.2">
      <c r="G50643" s="889"/>
    </row>
    <row r="50644" spans="7:7" ht="10.5" customHeight="1" x14ac:dyDescent="0.2">
      <c r="G50644" s="889"/>
    </row>
    <row r="50645" spans="7:7" ht="10.5" customHeight="1" x14ac:dyDescent="0.2">
      <c r="G50645" s="889"/>
    </row>
    <row r="50646" spans="7:7" ht="10.5" customHeight="1" x14ac:dyDescent="0.2">
      <c r="G50646" s="889"/>
    </row>
    <row r="50647" spans="7:7" ht="10.5" customHeight="1" x14ac:dyDescent="0.2">
      <c r="G50647" s="889"/>
    </row>
    <row r="50648" spans="7:7" ht="10.5" customHeight="1" x14ac:dyDescent="0.2">
      <c r="G50648" s="889"/>
    </row>
    <row r="50649" spans="7:7" ht="10.5" customHeight="1" x14ac:dyDescent="0.2">
      <c r="G50649" s="889"/>
    </row>
    <row r="50650" spans="7:7" ht="10.5" customHeight="1" x14ac:dyDescent="0.2">
      <c r="G50650" s="889"/>
    </row>
    <row r="50651" spans="7:7" ht="10.5" customHeight="1" x14ac:dyDescent="0.2">
      <c r="G50651" s="889"/>
    </row>
    <row r="50652" spans="7:7" ht="10.5" customHeight="1" x14ac:dyDescent="0.2">
      <c r="G50652" s="889"/>
    </row>
    <row r="50653" spans="7:7" ht="10.5" customHeight="1" x14ac:dyDescent="0.2">
      <c r="G50653" s="889"/>
    </row>
    <row r="50654" spans="7:7" ht="10.5" customHeight="1" x14ac:dyDescent="0.2">
      <c r="G50654" s="889"/>
    </row>
    <row r="50655" spans="7:7" ht="10.5" customHeight="1" x14ac:dyDescent="0.2">
      <c r="G50655" s="889"/>
    </row>
    <row r="50656" spans="7:7" ht="10.5" customHeight="1" x14ac:dyDescent="0.2">
      <c r="G50656" s="889"/>
    </row>
    <row r="50657" spans="7:7" ht="10.5" customHeight="1" x14ac:dyDescent="0.2">
      <c r="G50657" s="889"/>
    </row>
    <row r="50658" spans="7:7" ht="10.5" customHeight="1" x14ac:dyDescent="0.2">
      <c r="G50658" s="889"/>
    </row>
    <row r="50659" spans="7:7" ht="10.5" customHeight="1" x14ac:dyDescent="0.2">
      <c r="G50659" s="889"/>
    </row>
    <row r="50660" spans="7:7" ht="10.5" customHeight="1" x14ac:dyDescent="0.2">
      <c r="G50660" s="889"/>
    </row>
    <row r="50661" spans="7:7" ht="10.5" customHeight="1" x14ac:dyDescent="0.2">
      <c r="G50661" s="889"/>
    </row>
    <row r="50662" spans="7:7" ht="10.5" customHeight="1" x14ac:dyDescent="0.2">
      <c r="G50662" s="889"/>
    </row>
    <row r="50663" spans="7:7" ht="10.5" customHeight="1" x14ac:dyDescent="0.2">
      <c r="G50663" s="889"/>
    </row>
    <row r="50664" spans="7:7" ht="10.5" customHeight="1" x14ac:dyDescent="0.2">
      <c r="G50664" s="889"/>
    </row>
    <row r="50665" spans="7:7" ht="10.5" customHeight="1" x14ac:dyDescent="0.2">
      <c r="G50665" s="889"/>
    </row>
    <row r="50666" spans="7:7" ht="10.5" customHeight="1" x14ac:dyDescent="0.2">
      <c r="G50666" s="889"/>
    </row>
    <row r="50667" spans="7:7" ht="10.5" customHeight="1" x14ac:dyDescent="0.2">
      <c r="G50667" s="889"/>
    </row>
    <row r="50668" spans="7:7" ht="10.5" customHeight="1" x14ac:dyDescent="0.2">
      <c r="G50668" s="889"/>
    </row>
    <row r="50669" spans="7:7" ht="10.5" customHeight="1" x14ac:dyDescent="0.2">
      <c r="G50669" s="889"/>
    </row>
    <row r="50670" spans="7:7" ht="10.5" customHeight="1" x14ac:dyDescent="0.2">
      <c r="G50670" s="889"/>
    </row>
    <row r="50671" spans="7:7" ht="10.5" customHeight="1" x14ac:dyDescent="0.2">
      <c r="G50671" s="889"/>
    </row>
    <row r="50672" spans="7:7" ht="10.5" customHeight="1" x14ac:dyDescent="0.2">
      <c r="G50672" s="889"/>
    </row>
    <row r="50673" spans="7:7" ht="10.5" customHeight="1" x14ac:dyDescent="0.2">
      <c r="G50673" s="889"/>
    </row>
    <row r="50674" spans="7:7" ht="10.5" customHeight="1" x14ac:dyDescent="0.2">
      <c r="G50674" s="889"/>
    </row>
    <row r="50675" spans="7:7" ht="10.5" customHeight="1" x14ac:dyDescent="0.2">
      <c r="G50675" s="889"/>
    </row>
    <row r="50676" spans="7:7" ht="10.5" customHeight="1" x14ac:dyDescent="0.2">
      <c r="G50676" s="889"/>
    </row>
    <row r="50677" spans="7:7" ht="10.5" customHeight="1" x14ac:dyDescent="0.2">
      <c r="G50677" s="889"/>
    </row>
    <row r="50678" spans="7:7" ht="10.5" customHeight="1" x14ac:dyDescent="0.2">
      <c r="G50678" s="889"/>
    </row>
    <row r="50679" spans="7:7" ht="10.5" customHeight="1" x14ac:dyDescent="0.2">
      <c r="G50679" s="889"/>
    </row>
    <row r="50680" spans="7:7" ht="10.5" customHeight="1" x14ac:dyDescent="0.2">
      <c r="G50680" s="889"/>
    </row>
    <row r="50681" spans="7:7" ht="10.5" customHeight="1" x14ac:dyDescent="0.2">
      <c r="G50681" s="889"/>
    </row>
    <row r="50682" spans="7:7" ht="10.5" customHeight="1" x14ac:dyDescent="0.2">
      <c r="G50682" s="889"/>
    </row>
    <row r="50683" spans="7:7" ht="10.5" customHeight="1" x14ac:dyDescent="0.2">
      <c r="G50683" s="889"/>
    </row>
    <row r="50684" spans="7:7" ht="10.5" customHeight="1" x14ac:dyDescent="0.2">
      <c r="G50684" s="889"/>
    </row>
    <row r="50685" spans="7:7" ht="10.5" customHeight="1" x14ac:dyDescent="0.2">
      <c r="G50685" s="889"/>
    </row>
    <row r="50686" spans="7:7" ht="10.5" customHeight="1" x14ac:dyDescent="0.2">
      <c r="G50686" s="889"/>
    </row>
    <row r="50687" spans="7:7" ht="10.5" customHeight="1" x14ac:dyDescent="0.2">
      <c r="G50687" s="889"/>
    </row>
    <row r="50688" spans="7:7" ht="10.5" customHeight="1" x14ac:dyDescent="0.2">
      <c r="G50688" s="889"/>
    </row>
    <row r="50689" spans="7:7" ht="10.5" customHeight="1" x14ac:dyDescent="0.2">
      <c r="G50689" s="889"/>
    </row>
    <row r="50690" spans="7:7" ht="10.5" customHeight="1" x14ac:dyDescent="0.2">
      <c r="G50690" s="889"/>
    </row>
    <row r="50691" spans="7:7" ht="10.5" customHeight="1" x14ac:dyDescent="0.2">
      <c r="G50691" s="889"/>
    </row>
    <row r="50692" spans="7:7" ht="10.5" customHeight="1" x14ac:dyDescent="0.2">
      <c r="G50692" s="889"/>
    </row>
    <row r="50693" spans="7:7" ht="10.5" customHeight="1" x14ac:dyDescent="0.2">
      <c r="G50693" s="889"/>
    </row>
    <row r="50694" spans="7:7" ht="10.5" customHeight="1" x14ac:dyDescent="0.2">
      <c r="G50694" s="889"/>
    </row>
    <row r="50695" spans="7:7" ht="10.5" customHeight="1" x14ac:dyDescent="0.2">
      <c r="G50695" s="889"/>
    </row>
    <row r="50696" spans="7:7" ht="10.5" customHeight="1" x14ac:dyDescent="0.2">
      <c r="G50696" s="889"/>
    </row>
    <row r="50697" spans="7:7" ht="10.5" customHeight="1" x14ac:dyDescent="0.2">
      <c r="G50697" s="889"/>
    </row>
    <row r="50698" spans="7:7" ht="10.5" customHeight="1" x14ac:dyDescent="0.2">
      <c r="G50698" s="889"/>
    </row>
    <row r="50699" spans="7:7" ht="10.5" customHeight="1" x14ac:dyDescent="0.2">
      <c r="G50699" s="889"/>
    </row>
    <row r="50700" spans="7:7" ht="10.5" customHeight="1" x14ac:dyDescent="0.2">
      <c r="G50700" s="889"/>
    </row>
    <row r="50701" spans="7:7" ht="10.5" customHeight="1" x14ac:dyDescent="0.2">
      <c r="G50701" s="889"/>
    </row>
    <row r="50702" spans="7:7" ht="10.5" customHeight="1" x14ac:dyDescent="0.2">
      <c r="G50702" s="889"/>
    </row>
    <row r="50703" spans="7:7" ht="10.5" customHeight="1" x14ac:dyDescent="0.2">
      <c r="G50703" s="889"/>
    </row>
    <row r="50704" spans="7:7" ht="10.5" customHeight="1" x14ac:dyDescent="0.2">
      <c r="G50704" s="889"/>
    </row>
    <row r="50705" spans="7:7" ht="10.5" customHeight="1" x14ac:dyDescent="0.2">
      <c r="G50705" s="889"/>
    </row>
    <row r="50706" spans="7:7" ht="10.5" customHeight="1" x14ac:dyDescent="0.2">
      <c r="G50706" s="889"/>
    </row>
    <row r="50707" spans="7:7" ht="10.5" customHeight="1" x14ac:dyDescent="0.2">
      <c r="G50707" s="889"/>
    </row>
    <row r="50708" spans="7:7" ht="10.5" customHeight="1" x14ac:dyDescent="0.2">
      <c r="G50708" s="889"/>
    </row>
    <row r="50709" spans="7:7" ht="10.5" customHeight="1" x14ac:dyDescent="0.2">
      <c r="G50709" s="889"/>
    </row>
    <row r="50710" spans="7:7" ht="10.5" customHeight="1" x14ac:dyDescent="0.2">
      <c r="G50710" s="889"/>
    </row>
    <row r="50711" spans="7:7" ht="10.5" customHeight="1" x14ac:dyDescent="0.2">
      <c r="G50711" s="889"/>
    </row>
    <row r="50712" spans="7:7" ht="10.5" customHeight="1" x14ac:dyDescent="0.2">
      <c r="G50712" s="889"/>
    </row>
    <row r="50713" spans="7:7" ht="10.5" customHeight="1" x14ac:dyDescent="0.2">
      <c r="G50713" s="889"/>
    </row>
    <row r="50714" spans="7:7" ht="10.5" customHeight="1" x14ac:dyDescent="0.2">
      <c r="G50714" s="889"/>
    </row>
    <row r="50715" spans="7:7" ht="10.5" customHeight="1" x14ac:dyDescent="0.2">
      <c r="G50715" s="889"/>
    </row>
    <row r="50716" spans="7:7" ht="10.5" customHeight="1" x14ac:dyDescent="0.2">
      <c r="G50716" s="889"/>
    </row>
    <row r="50717" spans="7:7" ht="10.5" customHeight="1" x14ac:dyDescent="0.2">
      <c r="G50717" s="889"/>
    </row>
    <row r="50718" spans="7:7" ht="10.5" customHeight="1" x14ac:dyDescent="0.2">
      <c r="G50718" s="889"/>
    </row>
    <row r="50719" spans="7:7" ht="10.5" customHeight="1" x14ac:dyDescent="0.2">
      <c r="G50719" s="889"/>
    </row>
    <row r="50720" spans="7:7" ht="10.5" customHeight="1" x14ac:dyDescent="0.2">
      <c r="G50720" s="889"/>
    </row>
    <row r="50721" spans="7:7" ht="10.5" customHeight="1" x14ac:dyDescent="0.2">
      <c r="G50721" s="889"/>
    </row>
    <row r="50722" spans="7:7" ht="10.5" customHeight="1" x14ac:dyDescent="0.2">
      <c r="G50722" s="889"/>
    </row>
    <row r="50723" spans="7:7" ht="10.5" customHeight="1" x14ac:dyDescent="0.2">
      <c r="G50723" s="889"/>
    </row>
    <row r="50724" spans="7:7" ht="10.5" customHeight="1" x14ac:dyDescent="0.2">
      <c r="G50724" s="889"/>
    </row>
    <row r="50725" spans="7:7" ht="10.5" customHeight="1" x14ac:dyDescent="0.2">
      <c r="G50725" s="889"/>
    </row>
    <row r="50726" spans="7:7" ht="10.5" customHeight="1" x14ac:dyDescent="0.2">
      <c r="G50726" s="889"/>
    </row>
    <row r="50727" spans="7:7" ht="10.5" customHeight="1" x14ac:dyDescent="0.2">
      <c r="G50727" s="889"/>
    </row>
    <row r="50728" spans="7:7" ht="10.5" customHeight="1" x14ac:dyDescent="0.2">
      <c r="G50728" s="889"/>
    </row>
    <row r="50729" spans="7:7" ht="10.5" customHeight="1" x14ac:dyDescent="0.2">
      <c r="G50729" s="889"/>
    </row>
    <row r="50730" spans="7:7" ht="10.5" customHeight="1" x14ac:dyDescent="0.2">
      <c r="G50730" s="889"/>
    </row>
    <row r="50731" spans="7:7" ht="10.5" customHeight="1" x14ac:dyDescent="0.2">
      <c r="G50731" s="889"/>
    </row>
    <row r="50732" spans="7:7" ht="10.5" customHeight="1" x14ac:dyDescent="0.2">
      <c r="G50732" s="889"/>
    </row>
    <row r="50733" spans="7:7" ht="10.5" customHeight="1" x14ac:dyDescent="0.2">
      <c r="G50733" s="889"/>
    </row>
    <row r="50734" spans="7:7" ht="10.5" customHeight="1" x14ac:dyDescent="0.2">
      <c r="G50734" s="889"/>
    </row>
    <row r="50735" spans="7:7" ht="10.5" customHeight="1" x14ac:dyDescent="0.2">
      <c r="G50735" s="889"/>
    </row>
    <row r="50736" spans="7:7" ht="10.5" customHeight="1" x14ac:dyDescent="0.2">
      <c r="G50736" s="889"/>
    </row>
    <row r="50737" spans="7:7" ht="10.5" customHeight="1" x14ac:dyDescent="0.2">
      <c r="G50737" s="889"/>
    </row>
    <row r="50738" spans="7:7" ht="10.5" customHeight="1" x14ac:dyDescent="0.2">
      <c r="G50738" s="889"/>
    </row>
    <row r="50739" spans="7:7" ht="10.5" customHeight="1" x14ac:dyDescent="0.2">
      <c r="G50739" s="889"/>
    </row>
    <row r="50740" spans="7:7" ht="10.5" customHeight="1" x14ac:dyDescent="0.2">
      <c r="G50740" s="889"/>
    </row>
    <row r="50741" spans="7:7" ht="10.5" customHeight="1" x14ac:dyDescent="0.2">
      <c r="G50741" s="889"/>
    </row>
    <row r="50742" spans="7:7" ht="10.5" customHeight="1" x14ac:dyDescent="0.2">
      <c r="G50742" s="889"/>
    </row>
    <row r="50743" spans="7:7" ht="10.5" customHeight="1" x14ac:dyDescent="0.2">
      <c r="G50743" s="889"/>
    </row>
    <row r="50744" spans="7:7" ht="10.5" customHeight="1" x14ac:dyDescent="0.2">
      <c r="G50744" s="889"/>
    </row>
    <row r="50745" spans="7:7" ht="10.5" customHeight="1" x14ac:dyDescent="0.2">
      <c r="G50745" s="889"/>
    </row>
    <row r="50746" spans="7:7" ht="10.5" customHeight="1" x14ac:dyDescent="0.2">
      <c r="G50746" s="889"/>
    </row>
    <row r="50747" spans="7:7" ht="10.5" customHeight="1" x14ac:dyDescent="0.2">
      <c r="G50747" s="889"/>
    </row>
    <row r="50748" spans="7:7" ht="10.5" customHeight="1" x14ac:dyDescent="0.2">
      <c r="G50748" s="889"/>
    </row>
    <row r="50749" spans="7:7" ht="10.5" customHeight="1" x14ac:dyDescent="0.2">
      <c r="G50749" s="889"/>
    </row>
    <row r="50750" spans="7:7" ht="10.5" customHeight="1" x14ac:dyDescent="0.2">
      <c r="G50750" s="889"/>
    </row>
    <row r="50751" spans="7:7" ht="10.5" customHeight="1" x14ac:dyDescent="0.2">
      <c r="G50751" s="889"/>
    </row>
    <row r="50752" spans="7:7" ht="10.5" customHeight="1" x14ac:dyDescent="0.2">
      <c r="G50752" s="889"/>
    </row>
    <row r="50753" spans="7:7" ht="10.5" customHeight="1" x14ac:dyDescent="0.2">
      <c r="G50753" s="889"/>
    </row>
    <row r="50754" spans="7:7" ht="10.5" customHeight="1" x14ac:dyDescent="0.2">
      <c r="G50754" s="889"/>
    </row>
    <row r="50755" spans="7:7" ht="10.5" customHeight="1" x14ac:dyDescent="0.2">
      <c r="G50755" s="889"/>
    </row>
    <row r="50756" spans="7:7" ht="10.5" customHeight="1" x14ac:dyDescent="0.2">
      <c r="G50756" s="889"/>
    </row>
    <row r="50757" spans="7:7" ht="10.5" customHeight="1" x14ac:dyDescent="0.2">
      <c r="G50757" s="889"/>
    </row>
    <row r="50758" spans="7:7" ht="10.5" customHeight="1" x14ac:dyDescent="0.2">
      <c r="G50758" s="889"/>
    </row>
    <row r="50759" spans="7:7" ht="10.5" customHeight="1" x14ac:dyDescent="0.2">
      <c r="G50759" s="889"/>
    </row>
    <row r="50760" spans="7:7" ht="10.5" customHeight="1" x14ac:dyDescent="0.2">
      <c r="G50760" s="889"/>
    </row>
    <row r="50761" spans="7:7" ht="10.5" customHeight="1" x14ac:dyDescent="0.2">
      <c r="G50761" s="889"/>
    </row>
    <row r="50762" spans="7:7" ht="10.5" customHeight="1" x14ac:dyDescent="0.2">
      <c r="G50762" s="889"/>
    </row>
    <row r="50763" spans="7:7" ht="10.5" customHeight="1" x14ac:dyDescent="0.2">
      <c r="G50763" s="889"/>
    </row>
    <row r="50764" spans="7:7" ht="10.5" customHeight="1" x14ac:dyDescent="0.2">
      <c r="G50764" s="889"/>
    </row>
    <row r="50765" spans="7:7" ht="10.5" customHeight="1" x14ac:dyDescent="0.2">
      <c r="G50765" s="889"/>
    </row>
    <row r="50766" spans="7:7" ht="10.5" customHeight="1" x14ac:dyDescent="0.2">
      <c r="G50766" s="889"/>
    </row>
    <row r="50767" spans="7:7" ht="10.5" customHeight="1" x14ac:dyDescent="0.2">
      <c r="G50767" s="889"/>
    </row>
    <row r="50768" spans="7:7" ht="10.5" customHeight="1" x14ac:dyDescent="0.2">
      <c r="G50768" s="889"/>
    </row>
    <row r="50769" spans="7:7" ht="10.5" customHeight="1" x14ac:dyDescent="0.2">
      <c r="G50769" s="889"/>
    </row>
    <row r="50770" spans="7:7" ht="10.5" customHeight="1" x14ac:dyDescent="0.2">
      <c r="G50770" s="889"/>
    </row>
    <row r="50771" spans="7:7" ht="10.5" customHeight="1" x14ac:dyDescent="0.2">
      <c r="G50771" s="889"/>
    </row>
    <row r="50772" spans="7:7" ht="10.5" customHeight="1" x14ac:dyDescent="0.2">
      <c r="G50772" s="889"/>
    </row>
    <row r="50773" spans="7:7" ht="10.5" customHeight="1" x14ac:dyDescent="0.2">
      <c r="G50773" s="889"/>
    </row>
    <row r="50774" spans="7:7" ht="10.5" customHeight="1" x14ac:dyDescent="0.2">
      <c r="G50774" s="889"/>
    </row>
    <row r="50775" spans="7:7" ht="10.5" customHeight="1" x14ac:dyDescent="0.2">
      <c r="G50775" s="889"/>
    </row>
    <row r="50776" spans="7:7" ht="10.5" customHeight="1" x14ac:dyDescent="0.2">
      <c r="G50776" s="889"/>
    </row>
    <row r="50777" spans="7:7" ht="10.5" customHeight="1" x14ac:dyDescent="0.2">
      <c r="G50777" s="889"/>
    </row>
    <row r="50778" spans="7:7" ht="10.5" customHeight="1" x14ac:dyDescent="0.2">
      <c r="G50778" s="889"/>
    </row>
    <row r="50779" spans="7:7" ht="10.5" customHeight="1" x14ac:dyDescent="0.2">
      <c r="G50779" s="889"/>
    </row>
    <row r="50780" spans="7:7" ht="10.5" customHeight="1" x14ac:dyDescent="0.2">
      <c r="G50780" s="889"/>
    </row>
    <row r="50781" spans="7:7" ht="10.5" customHeight="1" x14ac:dyDescent="0.2">
      <c r="G50781" s="889"/>
    </row>
    <row r="50782" spans="7:7" ht="10.5" customHeight="1" x14ac:dyDescent="0.2">
      <c r="G50782" s="889"/>
    </row>
    <row r="50783" spans="7:7" ht="10.5" customHeight="1" x14ac:dyDescent="0.2">
      <c r="G50783" s="889"/>
    </row>
    <row r="50784" spans="7:7" ht="10.5" customHeight="1" x14ac:dyDescent="0.2">
      <c r="G50784" s="889"/>
    </row>
    <row r="50785" spans="7:7" ht="10.5" customHeight="1" x14ac:dyDescent="0.2">
      <c r="G50785" s="889"/>
    </row>
    <row r="50786" spans="7:7" ht="10.5" customHeight="1" x14ac:dyDescent="0.2">
      <c r="G50786" s="889"/>
    </row>
    <row r="50787" spans="7:7" ht="10.5" customHeight="1" x14ac:dyDescent="0.2">
      <c r="G50787" s="889"/>
    </row>
    <row r="50788" spans="7:7" ht="10.5" customHeight="1" x14ac:dyDescent="0.2">
      <c r="G50788" s="889"/>
    </row>
    <row r="50789" spans="7:7" ht="10.5" customHeight="1" x14ac:dyDescent="0.2">
      <c r="G50789" s="889"/>
    </row>
    <row r="50790" spans="7:7" ht="10.5" customHeight="1" x14ac:dyDescent="0.2">
      <c r="G50790" s="889"/>
    </row>
    <row r="50791" spans="7:7" ht="10.5" customHeight="1" x14ac:dyDescent="0.2">
      <c r="G50791" s="889"/>
    </row>
    <row r="50792" spans="7:7" ht="10.5" customHeight="1" x14ac:dyDescent="0.2">
      <c r="G50792" s="889"/>
    </row>
    <row r="50793" spans="7:7" ht="10.5" customHeight="1" x14ac:dyDescent="0.2">
      <c r="G50793" s="889"/>
    </row>
    <row r="50794" spans="7:7" ht="10.5" customHeight="1" x14ac:dyDescent="0.2">
      <c r="G50794" s="889"/>
    </row>
    <row r="50795" spans="7:7" ht="10.5" customHeight="1" x14ac:dyDescent="0.2">
      <c r="G50795" s="889"/>
    </row>
    <row r="50796" spans="7:7" ht="10.5" customHeight="1" x14ac:dyDescent="0.2">
      <c r="G50796" s="889"/>
    </row>
    <row r="50797" spans="7:7" ht="10.5" customHeight="1" x14ac:dyDescent="0.2">
      <c r="G50797" s="889"/>
    </row>
    <row r="50798" spans="7:7" ht="10.5" customHeight="1" x14ac:dyDescent="0.2">
      <c r="G50798" s="889"/>
    </row>
    <row r="50799" spans="7:7" ht="10.5" customHeight="1" x14ac:dyDescent="0.2">
      <c r="G50799" s="889"/>
    </row>
    <row r="50800" spans="7:7" ht="10.5" customHeight="1" x14ac:dyDescent="0.2">
      <c r="G50800" s="889"/>
    </row>
    <row r="50801" spans="7:7" ht="10.5" customHeight="1" x14ac:dyDescent="0.2">
      <c r="G50801" s="889"/>
    </row>
    <row r="50802" spans="7:7" ht="10.5" customHeight="1" x14ac:dyDescent="0.2">
      <c r="G50802" s="889"/>
    </row>
    <row r="50803" spans="7:7" ht="10.5" customHeight="1" x14ac:dyDescent="0.2">
      <c r="G50803" s="889"/>
    </row>
    <row r="50804" spans="7:7" ht="10.5" customHeight="1" x14ac:dyDescent="0.2">
      <c r="G50804" s="889"/>
    </row>
    <row r="50805" spans="7:7" ht="10.5" customHeight="1" x14ac:dyDescent="0.2">
      <c r="G50805" s="889"/>
    </row>
    <row r="50806" spans="7:7" ht="10.5" customHeight="1" x14ac:dyDescent="0.2">
      <c r="G50806" s="889"/>
    </row>
    <row r="50807" spans="7:7" ht="10.5" customHeight="1" x14ac:dyDescent="0.2">
      <c r="G50807" s="889"/>
    </row>
    <row r="50808" spans="7:7" ht="10.5" customHeight="1" x14ac:dyDescent="0.2">
      <c r="G50808" s="889"/>
    </row>
    <row r="50809" spans="7:7" ht="10.5" customHeight="1" x14ac:dyDescent="0.2">
      <c r="G50809" s="889"/>
    </row>
    <row r="50810" spans="7:7" ht="10.5" customHeight="1" x14ac:dyDescent="0.2">
      <c r="G50810" s="889"/>
    </row>
    <row r="50811" spans="7:7" ht="10.5" customHeight="1" x14ac:dyDescent="0.2">
      <c r="G50811" s="889"/>
    </row>
    <row r="50812" spans="7:7" ht="10.5" customHeight="1" x14ac:dyDescent="0.2">
      <c r="G50812" s="889"/>
    </row>
    <row r="50813" spans="7:7" ht="10.5" customHeight="1" x14ac:dyDescent="0.2">
      <c r="G50813" s="889"/>
    </row>
    <row r="50814" spans="7:7" ht="10.5" customHeight="1" x14ac:dyDescent="0.2">
      <c r="G50814" s="889"/>
    </row>
    <row r="50815" spans="7:7" ht="10.5" customHeight="1" x14ac:dyDescent="0.2">
      <c r="G50815" s="889"/>
    </row>
    <row r="50816" spans="7:7" ht="10.5" customHeight="1" x14ac:dyDescent="0.2">
      <c r="G50816" s="889"/>
    </row>
    <row r="50817" spans="7:7" ht="10.5" customHeight="1" x14ac:dyDescent="0.2">
      <c r="G50817" s="889"/>
    </row>
    <row r="50818" spans="7:7" ht="10.5" customHeight="1" x14ac:dyDescent="0.2">
      <c r="G50818" s="889"/>
    </row>
    <row r="50819" spans="7:7" ht="10.5" customHeight="1" x14ac:dyDescent="0.2">
      <c r="G50819" s="889"/>
    </row>
    <row r="50820" spans="7:7" ht="10.5" customHeight="1" x14ac:dyDescent="0.2">
      <c r="G50820" s="889"/>
    </row>
    <row r="50821" spans="7:7" ht="10.5" customHeight="1" x14ac:dyDescent="0.2">
      <c r="G50821" s="889"/>
    </row>
    <row r="50822" spans="7:7" ht="10.5" customHeight="1" x14ac:dyDescent="0.2">
      <c r="G50822" s="889"/>
    </row>
    <row r="50823" spans="7:7" ht="10.5" customHeight="1" x14ac:dyDescent="0.2">
      <c r="G50823" s="889"/>
    </row>
    <row r="50824" spans="7:7" ht="10.5" customHeight="1" x14ac:dyDescent="0.2">
      <c r="G50824" s="889"/>
    </row>
    <row r="50825" spans="7:7" ht="10.5" customHeight="1" x14ac:dyDescent="0.2">
      <c r="G50825" s="889"/>
    </row>
    <row r="50826" spans="7:7" ht="10.5" customHeight="1" x14ac:dyDescent="0.2">
      <c r="G50826" s="889"/>
    </row>
    <row r="50827" spans="7:7" ht="10.5" customHeight="1" x14ac:dyDescent="0.2">
      <c r="G50827" s="889"/>
    </row>
    <row r="50828" spans="7:7" ht="10.5" customHeight="1" x14ac:dyDescent="0.2">
      <c r="G50828" s="889"/>
    </row>
    <row r="50829" spans="7:7" ht="10.5" customHeight="1" x14ac:dyDescent="0.2">
      <c r="G50829" s="889"/>
    </row>
    <row r="50830" spans="7:7" ht="10.5" customHeight="1" x14ac:dyDescent="0.2">
      <c r="G50830" s="889"/>
    </row>
    <row r="50831" spans="7:7" ht="10.5" customHeight="1" x14ac:dyDescent="0.2">
      <c r="G50831" s="889"/>
    </row>
    <row r="50832" spans="7:7" ht="10.5" customHeight="1" x14ac:dyDescent="0.2">
      <c r="G50832" s="889"/>
    </row>
    <row r="50833" spans="7:7" ht="10.5" customHeight="1" x14ac:dyDescent="0.2">
      <c r="G50833" s="889"/>
    </row>
    <row r="50834" spans="7:7" ht="10.5" customHeight="1" x14ac:dyDescent="0.2">
      <c r="G50834" s="889"/>
    </row>
    <row r="50835" spans="7:7" ht="10.5" customHeight="1" x14ac:dyDescent="0.2">
      <c r="G50835" s="889"/>
    </row>
    <row r="50836" spans="7:7" ht="10.5" customHeight="1" x14ac:dyDescent="0.2">
      <c r="G50836" s="889"/>
    </row>
    <row r="50837" spans="7:7" ht="10.5" customHeight="1" x14ac:dyDescent="0.2">
      <c r="G50837" s="889"/>
    </row>
    <row r="50838" spans="7:7" ht="10.5" customHeight="1" x14ac:dyDescent="0.2">
      <c r="G50838" s="889"/>
    </row>
    <row r="50839" spans="7:7" ht="10.5" customHeight="1" x14ac:dyDescent="0.2">
      <c r="G50839" s="889"/>
    </row>
    <row r="50840" spans="7:7" ht="10.5" customHeight="1" x14ac:dyDescent="0.2">
      <c r="G50840" s="889"/>
    </row>
    <row r="50841" spans="7:7" ht="10.5" customHeight="1" x14ac:dyDescent="0.2">
      <c r="G50841" s="889"/>
    </row>
    <row r="50842" spans="7:7" ht="10.5" customHeight="1" x14ac:dyDescent="0.2">
      <c r="G50842" s="889"/>
    </row>
    <row r="50843" spans="7:7" ht="10.5" customHeight="1" x14ac:dyDescent="0.2">
      <c r="G50843" s="889"/>
    </row>
    <row r="50844" spans="7:7" ht="10.5" customHeight="1" x14ac:dyDescent="0.2">
      <c r="G50844" s="889"/>
    </row>
    <row r="50845" spans="7:7" ht="10.5" customHeight="1" x14ac:dyDescent="0.2">
      <c r="G50845" s="889"/>
    </row>
    <row r="50846" spans="7:7" ht="10.5" customHeight="1" x14ac:dyDescent="0.2">
      <c r="G50846" s="889"/>
    </row>
    <row r="50847" spans="7:7" ht="10.5" customHeight="1" x14ac:dyDescent="0.2">
      <c r="G50847" s="889"/>
    </row>
    <row r="50848" spans="7:7" ht="10.5" customHeight="1" x14ac:dyDescent="0.2">
      <c r="G50848" s="889"/>
    </row>
    <row r="50849" spans="7:7" ht="10.5" customHeight="1" x14ac:dyDescent="0.2">
      <c r="G50849" s="889"/>
    </row>
    <row r="50850" spans="7:7" ht="10.5" customHeight="1" x14ac:dyDescent="0.2">
      <c r="G50850" s="889"/>
    </row>
    <row r="50851" spans="7:7" ht="10.5" customHeight="1" x14ac:dyDescent="0.2">
      <c r="G50851" s="889"/>
    </row>
    <row r="50852" spans="7:7" ht="10.5" customHeight="1" x14ac:dyDescent="0.2">
      <c r="G50852" s="889"/>
    </row>
    <row r="50853" spans="7:7" ht="10.5" customHeight="1" x14ac:dyDescent="0.2">
      <c r="G50853" s="889"/>
    </row>
    <row r="50854" spans="7:7" ht="10.5" customHeight="1" x14ac:dyDescent="0.2">
      <c r="G50854" s="889"/>
    </row>
    <row r="50855" spans="7:7" ht="10.5" customHeight="1" x14ac:dyDescent="0.2">
      <c r="G50855" s="889"/>
    </row>
    <row r="50856" spans="7:7" ht="10.5" customHeight="1" x14ac:dyDescent="0.2">
      <c r="G50856" s="889"/>
    </row>
    <row r="50857" spans="7:7" ht="10.5" customHeight="1" x14ac:dyDescent="0.2">
      <c r="G50857" s="889"/>
    </row>
    <row r="50858" spans="7:7" ht="10.5" customHeight="1" x14ac:dyDescent="0.2">
      <c r="G50858" s="889"/>
    </row>
    <row r="50859" spans="7:7" ht="10.5" customHeight="1" x14ac:dyDescent="0.2">
      <c r="G50859" s="889"/>
    </row>
    <row r="50860" spans="7:7" ht="10.5" customHeight="1" x14ac:dyDescent="0.2">
      <c r="G50860" s="889"/>
    </row>
    <row r="50861" spans="7:7" ht="10.5" customHeight="1" x14ac:dyDescent="0.2">
      <c r="G50861" s="889"/>
    </row>
    <row r="50862" spans="7:7" ht="10.5" customHeight="1" x14ac:dyDescent="0.2">
      <c r="G50862" s="889"/>
    </row>
    <row r="50863" spans="7:7" ht="10.5" customHeight="1" x14ac:dyDescent="0.2">
      <c r="G50863" s="889"/>
    </row>
    <row r="50864" spans="7:7" ht="10.5" customHeight="1" x14ac:dyDescent="0.2">
      <c r="G50864" s="889"/>
    </row>
    <row r="50865" spans="7:7" ht="10.5" customHeight="1" x14ac:dyDescent="0.2">
      <c r="G50865" s="889"/>
    </row>
    <row r="50866" spans="7:7" ht="10.5" customHeight="1" x14ac:dyDescent="0.2">
      <c r="G50866" s="889"/>
    </row>
    <row r="50867" spans="7:7" ht="10.5" customHeight="1" x14ac:dyDescent="0.2">
      <c r="G50867" s="889"/>
    </row>
    <row r="50868" spans="7:7" ht="10.5" customHeight="1" x14ac:dyDescent="0.2">
      <c r="G50868" s="889"/>
    </row>
    <row r="50869" spans="7:7" ht="10.5" customHeight="1" x14ac:dyDescent="0.2">
      <c r="G50869" s="889"/>
    </row>
    <row r="50870" spans="7:7" ht="10.5" customHeight="1" x14ac:dyDescent="0.2">
      <c r="G50870" s="889"/>
    </row>
    <row r="50871" spans="7:7" ht="10.5" customHeight="1" x14ac:dyDescent="0.2">
      <c r="G50871" s="889"/>
    </row>
    <row r="50872" spans="7:7" ht="10.5" customHeight="1" x14ac:dyDescent="0.2">
      <c r="G50872" s="889"/>
    </row>
    <row r="50873" spans="7:7" ht="10.5" customHeight="1" x14ac:dyDescent="0.2">
      <c r="G50873" s="889"/>
    </row>
    <row r="50874" spans="7:7" ht="10.5" customHeight="1" x14ac:dyDescent="0.2">
      <c r="G50874" s="889"/>
    </row>
    <row r="50875" spans="7:7" ht="10.5" customHeight="1" x14ac:dyDescent="0.2">
      <c r="G50875" s="889"/>
    </row>
    <row r="50876" spans="7:7" ht="10.5" customHeight="1" x14ac:dyDescent="0.2">
      <c r="G50876" s="889"/>
    </row>
    <row r="50877" spans="7:7" ht="10.5" customHeight="1" x14ac:dyDescent="0.2">
      <c r="G50877" s="889"/>
    </row>
    <row r="50878" spans="7:7" ht="10.5" customHeight="1" x14ac:dyDescent="0.2">
      <c r="G50878" s="889"/>
    </row>
    <row r="50879" spans="7:7" ht="10.5" customHeight="1" x14ac:dyDescent="0.2">
      <c r="G50879" s="889"/>
    </row>
    <row r="50880" spans="7:7" ht="10.5" customHeight="1" x14ac:dyDescent="0.2">
      <c r="G50880" s="889"/>
    </row>
    <row r="50881" spans="7:7" ht="10.5" customHeight="1" x14ac:dyDescent="0.2">
      <c r="G50881" s="889"/>
    </row>
    <row r="50882" spans="7:7" ht="10.5" customHeight="1" x14ac:dyDescent="0.2">
      <c r="G50882" s="889"/>
    </row>
    <row r="50883" spans="7:7" ht="10.5" customHeight="1" x14ac:dyDescent="0.2">
      <c r="G50883" s="889"/>
    </row>
    <row r="50884" spans="7:7" ht="10.5" customHeight="1" x14ac:dyDescent="0.2">
      <c r="G50884" s="889"/>
    </row>
    <row r="50885" spans="7:7" ht="10.5" customHeight="1" x14ac:dyDescent="0.2">
      <c r="G50885" s="889"/>
    </row>
    <row r="50886" spans="7:7" ht="10.5" customHeight="1" x14ac:dyDescent="0.2">
      <c r="G50886" s="889"/>
    </row>
    <row r="50887" spans="7:7" ht="10.5" customHeight="1" x14ac:dyDescent="0.2">
      <c r="G50887" s="889"/>
    </row>
    <row r="50888" spans="7:7" ht="10.5" customHeight="1" x14ac:dyDescent="0.2">
      <c r="G50888" s="889"/>
    </row>
    <row r="50889" spans="7:7" ht="10.5" customHeight="1" x14ac:dyDescent="0.2">
      <c r="G50889" s="889"/>
    </row>
    <row r="50890" spans="7:7" ht="10.5" customHeight="1" x14ac:dyDescent="0.2">
      <c r="G50890" s="889"/>
    </row>
    <row r="50891" spans="7:7" ht="10.5" customHeight="1" x14ac:dyDescent="0.2">
      <c r="G50891" s="889"/>
    </row>
    <row r="50892" spans="7:7" ht="10.5" customHeight="1" x14ac:dyDescent="0.2">
      <c r="G50892" s="889"/>
    </row>
    <row r="50893" spans="7:7" ht="10.5" customHeight="1" x14ac:dyDescent="0.2">
      <c r="G50893" s="889"/>
    </row>
    <row r="50894" spans="7:7" ht="10.5" customHeight="1" x14ac:dyDescent="0.2">
      <c r="G50894" s="889"/>
    </row>
    <row r="50895" spans="7:7" ht="10.5" customHeight="1" x14ac:dyDescent="0.2">
      <c r="G50895" s="889"/>
    </row>
    <row r="50896" spans="7:7" ht="10.5" customHeight="1" x14ac:dyDescent="0.2">
      <c r="G50896" s="889"/>
    </row>
    <row r="50897" spans="7:7" ht="10.5" customHeight="1" x14ac:dyDescent="0.2">
      <c r="G50897" s="889"/>
    </row>
    <row r="50898" spans="7:7" ht="10.5" customHeight="1" x14ac:dyDescent="0.2">
      <c r="G50898" s="889"/>
    </row>
    <row r="50899" spans="7:7" ht="10.5" customHeight="1" x14ac:dyDescent="0.2">
      <c r="G50899" s="889"/>
    </row>
    <row r="50900" spans="7:7" ht="10.5" customHeight="1" x14ac:dyDescent="0.2">
      <c r="G50900" s="889"/>
    </row>
    <row r="50901" spans="7:7" ht="10.5" customHeight="1" x14ac:dyDescent="0.2">
      <c r="G50901" s="889"/>
    </row>
    <row r="50902" spans="7:7" ht="10.5" customHeight="1" x14ac:dyDescent="0.2">
      <c r="G50902" s="889"/>
    </row>
    <row r="50903" spans="7:7" ht="10.5" customHeight="1" x14ac:dyDescent="0.2">
      <c r="G50903" s="889"/>
    </row>
    <row r="50904" spans="7:7" ht="10.5" customHeight="1" x14ac:dyDescent="0.2">
      <c r="G50904" s="889"/>
    </row>
    <row r="50905" spans="7:7" ht="10.5" customHeight="1" x14ac:dyDescent="0.2">
      <c r="G50905" s="889"/>
    </row>
    <row r="50906" spans="7:7" ht="10.5" customHeight="1" x14ac:dyDescent="0.2">
      <c r="G50906" s="889"/>
    </row>
    <row r="50907" spans="7:7" ht="10.5" customHeight="1" x14ac:dyDescent="0.2">
      <c r="G50907" s="889"/>
    </row>
    <row r="50908" spans="7:7" ht="10.5" customHeight="1" x14ac:dyDescent="0.2">
      <c r="G50908" s="889"/>
    </row>
    <row r="50909" spans="7:7" ht="10.5" customHeight="1" x14ac:dyDescent="0.2">
      <c r="G50909" s="889"/>
    </row>
    <row r="50910" spans="7:7" ht="10.5" customHeight="1" x14ac:dyDescent="0.2">
      <c r="G50910" s="889"/>
    </row>
    <row r="50911" spans="7:7" ht="10.5" customHeight="1" x14ac:dyDescent="0.2">
      <c r="G50911" s="889"/>
    </row>
    <row r="50912" spans="7:7" ht="10.5" customHeight="1" x14ac:dyDescent="0.2">
      <c r="G50912" s="889"/>
    </row>
    <row r="50913" spans="7:7" ht="10.5" customHeight="1" x14ac:dyDescent="0.2">
      <c r="G50913" s="889"/>
    </row>
    <row r="50914" spans="7:7" ht="10.5" customHeight="1" x14ac:dyDescent="0.2">
      <c r="G50914" s="889"/>
    </row>
    <row r="50915" spans="7:7" ht="10.5" customHeight="1" x14ac:dyDescent="0.2">
      <c r="G50915" s="889"/>
    </row>
    <row r="50916" spans="7:7" ht="10.5" customHeight="1" x14ac:dyDescent="0.2">
      <c r="G50916" s="889"/>
    </row>
    <row r="50917" spans="7:7" ht="10.5" customHeight="1" x14ac:dyDescent="0.2">
      <c r="G50917" s="889"/>
    </row>
    <row r="50918" spans="7:7" ht="10.5" customHeight="1" x14ac:dyDescent="0.2">
      <c r="G50918" s="889"/>
    </row>
    <row r="50919" spans="7:7" ht="10.5" customHeight="1" x14ac:dyDescent="0.2">
      <c r="G50919" s="889"/>
    </row>
    <row r="50920" spans="7:7" ht="10.5" customHeight="1" x14ac:dyDescent="0.2">
      <c r="G50920" s="889"/>
    </row>
    <row r="50921" spans="7:7" ht="10.5" customHeight="1" x14ac:dyDescent="0.2">
      <c r="G50921" s="889"/>
    </row>
    <row r="50922" spans="7:7" ht="10.5" customHeight="1" x14ac:dyDescent="0.2">
      <c r="G50922" s="889"/>
    </row>
    <row r="50923" spans="7:7" ht="10.5" customHeight="1" x14ac:dyDescent="0.2">
      <c r="G50923" s="889"/>
    </row>
    <row r="50924" spans="7:7" ht="10.5" customHeight="1" x14ac:dyDescent="0.2">
      <c r="G50924" s="889"/>
    </row>
    <row r="50925" spans="7:7" ht="10.5" customHeight="1" x14ac:dyDescent="0.2">
      <c r="G50925" s="889"/>
    </row>
    <row r="50926" spans="7:7" ht="10.5" customHeight="1" x14ac:dyDescent="0.2">
      <c r="G50926" s="889"/>
    </row>
    <row r="50927" spans="7:7" ht="10.5" customHeight="1" x14ac:dyDescent="0.2">
      <c r="G50927" s="889"/>
    </row>
    <row r="50928" spans="7:7" ht="10.5" customHeight="1" x14ac:dyDescent="0.2">
      <c r="G50928" s="889"/>
    </row>
    <row r="50929" spans="7:7" ht="10.5" customHeight="1" x14ac:dyDescent="0.2">
      <c r="G50929" s="889"/>
    </row>
    <row r="50930" spans="7:7" ht="10.5" customHeight="1" x14ac:dyDescent="0.2">
      <c r="G50930" s="889"/>
    </row>
    <row r="50931" spans="7:7" ht="10.5" customHeight="1" x14ac:dyDescent="0.2">
      <c r="G50931" s="889"/>
    </row>
    <row r="50932" spans="7:7" ht="10.5" customHeight="1" x14ac:dyDescent="0.2">
      <c r="G50932" s="889"/>
    </row>
    <row r="50933" spans="7:7" ht="10.5" customHeight="1" x14ac:dyDescent="0.2">
      <c r="G50933" s="889"/>
    </row>
    <row r="50934" spans="7:7" ht="10.5" customHeight="1" x14ac:dyDescent="0.2">
      <c r="G50934" s="889"/>
    </row>
    <row r="50935" spans="7:7" ht="10.5" customHeight="1" x14ac:dyDescent="0.2">
      <c r="G50935" s="889"/>
    </row>
    <row r="50936" spans="7:7" ht="10.5" customHeight="1" x14ac:dyDescent="0.2">
      <c r="G50936" s="889"/>
    </row>
    <row r="50937" spans="7:7" ht="10.5" customHeight="1" x14ac:dyDescent="0.2">
      <c r="G50937" s="889"/>
    </row>
    <row r="50938" spans="7:7" ht="10.5" customHeight="1" x14ac:dyDescent="0.2">
      <c r="G50938" s="889"/>
    </row>
    <row r="50939" spans="7:7" ht="10.5" customHeight="1" x14ac:dyDescent="0.2">
      <c r="G50939" s="889"/>
    </row>
    <row r="50940" spans="7:7" ht="10.5" customHeight="1" x14ac:dyDescent="0.2">
      <c r="G50940" s="889"/>
    </row>
    <row r="50941" spans="7:7" ht="10.5" customHeight="1" x14ac:dyDescent="0.2">
      <c r="G50941" s="889"/>
    </row>
    <row r="50942" spans="7:7" ht="10.5" customHeight="1" x14ac:dyDescent="0.2">
      <c r="G50942" s="889"/>
    </row>
    <row r="50943" spans="7:7" ht="10.5" customHeight="1" x14ac:dyDescent="0.2">
      <c r="G50943" s="889"/>
    </row>
    <row r="50944" spans="7:7" ht="10.5" customHeight="1" x14ac:dyDescent="0.2">
      <c r="G50944" s="889"/>
    </row>
    <row r="50945" spans="7:7" ht="10.5" customHeight="1" x14ac:dyDescent="0.2">
      <c r="G50945" s="889"/>
    </row>
    <row r="50946" spans="7:7" ht="10.5" customHeight="1" x14ac:dyDescent="0.2">
      <c r="G50946" s="889"/>
    </row>
    <row r="50947" spans="7:7" ht="10.5" customHeight="1" x14ac:dyDescent="0.2">
      <c r="G50947" s="889"/>
    </row>
    <row r="50948" spans="7:7" ht="10.5" customHeight="1" x14ac:dyDescent="0.2">
      <c r="G50948" s="889"/>
    </row>
    <row r="50949" spans="7:7" ht="10.5" customHeight="1" x14ac:dyDescent="0.2">
      <c r="G50949" s="889"/>
    </row>
    <row r="50950" spans="7:7" ht="10.5" customHeight="1" x14ac:dyDescent="0.2">
      <c r="G50950" s="889"/>
    </row>
    <row r="50951" spans="7:7" ht="10.5" customHeight="1" x14ac:dyDescent="0.2">
      <c r="G50951" s="889"/>
    </row>
    <row r="50952" spans="7:7" ht="10.5" customHeight="1" x14ac:dyDescent="0.2">
      <c r="G50952" s="889"/>
    </row>
    <row r="50953" spans="7:7" ht="10.5" customHeight="1" x14ac:dyDescent="0.2">
      <c r="G50953" s="889"/>
    </row>
    <row r="50954" spans="7:7" ht="10.5" customHeight="1" x14ac:dyDescent="0.2">
      <c r="G50954" s="889"/>
    </row>
    <row r="50955" spans="7:7" ht="10.5" customHeight="1" x14ac:dyDescent="0.2">
      <c r="G50955" s="889"/>
    </row>
    <row r="50956" spans="7:7" ht="10.5" customHeight="1" x14ac:dyDescent="0.2">
      <c r="G50956" s="889"/>
    </row>
    <row r="50957" spans="7:7" ht="10.5" customHeight="1" x14ac:dyDescent="0.2">
      <c r="G50957" s="889"/>
    </row>
    <row r="50958" spans="7:7" ht="10.5" customHeight="1" x14ac:dyDescent="0.2">
      <c r="G50958" s="889"/>
    </row>
    <row r="50959" spans="7:7" ht="10.5" customHeight="1" x14ac:dyDescent="0.2">
      <c r="G50959" s="889"/>
    </row>
    <row r="50960" spans="7:7" ht="10.5" customHeight="1" x14ac:dyDescent="0.2">
      <c r="G50960" s="889"/>
    </row>
    <row r="50961" spans="7:7" ht="10.5" customHeight="1" x14ac:dyDescent="0.2">
      <c r="G50961" s="889"/>
    </row>
    <row r="50962" spans="7:7" ht="10.5" customHeight="1" x14ac:dyDescent="0.2">
      <c r="G50962" s="889"/>
    </row>
    <row r="50963" spans="7:7" ht="10.5" customHeight="1" x14ac:dyDescent="0.2">
      <c r="G50963" s="889"/>
    </row>
    <row r="50964" spans="7:7" ht="10.5" customHeight="1" x14ac:dyDescent="0.2">
      <c r="G50964" s="889"/>
    </row>
    <row r="50965" spans="7:7" ht="10.5" customHeight="1" x14ac:dyDescent="0.2">
      <c r="G50965" s="889"/>
    </row>
    <row r="50966" spans="7:7" ht="10.5" customHeight="1" x14ac:dyDescent="0.2">
      <c r="G50966" s="889"/>
    </row>
    <row r="50967" spans="7:7" ht="10.5" customHeight="1" x14ac:dyDescent="0.2">
      <c r="G50967" s="889"/>
    </row>
    <row r="50968" spans="7:7" ht="10.5" customHeight="1" x14ac:dyDescent="0.2">
      <c r="G50968" s="889"/>
    </row>
    <row r="50969" spans="7:7" ht="10.5" customHeight="1" x14ac:dyDescent="0.2">
      <c r="G50969" s="889"/>
    </row>
    <row r="50970" spans="7:7" ht="10.5" customHeight="1" x14ac:dyDescent="0.2">
      <c r="G50970" s="889"/>
    </row>
    <row r="50971" spans="7:7" ht="10.5" customHeight="1" x14ac:dyDescent="0.2">
      <c r="G50971" s="889"/>
    </row>
    <row r="50972" spans="7:7" ht="10.5" customHeight="1" x14ac:dyDescent="0.2">
      <c r="G50972" s="889"/>
    </row>
    <row r="50973" spans="7:7" ht="10.5" customHeight="1" x14ac:dyDescent="0.2">
      <c r="G50973" s="889"/>
    </row>
    <row r="50974" spans="7:7" ht="10.5" customHeight="1" x14ac:dyDescent="0.2">
      <c r="G50974" s="889"/>
    </row>
    <row r="50975" spans="7:7" ht="10.5" customHeight="1" x14ac:dyDescent="0.2">
      <c r="G50975" s="889"/>
    </row>
    <row r="50976" spans="7:7" ht="10.5" customHeight="1" x14ac:dyDescent="0.2">
      <c r="G50976" s="889"/>
    </row>
    <row r="50977" spans="7:7" ht="10.5" customHeight="1" x14ac:dyDescent="0.2">
      <c r="G50977" s="889"/>
    </row>
    <row r="50978" spans="7:7" ht="10.5" customHeight="1" x14ac:dyDescent="0.2">
      <c r="G50978" s="889"/>
    </row>
    <row r="50979" spans="7:7" ht="10.5" customHeight="1" x14ac:dyDescent="0.2">
      <c r="G50979" s="889"/>
    </row>
    <row r="50980" spans="7:7" ht="10.5" customHeight="1" x14ac:dyDescent="0.2">
      <c r="G50980" s="889"/>
    </row>
    <row r="50981" spans="7:7" ht="10.5" customHeight="1" x14ac:dyDescent="0.2">
      <c r="G50981" s="889"/>
    </row>
    <row r="50982" spans="7:7" ht="10.5" customHeight="1" x14ac:dyDescent="0.2">
      <c r="G50982" s="889"/>
    </row>
    <row r="50983" spans="7:7" ht="10.5" customHeight="1" x14ac:dyDescent="0.2">
      <c r="G50983" s="889"/>
    </row>
    <row r="50984" spans="7:7" ht="10.5" customHeight="1" x14ac:dyDescent="0.2">
      <c r="G50984" s="889"/>
    </row>
    <row r="50985" spans="7:7" ht="10.5" customHeight="1" x14ac:dyDescent="0.2">
      <c r="G50985" s="889"/>
    </row>
    <row r="50986" spans="7:7" ht="10.5" customHeight="1" x14ac:dyDescent="0.2">
      <c r="G50986" s="889"/>
    </row>
    <row r="50987" spans="7:7" ht="10.5" customHeight="1" x14ac:dyDescent="0.2">
      <c r="G50987" s="889"/>
    </row>
    <row r="50988" spans="7:7" ht="10.5" customHeight="1" x14ac:dyDescent="0.2">
      <c r="G50988" s="889"/>
    </row>
    <row r="50989" spans="7:7" ht="10.5" customHeight="1" x14ac:dyDescent="0.2">
      <c r="G50989" s="889"/>
    </row>
    <row r="50990" spans="7:7" ht="10.5" customHeight="1" x14ac:dyDescent="0.2">
      <c r="G50990" s="889"/>
    </row>
    <row r="50991" spans="7:7" ht="10.5" customHeight="1" x14ac:dyDescent="0.2">
      <c r="G50991" s="889"/>
    </row>
    <row r="50992" spans="7:7" ht="10.5" customHeight="1" x14ac:dyDescent="0.2">
      <c r="G50992" s="889"/>
    </row>
    <row r="50993" spans="7:7" ht="10.5" customHeight="1" x14ac:dyDescent="0.2">
      <c r="G50993" s="889"/>
    </row>
    <row r="50994" spans="7:7" ht="10.5" customHeight="1" x14ac:dyDescent="0.2">
      <c r="G50994" s="889"/>
    </row>
    <row r="50995" spans="7:7" ht="10.5" customHeight="1" x14ac:dyDescent="0.2">
      <c r="G50995" s="889"/>
    </row>
    <row r="50996" spans="7:7" ht="10.5" customHeight="1" x14ac:dyDescent="0.2">
      <c r="G50996" s="889"/>
    </row>
    <row r="50997" spans="7:7" ht="10.5" customHeight="1" x14ac:dyDescent="0.2">
      <c r="G50997" s="889"/>
    </row>
    <row r="50998" spans="7:7" ht="10.5" customHeight="1" x14ac:dyDescent="0.2">
      <c r="G50998" s="889"/>
    </row>
    <row r="50999" spans="7:7" ht="10.5" customHeight="1" x14ac:dyDescent="0.2">
      <c r="G50999" s="889"/>
    </row>
    <row r="51000" spans="7:7" ht="10.5" customHeight="1" x14ac:dyDescent="0.2">
      <c r="G51000" s="889"/>
    </row>
    <row r="51001" spans="7:7" ht="10.5" customHeight="1" x14ac:dyDescent="0.2">
      <c r="G51001" s="889"/>
    </row>
    <row r="51002" spans="7:7" ht="10.5" customHeight="1" x14ac:dyDescent="0.2">
      <c r="G51002" s="889"/>
    </row>
    <row r="51003" spans="7:7" ht="10.5" customHeight="1" x14ac:dyDescent="0.2">
      <c r="G51003" s="889"/>
    </row>
    <row r="51004" spans="7:7" ht="10.5" customHeight="1" x14ac:dyDescent="0.2">
      <c r="G51004" s="889"/>
    </row>
    <row r="51005" spans="7:7" ht="10.5" customHeight="1" x14ac:dyDescent="0.2">
      <c r="G51005" s="889"/>
    </row>
    <row r="51006" spans="7:7" ht="10.5" customHeight="1" x14ac:dyDescent="0.2">
      <c r="G51006" s="889"/>
    </row>
    <row r="51007" spans="7:7" ht="10.5" customHeight="1" x14ac:dyDescent="0.2">
      <c r="G51007" s="889"/>
    </row>
    <row r="51008" spans="7:7" ht="10.5" customHeight="1" x14ac:dyDescent="0.2">
      <c r="G51008" s="889"/>
    </row>
    <row r="51009" spans="7:7" ht="10.5" customHeight="1" x14ac:dyDescent="0.2">
      <c r="G51009" s="889"/>
    </row>
    <row r="51010" spans="7:7" ht="10.5" customHeight="1" x14ac:dyDescent="0.2">
      <c r="G51010" s="889"/>
    </row>
    <row r="51011" spans="7:7" ht="10.5" customHeight="1" x14ac:dyDescent="0.2">
      <c r="G51011" s="889"/>
    </row>
    <row r="51012" spans="7:7" ht="10.5" customHeight="1" x14ac:dyDescent="0.2">
      <c r="G51012" s="889"/>
    </row>
    <row r="51013" spans="7:7" ht="10.5" customHeight="1" x14ac:dyDescent="0.2">
      <c r="G51013" s="889"/>
    </row>
    <row r="51014" spans="7:7" ht="10.5" customHeight="1" x14ac:dyDescent="0.2">
      <c r="G51014" s="889"/>
    </row>
    <row r="51015" spans="7:7" ht="10.5" customHeight="1" x14ac:dyDescent="0.2">
      <c r="G51015" s="889"/>
    </row>
    <row r="51016" spans="7:7" ht="10.5" customHeight="1" x14ac:dyDescent="0.2">
      <c r="G51016" s="889"/>
    </row>
    <row r="51017" spans="7:7" ht="10.5" customHeight="1" x14ac:dyDescent="0.2">
      <c r="G51017" s="889"/>
    </row>
    <row r="51018" spans="7:7" ht="10.5" customHeight="1" x14ac:dyDescent="0.2">
      <c r="G51018" s="889"/>
    </row>
    <row r="51019" spans="7:7" ht="10.5" customHeight="1" x14ac:dyDescent="0.2">
      <c r="G51019" s="889"/>
    </row>
    <row r="51020" spans="7:7" ht="10.5" customHeight="1" x14ac:dyDescent="0.2">
      <c r="G51020" s="889"/>
    </row>
    <row r="51021" spans="7:7" ht="10.5" customHeight="1" x14ac:dyDescent="0.2">
      <c r="G51021" s="889"/>
    </row>
    <row r="51022" spans="7:7" ht="10.5" customHeight="1" x14ac:dyDescent="0.2">
      <c r="G51022" s="889"/>
    </row>
    <row r="51023" spans="7:7" ht="10.5" customHeight="1" x14ac:dyDescent="0.2">
      <c r="G51023" s="889"/>
    </row>
    <row r="51024" spans="7:7" ht="10.5" customHeight="1" x14ac:dyDescent="0.2">
      <c r="G51024" s="889"/>
    </row>
    <row r="51025" spans="7:7" ht="10.5" customHeight="1" x14ac:dyDescent="0.2">
      <c r="G51025" s="889"/>
    </row>
    <row r="51026" spans="7:7" ht="10.5" customHeight="1" x14ac:dyDescent="0.2">
      <c r="G51026" s="889"/>
    </row>
    <row r="51027" spans="7:7" ht="10.5" customHeight="1" x14ac:dyDescent="0.2">
      <c r="G51027" s="889"/>
    </row>
    <row r="51028" spans="7:7" ht="10.5" customHeight="1" x14ac:dyDescent="0.2">
      <c r="G51028" s="889"/>
    </row>
    <row r="51029" spans="7:7" ht="10.5" customHeight="1" x14ac:dyDescent="0.2">
      <c r="G51029" s="889"/>
    </row>
    <row r="51030" spans="7:7" ht="10.5" customHeight="1" x14ac:dyDescent="0.2">
      <c r="G51030" s="889"/>
    </row>
    <row r="51031" spans="7:7" ht="10.5" customHeight="1" x14ac:dyDescent="0.2">
      <c r="G51031" s="889"/>
    </row>
    <row r="51032" spans="7:7" ht="10.5" customHeight="1" x14ac:dyDescent="0.2">
      <c r="G51032" s="889"/>
    </row>
    <row r="51033" spans="7:7" ht="10.5" customHeight="1" x14ac:dyDescent="0.2">
      <c r="G51033" s="889"/>
    </row>
    <row r="51034" spans="7:7" ht="10.5" customHeight="1" x14ac:dyDescent="0.2">
      <c r="G51034" s="889"/>
    </row>
    <row r="51035" spans="7:7" ht="10.5" customHeight="1" x14ac:dyDescent="0.2">
      <c r="G51035" s="889"/>
    </row>
    <row r="51036" spans="7:7" ht="10.5" customHeight="1" x14ac:dyDescent="0.2">
      <c r="G51036" s="889"/>
    </row>
    <row r="51037" spans="7:7" ht="10.5" customHeight="1" x14ac:dyDescent="0.2">
      <c r="G51037" s="889"/>
    </row>
    <row r="51038" spans="7:7" ht="10.5" customHeight="1" x14ac:dyDescent="0.2">
      <c r="G51038" s="889"/>
    </row>
    <row r="51039" spans="7:7" ht="10.5" customHeight="1" x14ac:dyDescent="0.2">
      <c r="G51039" s="889"/>
    </row>
    <row r="51040" spans="7:7" ht="10.5" customHeight="1" x14ac:dyDescent="0.2">
      <c r="G51040" s="889"/>
    </row>
    <row r="51041" spans="7:7" ht="10.5" customHeight="1" x14ac:dyDescent="0.2">
      <c r="G51041" s="889"/>
    </row>
    <row r="51042" spans="7:7" ht="10.5" customHeight="1" x14ac:dyDescent="0.2">
      <c r="G51042" s="889"/>
    </row>
    <row r="51043" spans="7:7" ht="10.5" customHeight="1" x14ac:dyDescent="0.2">
      <c r="G51043" s="889"/>
    </row>
    <row r="51044" spans="7:7" ht="10.5" customHeight="1" x14ac:dyDescent="0.2">
      <c r="G51044" s="889"/>
    </row>
    <row r="51045" spans="7:7" ht="10.5" customHeight="1" x14ac:dyDescent="0.2">
      <c r="G51045" s="889"/>
    </row>
    <row r="51046" spans="7:7" ht="10.5" customHeight="1" x14ac:dyDescent="0.2">
      <c r="G51046" s="889"/>
    </row>
    <row r="51047" spans="7:7" ht="10.5" customHeight="1" x14ac:dyDescent="0.2">
      <c r="G51047" s="889"/>
    </row>
    <row r="51048" spans="7:7" ht="10.5" customHeight="1" x14ac:dyDescent="0.2">
      <c r="G51048" s="889"/>
    </row>
    <row r="51049" spans="7:7" ht="10.5" customHeight="1" x14ac:dyDescent="0.2">
      <c r="G51049" s="889"/>
    </row>
    <row r="51050" spans="7:7" ht="10.5" customHeight="1" x14ac:dyDescent="0.2">
      <c r="G51050" s="889"/>
    </row>
    <row r="51051" spans="7:7" ht="10.5" customHeight="1" x14ac:dyDescent="0.2">
      <c r="G51051" s="889"/>
    </row>
    <row r="51052" spans="7:7" ht="10.5" customHeight="1" x14ac:dyDescent="0.2">
      <c r="G51052" s="889"/>
    </row>
    <row r="51053" spans="7:7" ht="10.5" customHeight="1" x14ac:dyDescent="0.2">
      <c r="G51053" s="889"/>
    </row>
    <row r="51054" spans="7:7" ht="10.5" customHeight="1" x14ac:dyDescent="0.2">
      <c r="G51054" s="889"/>
    </row>
    <row r="51055" spans="7:7" ht="10.5" customHeight="1" x14ac:dyDescent="0.2">
      <c r="G51055" s="889"/>
    </row>
    <row r="51056" spans="7:7" ht="10.5" customHeight="1" x14ac:dyDescent="0.2">
      <c r="G51056" s="889"/>
    </row>
    <row r="51057" spans="7:7" ht="10.5" customHeight="1" x14ac:dyDescent="0.2">
      <c r="G51057" s="889"/>
    </row>
    <row r="51058" spans="7:7" ht="10.5" customHeight="1" x14ac:dyDescent="0.2">
      <c r="G51058" s="889"/>
    </row>
    <row r="51059" spans="7:7" ht="10.5" customHeight="1" x14ac:dyDescent="0.2">
      <c r="G51059" s="889"/>
    </row>
    <row r="51060" spans="7:7" ht="10.5" customHeight="1" x14ac:dyDescent="0.2">
      <c r="G51060" s="889"/>
    </row>
    <row r="51061" spans="7:7" ht="10.5" customHeight="1" x14ac:dyDescent="0.2">
      <c r="G51061" s="889"/>
    </row>
    <row r="51062" spans="7:7" ht="10.5" customHeight="1" x14ac:dyDescent="0.2">
      <c r="G51062" s="889"/>
    </row>
    <row r="51063" spans="7:7" ht="10.5" customHeight="1" x14ac:dyDescent="0.2">
      <c r="G51063" s="889"/>
    </row>
    <row r="51064" spans="7:7" ht="10.5" customHeight="1" x14ac:dyDescent="0.2">
      <c r="G51064" s="889"/>
    </row>
    <row r="51065" spans="7:7" ht="10.5" customHeight="1" x14ac:dyDescent="0.2">
      <c r="G51065" s="889"/>
    </row>
    <row r="51066" spans="7:7" ht="10.5" customHeight="1" x14ac:dyDescent="0.2">
      <c r="G51066" s="889"/>
    </row>
    <row r="51067" spans="7:7" ht="10.5" customHeight="1" x14ac:dyDescent="0.2">
      <c r="G51067" s="889"/>
    </row>
    <row r="51068" spans="7:7" ht="10.5" customHeight="1" x14ac:dyDescent="0.2">
      <c r="G51068" s="889"/>
    </row>
    <row r="51069" spans="7:7" ht="10.5" customHeight="1" x14ac:dyDescent="0.2">
      <c r="G51069" s="889"/>
    </row>
    <row r="51070" spans="7:7" ht="10.5" customHeight="1" x14ac:dyDescent="0.2">
      <c r="G51070" s="889"/>
    </row>
    <row r="51071" spans="7:7" ht="10.5" customHeight="1" x14ac:dyDescent="0.2">
      <c r="G51071" s="889"/>
    </row>
    <row r="51072" spans="7:7" ht="10.5" customHeight="1" x14ac:dyDescent="0.2">
      <c r="G51072" s="889"/>
    </row>
    <row r="51073" spans="7:7" ht="10.5" customHeight="1" x14ac:dyDescent="0.2">
      <c r="G51073" s="889"/>
    </row>
    <row r="51074" spans="7:7" ht="10.5" customHeight="1" x14ac:dyDescent="0.2">
      <c r="G51074" s="889"/>
    </row>
    <row r="51075" spans="7:7" ht="10.5" customHeight="1" x14ac:dyDescent="0.2">
      <c r="G51075" s="889"/>
    </row>
    <row r="51076" spans="7:7" ht="10.5" customHeight="1" x14ac:dyDescent="0.2">
      <c r="G51076" s="889"/>
    </row>
    <row r="51077" spans="7:7" ht="10.5" customHeight="1" x14ac:dyDescent="0.2">
      <c r="G51077" s="889"/>
    </row>
    <row r="51078" spans="7:7" ht="10.5" customHeight="1" x14ac:dyDescent="0.2">
      <c r="G51078" s="889"/>
    </row>
    <row r="51079" spans="7:7" ht="10.5" customHeight="1" x14ac:dyDescent="0.2">
      <c r="G51079" s="889"/>
    </row>
    <row r="51080" spans="7:7" ht="10.5" customHeight="1" x14ac:dyDescent="0.2">
      <c r="G51080" s="889"/>
    </row>
    <row r="51081" spans="7:7" ht="10.5" customHeight="1" x14ac:dyDescent="0.2">
      <c r="G51081" s="889"/>
    </row>
    <row r="51082" spans="7:7" ht="10.5" customHeight="1" x14ac:dyDescent="0.2">
      <c r="G51082" s="889"/>
    </row>
    <row r="51083" spans="7:7" ht="10.5" customHeight="1" x14ac:dyDescent="0.2">
      <c r="G51083" s="889"/>
    </row>
    <row r="51084" spans="7:7" ht="10.5" customHeight="1" x14ac:dyDescent="0.2">
      <c r="G51084" s="889"/>
    </row>
    <row r="51085" spans="7:7" ht="10.5" customHeight="1" x14ac:dyDescent="0.2">
      <c r="G51085" s="889"/>
    </row>
    <row r="51086" spans="7:7" ht="10.5" customHeight="1" x14ac:dyDescent="0.2">
      <c r="G51086" s="889"/>
    </row>
    <row r="51087" spans="7:7" ht="10.5" customHeight="1" x14ac:dyDescent="0.2">
      <c r="G51087" s="889"/>
    </row>
    <row r="51088" spans="7:7" ht="10.5" customHeight="1" x14ac:dyDescent="0.2">
      <c r="G51088" s="889"/>
    </row>
    <row r="51089" spans="7:7" ht="10.5" customHeight="1" x14ac:dyDescent="0.2">
      <c r="G51089" s="889"/>
    </row>
    <row r="51090" spans="7:7" ht="10.5" customHeight="1" x14ac:dyDescent="0.2">
      <c r="G51090" s="889"/>
    </row>
    <row r="51091" spans="7:7" ht="10.5" customHeight="1" x14ac:dyDescent="0.2">
      <c r="G51091" s="889"/>
    </row>
    <row r="51092" spans="7:7" ht="10.5" customHeight="1" x14ac:dyDescent="0.2">
      <c r="G51092" s="889"/>
    </row>
    <row r="51093" spans="7:7" ht="10.5" customHeight="1" x14ac:dyDescent="0.2">
      <c r="G51093" s="889"/>
    </row>
    <row r="51094" spans="7:7" ht="10.5" customHeight="1" x14ac:dyDescent="0.2">
      <c r="G51094" s="889"/>
    </row>
    <row r="51095" spans="7:7" ht="10.5" customHeight="1" x14ac:dyDescent="0.2">
      <c r="G51095" s="889"/>
    </row>
    <row r="51096" spans="7:7" ht="10.5" customHeight="1" x14ac:dyDescent="0.2">
      <c r="G51096" s="889"/>
    </row>
    <row r="51097" spans="7:7" ht="10.5" customHeight="1" x14ac:dyDescent="0.2">
      <c r="G51097" s="889"/>
    </row>
    <row r="51098" spans="7:7" ht="10.5" customHeight="1" x14ac:dyDescent="0.2">
      <c r="G51098" s="889"/>
    </row>
    <row r="51099" spans="7:7" ht="10.5" customHeight="1" x14ac:dyDescent="0.2">
      <c r="G51099" s="889"/>
    </row>
    <row r="51100" spans="7:7" ht="10.5" customHeight="1" x14ac:dyDescent="0.2">
      <c r="G51100" s="889"/>
    </row>
    <row r="51101" spans="7:7" ht="10.5" customHeight="1" x14ac:dyDescent="0.2">
      <c r="G51101" s="889"/>
    </row>
    <row r="51102" spans="7:7" ht="10.5" customHeight="1" x14ac:dyDescent="0.2">
      <c r="G51102" s="889"/>
    </row>
    <row r="51103" spans="7:7" ht="10.5" customHeight="1" x14ac:dyDescent="0.2">
      <c r="G51103" s="889"/>
    </row>
    <row r="51104" spans="7:7" ht="10.5" customHeight="1" x14ac:dyDescent="0.2">
      <c r="G51104" s="889"/>
    </row>
    <row r="51105" spans="7:7" ht="10.5" customHeight="1" x14ac:dyDescent="0.2">
      <c r="G51105" s="889"/>
    </row>
    <row r="51106" spans="7:7" ht="10.5" customHeight="1" x14ac:dyDescent="0.2">
      <c r="G51106" s="889"/>
    </row>
    <row r="51107" spans="7:7" ht="10.5" customHeight="1" x14ac:dyDescent="0.2">
      <c r="G51107" s="889"/>
    </row>
    <row r="51108" spans="7:7" ht="10.5" customHeight="1" x14ac:dyDescent="0.2">
      <c r="G51108" s="889"/>
    </row>
    <row r="51109" spans="7:7" ht="10.5" customHeight="1" x14ac:dyDescent="0.2">
      <c r="G51109" s="889"/>
    </row>
    <row r="51110" spans="7:7" ht="10.5" customHeight="1" x14ac:dyDescent="0.2">
      <c r="G51110" s="889"/>
    </row>
    <row r="51111" spans="7:7" ht="10.5" customHeight="1" x14ac:dyDescent="0.2">
      <c r="G51111" s="889"/>
    </row>
    <row r="51112" spans="7:7" ht="10.5" customHeight="1" x14ac:dyDescent="0.2">
      <c r="G51112" s="889"/>
    </row>
    <row r="51113" spans="7:7" ht="10.5" customHeight="1" x14ac:dyDescent="0.2">
      <c r="G51113" s="889"/>
    </row>
    <row r="51114" spans="7:7" ht="10.5" customHeight="1" x14ac:dyDescent="0.2">
      <c r="G51114" s="889"/>
    </row>
    <row r="51115" spans="7:7" ht="10.5" customHeight="1" x14ac:dyDescent="0.2">
      <c r="G51115" s="889"/>
    </row>
    <row r="51116" spans="7:7" ht="10.5" customHeight="1" x14ac:dyDescent="0.2">
      <c r="G51116" s="889"/>
    </row>
    <row r="51117" spans="7:7" ht="10.5" customHeight="1" x14ac:dyDescent="0.2">
      <c r="G51117" s="889"/>
    </row>
    <row r="51118" spans="7:7" ht="10.5" customHeight="1" x14ac:dyDescent="0.2">
      <c r="G51118" s="889"/>
    </row>
    <row r="51119" spans="7:7" ht="10.5" customHeight="1" x14ac:dyDescent="0.2">
      <c r="G51119" s="889"/>
    </row>
    <row r="51120" spans="7:7" ht="10.5" customHeight="1" x14ac:dyDescent="0.2">
      <c r="G51120" s="889"/>
    </row>
    <row r="51121" spans="7:7" ht="10.5" customHeight="1" x14ac:dyDescent="0.2">
      <c r="G51121" s="889"/>
    </row>
    <row r="51122" spans="7:7" ht="10.5" customHeight="1" x14ac:dyDescent="0.2">
      <c r="G51122" s="889"/>
    </row>
    <row r="51123" spans="7:7" ht="10.5" customHeight="1" x14ac:dyDescent="0.2">
      <c r="G51123" s="889"/>
    </row>
    <row r="51124" spans="7:7" ht="10.5" customHeight="1" x14ac:dyDescent="0.2">
      <c r="G51124" s="889"/>
    </row>
    <row r="51125" spans="7:7" ht="10.5" customHeight="1" x14ac:dyDescent="0.2">
      <c r="G51125" s="889"/>
    </row>
    <row r="51126" spans="7:7" ht="10.5" customHeight="1" x14ac:dyDescent="0.2">
      <c r="G51126" s="889"/>
    </row>
    <row r="51127" spans="7:7" ht="10.5" customHeight="1" x14ac:dyDescent="0.2">
      <c r="G51127" s="889"/>
    </row>
    <row r="51128" spans="7:7" ht="10.5" customHeight="1" x14ac:dyDescent="0.2">
      <c r="G51128" s="889"/>
    </row>
    <row r="51129" spans="7:7" ht="10.5" customHeight="1" x14ac:dyDescent="0.2">
      <c r="G51129" s="889"/>
    </row>
    <row r="51130" spans="7:7" ht="10.5" customHeight="1" x14ac:dyDescent="0.2">
      <c r="G51130" s="889"/>
    </row>
    <row r="51131" spans="7:7" ht="10.5" customHeight="1" x14ac:dyDescent="0.2">
      <c r="G51131" s="889"/>
    </row>
    <row r="51132" spans="7:7" ht="10.5" customHeight="1" x14ac:dyDescent="0.2">
      <c r="G51132" s="889"/>
    </row>
    <row r="51133" spans="7:7" ht="10.5" customHeight="1" x14ac:dyDescent="0.2">
      <c r="G51133" s="889"/>
    </row>
    <row r="51134" spans="7:7" ht="10.5" customHeight="1" x14ac:dyDescent="0.2">
      <c r="G51134" s="889"/>
    </row>
    <row r="51135" spans="7:7" ht="10.5" customHeight="1" x14ac:dyDescent="0.2">
      <c r="G51135" s="889"/>
    </row>
    <row r="51136" spans="7:7" ht="10.5" customHeight="1" x14ac:dyDescent="0.2">
      <c r="G51136" s="889"/>
    </row>
    <row r="51137" spans="7:7" ht="10.5" customHeight="1" x14ac:dyDescent="0.2">
      <c r="G51137" s="889"/>
    </row>
    <row r="51138" spans="7:7" ht="10.5" customHeight="1" x14ac:dyDescent="0.2">
      <c r="G51138" s="889"/>
    </row>
    <row r="51139" spans="7:7" ht="10.5" customHeight="1" x14ac:dyDescent="0.2">
      <c r="G51139" s="889"/>
    </row>
    <row r="51140" spans="7:7" ht="10.5" customHeight="1" x14ac:dyDescent="0.2">
      <c r="G51140" s="889"/>
    </row>
    <row r="51141" spans="7:7" ht="10.5" customHeight="1" x14ac:dyDescent="0.2">
      <c r="G51141" s="889"/>
    </row>
    <row r="51142" spans="7:7" ht="10.5" customHeight="1" x14ac:dyDescent="0.2">
      <c r="G51142" s="889"/>
    </row>
    <row r="51143" spans="7:7" ht="10.5" customHeight="1" x14ac:dyDescent="0.2">
      <c r="G51143" s="889"/>
    </row>
    <row r="51144" spans="7:7" ht="10.5" customHeight="1" x14ac:dyDescent="0.2">
      <c r="G51144" s="889"/>
    </row>
    <row r="51145" spans="7:7" ht="10.5" customHeight="1" x14ac:dyDescent="0.2">
      <c r="G51145" s="889"/>
    </row>
    <row r="51146" spans="7:7" ht="10.5" customHeight="1" x14ac:dyDescent="0.2">
      <c r="G51146" s="889"/>
    </row>
    <row r="51147" spans="7:7" ht="10.5" customHeight="1" x14ac:dyDescent="0.2">
      <c r="G51147" s="889"/>
    </row>
    <row r="51148" spans="7:7" ht="10.5" customHeight="1" x14ac:dyDescent="0.2">
      <c r="G51148" s="889"/>
    </row>
    <row r="51149" spans="7:7" ht="10.5" customHeight="1" x14ac:dyDescent="0.2">
      <c r="G51149" s="889"/>
    </row>
    <row r="51150" spans="7:7" ht="10.5" customHeight="1" x14ac:dyDescent="0.2">
      <c r="G51150" s="889"/>
    </row>
    <row r="51151" spans="7:7" ht="10.5" customHeight="1" x14ac:dyDescent="0.2">
      <c r="G51151" s="889"/>
    </row>
    <row r="51152" spans="7:7" ht="10.5" customHeight="1" x14ac:dyDescent="0.2">
      <c r="G51152" s="889"/>
    </row>
    <row r="51153" spans="7:7" ht="10.5" customHeight="1" x14ac:dyDescent="0.2">
      <c r="G51153" s="889"/>
    </row>
    <row r="51154" spans="7:7" ht="10.5" customHeight="1" x14ac:dyDescent="0.2">
      <c r="G51154" s="889"/>
    </row>
    <row r="51155" spans="7:7" ht="10.5" customHeight="1" x14ac:dyDescent="0.2">
      <c r="G51155" s="889"/>
    </row>
    <row r="51156" spans="7:7" ht="10.5" customHeight="1" x14ac:dyDescent="0.2">
      <c r="G51156" s="889"/>
    </row>
    <row r="51157" spans="7:7" ht="10.5" customHeight="1" x14ac:dyDescent="0.2">
      <c r="G51157" s="889"/>
    </row>
    <row r="51158" spans="7:7" ht="10.5" customHeight="1" x14ac:dyDescent="0.2">
      <c r="G51158" s="889"/>
    </row>
    <row r="51159" spans="7:7" ht="10.5" customHeight="1" x14ac:dyDescent="0.2">
      <c r="G51159" s="889"/>
    </row>
    <row r="51160" spans="7:7" ht="10.5" customHeight="1" x14ac:dyDescent="0.2">
      <c r="G51160" s="889"/>
    </row>
    <row r="51161" spans="7:7" ht="10.5" customHeight="1" x14ac:dyDescent="0.2">
      <c r="G51161" s="889"/>
    </row>
    <row r="51162" spans="7:7" ht="10.5" customHeight="1" x14ac:dyDescent="0.2">
      <c r="G51162" s="889"/>
    </row>
    <row r="51163" spans="7:7" ht="10.5" customHeight="1" x14ac:dyDescent="0.2">
      <c r="G51163" s="889"/>
    </row>
    <row r="51164" spans="7:7" ht="10.5" customHeight="1" x14ac:dyDescent="0.2">
      <c r="G51164" s="889"/>
    </row>
    <row r="51165" spans="7:7" ht="10.5" customHeight="1" x14ac:dyDescent="0.2">
      <c r="G51165" s="889"/>
    </row>
    <row r="51166" spans="7:7" ht="10.5" customHeight="1" x14ac:dyDescent="0.2">
      <c r="G51166" s="889"/>
    </row>
    <row r="51167" spans="7:7" ht="10.5" customHeight="1" x14ac:dyDescent="0.2">
      <c r="G51167" s="889"/>
    </row>
    <row r="51168" spans="7:7" ht="10.5" customHeight="1" x14ac:dyDescent="0.2">
      <c r="G51168" s="889"/>
    </row>
    <row r="51169" spans="7:7" ht="10.5" customHeight="1" x14ac:dyDescent="0.2">
      <c r="G51169" s="889"/>
    </row>
    <row r="51170" spans="7:7" ht="10.5" customHeight="1" x14ac:dyDescent="0.2">
      <c r="G51170" s="889"/>
    </row>
    <row r="51171" spans="7:7" ht="10.5" customHeight="1" x14ac:dyDescent="0.2">
      <c r="G51171" s="889"/>
    </row>
    <row r="51172" spans="7:7" ht="10.5" customHeight="1" x14ac:dyDescent="0.2">
      <c r="G51172" s="889"/>
    </row>
    <row r="51173" spans="7:7" ht="10.5" customHeight="1" x14ac:dyDescent="0.2">
      <c r="G51173" s="889"/>
    </row>
    <row r="51174" spans="7:7" ht="10.5" customHeight="1" x14ac:dyDescent="0.2">
      <c r="G51174" s="889"/>
    </row>
    <row r="51175" spans="7:7" ht="10.5" customHeight="1" x14ac:dyDescent="0.2">
      <c r="G51175" s="889"/>
    </row>
    <row r="51176" spans="7:7" ht="10.5" customHeight="1" x14ac:dyDescent="0.2">
      <c r="G51176" s="889"/>
    </row>
    <row r="51177" spans="7:7" ht="10.5" customHeight="1" x14ac:dyDescent="0.2">
      <c r="G51177" s="889"/>
    </row>
    <row r="51178" spans="7:7" ht="10.5" customHeight="1" x14ac:dyDescent="0.2">
      <c r="G51178" s="889"/>
    </row>
    <row r="51179" spans="7:7" ht="10.5" customHeight="1" x14ac:dyDescent="0.2">
      <c r="G51179" s="889"/>
    </row>
    <row r="51180" spans="7:7" ht="10.5" customHeight="1" x14ac:dyDescent="0.2">
      <c r="G51180" s="889"/>
    </row>
    <row r="51181" spans="7:7" ht="10.5" customHeight="1" x14ac:dyDescent="0.2">
      <c r="G51181" s="889"/>
    </row>
    <row r="51182" spans="7:7" ht="10.5" customHeight="1" x14ac:dyDescent="0.2">
      <c r="G51182" s="889"/>
    </row>
    <row r="51183" spans="7:7" ht="10.5" customHeight="1" x14ac:dyDescent="0.2">
      <c r="G51183" s="889"/>
    </row>
    <row r="51184" spans="7:7" ht="10.5" customHeight="1" x14ac:dyDescent="0.2">
      <c r="G51184" s="889"/>
    </row>
    <row r="51185" spans="7:7" ht="10.5" customHeight="1" x14ac:dyDescent="0.2">
      <c r="G51185" s="889"/>
    </row>
    <row r="51186" spans="7:7" ht="10.5" customHeight="1" x14ac:dyDescent="0.2">
      <c r="G51186" s="889"/>
    </row>
    <row r="51187" spans="7:7" ht="10.5" customHeight="1" x14ac:dyDescent="0.2">
      <c r="G51187" s="889"/>
    </row>
    <row r="51188" spans="7:7" ht="10.5" customHeight="1" x14ac:dyDescent="0.2">
      <c r="G51188" s="889"/>
    </row>
    <row r="51189" spans="7:7" ht="10.5" customHeight="1" x14ac:dyDescent="0.2">
      <c r="G51189" s="889"/>
    </row>
    <row r="51190" spans="7:7" ht="10.5" customHeight="1" x14ac:dyDescent="0.2">
      <c r="G51190" s="889"/>
    </row>
    <row r="51191" spans="7:7" ht="10.5" customHeight="1" x14ac:dyDescent="0.2">
      <c r="G51191" s="889"/>
    </row>
    <row r="51192" spans="7:7" ht="10.5" customHeight="1" x14ac:dyDescent="0.2">
      <c r="G51192" s="889"/>
    </row>
    <row r="51193" spans="7:7" ht="10.5" customHeight="1" x14ac:dyDescent="0.2">
      <c r="G51193" s="889"/>
    </row>
    <row r="51194" spans="7:7" ht="10.5" customHeight="1" x14ac:dyDescent="0.2">
      <c r="G51194" s="889"/>
    </row>
    <row r="51195" spans="7:7" ht="10.5" customHeight="1" x14ac:dyDescent="0.2">
      <c r="G51195" s="889"/>
    </row>
    <row r="51196" spans="7:7" ht="10.5" customHeight="1" x14ac:dyDescent="0.2">
      <c r="G51196" s="889"/>
    </row>
    <row r="51197" spans="7:7" ht="10.5" customHeight="1" x14ac:dyDescent="0.2">
      <c r="G51197" s="889"/>
    </row>
    <row r="51198" spans="7:7" ht="10.5" customHeight="1" x14ac:dyDescent="0.2">
      <c r="G51198" s="889"/>
    </row>
    <row r="51199" spans="7:7" ht="10.5" customHeight="1" x14ac:dyDescent="0.2">
      <c r="G51199" s="889"/>
    </row>
    <row r="51200" spans="7:7" ht="10.5" customHeight="1" x14ac:dyDescent="0.2">
      <c r="G51200" s="889"/>
    </row>
    <row r="51201" spans="7:7" ht="10.5" customHeight="1" x14ac:dyDescent="0.2">
      <c r="G51201" s="889"/>
    </row>
    <row r="51202" spans="7:7" ht="10.5" customHeight="1" x14ac:dyDescent="0.2">
      <c r="G51202" s="889"/>
    </row>
    <row r="51203" spans="7:7" ht="10.5" customHeight="1" x14ac:dyDescent="0.2">
      <c r="G51203" s="889"/>
    </row>
    <row r="51204" spans="7:7" ht="10.5" customHeight="1" x14ac:dyDescent="0.2">
      <c r="G51204" s="889"/>
    </row>
    <row r="51205" spans="7:7" ht="10.5" customHeight="1" x14ac:dyDescent="0.2">
      <c r="G51205" s="889"/>
    </row>
    <row r="51206" spans="7:7" ht="10.5" customHeight="1" x14ac:dyDescent="0.2">
      <c r="G51206" s="889"/>
    </row>
    <row r="51207" spans="7:7" ht="10.5" customHeight="1" x14ac:dyDescent="0.2">
      <c r="G51207" s="889"/>
    </row>
    <row r="51208" spans="7:7" ht="10.5" customHeight="1" x14ac:dyDescent="0.2">
      <c r="G51208" s="889"/>
    </row>
    <row r="51209" spans="7:7" ht="10.5" customHeight="1" x14ac:dyDescent="0.2">
      <c r="G51209" s="889"/>
    </row>
    <row r="51210" spans="7:7" ht="10.5" customHeight="1" x14ac:dyDescent="0.2">
      <c r="G51210" s="889"/>
    </row>
    <row r="51211" spans="7:7" ht="10.5" customHeight="1" x14ac:dyDescent="0.2">
      <c r="G51211" s="889"/>
    </row>
    <row r="51212" spans="7:7" ht="10.5" customHeight="1" x14ac:dyDescent="0.2">
      <c r="G51212" s="889"/>
    </row>
    <row r="51213" spans="7:7" ht="10.5" customHeight="1" x14ac:dyDescent="0.2">
      <c r="G51213" s="889"/>
    </row>
    <row r="51214" spans="7:7" ht="10.5" customHeight="1" x14ac:dyDescent="0.2">
      <c r="G51214" s="889"/>
    </row>
    <row r="51215" spans="7:7" ht="10.5" customHeight="1" x14ac:dyDescent="0.2">
      <c r="G51215" s="889"/>
    </row>
    <row r="51216" spans="7:7" ht="10.5" customHeight="1" x14ac:dyDescent="0.2">
      <c r="G51216" s="889"/>
    </row>
    <row r="51217" spans="7:7" ht="10.5" customHeight="1" x14ac:dyDescent="0.2">
      <c r="G51217" s="889"/>
    </row>
    <row r="51218" spans="7:7" ht="10.5" customHeight="1" x14ac:dyDescent="0.2">
      <c r="G51218" s="889"/>
    </row>
    <row r="51219" spans="7:7" ht="10.5" customHeight="1" x14ac:dyDescent="0.2">
      <c r="G51219" s="889"/>
    </row>
    <row r="51220" spans="7:7" ht="10.5" customHeight="1" x14ac:dyDescent="0.2">
      <c r="G51220" s="889"/>
    </row>
    <row r="51221" spans="7:7" ht="10.5" customHeight="1" x14ac:dyDescent="0.2">
      <c r="G51221" s="889"/>
    </row>
    <row r="51222" spans="7:7" ht="10.5" customHeight="1" x14ac:dyDescent="0.2">
      <c r="G51222" s="889"/>
    </row>
    <row r="51223" spans="7:7" ht="10.5" customHeight="1" x14ac:dyDescent="0.2">
      <c r="G51223" s="889"/>
    </row>
    <row r="51224" spans="7:7" ht="10.5" customHeight="1" x14ac:dyDescent="0.2">
      <c r="G51224" s="889"/>
    </row>
    <row r="51225" spans="7:7" ht="10.5" customHeight="1" x14ac:dyDescent="0.2">
      <c r="G51225" s="889"/>
    </row>
    <row r="51226" spans="7:7" ht="10.5" customHeight="1" x14ac:dyDescent="0.2">
      <c r="G51226" s="889"/>
    </row>
    <row r="51227" spans="7:7" ht="10.5" customHeight="1" x14ac:dyDescent="0.2">
      <c r="G51227" s="889"/>
    </row>
    <row r="51228" spans="7:7" ht="10.5" customHeight="1" x14ac:dyDescent="0.2">
      <c r="G51228" s="889"/>
    </row>
    <row r="51229" spans="7:7" ht="10.5" customHeight="1" x14ac:dyDescent="0.2">
      <c r="G51229" s="889"/>
    </row>
    <row r="51230" spans="7:7" ht="10.5" customHeight="1" x14ac:dyDescent="0.2">
      <c r="G51230" s="889"/>
    </row>
    <row r="51231" spans="7:7" ht="10.5" customHeight="1" x14ac:dyDescent="0.2">
      <c r="G51231" s="889"/>
    </row>
    <row r="51232" spans="7:7" ht="10.5" customHeight="1" x14ac:dyDescent="0.2">
      <c r="G51232" s="889"/>
    </row>
    <row r="51233" spans="7:7" ht="10.5" customHeight="1" x14ac:dyDescent="0.2">
      <c r="G51233" s="889"/>
    </row>
    <row r="51234" spans="7:7" ht="10.5" customHeight="1" x14ac:dyDescent="0.2">
      <c r="G51234" s="889"/>
    </row>
    <row r="51235" spans="7:7" ht="10.5" customHeight="1" x14ac:dyDescent="0.2">
      <c r="G51235" s="889"/>
    </row>
    <row r="51236" spans="7:7" ht="10.5" customHeight="1" x14ac:dyDescent="0.2">
      <c r="G51236" s="889"/>
    </row>
    <row r="51237" spans="7:7" ht="10.5" customHeight="1" x14ac:dyDescent="0.2">
      <c r="G51237" s="889"/>
    </row>
    <row r="51238" spans="7:7" ht="10.5" customHeight="1" x14ac:dyDescent="0.2">
      <c r="G51238" s="889"/>
    </row>
    <row r="51239" spans="7:7" ht="10.5" customHeight="1" x14ac:dyDescent="0.2">
      <c r="G51239" s="889"/>
    </row>
    <row r="51240" spans="7:7" ht="10.5" customHeight="1" x14ac:dyDescent="0.2">
      <c r="G51240" s="889"/>
    </row>
    <row r="51241" spans="7:7" ht="10.5" customHeight="1" x14ac:dyDescent="0.2">
      <c r="G51241" s="889"/>
    </row>
    <row r="51242" spans="7:7" ht="10.5" customHeight="1" x14ac:dyDescent="0.2">
      <c r="G51242" s="889"/>
    </row>
    <row r="51243" spans="7:7" ht="10.5" customHeight="1" x14ac:dyDescent="0.2">
      <c r="G51243" s="889"/>
    </row>
    <row r="51244" spans="7:7" ht="10.5" customHeight="1" x14ac:dyDescent="0.2">
      <c r="G51244" s="889"/>
    </row>
    <row r="51245" spans="7:7" ht="10.5" customHeight="1" x14ac:dyDescent="0.2">
      <c r="G51245" s="889"/>
    </row>
    <row r="51246" spans="7:7" ht="10.5" customHeight="1" x14ac:dyDescent="0.2">
      <c r="G51246" s="889"/>
    </row>
    <row r="51247" spans="7:7" ht="10.5" customHeight="1" x14ac:dyDescent="0.2">
      <c r="G51247" s="889"/>
    </row>
    <row r="51248" spans="7:7" ht="10.5" customHeight="1" x14ac:dyDescent="0.2">
      <c r="G51248" s="889"/>
    </row>
    <row r="51249" spans="7:7" ht="10.5" customHeight="1" x14ac:dyDescent="0.2">
      <c r="G51249" s="889"/>
    </row>
    <row r="51250" spans="7:7" ht="10.5" customHeight="1" x14ac:dyDescent="0.2">
      <c r="G51250" s="889"/>
    </row>
    <row r="51251" spans="7:7" ht="10.5" customHeight="1" x14ac:dyDescent="0.2">
      <c r="G51251" s="889"/>
    </row>
    <row r="51252" spans="7:7" ht="10.5" customHeight="1" x14ac:dyDescent="0.2">
      <c r="G51252" s="889"/>
    </row>
    <row r="51253" spans="7:7" ht="10.5" customHeight="1" x14ac:dyDescent="0.2">
      <c r="G51253" s="889"/>
    </row>
    <row r="51254" spans="7:7" ht="10.5" customHeight="1" x14ac:dyDescent="0.2">
      <c r="G51254" s="889"/>
    </row>
    <row r="51255" spans="7:7" ht="10.5" customHeight="1" x14ac:dyDescent="0.2">
      <c r="G51255" s="889"/>
    </row>
    <row r="51256" spans="7:7" ht="10.5" customHeight="1" x14ac:dyDescent="0.2">
      <c r="G51256" s="889"/>
    </row>
    <row r="51257" spans="7:7" ht="10.5" customHeight="1" x14ac:dyDescent="0.2">
      <c r="G51257" s="889"/>
    </row>
    <row r="51258" spans="7:7" ht="10.5" customHeight="1" x14ac:dyDescent="0.2">
      <c r="G51258" s="889"/>
    </row>
    <row r="51259" spans="7:7" ht="10.5" customHeight="1" x14ac:dyDescent="0.2">
      <c r="G51259" s="889"/>
    </row>
    <row r="51260" spans="7:7" ht="10.5" customHeight="1" x14ac:dyDescent="0.2">
      <c r="G51260" s="889"/>
    </row>
    <row r="51261" spans="7:7" ht="10.5" customHeight="1" x14ac:dyDescent="0.2">
      <c r="G51261" s="889"/>
    </row>
    <row r="51262" spans="7:7" ht="10.5" customHeight="1" x14ac:dyDescent="0.2">
      <c r="G51262" s="889"/>
    </row>
    <row r="51263" spans="7:7" ht="10.5" customHeight="1" x14ac:dyDescent="0.2">
      <c r="G51263" s="889"/>
    </row>
    <row r="51264" spans="7:7" ht="10.5" customHeight="1" x14ac:dyDescent="0.2">
      <c r="G51264" s="889"/>
    </row>
    <row r="51265" spans="7:7" ht="10.5" customHeight="1" x14ac:dyDescent="0.2">
      <c r="G51265" s="889"/>
    </row>
    <row r="51266" spans="7:7" ht="10.5" customHeight="1" x14ac:dyDescent="0.2">
      <c r="G51266" s="889"/>
    </row>
    <row r="51267" spans="7:7" ht="10.5" customHeight="1" x14ac:dyDescent="0.2">
      <c r="G51267" s="889"/>
    </row>
    <row r="51268" spans="7:7" ht="10.5" customHeight="1" x14ac:dyDescent="0.2">
      <c r="G51268" s="889"/>
    </row>
    <row r="51269" spans="7:7" ht="10.5" customHeight="1" x14ac:dyDescent="0.2">
      <c r="G51269" s="889"/>
    </row>
    <row r="51270" spans="7:7" ht="10.5" customHeight="1" x14ac:dyDescent="0.2">
      <c r="G51270" s="889"/>
    </row>
    <row r="51271" spans="7:7" ht="10.5" customHeight="1" x14ac:dyDescent="0.2">
      <c r="G51271" s="889"/>
    </row>
    <row r="51272" spans="7:7" ht="10.5" customHeight="1" x14ac:dyDescent="0.2">
      <c r="G51272" s="889"/>
    </row>
    <row r="51273" spans="7:7" ht="10.5" customHeight="1" x14ac:dyDescent="0.2">
      <c r="G51273" s="889"/>
    </row>
    <row r="51274" spans="7:7" ht="10.5" customHeight="1" x14ac:dyDescent="0.2">
      <c r="G51274" s="889"/>
    </row>
    <row r="51275" spans="7:7" ht="10.5" customHeight="1" x14ac:dyDescent="0.2">
      <c r="G51275" s="889"/>
    </row>
    <row r="51276" spans="7:7" ht="10.5" customHeight="1" x14ac:dyDescent="0.2">
      <c r="G51276" s="889"/>
    </row>
    <row r="51277" spans="7:7" ht="10.5" customHeight="1" x14ac:dyDescent="0.2">
      <c r="G51277" s="889"/>
    </row>
    <row r="51278" spans="7:7" ht="10.5" customHeight="1" x14ac:dyDescent="0.2">
      <c r="G51278" s="889"/>
    </row>
    <row r="51279" spans="7:7" ht="10.5" customHeight="1" x14ac:dyDescent="0.2">
      <c r="G51279" s="889"/>
    </row>
    <row r="51280" spans="7:7" ht="10.5" customHeight="1" x14ac:dyDescent="0.2">
      <c r="G51280" s="889"/>
    </row>
    <row r="51281" spans="7:7" ht="10.5" customHeight="1" x14ac:dyDescent="0.2">
      <c r="G51281" s="889"/>
    </row>
    <row r="51282" spans="7:7" ht="10.5" customHeight="1" x14ac:dyDescent="0.2">
      <c r="G51282" s="889"/>
    </row>
    <row r="51283" spans="7:7" ht="10.5" customHeight="1" x14ac:dyDescent="0.2">
      <c r="G51283" s="889"/>
    </row>
    <row r="51284" spans="7:7" ht="10.5" customHeight="1" x14ac:dyDescent="0.2">
      <c r="G51284" s="889"/>
    </row>
    <row r="51285" spans="7:7" ht="10.5" customHeight="1" x14ac:dyDescent="0.2">
      <c r="G51285" s="889"/>
    </row>
    <row r="51286" spans="7:7" ht="10.5" customHeight="1" x14ac:dyDescent="0.2">
      <c r="G51286" s="889"/>
    </row>
    <row r="51287" spans="7:7" ht="10.5" customHeight="1" x14ac:dyDescent="0.2">
      <c r="G51287" s="889"/>
    </row>
    <row r="51288" spans="7:7" ht="10.5" customHeight="1" x14ac:dyDescent="0.2">
      <c r="G51288" s="889"/>
    </row>
    <row r="51289" spans="7:7" ht="10.5" customHeight="1" x14ac:dyDescent="0.2">
      <c r="G51289" s="889"/>
    </row>
    <row r="51290" spans="7:7" ht="10.5" customHeight="1" x14ac:dyDescent="0.2">
      <c r="G51290" s="889"/>
    </row>
    <row r="51291" spans="7:7" ht="10.5" customHeight="1" x14ac:dyDescent="0.2">
      <c r="G51291" s="889"/>
    </row>
    <row r="51292" spans="7:7" ht="10.5" customHeight="1" x14ac:dyDescent="0.2">
      <c r="G51292" s="889"/>
    </row>
    <row r="51293" spans="7:7" ht="10.5" customHeight="1" x14ac:dyDescent="0.2">
      <c r="G51293" s="889"/>
    </row>
    <row r="51294" spans="7:7" ht="10.5" customHeight="1" x14ac:dyDescent="0.2">
      <c r="G51294" s="889"/>
    </row>
    <row r="51295" spans="7:7" ht="10.5" customHeight="1" x14ac:dyDescent="0.2">
      <c r="G51295" s="889"/>
    </row>
    <row r="51296" spans="7:7" ht="10.5" customHeight="1" x14ac:dyDescent="0.2">
      <c r="G51296" s="889"/>
    </row>
    <row r="51297" spans="7:7" ht="10.5" customHeight="1" x14ac:dyDescent="0.2">
      <c r="G51297" s="889"/>
    </row>
    <row r="51298" spans="7:7" ht="10.5" customHeight="1" x14ac:dyDescent="0.2">
      <c r="G51298" s="889"/>
    </row>
    <row r="51299" spans="7:7" ht="10.5" customHeight="1" x14ac:dyDescent="0.2">
      <c r="G51299" s="889"/>
    </row>
    <row r="51300" spans="7:7" ht="10.5" customHeight="1" x14ac:dyDescent="0.2">
      <c r="G51300" s="889"/>
    </row>
    <row r="51301" spans="7:7" ht="10.5" customHeight="1" x14ac:dyDescent="0.2">
      <c r="G51301" s="889"/>
    </row>
    <row r="51302" spans="7:7" ht="10.5" customHeight="1" x14ac:dyDescent="0.2">
      <c r="G51302" s="889"/>
    </row>
    <row r="51303" spans="7:7" ht="10.5" customHeight="1" x14ac:dyDescent="0.2">
      <c r="G51303" s="889"/>
    </row>
    <row r="51304" spans="7:7" ht="10.5" customHeight="1" x14ac:dyDescent="0.2">
      <c r="G51304" s="889"/>
    </row>
    <row r="51305" spans="7:7" ht="10.5" customHeight="1" x14ac:dyDescent="0.2">
      <c r="G51305" s="889"/>
    </row>
    <row r="51306" spans="7:7" ht="10.5" customHeight="1" x14ac:dyDescent="0.2">
      <c r="G51306" s="889"/>
    </row>
    <row r="51307" spans="7:7" ht="10.5" customHeight="1" x14ac:dyDescent="0.2">
      <c r="G51307" s="889"/>
    </row>
    <row r="51308" spans="7:7" ht="10.5" customHeight="1" x14ac:dyDescent="0.2">
      <c r="G51308" s="889"/>
    </row>
    <row r="51309" spans="7:7" ht="10.5" customHeight="1" x14ac:dyDescent="0.2">
      <c r="G51309" s="889"/>
    </row>
    <row r="51310" spans="7:7" ht="10.5" customHeight="1" x14ac:dyDescent="0.2">
      <c r="G51310" s="889"/>
    </row>
    <row r="51311" spans="7:7" ht="10.5" customHeight="1" x14ac:dyDescent="0.2">
      <c r="G51311" s="889"/>
    </row>
    <row r="51312" spans="7:7" ht="10.5" customHeight="1" x14ac:dyDescent="0.2">
      <c r="G51312" s="889"/>
    </row>
    <row r="51313" spans="7:7" ht="10.5" customHeight="1" x14ac:dyDescent="0.2">
      <c r="G51313" s="889"/>
    </row>
    <row r="51314" spans="7:7" ht="10.5" customHeight="1" x14ac:dyDescent="0.2">
      <c r="G51314" s="889"/>
    </row>
    <row r="51315" spans="7:7" ht="10.5" customHeight="1" x14ac:dyDescent="0.2">
      <c r="G51315" s="889"/>
    </row>
    <row r="51316" spans="7:7" ht="10.5" customHeight="1" x14ac:dyDescent="0.2">
      <c r="G51316" s="889"/>
    </row>
    <row r="51317" spans="7:7" ht="10.5" customHeight="1" x14ac:dyDescent="0.2">
      <c r="G51317" s="889"/>
    </row>
    <row r="51318" spans="7:7" ht="10.5" customHeight="1" x14ac:dyDescent="0.2">
      <c r="G51318" s="889"/>
    </row>
    <row r="51319" spans="7:7" ht="10.5" customHeight="1" x14ac:dyDescent="0.2">
      <c r="G51319" s="889"/>
    </row>
    <row r="51320" spans="7:7" ht="10.5" customHeight="1" x14ac:dyDescent="0.2">
      <c r="G51320" s="889"/>
    </row>
    <row r="51321" spans="7:7" ht="10.5" customHeight="1" x14ac:dyDescent="0.2">
      <c r="G51321" s="889"/>
    </row>
    <row r="51322" spans="7:7" ht="10.5" customHeight="1" x14ac:dyDescent="0.2">
      <c r="G51322" s="889"/>
    </row>
    <row r="51323" spans="7:7" ht="10.5" customHeight="1" x14ac:dyDescent="0.2">
      <c r="G51323" s="889"/>
    </row>
    <row r="51324" spans="7:7" ht="10.5" customHeight="1" x14ac:dyDescent="0.2">
      <c r="G51324" s="889"/>
    </row>
    <row r="51325" spans="7:7" ht="10.5" customHeight="1" x14ac:dyDescent="0.2">
      <c r="G51325" s="889"/>
    </row>
    <row r="51326" spans="7:7" ht="10.5" customHeight="1" x14ac:dyDescent="0.2">
      <c r="G51326" s="889"/>
    </row>
    <row r="51327" spans="7:7" ht="10.5" customHeight="1" x14ac:dyDescent="0.2">
      <c r="G51327" s="889"/>
    </row>
    <row r="51328" spans="7:7" ht="10.5" customHeight="1" x14ac:dyDescent="0.2">
      <c r="G51328" s="889"/>
    </row>
    <row r="51329" spans="7:7" ht="10.5" customHeight="1" x14ac:dyDescent="0.2">
      <c r="G51329" s="889"/>
    </row>
    <row r="51330" spans="7:7" ht="10.5" customHeight="1" x14ac:dyDescent="0.2">
      <c r="G51330" s="889"/>
    </row>
    <row r="51331" spans="7:7" ht="10.5" customHeight="1" x14ac:dyDescent="0.2">
      <c r="G51331" s="889"/>
    </row>
    <row r="51332" spans="7:7" ht="10.5" customHeight="1" x14ac:dyDescent="0.2">
      <c r="G51332" s="889"/>
    </row>
    <row r="51333" spans="7:7" ht="10.5" customHeight="1" x14ac:dyDescent="0.2">
      <c r="G51333" s="889"/>
    </row>
    <row r="51334" spans="7:7" ht="10.5" customHeight="1" x14ac:dyDescent="0.2">
      <c r="G51334" s="889"/>
    </row>
    <row r="51335" spans="7:7" ht="10.5" customHeight="1" x14ac:dyDescent="0.2">
      <c r="G51335" s="889"/>
    </row>
    <row r="51336" spans="7:7" ht="10.5" customHeight="1" x14ac:dyDescent="0.2">
      <c r="G51336" s="889"/>
    </row>
    <row r="51337" spans="7:7" ht="10.5" customHeight="1" x14ac:dyDescent="0.2">
      <c r="G51337" s="889"/>
    </row>
    <row r="51338" spans="7:7" ht="10.5" customHeight="1" x14ac:dyDescent="0.2">
      <c r="G51338" s="889"/>
    </row>
    <row r="51339" spans="7:7" ht="10.5" customHeight="1" x14ac:dyDescent="0.2">
      <c r="G51339" s="889"/>
    </row>
    <row r="51340" spans="7:7" ht="10.5" customHeight="1" x14ac:dyDescent="0.2">
      <c r="G51340" s="889"/>
    </row>
    <row r="51341" spans="7:7" ht="10.5" customHeight="1" x14ac:dyDescent="0.2">
      <c r="G51341" s="889"/>
    </row>
    <row r="51342" spans="7:7" ht="10.5" customHeight="1" x14ac:dyDescent="0.2">
      <c r="G51342" s="889"/>
    </row>
    <row r="51343" spans="7:7" ht="10.5" customHeight="1" x14ac:dyDescent="0.2">
      <c r="G51343" s="889"/>
    </row>
    <row r="51344" spans="7:7" ht="10.5" customHeight="1" x14ac:dyDescent="0.2">
      <c r="G51344" s="889"/>
    </row>
    <row r="51345" spans="7:7" ht="10.5" customHeight="1" x14ac:dyDescent="0.2">
      <c r="G51345" s="889"/>
    </row>
    <row r="51346" spans="7:7" ht="10.5" customHeight="1" x14ac:dyDescent="0.2">
      <c r="G51346" s="889"/>
    </row>
    <row r="51347" spans="7:7" ht="10.5" customHeight="1" x14ac:dyDescent="0.2">
      <c r="G51347" s="889"/>
    </row>
    <row r="51348" spans="7:7" ht="10.5" customHeight="1" x14ac:dyDescent="0.2">
      <c r="G51348" s="889"/>
    </row>
    <row r="51349" spans="7:7" ht="10.5" customHeight="1" x14ac:dyDescent="0.2">
      <c r="G51349" s="889"/>
    </row>
    <row r="51350" spans="7:7" ht="10.5" customHeight="1" x14ac:dyDescent="0.2">
      <c r="G51350" s="889"/>
    </row>
    <row r="51351" spans="7:7" ht="10.5" customHeight="1" x14ac:dyDescent="0.2">
      <c r="G51351" s="889"/>
    </row>
    <row r="51352" spans="7:7" ht="10.5" customHeight="1" x14ac:dyDescent="0.2">
      <c r="G51352" s="889"/>
    </row>
    <row r="51353" spans="7:7" ht="10.5" customHeight="1" x14ac:dyDescent="0.2">
      <c r="G51353" s="889"/>
    </row>
    <row r="51354" spans="7:7" ht="10.5" customHeight="1" x14ac:dyDescent="0.2">
      <c r="G51354" s="889"/>
    </row>
    <row r="51355" spans="7:7" ht="10.5" customHeight="1" x14ac:dyDescent="0.2">
      <c r="G51355" s="889"/>
    </row>
    <row r="51356" spans="7:7" ht="10.5" customHeight="1" x14ac:dyDescent="0.2">
      <c r="G51356" s="889"/>
    </row>
    <row r="51357" spans="7:7" ht="10.5" customHeight="1" x14ac:dyDescent="0.2">
      <c r="G51357" s="889"/>
    </row>
    <row r="51358" spans="7:7" ht="10.5" customHeight="1" x14ac:dyDescent="0.2">
      <c r="G51358" s="889"/>
    </row>
    <row r="51359" spans="7:7" ht="10.5" customHeight="1" x14ac:dyDescent="0.2">
      <c r="G51359" s="889"/>
    </row>
    <row r="51360" spans="7:7" ht="10.5" customHeight="1" x14ac:dyDescent="0.2">
      <c r="G51360" s="889"/>
    </row>
    <row r="51361" spans="7:7" ht="10.5" customHeight="1" x14ac:dyDescent="0.2">
      <c r="G51361" s="889"/>
    </row>
    <row r="51362" spans="7:7" ht="10.5" customHeight="1" x14ac:dyDescent="0.2">
      <c r="G51362" s="889"/>
    </row>
    <row r="51363" spans="7:7" ht="10.5" customHeight="1" x14ac:dyDescent="0.2">
      <c r="G51363" s="889"/>
    </row>
    <row r="51364" spans="7:7" ht="10.5" customHeight="1" x14ac:dyDescent="0.2">
      <c r="G51364" s="889"/>
    </row>
    <row r="51365" spans="7:7" ht="10.5" customHeight="1" x14ac:dyDescent="0.2">
      <c r="G51365" s="889"/>
    </row>
    <row r="51366" spans="7:7" ht="10.5" customHeight="1" x14ac:dyDescent="0.2">
      <c r="G51366" s="889"/>
    </row>
    <row r="51367" spans="7:7" ht="10.5" customHeight="1" x14ac:dyDescent="0.2">
      <c r="G51367" s="889"/>
    </row>
    <row r="51368" spans="7:7" ht="10.5" customHeight="1" x14ac:dyDescent="0.2">
      <c r="G51368" s="889"/>
    </row>
    <row r="51369" spans="7:7" ht="10.5" customHeight="1" x14ac:dyDescent="0.2">
      <c r="G51369" s="889"/>
    </row>
    <row r="51370" spans="7:7" ht="10.5" customHeight="1" x14ac:dyDescent="0.2">
      <c r="G51370" s="889"/>
    </row>
    <row r="51371" spans="7:7" ht="10.5" customHeight="1" x14ac:dyDescent="0.2">
      <c r="G51371" s="889"/>
    </row>
    <row r="51372" spans="7:7" ht="10.5" customHeight="1" x14ac:dyDescent="0.2">
      <c r="G51372" s="889"/>
    </row>
    <row r="51373" spans="7:7" ht="10.5" customHeight="1" x14ac:dyDescent="0.2">
      <c r="G51373" s="889"/>
    </row>
    <row r="51374" spans="7:7" ht="10.5" customHeight="1" x14ac:dyDescent="0.2">
      <c r="G51374" s="889"/>
    </row>
    <row r="51375" spans="7:7" ht="10.5" customHeight="1" x14ac:dyDescent="0.2">
      <c r="G51375" s="889"/>
    </row>
    <row r="51376" spans="7:7" ht="10.5" customHeight="1" x14ac:dyDescent="0.2">
      <c r="G51376" s="889"/>
    </row>
    <row r="51377" spans="7:7" ht="10.5" customHeight="1" x14ac:dyDescent="0.2">
      <c r="G51377" s="889"/>
    </row>
    <row r="51378" spans="7:7" ht="10.5" customHeight="1" x14ac:dyDescent="0.2">
      <c r="G51378" s="889"/>
    </row>
    <row r="51379" spans="7:7" ht="10.5" customHeight="1" x14ac:dyDescent="0.2">
      <c r="G51379" s="889"/>
    </row>
    <row r="51380" spans="7:7" ht="10.5" customHeight="1" x14ac:dyDescent="0.2">
      <c r="G51380" s="889"/>
    </row>
    <row r="51381" spans="7:7" ht="10.5" customHeight="1" x14ac:dyDescent="0.2">
      <c r="G51381" s="889"/>
    </row>
    <row r="51382" spans="7:7" ht="10.5" customHeight="1" x14ac:dyDescent="0.2">
      <c r="G51382" s="889"/>
    </row>
    <row r="51383" spans="7:7" ht="10.5" customHeight="1" x14ac:dyDescent="0.2">
      <c r="G51383" s="889"/>
    </row>
    <row r="51384" spans="7:7" ht="10.5" customHeight="1" x14ac:dyDescent="0.2">
      <c r="G51384" s="889"/>
    </row>
    <row r="51385" spans="7:7" ht="10.5" customHeight="1" x14ac:dyDescent="0.2">
      <c r="G51385" s="889"/>
    </row>
    <row r="51386" spans="7:7" ht="10.5" customHeight="1" x14ac:dyDescent="0.2">
      <c r="G51386" s="889"/>
    </row>
    <row r="51387" spans="7:7" ht="10.5" customHeight="1" x14ac:dyDescent="0.2">
      <c r="G51387" s="889"/>
    </row>
    <row r="51388" spans="7:7" ht="10.5" customHeight="1" x14ac:dyDescent="0.2">
      <c r="G51388" s="889"/>
    </row>
    <row r="51389" spans="7:7" ht="10.5" customHeight="1" x14ac:dyDescent="0.2">
      <c r="G51389" s="889"/>
    </row>
    <row r="51390" spans="7:7" ht="10.5" customHeight="1" x14ac:dyDescent="0.2">
      <c r="G51390" s="889"/>
    </row>
    <row r="51391" spans="7:7" ht="10.5" customHeight="1" x14ac:dyDescent="0.2">
      <c r="G51391" s="889"/>
    </row>
    <row r="51392" spans="7:7" ht="10.5" customHeight="1" x14ac:dyDescent="0.2">
      <c r="G51392" s="889"/>
    </row>
    <row r="51393" spans="7:7" ht="10.5" customHeight="1" x14ac:dyDescent="0.2">
      <c r="G51393" s="889"/>
    </row>
    <row r="51394" spans="7:7" ht="10.5" customHeight="1" x14ac:dyDescent="0.2">
      <c r="G51394" s="889"/>
    </row>
    <row r="51395" spans="7:7" ht="10.5" customHeight="1" x14ac:dyDescent="0.2">
      <c r="G51395" s="889"/>
    </row>
    <row r="51396" spans="7:7" ht="10.5" customHeight="1" x14ac:dyDescent="0.2">
      <c r="G51396" s="889"/>
    </row>
    <row r="51397" spans="7:7" ht="10.5" customHeight="1" x14ac:dyDescent="0.2">
      <c r="G51397" s="889"/>
    </row>
    <row r="51398" spans="7:7" ht="10.5" customHeight="1" x14ac:dyDescent="0.2">
      <c r="G51398" s="889"/>
    </row>
    <row r="51399" spans="7:7" ht="10.5" customHeight="1" x14ac:dyDescent="0.2">
      <c r="G51399" s="889"/>
    </row>
    <row r="51400" spans="7:7" ht="10.5" customHeight="1" x14ac:dyDescent="0.2">
      <c r="G51400" s="889"/>
    </row>
    <row r="51401" spans="7:7" ht="10.5" customHeight="1" x14ac:dyDescent="0.2">
      <c r="G51401" s="889"/>
    </row>
    <row r="51402" spans="7:7" ht="10.5" customHeight="1" x14ac:dyDescent="0.2">
      <c r="G51402" s="889"/>
    </row>
    <row r="51403" spans="7:7" ht="10.5" customHeight="1" x14ac:dyDescent="0.2">
      <c r="G51403" s="889"/>
    </row>
    <row r="51404" spans="7:7" ht="10.5" customHeight="1" x14ac:dyDescent="0.2">
      <c r="G51404" s="889"/>
    </row>
    <row r="51405" spans="7:7" ht="10.5" customHeight="1" x14ac:dyDescent="0.2">
      <c r="G51405" s="889"/>
    </row>
    <row r="51406" spans="7:7" ht="10.5" customHeight="1" x14ac:dyDescent="0.2">
      <c r="G51406" s="889"/>
    </row>
    <row r="51407" spans="7:7" ht="10.5" customHeight="1" x14ac:dyDescent="0.2">
      <c r="G51407" s="889"/>
    </row>
    <row r="51408" spans="7:7" ht="10.5" customHeight="1" x14ac:dyDescent="0.2">
      <c r="G51408" s="889"/>
    </row>
    <row r="51409" spans="7:7" ht="10.5" customHeight="1" x14ac:dyDescent="0.2">
      <c r="G51409" s="889"/>
    </row>
    <row r="51410" spans="7:7" ht="10.5" customHeight="1" x14ac:dyDescent="0.2">
      <c r="G51410" s="889"/>
    </row>
    <row r="51411" spans="7:7" ht="10.5" customHeight="1" x14ac:dyDescent="0.2">
      <c r="G51411" s="889"/>
    </row>
    <row r="51412" spans="7:7" ht="10.5" customHeight="1" x14ac:dyDescent="0.2">
      <c r="G51412" s="889"/>
    </row>
    <row r="51413" spans="7:7" ht="10.5" customHeight="1" x14ac:dyDescent="0.2">
      <c r="G51413" s="889"/>
    </row>
    <row r="51414" spans="7:7" ht="10.5" customHeight="1" x14ac:dyDescent="0.2">
      <c r="G51414" s="889"/>
    </row>
    <row r="51415" spans="7:7" ht="10.5" customHeight="1" x14ac:dyDescent="0.2">
      <c r="G51415" s="889"/>
    </row>
    <row r="51416" spans="7:7" ht="10.5" customHeight="1" x14ac:dyDescent="0.2">
      <c r="G51416" s="889"/>
    </row>
    <row r="51417" spans="7:7" ht="10.5" customHeight="1" x14ac:dyDescent="0.2">
      <c r="G51417" s="889"/>
    </row>
    <row r="51418" spans="7:7" ht="10.5" customHeight="1" x14ac:dyDescent="0.2">
      <c r="G51418" s="889"/>
    </row>
    <row r="51419" spans="7:7" ht="10.5" customHeight="1" x14ac:dyDescent="0.2">
      <c r="G51419" s="889"/>
    </row>
    <row r="51420" spans="7:7" ht="10.5" customHeight="1" x14ac:dyDescent="0.2">
      <c r="G51420" s="889"/>
    </row>
    <row r="51421" spans="7:7" ht="10.5" customHeight="1" x14ac:dyDescent="0.2">
      <c r="G51421" s="889"/>
    </row>
    <row r="51422" spans="7:7" ht="10.5" customHeight="1" x14ac:dyDescent="0.2">
      <c r="G51422" s="889"/>
    </row>
    <row r="51423" spans="7:7" ht="10.5" customHeight="1" x14ac:dyDescent="0.2">
      <c r="G51423" s="889"/>
    </row>
    <row r="51424" spans="7:7" ht="10.5" customHeight="1" x14ac:dyDescent="0.2">
      <c r="G51424" s="889"/>
    </row>
    <row r="51425" spans="7:7" ht="10.5" customHeight="1" x14ac:dyDescent="0.2">
      <c r="G51425" s="889"/>
    </row>
    <row r="51426" spans="7:7" ht="10.5" customHeight="1" x14ac:dyDescent="0.2">
      <c r="G51426" s="889"/>
    </row>
    <row r="51427" spans="7:7" ht="10.5" customHeight="1" x14ac:dyDescent="0.2">
      <c r="G51427" s="889"/>
    </row>
    <row r="51428" spans="7:7" ht="10.5" customHeight="1" x14ac:dyDescent="0.2">
      <c r="G51428" s="889"/>
    </row>
    <row r="51429" spans="7:7" ht="10.5" customHeight="1" x14ac:dyDescent="0.2">
      <c r="G51429" s="889"/>
    </row>
    <row r="51430" spans="7:7" ht="10.5" customHeight="1" x14ac:dyDescent="0.2">
      <c r="G51430" s="889"/>
    </row>
    <row r="51431" spans="7:7" ht="10.5" customHeight="1" x14ac:dyDescent="0.2">
      <c r="G51431" s="889"/>
    </row>
    <row r="51432" spans="7:7" ht="10.5" customHeight="1" x14ac:dyDescent="0.2">
      <c r="G51432" s="889"/>
    </row>
    <row r="51433" spans="7:7" ht="10.5" customHeight="1" x14ac:dyDescent="0.2">
      <c r="G51433" s="889"/>
    </row>
    <row r="51434" spans="7:7" ht="10.5" customHeight="1" x14ac:dyDescent="0.2">
      <c r="G51434" s="889"/>
    </row>
    <row r="51435" spans="7:7" ht="10.5" customHeight="1" x14ac:dyDescent="0.2">
      <c r="G51435" s="889"/>
    </row>
    <row r="51436" spans="7:7" ht="10.5" customHeight="1" x14ac:dyDescent="0.2">
      <c r="G51436" s="889"/>
    </row>
    <row r="51437" spans="7:7" ht="10.5" customHeight="1" x14ac:dyDescent="0.2">
      <c r="G51437" s="889"/>
    </row>
    <row r="51438" spans="7:7" ht="10.5" customHeight="1" x14ac:dyDescent="0.2">
      <c r="G51438" s="889"/>
    </row>
    <row r="51439" spans="7:7" ht="10.5" customHeight="1" x14ac:dyDescent="0.2">
      <c r="G51439" s="889"/>
    </row>
    <row r="51440" spans="7:7" ht="10.5" customHeight="1" x14ac:dyDescent="0.2">
      <c r="G51440" s="889"/>
    </row>
    <row r="51441" spans="7:7" ht="10.5" customHeight="1" x14ac:dyDescent="0.2">
      <c r="G51441" s="889"/>
    </row>
    <row r="51442" spans="7:7" ht="10.5" customHeight="1" x14ac:dyDescent="0.2">
      <c r="G51442" s="889"/>
    </row>
    <row r="51443" spans="7:7" ht="10.5" customHeight="1" x14ac:dyDescent="0.2">
      <c r="G51443" s="889"/>
    </row>
    <row r="51444" spans="7:7" ht="10.5" customHeight="1" x14ac:dyDescent="0.2">
      <c r="G51444" s="889"/>
    </row>
    <row r="51445" spans="7:7" ht="10.5" customHeight="1" x14ac:dyDescent="0.2">
      <c r="G51445" s="889"/>
    </row>
    <row r="51446" spans="7:7" ht="10.5" customHeight="1" x14ac:dyDescent="0.2">
      <c r="G51446" s="889"/>
    </row>
    <row r="51447" spans="7:7" ht="10.5" customHeight="1" x14ac:dyDescent="0.2">
      <c r="G51447" s="889"/>
    </row>
    <row r="51448" spans="7:7" ht="10.5" customHeight="1" x14ac:dyDescent="0.2">
      <c r="G51448" s="889"/>
    </row>
    <row r="51449" spans="7:7" ht="10.5" customHeight="1" x14ac:dyDescent="0.2">
      <c r="G51449" s="889"/>
    </row>
    <row r="51450" spans="7:7" ht="10.5" customHeight="1" x14ac:dyDescent="0.2">
      <c r="G51450" s="889"/>
    </row>
    <row r="51451" spans="7:7" ht="10.5" customHeight="1" x14ac:dyDescent="0.2">
      <c r="G51451" s="889"/>
    </row>
    <row r="51452" spans="7:7" ht="10.5" customHeight="1" x14ac:dyDescent="0.2">
      <c r="G51452" s="889"/>
    </row>
    <row r="51453" spans="7:7" ht="10.5" customHeight="1" x14ac:dyDescent="0.2">
      <c r="G51453" s="889"/>
    </row>
    <row r="51454" spans="7:7" ht="10.5" customHeight="1" x14ac:dyDescent="0.2">
      <c r="G51454" s="889"/>
    </row>
    <row r="51455" spans="7:7" ht="10.5" customHeight="1" x14ac:dyDescent="0.2">
      <c r="G51455" s="889"/>
    </row>
    <row r="51456" spans="7:7" ht="10.5" customHeight="1" x14ac:dyDescent="0.2">
      <c r="G51456" s="889"/>
    </row>
    <row r="51457" spans="7:7" ht="10.5" customHeight="1" x14ac:dyDescent="0.2">
      <c r="G51457" s="889"/>
    </row>
    <row r="51458" spans="7:7" ht="10.5" customHeight="1" x14ac:dyDescent="0.2">
      <c r="G51458" s="889"/>
    </row>
    <row r="51459" spans="7:7" ht="10.5" customHeight="1" x14ac:dyDescent="0.2">
      <c r="G51459" s="889"/>
    </row>
    <row r="51460" spans="7:7" ht="10.5" customHeight="1" x14ac:dyDescent="0.2">
      <c r="G51460" s="889"/>
    </row>
    <row r="51461" spans="7:7" ht="10.5" customHeight="1" x14ac:dyDescent="0.2">
      <c r="G51461" s="889"/>
    </row>
    <row r="51462" spans="7:7" ht="10.5" customHeight="1" x14ac:dyDescent="0.2">
      <c r="G51462" s="889"/>
    </row>
    <row r="51463" spans="7:7" ht="10.5" customHeight="1" x14ac:dyDescent="0.2">
      <c r="G51463" s="889"/>
    </row>
    <row r="51464" spans="7:7" ht="10.5" customHeight="1" x14ac:dyDescent="0.2">
      <c r="G51464" s="889"/>
    </row>
    <row r="51465" spans="7:7" ht="10.5" customHeight="1" x14ac:dyDescent="0.2">
      <c r="G51465" s="889"/>
    </row>
    <row r="51466" spans="7:7" ht="10.5" customHeight="1" x14ac:dyDescent="0.2">
      <c r="G51466" s="889"/>
    </row>
    <row r="51467" spans="7:7" ht="10.5" customHeight="1" x14ac:dyDescent="0.2">
      <c r="G51467" s="889"/>
    </row>
    <row r="51468" spans="7:7" ht="10.5" customHeight="1" x14ac:dyDescent="0.2">
      <c r="G51468" s="889"/>
    </row>
    <row r="51469" spans="7:7" ht="10.5" customHeight="1" x14ac:dyDescent="0.2">
      <c r="G51469" s="889"/>
    </row>
    <row r="51470" spans="7:7" ht="10.5" customHeight="1" x14ac:dyDescent="0.2">
      <c r="G51470" s="889"/>
    </row>
    <row r="51471" spans="7:7" ht="10.5" customHeight="1" x14ac:dyDescent="0.2">
      <c r="G51471" s="889"/>
    </row>
    <row r="51472" spans="7:7" ht="10.5" customHeight="1" x14ac:dyDescent="0.2">
      <c r="G51472" s="889"/>
    </row>
    <row r="51473" spans="7:7" ht="10.5" customHeight="1" x14ac:dyDescent="0.2">
      <c r="G51473" s="889"/>
    </row>
    <row r="51474" spans="7:7" ht="10.5" customHeight="1" x14ac:dyDescent="0.2">
      <c r="G51474" s="889"/>
    </row>
    <row r="51475" spans="7:7" ht="10.5" customHeight="1" x14ac:dyDescent="0.2">
      <c r="G51475" s="889"/>
    </row>
    <row r="51476" spans="7:7" ht="10.5" customHeight="1" x14ac:dyDescent="0.2">
      <c r="G51476" s="889"/>
    </row>
    <row r="51477" spans="7:7" ht="10.5" customHeight="1" x14ac:dyDescent="0.2">
      <c r="G51477" s="889"/>
    </row>
    <row r="51478" spans="7:7" ht="10.5" customHeight="1" x14ac:dyDescent="0.2">
      <c r="G51478" s="889"/>
    </row>
    <row r="51479" spans="7:7" ht="10.5" customHeight="1" x14ac:dyDescent="0.2">
      <c r="G51479" s="889"/>
    </row>
    <row r="51480" spans="7:7" ht="10.5" customHeight="1" x14ac:dyDescent="0.2">
      <c r="G51480" s="889"/>
    </row>
    <row r="51481" spans="7:7" ht="10.5" customHeight="1" x14ac:dyDescent="0.2">
      <c r="G51481" s="889"/>
    </row>
    <row r="51482" spans="7:7" ht="10.5" customHeight="1" x14ac:dyDescent="0.2">
      <c r="G51482" s="889"/>
    </row>
    <row r="51483" spans="7:7" ht="10.5" customHeight="1" x14ac:dyDescent="0.2">
      <c r="G51483" s="889"/>
    </row>
    <row r="51484" spans="7:7" ht="10.5" customHeight="1" x14ac:dyDescent="0.2">
      <c r="G51484" s="889"/>
    </row>
    <row r="51485" spans="7:7" ht="10.5" customHeight="1" x14ac:dyDescent="0.2">
      <c r="G51485" s="889"/>
    </row>
    <row r="51486" spans="7:7" ht="10.5" customHeight="1" x14ac:dyDescent="0.2">
      <c r="G51486" s="889"/>
    </row>
    <row r="51487" spans="7:7" ht="10.5" customHeight="1" x14ac:dyDescent="0.2">
      <c r="G51487" s="889"/>
    </row>
    <row r="51488" spans="7:7" ht="10.5" customHeight="1" x14ac:dyDescent="0.2">
      <c r="G51488" s="889"/>
    </row>
    <row r="51489" spans="7:7" ht="10.5" customHeight="1" x14ac:dyDescent="0.2">
      <c r="G51489" s="889"/>
    </row>
    <row r="51490" spans="7:7" ht="10.5" customHeight="1" x14ac:dyDescent="0.2">
      <c r="G51490" s="889"/>
    </row>
    <row r="51491" spans="7:7" ht="10.5" customHeight="1" x14ac:dyDescent="0.2">
      <c r="G51491" s="889"/>
    </row>
    <row r="51492" spans="7:7" ht="10.5" customHeight="1" x14ac:dyDescent="0.2">
      <c r="G51492" s="889"/>
    </row>
    <row r="51493" spans="7:7" ht="10.5" customHeight="1" x14ac:dyDescent="0.2">
      <c r="G51493" s="889"/>
    </row>
    <row r="51494" spans="7:7" ht="10.5" customHeight="1" x14ac:dyDescent="0.2">
      <c r="G51494" s="889"/>
    </row>
    <row r="51495" spans="7:7" ht="10.5" customHeight="1" x14ac:dyDescent="0.2">
      <c r="G51495" s="889"/>
    </row>
    <row r="51496" spans="7:7" ht="10.5" customHeight="1" x14ac:dyDescent="0.2">
      <c r="G51496" s="889"/>
    </row>
    <row r="51497" spans="7:7" ht="10.5" customHeight="1" x14ac:dyDescent="0.2">
      <c r="G51497" s="889"/>
    </row>
    <row r="51498" spans="7:7" ht="10.5" customHeight="1" x14ac:dyDescent="0.2">
      <c r="G51498" s="889"/>
    </row>
    <row r="51499" spans="7:7" ht="10.5" customHeight="1" x14ac:dyDescent="0.2">
      <c r="G51499" s="889"/>
    </row>
    <row r="51500" spans="7:7" ht="10.5" customHeight="1" x14ac:dyDescent="0.2">
      <c r="G51500" s="889"/>
    </row>
    <row r="51501" spans="7:7" ht="10.5" customHeight="1" x14ac:dyDescent="0.2">
      <c r="G51501" s="889"/>
    </row>
    <row r="51502" spans="7:7" ht="10.5" customHeight="1" x14ac:dyDescent="0.2">
      <c r="G51502" s="889"/>
    </row>
    <row r="51503" spans="7:7" ht="10.5" customHeight="1" x14ac:dyDescent="0.2">
      <c r="G51503" s="889"/>
    </row>
    <row r="51504" spans="7:7" ht="10.5" customHeight="1" x14ac:dyDescent="0.2">
      <c r="G51504" s="889"/>
    </row>
    <row r="51505" spans="7:7" ht="10.5" customHeight="1" x14ac:dyDescent="0.2">
      <c r="G51505" s="889"/>
    </row>
    <row r="51506" spans="7:7" ht="10.5" customHeight="1" x14ac:dyDescent="0.2">
      <c r="G51506" s="889"/>
    </row>
    <row r="51507" spans="7:7" ht="10.5" customHeight="1" x14ac:dyDescent="0.2">
      <c r="G51507" s="889"/>
    </row>
    <row r="51508" spans="7:7" ht="10.5" customHeight="1" x14ac:dyDescent="0.2">
      <c r="G51508" s="889"/>
    </row>
    <row r="51509" spans="7:7" ht="10.5" customHeight="1" x14ac:dyDescent="0.2">
      <c r="G51509" s="889"/>
    </row>
    <row r="51510" spans="7:7" ht="10.5" customHeight="1" x14ac:dyDescent="0.2">
      <c r="G51510" s="889"/>
    </row>
    <row r="51511" spans="7:7" ht="10.5" customHeight="1" x14ac:dyDescent="0.2">
      <c r="G51511" s="889"/>
    </row>
    <row r="51512" spans="7:7" ht="10.5" customHeight="1" x14ac:dyDescent="0.2">
      <c r="G51512" s="889"/>
    </row>
    <row r="51513" spans="7:7" ht="10.5" customHeight="1" x14ac:dyDescent="0.2">
      <c r="G51513" s="889"/>
    </row>
    <row r="51514" spans="7:7" ht="10.5" customHeight="1" x14ac:dyDescent="0.2">
      <c r="G51514" s="889"/>
    </row>
    <row r="51515" spans="7:7" ht="10.5" customHeight="1" x14ac:dyDescent="0.2">
      <c r="G51515" s="889"/>
    </row>
    <row r="51516" spans="7:7" ht="10.5" customHeight="1" x14ac:dyDescent="0.2">
      <c r="G51516" s="889"/>
    </row>
    <row r="51517" spans="7:7" ht="10.5" customHeight="1" x14ac:dyDescent="0.2">
      <c r="G51517" s="889"/>
    </row>
    <row r="51518" spans="7:7" ht="10.5" customHeight="1" x14ac:dyDescent="0.2">
      <c r="G51518" s="889"/>
    </row>
    <row r="51519" spans="7:7" ht="10.5" customHeight="1" x14ac:dyDescent="0.2">
      <c r="G51519" s="889"/>
    </row>
    <row r="51520" spans="7:7" ht="10.5" customHeight="1" x14ac:dyDescent="0.2">
      <c r="G51520" s="889"/>
    </row>
    <row r="51521" spans="7:7" ht="10.5" customHeight="1" x14ac:dyDescent="0.2">
      <c r="G51521" s="889"/>
    </row>
    <row r="51522" spans="7:7" ht="10.5" customHeight="1" x14ac:dyDescent="0.2">
      <c r="G51522" s="889"/>
    </row>
    <row r="51523" spans="7:7" ht="10.5" customHeight="1" x14ac:dyDescent="0.2">
      <c r="G51523" s="889"/>
    </row>
    <row r="51524" spans="7:7" ht="10.5" customHeight="1" x14ac:dyDescent="0.2">
      <c r="G51524" s="889"/>
    </row>
    <row r="51525" spans="7:7" ht="10.5" customHeight="1" x14ac:dyDescent="0.2">
      <c r="G51525" s="889"/>
    </row>
    <row r="51526" spans="7:7" ht="10.5" customHeight="1" x14ac:dyDescent="0.2">
      <c r="G51526" s="889"/>
    </row>
    <row r="51527" spans="7:7" ht="10.5" customHeight="1" x14ac:dyDescent="0.2">
      <c r="G51527" s="889"/>
    </row>
    <row r="51528" spans="7:7" ht="10.5" customHeight="1" x14ac:dyDescent="0.2">
      <c r="G51528" s="889"/>
    </row>
    <row r="51529" spans="7:7" ht="10.5" customHeight="1" x14ac:dyDescent="0.2">
      <c r="G51529" s="889"/>
    </row>
    <row r="51530" spans="7:7" ht="10.5" customHeight="1" x14ac:dyDescent="0.2">
      <c r="G51530" s="889"/>
    </row>
    <row r="51531" spans="7:7" ht="10.5" customHeight="1" x14ac:dyDescent="0.2">
      <c r="G51531" s="889"/>
    </row>
    <row r="51532" spans="7:7" ht="10.5" customHeight="1" x14ac:dyDescent="0.2">
      <c r="G51532" s="889"/>
    </row>
    <row r="51533" spans="7:7" ht="10.5" customHeight="1" x14ac:dyDescent="0.2">
      <c r="G51533" s="889"/>
    </row>
    <row r="51534" spans="7:7" ht="10.5" customHeight="1" x14ac:dyDescent="0.2">
      <c r="G51534" s="889"/>
    </row>
    <row r="51535" spans="7:7" ht="10.5" customHeight="1" x14ac:dyDescent="0.2">
      <c r="G51535" s="889"/>
    </row>
    <row r="51536" spans="7:7" ht="10.5" customHeight="1" x14ac:dyDescent="0.2">
      <c r="G51536" s="889"/>
    </row>
    <row r="51537" spans="7:7" ht="10.5" customHeight="1" x14ac:dyDescent="0.2">
      <c r="G51537" s="889"/>
    </row>
    <row r="51538" spans="7:7" ht="10.5" customHeight="1" x14ac:dyDescent="0.2">
      <c r="G51538" s="889"/>
    </row>
    <row r="51539" spans="7:7" ht="10.5" customHeight="1" x14ac:dyDescent="0.2">
      <c r="G51539" s="889"/>
    </row>
    <row r="51540" spans="7:7" ht="10.5" customHeight="1" x14ac:dyDescent="0.2">
      <c r="G51540" s="889"/>
    </row>
    <row r="51541" spans="7:7" ht="10.5" customHeight="1" x14ac:dyDescent="0.2">
      <c r="G51541" s="889"/>
    </row>
    <row r="51542" spans="7:7" ht="10.5" customHeight="1" x14ac:dyDescent="0.2">
      <c r="G51542" s="889"/>
    </row>
    <row r="51543" spans="7:7" ht="10.5" customHeight="1" x14ac:dyDescent="0.2">
      <c r="G51543" s="889"/>
    </row>
    <row r="51544" spans="7:7" ht="10.5" customHeight="1" x14ac:dyDescent="0.2">
      <c r="G51544" s="889"/>
    </row>
    <row r="51545" spans="7:7" ht="10.5" customHeight="1" x14ac:dyDescent="0.2">
      <c r="G51545" s="889"/>
    </row>
    <row r="51546" spans="7:7" ht="10.5" customHeight="1" x14ac:dyDescent="0.2">
      <c r="G51546" s="889"/>
    </row>
    <row r="51547" spans="7:7" ht="10.5" customHeight="1" x14ac:dyDescent="0.2">
      <c r="G51547" s="889"/>
    </row>
    <row r="51548" spans="7:7" ht="10.5" customHeight="1" x14ac:dyDescent="0.2">
      <c r="G51548" s="889"/>
    </row>
    <row r="51549" spans="7:7" ht="10.5" customHeight="1" x14ac:dyDescent="0.2">
      <c r="G51549" s="889"/>
    </row>
    <row r="51550" spans="7:7" ht="10.5" customHeight="1" x14ac:dyDescent="0.2">
      <c r="G51550" s="889"/>
    </row>
    <row r="51551" spans="7:7" ht="10.5" customHeight="1" x14ac:dyDescent="0.2">
      <c r="G51551" s="889"/>
    </row>
    <row r="51552" spans="7:7" ht="10.5" customHeight="1" x14ac:dyDescent="0.2">
      <c r="G51552" s="889"/>
    </row>
    <row r="51553" spans="7:7" ht="10.5" customHeight="1" x14ac:dyDescent="0.2">
      <c r="G51553" s="889"/>
    </row>
    <row r="51554" spans="7:7" ht="10.5" customHeight="1" x14ac:dyDescent="0.2">
      <c r="G51554" s="889"/>
    </row>
    <row r="51555" spans="7:7" ht="10.5" customHeight="1" x14ac:dyDescent="0.2">
      <c r="G51555" s="889"/>
    </row>
    <row r="51556" spans="7:7" ht="10.5" customHeight="1" x14ac:dyDescent="0.2">
      <c r="G51556" s="889"/>
    </row>
    <row r="51557" spans="7:7" ht="10.5" customHeight="1" x14ac:dyDescent="0.2">
      <c r="G51557" s="889"/>
    </row>
    <row r="51558" spans="7:7" ht="10.5" customHeight="1" x14ac:dyDescent="0.2">
      <c r="G51558" s="889"/>
    </row>
    <row r="51559" spans="7:7" ht="10.5" customHeight="1" x14ac:dyDescent="0.2">
      <c r="G51559" s="889"/>
    </row>
    <row r="51560" spans="7:7" ht="10.5" customHeight="1" x14ac:dyDescent="0.2">
      <c r="G51560" s="889"/>
    </row>
    <row r="51561" spans="7:7" ht="10.5" customHeight="1" x14ac:dyDescent="0.2">
      <c r="G51561" s="889"/>
    </row>
    <row r="51562" spans="7:7" ht="10.5" customHeight="1" x14ac:dyDescent="0.2">
      <c r="G51562" s="889"/>
    </row>
    <row r="51563" spans="7:7" ht="10.5" customHeight="1" x14ac:dyDescent="0.2">
      <c r="G51563" s="889"/>
    </row>
    <row r="51564" spans="7:7" ht="10.5" customHeight="1" x14ac:dyDescent="0.2">
      <c r="G51564" s="889"/>
    </row>
    <row r="51565" spans="7:7" ht="10.5" customHeight="1" x14ac:dyDescent="0.2">
      <c r="G51565" s="889"/>
    </row>
    <row r="51566" spans="7:7" ht="10.5" customHeight="1" x14ac:dyDescent="0.2">
      <c r="G51566" s="889"/>
    </row>
    <row r="51567" spans="7:7" ht="10.5" customHeight="1" x14ac:dyDescent="0.2">
      <c r="G51567" s="889"/>
    </row>
    <row r="51568" spans="7:7" ht="10.5" customHeight="1" x14ac:dyDescent="0.2">
      <c r="G51568" s="889"/>
    </row>
    <row r="51569" spans="7:7" ht="10.5" customHeight="1" x14ac:dyDescent="0.2">
      <c r="G51569" s="889"/>
    </row>
    <row r="51570" spans="7:7" ht="10.5" customHeight="1" x14ac:dyDescent="0.2">
      <c r="G51570" s="889"/>
    </row>
    <row r="51571" spans="7:7" ht="10.5" customHeight="1" x14ac:dyDescent="0.2">
      <c r="G51571" s="889"/>
    </row>
    <row r="51572" spans="7:7" ht="10.5" customHeight="1" x14ac:dyDescent="0.2">
      <c r="G51572" s="889"/>
    </row>
    <row r="51573" spans="7:7" ht="10.5" customHeight="1" x14ac:dyDescent="0.2">
      <c r="G51573" s="889"/>
    </row>
    <row r="51574" spans="7:7" ht="10.5" customHeight="1" x14ac:dyDescent="0.2">
      <c r="G51574" s="889"/>
    </row>
    <row r="51575" spans="7:7" ht="10.5" customHeight="1" x14ac:dyDescent="0.2">
      <c r="G51575" s="889"/>
    </row>
    <row r="51576" spans="7:7" ht="10.5" customHeight="1" x14ac:dyDescent="0.2">
      <c r="G51576" s="889"/>
    </row>
    <row r="51577" spans="7:7" ht="10.5" customHeight="1" x14ac:dyDescent="0.2">
      <c r="G51577" s="889"/>
    </row>
    <row r="51578" spans="7:7" ht="10.5" customHeight="1" x14ac:dyDescent="0.2">
      <c r="G51578" s="889"/>
    </row>
    <row r="51579" spans="7:7" ht="10.5" customHeight="1" x14ac:dyDescent="0.2">
      <c r="G51579" s="889"/>
    </row>
    <row r="51580" spans="7:7" ht="10.5" customHeight="1" x14ac:dyDescent="0.2">
      <c r="G51580" s="889"/>
    </row>
    <row r="51581" spans="7:7" ht="10.5" customHeight="1" x14ac:dyDescent="0.2">
      <c r="G51581" s="889"/>
    </row>
    <row r="51582" spans="7:7" ht="10.5" customHeight="1" x14ac:dyDescent="0.2">
      <c r="G51582" s="889"/>
    </row>
    <row r="51583" spans="7:7" ht="10.5" customHeight="1" x14ac:dyDescent="0.2">
      <c r="G51583" s="889"/>
    </row>
    <row r="51584" spans="7:7" ht="10.5" customHeight="1" x14ac:dyDescent="0.2">
      <c r="G51584" s="889"/>
    </row>
    <row r="51585" spans="7:7" ht="10.5" customHeight="1" x14ac:dyDescent="0.2">
      <c r="G51585" s="889"/>
    </row>
    <row r="51586" spans="7:7" ht="10.5" customHeight="1" x14ac:dyDescent="0.2">
      <c r="G51586" s="889"/>
    </row>
    <row r="51587" spans="7:7" ht="10.5" customHeight="1" x14ac:dyDescent="0.2">
      <c r="G51587" s="889"/>
    </row>
    <row r="51588" spans="7:7" ht="10.5" customHeight="1" x14ac:dyDescent="0.2">
      <c r="G51588" s="889"/>
    </row>
    <row r="51589" spans="7:7" ht="10.5" customHeight="1" x14ac:dyDescent="0.2">
      <c r="G51589" s="889"/>
    </row>
    <row r="51590" spans="7:7" ht="10.5" customHeight="1" x14ac:dyDescent="0.2">
      <c r="G51590" s="889"/>
    </row>
    <row r="51591" spans="7:7" ht="10.5" customHeight="1" x14ac:dyDescent="0.2">
      <c r="G51591" s="889"/>
    </row>
    <row r="51592" spans="7:7" ht="10.5" customHeight="1" x14ac:dyDescent="0.2">
      <c r="G51592" s="889"/>
    </row>
    <row r="51593" spans="7:7" ht="10.5" customHeight="1" x14ac:dyDescent="0.2">
      <c r="G51593" s="889"/>
    </row>
    <row r="51594" spans="7:7" ht="10.5" customHeight="1" x14ac:dyDescent="0.2">
      <c r="G51594" s="889"/>
    </row>
    <row r="51595" spans="7:7" ht="10.5" customHeight="1" x14ac:dyDescent="0.2">
      <c r="G51595" s="889"/>
    </row>
    <row r="51596" spans="7:7" ht="10.5" customHeight="1" x14ac:dyDescent="0.2">
      <c r="G51596" s="889"/>
    </row>
    <row r="51597" spans="7:7" ht="10.5" customHeight="1" x14ac:dyDescent="0.2">
      <c r="G51597" s="889"/>
    </row>
    <row r="51598" spans="7:7" ht="10.5" customHeight="1" x14ac:dyDescent="0.2">
      <c r="G51598" s="889"/>
    </row>
    <row r="51599" spans="7:7" ht="10.5" customHeight="1" x14ac:dyDescent="0.2">
      <c r="G51599" s="889"/>
    </row>
    <row r="51600" spans="7:7" ht="10.5" customHeight="1" x14ac:dyDescent="0.2">
      <c r="G51600" s="889"/>
    </row>
    <row r="51601" spans="7:7" ht="10.5" customHeight="1" x14ac:dyDescent="0.2">
      <c r="G51601" s="889"/>
    </row>
    <row r="51602" spans="7:7" ht="10.5" customHeight="1" x14ac:dyDescent="0.2">
      <c r="G51602" s="889"/>
    </row>
    <row r="51603" spans="7:7" ht="10.5" customHeight="1" x14ac:dyDescent="0.2">
      <c r="G51603" s="889"/>
    </row>
    <row r="51604" spans="7:7" ht="10.5" customHeight="1" x14ac:dyDescent="0.2">
      <c r="G51604" s="889"/>
    </row>
    <row r="51605" spans="7:7" ht="10.5" customHeight="1" x14ac:dyDescent="0.2">
      <c r="G51605" s="889"/>
    </row>
    <row r="51606" spans="7:7" ht="10.5" customHeight="1" x14ac:dyDescent="0.2">
      <c r="G51606" s="889"/>
    </row>
    <row r="51607" spans="7:7" ht="10.5" customHeight="1" x14ac:dyDescent="0.2">
      <c r="G51607" s="889"/>
    </row>
    <row r="51608" spans="7:7" ht="10.5" customHeight="1" x14ac:dyDescent="0.2">
      <c r="G51608" s="889"/>
    </row>
    <row r="51609" spans="7:7" ht="10.5" customHeight="1" x14ac:dyDescent="0.2">
      <c r="G51609" s="889"/>
    </row>
    <row r="51610" spans="7:7" ht="10.5" customHeight="1" x14ac:dyDescent="0.2">
      <c r="G51610" s="889"/>
    </row>
    <row r="51611" spans="7:7" ht="10.5" customHeight="1" x14ac:dyDescent="0.2">
      <c r="G51611" s="889"/>
    </row>
    <row r="51612" spans="7:7" ht="10.5" customHeight="1" x14ac:dyDescent="0.2">
      <c r="G51612" s="889"/>
    </row>
    <row r="51613" spans="7:7" ht="10.5" customHeight="1" x14ac:dyDescent="0.2">
      <c r="G51613" s="889"/>
    </row>
    <row r="51614" spans="7:7" ht="10.5" customHeight="1" x14ac:dyDescent="0.2">
      <c r="G51614" s="889"/>
    </row>
    <row r="51615" spans="7:7" ht="10.5" customHeight="1" x14ac:dyDescent="0.2">
      <c r="G51615" s="889"/>
    </row>
    <row r="51616" spans="7:7" ht="10.5" customHeight="1" x14ac:dyDescent="0.2">
      <c r="G51616" s="889"/>
    </row>
    <row r="51617" spans="7:7" ht="10.5" customHeight="1" x14ac:dyDescent="0.2">
      <c r="G51617" s="889"/>
    </row>
    <row r="51618" spans="7:7" ht="10.5" customHeight="1" x14ac:dyDescent="0.2">
      <c r="G51618" s="889"/>
    </row>
    <row r="51619" spans="7:7" ht="10.5" customHeight="1" x14ac:dyDescent="0.2">
      <c r="G51619" s="889"/>
    </row>
    <row r="51620" spans="7:7" ht="10.5" customHeight="1" x14ac:dyDescent="0.2">
      <c r="G51620" s="889"/>
    </row>
    <row r="51621" spans="7:7" ht="10.5" customHeight="1" x14ac:dyDescent="0.2">
      <c r="G51621" s="889"/>
    </row>
    <row r="51622" spans="7:7" ht="10.5" customHeight="1" x14ac:dyDescent="0.2">
      <c r="G51622" s="889"/>
    </row>
    <row r="51623" spans="7:7" ht="10.5" customHeight="1" x14ac:dyDescent="0.2">
      <c r="G51623" s="889"/>
    </row>
    <row r="51624" spans="7:7" ht="10.5" customHeight="1" x14ac:dyDescent="0.2">
      <c r="G51624" s="889"/>
    </row>
    <row r="51625" spans="7:7" ht="10.5" customHeight="1" x14ac:dyDescent="0.2">
      <c r="G51625" s="889"/>
    </row>
    <row r="51626" spans="7:7" ht="10.5" customHeight="1" x14ac:dyDescent="0.2">
      <c r="G51626" s="889"/>
    </row>
    <row r="51627" spans="7:7" ht="10.5" customHeight="1" x14ac:dyDescent="0.2">
      <c r="G51627" s="889"/>
    </row>
    <row r="51628" spans="7:7" ht="10.5" customHeight="1" x14ac:dyDescent="0.2">
      <c r="G51628" s="889"/>
    </row>
    <row r="51629" spans="7:7" ht="10.5" customHeight="1" x14ac:dyDescent="0.2">
      <c r="G51629" s="889"/>
    </row>
    <row r="51630" spans="7:7" ht="10.5" customHeight="1" x14ac:dyDescent="0.2">
      <c r="G51630" s="889"/>
    </row>
    <row r="51631" spans="7:7" ht="10.5" customHeight="1" x14ac:dyDescent="0.2">
      <c r="G51631" s="889"/>
    </row>
    <row r="51632" spans="7:7" ht="10.5" customHeight="1" x14ac:dyDescent="0.2">
      <c r="G51632" s="889"/>
    </row>
    <row r="51633" spans="7:7" ht="10.5" customHeight="1" x14ac:dyDescent="0.2">
      <c r="G51633" s="889"/>
    </row>
    <row r="51634" spans="7:7" ht="10.5" customHeight="1" x14ac:dyDescent="0.2">
      <c r="G51634" s="889"/>
    </row>
    <row r="51635" spans="7:7" ht="10.5" customHeight="1" x14ac:dyDescent="0.2">
      <c r="G51635" s="889"/>
    </row>
    <row r="51636" spans="7:7" ht="10.5" customHeight="1" x14ac:dyDescent="0.2">
      <c r="G51636" s="889"/>
    </row>
    <row r="51637" spans="7:7" ht="10.5" customHeight="1" x14ac:dyDescent="0.2">
      <c r="G51637" s="889"/>
    </row>
    <row r="51638" spans="7:7" ht="10.5" customHeight="1" x14ac:dyDescent="0.2">
      <c r="G51638" s="889"/>
    </row>
    <row r="51639" spans="7:7" ht="10.5" customHeight="1" x14ac:dyDescent="0.2">
      <c r="G51639" s="889"/>
    </row>
    <row r="51640" spans="7:7" ht="10.5" customHeight="1" x14ac:dyDescent="0.2">
      <c r="G51640" s="889"/>
    </row>
    <row r="51641" spans="7:7" ht="10.5" customHeight="1" x14ac:dyDescent="0.2">
      <c r="G51641" s="889"/>
    </row>
    <row r="51642" spans="7:7" ht="10.5" customHeight="1" x14ac:dyDescent="0.2">
      <c r="G51642" s="889"/>
    </row>
    <row r="51643" spans="7:7" ht="10.5" customHeight="1" x14ac:dyDescent="0.2">
      <c r="G51643" s="889"/>
    </row>
    <row r="51644" spans="7:7" ht="10.5" customHeight="1" x14ac:dyDescent="0.2">
      <c r="G51644" s="889"/>
    </row>
    <row r="51645" spans="7:7" ht="10.5" customHeight="1" x14ac:dyDescent="0.2">
      <c r="G51645" s="889"/>
    </row>
    <row r="51646" spans="7:7" ht="10.5" customHeight="1" x14ac:dyDescent="0.2">
      <c r="G51646" s="889"/>
    </row>
    <row r="51647" spans="7:7" ht="10.5" customHeight="1" x14ac:dyDescent="0.2">
      <c r="G51647" s="889"/>
    </row>
    <row r="51648" spans="7:7" ht="10.5" customHeight="1" x14ac:dyDescent="0.2">
      <c r="G51648" s="889"/>
    </row>
    <row r="51649" spans="7:7" ht="10.5" customHeight="1" x14ac:dyDescent="0.2">
      <c r="G51649" s="889"/>
    </row>
    <row r="51650" spans="7:7" ht="10.5" customHeight="1" x14ac:dyDescent="0.2">
      <c r="G51650" s="889"/>
    </row>
    <row r="51651" spans="7:7" ht="10.5" customHeight="1" x14ac:dyDescent="0.2">
      <c r="G51651" s="889"/>
    </row>
    <row r="51652" spans="7:7" ht="10.5" customHeight="1" x14ac:dyDescent="0.2">
      <c r="G51652" s="889"/>
    </row>
    <row r="51653" spans="7:7" ht="10.5" customHeight="1" x14ac:dyDescent="0.2">
      <c r="G51653" s="889"/>
    </row>
    <row r="51654" spans="7:7" ht="10.5" customHeight="1" x14ac:dyDescent="0.2">
      <c r="G51654" s="889"/>
    </row>
    <row r="51655" spans="7:7" ht="10.5" customHeight="1" x14ac:dyDescent="0.2">
      <c r="G51655" s="889"/>
    </row>
    <row r="51656" spans="7:7" ht="10.5" customHeight="1" x14ac:dyDescent="0.2">
      <c r="G51656" s="889"/>
    </row>
    <row r="51657" spans="7:7" ht="10.5" customHeight="1" x14ac:dyDescent="0.2">
      <c r="G51657" s="889"/>
    </row>
    <row r="51658" spans="7:7" ht="10.5" customHeight="1" x14ac:dyDescent="0.2">
      <c r="G51658" s="889"/>
    </row>
    <row r="51659" spans="7:7" ht="10.5" customHeight="1" x14ac:dyDescent="0.2">
      <c r="G51659" s="889"/>
    </row>
    <row r="51660" spans="7:7" ht="10.5" customHeight="1" x14ac:dyDescent="0.2">
      <c r="G51660" s="889"/>
    </row>
    <row r="51661" spans="7:7" ht="10.5" customHeight="1" x14ac:dyDescent="0.2">
      <c r="G51661" s="889"/>
    </row>
    <row r="51662" spans="7:7" ht="10.5" customHeight="1" x14ac:dyDescent="0.2">
      <c r="G51662" s="889"/>
    </row>
    <row r="51663" spans="7:7" ht="10.5" customHeight="1" x14ac:dyDescent="0.2">
      <c r="G51663" s="889"/>
    </row>
    <row r="51664" spans="7:7" ht="10.5" customHeight="1" x14ac:dyDescent="0.2">
      <c r="G51664" s="889"/>
    </row>
    <row r="51665" spans="7:7" ht="10.5" customHeight="1" x14ac:dyDescent="0.2">
      <c r="G51665" s="889"/>
    </row>
    <row r="51666" spans="7:7" ht="10.5" customHeight="1" x14ac:dyDescent="0.2">
      <c r="G51666" s="889"/>
    </row>
    <row r="51667" spans="7:7" ht="10.5" customHeight="1" x14ac:dyDescent="0.2">
      <c r="G51667" s="889"/>
    </row>
    <row r="51668" spans="7:7" ht="10.5" customHeight="1" x14ac:dyDescent="0.2">
      <c r="G51668" s="889"/>
    </row>
    <row r="51669" spans="7:7" ht="10.5" customHeight="1" x14ac:dyDescent="0.2">
      <c r="G51669" s="889"/>
    </row>
    <row r="51670" spans="7:7" ht="10.5" customHeight="1" x14ac:dyDescent="0.2">
      <c r="G51670" s="889"/>
    </row>
    <row r="51671" spans="7:7" ht="10.5" customHeight="1" x14ac:dyDescent="0.2">
      <c r="G51671" s="889"/>
    </row>
    <row r="51672" spans="7:7" ht="10.5" customHeight="1" x14ac:dyDescent="0.2">
      <c r="G51672" s="889"/>
    </row>
    <row r="51673" spans="7:7" ht="10.5" customHeight="1" x14ac:dyDescent="0.2">
      <c r="G51673" s="889"/>
    </row>
    <row r="51674" spans="7:7" ht="10.5" customHeight="1" x14ac:dyDescent="0.2">
      <c r="G51674" s="889"/>
    </row>
    <row r="51675" spans="7:7" ht="10.5" customHeight="1" x14ac:dyDescent="0.2">
      <c r="G51675" s="889"/>
    </row>
    <row r="51676" spans="7:7" ht="10.5" customHeight="1" x14ac:dyDescent="0.2">
      <c r="G51676" s="889"/>
    </row>
    <row r="51677" spans="7:7" ht="10.5" customHeight="1" x14ac:dyDescent="0.2">
      <c r="G51677" s="889"/>
    </row>
    <row r="51678" spans="7:7" ht="10.5" customHeight="1" x14ac:dyDescent="0.2">
      <c r="G51678" s="889"/>
    </row>
    <row r="51679" spans="7:7" ht="10.5" customHeight="1" x14ac:dyDescent="0.2">
      <c r="G51679" s="889"/>
    </row>
    <row r="51680" spans="7:7" ht="10.5" customHeight="1" x14ac:dyDescent="0.2">
      <c r="G51680" s="889"/>
    </row>
    <row r="51681" spans="7:7" ht="10.5" customHeight="1" x14ac:dyDescent="0.2">
      <c r="G51681" s="889"/>
    </row>
    <row r="51682" spans="7:7" ht="10.5" customHeight="1" x14ac:dyDescent="0.2">
      <c r="G51682" s="889"/>
    </row>
    <row r="51683" spans="7:7" ht="10.5" customHeight="1" x14ac:dyDescent="0.2">
      <c r="G51683" s="889"/>
    </row>
    <row r="51684" spans="7:7" ht="10.5" customHeight="1" x14ac:dyDescent="0.2">
      <c r="G51684" s="889"/>
    </row>
    <row r="51685" spans="7:7" ht="10.5" customHeight="1" x14ac:dyDescent="0.2">
      <c r="G51685" s="889"/>
    </row>
    <row r="51686" spans="7:7" ht="10.5" customHeight="1" x14ac:dyDescent="0.2">
      <c r="G51686" s="889"/>
    </row>
    <row r="51687" spans="7:7" ht="10.5" customHeight="1" x14ac:dyDescent="0.2">
      <c r="G51687" s="889"/>
    </row>
    <row r="51688" spans="7:7" ht="10.5" customHeight="1" x14ac:dyDescent="0.2">
      <c r="G51688" s="889"/>
    </row>
    <row r="51689" spans="7:7" ht="10.5" customHeight="1" x14ac:dyDescent="0.2">
      <c r="G51689" s="889"/>
    </row>
    <row r="51690" spans="7:7" ht="10.5" customHeight="1" x14ac:dyDescent="0.2">
      <c r="G51690" s="889"/>
    </row>
    <row r="51691" spans="7:7" ht="10.5" customHeight="1" x14ac:dyDescent="0.2">
      <c r="G51691" s="889"/>
    </row>
    <row r="51692" spans="7:7" ht="10.5" customHeight="1" x14ac:dyDescent="0.2">
      <c r="G51692" s="889"/>
    </row>
    <row r="51693" spans="7:7" ht="10.5" customHeight="1" x14ac:dyDescent="0.2">
      <c r="G51693" s="889"/>
    </row>
    <row r="51694" spans="7:7" ht="10.5" customHeight="1" x14ac:dyDescent="0.2">
      <c r="G51694" s="889"/>
    </row>
    <row r="51695" spans="7:7" ht="10.5" customHeight="1" x14ac:dyDescent="0.2">
      <c r="G51695" s="889"/>
    </row>
    <row r="51696" spans="7:7" ht="10.5" customHeight="1" x14ac:dyDescent="0.2">
      <c r="G51696" s="889"/>
    </row>
    <row r="51697" spans="7:7" ht="10.5" customHeight="1" x14ac:dyDescent="0.2">
      <c r="G51697" s="889"/>
    </row>
    <row r="51698" spans="7:7" ht="10.5" customHeight="1" x14ac:dyDescent="0.2">
      <c r="G51698" s="889"/>
    </row>
    <row r="51699" spans="7:7" ht="10.5" customHeight="1" x14ac:dyDescent="0.2">
      <c r="G51699" s="889"/>
    </row>
    <row r="51700" spans="7:7" ht="10.5" customHeight="1" x14ac:dyDescent="0.2">
      <c r="G51700" s="889"/>
    </row>
    <row r="51701" spans="7:7" ht="10.5" customHeight="1" x14ac:dyDescent="0.2">
      <c r="G51701" s="889"/>
    </row>
    <row r="51702" spans="7:7" ht="10.5" customHeight="1" x14ac:dyDescent="0.2">
      <c r="G51702" s="889"/>
    </row>
    <row r="51703" spans="7:7" ht="10.5" customHeight="1" x14ac:dyDescent="0.2">
      <c r="G51703" s="889"/>
    </row>
    <row r="51704" spans="7:7" ht="10.5" customHeight="1" x14ac:dyDescent="0.2">
      <c r="G51704" s="889"/>
    </row>
    <row r="51705" spans="7:7" ht="10.5" customHeight="1" x14ac:dyDescent="0.2">
      <c r="G51705" s="889"/>
    </row>
    <row r="51706" spans="7:7" ht="10.5" customHeight="1" x14ac:dyDescent="0.2">
      <c r="G51706" s="889"/>
    </row>
    <row r="51707" spans="7:7" ht="10.5" customHeight="1" x14ac:dyDescent="0.2">
      <c r="G51707" s="889"/>
    </row>
    <row r="51708" spans="7:7" ht="10.5" customHeight="1" x14ac:dyDescent="0.2">
      <c r="G51708" s="889"/>
    </row>
    <row r="51709" spans="7:7" ht="10.5" customHeight="1" x14ac:dyDescent="0.2">
      <c r="G51709" s="889"/>
    </row>
    <row r="51710" spans="7:7" ht="10.5" customHeight="1" x14ac:dyDescent="0.2">
      <c r="G51710" s="889"/>
    </row>
    <row r="51711" spans="7:7" ht="10.5" customHeight="1" x14ac:dyDescent="0.2">
      <c r="G51711" s="889"/>
    </row>
    <row r="51712" spans="7:7" ht="10.5" customHeight="1" x14ac:dyDescent="0.2">
      <c r="G51712" s="889"/>
    </row>
    <row r="51713" spans="7:7" ht="10.5" customHeight="1" x14ac:dyDescent="0.2">
      <c r="G51713" s="889"/>
    </row>
    <row r="51714" spans="7:7" ht="10.5" customHeight="1" x14ac:dyDescent="0.2">
      <c r="G51714" s="889"/>
    </row>
    <row r="51715" spans="7:7" ht="10.5" customHeight="1" x14ac:dyDescent="0.2">
      <c r="G51715" s="889"/>
    </row>
    <row r="51716" spans="7:7" ht="10.5" customHeight="1" x14ac:dyDescent="0.2">
      <c r="G51716" s="889"/>
    </row>
    <row r="51717" spans="7:7" ht="10.5" customHeight="1" x14ac:dyDescent="0.2">
      <c r="G51717" s="889"/>
    </row>
    <row r="51718" spans="7:7" ht="10.5" customHeight="1" x14ac:dyDescent="0.2">
      <c r="G51718" s="889"/>
    </row>
    <row r="51719" spans="7:7" ht="10.5" customHeight="1" x14ac:dyDescent="0.2">
      <c r="G51719" s="889"/>
    </row>
    <row r="51720" spans="7:7" ht="10.5" customHeight="1" x14ac:dyDescent="0.2">
      <c r="G51720" s="889"/>
    </row>
    <row r="51721" spans="7:7" ht="10.5" customHeight="1" x14ac:dyDescent="0.2">
      <c r="G51721" s="889"/>
    </row>
    <row r="51722" spans="7:7" ht="10.5" customHeight="1" x14ac:dyDescent="0.2">
      <c r="G51722" s="889"/>
    </row>
    <row r="51723" spans="7:7" ht="10.5" customHeight="1" x14ac:dyDescent="0.2">
      <c r="G51723" s="889"/>
    </row>
    <row r="51724" spans="7:7" ht="10.5" customHeight="1" x14ac:dyDescent="0.2">
      <c r="G51724" s="889"/>
    </row>
    <row r="51725" spans="7:7" ht="10.5" customHeight="1" x14ac:dyDescent="0.2">
      <c r="G51725" s="889"/>
    </row>
    <row r="51726" spans="7:7" ht="10.5" customHeight="1" x14ac:dyDescent="0.2">
      <c r="G51726" s="889"/>
    </row>
    <row r="51727" spans="7:7" ht="10.5" customHeight="1" x14ac:dyDescent="0.2">
      <c r="G51727" s="889"/>
    </row>
    <row r="51728" spans="7:7" ht="10.5" customHeight="1" x14ac:dyDescent="0.2">
      <c r="G51728" s="889"/>
    </row>
    <row r="51729" spans="7:7" ht="10.5" customHeight="1" x14ac:dyDescent="0.2">
      <c r="G51729" s="889"/>
    </row>
    <row r="51730" spans="7:7" ht="10.5" customHeight="1" x14ac:dyDescent="0.2">
      <c r="G51730" s="889"/>
    </row>
    <row r="51731" spans="7:7" ht="10.5" customHeight="1" x14ac:dyDescent="0.2">
      <c r="G51731" s="889"/>
    </row>
    <row r="51732" spans="7:7" ht="10.5" customHeight="1" x14ac:dyDescent="0.2">
      <c r="G51732" s="889"/>
    </row>
    <row r="51733" spans="7:7" ht="10.5" customHeight="1" x14ac:dyDescent="0.2">
      <c r="G51733" s="889"/>
    </row>
    <row r="51734" spans="7:7" ht="10.5" customHeight="1" x14ac:dyDescent="0.2">
      <c r="G51734" s="889"/>
    </row>
    <row r="51735" spans="7:7" ht="10.5" customHeight="1" x14ac:dyDescent="0.2">
      <c r="G51735" s="889"/>
    </row>
    <row r="51736" spans="7:7" ht="10.5" customHeight="1" x14ac:dyDescent="0.2">
      <c r="G51736" s="889"/>
    </row>
    <row r="51737" spans="7:7" ht="10.5" customHeight="1" x14ac:dyDescent="0.2">
      <c r="G51737" s="889"/>
    </row>
    <row r="51738" spans="7:7" ht="10.5" customHeight="1" x14ac:dyDescent="0.2">
      <c r="G51738" s="889"/>
    </row>
    <row r="51739" spans="7:7" ht="10.5" customHeight="1" x14ac:dyDescent="0.2">
      <c r="G51739" s="889"/>
    </row>
    <row r="51740" spans="7:7" ht="10.5" customHeight="1" x14ac:dyDescent="0.2">
      <c r="G51740" s="889"/>
    </row>
    <row r="51741" spans="7:7" ht="10.5" customHeight="1" x14ac:dyDescent="0.2">
      <c r="G51741" s="889"/>
    </row>
    <row r="51742" spans="7:7" ht="10.5" customHeight="1" x14ac:dyDescent="0.2">
      <c r="G51742" s="889"/>
    </row>
    <row r="51743" spans="7:7" ht="10.5" customHeight="1" x14ac:dyDescent="0.2">
      <c r="G51743" s="889"/>
    </row>
    <row r="51744" spans="7:7" ht="10.5" customHeight="1" x14ac:dyDescent="0.2">
      <c r="G51744" s="889"/>
    </row>
    <row r="51745" spans="7:7" ht="10.5" customHeight="1" x14ac:dyDescent="0.2">
      <c r="G51745" s="889"/>
    </row>
    <row r="51746" spans="7:7" ht="10.5" customHeight="1" x14ac:dyDescent="0.2">
      <c r="G51746" s="889"/>
    </row>
    <row r="51747" spans="7:7" ht="10.5" customHeight="1" x14ac:dyDescent="0.2">
      <c r="G51747" s="889"/>
    </row>
    <row r="51748" spans="7:7" ht="10.5" customHeight="1" x14ac:dyDescent="0.2">
      <c r="G51748" s="889"/>
    </row>
    <row r="51749" spans="7:7" ht="10.5" customHeight="1" x14ac:dyDescent="0.2">
      <c r="G51749" s="889"/>
    </row>
    <row r="51750" spans="7:7" ht="10.5" customHeight="1" x14ac:dyDescent="0.2">
      <c r="G51750" s="889"/>
    </row>
    <row r="51751" spans="7:7" ht="10.5" customHeight="1" x14ac:dyDescent="0.2">
      <c r="G51751" s="889"/>
    </row>
    <row r="51752" spans="7:7" ht="10.5" customHeight="1" x14ac:dyDescent="0.2">
      <c r="G51752" s="889"/>
    </row>
    <row r="51753" spans="7:7" ht="10.5" customHeight="1" x14ac:dyDescent="0.2">
      <c r="G51753" s="889"/>
    </row>
    <row r="51754" spans="7:7" ht="10.5" customHeight="1" x14ac:dyDescent="0.2">
      <c r="G51754" s="889"/>
    </row>
    <row r="51755" spans="7:7" ht="10.5" customHeight="1" x14ac:dyDescent="0.2">
      <c r="G51755" s="889"/>
    </row>
    <row r="51756" spans="7:7" ht="10.5" customHeight="1" x14ac:dyDescent="0.2">
      <c r="G51756" s="889"/>
    </row>
    <row r="51757" spans="7:7" ht="10.5" customHeight="1" x14ac:dyDescent="0.2">
      <c r="G51757" s="889"/>
    </row>
    <row r="51758" spans="7:7" ht="10.5" customHeight="1" x14ac:dyDescent="0.2">
      <c r="G51758" s="889"/>
    </row>
    <row r="51759" spans="7:7" ht="10.5" customHeight="1" x14ac:dyDescent="0.2">
      <c r="G51759" s="889"/>
    </row>
    <row r="51760" spans="7:7" ht="10.5" customHeight="1" x14ac:dyDescent="0.2">
      <c r="G51760" s="889"/>
    </row>
    <row r="51761" spans="7:7" ht="10.5" customHeight="1" x14ac:dyDescent="0.2">
      <c r="G51761" s="889"/>
    </row>
    <row r="51762" spans="7:7" ht="10.5" customHeight="1" x14ac:dyDescent="0.2">
      <c r="G51762" s="889"/>
    </row>
    <row r="51763" spans="7:7" ht="10.5" customHeight="1" x14ac:dyDescent="0.2">
      <c r="G51763" s="889"/>
    </row>
    <row r="51764" spans="7:7" ht="10.5" customHeight="1" x14ac:dyDescent="0.2">
      <c r="G51764" s="889"/>
    </row>
    <row r="51765" spans="7:7" ht="10.5" customHeight="1" x14ac:dyDescent="0.2">
      <c r="G51765" s="889"/>
    </row>
    <row r="51766" spans="7:7" ht="10.5" customHeight="1" x14ac:dyDescent="0.2">
      <c r="G51766" s="889"/>
    </row>
    <row r="51767" spans="7:7" ht="10.5" customHeight="1" x14ac:dyDescent="0.2">
      <c r="G51767" s="889"/>
    </row>
    <row r="51768" spans="7:7" ht="10.5" customHeight="1" x14ac:dyDescent="0.2">
      <c r="G51768" s="889"/>
    </row>
    <row r="51769" spans="7:7" ht="10.5" customHeight="1" x14ac:dyDescent="0.2">
      <c r="G51769" s="889"/>
    </row>
    <row r="51770" spans="7:7" ht="10.5" customHeight="1" x14ac:dyDescent="0.2">
      <c r="G51770" s="889"/>
    </row>
    <row r="51771" spans="7:7" ht="10.5" customHeight="1" x14ac:dyDescent="0.2">
      <c r="G51771" s="889"/>
    </row>
    <row r="51772" spans="7:7" ht="10.5" customHeight="1" x14ac:dyDescent="0.2">
      <c r="G51772" s="889"/>
    </row>
    <row r="51773" spans="7:7" ht="10.5" customHeight="1" x14ac:dyDescent="0.2">
      <c r="G51773" s="889"/>
    </row>
    <row r="51774" spans="7:7" ht="10.5" customHeight="1" x14ac:dyDescent="0.2">
      <c r="G51774" s="889"/>
    </row>
    <row r="51775" spans="7:7" ht="10.5" customHeight="1" x14ac:dyDescent="0.2">
      <c r="G51775" s="889"/>
    </row>
    <row r="51776" spans="7:7" ht="10.5" customHeight="1" x14ac:dyDescent="0.2">
      <c r="G51776" s="889"/>
    </row>
    <row r="51777" spans="7:7" ht="10.5" customHeight="1" x14ac:dyDescent="0.2">
      <c r="G51777" s="889"/>
    </row>
    <row r="51778" spans="7:7" ht="10.5" customHeight="1" x14ac:dyDescent="0.2">
      <c r="G51778" s="889"/>
    </row>
    <row r="51779" spans="7:7" ht="10.5" customHeight="1" x14ac:dyDescent="0.2">
      <c r="G51779" s="889"/>
    </row>
    <row r="51780" spans="7:7" ht="10.5" customHeight="1" x14ac:dyDescent="0.2">
      <c r="G51780" s="889"/>
    </row>
    <row r="51781" spans="7:7" ht="10.5" customHeight="1" x14ac:dyDescent="0.2">
      <c r="G51781" s="889"/>
    </row>
    <row r="51782" spans="7:7" ht="10.5" customHeight="1" x14ac:dyDescent="0.2">
      <c r="G51782" s="889"/>
    </row>
    <row r="51783" spans="7:7" ht="10.5" customHeight="1" x14ac:dyDescent="0.2">
      <c r="G51783" s="889"/>
    </row>
    <row r="51784" spans="7:7" ht="10.5" customHeight="1" x14ac:dyDescent="0.2">
      <c r="G51784" s="889"/>
    </row>
    <row r="51785" spans="7:7" ht="10.5" customHeight="1" x14ac:dyDescent="0.2">
      <c r="G51785" s="889"/>
    </row>
    <row r="51786" spans="7:7" ht="10.5" customHeight="1" x14ac:dyDescent="0.2">
      <c r="G51786" s="889"/>
    </row>
    <row r="51787" spans="7:7" ht="10.5" customHeight="1" x14ac:dyDescent="0.2">
      <c r="G51787" s="889"/>
    </row>
    <row r="51788" spans="7:7" ht="10.5" customHeight="1" x14ac:dyDescent="0.2">
      <c r="G51788" s="889"/>
    </row>
    <row r="51789" spans="7:7" ht="10.5" customHeight="1" x14ac:dyDescent="0.2">
      <c r="G51789" s="889"/>
    </row>
    <row r="51790" spans="7:7" ht="10.5" customHeight="1" x14ac:dyDescent="0.2">
      <c r="G51790" s="889"/>
    </row>
    <row r="51791" spans="7:7" ht="10.5" customHeight="1" x14ac:dyDescent="0.2">
      <c r="G51791" s="889"/>
    </row>
    <row r="51792" spans="7:7" ht="10.5" customHeight="1" x14ac:dyDescent="0.2">
      <c r="G51792" s="889"/>
    </row>
    <row r="51793" spans="7:7" ht="10.5" customHeight="1" x14ac:dyDescent="0.2">
      <c r="G51793" s="889"/>
    </row>
    <row r="51794" spans="7:7" ht="10.5" customHeight="1" x14ac:dyDescent="0.2">
      <c r="G51794" s="889"/>
    </row>
    <row r="51795" spans="7:7" ht="10.5" customHeight="1" x14ac:dyDescent="0.2">
      <c r="G51795" s="889"/>
    </row>
    <row r="51796" spans="7:7" ht="10.5" customHeight="1" x14ac:dyDescent="0.2">
      <c r="G51796" s="889"/>
    </row>
    <row r="51797" spans="7:7" ht="10.5" customHeight="1" x14ac:dyDescent="0.2">
      <c r="G51797" s="889"/>
    </row>
    <row r="51798" spans="7:7" ht="10.5" customHeight="1" x14ac:dyDescent="0.2">
      <c r="G51798" s="889"/>
    </row>
    <row r="51799" spans="7:7" ht="10.5" customHeight="1" x14ac:dyDescent="0.2">
      <c r="G51799" s="889"/>
    </row>
    <row r="51800" spans="7:7" ht="10.5" customHeight="1" x14ac:dyDescent="0.2">
      <c r="G51800" s="889"/>
    </row>
    <row r="51801" spans="7:7" ht="10.5" customHeight="1" x14ac:dyDescent="0.2">
      <c r="G51801" s="889"/>
    </row>
    <row r="51802" spans="7:7" ht="10.5" customHeight="1" x14ac:dyDescent="0.2">
      <c r="G51802" s="889"/>
    </row>
    <row r="51803" spans="7:7" ht="10.5" customHeight="1" x14ac:dyDescent="0.2">
      <c r="G51803" s="889"/>
    </row>
    <row r="51804" spans="7:7" ht="10.5" customHeight="1" x14ac:dyDescent="0.2">
      <c r="G51804" s="889"/>
    </row>
    <row r="51805" spans="7:7" ht="10.5" customHeight="1" x14ac:dyDescent="0.2">
      <c r="G51805" s="889"/>
    </row>
    <row r="51806" spans="7:7" ht="10.5" customHeight="1" x14ac:dyDescent="0.2">
      <c r="G51806" s="889"/>
    </row>
    <row r="51807" spans="7:7" ht="10.5" customHeight="1" x14ac:dyDescent="0.2">
      <c r="G51807" s="889"/>
    </row>
    <row r="51808" spans="7:7" ht="10.5" customHeight="1" x14ac:dyDescent="0.2">
      <c r="G51808" s="889"/>
    </row>
    <row r="51809" spans="7:7" ht="10.5" customHeight="1" x14ac:dyDescent="0.2">
      <c r="G51809" s="889"/>
    </row>
    <row r="51810" spans="7:7" ht="10.5" customHeight="1" x14ac:dyDescent="0.2">
      <c r="G51810" s="889"/>
    </row>
    <row r="51811" spans="7:7" ht="10.5" customHeight="1" x14ac:dyDescent="0.2">
      <c r="G51811" s="889"/>
    </row>
    <row r="51812" spans="7:7" ht="10.5" customHeight="1" x14ac:dyDescent="0.2">
      <c r="G51812" s="889"/>
    </row>
    <row r="51813" spans="7:7" ht="10.5" customHeight="1" x14ac:dyDescent="0.2">
      <c r="G51813" s="889"/>
    </row>
    <row r="51814" spans="7:7" ht="10.5" customHeight="1" x14ac:dyDescent="0.2">
      <c r="G51814" s="889"/>
    </row>
    <row r="51815" spans="7:7" ht="10.5" customHeight="1" x14ac:dyDescent="0.2">
      <c r="G51815" s="889"/>
    </row>
    <row r="51816" spans="7:7" ht="10.5" customHeight="1" x14ac:dyDescent="0.2">
      <c r="G51816" s="889"/>
    </row>
    <row r="51817" spans="7:7" ht="10.5" customHeight="1" x14ac:dyDescent="0.2">
      <c r="G51817" s="889"/>
    </row>
    <row r="51818" spans="7:7" ht="10.5" customHeight="1" x14ac:dyDescent="0.2">
      <c r="G51818" s="889"/>
    </row>
    <row r="51819" spans="7:7" ht="10.5" customHeight="1" x14ac:dyDescent="0.2">
      <c r="G51819" s="889"/>
    </row>
    <row r="51820" spans="7:7" ht="10.5" customHeight="1" x14ac:dyDescent="0.2">
      <c r="G51820" s="889"/>
    </row>
    <row r="51821" spans="7:7" ht="10.5" customHeight="1" x14ac:dyDescent="0.2">
      <c r="G51821" s="889"/>
    </row>
    <row r="51822" spans="7:7" ht="10.5" customHeight="1" x14ac:dyDescent="0.2">
      <c r="G51822" s="889"/>
    </row>
    <row r="51823" spans="7:7" ht="10.5" customHeight="1" x14ac:dyDescent="0.2">
      <c r="G51823" s="889"/>
    </row>
    <row r="51824" spans="7:7" ht="10.5" customHeight="1" x14ac:dyDescent="0.2">
      <c r="G51824" s="889"/>
    </row>
    <row r="51825" spans="7:7" ht="10.5" customHeight="1" x14ac:dyDescent="0.2">
      <c r="G51825" s="889"/>
    </row>
    <row r="51826" spans="7:7" ht="10.5" customHeight="1" x14ac:dyDescent="0.2">
      <c r="G51826" s="889"/>
    </row>
    <row r="51827" spans="7:7" ht="10.5" customHeight="1" x14ac:dyDescent="0.2">
      <c r="G51827" s="889"/>
    </row>
    <row r="51828" spans="7:7" ht="10.5" customHeight="1" x14ac:dyDescent="0.2">
      <c r="G51828" s="889"/>
    </row>
    <row r="51829" spans="7:7" ht="10.5" customHeight="1" x14ac:dyDescent="0.2">
      <c r="G51829" s="889"/>
    </row>
    <row r="51830" spans="7:7" ht="10.5" customHeight="1" x14ac:dyDescent="0.2">
      <c r="G51830" s="889"/>
    </row>
    <row r="51831" spans="7:7" ht="10.5" customHeight="1" x14ac:dyDescent="0.2">
      <c r="G51831" s="889"/>
    </row>
    <row r="51832" spans="7:7" ht="10.5" customHeight="1" x14ac:dyDescent="0.2">
      <c r="G51832" s="889"/>
    </row>
    <row r="51833" spans="7:7" ht="10.5" customHeight="1" x14ac:dyDescent="0.2">
      <c r="G51833" s="889"/>
    </row>
    <row r="51834" spans="7:7" ht="10.5" customHeight="1" x14ac:dyDescent="0.2">
      <c r="G51834" s="889"/>
    </row>
    <row r="51835" spans="7:7" ht="10.5" customHeight="1" x14ac:dyDescent="0.2">
      <c r="G51835" s="889"/>
    </row>
    <row r="51836" spans="7:7" ht="10.5" customHeight="1" x14ac:dyDescent="0.2">
      <c r="G51836" s="889"/>
    </row>
    <row r="51837" spans="7:7" ht="10.5" customHeight="1" x14ac:dyDescent="0.2">
      <c r="G51837" s="889"/>
    </row>
    <row r="51838" spans="7:7" ht="10.5" customHeight="1" x14ac:dyDescent="0.2">
      <c r="G51838" s="889"/>
    </row>
    <row r="51839" spans="7:7" ht="10.5" customHeight="1" x14ac:dyDescent="0.2">
      <c r="G51839" s="889"/>
    </row>
    <row r="51840" spans="7:7" ht="10.5" customHeight="1" x14ac:dyDescent="0.2">
      <c r="G51840" s="889"/>
    </row>
    <row r="51841" spans="7:7" ht="10.5" customHeight="1" x14ac:dyDescent="0.2">
      <c r="G51841" s="889"/>
    </row>
    <row r="51842" spans="7:7" ht="10.5" customHeight="1" x14ac:dyDescent="0.2">
      <c r="G51842" s="889"/>
    </row>
    <row r="51843" spans="7:7" ht="10.5" customHeight="1" x14ac:dyDescent="0.2">
      <c r="G51843" s="889"/>
    </row>
    <row r="51844" spans="7:7" ht="10.5" customHeight="1" x14ac:dyDescent="0.2">
      <c r="G51844" s="889"/>
    </row>
    <row r="51845" spans="7:7" ht="10.5" customHeight="1" x14ac:dyDescent="0.2">
      <c r="G51845" s="889"/>
    </row>
    <row r="51846" spans="7:7" ht="10.5" customHeight="1" x14ac:dyDescent="0.2">
      <c r="G51846" s="889"/>
    </row>
    <row r="51847" spans="7:7" ht="10.5" customHeight="1" x14ac:dyDescent="0.2">
      <c r="G51847" s="889"/>
    </row>
    <row r="51848" spans="7:7" ht="10.5" customHeight="1" x14ac:dyDescent="0.2">
      <c r="G51848" s="889"/>
    </row>
    <row r="51849" spans="7:7" ht="10.5" customHeight="1" x14ac:dyDescent="0.2">
      <c r="G51849" s="889"/>
    </row>
    <row r="51850" spans="7:7" ht="10.5" customHeight="1" x14ac:dyDescent="0.2">
      <c r="G51850" s="889"/>
    </row>
    <row r="51851" spans="7:7" ht="10.5" customHeight="1" x14ac:dyDescent="0.2">
      <c r="G51851" s="889"/>
    </row>
    <row r="51852" spans="7:7" ht="10.5" customHeight="1" x14ac:dyDescent="0.2">
      <c r="G51852" s="889"/>
    </row>
    <row r="51853" spans="7:7" ht="10.5" customHeight="1" x14ac:dyDescent="0.2">
      <c r="G51853" s="889"/>
    </row>
    <row r="51854" spans="7:7" ht="10.5" customHeight="1" x14ac:dyDescent="0.2">
      <c r="G51854" s="889"/>
    </row>
    <row r="51855" spans="7:7" ht="10.5" customHeight="1" x14ac:dyDescent="0.2">
      <c r="G51855" s="889"/>
    </row>
    <row r="51856" spans="7:7" ht="10.5" customHeight="1" x14ac:dyDescent="0.2">
      <c r="G51856" s="889"/>
    </row>
    <row r="51857" spans="7:7" ht="10.5" customHeight="1" x14ac:dyDescent="0.2">
      <c r="G51857" s="889"/>
    </row>
    <row r="51858" spans="7:7" ht="10.5" customHeight="1" x14ac:dyDescent="0.2">
      <c r="G51858" s="889"/>
    </row>
    <row r="51859" spans="7:7" ht="10.5" customHeight="1" x14ac:dyDescent="0.2">
      <c r="G51859" s="889"/>
    </row>
    <row r="51860" spans="7:7" ht="10.5" customHeight="1" x14ac:dyDescent="0.2">
      <c r="G51860" s="889"/>
    </row>
    <row r="51861" spans="7:7" ht="10.5" customHeight="1" x14ac:dyDescent="0.2">
      <c r="G51861" s="889"/>
    </row>
    <row r="51862" spans="7:7" ht="10.5" customHeight="1" x14ac:dyDescent="0.2">
      <c r="G51862" s="889"/>
    </row>
    <row r="51863" spans="7:7" ht="10.5" customHeight="1" x14ac:dyDescent="0.2">
      <c r="G51863" s="889"/>
    </row>
    <row r="51864" spans="7:7" ht="10.5" customHeight="1" x14ac:dyDescent="0.2">
      <c r="G51864" s="889"/>
    </row>
    <row r="51865" spans="7:7" ht="10.5" customHeight="1" x14ac:dyDescent="0.2">
      <c r="G51865" s="889"/>
    </row>
    <row r="51866" spans="7:7" ht="10.5" customHeight="1" x14ac:dyDescent="0.2">
      <c r="G51866" s="889"/>
    </row>
    <row r="51867" spans="7:7" ht="10.5" customHeight="1" x14ac:dyDescent="0.2">
      <c r="G51867" s="889"/>
    </row>
    <row r="51868" spans="7:7" ht="10.5" customHeight="1" x14ac:dyDescent="0.2">
      <c r="G51868" s="889"/>
    </row>
    <row r="51869" spans="7:7" ht="10.5" customHeight="1" x14ac:dyDescent="0.2">
      <c r="G51869" s="889"/>
    </row>
    <row r="51870" spans="7:7" ht="10.5" customHeight="1" x14ac:dyDescent="0.2">
      <c r="G51870" s="889"/>
    </row>
    <row r="51871" spans="7:7" ht="10.5" customHeight="1" x14ac:dyDescent="0.2">
      <c r="G51871" s="889"/>
    </row>
    <row r="51872" spans="7:7" ht="10.5" customHeight="1" x14ac:dyDescent="0.2">
      <c r="G51872" s="889"/>
    </row>
    <row r="51873" spans="7:7" ht="10.5" customHeight="1" x14ac:dyDescent="0.2">
      <c r="G51873" s="889"/>
    </row>
    <row r="51874" spans="7:7" ht="10.5" customHeight="1" x14ac:dyDescent="0.2">
      <c r="G51874" s="889"/>
    </row>
    <row r="51875" spans="7:7" ht="10.5" customHeight="1" x14ac:dyDescent="0.2">
      <c r="G51875" s="889"/>
    </row>
    <row r="51876" spans="7:7" ht="10.5" customHeight="1" x14ac:dyDescent="0.2">
      <c r="G51876" s="889"/>
    </row>
    <row r="51877" spans="7:7" ht="10.5" customHeight="1" x14ac:dyDescent="0.2">
      <c r="G51877" s="889"/>
    </row>
    <row r="51878" spans="7:7" ht="10.5" customHeight="1" x14ac:dyDescent="0.2">
      <c r="G51878" s="889"/>
    </row>
    <row r="51879" spans="7:7" ht="10.5" customHeight="1" x14ac:dyDescent="0.2">
      <c r="G51879" s="889"/>
    </row>
    <row r="51880" spans="7:7" ht="10.5" customHeight="1" x14ac:dyDescent="0.2">
      <c r="G51880" s="889"/>
    </row>
    <row r="51881" spans="7:7" ht="10.5" customHeight="1" x14ac:dyDescent="0.2">
      <c r="G51881" s="889"/>
    </row>
    <row r="51882" spans="7:7" ht="10.5" customHeight="1" x14ac:dyDescent="0.2">
      <c r="G51882" s="889"/>
    </row>
    <row r="51883" spans="7:7" ht="10.5" customHeight="1" x14ac:dyDescent="0.2">
      <c r="G51883" s="889"/>
    </row>
    <row r="51884" spans="7:7" ht="10.5" customHeight="1" x14ac:dyDescent="0.2">
      <c r="G51884" s="889"/>
    </row>
    <row r="51885" spans="7:7" ht="10.5" customHeight="1" x14ac:dyDescent="0.2">
      <c r="G51885" s="889"/>
    </row>
    <row r="51886" spans="7:7" ht="10.5" customHeight="1" x14ac:dyDescent="0.2">
      <c r="G51886" s="889"/>
    </row>
    <row r="51887" spans="7:7" ht="10.5" customHeight="1" x14ac:dyDescent="0.2">
      <c r="G51887" s="889"/>
    </row>
    <row r="51888" spans="7:7" ht="10.5" customHeight="1" x14ac:dyDescent="0.2">
      <c r="G51888" s="889"/>
    </row>
    <row r="51889" spans="7:7" ht="10.5" customHeight="1" x14ac:dyDescent="0.2">
      <c r="G51889" s="889"/>
    </row>
    <row r="51890" spans="7:7" ht="10.5" customHeight="1" x14ac:dyDescent="0.2">
      <c r="G51890" s="889"/>
    </row>
    <row r="51891" spans="7:7" ht="10.5" customHeight="1" x14ac:dyDescent="0.2">
      <c r="G51891" s="889"/>
    </row>
    <row r="51892" spans="7:7" ht="10.5" customHeight="1" x14ac:dyDescent="0.2">
      <c r="G51892" s="889"/>
    </row>
    <row r="51893" spans="7:7" ht="10.5" customHeight="1" x14ac:dyDescent="0.2">
      <c r="G51893" s="889"/>
    </row>
    <row r="51894" spans="7:7" ht="10.5" customHeight="1" x14ac:dyDescent="0.2">
      <c r="G51894" s="889"/>
    </row>
    <row r="51895" spans="7:7" ht="10.5" customHeight="1" x14ac:dyDescent="0.2">
      <c r="G51895" s="889"/>
    </row>
    <row r="51896" spans="7:7" ht="10.5" customHeight="1" x14ac:dyDescent="0.2">
      <c r="G51896" s="889"/>
    </row>
    <row r="51897" spans="7:7" ht="10.5" customHeight="1" x14ac:dyDescent="0.2">
      <c r="G51897" s="889"/>
    </row>
    <row r="51898" spans="7:7" ht="10.5" customHeight="1" x14ac:dyDescent="0.2">
      <c r="G51898" s="889"/>
    </row>
    <row r="51899" spans="7:7" ht="10.5" customHeight="1" x14ac:dyDescent="0.2">
      <c r="G51899" s="889"/>
    </row>
    <row r="51900" spans="7:7" ht="10.5" customHeight="1" x14ac:dyDescent="0.2">
      <c r="G51900" s="889"/>
    </row>
    <row r="51901" spans="7:7" ht="10.5" customHeight="1" x14ac:dyDescent="0.2">
      <c r="G51901" s="889"/>
    </row>
    <row r="51902" spans="7:7" ht="10.5" customHeight="1" x14ac:dyDescent="0.2">
      <c r="G51902" s="889"/>
    </row>
    <row r="51903" spans="7:7" ht="10.5" customHeight="1" x14ac:dyDescent="0.2">
      <c r="G51903" s="889"/>
    </row>
    <row r="51904" spans="7:7" ht="10.5" customHeight="1" x14ac:dyDescent="0.2">
      <c r="G51904" s="889"/>
    </row>
    <row r="51905" spans="7:7" ht="10.5" customHeight="1" x14ac:dyDescent="0.2">
      <c r="G51905" s="889"/>
    </row>
    <row r="51906" spans="7:7" ht="10.5" customHeight="1" x14ac:dyDescent="0.2">
      <c r="G51906" s="889"/>
    </row>
    <row r="51907" spans="7:7" ht="10.5" customHeight="1" x14ac:dyDescent="0.2">
      <c r="G51907" s="889"/>
    </row>
    <row r="51908" spans="7:7" ht="10.5" customHeight="1" x14ac:dyDescent="0.2">
      <c r="G51908" s="889"/>
    </row>
    <row r="51909" spans="7:7" ht="10.5" customHeight="1" x14ac:dyDescent="0.2">
      <c r="G51909" s="889"/>
    </row>
    <row r="51910" spans="7:7" ht="10.5" customHeight="1" x14ac:dyDescent="0.2">
      <c r="G51910" s="889"/>
    </row>
    <row r="51911" spans="7:7" ht="10.5" customHeight="1" x14ac:dyDescent="0.2">
      <c r="G51911" s="889"/>
    </row>
    <row r="51912" spans="7:7" ht="10.5" customHeight="1" x14ac:dyDescent="0.2">
      <c r="G51912" s="889"/>
    </row>
    <row r="51913" spans="7:7" ht="10.5" customHeight="1" x14ac:dyDescent="0.2">
      <c r="G51913" s="889"/>
    </row>
    <row r="51914" spans="7:7" ht="10.5" customHeight="1" x14ac:dyDescent="0.2">
      <c r="G51914" s="889"/>
    </row>
    <row r="51915" spans="7:7" ht="10.5" customHeight="1" x14ac:dyDescent="0.2">
      <c r="G51915" s="889"/>
    </row>
    <row r="51916" spans="7:7" ht="10.5" customHeight="1" x14ac:dyDescent="0.2">
      <c r="G51916" s="889"/>
    </row>
    <row r="51917" spans="7:7" ht="10.5" customHeight="1" x14ac:dyDescent="0.2">
      <c r="G51917" s="889"/>
    </row>
    <row r="51918" spans="7:7" ht="10.5" customHeight="1" x14ac:dyDescent="0.2">
      <c r="G51918" s="889"/>
    </row>
    <row r="51919" spans="7:7" ht="10.5" customHeight="1" x14ac:dyDescent="0.2">
      <c r="G51919" s="889"/>
    </row>
    <row r="51920" spans="7:7" ht="10.5" customHeight="1" x14ac:dyDescent="0.2">
      <c r="G51920" s="889"/>
    </row>
    <row r="51921" spans="7:7" ht="10.5" customHeight="1" x14ac:dyDescent="0.2">
      <c r="G51921" s="889"/>
    </row>
    <row r="51922" spans="7:7" ht="10.5" customHeight="1" x14ac:dyDescent="0.2">
      <c r="G51922" s="889"/>
    </row>
    <row r="51923" spans="7:7" ht="10.5" customHeight="1" x14ac:dyDescent="0.2">
      <c r="G51923" s="889"/>
    </row>
    <row r="51924" spans="7:7" ht="10.5" customHeight="1" x14ac:dyDescent="0.2">
      <c r="G51924" s="889"/>
    </row>
    <row r="51925" spans="7:7" ht="10.5" customHeight="1" x14ac:dyDescent="0.2">
      <c r="G51925" s="889"/>
    </row>
    <row r="51926" spans="7:7" ht="10.5" customHeight="1" x14ac:dyDescent="0.2">
      <c r="G51926" s="889"/>
    </row>
    <row r="51927" spans="7:7" ht="10.5" customHeight="1" x14ac:dyDescent="0.2">
      <c r="G51927" s="889"/>
    </row>
    <row r="51928" spans="7:7" ht="10.5" customHeight="1" x14ac:dyDescent="0.2">
      <c r="G51928" s="889"/>
    </row>
    <row r="51929" spans="7:7" ht="10.5" customHeight="1" x14ac:dyDescent="0.2">
      <c r="G51929" s="889"/>
    </row>
    <row r="51930" spans="7:7" ht="10.5" customHeight="1" x14ac:dyDescent="0.2">
      <c r="G51930" s="889"/>
    </row>
    <row r="51931" spans="7:7" ht="10.5" customHeight="1" x14ac:dyDescent="0.2">
      <c r="G51931" s="889"/>
    </row>
    <row r="51932" spans="7:7" ht="10.5" customHeight="1" x14ac:dyDescent="0.2">
      <c r="G51932" s="889"/>
    </row>
    <row r="51933" spans="7:7" ht="10.5" customHeight="1" x14ac:dyDescent="0.2">
      <c r="G51933" s="889"/>
    </row>
    <row r="51934" spans="7:7" ht="10.5" customHeight="1" x14ac:dyDescent="0.2">
      <c r="G51934" s="889"/>
    </row>
    <row r="51935" spans="7:7" ht="10.5" customHeight="1" x14ac:dyDescent="0.2">
      <c r="G51935" s="889"/>
    </row>
    <row r="51936" spans="7:7" ht="10.5" customHeight="1" x14ac:dyDescent="0.2">
      <c r="G51936" s="889"/>
    </row>
    <row r="51937" spans="7:7" ht="10.5" customHeight="1" x14ac:dyDescent="0.2">
      <c r="G51937" s="889"/>
    </row>
    <row r="51938" spans="7:7" ht="10.5" customHeight="1" x14ac:dyDescent="0.2">
      <c r="G51938" s="889"/>
    </row>
    <row r="51939" spans="7:7" ht="10.5" customHeight="1" x14ac:dyDescent="0.2">
      <c r="G51939" s="889"/>
    </row>
    <row r="51940" spans="7:7" ht="10.5" customHeight="1" x14ac:dyDescent="0.2">
      <c r="G51940" s="889"/>
    </row>
    <row r="51941" spans="7:7" ht="10.5" customHeight="1" x14ac:dyDescent="0.2">
      <c r="G51941" s="889"/>
    </row>
    <row r="51942" spans="7:7" ht="10.5" customHeight="1" x14ac:dyDescent="0.2">
      <c r="G51942" s="889"/>
    </row>
    <row r="51943" spans="7:7" ht="10.5" customHeight="1" x14ac:dyDescent="0.2">
      <c r="G51943" s="889"/>
    </row>
    <row r="51944" spans="7:7" ht="10.5" customHeight="1" x14ac:dyDescent="0.2">
      <c r="G51944" s="889"/>
    </row>
    <row r="51945" spans="7:7" ht="10.5" customHeight="1" x14ac:dyDescent="0.2">
      <c r="G51945" s="889"/>
    </row>
    <row r="51946" spans="7:7" ht="10.5" customHeight="1" x14ac:dyDescent="0.2">
      <c r="G51946" s="889"/>
    </row>
    <row r="51947" spans="7:7" ht="10.5" customHeight="1" x14ac:dyDescent="0.2">
      <c r="G51947" s="889"/>
    </row>
    <row r="51948" spans="7:7" ht="10.5" customHeight="1" x14ac:dyDescent="0.2">
      <c r="G51948" s="889"/>
    </row>
    <row r="51949" spans="7:7" ht="10.5" customHeight="1" x14ac:dyDescent="0.2">
      <c r="G51949" s="889"/>
    </row>
    <row r="51950" spans="7:7" ht="10.5" customHeight="1" x14ac:dyDescent="0.2">
      <c r="G51950" s="889"/>
    </row>
    <row r="51951" spans="7:7" ht="10.5" customHeight="1" x14ac:dyDescent="0.2">
      <c r="G51951" s="889"/>
    </row>
    <row r="51952" spans="7:7" ht="10.5" customHeight="1" x14ac:dyDescent="0.2">
      <c r="G51952" s="889"/>
    </row>
    <row r="51953" spans="7:7" ht="10.5" customHeight="1" x14ac:dyDescent="0.2">
      <c r="G51953" s="889"/>
    </row>
    <row r="51954" spans="7:7" ht="10.5" customHeight="1" x14ac:dyDescent="0.2">
      <c r="G51954" s="889"/>
    </row>
    <row r="51955" spans="7:7" ht="10.5" customHeight="1" x14ac:dyDescent="0.2">
      <c r="G51955" s="889"/>
    </row>
    <row r="51956" spans="7:7" ht="10.5" customHeight="1" x14ac:dyDescent="0.2">
      <c r="G51956" s="889"/>
    </row>
    <row r="51957" spans="7:7" ht="10.5" customHeight="1" x14ac:dyDescent="0.2">
      <c r="G51957" s="889"/>
    </row>
    <row r="51958" spans="7:7" ht="10.5" customHeight="1" x14ac:dyDescent="0.2">
      <c r="G51958" s="889"/>
    </row>
    <row r="51959" spans="7:7" ht="10.5" customHeight="1" x14ac:dyDescent="0.2">
      <c r="G51959" s="889"/>
    </row>
    <row r="51960" spans="7:7" ht="10.5" customHeight="1" x14ac:dyDescent="0.2">
      <c r="G51960" s="889"/>
    </row>
    <row r="51961" spans="7:7" ht="10.5" customHeight="1" x14ac:dyDescent="0.2">
      <c r="G51961" s="889"/>
    </row>
    <row r="51962" spans="7:7" ht="10.5" customHeight="1" x14ac:dyDescent="0.2">
      <c r="G51962" s="889"/>
    </row>
    <row r="51963" spans="7:7" ht="10.5" customHeight="1" x14ac:dyDescent="0.2">
      <c r="G51963" s="889"/>
    </row>
    <row r="51964" spans="7:7" ht="10.5" customHeight="1" x14ac:dyDescent="0.2">
      <c r="G51964" s="889"/>
    </row>
    <row r="51965" spans="7:7" ht="10.5" customHeight="1" x14ac:dyDescent="0.2">
      <c r="G51965" s="889"/>
    </row>
    <row r="51966" spans="7:7" ht="10.5" customHeight="1" x14ac:dyDescent="0.2">
      <c r="G51966" s="889"/>
    </row>
    <row r="51967" spans="7:7" ht="10.5" customHeight="1" x14ac:dyDescent="0.2">
      <c r="G51967" s="889"/>
    </row>
    <row r="51968" spans="7:7" ht="10.5" customHeight="1" x14ac:dyDescent="0.2">
      <c r="G51968" s="889"/>
    </row>
    <row r="51969" spans="7:7" ht="10.5" customHeight="1" x14ac:dyDescent="0.2">
      <c r="G51969" s="889"/>
    </row>
    <row r="51970" spans="7:7" ht="10.5" customHeight="1" x14ac:dyDescent="0.2">
      <c r="G51970" s="889"/>
    </row>
    <row r="51971" spans="7:7" ht="10.5" customHeight="1" x14ac:dyDescent="0.2">
      <c r="G51971" s="889"/>
    </row>
    <row r="51972" spans="7:7" ht="10.5" customHeight="1" x14ac:dyDescent="0.2">
      <c r="G51972" s="889"/>
    </row>
    <row r="51973" spans="7:7" ht="10.5" customHeight="1" x14ac:dyDescent="0.2">
      <c r="G51973" s="889"/>
    </row>
    <row r="51974" spans="7:7" ht="10.5" customHeight="1" x14ac:dyDescent="0.2">
      <c r="G51974" s="889"/>
    </row>
    <row r="51975" spans="7:7" ht="10.5" customHeight="1" x14ac:dyDescent="0.2">
      <c r="G51975" s="889"/>
    </row>
    <row r="51976" spans="7:7" ht="10.5" customHeight="1" x14ac:dyDescent="0.2">
      <c r="G51976" s="889"/>
    </row>
    <row r="51977" spans="7:7" ht="10.5" customHeight="1" x14ac:dyDescent="0.2">
      <c r="G51977" s="889"/>
    </row>
    <row r="51978" spans="7:7" ht="10.5" customHeight="1" x14ac:dyDescent="0.2">
      <c r="G51978" s="889"/>
    </row>
    <row r="51979" spans="7:7" ht="10.5" customHeight="1" x14ac:dyDescent="0.2">
      <c r="G51979" s="889"/>
    </row>
    <row r="51980" spans="7:7" ht="10.5" customHeight="1" x14ac:dyDescent="0.2">
      <c r="G51980" s="889"/>
    </row>
    <row r="51981" spans="7:7" ht="10.5" customHeight="1" x14ac:dyDescent="0.2">
      <c r="G51981" s="889"/>
    </row>
    <row r="51982" spans="7:7" ht="10.5" customHeight="1" x14ac:dyDescent="0.2">
      <c r="G51982" s="889"/>
    </row>
    <row r="51983" spans="7:7" ht="10.5" customHeight="1" x14ac:dyDescent="0.2">
      <c r="G51983" s="889"/>
    </row>
    <row r="51984" spans="7:7" ht="10.5" customHeight="1" x14ac:dyDescent="0.2">
      <c r="G51984" s="889"/>
    </row>
    <row r="51985" spans="7:7" ht="10.5" customHeight="1" x14ac:dyDescent="0.2">
      <c r="G51985" s="889"/>
    </row>
    <row r="51986" spans="7:7" ht="10.5" customHeight="1" x14ac:dyDescent="0.2">
      <c r="G51986" s="889"/>
    </row>
    <row r="51987" spans="7:7" ht="10.5" customHeight="1" x14ac:dyDescent="0.2">
      <c r="G51987" s="889"/>
    </row>
    <row r="51988" spans="7:7" ht="10.5" customHeight="1" x14ac:dyDescent="0.2">
      <c r="G51988" s="889"/>
    </row>
    <row r="51989" spans="7:7" ht="10.5" customHeight="1" x14ac:dyDescent="0.2">
      <c r="G51989" s="889"/>
    </row>
    <row r="51990" spans="7:7" ht="10.5" customHeight="1" x14ac:dyDescent="0.2">
      <c r="G51990" s="889"/>
    </row>
    <row r="51991" spans="7:7" ht="10.5" customHeight="1" x14ac:dyDescent="0.2">
      <c r="G51991" s="889"/>
    </row>
    <row r="51992" spans="7:7" ht="10.5" customHeight="1" x14ac:dyDescent="0.2">
      <c r="G51992" s="889"/>
    </row>
    <row r="51993" spans="7:7" ht="10.5" customHeight="1" x14ac:dyDescent="0.2">
      <c r="G51993" s="889"/>
    </row>
    <row r="51994" spans="7:7" ht="10.5" customHeight="1" x14ac:dyDescent="0.2">
      <c r="G51994" s="889"/>
    </row>
    <row r="51995" spans="7:7" ht="10.5" customHeight="1" x14ac:dyDescent="0.2">
      <c r="G51995" s="889"/>
    </row>
    <row r="51996" spans="7:7" ht="10.5" customHeight="1" x14ac:dyDescent="0.2">
      <c r="G51996" s="889"/>
    </row>
    <row r="51997" spans="7:7" ht="10.5" customHeight="1" x14ac:dyDescent="0.2">
      <c r="G51997" s="889"/>
    </row>
    <row r="51998" spans="7:7" ht="10.5" customHeight="1" x14ac:dyDescent="0.2">
      <c r="G51998" s="889"/>
    </row>
    <row r="51999" spans="7:7" ht="10.5" customHeight="1" x14ac:dyDescent="0.2">
      <c r="G51999" s="889"/>
    </row>
    <row r="52000" spans="7:7" ht="10.5" customHeight="1" x14ac:dyDescent="0.2">
      <c r="G52000" s="889"/>
    </row>
    <row r="52001" spans="7:7" ht="10.5" customHeight="1" x14ac:dyDescent="0.2">
      <c r="G52001" s="889"/>
    </row>
    <row r="52002" spans="7:7" ht="10.5" customHeight="1" x14ac:dyDescent="0.2">
      <c r="G52002" s="889"/>
    </row>
    <row r="52003" spans="7:7" ht="10.5" customHeight="1" x14ac:dyDescent="0.2">
      <c r="G52003" s="889"/>
    </row>
    <row r="52004" spans="7:7" ht="10.5" customHeight="1" x14ac:dyDescent="0.2">
      <c r="G52004" s="889"/>
    </row>
    <row r="52005" spans="7:7" ht="10.5" customHeight="1" x14ac:dyDescent="0.2">
      <c r="G52005" s="889"/>
    </row>
    <row r="52006" spans="7:7" ht="10.5" customHeight="1" x14ac:dyDescent="0.2">
      <c r="G52006" s="889"/>
    </row>
    <row r="52007" spans="7:7" ht="10.5" customHeight="1" x14ac:dyDescent="0.2">
      <c r="G52007" s="889"/>
    </row>
    <row r="52008" spans="7:7" ht="10.5" customHeight="1" x14ac:dyDescent="0.2">
      <c r="G52008" s="889"/>
    </row>
    <row r="52009" spans="7:7" ht="10.5" customHeight="1" x14ac:dyDescent="0.2">
      <c r="G52009" s="889"/>
    </row>
    <row r="52010" spans="7:7" ht="10.5" customHeight="1" x14ac:dyDescent="0.2">
      <c r="G52010" s="889"/>
    </row>
    <row r="52011" spans="7:7" ht="10.5" customHeight="1" x14ac:dyDescent="0.2">
      <c r="G52011" s="889"/>
    </row>
    <row r="52012" spans="7:7" ht="10.5" customHeight="1" x14ac:dyDescent="0.2">
      <c r="G52012" s="889"/>
    </row>
    <row r="52013" spans="7:7" ht="10.5" customHeight="1" x14ac:dyDescent="0.2">
      <c r="G52013" s="889"/>
    </row>
    <row r="52014" spans="7:7" ht="10.5" customHeight="1" x14ac:dyDescent="0.2">
      <c r="G52014" s="889"/>
    </row>
    <row r="52015" spans="7:7" ht="10.5" customHeight="1" x14ac:dyDescent="0.2">
      <c r="G52015" s="889"/>
    </row>
    <row r="52016" spans="7:7" ht="10.5" customHeight="1" x14ac:dyDescent="0.2">
      <c r="G52016" s="889"/>
    </row>
    <row r="52017" spans="7:7" ht="10.5" customHeight="1" x14ac:dyDescent="0.2">
      <c r="G52017" s="889"/>
    </row>
    <row r="52018" spans="7:7" ht="10.5" customHeight="1" x14ac:dyDescent="0.2">
      <c r="G52018" s="889"/>
    </row>
    <row r="52019" spans="7:7" ht="10.5" customHeight="1" x14ac:dyDescent="0.2">
      <c r="G52019" s="889"/>
    </row>
    <row r="52020" spans="7:7" ht="10.5" customHeight="1" x14ac:dyDescent="0.2">
      <c r="G52020" s="889"/>
    </row>
    <row r="52021" spans="7:7" ht="10.5" customHeight="1" x14ac:dyDescent="0.2">
      <c r="G52021" s="889"/>
    </row>
    <row r="52022" spans="7:7" ht="10.5" customHeight="1" x14ac:dyDescent="0.2">
      <c r="G52022" s="889"/>
    </row>
    <row r="52023" spans="7:7" ht="10.5" customHeight="1" x14ac:dyDescent="0.2">
      <c r="G52023" s="889"/>
    </row>
    <row r="52024" spans="7:7" ht="10.5" customHeight="1" x14ac:dyDescent="0.2">
      <c r="G52024" s="889"/>
    </row>
    <row r="52025" spans="7:7" ht="10.5" customHeight="1" x14ac:dyDescent="0.2">
      <c r="G52025" s="889"/>
    </row>
    <row r="52026" spans="7:7" ht="10.5" customHeight="1" x14ac:dyDescent="0.2">
      <c r="G52026" s="889"/>
    </row>
    <row r="52027" spans="7:7" ht="10.5" customHeight="1" x14ac:dyDescent="0.2">
      <c r="G52027" s="889"/>
    </row>
    <row r="52028" spans="7:7" ht="10.5" customHeight="1" x14ac:dyDescent="0.2">
      <c r="G52028" s="889"/>
    </row>
    <row r="52029" spans="7:7" ht="10.5" customHeight="1" x14ac:dyDescent="0.2">
      <c r="G52029" s="889"/>
    </row>
    <row r="52030" spans="7:7" ht="10.5" customHeight="1" x14ac:dyDescent="0.2">
      <c r="G52030" s="889"/>
    </row>
    <row r="52031" spans="7:7" ht="10.5" customHeight="1" x14ac:dyDescent="0.2">
      <c r="G52031" s="889"/>
    </row>
    <row r="52032" spans="7:7" ht="10.5" customHeight="1" x14ac:dyDescent="0.2">
      <c r="G52032" s="889"/>
    </row>
    <row r="52033" spans="7:7" ht="10.5" customHeight="1" x14ac:dyDescent="0.2">
      <c r="G52033" s="889"/>
    </row>
    <row r="52034" spans="7:7" ht="10.5" customHeight="1" x14ac:dyDescent="0.2">
      <c r="G52034" s="889"/>
    </row>
    <row r="52035" spans="7:7" ht="10.5" customHeight="1" x14ac:dyDescent="0.2">
      <c r="G52035" s="889"/>
    </row>
    <row r="52036" spans="7:7" ht="10.5" customHeight="1" x14ac:dyDescent="0.2">
      <c r="G52036" s="889"/>
    </row>
    <row r="52037" spans="7:7" ht="10.5" customHeight="1" x14ac:dyDescent="0.2">
      <c r="G52037" s="889"/>
    </row>
    <row r="52038" spans="7:7" ht="10.5" customHeight="1" x14ac:dyDescent="0.2">
      <c r="G52038" s="889"/>
    </row>
    <row r="52039" spans="7:7" ht="10.5" customHeight="1" x14ac:dyDescent="0.2">
      <c r="G52039" s="889"/>
    </row>
    <row r="52040" spans="7:7" ht="10.5" customHeight="1" x14ac:dyDescent="0.2">
      <c r="G52040" s="889"/>
    </row>
    <row r="52041" spans="7:7" ht="10.5" customHeight="1" x14ac:dyDescent="0.2">
      <c r="G52041" s="889"/>
    </row>
    <row r="52042" spans="7:7" ht="10.5" customHeight="1" x14ac:dyDescent="0.2">
      <c r="G52042" s="889"/>
    </row>
    <row r="52043" spans="7:7" ht="10.5" customHeight="1" x14ac:dyDescent="0.2">
      <c r="G52043" s="889"/>
    </row>
    <row r="52044" spans="7:7" ht="10.5" customHeight="1" x14ac:dyDescent="0.2">
      <c r="G52044" s="889"/>
    </row>
    <row r="52045" spans="7:7" ht="10.5" customHeight="1" x14ac:dyDescent="0.2">
      <c r="G52045" s="889"/>
    </row>
    <row r="52046" spans="7:7" ht="10.5" customHeight="1" x14ac:dyDescent="0.2">
      <c r="G52046" s="889"/>
    </row>
    <row r="52047" spans="7:7" ht="10.5" customHeight="1" x14ac:dyDescent="0.2">
      <c r="G52047" s="889"/>
    </row>
    <row r="52048" spans="7:7" ht="10.5" customHeight="1" x14ac:dyDescent="0.2">
      <c r="G52048" s="889"/>
    </row>
    <row r="52049" spans="7:7" ht="10.5" customHeight="1" x14ac:dyDescent="0.2">
      <c r="G52049" s="889"/>
    </row>
    <row r="52050" spans="7:7" ht="10.5" customHeight="1" x14ac:dyDescent="0.2">
      <c r="G52050" s="889"/>
    </row>
    <row r="52051" spans="7:7" ht="10.5" customHeight="1" x14ac:dyDescent="0.2">
      <c r="G52051" s="889"/>
    </row>
    <row r="52052" spans="7:7" ht="10.5" customHeight="1" x14ac:dyDescent="0.2">
      <c r="G52052" s="889"/>
    </row>
    <row r="52053" spans="7:7" ht="10.5" customHeight="1" x14ac:dyDescent="0.2">
      <c r="G52053" s="889"/>
    </row>
    <row r="52054" spans="7:7" ht="10.5" customHeight="1" x14ac:dyDescent="0.2">
      <c r="G52054" s="889"/>
    </row>
    <row r="52055" spans="7:7" ht="10.5" customHeight="1" x14ac:dyDescent="0.2">
      <c r="G52055" s="889"/>
    </row>
    <row r="52056" spans="7:7" ht="10.5" customHeight="1" x14ac:dyDescent="0.2">
      <c r="G52056" s="889"/>
    </row>
    <row r="52057" spans="7:7" ht="10.5" customHeight="1" x14ac:dyDescent="0.2">
      <c r="G52057" s="889"/>
    </row>
    <row r="52058" spans="7:7" ht="10.5" customHeight="1" x14ac:dyDescent="0.2">
      <c r="G52058" s="889"/>
    </row>
    <row r="52059" spans="7:7" ht="10.5" customHeight="1" x14ac:dyDescent="0.2">
      <c r="G52059" s="889"/>
    </row>
    <row r="52060" spans="7:7" ht="10.5" customHeight="1" x14ac:dyDescent="0.2">
      <c r="G52060" s="889"/>
    </row>
    <row r="52061" spans="7:7" ht="10.5" customHeight="1" x14ac:dyDescent="0.2">
      <c r="G52061" s="889"/>
    </row>
    <row r="52062" spans="7:7" ht="10.5" customHeight="1" x14ac:dyDescent="0.2">
      <c r="G52062" s="889"/>
    </row>
    <row r="52063" spans="7:7" ht="10.5" customHeight="1" x14ac:dyDescent="0.2">
      <c r="G52063" s="889"/>
    </row>
    <row r="52064" spans="7:7" ht="10.5" customHeight="1" x14ac:dyDescent="0.2">
      <c r="G52064" s="889"/>
    </row>
    <row r="52065" spans="7:7" ht="10.5" customHeight="1" x14ac:dyDescent="0.2">
      <c r="G52065" s="889"/>
    </row>
    <row r="52066" spans="7:7" ht="10.5" customHeight="1" x14ac:dyDescent="0.2">
      <c r="G52066" s="889"/>
    </row>
    <row r="52067" spans="7:7" ht="10.5" customHeight="1" x14ac:dyDescent="0.2">
      <c r="G52067" s="889"/>
    </row>
    <row r="52068" spans="7:7" ht="10.5" customHeight="1" x14ac:dyDescent="0.2">
      <c r="G52068" s="889"/>
    </row>
    <row r="52069" spans="7:7" ht="10.5" customHeight="1" x14ac:dyDescent="0.2">
      <c r="G52069" s="889"/>
    </row>
    <row r="52070" spans="7:7" ht="10.5" customHeight="1" x14ac:dyDescent="0.2">
      <c r="G52070" s="889"/>
    </row>
    <row r="52071" spans="7:7" ht="10.5" customHeight="1" x14ac:dyDescent="0.2">
      <c r="G52071" s="889"/>
    </row>
    <row r="52072" spans="7:7" ht="10.5" customHeight="1" x14ac:dyDescent="0.2">
      <c r="G52072" s="889"/>
    </row>
    <row r="52073" spans="7:7" ht="10.5" customHeight="1" x14ac:dyDescent="0.2">
      <c r="G52073" s="889"/>
    </row>
    <row r="52074" spans="7:7" ht="10.5" customHeight="1" x14ac:dyDescent="0.2">
      <c r="G52074" s="889"/>
    </row>
    <row r="52075" spans="7:7" ht="10.5" customHeight="1" x14ac:dyDescent="0.2">
      <c r="G52075" s="889"/>
    </row>
    <row r="52076" spans="7:7" ht="10.5" customHeight="1" x14ac:dyDescent="0.2">
      <c r="G52076" s="889"/>
    </row>
    <row r="52077" spans="7:7" ht="10.5" customHeight="1" x14ac:dyDescent="0.2">
      <c r="G52077" s="889"/>
    </row>
    <row r="52078" spans="7:7" ht="10.5" customHeight="1" x14ac:dyDescent="0.2">
      <c r="G52078" s="889"/>
    </row>
    <row r="52079" spans="7:7" ht="10.5" customHeight="1" x14ac:dyDescent="0.2">
      <c r="G52079" s="889"/>
    </row>
    <row r="52080" spans="7:7" ht="10.5" customHeight="1" x14ac:dyDescent="0.2">
      <c r="G52080" s="889"/>
    </row>
    <row r="52081" spans="7:7" ht="10.5" customHeight="1" x14ac:dyDescent="0.2">
      <c r="G52081" s="889"/>
    </row>
    <row r="52082" spans="7:7" ht="10.5" customHeight="1" x14ac:dyDescent="0.2">
      <c r="G52082" s="889"/>
    </row>
    <row r="52083" spans="7:7" ht="10.5" customHeight="1" x14ac:dyDescent="0.2">
      <c r="G52083" s="889"/>
    </row>
    <row r="52084" spans="7:7" ht="10.5" customHeight="1" x14ac:dyDescent="0.2">
      <c r="G52084" s="889"/>
    </row>
    <row r="52085" spans="7:7" ht="10.5" customHeight="1" x14ac:dyDescent="0.2">
      <c r="G52085" s="889"/>
    </row>
    <row r="52086" spans="7:7" ht="10.5" customHeight="1" x14ac:dyDescent="0.2">
      <c r="G52086" s="889"/>
    </row>
    <row r="52087" spans="7:7" ht="10.5" customHeight="1" x14ac:dyDescent="0.2">
      <c r="G52087" s="889"/>
    </row>
    <row r="52088" spans="7:7" ht="10.5" customHeight="1" x14ac:dyDescent="0.2">
      <c r="G52088" s="889"/>
    </row>
    <row r="52089" spans="7:7" ht="10.5" customHeight="1" x14ac:dyDescent="0.2">
      <c r="G52089" s="889"/>
    </row>
    <row r="52090" spans="7:7" ht="10.5" customHeight="1" x14ac:dyDescent="0.2">
      <c r="G52090" s="889"/>
    </row>
    <row r="52091" spans="7:7" ht="10.5" customHeight="1" x14ac:dyDescent="0.2">
      <c r="G52091" s="889"/>
    </row>
    <row r="52092" spans="7:7" ht="10.5" customHeight="1" x14ac:dyDescent="0.2">
      <c r="G52092" s="889"/>
    </row>
    <row r="52093" spans="7:7" ht="10.5" customHeight="1" x14ac:dyDescent="0.2">
      <c r="G52093" s="889"/>
    </row>
    <row r="52094" spans="7:7" ht="10.5" customHeight="1" x14ac:dyDescent="0.2">
      <c r="G52094" s="889"/>
    </row>
    <row r="52095" spans="7:7" ht="10.5" customHeight="1" x14ac:dyDescent="0.2">
      <c r="G52095" s="889"/>
    </row>
    <row r="52096" spans="7:7" ht="10.5" customHeight="1" x14ac:dyDescent="0.2">
      <c r="G52096" s="889"/>
    </row>
    <row r="52097" spans="7:7" ht="10.5" customHeight="1" x14ac:dyDescent="0.2">
      <c r="G52097" s="889"/>
    </row>
    <row r="52098" spans="7:7" ht="10.5" customHeight="1" x14ac:dyDescent="0.2">
      <c r="G52098" s="889"/>
    </row>
    <row r="52099" spans="7:7" ht="10.5" customHeight="1" x14ac:dyDescent="0.2">
      <c r="G52099" s="889"/>
    </row>
    <row r="52100" spans="7:7" ht="10.5" customHeight="1" x14ac:dyDescent="0.2">
      <c r="G52100" s="889"/>
    </row>
    <row r="52101" spans="7:7" ht="10.5" customHeight="1" x14ac:dyDescent="0.2">
      <c r="G52101" s="889"/>
    </row>
    <row r="52102" spans="7:7" ht="10.5" customHeight="1" x14ac:dyDescent="0.2">
      <c r="G52102" s="889"/>
    </row>
    <row r="52103" spans="7:7" ht="10.5" customHeight="1" x14ac:dyDescent="0.2">
      <c r="G52103" s="889"/>
    </row>
    <row r="52104" spans="7:7" ht="10.5" customHeight="1" x14ac:dyDescent="0.2">
      <c r="G52104" s="889"/>
    </row>
    <row r="52105" spans="7:7" ht="10.5" customHeight="1" x14ac:dyDescent="0.2">
      <c r="G52105" s="889"/>
    </row>
    <row r="52106" spans="7:7" ht="10.5" customHeight="1" x14ac:dyDescent="0.2">
      <c r="G52106" s="889"/>
    </row>
    <row r="52107" spans="7:7" ht="10.5" customHeight="1" x14ac:dyDescent="0.2">
      <c r="G52107" s="889"/>
    </row>
    <row r="52108" spans="7:7" ht="10.5" customHeight="1" x14ac:dyDescent="0.2">
      <c r="G52108" s="889"/>
    </row>
    <row r="52109" spans="7:7" ht="10.5" customHeight="1" x14ac:dyDescent="0.2">
      <c r="G52109" s="889"/>
    </row>
    <row r="52110" spans="7:7" ht="10.5" customHeight="1" x14ac:dyDescent="0.2">
      <c r="G52110" s="889"/>
    </row>
    <row r="52111" spans="7:7" ht="10.5" customHeight="1" x14ac:dyDescent="0.2">
      <c r="G52111" s="889"/>
    </row>
    <row r="52112" spans="7:7" ht="10.5" customHeight="1" x14ac:dyDescent="0.2">
      <c r="G52112" s="889"/>
    </row>
    <row r="52113" spans="7:7" ht="10.5" customHeight="1" x14ac:dyDescent="0.2">
      <c r="G52113" s="889"/>
    </row>
    <row r="52114" spans="7:7" ht="10.5" customHeight="1" x14ac:dyDescent="0.2">
      <c r="G52114" s="889"/>
    </row>
    <row r="52115" spans="7:7" ht="10.5" customHeight="1" x14ac:dyDescent="0.2">
      <c r="G52115" s="889"/>
    </row>
    <row r="52116" spans="7:7" ht="10.5" customHeight="1" x14ac:dyDescent="0.2">
      <c r="G52116" s="889"/>
    </row>
    <row r="52117" spans="7:7" ht="10.5" customHeight="1" x14ac:dyDescent="0.2">
      <c r="G52117" s="889"/>
    </row>
    <row r="52118" spans="7:7" ht="10.5" customHeight="1" x14ac:dyDescent="0.2">
      <c r="G52118" s="889"/>
    </row>
    <row r="52119" spans="7:7" ht="10.5" customHeight="1" x14ac:dyDescent="0.2">
      <c r="G52119" s="889"/>
    </row>
    <row r="52120" spans="7:7" ht="10.5" customHeight="1" x14ac:dyDescent="0.2">
      <c r="G52120" s="889"/>
    </row>
    <row r="52121" spans="7:7" ht="10.5" customHeight="1" x14ac:dyDescent="0.2">
      <c r="G52121" s="889"/>
    </row>
    <row r="52122" spans="7:7" ht="10.5" customHeight="1" x14ac:dyDescent="0.2">
      <c r="G52122" s="889"/>
    </row>
    <row r="52123" spans="7:7" ht="10.5" customHeight="1" x14ac:dyDescent="0.2">
      <c r="G52123" s="889"/>
    </row>
    <row r="52124" spans="7:7" ht="10.5" customHeight="1" x14ac:dyDescent="0.2">
      <c r="G52124" s="889"/>
    </row>
    <row r="52125" spans="7:7" ht="10.5" customHeight="1" x14ac:dyDescent="0.2">
      <c r="G52125" s="889"/>
    </row>
    <row r="52126" spans="7:7" ht="10.5" customHeight="1" x14ac:dyDescent="0.2">
      <c r="G52126" s="889"/>
    </row>
    <row r="52127" spans="7:7" ht="10.5" customHeight="1" x14ac:dyDescent="0.2">
      <c r="G52127" s="889"/>
    </row>
    <row r="52128" spans="7:7" ht="10.5" customHeight="1" x14ac:dyDescent="0.2">
      <c r="G52128" s="889"/>
    </row>
    <row r="52129" spans="7:7" ht="10.5" customHeight="1" x14ac:dyDescent="0.2">
      <c r="G52129" s="889"/>
    </row>
    <row r="52130" spans="7:7" ht="10.5" customHeight="1" x14ac:dyDescent="0.2">
      <c r="G52130" s="889"/>
    </row>
    <row r="52131" spans="7:7" ht="10.5" customHeight="1" x14ac:dyDescent="0.2">
      <c r="G52131" s="889"/>
    </row>
    <row r="52132" spans="7:7" ht="10.5" customHeight="1" x14ac:dyDescent="0.2">
      <c r="G52132" s="889"/>
    </row>
    <row r="52133" spans="7:7" ht="10.5" customHeight="1" x14ac:dyDescent="0.2">
      <c r="G52133" s="889"/>
    </row>
    <row r="52134" spans="7:7" ht="10.5" customHeight="1" x14ac:dyDescent="0.2">
      <c r="G52134" s="889"/>
    </row>
    <row r="52135" spans="7:7" ht="10.5" customHeight="1" x14ac:dyDescent="0.2">
      <c r="G52135" s="889"/>
    </row>
    <row r="52136" spans="7:7" ht="10.5" customHeight="1" x14ac:dyDescent="0.2">
      <c r="G52136" s="889"/>
    </row>
    <row r="52137" spans="7:7" ht="10.5" customHeight="1" x14ac:dyDescent="0.2">
      <c r="G52137" s="889"/>
    </row>
    <row r="52138" spans="7:7" ht="10.5" customHeight="1" x14ac:dyDescent="0.2">
      <c r="G52138" s="889"/>
    </row>
    <row r="52139" spans="7:7" ht="10.5" customHeight="1" x14ac:dyDescent="0.2">
      <c r="G52139" s="889"/>
    </row>
    <row r="52140" spans="7:7" ht="10.5" customHeight="1" x14ac:dyDescent="0.2">
      <c r="G52140" s="889"/>
    </row>
    <row r="52141" spans="7:7" ht="10.5" customHeight="1" x14ac:dyDescent="0.2">
      <c r="G52141" s="889"/>
    </row>
    <row r="52142" spans="7:7" ht="10.5" customHeight="1" x14ac:dyDescent="0.2">
      <c r="G52142" s="889"/>
    </row>
    <row r="52143" spans="7:7" ht="10.5" customHeight="1" x14ac:dyDescent="0.2">
      <c r="G52143" s="889"/>
    </row>
    <row r="52144" spans="7:7" ht="10.5" customHeight="1" x14ac:dyDescent="0.2">
      <c r="G52144" s="889"/>
    </row>
    <row r="52145" spans="7:7" ht="10.5" customHeight="1" x14ac:dyDescent="0.2">
      <c r="G52145" s="889"/>
    </row>
    <row r="52146" spans="7:7" ht="10.5" customHeight="1" x14ac:dyDescent="0.2">
      <c r="G52146" s="889"/>
    </row>
    <row r="52147" spans="7:7" ht="10.5" customHeight="1" x14ac:dyDescent="0.2">
      <c r="G52147" s="889"/>
    </row>
    <row r="52148" spans="7:7" ht="10.5" customHeight="1" x14ac:dyDescent="0.2">
      <c r="G52148" s="889"/>
    </row>
    <row r="52149" spans="7:7" ht="10.5" customHeight="1" x14ac:dyDescent="0.2">
      <c r="G52149" s="889"/>
    </row>
    <row r="52150" spans="7:7" ht="10.5" customHeight="1" x14ac:dyDescent="0.2">
      <c r="G52150" s="889"/>
    </row>
    <row r="52151" spans="7:7" ht="10.5" customHeight="1" x14ac:dyDescent="0.2">
      <c r="G52151" s="889"/>
    </row>
    <row r="52152" spans="7:7" ht="10.5" customHeight="1" x14ac:dyDescent="0.2">
      <c r="G52152" s="889"/>
    </row>
    <row r="52153" spans="7:7" ht="10.5" customHeight="1" x14ac:dyDescent="0.2">
      <c r="G52153" s="889"/>
    </row>
    <row r="52154" spans="7:7" ht="10.5" customHeight="1" x14ac:dyDescent="0.2">
      <c r="G52154" s="889"/>
    </row>
    <row r="52155" spans="7:7" ht="10.5" customHeight="1" x14ac:dyDescent="0.2">
      <c r="G52155" s="889"/>
    </row>
    <row r="52156" spans="7:7" ht="10.5" customHeight="1" x14ac:dyDescent="0.2">
      <c r="G52156" s="889"/>
    </row>
    <row r="52157" spans="7:7" ht="10.5" customHeight="1" x14ac:dyDescent="0.2">
      <c r="G52157" s="889"/>
    </row>
    <row r="52158" spans="7:7" ht="10.5" customHeight="1" x14ac:dyDescent="0.2">
      <c r="G52158" s="889"/>
    </row>
    <row r="52159" spans="7:7" ht="10.5" customHeight="1" x14ac:dyDescent="0.2">
      <c r="G52159" s="889"/>
    </row>
    <row r="52160" spans="7:7" ht="10.5" customHeight="1" x14ac:dyDescent="0.2">
      <c r="G52160" s="889"/>
    </row>
    <row r="52161" spans="7:7" ht="10.5" customHeight="1" x14ac:dyDescent="0.2">
      <c r="G52161" s="889"/>
    </row>
    <row r="52162" spans="7:7" ht="10.5" customHeight="1" x14ac:dyDescent="0.2">
      <c r="G52162" s="889"/>
    </row>
    <row r="52163" spans="7:7" ht="10.5" customHeight="1" x14ac:dyDescent="0.2">
      <c r="G52163" s="889"/>
    </row>
    <row r="52164" spans="7:7" ht="10.5" customHeight="1" x14ac:dyDescent="0.2">
      <c r="G52164" s="889"/>
    </row>
    <row r="52165" spans="7:7" ht="10.5" customHeight="1" x14ac:dyDescent="0.2">
      <c r="G52165" s="889"/>
    </row>
    <row r="52166" spans="7:7" ht="10.5" customHeight="1" x14ac:dyDescent="0.2">
      <c r="G52166" s="889"/>
    </row>
    <row r="52167" spans="7:7" ht="10.5" customHeight="1" x14ac:dyDescent="0.2">
      <c r="G52167" s="889"/>
    </row>
    <row r="52168" spans="7:7" ht="10.5" customHeight="1" x14ac:dyDescent="0.2">
      <c r="G52168" s="889"/>
    </row>
    <row r="52169" spans="7:7" ht="10.5" customHeight="1" x14ac:dyDescent="0.2">
      <c r="G52169" s="889"/>
    </row>
    <row r="52170" spans="7:7" ht="10.5" customHeight="1" x14ac:dyDescent="0.2">
      <c r="G52170" s="889"/>
    </row>
    <row r="52171" spans="7:7" ht="10.5" customHeight="1" x14ac:dyDescent="0.2">
      <c r="G52171" s="889"/>
    </row>
    <row r="52172" spans="7:7" ht="10.5" customHeight="1" x14ac:dyDescent="0.2">
      <c r="G52172" s="889"/>
    </row>
    <row r="52173" spans="7:7" ht="10.5" customHeight="1" x14ac:dyDescent="0.2">
      <c r="G52173" s="889"/>
    </row>
    <row r="52174" spans="7:7" ht="10.5" customHeight="1" x14ac:dyDescent="0.2">
      <c r="G52174" s="889"/>
    </row>
    <row r="52175" spans="7:7" ht="10.5" customHeight="1" x14ac:dyDescent="0.2">
      <c r="G52175" s="889"/>
    </row>
    <row r="52176" spans="7:7" ht="10.5" customHeight="1" x14ac:dyDescent="0.2">
      <c r="G52176" s="889"/>
    </row>
    <row r="52177" spans="7:7" ht="10.5" customHeight="1" x14ac:dyDescent="0.2">
      <c r="G52177" s="889"/>
    </row>
    <row r="52178" spans="7:7" ht="10.5" customHeight="1" x14ac:dyDescent="0.2">
      <c r="G52178" s="889"/>
    </row>
    <row r="52179" spans="7:7" ht="10.5" customHeight="1" x14ac:dyDescent="0.2">
      <c r="G52179" s="889"/>
    </row>
    <row r="52180" spans="7:7" ht="10.5" customHeight="1" x14ac:dyDescent="0.2">
      <c r="G52180" s="889"/>
    </row>
    <row r="52181" spans="7:7" ht="10.5" customHeight="1" x14ac:dyDescent="0.2">
      <c r="G52181" s="889"/>
    </row>
    <row r="52182" spans="7:7" ht="10.5" customHeight="1" x14ac:dyDescent="0.2">
      <c r="G52182" s="889"/>
    </row>
    <row r="52183" spans="7:7" ht="10.5" customHeight="1" x14ac:dyDescent="0.2">
      <c r="G52183" s="889"/>
    </row>
    <row r="52184" spans="7:7" ht="10.5" customHeight="1" x14ac:dyDescent="0.2">
      <c r="G52184" s="889"/>
    </row>
    <row r="52185" spans="7:7" ht="10.5" customHeight="1" x14ac:dyDescent="0.2">
      <c r="G52185" s="889"/>
    </row>
    <row r="52186" spans="7:7" ht="10.5" customHeight="1" x14ac:dyDescent="0.2">
      <c r="G52186" s="889"/>
    </row>
    <row r="52187" spans="7:7" ht="10.5" customHeight="1" x14ac:dyDescent="0.2">
      <c r="G52187" s="889"/>
    </row>
    <row r="52188" spans="7:7" ht="10.5" customHeight="1" x14ac:dyDescent="0.2">
      <c r="G52188" s="889"/>
    </row>
    <row r="52189" spans="7:7" ht="10.5" customHeight="1" x14ac:dyDescent="0.2">
      <c r="G52189" s="889"/>
    </row>
    <row r="52190" spans="7:7" ht="10.5" customHeight="1" x14ac:dyDescent="0.2">
      <c r="G52190" s="889"/>
    </row>
    <row r="52191" spans="7:7" ht="10.5" customHeight="1" x14ac:dyDescent="0.2">
      <c r="G52191" s="889"/>
    </row>
    <row r="52192" spans="7:7" ht="10.5" customHeight="1" x14ac:dyDescent="0.2">
      <c r="G52192" s="889"/>
    </row>
    <row r="52193" spans="7:7" ht="10.5" customHeight="1" x14ac:dyDescent="0.2">
      <c r="G52193" s="889"/>
    </row>
    <row r="52194" spans="7:7" ht="10.5" customHeight="1" x14ac:dyDescent="0.2">
      <c r="G52194" s="889"/>
    </row>
    <row r="52195" spans="7:7" ht="10.5" customHeight="1" x14ac:dyDescent="0.2">
      <c r="G52195" s="889"/>
    </row>
    <row r="52196" spans="7:7" ht="10.5" customHeight="1" x14ac:dyDescent="0.2">
      <c r="G52196" s="889"/>
    </row>
    <row r="52197" spans="7:7" ht="10.5" customHeight="1" x14ac:dyDescent="0.2">
      <c r="G52197" s="889"/>
    </row>
    <row r="52198" spans="7:7" ht="10.5" customHeight="1" x14ac:dyDescent="0.2">
      <c r="G52198" s="889"/>
    </row>
    <row r="52199" spans="7:7" ht="10.5" customHeight="1" x14ac:dyDescent="0.2">
      <c r="G52199" s="889"/>
    </row>
    <row r="52200" spans="7:7" ht="10.5" customHeight="1" x14ac:dyDescent="0.2">
      <c r="G52200" s="889"/>
    </row>
    <row r="52201" spans="7:7" ht="10.5" customHeight="1" x14ac:dyDescent="0.2">
      <c r="G52201" s="889"/>
    </row>
    <row r="52202" spans="7:7" ht="10.5" customHeight="1" x14ac:dyDescent="0.2">
      <c r="G52202" s="889"/>
    </row>
    <row r="52203" spans="7:7" ht="10.5" customHeight="1" x14ac:dyDescent="0.2">
      <c r="G52203" s="889"/>
    </row>
    <row r="52204" spans="7:7" ht="10.5" customHeight="1" x14ac:dyDescent="0.2">
      <c r="G52204" s="889"/>
    </row>
    <row r="52205" spans="7:7" ht="10.5" customHeight="1" x14ac:dyDescent="0.2">
      <c r="G52205" s="889"/>
    </row>
    <row r="52206" spans="7:7" ht="10.5" customHeight="1" x14ac:dyDescent="0.2">
      <c r="G52206" s="889"/>
    </row>
    <row r="52207" spans="7:7" ht="10.5" customHeight="1" x14ac:dyDescent="0.2">
      <c r="G52207" s="889"/>
    </row>
    <row r="52208" spans="7:7" ht="10.5" customHeight="1" x14ac:dyDescent="0.2">
      <c r="G52208" s="889"/>
    </row>
    <row r="52209" spans="7:7" ht="10.5" customHeight="1" x14ac:dyDescent="0.2">
      <c r="G52209" s="889"/>
    </row>
    <row r="52210" spans="7:7" ht="10.5" customHeight="1" x14ac:dyDescent="0.2">
      <c r="G52210" s="889"/>
    </row>
    <row r="52211" spans="7:7" ht="10.5" customHeight="1" x14ac:dyDescent="0.2">
      <c r="G52211" s="889"/>
    </row>
    <row r="52212" spans="7:7" ht="10.5" customHeight="1" x14ac:dyDescent="0.2">
      <c r="G52212" s="889"/>
    </row>
    <row r="52213" spans="7:7" ht="10.5" customHeight="1" x14ac:dyDescent="0.2">
      <c r="G52213" s="889"/>
    </row>
    <row r="52214" spans="7:7" ht="10.5" customHeight="1" x14ac:dyDescent="0.2">
      <c r="G52214" s="889"/>
    </row>
    <row r="52215" spans="7:7" ht="10.5" customHeight="1" x14ac:dyDescent="0.2">
      <c r="G52215" s="889"/>
    </row>
    <row r="52216" spans="7:7" ht="10.5" customHeight="1" x14ac:dyDescent="0.2">
      <c r="G52216" s="889"/>
    </row>
    <row r="52217" spans="7:7" ht="10.5" customHeight="1" x14ac:dyDescent="0.2">
      <c r="G52217" s="889"/>
    </row>
    <row r="52218" spans="7:7" ht="10.5" customHeight="1" x14ac:dyDescent="0.2">
      <c r="G52218" s="889"/>
    </row>
    <row r="52219" spans="7:7" ht="10.5" customHeight="1" x14ac:dyDescent="0.2">
      <c r="G52219" s="889"/>
    </row>
    <row r="52220" spans="7:7" ht="10.5" customHeight="1" x14ac:dyDescent="0.2">
      <c r="G52220" s="889"/>
    </row>
    <row r="52221" spans="7:7" ht="10.5" customHeight="1" x14ac:dyDescent="0.2">
      <c r="G52221" s="889"/>
    </row>
    <row r="52222" spans="7:7" ht="10.5" customHeight="1" x14ac:dyDescent="0.2">
      <c r="G52222" s="889"/>
    </row>
    <row r="52223" spans="7:7" ht="10.5" customHeight="1" x14ac:dyDescent="0.2">
      <c r="G52223" s="889"/>
    </row>
    <row r="52224" spans="7:7" ht="10.5" customHeight="1" x14ac:dyDescent="0.2">
      <c r="G52224" s="889"/>
    </row>
    <row r="52225" spans="7:7" ht="10.5" customHeight="1" x14ac:dyDescent="0.2">
      <c r="G52225" s="889"/>
    </row>
    <row r="52226" spans="7:7" ht="10.5" customHeight="1" x14ac:dyDescent="0.2">
      <c r="G52226" s="889"/>
    </row>
    <row r="52227" spans="7:7" ht="10.5" customHeight="1" x14ac:dyDescent="0.2">
      <c r="G52227" s="889"/>
    </row>
    <row r="52228" spans="7:7" ht="10.5" customHeight="1" x14ac:dyDescent="0.2">
      <c r="G52228" s="889"/>
    </row>
    <row r="52229" spans="7:7" ht="10.5" customHeight="1" x14ac:dyDescent="0.2">
      <c r="G52229" s="889"/>
    </row>
    <row r="52230" spans="7:7" ht="10.5" customHeight="1" x14ac:dyDescent="0.2">
      <c r="G52230" s="889"/>
    </row>
    <row r="52231" spans="7:7" ht="10.5" customHeight="1" x14ac:dyDescent="0.2">
      <c r="G52231" s="889"/>
    </row>
    <row r="52232" spans="7:7" ht="10.5" customHeight="1" x14ac:dyDescent="0.2">
      <c r="G52232" s="889"/>
    </row>
    <row r="52233" spans="7:7" ht="10.5" customHeight="1" x14ac:dyDescent="0.2">
      <c r="G52233" s="889"/>
    </row>
    <row r="52234" spans="7:7" ht="10.5" customHeight="1" x14ac:dyDescent="0.2">
      <c r="G52234" s="889"/>
    </row>
    <row r="52235" spans="7:7" ht="10.5" customHeight="1" x14ac:dyDescent="0.2">
      <c r="G52235" s="889"/>
    </row>
    <row r="52236" spans="7:7" ht="10.5" customHeight="1" x14ac:dyDescent="0.2">
      <c r="G52236" s="889"/>
    </row>
    <row r="52237" spans="7:7" ht="10.5" customHeight="1" x14ac:dyDescent="0.2">
      <c r="G52237" s="889"/>
    </row>
    <row r="52238" spans="7:7" ht="10.5" customHeight="1" x14ac:dyDescent="0.2">
      <c r="G52238" s="889"/>
    </row>
    <row r="52239" spans="7:7" ht="10.5" customHeight="1" x14ac:dyDescent="0.2">
      <c r="G52239" s="889"/>
    </row>
    <row r="52240" spans="7:7" ht="10.5" customHeight="1" x14ac:dyDescent="0.2">
      <c r="G52240" s="889"/>
    </row>
    <row r="52241" spans="7:7" ht="10.5" customHeight="1" x14ac:dyDescent="0.2">
      <c r="G52241" s="889"/>
    </row>
    <row r="52242" spans="7:7" ht="10.5" customHeight="1" x14ac:dyDescent="0.2">
      <c r="G52242" s="889"/>
    </row>
    <row r="52243" spans="7:7" ht="10.5" customHeight="1" x14ac:dyDescent="0.2">
      <c r="G52243" s="889"/>
    </row>
    <row r="52244" spans="7:7" ht="10.5" customHeight="1" x14ac:dyDescent="0.2">
      <c r="G52244" s="889"/>
    </row>
    <row r="52245" spans="7:7" ht="10.5" customHeight="1" x14ac:dyDescent="0.2">
      <c r="G52245" s="889"/>
    </row>
    <row r="52246" spans="7:7" ht="10.5" customHeight="1" x14ac:dyDescent="0.2">
      <c r="G52246" s="889"/>
    </row>
    <row r="52247" spans="7:7" ht="10.5" customHeight="1" x14ac:dyDescent="0.2">
      <c r="G52247" s="889"/>
    </row>
    <row r="52248" spans="7:7" ht="10.5" customHeight="1" x14ac:dyDescent="0.2">
      <c r="G52248" s="889"/>
    </row>
    <row r="52249" spans="7:7" ht="10.5" customHeight="1" x14ac:dyDescent="0.2">
      <c r="G52249" s="889"/>
    </row>
    <row r="52250" spans="7:7" ht="10.5" customHeight="1" x14ac:dyDescent="0.2">
      <c r="G52250" s="889"/>
    </row>
    <row r="52251" spans="7:7" ht="10.5" customHeight="1" x14ac:dyDescent="0.2">
      <c r="G52251" s="889"/>
    </row>
    <row r="52252" spans="7:7" ht="10.5" customHeight="1" x14ac:dyDescent="0.2">
      <c r="G52252" s="889"/>
    </row>
    <row r="52253" spans="7:7" ht="10.5" customHeight="1" x14ac:dyDescent="0.2">
      <c r="G52253" s="889"/>
    </row>
    <row r="52254" spans="7:7" ht="10.5" customHeight="1" x14ac:dyDescent="0.2">
      <c r="G52254" s="889"/>
    </row>
    <row r="52255" spans="7:7" ht="10.5" customHeight="1" x14ac:dyDescent="0.2">
      <c r="G52255" s="889"/>
    </row>
    <row r="52256" spans="7:7" ht="10.5" customHeight="1" x14ac:dyDescent="0.2">
      <c r="G52256" s="889"/>
    </row>
    <row r="52257" spans="7:7" ht="10.5" customHeight="1" x14ac:dyDescent="0.2">
      <c r="G52257" s="889"/>
    </row>
    <row r="52258" spans="7:7" ht="10.5" customHeight="1" x14ac:dyDescent="0.2">
      <c r="G52258" s="889"/>
    </row>
    <row r="52259" spans="7:7" ht="10.5" customHeight="1" x14ac:dyDescent="0.2">
      <c r="G52259" s="889"/>
    </row>
    <row r="52260" spans="7:7" ht="10.5" customHeight="1" x14ac:dyDescent="0.2">
      <c r="G52260" s="889"/>
    </row>
    <row r="52261" spans="7:7" ht="10.5" customHeight="1" x14ac:dyDescent="0.2">
      <c r="G52261" s="889"/>
    </row>
    <row r="52262" spans="7:7" ht="10.5" customHeight="1" x14ac:dyDescent="0.2">
      <c r="G52262" s="889"/>
    </row>
    <row r="52263" spans="7:7" ht="10.5" customHeight="1" x14ac:dyDescent="0.2">
      <c r="G52263" s="889"/>
    </row>
    <row r="52264" spans="7:7" ht="10.5" customHeight="1" x14ac:dyDescent="0.2">
      <c r="G52264" s="889"/>
    </row>
    <row r="52265" spans="7:7" ht="10.5" customHeight="1" x14ac:dyDescent="0.2">
      <c r="G52265" s="889"/>
    </row>
    <row r="52266" spans="7:7" ht="10.5" customHeight="1" x14ac:dyDescent="0.2">
      <c r="G52266" s="889"/>
    </row>
    <row r="52267" spans="7:7" ht="10.5" customHeight="1" x14ac:dyDescent="0.2">
      <c r="G52267" s="889"/>
    </row>
    <row r="52268" spans="7:7" ht="10.5" customHeight="1" x14ac:dyDescent="0.2">
      <c r="G52268" s="889"/>
    </row>
    <row r="52269" spans="7:7" ht="10.5" customHeight="1" x14ac:dyDescent="0.2">
      <c r="G52269" s="889"/>
    </row>
    <row r="52270" spans="7:7" ht="10.5" customHeight="1" x14ac:dyDescent="0.2">
      <c r="G52270" s="889"/>
    </row>
    <row r="52271" spans="7:7" ht="10.5" customHeight="1" x14ac:dyDescent="0.2">
      <c r="G52271" s="889"/>
    </row>
    <row r="52272" spans="7:7" ht="10.5" customHeight="1" x14ac:dyDescent="0.2">
      <c r="G52272" s="889"/>
    </row>
    <row r="52273" spans="7:7" ht="10.5" customHeight="1" x14ac:dyDescent="0.2">
      <c r="G52273" s="889"/>
    </row>
    <row r="52274" spans="7:7" ht="10.5" customHeight="1" x14ac:dyDescent="0.2">
      <c r="G52274" s="889"/>
    </row>
    <row r="52275" spans="7:7" ht="10.5" customHeight="1" x14ac:dyDescent="0.2">
      <c r="G52275" s="889"/>
    </row>
    <row r="52276" spans="7:7" ht="10.5" customHeight="1" x14ac:dyDescent="0.2">
      <c r="G52276" s="889"/>
    </row>
    <row r="52277" spans="7:7" ht="10.5" customHeight="1" x14ac:dyDescent="0.2">
      <c r="G52277" s="889"/>
    </row>
    <row r="52278" spans="7:7" ht="10.5" customHeight="1" x14ac:dyDescent="0.2">
      <c r="G52278" s="889"/>
    </row>
    <row r="52279" spans="7:7" ht="10.5" customHeight="1" x14ac:dyDescent="0.2">
      <c r="G52279" s="889"/>
    </row>
    <row r="52280" spans="7:7" ht="10.5" customHeight="1" x14ac:dyDescent="0.2">
      <c r="G52280" s="889"/>
    </row>
    <row r="52281" spans="7:7" ht="10.5" customHeight="1" x14ac:dyDescent="0.2">
      <c r="G52281" s="889"/>
    </row>
    <row r="52282" spans="7:7" ht="10.5" customHeight="1" x14ac:dyDescent="0.2">
      <c r="G52282" s="889"/>
    </row>
    <row r="52283" spans="7:7" ht="10.5" customHeight="1" x14ac:dyDescent="0.2">
      <c r="G52283" s="889"/>
    </row>
    <row r="52284" spans="7:7" ht="10.5" customHeight="1" x14ac:dyDescent="0.2">
      <c r="G52284" s="889"/>
    </row>
    <row r="52285" spans="7:7" ht="10.5" customHeight="1" x14ac:dyDescent="0.2">
      <c r="G52285" s="889"/>
    </row>
    <row r="52286" spans="7:7" ht="10.5" customHeight="1" x14ac:dyDescent="0.2">
      <c r="G52286" s="889"/>
    </row>
    <row r="52287" spans="7:7" ht="10.5" customHeight="1" x14ac:dyDescent="0.2">
      <c r="G52287" s="889"/>
    </row>
    <row r="52288" spans="7:7" ht="10.5" customHeight="1" x14ac:dyDescent="0.2">
      <c r="G52288" s="889"/>
    </row>
    <row r="52289" spans="7:7" ht="10.5" customHeight="1" x14ac:dyDescent="0.2">
      <c r="G52289" s="889"/>
    </row>
    <row r="52290" spans="7:7" ht="10.5" customHeight="1" x14ac:dyDescent="0.2">
      <c r="G52290" s="889"/>
    </row>
    <row r="52291" spans="7:7" ht="10.5" customHeight="1" x14ac:dyDescent="0.2">
      <c r="G52291" s="889"/>
    </row>
    <row r="52292" spans="7:7" ht="10.5" customHeight="1" x14ac:dyDescent="0.2">
      <c r="G52292" s="889"/>
    </row>
    <row r="52293" spans="7:7" ht="10.5" customHeight="1" x14ac:dyDescent="0.2">
      <c r="G52293" s="889"/>
    </row>
    <row r="52294" spans="7:7" ht="10.5" customHeight="1" x14ac:dyDescent="0.2">
      <c r="G52294" s="889"/>
    </row>
    <row r="52295" spans="7:7" ht="10.5" customHeight="1" x14ac:dyDescent="0.2">
      <c r="G52295" s="889"/>
    </row>
    <row r="52296" spans="7:7" ht="10.5" customHeight="1" x14ac:dyDescent="0.2">
      <c r="G52296" s="889"/>
    </row>
    <row r="52297" spans="7:7" ht="10.5" customHeight="1" x14ac:dyDescent="0.2">
      <c r="G52297" s="889"/>
    </row>
    <row r="52298" spans="7:7" ht="10.5" customHeight="1" x14ac:dyDescent="0.2">
      <c r="G52298" s="889"/>
    </row>
    <row r="52299" spans="7:7" ht="10.5" customHeight="1" x14ac:dyDescent="0.2">
      <c r="G52299" s="889"/>
    </row>
    <row r="52300" spans="7:7" ht="10.5" customHeight="1" x14ac:dyDescent="0.2">
      <c r="G52300" s="889"/>
    </row>
    <row r="52301" spans="7:7" ht="10.5" customHeight="1" x14ac:dyDescent="0.2">
      <c r="G52301" s="889"/>
    </row>
    <row r="52302" spans="7:7" ht="10.5" customHeight="1" x14ac:dyDescent="0.2">
      <c r="G52302" s="889"/>
    </row>
    <row r="52303" spans="7:7" ht="10.5" customHeight="1" x14ac:dyDescent="0.2">
      <c r="G52303" s="889"/>
    </row>
    <row r="52304" spans="7:7" ht="10.5" customHeight="1" x14ac:dyDescent="0.2">
      <c r="G52304" s="889"/>
    </row>
    <row r="52305" spans="7:7" ht="10.5" customHeight="1" x14ac:dyDescent="0.2">
      <c r="G52305" s="889"/>
    </row>
    <row r="52306" spans="7:7" ht="10.5" customHeight="1" x14ac:dyDescent="0.2">
      <c r="G52306" s="889"/>
    </row>
    <row r="52307" spans="7:7" ht="10.5" customHeight="1" x14ac:dyDescent="0.2">
      <c r="G52307" s="889"/>
    </row>
    <row r="52308" spans="7:7" ht="10.5" customHeight="1" x14ac:dyDescent="0.2">
      <c r="G52308" s="889"/>
    </row>
    <row r="52309" spans="7:7" ht="10.5" customHeight="1" x14ac:dyDescent="0.2">
      <c r="G52309" s="889"/>
    </row>
    <row r="52310" spans="7:7" ht="10.5" customHeight="1" x14ac:dyDescent="0.2">
      <c r="G52310" s="889"/>
    </row>
    <row r="52311" spans="7:7" ht="10.5" customHeight="1" x14ac:dyDescent="0.2">
      <c r="G52311" s="889"/>
    </row>
    <row r="52312" spans="7:7" ht="10.5" customHeight="1" x14ac:dyDescent="0.2">
      <c r="G52312" s="889"/>
    </row>
    <row r="52313" spans="7:7" ht="10.5" customHeight="1" x14ac:dyDescent="0.2">
      <c r="G52313" s="889"/>
    </row>
    <row r="52314" spans="7:7" ht="10.5" customHeight="1" x14ac:dyDescent="0.2">
      <c r="G52314" s="889"/>
    </row>
    <row r="52315" spans="7:7" ht="10.5" customHeight="1" x14ac:dyDescent="0.2">
      <c r="G52315" s="889"/>
    </row>
    <row r="52316" spans="7:7" ht="10.5" customHeight="1" x14ac:dyDescent="0.2">
      <c r="G52316" s="889"/>
    </row>
    <row r="52317" spans="7:7" ht="10.5" customHeight="1" x14ac:dyDescent="0.2">
      <c r="G52317" s="889"/>
    </row>
    <row r="52318" spans="7:7" ht="10.5" customHeight="1" x14ac:dyDescent="0.2">
      <c r="G52318" s="889"/>
    </row>
    <row r="52319" spans="7:7" ht="10.5" customHeight="1" x14ac:dyDescent="0.2">
      <c r="G52319" s="889"/>
    </row>
    <row r="52320" spans="7:7" ht="10.5" customHeight="1" x14ac:dyDescent="0.2">
      <c r="G52320" s="889"/>
    </row>
    <row r="52321" spans="7:7" ht="10.5" customHeight="1" x14ac:dyDescent="0.2">
      <c r="G52321" s="889"/>
    </row>
    <row r="52322" spans="7:7" ht="10.5" customHeight="1" x14ac:dyDescent="0.2">
      <c r="G52322" s="889"/>
    </row>
    <row r="52323" spans="7:7" ht="10.5" customHeight="1" x14ac:dyDescent="0.2">
      <c r="G52323" s="889"/>
    </row>
    <row r="52324" spans="7:7" ht="10.5" customHeight="1" x14ac:dyDescent="0.2">
      <c r="G52324" s="889"/>
    </row>
    <row r="52325" spans="7:7" ht="10.5" customHeight="1" x14ac:dyDescent="0.2">
      <c r="G52325" s="889"/>
    </row>
    <row r="52326" spans="7:7" ht="10.5" customHeight="1" x14ac:dyDescent="0.2">
      <c r="G52326" s="889"/>
    </row>
    <row r="52327" spans="7:7" ht="10.5" customHeight="1" x14ac:dyDescent="0.2">
      <c r="G52327" s="889"/>
    </row>
    <row r="52328" spans="7:7" ht="10.5" customHeight="1" x14ac:dyDescent="0.2">
      <c r="G52328" s="889"/>
    </row>
    <row r="52329" spans="7:7" ht="10.5" customHeight="1" x14ac:dyDescent="0.2">
      <c r="G52329" s="889"/>
    </row>
    <row r="52330" spans="7:7" ht="10.5" customHeight="1" x14ac:dyDescent="0.2">
      <c r="G52330" s="889"/>
    </row>
    <row r="52331" spans="7:7" ht="10.5" customHeight="1" x14ac:dyDescent="0.2">
      <c r="G52331" s="889"/>
    </row>
    <row r="52332" spans="7:7" ht="10.5" customHeight="1" x14ac:dyDescent="0.2">
      <c r="G52332" s="889"/>
    </row>
    <row r="52333" spans="7:7" ht="10.5" customHeight="1" x14ac:dyDescent="0.2">
      <c r="G52333" s="889"/>
    </row>
    <row r="52334" spans="7:7" ht="10.5" customHeight="1" x14ac:dyDescent="0.2">
      <c r="G52334" s="889"/>
    </row>
    <row r="52335" spans="7:7" ht="10.5" customHeight="1" x14ac:dyDescent="0.2">
      <c r="G52335" s="889"/>
    </row>
    <row r="52336" spans="7:7" ht="10.5" customHeight="1" x14ac:dyDescent="0.2">
      <c r="G52336" s="889"/>
    </row>
    <row r="52337" spans="7:7" ht="10.5" customHeight="1" x14ac:dyDescent="0.2">
      <c r="G52337" s="889"/>
    </row>
    <row r="52338" spans="7:7" ht="10.5" customHeight="1" x14ac:dyDescent="0.2">
      <c r="G52338" s="889"/>
    </row>
    <row r="52339" spans="7:7" ht="10.5" customHeight="1" x14ac:dyDescent="0.2">
      <c r="G52339" s="889"/>
    </row>
    <row r="52340" spans="7:7" ht="10.5" customHeight="1" x14ac:dyDescent="0.2">
      <c r="G52340" s="889"/>
    </row>
    <row r="52341" spans="7:7" ht="10.5" customHeight="1" x14ac:dyDescent="0.2">
      <c r="G52341" s="889"/>
    </row>
    <row r="52342" spans="7:7" ht="10.5" customHeight="1" x14ac:dyDescent="0.2">
      <c r="G52342" s="889"/>
    </row>
    <row r="52343" spans="7:7" ht="10.5" customHeight="1" x14ac:dyDescent="0.2">
      <c r="G52343" s="889"/>
    </row>
    <row r="52344" spans="7:7" ht="10.5" customHeight="1" x14ac:dyDescent="0.2">
      <c r="G52344" s="889"/>
    </row>
    <row r="52345" spans="7:7" ht="10.5" customHeight="1" x14ac:dyDescent="0.2">
      <c r="G52345" s="889"/>
    </row>
    <row r="52346" spans="7:7" ht="10.5" customHeight="1" x14ac:dyDescent="0.2">
      <c r="G52346" s="889"/>
    </row>
    <row r="52347" spans="7:7" ht="10.5" customHeight="1" x14ac:dyDescent="0.2">
      <c r="G52347" s="889"/>
    </row>
    <row r="52348" spans="7:7" ht="10.5" customHeight="1" x14ac:dyDescent="0.2">
      <c r="G52348" s="889"/>
    </row>
    <row r="52349" spans="7:7" ht="10.5" customHeight="1" x14ac:dyDescent="0.2">
      <c r="G52349" s="889"/>
    </row>
    <row r="52350" spans="7:7" ht="10.5" customHeight="1" x14ac:dyDescent="0.2">
      <c r="G52350" s="889"/>
    </row>
    <row r="52351" spans="7:7" ht="10.5" customHeight="1" x14ac:dyDescent="0.2">
      <c r="G52351" s="889"/>
    </row>
    <row r="52352" spans="7:7" ht="10.5" customHeight="1" x14ac:dyDescent="0.2">
      <c r="G52352" s="889"/>
    </row>
    <row r="52353" spans="7:7" ht="10.5" customHeight="1" x14ac:dyDescent="0.2">
      <c r="G52353" s="889"/>
    </row>
    <row r="52354" spans="7:7" ht="10.5" customHeight="1" x14ac:dyDescent="0.2">
      <c r="G52354" s="889"/>
    </row>
    <row r="52355" spans="7:7" ht="10.5" customHeight="1" x14ac:dyDescent="0.2">
      <c r="G52355" s="889"/>
    </row>
    <row r="52356" spans="7:7" ht="10.5" customHeight="1" x14ac:dyDescent="0.2">
      <c r="G52356" s="889"/>
    </row>
    <row r="52357" spans="7:7" ht="10.5" customHeight="1" x14ac:dyDescent="0.2">
      <c r="G52357" s="889"/>
    </row>
    <row r="52358" spans="7:7" ht="10.5" customHeight="1" x14ac:dyDescent="0.2">
      <c r="G52358" s="889"/>
    </row>
    <row r="52359" spans="7:7" ht="10.5" customHeight="1" x14ac:dyDescent="0.2">
      <c r="G52359" s="889"/>
    </row>
    <row r="52360" spans="7:7" ht="10.5" customHeight="1" x14ac:dyDescent="0.2">
      <c r="G52360" s="889"/>
    </row>
    <row r="52361" spans="7:7" ht="10.5" customHeight="1" x14ac:dyDescent="0.2">
      <c r="G52361" s="889"/>
    </row>
    <row r="52362" spans="7:7" ht="10.5" customHeight="1" x14ac:dyDescent="0.2">
      <c r="G52362" s="889"/>
    </row>
    <row r="52363" spans="7:7" ht="10.5" customHeight="1" x14ac:dyDescent="0.2">
      <c r="G52363" s="889"/>
    </row>
    <row r="52364" spans="7:7" ht="10.5" customHeight="1" x14ac:dyDescent="0.2">
      <c r="G52364" s="889"/>
    </row>
    <row r="52365" spans="7:7" ht="10.5" customHeight="1" x14ac:dyDescent="0.2">
      <c r="G52365" s="889"/>
    </row>
    <row r="52366" spans="7:7" ht="10.5" customHeight="1" x14ac:dyDescent="0.2">
      <c r="G52366" s="889"/>
    </row>
    <row r="52367" spans="7:7" ht="10.5" customHeight="1" x14ac:dyDescent="0.2">
      <c r="G52367" s="889"/>
    </row>
    <row r="52368" spans="7:7" ht="10.5" customHeight="1" x14ac:dyDescent="0.2">
      <c r="G52368" s="889"/>
    </row>
    <row r="52369" spans="7:7" ht="10.5" customHeight="1" x14ac:dyDescent="0.2">
      <c r="G52369" s="889"/>
    </row>
    <row r="52370" spans="7:7" ht="10.5" customHeight="1" x14ac:dyDescent="0.2">
      <c r="G52370" s="889"/>
    </row>
    <row r="52371" spans="7:7" ht="10.5" customHeight="1" x14ac:dyDescent="0.2">
      <c r="G52371" s="889"/>
    </row>
    <row r="52372" spans="7:7" ht="10.5" customHeight="1" x14ac:dyDescent="0.2">
      <c r="G52372" s="889"/>
    </row>
    <row r="52373" spans="7:7" ht="10.5" customHeight="1" x14ac:dyDescent="0.2">
      <c r="G52373" s="889"/>
    </row>
    <row r="52374" spans="7:7" ht="10.5" customHeight="1" x14ac:dyDescent="0.2">
      <c r="G52374" s="889"/>
    </row>
    <row r="52375" spans="7:7" ht="10.5" customHeight="1" x14ac:dyDescent="0.2">
      <c r="G52375" s="889"/>
    </row>
    <row r="52376" spans="7:7" ht="10.5" customHeight="1" x14ac:dyDescent="0.2">
      <c r="G52376" s="889"/>
    </row>
    <row r="52377" spans="7:7" ht="10.5" customHeight="1" x14ac:dyDescent="0.2">
      <c r="G52377" s="889"/>
    </row>
    <row r="52378" spans="7:7" ht="10.5" customHeight="1" x14ac:dyDescent="0.2">
      <c r="G52378" s="889"/>
    </row>
    <row r="52379" spans="7:7" ht="10.5" customHeight="1" x14ac:dyDescent="0.2">
      <c r="G52379" s="889"/>
    </row>
    <row r="52380" spans="7:7" ht="10.5" customHeight="1" x14ac:dyDescent="0.2">
      <c r="G52380" s="889"/>
    </row>
    <row r="52381" spans="7:7" ht="10.5" customHeight="1" x14ac:dyDescent="0.2">
      <c r="G52381" s="889"/>
    </row>
    <row r="52382" spans="7:7" ht="10.5" customHeight="1" x14ac:dyDescent="0.2">
      <c r="G52382" s="889"/>
    </row>
    <row r="52383" spans="7:7" ht="10.5" customHeight="1" x14ac:dyDescent="0.2">
      <c r="G52383" s="889"/>
    </row>
    <row r="52384" spans="7:7" ht="10.5" customHeight="1" x14ac:dyDescent="0.2">
      <c r="G52384" s="889"/>
    </row>
    <row r="52385" spans="7:7" ht="10.5" customHeight="1" x14ac:dyDescent="0.2">
      <c r="G52385" s="889"/>
    </row>
    <row r="52386" spans="7:7" ht="10.5" customHeight="1" x14ac:dyDescent="0.2">
      <c r="G52386" s="889"/>
    </row>
    <row r="52387" spans="7:7" ht="10.5" customHeight="1" x14ac:dyDescent="0.2">
      <c r="G52387" s="889"/>
    </row>
    <row r="52388" spans="7:7" ht="10.5" customHeight="1" x14ac:dyDescent="0.2">
      <c r="G52388" s="889"/>
    </row>
    <row r="52389" spans="7:7" ht="10.5" customHeight="1" x14ac:dyDescent="0.2">
      <c r="G52389" s="889"/>
    </row>
    <row r="52390" spans="7:7" ht="10.5" customHeight="1" x14ac:dyDescent="0.2">
      <c r="G52390" s="889"/>
    </row>
    <row r="52391" spans="7:7" ht="10.5" customHeight="1" x14ac:dyDescent="0.2">
      <c r="G52391" s="889"/>
    </row>
    <row r="52392" spans="7:7" ht="10.5" customHeight="1" x14ac:dyDescent="0.2">
      <c r="G52392" s="889"/>
    </row>
    <row r="52393" spans="7:7" ht="10.5" customHeight="1" x14ac:dyDescent="0.2">
      <c r="G52393" s="889"/>
    </row>
    <row r="52394" spans="7:7" ht="10.5" customHeight="1" x14ac:dyDescent="0.2">
      <c r="G52394" s="889"/>
    </row>
    <row r="52395" spans="7:7" ht="10.5" customHeight="1" x14ac:dyDescent="0.2">
      <c r="G52395" s="889"/>
    </row>
    <row r="52396" spans="7:7" ht="10.5" customHeight="1" x14ac:dyDescent="0.2">
      <c r="G52396" s="889"/>
    </row>
    <row r="52397" spans="7:7" ht="10.5" customHeight="1" x14ac:dyDescent="0.2">
      <c r="G52397" s="889"/>
    </row>
    <row r="52398" spans="7:7" ht="10.5" customHeight="1" x14ac:dyDescent="0.2">
      <c r="G52398" s="889"/>
    </row>
    <row r="52399" spans="7:7" ht="10.5" customHeight="1" x14ac:dyDescent="0.2">
      <c r="G52399" s="889"/>
    </row>
    <row r="52400" spans="7:7" ht="10.5" customHeight="1" x14ac:dyDescent="0.2">
      <c r="G52400" s="889"/>
    </row>
    <row r="52401" spans="7:7" ht="10.5" customHeight="1" x14ac:dyDescent="0.2">
      <c r="G52401" s="889"/>
    </row>
    <row r="52402" spans="7:7" ht="10.5" customHeight="1" x14ac:dyDescent="0.2">
      <c r="G52402" s="889"/>
    </row>
    <row r="52403" spans="7:7" ht="10.5" customHeight="1" x14ac:dyDescent="0.2">
      <c r="G52403" s="889"/>
    </row>
    <row r="52404" spans="7:7" ht="10.5" customHeight="1" x14ac:dyDescent="0.2">
      <c r="G52404" s="889"/>
    </row>
    <row r="52405" spans="7:7" ht="10.5" customHeight="1" x14ac:dyDescent="0.2">
      <c r="G52405" s="889"/>
    </row>
    <row r="52406" spans="7:7" ht="10.5" customHeight="1" x14ac:dyDescent="0.2">
      <c r="G52406" s="889"/>
    </row>
    <row r="52407" spans="7:7" ht="10.5" customHeight="1" x14ac:dyDescent="0.2">
      <c r="G52407" s="889"/>
    </row>
    <row r="52408" spans="7:7" ht="10.5" customHeight="1" x14ac:dyDescent="0.2">
      <c r="G52408" s="889"/>
    </row>
    <row r="52409" spans="7:7" ht="10.5" customHeight="1" x14ac:dyDescent="0.2">
      <c r="G52409" s="889"/>
    </row>
    <row r="52410" spans="7:7" ht="10.5" customHeight="1" x14ac:dyDescent="0.2">
      <c r="G52410" s="889"/>
    </row>
    <row r="52411" spans="7:7" ht="10.5" customHeight="1" x14ac:dyDescent="0.2">
      <c r="G52411" s="889"/>
    </row>
    <row r="52412" spans="7:7" ht="10.5" customHeight="1" x14ac:dyDescent="0.2">
      <c r="G52412" s="889"/>
    </row>
    <row r="52413" spans="7:7" ht="10.5" customHeight="1" x14ac:dyDescent="0.2">
      <c r="G52413" s="889"/>
    </row>
    <row r="52414" spans="7:7" ht="10.5" customHeight="1" x14ac:dyDescent="0.2">
      <c r="G52414" s="889"/>
    </row>
    <row r="52415" spans="7:7" ht="10.5" customHeight="1" x14ac:dyDescent="0.2">
      <c r="G52415" s="889"/>
    </row>
    <row r="52416" spans="7:7" ht="10.5" customHeight="1" x14ac:dyDescent="0.2">
      <c r="G52416" s="889"/>
    </row>
    <row r="52417" spans="7:7" ht="10.5" customHeight="1" x14ac:dyDescent="0.2">
      <c r="G52417" s="889"/>
    </row>
    <row r="52418" spans="7:7" ht="10.5" customHeight="1" x14ac:dyDescent="0.2">
      <c r="G52418" s="889"/>
    </row>
    <row r="52419" spans="7:7" ht="10.5" customHeight="1" x14ac:dyDescent="0.2">
      <c r="G52419" s="889"/>
    </row>
    <row r="52420" spans="7:7" ht="10.5" customHeight="1" x14ac:dyDescent="0.2">
      <c r="G52420" s="889"/>
    </row>
    <row r="52421" spans="7:7" ht="10.5" customHeight="1" x14ac:dyDescent="0.2">
      <c r="G52421" s="889"/>
    </row>
    <row r="52422" spans="7:7" ht="10.5" customHeight="1" x14ac:dyDescent="0.2">
      <c r="G52422" s="889"/>
    </row>
    <row r="52423" spans="7:7" ht="10.5" customHeight="1" x14ac:dyDescent="0.2">
      <c r="G52423" s="889"/>
    </row>
    <row r="52424" spans="7:7" ht="10.5" customHeight="1" x14ac:dyDescent="0.2">
      <c r="G52424" s="889"/>
    </row>
    <row r="52425" spans="7:7" ht="10.5" customHeight="1" x14ac:dyDescent="0.2">
      <c r="G52425" s="889"/>
    </row>
    <row r="52426" spans="7:7" ht="10.5" customHeight="1" x14ac:dyDescent="0.2">
      <c r="G52426" s="889"/>
    </row>
    <row r="52427" spans="7:7" ht="10.5" customHeight="1" x14ac:dyDescent="0.2">
      <c r="G52427" s="889"/>
    </row>
    <row r="52428" spans="7:7" ht="10.5" customHeight="1" x14ac:dyDescent="0.2">
      <c r="G52428" s="889"/>
    </row>
    <row r="52429" spans="7:7" ht="10.5" customHeight="1" x14ac:dyDescent="0.2">
      <c r="G52429" s="889"/>
    </row>
    <row r="52430" spans="7:7" ht="10.5" customHeight="1" x14ac:dyDescent="0.2">
      <c r="G52430" s="889"/>
    </row>
    <row r="52431" spans="7:7" ht="10.5" customHeight="1" x14ac:dyDescent="0.2">
      <c r="G52431" s="889"/>
    </row>
    <row r="52432" spans="7:7" ht="10.5" customHeight="1" x14ac:dyDescent="0.2">
      <c r="G52432" s="889"/>
    </row>
    <row r="52433" spans="7:7" ht="10.5" customHeight="1" x14ac:dyDescent="0.2">
      <c r="G52433" s="889"/>
    </row>
    <row r="52434" spans="7:7" ht="10.5" customHeight="1" x14ac:dyDescent="0.2">
      <c r="G52434" s="889"/>
    </row>
    <row r="52435" spans="7:7" ht="10.5" customHeight="1" x14ac:dyDescent="0.2">
      <c r="G52435" s="889"/>
    </row>
    <row r="52436" spans="7:7" ht="10.5" customHeight="1" x14ac:dyDescent="0.2">
      <c r="G52436" s="889"/>
    </row>
    <row r="52437" spans="7:7" ht="10.5" customHeight="1" x14ac:dyDescent="0.2">
      <c r="G52437" s="889"/>
    </row>
    <row r="52438" spans="7:7" ht="10.5" customHeight="1" x14ac:dyDescent="0.2">
      <c r="G52438" s="889"/>
    </row>
    <row r="52439" spans="7:7" ht="10.5" customHeight="1" x14ac:dyDescent="0.2">
      <c r="G52439" s="889"/>
    </row>
    <row r="52440" spans="7:7" ht="10.5" customHeight="1" x14ac:dyDescent="0.2">
      <c r="G52440" s="889"/>
    </row>
    <row r="52441" spans="7:7" ht="10.5" customHeight="1" x14ac:dyDescent="0.2">
      <c r="G52441" s="889"/>
    </row>
    <row r="52442" spans="7:7" ht="10.5" customHeight="1" x14ac:dyDescent="0.2">
      <c r="G52442" s="889"/>
    </row>
    <row r="52443" spans="7:7" ht="10.5" customHeight="1" x14ac:dyDescent="0.2">
      <c r="G52443" s="889"/>
    </row>
    <row r="52444" spans="7:7" ht="10.5" customHeight="1" x14ac:dyDescent="0.2">
      <c r="G52444" s="889"/>
    </row>
    <row r="52445" spans="7:7" ht="10.5" customHeight="1" x14ac:dyDescent="0.2">
      <c r="G52445" s="889"/>
    </row>
    <row r="52446" spans="7:7" ht="10.5" customHeight="1" x14ac:dyDescent="0.2">
      <c r="G52446" s="889"/>
    </row>
    <row r="52447" spans="7:7" ht="10.5" customHeight="1" x14ac:dyDescent="0.2">
      <c r="G52447" s="889"/>
    </row>
    <row r="52448" spans="7:7" ht="10.5" customHeight="1" x14ac:dyDescent="0.2">
      <c r="G52448" s="889"/>
    </row>
    <row r="52449" spans="7:7" ht="10.5" customHeight="1" x14ac:dyDescent="0.2">
      <c r="G52449" s="889"/>
    </row>
    <row r="52450" spans="7:7" ht="10.5" customHeight="1" x14ac:dyDescent="0.2">
      <c r="G52450" s="889"/>
    </row>
    <row r="52451" spans="7:7" ht="10.5" customHeight="1" x14ac:dyDescent="0.2">
      <c r="G52451" s="889"/>
    </row>
    <row r="52452" spans="7:7" ht="10.5" customHeight="1" x14ac:dyDescent="0.2">
      <c r="G52452" s="889"/>
    </row>
    <row r="52453" spans="7:7" ht="10.5" customHeight="1" x14ac:dyDescent="0.2">
      <c r="G52453" s="889"/>
    </row>
    <row r="52454" spans="7:7" ht="10.5" customHeight="1" x14ac:dyDescent="0.2">
      <c r="G52454" s="889"/>
    </row>
    <row r="52455" spans="7:7" ht="10.5" customHeight="1" x14ac:dyDescent="0.2">
      <c r="G52455" s="889"/>
    </row>
    <row r="52456" spans="7:7" ht="10.5" customHeight="1" x14ac:dyDescent="0.2">
      <c r="G52456" s="889"/>
    </row>
    <row r="52457" spans="7:7" ht="10.5" customHeight="1" x14ac:dyDescent="0.2">
      <c r="G52457" s="889"/>
    </row>
    <row r="52458" spans="7:7" ht="10.5" customHeight="1" x14ac:dyDescent="0.2">
      <c r="G52458" s="889"/>
    </row>
    <row r="52459" spans="7:7" ht="10.5" customHeight="1" x14ac:dyDescent="0.2">
      <c r="G52459" s="889"/>
    </row>
    <row r="52460" spans="7:7" ht="10.5" customHeight="1" x14ac:dyDescent="0.2">
      <c r="G52460" s="889"/>
    </row>
    <row r="52461" spans="7:7" ht="10.5" customHeight="1" x14ac:dyDescent="0.2">
      <c r="G52461" s="889"/>
    </row>
    <row r="52462" spans="7:7" ht="10.5" customHeight="1" x14ac:dyDescent="0.2">
      <c r="G52462" s="889"/>
    </row>
    <row r="52463" spans="7:7" ht="10.5" customHeight="1" x14ac:dyDescent="0.2">
      <c r="G52463" s="889"/>
    </row>
    <row r="52464" spans="7:7" ht="10.5" customHeight="1" x14ac:dyDescent="0.2">
      <c r="G52464" s="889"/>
    </row>
    <row r="52465" spans="7:7" ht="10.5" customHeight="1" x14ac:dyDescent="0.2">
      <c r="G52465" s="889"/>
    </row>
    <row r="52466" spans="7:7" ht="10.5" customHeight="1" x14ac:dyDescent="0.2">
      <c r="G52466" s="889"/>
    </row>
    <row r="52467" spans="7:7" ht="10.5" customHeight="1" x14ac:dyDescent="0.2">
      <c r="G52467" s="889"/>
    </row>
    <row r="52468" spans="7:7" ht="10.5" customHeight="1" x14ac:dyDescent="0.2">
      <c r="G52468" s="889"/>
    </row>
    <row r="52469" spans="7:7" ht="10.5" customHeight="1" x14ac:dyDescent="0.2">
      <c r="G52469" s="889"/>
    </row>
    <row r="52470" spans="7:7" ht="10.5" customHeight="1" x14ac:dyDescent="0.2">
      <c r="G52470" s="889"/>
    </row>
    <row r="52471" spans="7:7" ht="10.5" customHeight="1" x14ac:dyDescent="0.2">
      <c r="G52471" s="889"/>
    </row>
    <row r="52472" spans="7:7" ht="10.5" customHeight="1" x14ac:dyDescent="0.2">
      <c r="G52472" s="889"/>
    </row>
    <row r="52473" spans="7:7" ht="10.5" customHeight="1" x14ac:dyDescent="0.2">
      <c r="G52473" s="889"/>
    </row>
    <row r="52474" spans="7:7" ht="10.5" customHeight="1" x14ac:dyDescent="0.2">
      <c r="G52474" s="889"/>
    </row>
    <row r="52475" spans="7:7" ht="10.5" customHeight="1" x14ac:dyDescent="0.2">
      <c r="G52475" s="889"/>
    </row>
    <row r="52476" spans="7:7" ht="10.5" customHeight="1" x14ac:dyDescent="0.2">
      <c r="G52476" s="889"/>
    </row>
    <row r="52477" spans="7:7" ht="10.5" customHeight="1" x14ac:dyDescent="0.2">
      <c r="G52477" s="889"/>
    </row>
    <row r="52478" spans="7:7" ht="10.5" customHeight="1" x14ac:dyDescent="0.2">
      <c r="G52478" s="889"/>
    </row>
    <row r="52479" spans="7:7" ht="10.5" customHeight="1" x14ac:dyDescent="0.2">
      <c r="G52479" s="889"/>
    </row>
    <row r="52480" spans="7:7" ht="10.5" customHeight="1" x14ac:dyDescent="0.2">
      <c r="G52480" s="889"/>
    </row>
    <row r="52481" spans="7:7" ht="10.5" customHeight="1" x14ac:dyDescent="0.2">
      <c r="G52481" s="889"/>
    </row>
    <row r="52482" spans="7:7" ht="10.5" customHeight="1" x14ac:dyDescent="0.2">
      <c r="G52482" s="889"/>
    </row>
    <row r="52483" spans="7:7" ht="10.5" customHeight="1" x14ac:dyDescent="0.2">
      <c r="G52483" s="889"/>
    </row>
    <row r="52484" spans="7:7" ht="10.5" customHeight="1" x14ac:dyDescent="0.2">
      <c r="G52484" s="889"/>
    </row>
    <row r="52485" spans="7:7" ht="10.5" customHeight="1" x14ac:dyDescent="0.2">
      <c r="G52485" s="889"/>
    </row>
    <row r="52486" spans="7:7" ht="10.5" customHeight="1" x14ac:dyDescent="0.2">
      <c r="G52486" s="889"/>
    </row>
    <row r="52487" spans="7:7" ht="10.5" customHeight="1" x14ac:dyDescent="0.2">
      <c r="G52487" s="889"/>
    </row>
    <row r="52488" spans="7:7" ht="10.5" customHeight="1" x14ac:dyDescent="0.2">
      <c r="G52488" s="889"/>
    </row>
    <row r="52489" spans="7:7" ht="10.5" customHeight="1" x14ac:dyDescent="0.2">
      <c r="G52489" s="889"/>
    </row>
    <row r="52490" spans="7:7" ht="10.5" customHeight="1" x14ac:dyDescent="0.2">
      <c r="G52490" s="889"/>
    </row>
    <row r="52491" spans="7:7" ht="10.5" customHeight="1" x14ac:dyDescent="0.2">
      <c r="G52491" s="889"/>
    </row>
    <row r="52492" spans="7:7" ht="10.5" customHeight="1" x14ac:dyDescent="0.2">
      <c r="G52492" s="889"/>
    </row>
    <row r="52493" spans="7:7" ht="10.5" customHeight="1" x14ac:dyDescent="0.2">
      <c r="G52493" s="889"/>
    </row>
    <row r="52494" spans="7:7" ht="10.5" customHeight="1" x14ac:dyDescent="0.2">
      <c r="G52494" s="889"/>
    </row>
    <row r="52495" spans="7:7" ht="10.5" customHeight="1" x14ac:dyDescent="0.2">
      <c r="G52495" s="889"/>
    </row>
    <row r="52496" spans="7:7" ht="10.5" customHeight="1" x14ac:dyDescent="0.2">
      <c r="G52496" s="889"/>
    </row>
    <row r="52497" spans="7:7" ht="10.5" customHeight="1" x14ac:dyDescent="0.2">
      <c r="G52497" s="889"/>
    </row>
    <row r="52498" spans="7:7" ht="10.5" customHeight="1" x14ac:dyDescent="0.2">
      <c r="G52498" s="889"/>
    </row>
    <row r="52499" spans="7:7" ht="10.5" customHeight="1" x14ac:dyDescent="0.2">
      <c r="G52499" s="889"/>
    </row>
    <row r="52500" spans="7:7" ht="10.5" customHeight="1" x14ac:dyDescent="0.2">
      <c r="G52500" s="889"/>
    </row>
    <row r="52501" spans="7:7" ht="10.5" customHeight="1" x14ac:dyDescent="0.2">
      <c r="G52501" s="889"/>
    </row>
    <row r="52502" spans="7:7" ht="10.5" customHeight="1" x14ac:dyDescent="0.2">
      <c r="G52502" s="889"/>
    </row>
    <row r="52503" spans="7:7" ht="10.5" customHeight="1" x14ac:dyDescent="0.2">
      <c r="G52503" s="889"/>
    </row>
    <row r="52504" spans="7:7" ht="10.5" customHeight="1" x14ac:dyDescent="0.2">
      <c r="G52504" s="889"/>
    </row>
    <row r="52505" spans="7:7" ht="10.5" customHeight="1" x14ac:dyDescent="0.2">
      <c r="G52505" s="889"/>
    </row>
    <row r="52506" spans="7:7" ht="10.5" customHeight="1" x14ac:dyDescent="0.2">
      <c r="G52506" s="889"/>
    </row>
    <row r="52507" spans="7:7" ht="10.5" customHeight="1" x14ac:dyDescent="0.2">
      <c r="G52507" s="889"/>
    </row>
    <row r="52508" spans="7:7" ht="10.5" customHeight="1" x14ac:dyDescent="0.2">
      <c r="G52508" s="889"/>
    </row>
    <row r="52509" spans="7:7" ht="10.5" customHeight="1" x14ac:dyDescent="0.2">
      <c r="G52509" s="889"/>
    </row>
    <row r="52510" spans="7:7" ht="10.5" customHeight="1" x14ac:dyDescent="0.2">
      <c r="G52510" s="889"/>
    </row>
    <row r="52511" spans="7:7" ht="10.5" customHeight="1" x14ac:dyDescent="0.2">
      <c r="G52511" s="889"/>
    </row>
    <row r="52512" spans="7:7" ht="10.5" customHeight="1" x14ac:dyDescent="0.2">
      <c r="G52512" s="889"/>
    </row>
    <row r="52513" spans="7:7" ht="10.5" customHeight="1" x14ac:dyDescent="0.2">
      <c r="G52513" s="889"/>
    </row>
    <row r="52514" spans="7:7" ht="10.5" customHeight="1" x14ac:dyDescent="0.2">
      <c r="G52514" s="889"/>
    </row>
    <row r="52515" spans="7:7" ht="10.5" customHeight="1" x14ac:dyDescent="0.2">
      <c r="G52515" s="889"/>
    </row>
    <row r="52516" spans="7:7" ht="10.5" customHeight="1" x14ac:dyDescent="0.2">
      <c r="G52516" s="889"/>
    </row>
    <row r="52517" spans="7:7" ht="10.5" customHeight="1" x14ac:dyDescent="0.2">
      <c r="G52517" s="889"/>
    </row>
    <row r="52518" spans="7:7" ht="10.5" customHeight="1" x14ac:dyDescent="0.2">
      <c r="G52518" s="889"/>
    </row>
    <row r="52519" spans="7:7" ht="10.5" customHeight="1" x14ac:dyDescent="0.2">
      <c r="G52519" s="889"/>
    </row>
    <row r="52520" spans="7:7" ht="10.5" customHeight="1" x14ac:dyDescent="0.2">
      <c r="G52520" s="889"/>
    </row>
    <row r="52521" spans="7:7" ht="10.5" customHeight="1" x14ac:dyDescent="0.2">
      <c r="G52521" s="889"/>
    </row>
    <row r="52522" spans="7:7" ht="10.5" customHeight="1" x14ac:dyDescent="0.2">
      <c r="G52522" s="889"/>
    </row>
    <row r="52523" spans="7:7" ht="10.5" customHeight="1" x14ac:dyDescent="0.2">
      <c r="G52523" s="889"/>
    </row>
    <row r="52524" spans="7:7" ht="10.5" customHeight="1" x14ac:dyDescent="0.2">
      <c r="G52524" s="889"/>
    </row>
    <row r="52525" spans="7:7" ht="10.5" customHeight="1" x14ac:dyDescent="0.2">
      <c r="G52525" s="889"/>
    </row>
    <row r="52526" spans="7:7" ht="10.5" customHeight="1" x14ac:dyDescent="0.2">
      <c r="G52526" s="889"/>
    </row>
    <row r="52527" spans="7:7" ht="10.5" customHeight="1" x14ac:dyDescent="0.2">
      <c r="G52527" s="889"/>
    </row>
    <row r="52528" spans="7:7" ht="10.5" customHeight="1" x14ac:dyDescent="0.2">
      <c r="G52528" s="889"/>
    </row>
    <row r="52529" spans="7:7" ht="10.5" customHeight="1" x14ac:dyDescent="0.2">
      <c r="G52529" s="889"/>
    </row>
    <row r="52530" spans="7:7" ht="10.5" customHeight="1" x14ac:dyDescent="0.2">
      <c r="G52530" s="889"/>
    </row>
    <row r="52531" spans="7:7" ht="10.5" customHeight="1" x14ac:dyDescent="0.2">
      <c r="G52531" s="889"/>
    </row>
    <row r="52532" spans="7:7" ht="10.5" customHeight="1" x14ac:dyDescent="0.2">
      <c r="G52532" s="889"/>
    </row>
    <row r="52533" spans="7:7" ht="10.5" customHeight="1" x14ac:dyDescent="0.2">
      <c r="G52533" s="889"/>
    </row>
    <row r="52534" spans="7:7" ht="10.5" customHeight="1" x14ac:dyDescent="0.2">
      <c r="G52534" s="889"/>
    </row>
    <row r="52535" spans="7:7" ht="10.5" customHeight="1" x14ac:dyDescent="0.2">
      <c r="G52535" s="889"/>
    </row>
    <row r="52536" spans="7:7" ht="10.5" customHeight="1" x14ac:dyDescent="0.2">
      <c r="G52536" s="889"/>
    </row>
    <row r="52537" spans="7:7" ht="10.5" customHeight="1" x14ac:dyDescent="0.2">
      <c r="G52537" s="889"/>
    </row>
    <row r="52538" spans="7:7" ht="10.5" customHeight="1" x14ac:dyDescent="0.2">
      <c r="G52538" s="889"/>
    </row>
    <row r="52539" spans="7:7" ht="10.5" customHeight="1" x14ac:dyDescent="0.2">
      <c r="G52539" s="889"/>
    </row>
    <row r="52540" spans="7:7" ht="10.5" customHeight="1" x14ac:dyDescent="0.2">
      <c r="G52540" s="889"/>
    </row>
    <row r="52541" spans="7:7" ht="10.5" customHeight="1" x14ac:dyDescent="0.2">
      <c r="G52541" s="889"/>
    </row>
    <row r="52542" spans="7:7" ht="10.5" customHeight="1" x14ac:dyDescent="0.2">
      <c r="G52542" s="889"/>
    </row>
    <row r="52543" spans="7:7" ht="10.5" customHeight="1" x14ac:dyDescent="0.2">
      <c r="G52543" s="889"/>
    </row>
    <row r="52544" spans="7:7" ht="10.5" customHeight="1" x14ac:dyDescent="0.2">
      <c r="G52544" s="889"/>
    </row>
    <row r="52545" spans="7:7" ht="10.5" customHeight="1" x14ac:dyDescent="0.2">
      <c r="G52545" s="889"/>
    </row>
    <row r="52546" spans="7:7" ht="10.5" customHeight="1" x14ac:dyDescent="0.2">
      <c r="G52546" s="889"/>
    </row>
    <row r="52547" spans="7:7" ht="10.5" customHeight="1" x14ac:dyDescent="0.2">
      <c r="G52547" s="889"/>
    </row>
    <row r="52548" spans="7:7" ht="10.5" customHeight="1" x14ac:dyDescent="0.2">
      <c r="G52548" s="889"/>
    </row>
    <row r="52549" spans="7:7" ht="10.5" customHeight="1" x14ac:dyDescent="0.2">
      <c r="G52549" s="889"/>
    </row>
    <row r="52550" spans="7:7" ht="10.5" customHeight="1" x14ac:dyDescent="0.2">
      <c r="G52550" s="889"/>
    </row>
    <row r="52551" spans="7:7" ht="10.5" customHeight="1" x14ac:dyDescent="0.2">
      <c r="G52551" s="889"/>
    </row>
    <row r="52552" spans="7:7" ht="10.5" customHeight="1" x14ac:dyDescent="0.2">
      <c r="G52552" s="889"/>
    </row>
    <row r="52553" spans="7:7" ht="10.5" customHeight="1" x14ac:dyDescent="0.2">
      <c r="G52553" s="889"/>
    </row>
    <row r="52554" spans="7:7" ht="10.5" customHeight="1" x14ac:dyDescent="0.2">
      <c r="G52554" s="889"/>
    </row>
    <row r="52555" spans="7:7" ht="10.5" customHeight="1" x14ac:dyDescent="0.2">
      <c r="G52555" s="889"/>
    </row>
    <row r="52556" spans="7:7" ht="10.5" customHeight="1" x14ac:dyDescent="0.2">
      <c r="G52556" s="889"/>
    </row>
    <row r="52557" spans="7:7" ht="10.5" customHeight="1" x14ac:dyDescent="0.2">
      <c r="G52557" s="889"/>
    </row>
    <row r="52558" spans="7:7" ht="10.5" customHeight="1" x14ac:dyDescent="0.2">
      <c r="G52558" s="889"/>
    </row>
    <row r="52559" spans="7:7" ht="10.5" customHeight="1" x14ac:dyDescent="0.2">
      <c r="G52559" s="889"/>
    </row>
    <row r="52560" spans="7:7" ht="10.5" customHeight="1" x14ac:dyDescent="0.2">
      <c r="G52560" s="889"/>
    </row>
    <row r="52561" spans="7:7" ht="10.5" customHeight="1" x14ac:dyDescent="0.2">
      <c r="G52561" s="889"/>
    </row>
    <row r="52562" spans="7:7" ht="10.5" customHeight="1" x14ac:dyDescent="0.2">
      <c r="G52562" s="889"/>
    </row>
    <row r="52563" spans="7:7" ht="10.5" customHeight="1" x14ac:dyDescent="0.2">
      <c r="G52563" s="889"/>
    </row>
    <row r="52564" spans="7:7" ht="10.5" customHeight="1" x14ac:dyDescent="0.2">
      <c r="G52564" s="889"/>
    </row>
    <row r="52565" spans="7:7" ht="10.5" customHeight="1" x14ac:dyDescent="0.2">
      <c r="G52565" s="889"/>
    </row>
    <row r="52566" spans="7:7" ht="10.5" customHeight="1" x14ac:dyDescent="0.2">
      <c r="G52566" s="889"/>
    </row>
    <row r="52567" spans="7:7" ht="10.5" customHeight="1" x14ac:dyDescent="0.2">
      <c r="G52567" s="889"/>
    </row>
    <row r="52568" spans="7:7" ht="10.5" customHeight="1" x14ac:dyDescent="0.2">
      <c r="G52568" s="889"/>
    </row>
    <row r="52569" spans="7:7" ht="10.5" customHeight="1" x14ac:dyDescent="0.2">
      <c r="G52569" s="889"/>
    </row>
    <row r="52570" spans="7:7" ht="10.5" customHeight="1" x14ac:dyDescent="0.2">
      <c r="G52570" s="889"/>
    </row>
    <row r="52571" spans="7:7" ht="10.5" customHeight="1" x14ac:dyDescent="0.2">
      <c r="G52571" s="889"/>
    </row>
    <row r="52572" spans="7:7" ht="10.5" customHeight="1" x14ac:dyDescent="0.2">
      <c r="G52572" s="889"/>
    </row>
    <row r="52573" spans="7:7" ht="10.5" customHeight="1" x14ac:dyDescent="0.2">
      <c r="G52573" s="889"/>
    </row>
    <row r="52574" spans="7:7" ht="10.5" customHeight="1" x14ac:dyDescent="0.2">
      <c r="G52574" s="889"/>
    </row>
    <row r="52575" spans="7:7" ht="10.5" customHeight="1" x14ac:dyDescent="0.2">
      <c r="G52575" s="889"/>
    </row>
    <row r="52576" spans="7:7" ht="10.5" customHeight="1" x14ac:dyDescent="0.2">
      <c r="G52576" s="889"/>
    </row>
    <row r="52577" spans="7:7" ht="10.5" customHeight="1" x14ac:dyDescent="0.2">
      <c r="G52577" s="889"/>
    </row>
    <row r="52578" spans="7:7" ht="10.5" customHeight="1" x14ac:dyDescent="0.2">
      <c r="G52578" s="889"/>
    </row>
    <row r="52579" spans="7:7" ht="10.5" customHeight="1" x14ac:dyDescent="0.2">
      <c r="G52579" s="889"/>
    </row>
    <row r="52580" spans="7:7" ht="10.5" customHeight="1" x14ac:dyDescent="0.2">
      <c r="G52580" s="889"/>
    </row>
    <row r="52581" spans="7:7" ht="10.5" customHeight="1" x14ac:dyDescent="0.2">
      <c r="G52581" s="889"/>
    </row>
    <row r="52582" spans="7:7" ht="10.5" customHeight="1" x14ac:dyDescent="0.2">
      <c r="G52582" s="889"/>
    </row>
    <row r="52583" spans="7:7" ht="10.5" customHeight="1" x14ac:dyDescent="0.2">
      <c r="G52583" s="889"/>
    </row>
    <row r="52584" spans="7:7" ht="10.5" customHeight="1" x14ac:dyDescent="0.2">
      <c r="G52584" s="889"/>
    </row>
    <row r="52585" spans="7:7" ht="10.5" customHeight="1" x14ac:dyDescent="0.2">
      <c r="G52585" s="889"/>
    </row>
    <row r="52586" spans="7:7" ht="10.5" customHeight="1" x14ac:dyDescent="0.2">
      <c r="G52586" s="889"/>
    </row>
    <row r="52587" spans="7:7" ht="10.5" customHeight="1" x14ac:dyDescent="0.2">
      <c r="G52587" s="889"/>
    </row>
    <row r="52588" spans="7:7" ht="10.5" customHeight="1" x14ac:dyDescent="0.2">
      <c r="G52588" s="889"/>
    </row>
    <row r="52589" spans="7:7" ht="10.5" customHeight="1" x14ac:dyDescent="0.2">
      <c r="G52589" s="889"/>
    </row>
    <row r="52590" spans="7:7" ht="10.5" customHeight="1" x14ac:dyDescent="0.2">
      <c r="G52590" s="889"/>
    </row>
    <row r="52591" spans="7:7" ht="10.5" customHeight="1" x14ac:dyDescent="0.2">
      <c r="G52591" s="889"/>
    </row>
    <row r="52592" spans="7:7" ht="10.5" customHeight="1" x14ac:dyDescent="0.2">
      <c r="G52592" s="889"/>
    </row>
    <row r="52593" spans="7:7" ht="10.5" customHeight="1" x14ac:dyDescent="0.2">
      <c r="G52593" s="889"/>
    </row>
    <row r="52594" spans="7:7" ht="10.5" customHeight="1" x14ac:dyDescent="0.2">
      <c r="G52594" s="889"/>
    </row>
    <row r="52595" spans="7:7" ht="10.5" customHeight="1" x14ac:dyDescent="0.2">
      <c r="G52595" s="889"/>
    </row>
    <row r="52596" spans="7:7" ht="10.5" customHeight="1" x14ac:dyDescent="0.2">
      <c r="G52596" s="889"/>
    </row>
    <row r="52597" spans="7:7" ht="10.5" customHeight="1" x14ac:dyDescent="0.2">
      <c r="G52597" s="889"/>
    </row>
    <row r="52598" spans="7:7" ht="10.5" customHeight="1" x14ac:dyDescent="0.2">
      <c r="G52598" s="889"/>
    </row>
    <row r="52599" spans="7:7" ht="10.5" customHeight="1" x14ac:dyDescent="0.2">
      <c r="G52599" s="889"/>
    </row>
    <row r="52600" spans="7:7" ht="10.5" customHeight="1" x14ac:dyDescent="0.2">
      <c r="G52600" s="889"/>
    </row>
    <row r="52601" spans="7:7" ht="10.5" customHeight="1" x14ac:dyDescent="0.2">
      <c r="G52601" s="889"/>
    </row>
    <row r="52602" spans="7:7" ht="10.5" customHeight="1" x14ac:dyDescent="0.2">
      <c r="G52602" s="889"/>
    </row>
    <row r="52603" spans="7:7" ht="10.5" customHeight="1" x14ac:dyDescent="0.2">
      <c r="G52603" s="889"/>
    </row>
    <row r="52604" spans="7:7" ht="10.5" customHeight="1" x14ac:dyDescent="0.2">
      <c r="G52604" s="889"/>
    </row>
    <row r="52605" spans="7:7" ht="10.5" customHeight="1" x14ac:dyDescent="0.2">
      <c r="G52605" s="889"/>
    </row>
    <row r="52606" spans="7:7" ht="10.5" customHeight="1" x14ac:dyDescent="0.2">
      <c r="G52606" s="889"/>
    </row>
    <row r="52607" spans="7:7" ht="10.5" customHeight="1" x14ac:dyDescent="0.2">
      <c r="G52607" s="889"/>
    </row>
    <row r="52608" spans="7:7" ht="10.5" customHeight="1" x14ac:dyDescent="0.2">
      <c r="G52608" s="889"/>
    </row>
    <row r="52609" spans="7:7" ht="10.5" customHeight="1" x14ac:dyDescent="0.2">
      <c r="G52609" s="889"/>
    </row>
    <row r="52610" spans="7:7" ht="10.5" customHeight="1" x14ac:dyDescent="0.2">
      <c r="G52610" s="889"/>
    </row>
    <row r="52611" spans="7:7" ht="10.5" customHeight="1" x14ac:dyDescent="0.2">
      <c r="G52611" s="889"/>
    </row>
    <row r="52612" spans="7:7" ht="10.5" customHeight="1" x14ac:dyDescent="0.2">
      <c r="G52612" s="889"/>
    </row>
    <row r="52613" spans="7:7" ht="10.5" customHeight="1" x14ac:dyDescent="0.2">
      <c r="G52613" s="889"/>
    </row>
    <row r="52614" spans="7:7" ht="10.5" customHeight="1" x14ac:dyDescent="0.2">
      <c r="G52614" s="889"/>
    </row>
    <row r="52615" spans="7:7" ht="10.5" customHeight="1" x14ac:dyDescent="0.2">
      <c r="G52615" s="889"/>
    </row>
    <row r="52616" spans="7:7" ht="10.5" customHeight="1" x14ac:dyDescent="0.2">
      <c r="G52616" s="889"/>
    </row>
    <row r="52617" spans="7:7" ht="10.5" customHeight="1" x14ac:dyDescent="0.2">
      <c r="G52617" s="889"/>
    </row>
    <row r="52618" spans="7:7" ht="10.5" customHeight="1" x14ac:dyDescent="0.2">
      <c r="G52618" s="889"/>
    </row>
    <row r="52619" spans="7:7" ht="10.5" customHeight="1" x14ac:dyDescent="0.2">
      <c r="G52619" s="889"/>
    </row>
    <row r="52620" spans="7:7" ht="10.5" customHeight="1" x14ac:dyDescent="0.2">
      <c r="G52620" s="889"/>
    </row>
    <row r="52621" spans="7:7" ht="10.5" customHeight="1" x14ac:dyDescent="0.2">
      <c r="G52621" s="889"/>
    </row>
    <row r="52622" spans="7:7" ht="10.5" customHeight="1" x14ac:dyDescent="0.2">
      <c r="G52622" s="889"/>
    </row>
    <row r="52623" spans="7:7" ht="10.5" customHeight="1" x14ac:dyDescent="0.2">
      <c r="G52623" s="889"/>
    </row>
    <row r="52624" spans="7:7" ht="10.5" customHeight="1" x14ac:dyDescent="0.2">
      <c r="G52624" s="889"/>
    </row>
    <row r="52625" spans="7:7" ht="10.5" customHeight="1" x14ac:dyDescent="0.2">
      <c r="G52625" s="889"/>
    </row>
    <row r="52626" spans="7:7" ht="10.5" customHeight="1" x14ac:dyDescent="0.2">
      <c r="G52626" s="889"/>
    </row>
    <row r="52627" spans="7:7" ht="10.5" customHeight="1" x14ac:dyDescent="0.2">
      <c r="G52627" s="889"/>
    </row>
    <row r="52628" spans="7:7" ht="10.5" customHeight="1" x14ac:dyDescent="0.2">
      <c r="G52628" s="889"/>
    </row>
    <row r="52629" spans="7:7" ht="10.5" customHeight="1" x14ac:dyDescent="0.2">
      <c r="G52629" s="889"/>
    </row>
    <row r="52630" spans="7:7" ht="10.5" customHeight="1" x14ac:dyDescent="0.2">
      <c r="G52630" s="889"/>
    </row>
    <row r="52631" spans="7:7" ht="10.5" customHeight="1" x14ac:dyDescent="0.2">
      <c r="G52631" s="889"/>
    </row>
    <row r="52632" spans="7:7" ht="10.5" customHeight="1" x14ac:dyDescent="0.2">
      <c r="G52632" s="889"/>
    </row>
    <row r="52633" spans="7:7" ht="10.5" customHeight="1" x14ac:dyDescent="0.2">
      <c r="G52633" s="889"/>
    </row>
    <row r="52634" spans="7:7" ht="10.5" customHeight="1" x14ac:dyDescent="0.2">
      <c r="G52634" s="889"/>
    </row>
    <row r="52635" spans="7:7" ht="10.5" customHeight="1" x14ac:dyDescent="0.2">
      <c r="G52635" s="889"/>
    </row>
    <row r="52636" spans="7:7" ht="10.5" customHeight="1" x14ac:dyDescent="0.2">
      <c r="G52636" s="889"/>
    </row>
    <row r="52637" spans="7:7" ht="10.5" customHeight="1" x14ac:dyDescent="0.2">
      <c r="G52637" s="889"/>
    </row>
    <row r="52638" spans="7:7" ht="10.5" customHeight="1" x14ac:dyDescent="0.2">
      <c r="G52638" s="889"/>
    </row>
    <row r="52639" spans="7:7" ht="10.5" customHeight="1" x14ac:dyDescent="0.2">
      <c r="G52639" s="889"/>
    </row>
    <row r="52640" spans="7:7" ht="10.5" customHeight="1" x14ac:dyDescent="0.2">
      <c r="G52640" s="889"/>
    </row>
    <row r="52641" spans="7:7" ht="10.5" customHeight="1" x14ac:dyDescent="0.2">
      <c r="G52641" s="889"/>
    </row>
    <row r="52642" spans="7:7" ht="10.5" customHeight="1" x14ac:dyDescent="0.2">
      <c r="G52642" s="889"/>
    </row>
    <row r="52643" spans="7:7" ht="10.5" customHeight="1" x14ac:dyDescent="0.2">
      <c r="G52643" s="889"/>
    </row>
    <row r="52644" spans="7:7" ht="10.5" customHeight="1" x14ac:dyDescent="0.2">
      <c r="G52644" s="889"/>
    </row>
    <row r="52645" spans="7:7" ht="10.5" customHeight="1" x14ac:dyDescent="0.2">
      <c r="G52645" s="889"/>
    </row>
    <row r="52646" spans="7:7" ht="10.5" customHeight="1" x14ac:dyDescent="0.2">
      <c r="G52646" s="889"/>
    </row>
    <row r="52647" spans="7:7" ht="10.5" customHeight="1" x14ac:dyDescent="0.2">
      <c r="G52647" s="889"/>
    </row>
    <row r="52648" spans="7:7" ht="10.5" customHeight="1" x14ac:dyDescent="0.2">
      <c r="G52648" s="889"/>
    </row>
    <row r="52649" spans="7:7" ht="10.5" customHeight="1" x14ac:dyDescent="0.2">
      <c r="G52649" s="889"/>
    </row>
    <row r="52650" spans="7:7" ht="10.5" customHeight="1" x14ac:dyDescent="0.2">
      <c r="G52650" s="889"/>
    </row>
    <row r="52651" spans="7:7" ht="10.5" customHeight="1" x14ac:dyDescent="0.2">
      <c r="G52651" s="889"/>
    </row>
    <row r="52652" spans="7:7" ht="10.5" customHeight="1" x14ac:dyDescent="0.2">
      <c r="G52652" s="889"/>
    </row>
    <row r="52653" spans="7:7" ht="10.5" customHeight="1" x14ac:dyDescent="0.2">
      <c r="G52653" s="889"/>
    </row>
    <row r="52654" spans="7:7" ht="10.5" customHeight="1" x14ac:dyDescent="0.2">
      <c r="G52654" s="889"/>
    </row>
    <row r="52655" spans="7:7" ht="10.5" customHeight="1" x14ac:dyDescent="0.2">
      <c r="G52655" s="889"/>
    </row>
    <row r="52656" spans="7:7" ht="10.5" customHeight="1" x14ac:dyDescent="0.2">
      <c r="G52656" s="889"/>
    </row>
    <row r="52657" spans="7:7" ht="10.5" customHeight="1" x14ac:dyDescent="0.2">
      <c r="G52657" s="889"/>
    </row>
    <row r="52658" spans="7:7" ht="10.5" customHeight="1" x14ac:dyDescent="0.2">
      <c r="G52658" s="889"/>
    </row>
    <row r="52659" spans="7:7" ht="10.5" customHeight="1" x14ac:dyDescent="0.2">
      <c r="G52659" s="889"/>
    </row>
    <row r="52660" spans="7:7" ht="10.5" customHeight="1" x14ac:dyDescent="0.2">
      <c r="G52660" s="889"/>
    </row>
    <row r="52661" spans="7:7" ht="10.5" customHeight="1" x14ac:dyDescent="0.2">
      <c r="G52661" s="889"/>
    </row>
    <row r="52662" spans="7:7" ht="10.5" customHeight="1" x14ac:dyDescent="0.2">
      <c r="G52662" s="889"/>
    </row>
    <row r="52663" spans="7:7" ht="10.5" customHeight="1" x14ac:dyDescent="0.2">
      <c r="G52663" s="889"/>
    </row>
    <row r="52664" spans="7:7" ht="10.5" customHeight="1" x14ac:dyDescent="0.2">
      <c r="G52664" s="889"/>
    </row>
    <row r="52665" spans="7:7" ht="10.5" customHeight="1" x14ac:dyDescent="0.2">
      <c r="G52665" s="889"/>
    </row>
    <row r="52666" spans="7:7" ht="10.5" customHeight="1" x14ac:dyDescent="0.2">
      <c r="G52666" s="889"/>
    </row>
    <row r="52667" spans="7:7" ht="10.5" customHeight="1" x14ac:dyDescent="0.2">
      <c r="G52667" s="889"/>
    </row>
    <row r="52668" spans="7:7" ht="10.5" customHeight="1" x14ac:dyDescent="0.2">
      <c r="G52668" s="889"/>
    </row>
    <row r="52669" spans="7:7" ht="10.5" customHeight="1" x14ac:dyDescent="0.2">
      <c r="G52669" s="889"/>
    </row>
    <row r="52670" spans="7:7" ht="10.5" customHeight="1" x14ac:dyDescent="0.2">
      <c r="G52670" s="889"/>
    </row>
    <row r="52671" spans="7:7" ht="10.5" customHeight="1" x14ac:dyDescent="0.2">
      <c r="G52671" s="889"/>
    </row>
    <row r="52672" spans="7:7" ht="10.5" customHeight="1" x14ac:dyDescent="0.2">
      <c r="G52672" s="889"/>
    </row>
    <row r="52673" spans="7:7" ht="10.5" customHeight="1" x14ac:dyDescent="0.2">
      <c r="G52673" s="889"/>
    </row>
    <row r="52674" spans="7:7" ht="10.5" customHeight="1" x14ac:dyDescent="0.2">
      <c r="G52674" s="889"/>
    </row>
    <row r="52675" spans="7:7" ht="10.5" customHeight="1" x14ac:dyDescent="0.2">
      <c r="G52675" s="889"/>
    </row>
    <row r="52676" spans="7:7" ht="10.5" customHeight="1" x14ac:dyDescent="0.2">
      <c r="G52676" s="889"/>
    </row>
    <row r="52677" spans="7:7" ht="10.5" customHeight="1" x14ac:dyDescent="0.2">
      <c r="G52677" s="889"/>
    </row>
    <row r="52678" spans="7:7" ht="10.5" customHeight="1" x14ac:dyDescent="0.2">
      <c r="G52678" s="889"/>
    </row>
    <row r="52679" spans="7:7" ht="10.5" customHeight="1" x14ac:dyDescent="0.2">
      <c r="G52679" s="889"/>
    </row>
    <row r="52680" spans="7:7" ht="10.5" customHeight="1" x14ac:dyDescent="0.2">
      <c r="G52680" s="889"/>
    </row>
    <row r="52681" spans="7:7" ht="10.5" customHeight="1" x14ac:dyDescent="0.2">
      <c r="G52681" s="889"/>
    </row>
    <row r="52682" spans="7:7" ht="10.5" customHeight="1" x14ac:dyDescent="0.2">
      <c r="G52682" s="889"/>
    </row>
    <row r="52683" spans="7:7" ht="10.5" customHeight="1" x14ac:dyDescent="0.2">
      <c r="G52683" s="889"/>
    </row>
    <row r="52684" spans="7:7" ht="10.5" customHeight="1" x14ac:dyDescent="0.2">
      <c r="G52684" s="889"/>
    </row>
    <row r="52685" spans="7:7" ht="10.5" customHeight="1" x14ac:dyDescent="0.2">
      <c r="G52685" s="889"/>
    </row>
    <row r="52686" spans="7:7" ht="10.5" customHeight="1" x14ac:dyDescent="0.2">
      <c r="G52686" s="889"/>
    </row>
    <row r="52687" spans="7:7" ht="10.5" customHeight="1" x14ac:dyDescent="0.2">
      <c r="G52687" s="889"/>
    </row>
    <row r="52688" spans="7:7" ht="10.5" customHeight="1" x14ac:dyDescent="0.2">
      <c r="G52688" s="889"/>
    </row>
    <row r="52689" spans="7:7" ht="10.5" customHeight="1" x14ac:dyDescent="0.2">
      <c r="G52689" s="889"/>
    </row>
    <row r="52690" spans="7:7" ht="10.5" customHeight="1" x14ac:dyDescent="0.2">
      <c r="G52690" s="889"/>
    </row>
    <row r="52691" spans="7:7" ht="10.5" customHeight="1" x14ac:dyDescent="0.2">
      <c r="G52691" s="889"/>
    </row>
    <row r="52692" spans="7:7" ht="10.5" customHeight="1" x14ac:dyDescent="0.2">
      <c r="G52692" s="889"/>
    </row>
    <row r="52693" spans="7:7" ht="10.5" customHeight="1" x14ac:dyDescent="0.2">
      <c r="G52693" s="889"/>
    </row>
    <row r="52694" spans="7:7" ht="10.5" customHeight="1" x14ac:dyDescent="0.2">
      <c r="G52694" s="889"/>
    </row>
    <row r="52695" spans="7:7" ht="10.5" customHeight="1" x14ac:dyDescent="0.2">
      <c r="G52695" s="889"/>
    </row>
    <row r="52696" spans="7:7" ht="10.5" customHeight="1" x14ac:dyDescent="0.2">
      <c r="G52696" s="889"/>
    </row>
    <row r="52697" spans="7:7" ht="10.5" customHeight="1" x14ac:dyDescent="0.2">
      <c r="G52697" s="889"/>
    </row>
    <row r="52698" spans="7:7" ht="10.5" customHeight="1" x14ac:dyDescent="0.2">
      <c r="G52698" s="889"/>
    </row>
    <row r="52699" spans="7:7" ht="10.5" customHeight="1" x14ac:dyDescent="0.2">
      <c r="G52699" s="889"/>
    </row>
    <row r="52700" spans="7:7" ht="10.5" customHeight="1" x14ac:dyDescent="0.2">
      <c r="G52700" s="889"/>
    </row>
    <row r="52701" spans="7:7" ht="10.5" customHeight="1" x14ac:dyDescent="0.2">
      <c r="G52701" s="889"/>
    </row>
    <row r="52702" spans="7:7" ht="10.5" customHeight="1" x14ac:dyDescent="0.2">
      <c r="G52702" s="889"/>
    </row>
    <row r="52703" spans="7:7" ht="10.5" customHeight="1" x14ac:dyDescent="0.2">
      <c r="G52703" s="889"/>
    </row>
    <row r="52704" spans="7:7" ht="10.5" customHeight="1" x14ac:dyDescent="0.2">
      <c r="G52704" s="889"/>
    </row>
    <row r="52705" spans="7:7" ht="10.5" customHeight="1" x14ac:dyDescent="0.2">
      <c r="G52705" s="889"/>
    </row>
    <row r="52706" spans="7:7" ht="10.5" customHeight="1" x14ac:dyDescent="0.2">
      <c r="G52706" s="889"/>
    </row>
    <row r="52707" spans="7:7" ht="10.5" customHeight="1" x14ac:dyDescent="0.2">
      <c r="G52707" s="889"/>
    </row>
    <row r="52708" spans="7:7" ht="10.5" customHeight="1" x14ac:dyDescent="0.2">
      <c r="G52708" s="889"/>
    </row>
    <row r="52709" spans="7:7" ht="10.5" customHeight="1" x14ac:dyDescent="0.2">
      <c r="G52709" s="889"/>
    </row>
    <row r="52710" spans="7:7" ht="10.5" customHeight="1" x14ac:dyDescent="0.2">
      <c r="G52710" s="889"/>
    </row>
    <row r="52711" spans="7:7" ht="10.5" customHeight="1" x14ac:dyDescent="0.2">
      <c r="G52711" s="889"/>
    </row>
    <row r="52712" spans="7:7" ht="10.5" customHeight="1" x14ac:dyDescent="0.2">
      <c r="G52712" s="889"/>
    </row>
    <row r="52713" spans="7:7" ht="10.5" customHeight="1" x14ac:dyDescent="0.2">
      <c r="G52713" s="889"/>
    </row>
    <row r="52714" spans="7:7" ht="10.5" customHeight="1" x14ac:dyDescent="0.2">
      <c r="G52714" s="889"/>
    </row>
    <row r="52715" spans="7:7" ht="10.5" customHeight="1" x14ac:dyDescent="0.2">
      <c r="G52715" s="889"/>
    </row>
    <row r="52716" spans="7:7" ht="10.5" customHeight="1" x14ac:dyDescent="0.2">
      <c r="G52716" s="889"/>
    </row>
    <row r="52717" spans="7:7" ht="10.5" customHeight="1" x14ac:dyDescent="0.2">
      <c r="G52717" s="889"/>
    </row>
    <row r="52718" spans="7:7" ht="10.5" customHeight="1" x14ac:dyDescent="0.2">
      <c r="G52718" s="889"/>
    </row>
    <row r="52719" spans="7:7" ht="10.5" customHeight="1" x14ac:dyDescent="0.2">
      <c r="G52719" s="889"/>
    </row>
    <row r="52720" spans="7:7" ht="10.5" customHeight="1" x14ac:dyDescent="0.2">
      <c r="G52720" s="889"/>
    </row>
    <row r="52721" spans="7:7" ht="10.5" customHeight="1" x14ac:dyDescent="0.2">
      <c r="G52721" s="889"/>
    </row>
    <row r="52722" spans="7:7" ht="10.5" customHeight="1" x14ac:dyDescent="0.2">
      <c r="G52722" s="889"/>
    </row>
    <row r="52723" spans="7:7" ht="10.5" customHeight="1" x14ac:dyDescent="0.2">
      <c r="G52723" s="889"/>
    </row>
    <row r="52724" spans="7:7" ht="10.5" customHeight="1" x14ac:dyDescent="0.2">
      <c r="G52724" s="889"/>
    </row>
    <row r="52725" spans="7:7" ht="10.5" customHeight="1" x14ac:dyDescent="0.2">
      <c r="G52725" s="889"/>
    </row>
    <row r="52726" spans="7:7" ht="10.5" customHeight="1" x14ac:dyDescent="0.2">
      <c r="G52726" s="889"/>
    </row>
    <row r="52727" spans="7:7" ht="10.5" customHeight="1" x14ac:dyDescent="0.2">
      <c r="G52727" s="889"/>
    </row>
    <row r="52728" spans="7:7" ht="10.5" customHeight="1" x14ac:dyDescent="0.2">
      <c r="G52728" s="889"/>
    </row>
    <row r="52729" spans="7:7" ht="10.5" customHeight="1" x14ac:dyDescent="0.2">
      <c r="G52729" s="889"/>
    </row>
    <row r="52730" spans="7:7" ht="10.5" customHeight="1" x14ac:dyDescent="0.2">
      <c r="G52730" s="889"/>
    </row>
    <row r="52731" spans="7:7" ht="10.5" customHeight="1" x14ac:dyDescent="0.2">
      <c r="G52731" s="889"/>
    </row>
    <row r="52732" spans="7:7" ht="10.5" customHeight="1" x14ac:dyDescent="0.2">
      <c r="G52732" s="889"/>
    </row>
    <row r="52733" spans="7:7" ht="10.5" customHeight="1" x14ac:dyDescent="0.2">
      <c r="G52733" s="889"/>
    </row>
    <row r="52734" spans="7:7" ht="10.5" customHeight="1" x14ac:dyDescent="0.2">
      <c r="G52734" s="889"/>
    </row>
    <row r="52735" spans="7:7" ht="10.5" customHeight="1" x14ac:dyDescent="0.2">
      <c r="G52735" s="889"/>
    </row>
    <row r="52736" spans="7:7" ht="10.5" customHeight="1" x14ac:dyDescent="0.2">
      <c r="G52736" s="889"/>
    </row>
    <row r="52737" spans="7:7" ht="10.5" customHeight="1" x14ac:dyDescent="0.2">
      <c r="G52737" s="889"/>
    </row>
    <row r="52738" spans="7:7" ht="10.5" customHeight="1" x14ac:dyDescent="0.2">
      <c r="G52738" s="889"/>
    </row>
    <row r="52739" spans="7:7" ht="10.5" customHeight="1" x14ac:dyDescent="0.2">
      <c r="G52739" s="889"/>
    </row>
    <row r="52740" spans="7:7" ht="10.5" customHeight="1" x14ac:dyDescent="0.2">
      <c r="G52740" s="889"/>
    </row>
    <row r="52741" spans="7:7" ht="10.5" customHeight="1" x14ac:dyDescent="0.2">
      <c r="G52741" s="889"/>
    </row>
    <row r="52742" spans="7:7" ht="10.5" customHeight="1" x14ac:dyDescent="0.2">
      <c r="G52742" s="889"/>
    </row>
    <row r="52743" spans="7:7" ht="10.5" customHeight="1" x14ac:dyDescent="0.2">
      <c r="G52743" s="889"/>
    </row>
    <row r="52744" spans="7:7" ht="10.5" customHeight="1" x14ac:dyDescent="0.2">
      <c r="G52744" s="889"/>
    </row>
    <row r="52745" spans="7:7" ht="10.5" customHeight="1" x14ac:dyDescent="0.2">
      <c r="G52745" s="889"/>
    </row>
    <row r="52746" spans="7:7" ht="10.5" customHeight="1" x14ac:dyDescent="0.2">
      <c r="G52746" s="889"/>
    </row>
    <row r="52747" spans="7:7" ht="10.5" customHeight="1" x14ac:dyDescent="0.2">
      <c r="G52747" s="889"/>
    </row>
    <row r="52748" spans="7:7" ht="10.5" customHeight="1" x14ac:dyDescent="0.2">
      <c r="G52748" s="889"/>
    </row>
    <row r="52749" spans="7:7" ht="10.5" customHeight="1" x14ac:dyDescent="0.2">
      <c r="G52749" s="889"/>
    </row>
    <row r="52750" spans="7:7" ht="10.5" customHeight="1" x14ac:dyDescent="0.2">
      <c r="G52750" s="889"/>
    </row>
    <row r="52751" spans="7:7" ht="10.5" customHeight="1" x14ac:dyDescent="0.2">
      <c r="G52751" s="889"/>
    </row>
    <row r="52752" spans="7:7" ht="10.5" customHeight="1" x14ac:dyDescent="0.2">
      <c r="G52752" s="889"/>
    </row>
    <row r="52753" spans="7:7" ht="10.5" customHeight="1" x14ac:dyDescent="0.2">
      <c r="G52753" s="889"/>
    </row>
    <row r="52754" spans="7:7" ht="10.5" customHeight="1" x14ac:dyDescent="0.2">
      <c r="G52754" s="889"/>
    </row>
    <row r="52755" spans="7:7" ht="10.5" customHeight="1" x14ac:dyDescent="0.2">
      <c r="G52755" s="889"/>
    </row>
    <row r="52756" spans="7:7" ht="10.5" customHeight="1" x14ac:dyDescent="0.2">
      <c r="G52756" s="889"/>
    </row>
    <row r="52757" spans="7:7" ht="10.5" customHeight="1" x14ac:dyDescent="0.2">
      <c r="G52757" s="889"/>
    </row>
    <row r="52758" spans="7:7" ht="10.5" customHeight="1" x14ac:dyDescent="0.2">
      <c r="G52758" s="889"/>
    </row>
    <row r="52759" spans="7:7" ht="10.5" customHeight="1" x14ac:dyDescent="0.2">
      <c r="G52759" s="889"/>
    </row>
    <row r="52760" spans="7:7" ht="10.5" customHeight="1" x14ac:dyDescent="0.2">
      <c r="G52760" s="889"/>
    </row>
    <row r="52761" spans="7:7" ht="10.5" customHeight="1" x14ac:dyDescent="0.2">
      <c r="G52761" s="889"/>
    </row>
    <row r="52762" spans="7:7" ht="10.5" customHeight="1" x14ac:dyDescent="0.2">
      <c r="G52762" s="889"/>
    </row>
    <row r="52763" spans="7:7" ht="10.5" customHeight="1" x14ac:dyDescent="0.2">
      <c r="G52763" s="889"/>
    </row>
    <row r="52764" spans="7:7" ht="10.5" customHeight="1" x14ac:dyDescent="0.2">
      <c r="G52764" s="889"/>
    </row>
    <row r="52765" spans="7:7" ht="10.5" customHeight="1" x14ac:dyDescent="0.2">
      <c r="G52765" s="889"/>
    </row>
    <row r="52766" spans="7:7" ht="10.5" customHeight="1" x14ac:dyDescent="0.2">
      <c r="G52766" s="889"/>
    </row>
    <row r="52767" spans="7:7" ht="10.5" customHeight="1" x14ac:dyDescent="0.2">
      <c r="G52767" s="889"/>
    </row>
    <row r="52768" spans="7:7" ht="10.5" customHeight="1" x14ac:dyDescent="0.2">
      <c r="G52768" s="889"/>
    </row>
    <row r="52769" spans="7:7" ht="10.5" customHeight="1" x14ac:dyDescent="0.2">
      <c r="G52769" s="889"/>
    </row>
    <row r="52770" spans="7:7" ht="10.5" customHeight="1" x14ac:dyDescent="0.2">
      <c r="G52770" s="889"/>
    </row>
    <row r="52771" spans="7:7" ht="10.5" customHeight="1" x14ac:dyDescent="0.2">
      <c r="G52771" s="889"/>
    </row>
    <row r="52772" spans="7:7" ht="10.5" customHeight="1" x14ac:dyDescent="0.2">
      <c r="G52772" s="889"/>
    </row>
    <row r="52773" spans="7:7" ht="10.5" customHeight="1" x14ac:dyDescent="0.2">
      <c r="G52773" s="889"/>
    </row>
    <row r="52774" spans="7:7" ht="10.5" customHeight="1" x14ac:dyDescent="0.2">
      <c r="G52774" s="889"/>
    </row>
    <row r="52775" spans="7:7" ht="10.5" customHeight="1" x14ac:dyDescent="0.2">
      <c r="G52775" s="889"/>
    </row>
    <row r="52776" spans="7:7" ht="10.5" customHeight="1" x14ac:dyDescent="0.2">
      <c r="G52776" s="889"/>
    </row>
    <row r="52777" spans="7:7" ht="10.5" customHeight="1" x14ac:dyDescent="0.2">
      <c r="G52777" s="889"/>
    </row>
    <row r="52778" spans="7:7" ht="10.5" customHeight="1" x14ac:dyDescent="0.2">
      <c r="G52778" s="889"/>
    </row>
    <row r="52779" spans="7:7" ht="10.5" customHeight="1" x14ac:dyDescent="0.2">
      <c r="G52779" s="889"/>
    </row>
    <row r="52780" spans="7:7" ht="10.5" customHeight="1" x14ac:dyDescent="0.2">
      <c r="G52780" s="889"/>
    </row>
    <row r="52781" spans="7:7" ht="10.5" customHeight="1" x14ac:dyDescent="0.2">
      <c r="G52781" s="889"/>
    </row>
    <row r="52782" spans="7:7" ht="10.5" customHeight="1" x14ac:dyDescent="0.2">
      <c r="G52782" s="889"/>
    </row>
    <row r="52783" spans="7:7" ht="10.5" customHeight="1" x14ac:dyDescent="0.2">
      <c r="G52783" s="889"/>
    </row>
    <row r="52784" spans="7:7" ht="10.5" customHeight="1" x14ac:dyDescent="0.2">
      <c r="G52784" s="889"/>
    </row>
    <row r="52785" spans="7:7" ht="10.5" customHeight="1" x14ac:dyDescent="0.2">
      <c r="G52785" s="889"/>
    </row>
    <row r="52786" spans="7:7" ht="10.5" customHeight="1" x14ac:dyDescent="0.2">
      <c r="G52786" s="889"/>
    </row>
    <row r="52787" spans="7:7" ht="10.5" customHeight="1" x14ac:dyDescent="0.2">
      <c r="G52787" s="889"/>
    </row>
    <row r="52788" spans="7:7" ht="10.5" customHeight="1" x14ac:dyDescent="0.2">
      <c r="G52788" s="889"/>
    </row>
    <row r="52789" spans="7:7" ht="10.5" customHeight="1" x14ac:dyDescent="0.2">
      <c r="G52789" s="889"/>
    </row>
    <row r="52790" spans="7:7" ht="10.5" customHeight="1" x14ac:dyDescent="0.2">
      <c r="G52790" s="889"/>
    </row>
    <row r="52791" spans="7:7" ht="10.5" customHeight="1" x14ac:dyDescent="0.2">
      <c r="G52791" s="889"/>
    </row>
    <row r="52792" spans="7:7" ht="10.5" customHeight="1" x14ac:dyDescent="0.2">
      <c r="G52792" s="889"/>
    </row>
    <row r="52793" spans="7:7" ht="10.5" customHeight="1" x14ac:dyDescent="0.2">
      <c r="G52793" s="889"/>
    </row>
    <row r="52794" spans="7:7" ht="10.5" customHeight="1" x14ac:dyDescent="0.2">
      <c r="G52794" s="889"/>
    </row>
    <row r="52795" spans="7:7" ht="10.5" customHeight="1" x14ac:dyDescent="0.2">
      <c r="G52795" s="889"/>
    </row>
    <row r="52796" spans="7:7" ht="10.5" customHeight="1" x14ac:dyDescent="0.2">
      <c r="G52796" s="889"/>
    </row>
    <row r="52797" spans="7:7" ht="10.5" customHeight="1" x14ac:dyDescent="0.2">
      <c r="G52797" s="889"/>
    </row>
    <row r="52798" spans="7:7" ht="10.5" customHeight="1" x14ac:dyDescent="0.2">
      <c r="G52798" s="889"/>
    </row>
    <row r="52799" spans="7:7" ht="10.5" customHeight="1" x14ac:dyDescent="0.2">
      <c r="G52799" s="889"/>
    </row>
    <row r="52800" spans="7:7" ht="10.5" customHeight="1" x14ac:dyDescent="0.2">
      <c r="G52800" s="889"/>
    </row>
    <row r="52801" spans="7:7" ht="10.5" customHeight="1" x14ac:dyDescent="0.2">
      <c r="G52801" s="889"/>
    </row>
    <row r="52802" spans="7:7" ht="10.5" customHeight="1" x14ac:dyDescent="0.2">
      <c r="G52802" s="889"/>
    </row>
    <row r="52803" spans="7:7" ht="10.5" customHeight="1" x14ac:dyDescent="0.2">
      <c r="G52803" s="889"/>
    </row>
    <row r="52804" spans="7:7" ht="10.5" customHeight="1" x14ac:dyDescent="0.2">
      <c r="G52804" s="889"/>
    </row>
    <row r="52805" spans="7:7" ht="10.5" customHeight="1" x14ac:dyDescent="0.2">
      <c r="G52805" s="889"/>
    </row>
    <row r="52806" spans="7:7" ht="10.5" customHeight="1" x14ac:dyDescent="0.2">
      <c r="G52806" s="889"/>
    </row>
    <row r="52807" spans="7:7" ht="10.5" customHeight="1" x14ac:dyDescent="0.2">
      <c r="G52807" s="889"/>
    </row>
    <row r="52808" spans="7:7" ht="10.5" customHeight="1" x14ac:dyDescent="0.2">
      <c r="G52808" s="889"/>
    </row>
    <row r="52809" spans="7:7" ht="10.5" customHeight="1" x14ac:dyDescent="0.2">
      <c r="G52809" s="889"/>
    </row>
    <row r="52810" spans="7:7" ht="10.5" customHeight="1" x14ac:dyDescent="0.2">
      <c r="G52810" s="889"/>
    </row>
    <row r="52811" spans="7:7" ht="10.5" customHeight="1" x14ac:dyDescent="0.2">
      <c r="G52811" s="889"/>
    </row>
    <row r="52812" spans="7:7" ht="10.5" customHeight="1" x14ac:dyDescent="0.2">
      <c r="G52812" s="889"/>
    </row>
    <row r="52813" spans="7:7" ht="10.5" customHeight="1" x14ac:dyDescent="0.2">
      <c r="G52813" s="889"/>
    </row>
    <row r="52814" spans="7:7" ht="10.5" customHeight="1" x14ac:dyDescent="0.2">
      <c r="G52814" s="889"/>
    </row>
    <row r="52815" spans="7:7" ht="10.5" customHeight="1" x14ac:dyDescent="0.2">
      <c r="G52815" s="889"/>
    </row>
    <row r="52816" spans="7:7" ht="10.5" customHeight="1" x14ac:dyDescent="0.2">
      <c r="G52816" s="889"/>
    </row>
    <row r="52817" spans="7:7" ht="10.5" customHeight="1" x14ac:dyDescent="0.2">
      <c r="G52817" s="889"/>
    </row>
    <row r="52818" spans="7:7" ht="10.5" customHeight="1" x14ac:dyDescent="0.2">
      <c r="G52818" s="889"/>
    </row>
    <row r="52819" spans="7:7" ht="10.5" customHeight="1" x14ac:dyDescent="0.2">
      <c r="G52819" s="889"/>
    </row>
    <row r="52820" spans="7:7" ht="10.5" customHeight="1" x14ac:dyDescent="0.2">
      <c r="G52820" s="889"/>
    </row>
    <row r="52821" spans="7:7" ht="10.5" customHeight="1" x14ac:dyDescent="0.2">
      <c r="G52821" s="889"/>
    </row>
    <row r="52822" spans="7:7" ht="10.5" customHeight="1" x14ac:dyDescent="0.2">
      <c r="G52822" s="889"/>
    </row>
    <row r="52823" spans="7:7" ht="10.5" customHeight="1" x14ac:dyDescent="0.2">
      <c r="G52823" s="889"/>
    </row>
    <row r="52824" spans="7:7" ht="10.5" customHeight="1" x14ac:dyDescent="0.2">
      <c r="G52824" s="889"/>
    </row>
    <row r="52825" spans="7:7" ht="10.5" customHeight="1" x14ac:dyDescent="0.2">
      <c r="G52825" s="889"/>
    </row>
    <row r="52826" spans="7:7" ht="10.5" customHeight="1" x14ac:dyDescent="0.2">
      <c r="G52826" s="889"/>
    </row>
    <row r="52827" spans="7:7" ht="10.5" customHeight="1" x14ac:dyDescent="0.2">
      <c r="G52827" s="889"/>
    </row>
    <row r="52828" spans="7:7" ht="10.5" customHeight="1" x14ac:dyDescent="0.2">
      <c r="G52828" s="889"/>
    </row>
    <row r="52829" spans="7:7" ht="10.5" customHeight="1" x14ac:dyDescent="0.2">
      <c r="G52829" s="889"/>
    </row>
    <row r="52830" spans="7:7" ht="10.5" customHeight="1" x14ac:dyDescent="0.2">
      <c r="G52830" s="889"/>
    </row>
    <row r="52831" spans="7:7" ht="10.5" customHeight="1" x14ac:dyDescent="0.2">
      <c r="G52831" s="889"/>
    </row>
    <row r="52832" spans="7:7" ht="10.5" customHeight="1" x14ac:dyDescent="0.2">
      <c r="G52832" s="889"/>
    </row>
    <row r="52833" spans="7:7" ht="10.5" customHeight="1" x14ac:dyDescent="0.2">
      <c r="G52833" s="889"/>
    </row>
    <row r="52834" spans="7:7" ht="10.5" customHeight="1" x14ac:dyDescent="0.2">
      <c r="G52834" s="889"/>
    </row>
    <row r="52835" spans="7:7" ht="10.5" customHeight="1" x14ac:dyDescent="0.2">
      <c r="G52835" s="889"/>
    </row>
    <row r="52836" spans="7:7" ht="10.5" customHeight="1" x14ac:dyDescent="0.2">
      <c r="G52836" s="889"/>
    </row>
    <row r="52837" spans="7:7" ht="10.5" customHeight="1" x14ac:dyDescent="0.2">
      <c r="G52837" s="889"/>
    </row>
    <row r="52838" spans="7:7" ht="10.5" customHeight="1" x14ac:dyDescent="0.2">
      <c r="G52838" s="889"/>
    </row>
    <row r="52839" spans="7:7" ht="10.5" customHeight="1" x14ac:dyDescent="0.2">
      <c r="G52839" s="889"/>
    </row>
    <row r="52840" spans="7:7" ht="10.5" customHeight="1" x14ac:dyDescent="0.2">
      <c r="G52840" s="889"/>
    </row>
    <row r="52841" spans="7:7" ht="10.5" customHeight="1" x14ac:dyDescent="0.2">
      <c r="G52841" s="889"/>
    </row>
    <row r="52842" spans="7:7" ht="10.5" customHeight="1" x14ac:dyDescent="0.2">
      <c r="G52842" s="889"/>
    </row>
    <row r="52843" spans="7:7" ht="10.5" customHeight="1" x14ac:dyDescent="0.2">
      <c r="G52843" s="889"/>
    </row>
    <row r="52844" spans="7:7" ht="10.5" customHeight="1" x14ac:dyDescent="0.2">
      <c r="G52844" s="889"/>
    </row>
    <row r="52845" spans="7:7" ht="10.5" customHeight="1" x14ac:dyDescent="0.2">
      <c r="G52845" s="889"/>
    </row>
    <row r="52846" spans="7:7" ht="10.5" customHeight="1" x14ac:dyDescent="0.2">
      <c r="G52846" s="889"/>
    </row>
    <row r="52847" spans="7:7" ht="10.5" customHeight="1" x14ac:dyDescent="0.2">
      <c r="G52847" s="889"/>
    </row>
    <row r="52848" spans="7:7" ht="10.5" customHeight="1" x14ac:dyDescent="0.2">
      <c r="G52848" s="889"/>
    </row>
    <row r="52849" spans="7:7" ht="10.5" customHeight="1" x14ac:dyDescent="0.2">
      <c r="G52849" s="889"/>
    </row>
    <row r="52850" spans="7:7" ht="10.5" customHeight="1" x14ac:dyDescent="0.2">
      <c r="G52850" s="889"/>
    </row>
    <row r="52851" spans="7:7" ht="10.5" customHeight="1" x14ac:dyDescent="0.2">
      <c r="G52851" s="889"/>
    </row>
    <row r="52852" spans="7:7" ht="10.5" customHeight="1" x14ac:dyDescent="0.2">
      <c r="G52852" s="889"/>
    </row>
    <row r="52853" spans="7:7" ht="10.5" customHeight="1" x14ac:dyDescent="0.2">
      <c r="G52853" s="889"/>
    </row>
    <row r="52854" spans="7:7" ht="10.5" customHeight="1" x14ac:dyDescent="0.2">
      <c r="G52854" s="889"/>
    </row>
    <row r="52855" spans="7:7" ht="10.5" customHeight="1" x14ac:dyDescent="0.2">
      <c r="G52855" s="889"/>
    </row>
    <row r="52856" spans="7:7" ht="10.5" customHeight="1" x14ac:dyDescent="0.2">
      <c r="G52856" s="889"/>
    </row>
    <row r="52857" spans="7:7" ht="10.5" customHeight="1" x14ac:dyDescent="0.2">
      <c r="G52857" s="889"/>
    </row>
    <row r="52858" spans="7:7" ht="10.5" customHeight="1" x14ac:dyDescent="0.2">
      <c r="G52858" s="889"/>
    </row>
    <row r="52859" spans="7:7" ht="10.5" customHeight="1" x14ac:dyDescent="0.2">
      <c r="G52859" s="889"/>
    </row>
    <row r="52860" spans="7:7" ht="10.5" customHeight="1" x14ac:dyDescent="0.2">
      <c r="G52860" s="889"/>
    </row>
    <row r="52861" spans="7:7" ht="10.5" customHeight="1" x14ac:dyDescent="0.2">
      <c r="G52861" s="889"/>
    </row>
    <row r="52862" spans="7:7" ht="10.5" customHeight="1" x14ac:dyDescent="0.2">
      <c r="G52862" s="889"/>
    </row>
    <row r="52863" spans="7:7" ht="10.5" customHeight="1" x14ac:dyDescent="0.2">
      <c r="G52863" s="889"/>
    </row>
    <row r="52864" spans="7:7" ht="10.5" customHeight="1" x14ac:dyDescent="0.2">
      <c r="G52864" s="889"/>
    </row>
    <row r="52865" spans="7:7" ht="10.5" customHeight="1" x14ac:dyDescent="0.2">
      <c r="G52865" s="889"/>
    </row>
    <row r="52866" spans="7:7" ht="10.5" customHeight="1" x14ac:dyDescent="0.2">
      <c r="G52866" s="889"/>
    </row>
    <row r="52867" spans="7:7" ht="10.5" customHeight="1" x14ac:dyDescent="0.2">
      <c r="G52867" s="889"/>
    </row>
    <row r="52868" spans="7:7" ht="10.5" customHeight="1" x14ac:dyDescent="0.2">
      <c r="G52868" s="889"/>
    </row>
    <row r="52869" spans="7:7" ht="10.5" customHeight="1" x14ac:dyDescent="0.2">
      <c r="G52869" s="889"/>
    </row>
    <row r="52870" spans="7:7" ht="10.5" customHeight="1" x14ac:dyDescent="0.2">
      <c r="G52870" s="889"/>
    </row>
    <row r="52871" spans="7:7" ht="10.5" customHeight="1" x14ac:dyDescent="0.2">
      <c r="G52871" s="889"/>
    </row>
    <row r="52872" spans="7:7" ht="10.5" customHeight="1" x14ac:dyDescent="0.2">
      <c r="G52872" s="889"/>
    </row>
    <row r="52873" spans="7:7" ht="10.5" customHeight="1" x14ac:dyDescent="0.2">
      <c r="G52873" s="889"/>
    </row>
    <row r="52874" spans="7:7" ht="10.5" customHeight="1" x14ac:dyDescent="0.2">
      <c r="G52874" s="889"/>
    </row>
    <row r="52875" spans="7:7" ht="10.5" customHeight="1" x14ac:dyDescent="0.2">
      <c r="G52875" s="889"/>
    </row>
    <row r="52876" spans="7:7" ht="10.5" customHeight="1" x14ac:dyDescent="0.2">
      <c r="G52876" s="889"/>
    </row>
    <row r="52877" spans="7:7" ht="10.5" customHeight="1" x14ac:dyDescent="0.2">
      <c r="G52877" s="889"/>
    </row>
    <row r="52878" spans="7:7" ht="10.5" customHeight="1" x14ac:dyDescent="0.2">
      <c r="G52878" s="889"/>
    </row>
    <row r="52879" spans="7:7" ht="10.5" customHeight="1" x14ac:dyDescent="0.2">
      <c r="G52879" s="889"/>
    </row>
    <row r="52880" spans="7:7" ht="10.5" customHeight="1" x14ac:dyDescent="0.2">
      <c r="G52880" s="889"/>
    </row>
    <row r="52881" spans="7:7" ht="10.5" customHeight="1" x14ac:dyDescent="0.2">
      <c r="G52881" s="889"/>
    </row>
    <row r="52882" spans="7:7" ht="10.5" customHeight="1" x14ac:dyDescent="0.2">
      <c r="G52882" s="889"/>
    </row>
    <row r="52883" spans="7:7" ht="10.5" customHeight="1" x14ac:dyDescent="0.2">
      <c r="G52883" s="889"/>
    </row>
    <row r="52884" spans="7:7" ht="10.5" customHeight="1" x14ac:dyDescent="0.2">
      <c r="G52884" s="889"/>
    </row>
    <row r="52885" spans="7:7" ht="10.5" customHeight="1" x14ac:dyDescent="0.2">
      <c r="G52885" s="889"/>
    </row>
    <row r="52886" spans="7:7" ht="10.5" customHeight="1" x14ac:dyDescent="0.2">
      <c r="G52886" s="889"/>
    </row>
    <row r="52887" spans="7:7" ht="10.5" customHeight="1" x14ac:dyDescent="0.2">
      <c r="G52887" s="889"/>
    </row>
    <row r="52888" spans="7:7" ht="10.5" customHeight="1" x14ac:dyDescent="0.2">
      <c r="G52888" s="889"/>
    </row>
    <row r="52889" spans="7:7" ht="10.5" customHeight="1" x14ac:dyDescent="0.2">
      <c r="G52889" s="889"/>
    </row>
    <row r="52890" spans="7:7" ht="10.5" customHeight="1" x14ac:dyDescent="0.2">
      <c r="G52890" s="889"/>
    </row>
    <row r="52891" spans="7:7" ht="10.5" customHeight="1" x14ac:dyDescent="0.2">
      <c r="G52891" s="889"/>
    </row>
    <row r="52892" spans="7:7" ht="10.5" customHeight="1" x14ac:dyDescent="0.2">
      <c r="G52892" s="889"/>
    </row>
    <row r="52893" spans="7:7" ht="10.5" customHeight="1" x14ac:dyDescent="0.2">
      <c r="G52893" s="889"/>
    </row>
    <row r="52894" spans="7:7" ht="10.5" customHeight="1" x14ac:dyDescent="0.2">
      <c r="G52894" s="889"/>
    </row>
    <row r="52895" spans="7:7" ht="10.5" customHeight="1" x14ac:dyDescent="0.2">
      <c r="G52895" s="889"/>
    </row>
    <row r="52896" spans="7:7" ht="10.5" customHeight="1" x14ac:dyDescent="0.2">
      <c r="G52896" s="889"/>
    </row>
    <row r="52897" spans="7:7" ht="10.5" customHeight="1" x14ac:dyDescent="0.2">
      <c r="G52897" s="889"/>
    </row>
    <row r="52898" spans="7:7" ht="10.5" customHeight="1" x14ac:dyDescent="0.2">
      <c r="G52898" s="889"/>
    </row>
    <row r="52899" spans="7:7" ht="10.5" customHeight="1" x14ac:dyDescent="0.2">
      <c r="G52899" s="889"/>
    </row>
    <row r="52900" spans="7:7" ht="10.5" customHeight="1" x14ac:dyDescent="0.2">
      <c r="G52900" s="889"/>
    </row>
    <row r="52901" spans="7:7" ht="10.5" customHeight="1" x14ac:dyDescent="0.2">
      <c r="G52901" s="889"/>
    </row>
    <row r="52902" spans="7:7" ht="10.5" customHeight="1" x14ac:dyDescent="0.2">
      <c r="G52902" s="889"/>
    </row>
    <row r="52903" spans="7:7" ht="10.5" customHeight="1" x14ac:dyDescent="0.2">
      <c r="G52903" s="889"/>
    </row>
    <row r="52904" spans="7:7" ht="10.5" customHeight="1" x14ac:dyDescent="0.2">
      <c r="G52904" s="889"/>
    </row>
    <row r="52905" spans="7:7" ht="10.5" customHeight="1" x14ac:dyDescent="0.2">
      <c r="G52905" s="889"/>
    </row>
    <row r="52906" spans="7:7" ht="10.5" customHeight="1" x14ac:dyDescent="0.2">
      <c r="G52906" s="889"/>
    </row>
    <row r="52907" spans="7:7" ht="10.5" customHeight="1" x14ac:dyDescent="0.2">
      <c r="G52907" s="889"/>
    </row>
    <row r="52908" spans="7:7" ht="10.5" customHeight="1" x14ac:dyDescent="0.2">
      <c r="G52908" s="889"/>
    </row>
    <row r="52909" spans="7:7" ht="10.5" customHeight="1" x14ac:dyDescent="0.2">
      <c r="G52909" s="889"/>
    </row>
    <row r="52910" spans="7:7" ht="10.5" customHeight="1" x14ac:dyDescent="0.2">
      <c r="G52910" s="889"/>
    </row>
    <row r="52911" spans="7:7" ht="10.5" customHeight="1" x14ac:dyDescent="0.2">
      <c r="G52911" s="889"/>
    </row>
    <row r="52912" spans="7:7" ht="10.5" customHeight="1" x14ac:dyDescent="0.2">
      <c r="G52912" s="889"/>
    </row>
    <row r="52913" spans="7:7" ht="10.5" customHeight="1" x14ac:dyDescent="0.2">
      <c r="G52913" s="889"/>
    </row>
    <row r="52914" spans="7:7" ht="10.5" customHeight="1" x14ac:dyDescent="0.2">
      <c r="G52914" s="889"/>
    </row>
    <row r="52915" spans="7:7" ht="10.5" customHeight="1" x14ac:dyDescent="0.2">
      <c r="G52915" s="889"/>
    </row>
    <row r="52916" spans="7:7" ht="10.5" customHeight="1" x14ac:dyDescent="0.2">
      <c r="G52916" s="889"/>
    </row>
    <row r="52917" spans="7:7" ht="10.5" customHeight="1" x14ac:dyDescent="0.2">
      <c r="G52917" s="889"/>
    </row>
    <row r="52918" spans="7:7" ht="10.5" customHeight="1" x14ac:dyDescent="0.2">
      <c r="G52918" s="889"/>
    </row>
    <row r="52919" spans="7:7" ht="10.5" customHeight="1" x14ac:dyDescent="0.2">
      <c r="G52919" s="889"/>
    </row>
    <row r="52920" spans="7:7" ht="10.5" customHeight="1" x14ac:dyDescent="0.2">
      <c r="G52920" s="889"/>
    </row>
    <row r="52921" spans="7:7" ht="10.5" customHeight="1" x14ac:dyDescent="0.2">
      <c r="G52921" s="889"/>
    </row>
    <row r="52922" spans="7:7" ht="10.5" customHeight="1" x14ac:dyDescent="0.2">
      <c r="G52922" s="889"/>
    </row>
    <row r="52923" spans="7:7" ht="10.5" customHeight="1" x14ac:dyDescent="0.2">
      <c r="G52923" s="889"/>
    </row>
    <row r="52924" spans="7:7" ht="10.5" customHeight="1" x14ac:dyDescent="0.2">
      <c r="G52924" s="889"/>
    </row>
    <row r="52925" spans="7:7" ht="10.5" customHeight="1" x14ac:dyDescent="0.2">
      <c r="G52925" s="889"/>
    </row>
    <row r="52926" spans="7:7" ht="10.5" customHeight="1" x14ac:dyDescent="0.2">
      <c r="G52926" s="889"/>
    </row>
    <row r="52927" spans="7:7" ht="10.5" customHeight="1" x14ac:dyDescent="0.2">
      <c r="G52927" s="889"/>
    </row>
    <row r="52928" spans="7:7" ht="10.5" customHeight="1" x14ac:dyDescent="0.2">
      <c r="G52928" s="889"/>
    </row>
    <row r="52929" spans="7:7" ht="10.5" customHeight="1" x14ac:dyDescent="0.2">
      <c r="G52929" s="889"/>
    </row>
    <row r="52930" spans="7:7" ht="10.5" customHeight="1" x14ac:dyDescent="0.2">
      <c r="G52930" s="889"/>
    </row>
    <row r="52931" spans="7:7" ht="10.5" customHeight="1" x14ac:dyDescent="0.2">
      <c r="G52931" s="889"/>
    </row>
    <row r="52932" spans="7:7" ht="10.5" customHeight="1" x14ac:dyDescent="0.2">
      <c r="G52932" s="889"/>
    </row>
    <row r="52933" spans="7:7" ht="10.5" customHeight="1" x14ac:dyDescent="0.2">
      <c r="G52933" s="889"/>
    </row>
    <row r="52934" spans="7:7" ht="10.5" customHeight="1" x14ac:dyDescent="0.2">
      <c r="G52934" s="889"/>
    </row>
    <row r="52935" spans="7:7" ht="10.5" customHeight="1" x14ac:dyDescent="0.2">
      <c r="G52935" s="889"/>
    </row>
    <row r="52936" spans="7:7" ht="10.5" customHeight="1" x14ac:dyDescent="0.2">
      <c r="G52936" s="889"/>
    </row>
    <row r="52937" spans="7:7" ht="10.5" customHeight="1" x14ac:dyDescent="0.2">
      <c r="G52937" s="889"/>
    </row>
    <row r="52938" spans="7:7" ht="10.5" customHeight="1" x14ac:dyDescent="0.2">
      <c r="G52938" s="889"/>
    </row>
    <row r="52939" spans="7:7" ht="10.5" customHeight="1" x14ac:dyDescent="0.2">
      <c r="G52939" s="889"/>
    </row>
    <row r="52940" spans="7:7" ht="10.5" customHeight="1" x14ac:dyDescent="0.2">
      <c r="G52940" s="889"/>
    </row>
    <row r="52941" spans="7:7" ht="10.5" customHeight="1" x14ac:dyDescent="0.2">
      <c r="G52941" s="889"/>
    </row>
    <row r="52942" spans="7:7" ht="10.5" customHeight="1" x14ac:dyDescent="0.2">
      <c r="G52942" s="889"/>
    </row>
    <row r="52943" spans="7:7" ht="10.5" customHeight="1" x14ac:dyDescent="0.2">
      <c r="G52943" s="889"/>
    </row>
    <row r="52944" spans="7:7" ht="10.5" customHeight="1" x14ac:dyDescent="0.2">
      <c r="G52944" s="889"/>
    </row>
    <row r="52945" spans="7:7" ht="10.5" customHeight="1" x14ac:dyDescent="0.2">
      <c r="G52945" s="889"/>
    </row>
    <row r="52946" spans="7:7" ht="10.5" customHeight="1" x14ac:dyDescent="0.2">
      <c r="G52946" s="889"/>
    </row>
    <row r="52947" spans="7:7" ht="10.5" customHeight="1" x14ac:dyDescent="0.2">
      <c r="G52947" s="889"/>
    </row>
    <row r="52948" spans="7:7" ht="10.5" customHeight="1" x14ac:dyDescent="0.2">
      <c r="G52948" s="889"/>
    </row>
    <row r="52949" spans="7:7" ht="10.5" customHeight="1" x14ac:dyDescent="0.2">
      <c r="G52949" s="889"/>
    </row>
    <row r="52950" spans="7:7" ht="10.5" customHeight="1" x14ac:dyDescent="0.2">
      <c r="G52950" s="889"/>
    </row>
    <row r="52951" spans="7:7" ht="10.5" customHeight="1" x14ac:dyDescent="0.2">
      <c r="G52951" s="889"/>
    </row>
    <row r="52952" spans="7:7" ht="10.5" customHeight="1" x14ac:dyDescent="0.2">
      <c r="G52952" s="889"/>
    </row>
    <row r="52953" spans="7:7" ht="10.5" customHeight="1" x14ac:dyDescent="0.2">
      <c r="G52953" s="889"/>
    </row>
    <row r="52954" spans="7:7" ht="10.5" customHeight="1" x14ac:dyDescent="0.2">
      <c r="G52954" s="889"/>
    </row>
    <row r="52955" spans="7:7" ht="10.5" customHeight="1" x14ac:dyDescent="0.2">
      <c r="G52955" s="889"/>
    </row>
    <row r="52956" spans="7:7" ht="10.5" customHeight="1" x14ac:dyDescent="0.2">
      <c r="G52956" s="889"/>
    </row>
    <row r="52957" spans="7:7" ht="10.5" customHeight="1" x14ac:dyDescent="0.2">
      <c r="G52957" s="889"/>
    </row>
    <row r="52958" spans="7:7" ht="10.5" customHeight="1" x14ac:dyDescent="0.2">
      <c r="G52958" s="889"/>
    </row>
    <row r="52959" spans="7:7" ht="10.5" customHeight="1" x14ac:dyDescent="0.2">
      <c r="G52959" s="889"/>
    </row>
    <row r="52960" spans="7:7" ht="10.5" customHeight="1" x14ac:dyDescent="0.2">
      <c r="G52960" s="889"/>
    </row>
    <row r="52961" spans="7:7" ht="10.5" customHeight="1" x14ac:dyDescent="0.2">
      <c r="G52961" s="889"/>
    </row>
    <row r="52962" spans="7:7" ht="10.5" customHeight="1" x14ac:dyDescent="0.2">
      <c r="G52962" s="889"/>
    </row>
    <row r="52963" spans="7:7" ht="10.5" customHeight="1" x14ac:dyDescent="0.2">
      <c r="G52963" s="889"/>
    </row>
    <row r="52964" spans="7:7" ht="10.5" customHeight="1" x14ac:dyDescent="0.2">
      <c r="G52964" s="889"/>
    </row>
    <row r="52965" spans="7:7" ht="10.5" customHeight="1" x14ac:dyDescent="0.2">
      <c r="G52965" s="889"/>
    </row>
    <row r="52966" spans="7:7" ht="10.5" customHeight="1" x14ac:dyDescent="0.2">
      <c r="G52966" s="889"/>
    </row>
    <row r="52967" spans="7:7" ht="10.5" customHeight="1" x14ac:dyDescent="0.2">
      <c r="G52967" s="889"/>
    </row>
    <row r="52968" spans="7:7" ht="10.5" customHeight="1" x14ac:dyDescent="0.2">
      <c r="G52968" s="889"/>
    </row>
    <row r="52969" spans="7:7" ht="10.5" customHeight="1" x14ac:dyDescent="0.2">
      <c r="G52969" s="889"/>
    </row>
    <row r="52970" spans="7:7" ht="10.5" customHeight="1" x14ac:dyDescent="0.2">
      <c r="G52970" s="889"/>
    </row>
    <row r="52971" spans="7:7" ht="10.5" customHeight="1" x14ac:dyDescent="0.2">
      <c r="G52971" s="889"/>
    </row>
    <row r="52972" spans="7:7" ht="10.5" customHeight="1" x14ac:dyDescent="0.2">
      <c r="G52972" s="889"/>
    </row>
    <row r="52973" spans="7:7" ht="10.5" customHeight="1" x14ac:dyDescent="0.2">
      <c r="G52973" s="889"/>
    </row>
    <row r="52974" spans="7:7" ht="10.5" customHeight="1" x14ac:dyDescent="0.2">
      <c r="G52974" s="889"/>
    </row>
    <row r="52975" spans="7:7" ht="10.5" customHeight="1" x14ac:dyDescent="0.2">
      <c r="G52975" s="889"/>
    </row>
    <row r="52976" spans="7:7" ht="10.5" customHeight="1" x14ac:dyDescent="0.2">
      <c r="G52976" s="889"/>
    </row>
    <row r="52977" spans="7:7" ht="10.5" customHeight="1" x14ac:dyDescent="0.2">
      <c r="G52977" s="889"/>
    </row>
    <row r="52978" spans="7:7" ht="10.5" customHeight="1" x14ac:dyDescent="0.2">
      <c r="G52978" s="889"/>
    </row>
    <row r="52979" spans="7:7" ht="10.5" customHeight="1" x14ac:dyDescent="0.2">
      <c r="G52979" s="889"/>
    </row>
    <row r="52980" spans="7:7" ht="10.5" customHeight="1" x14ac:dyDescent="0.2">
      <c r="G52980" s="889"/>
    </row>
    <row r="52981" spans="7:7" ht="10.5" customHeight="1" x14ac:dyDescent="0.2">
      <c r="G52981" s="889"/>
    </row>
    <row r="52982" spans="7:7" ht="10.5" customHeight="1" x14ac:dyDescent="0.2">
      <c r="G52982" s="889"/>
    </row>
    <row r="52983" spans="7:7" ht="10.5" customHeight="1" x14ac:dyDescent="0.2">
      <c r="G52983" s="889"/>
    </row>
    <row r="52984" spans="7:7" ht="10.5" customHeight="1" x14ac:dyDescent="0.2">
      <c r="G52984" s="889"/>
    </row>
    <row r="52985" spans="7:7" ht="10.5" customHeight="1" x14ac:dyDescent="0.2">
      <c r="G52985" s="889"/>
    </row>
    <row r="52986" spans="7:7" ht="10.5" customHeight="1" x14ac:dyDescent="0.2">
      <c r="G52986" s="889"/>
    </row>
    <row r="52987" spans="7:7" ht="10.5" customHeight="1" x14ac:dyDescent="0.2">
      <c r="G52987" s="889"/>
    </row>
    <row r="52988" spans="7:7" ht="10.5" customHeight="1" x14ac:dyDescent="0.2">
      <c r="G52988" s="889"/>
    </row>
    <row r="52989" spans="7:7" ht="10.5" customHeight="1" x14ac:dyDescent="0.2">
      <c r="G52989" s="889"/>
    </row>
    <row r="52990" spans="7:7" ht="10.5" customHeight="1" x14ac:dyDescent="0.2">
      <c r="G52990" s="889"/>
    </row>
    <row r="52991" spans="7:7" ht="10.5" customHeight="1" x14ac:dyDescent="0.2">
      <c r="G52991" s="889"/>
    </row>
    <row r="52992" spans="7:7" ht="10.5" customHeight="1" x14ac:dyDescent="0.2">
      <c r="G52992" s="889"/>
    </row>
    <row r="52993" spans="7:7" ht="10.5" customHeight="1" x14ac:dyDescent="0.2">
      <c r="G52993" s="889"/>
    </row>
    <row r="52994" spans="7:7" ht="10.5" customHeight="1" x14ac:dyDescent="0.2">
      <c r="G52994" s="889"/>
    </row>
    <row r="52995" spans="7:7" ht="10.5" customHeight="1" x14ac:dyDescent="0.2">
      <c r="G52995" s="889"/>
    </row>
    <row r="52996" spans="7:7" ht="10.5" customHeight="1" x14ac:dyDescent="0.2">
      <c r="G52996" s="889"/>
    </row>
    <row r="52997" spans="7:7" ht="10.5" customHeight="1" x14ac:dyDescent="0.2">
      <c r="G52997" s="889"/>
    </row>
    <row r="52998" spans="7:7" ht="10.5" customHeight="1" x14ac:dyDescent="0.2">
      <c r="G52998" s="889"/>
    </row>
    <row r="52999" spans="7:7" ht="10.5" customHeight="1" x14ac:dyDescent="0.2">
      <c r="G52999" s="889"/>
    </row>
    <row r="53000" spans="7:7" ht="10.5" customHeight="1" x14ac:dyDescent="0.2">
      <c r="G53000" s="889"/>
    </row>
    <row r="53001" spans="7:7" ht="10.5" customHeight="1" x14ac:dyDescent="0.2">
      <c r="G53001" s="889"/>
    </row>
    <row r="53002" spans="7:7" ht="10.5" customHeight="1" x14ac:dyDescent="0.2">
      <c r="G53002" s="889"/>
    </row>
    <row r="53003" spans="7:7" ht="10.5" customHeight="1" x14ac:dyDescent="0.2">
      <c r="G53003" s="889"/>
    </row>
    <row r="53004" spans="7:7" ht="10.5" customHeight="1" x14ac:dyDescent="0.2">
      <c r="G53004" s="889"/>
    </row>
    <row r="53005" spans="7:7" ht="10.5" customHeight="1" x14ac:dyDescent="0.2">
      <c r="G53005" s="889"/>
    </row>
    <row r="53006" spans="7:7" ht="10.5" customHeight="1" x14ac:dyDescent="0.2">
      <c r="G53006" s="889"/>
    </row>
    <row r="53007" spans="7:7" ht="10.5" customHeight="1" x14ac:dyDescent="0.2">
      <c r="G53007" s="889"/>
    </row>
    <row r="53008" spans="7:7" ht="10.5" customHeight="1" x14ac:dyDescent="0.2">
      <c r="G53008" s="889"/>
    </row>
    <row r="53009" spans="7:7" ht="10.5" customHeight="1" x14ac:dyDescent="0.2">
      <c r="G53009" s="889"/>
    </row>
    <row r="53010" spans="7:7" ht="10.5" customHeight="1" x14ac:dyDescent="0.2">
      <c r="G53010" s="889"/>
    </row>
    <row r="53011" spans="7:7" ht="10.5" customHeight="1" x14ac:dyDescent="0.2">
      <c r="G53011" s="889"/>
    </row>
    <row r="53012" spans="7:7" ht="10.5" customHeight="1" x14ac:dyDescent="0.2">
      <c r="G53012" s="889"/>
    </row>
    <row r="53013" spans="7:7" ht="10.5" customHeight="1" x14ac:dyDescent="0.2">
      <c r="G53013" s="889"/>
    </row>
    <row r="53014" spans="7:7" ht="10.5" customHeight="1" x14ac:dyDescent="0.2">
      <c r="G53014" s="889"/>
    </row>
    <row r="53015" spans="7:7" ht="10.5" customHeight="1" x14ac:dyDescent="0.2">
      <c r="G53015" s="889"/>
    </row>
    <row r="53016" spans="7:7" ht="10.5" customHeight="1" x14ac:dyDescent="0.2">
      <c r="G53016" s="889"/>
    </row>
    <row r="53017" spans="7:7" ht="10.5" customHeight="1" x14ac:dyDescent="0.2">
      <c r="G53017" s="889"/>
    </row>
    <row r="53018" spans="7:7" ht="10.5" customHeight="1" x14ac:dyDescent="0.2">
      <c r="G53018" s="889"/>
    </row>
    <row r="53019" spans="7:7" ht="10.5" customHeight="1" x14ac:dyDescent="0.2">
      <c r="G53019" s="889"/>
    </row>
    <row r="53020" spans="7:7" ht="10.5" customHeight="1" x14ac:dyDescent="0.2">
      <c r="G53020" s="889"/>
    </row>
    <row r="53021" spans="7:7" ht="10.5" customHeight="1" x14ac:dyDescent="0.2">
      <c r="G53021" s="889"/>
    </row>
    <row r="53022" spans="7:7" ht="10.5" customHeight="1" x14ac:dyDescent="0.2">
      <c r="G53022" s="889"/>
    </row>
    <row r="53023" spans="7:7" ht="10.5" customHeight="1" x14ac:dyDescent="0.2">
      <c r="G53023" s="889"/>
    </row>
    <row r="53024" spans="7:7" ht="10.5" customHeight="1" x14ac:dyDescent="0.2">
      <c r="G53024" s="889"/>
    </row>
    <row r="53025" spans="7:7" ht="10.5" customHeight="1" x14ac:dyDescent="0.2">
      <c r="G53025" s="889"/>
    </row>
    <row r="53026" spans="7:7" ht="10.5" customHeight="1" x14ac:dyDescent="0.2">
      <c r="G53026" s="889"/>
    </row>
    <row r="53027" spans="7:7" ht="10.5" customHeight="1" x14ac:dyDescent="0.2">
      <c r="G53027" s="889"/>
    </row>
    <row r="53028" spans="7:7" ht="10.5" customHeight="1" x14ac:dyDescent="0.2">
      <c r="G53028" s="889"/>
    </row>
    <row r="53029" spans="7:7" ht="10.5" customHeight="1" x14ac:dyDescent="0.2">
      <c r="G53029" s="889"/>
    </row>
    <row r="53030" spans="7:7" ht="10.5" customHeight="1" x14ac:dyDescent="0.2">
      <c r="G53030" s="889"/>
    </row>
    <row r="53031" spans="7:7" ht="10.5" customHeight="1" x14ac:dyDescent="0.2">
      <c r="G53031" s="889"/>
    </row>
    <row r="53032" spans="7:7" ht="10.5" customHeight="1" x14ac:dyDescent="0.2">
      <c r="G53032" s="889"/>
    </row>
    <row r="53033" spans="7:7" ht="10.5" customHeight="1" x14ac:dyDescent="0.2">
      <c r="G53033" s="889"/>
    </row>
    <row r="53034" spans="7:7" ht="10.5" customHeight="1" x14ac:dyDescent="0.2">
      <c r="G53034" s="889"/>
    </row>
    <row r="53035" spans="7:7" ht="10.5" customHeight="1" x14ac:dyDescent="0.2">
      <c r="G53035" s="889"/>
    </row>
    <row r="53036" spans="7:7" ht="10.5" customHeight="1" x14ac:dyDescent="0.2">
      <c r="G53036" s="889"/>
    </row>
    <row r="53037" spans="7:7" ht="10.5" customHeight="1" x14ac:dyDescent="0.2">
      <c r="G53037" s="889"/>
    </row>
    <row r="53038" spans="7:7" ht="10.5" customHeight="1" x14ac:dyDescent="0.2">
      <c r="G53038" s="889"/>
    </row>
    <row r="53039" spans="7:7" ht="10.5" customHeight="1" x14ac:dyDescent="0.2">
      <c r="G53039" s="889"/>
    </row>
    <row r="53040" spans="7:7" ht="10.5" customHeight="1" x14ac:dyDescent="0.2">
      <c r="G53040" s="889"/>
    </row>
    <row r="53041" spans="7:7" ht="10.5" customHeight="1" x14ac:dyDescent="0.2">
      <c r="G53041" s="889"/>
    </row>
    <row r="53042" spans="7:7" ht="10.5" customHeight="1" x14ac:dyDescent="0.2">
      <c r="G53042" s="889"/>
    </row>
    <row r="53043" spans="7:7" ht="10.5" customHeight="1" x14ac:dyDescent="0.2">
      <c r="G53043" s="889"/>
    </row>
    <row r="53044" spans="7:7" ht="10.5" customHeight="1" x14ac:dyDescent="0.2">
      <c r="G53044" s="889"/>
    </row>
    <row r="53045" spans="7:7" ht="10.5" customHeight="1" x14ac:dyDescent="0.2">
      <c r="G53045" s="889"/>
    </row>
    <row r="53046" spans="7:7" ht="10.5" customHeight="1" x14ac:dyDescent="0.2">
      <c r="G53046" s="889"/>
    </row>
    <row r="53047" spans="7:7" ht="10.5" customHeight="1" x14ac:dyDescent="0.2">
      <c r="G53047" s="889"/>
    </row>
    <row r="53048" spans="7:7" ht="10.5" customHeight="1" x14ac:dyDescent="0.2">
      <c r="G53048" s="889"/>
    </row>
    <row r="53049" spans="7:7" ht="10.5" customHeight="1" x14ac:dyDescent="0.2">
      <c r="G53049" s="889"/>
    </row>
    <row r="53050" spans="7:7" ht="10.5" customHeight="1" x14ac:dyDescent="0.2">
      <c r="G53050" s="889"/>
    </row>
    <row r="53051" spans="7:7" ht="10.5" customHeight="1" x14ac:dyDescent="0.2">
      <c r="G53051" s="889"/>
    </row>
    <row r="53052" spans="7:7" ht="10.5" customHeight="1" x14ac:dyDescent="0.2">
      <c r="G53052" s="889"/>
    </row>
    <row r="53053" spans="7:7" ht="10.5" customHeight="1" x14ac:dyDescent="0.2">
      <c r="G53053" s="889"/>
    </row>
    <row r="53054" spans="7:7" ht="10.5" customHeight="1" x14ac:dyDescent="0.2">
      <c r="G53054" s="889"/>
    </row>
    <row r="53055" spans="7:7" ht="10.5" customHeight="1" x14ac:dyDescent="0.2">
      <c r="G53055" s="889"/>
    </row>
    <row r="53056" spans="7:7" ht="10.5" customHeight="1" x14ac:dyDescent="0.2">
      <c r="G53056" s="889"/>
    </row>
    <row r="53057" spans="7:7" ht="10.5" customHeight="1" x14ac:dyDescent="0.2">
      <c r="G53057" s="889"/>
    </row>
    <row r="53058" spans="7:7" ht="10.5" customHeight="1" x14ac:dyDescent="0.2">
      <c r="G53058" s="889"/>
    </row>
    <row r="53059" spans="7:7" ht="10.5" customHeight="1" x14ac:dyDescent="0.2">
      <c r="G53059" s="889"/>
    </row>
    <row r="53060" spans="7:7" ht="10.5" customHeight="1" x14ac:dyDescent="0.2">
      <c r="G53060" s="889"/>
    </row>
    <row r="53061" spans="7:7" ht="10.5" customHeight="1" x14ac:dyDescent="0.2">
      <c r="G53061" s="889"/>
    </row>
    <row r="53062" spans="7:7" ht="10.5" customHeight="1" x14ac:dyDescent="0.2">
      <c r="G53062" s="889"/>
    </row>
    <row r="53063" spans="7:7" ht="10.5" customHeight="1" x14ac:dyDescent="0.2">
      <c r="G53063" s="889"/>
    </row>
    <row r="53064" spans="7:7" ht="10.5" customHeight="1" x14ac:dyDescent="0.2">
      <c r="G53064" s="889"/>
    </row>
    <row r="53065" spans="7:7" ht="10.5" customHeight="1" x14ac:dyDescent="0.2">
      <c r="G53065" s="889"/>
    </row>
    <row r="53066" spans="7:7" ht="10.5" customHeight="1" x14ac:dyDescent="0.2">
      <c r="G53066" s="889"/>
    </row>
    <row r="53067" spans="7:7" ht="10.5" customHeight="1" x14ac:dyDescent="0.2">
      <c r="G53067" s="889"/>
    </row>
    <row r="53068" spans="7:7" ht="10.5" customHeight="1" x14ac:dyDescent="0.2">
      <c r="G53068" s="889"/>
    </row>
    <row r="53069" spans="7:7" ht="10.5" customHeight="1" x14ac:dyDescent="0.2">
      <c r="G53069" s="889"/>
    </row>
    <row r="53070" spans="7:7" ht="10.5" customHeight="1" x14ac:dyDescent="0.2">
      <c r="G53070" s="889"/>
    </row>
    <row r="53071" spans="7:7" ht="10.5" customHeight="1" x14ac:dyDescent="0.2">
      <c r="G53071" s="889"/>
    </row>
    <row r="53072" spans="7:7" ht="10.5" customHeight="1" x14ac:dyDescent="0.2">
      <c r="G53072" s="889"/>
    </row>
    <row r="53073" spans="7:7" ht="10.5" customHeight="1" x14ac:dyDescent="0.2">
      <c r="G53073" s="889"/>
    </row>
    <row r="53074" spans="7:7" ht="10.5" customHeight="1" x14ac:dyDescent="0.2">
      <c r="G53074" s="889"/>
    </row>
    <row r="53075" spans="7:7" ht="10.5" customHeight="1" x14ac:dyDescent="0.2">
      <c r="G53075" s="889"/>
    </row>
    <row r="53076" spans="7:7" ht="10.5" customHeight="1" x14ac:dyDescent="0.2">
      <c r="G53076" s="889"/>
    </row>
    <row r="53077" spans="7:7" ht="10.5" customHeight="1" x14ac:dyDescent="0.2">
      <c r="G53077" s="889"/>
    </row>
    <row r="53078" spans="7:7" ht="10.5" customHeight="1" x14ac:dyDescent="0.2">
      <c r="G53078" s="889"/>
    </row>
    <row r="53079" spans="7:7" ht="10.5" customHeight="1" x14ac:dyDescent="0.2">
      <c r="G53079" s="889"/>
    </row>
    <row r="53080" spans="7:7" ht="10.5" customHeight="1" x14ac:dyDescent="0.2">
      <c r="G53080" s="889"/>
    </row>
    <row r="53081" spans="7:7" ht="10.5" customHeight="1" x14ac:dyDescent="0.2">
      <c r="G53081" s="889"/>
    </row>
    <row r="53082" spans="7:7" ht="10.5" customHeight="1" x14ac:dyDescent="0.2">
      <c r="G53082" s="889"/>
    </row>
    <row r="53083" spans="7:7" ht="10.5" customHeight="1" x14ac:dyDescent="0.2">
      <c r="G53083" s="889"/>
    </row>
    <row r="53084" spans="7:7" ht="10.5" customHeight="1" x14ac:dyDescent="0.2">
      <c r="G53084" s="889"/>
    </row>
    <row r="53085" spans="7:7" ht="10.5" customHeight="1" x14ac:dyDescent="0.2">
      <c r="G53085" s="889"/>
    </row>
    <row r="53086" spans="7:7" ht="10.5" customHeight="1" x14ac:dyDescent="0.2">
      <c r="G53086" s="889"/>
    </row>
    <row r="53087" spans="7:7" ht="10.5" customHeight="1" x14ac:dyDescent="0.2">
      <c r="G53087" s="889"/>
    </row>
    <row r="53088" spans="7:7" ht="10.5" customHeight="1" x14ac:dyDescent="0.2">
      <c r="G53088" s="889"/>
    </row>
    <row r="53089" spans="7:7" ht="10.5" customHeight="1" x14ac:dyDescent="0.2">
      <c r="G53089" s="889"/>
    </row>
    <row r="53090" spans="7:7" ht="10.5" customHeight="1" x14ac:dyDescent="0.2">
      <c r="G53090" s="889"/>
    </row>
    <row r="53091" spans="7:7" ht="10.5" customHeight="1" x14ac:dyDescent="0.2">
      <c r="G53091" s="889"/>
    </row>
    <row r="53092" spans="7:7" ht="10.5" customHeight="1" x14ac:dyDescent="0.2">
      <c r="G53092" s="889"/>
    </row>
    <row r="53093" spans="7:7" ht="10.5" customHeight="1" x14ac:dyDescent="0.2">
      <c r="G53093" s="889"/>
    </row>
    <row r="53094" spans="7:7" ht="10.5" customHeight="1" x14ac:dyDescent="0.2">
      <c r="G53094" s="889"/>
    </row>
    <row r="53095" spans="7:7" ht="10.5" customHeight="1" x14ac:dyDescent="0.2">
      <c r="G53095" s="889"/>
    </row>
    <row r="53096" spans="7:7" ht="10.5" customHeight="1" x14ac:dyDescent="0.2">
      <c r="G53096" s="889"/>
    </row>
    <row r="53097" spans="7:7" ht="10.5" customHeight="1" x14ac:dyDescent="0.2">
      <c r="G53097" s="889"/>
    </row>
    <row r="53098" spans="7:7" ht="10.5" customHeight="1" x14ac:dyDescent="0.2">
      <c r="G53098" s="889"/>
    </row>
    <row r="53099" spans="7:7" ht="10.5" customHeight="1" x14ac:dyDescent="0.2">
      <c r="G53099" s="889"/>
    </row>
    <row r="53100" spans="7:7" ht="10.5" customHeight="1" x14ac:dyDescent="0.2">
      <c r="G53100" s="889"/>
    </row>
    <row r="53101" spans="7:7" ht="10.5" customHeight="1" x14ac:dyDescent="0.2">
      <c r="G53101" s="889"/>
    </row>
    <row r="53102" spans="7:7" ht="10.5" customHeight="1" x14ac:dyDescent="0.2">
      <c r="G53102" s="889"/>
    </row>
    <row r="53103" spans="7:7" ht="10.5" customHeight="1" x14ac:dyDescent="0.2">
      <c r="G53103" s="889"/>
    </row>
    <row r="53104" spans="7:7" ht="10.5" customHeight="1" x14ac:dyDescent="0.2">
      <c r="G53104" s="889"/>
    </row>
    <row r="53105" spans="7:7" ht="10.5" customHeight="1" x14ac:dyDescent="0.2">
      <c r="G53105" s="889"/>
    </row>
    <row r="53106" spans="7:7" ht="10.5" customHeight="1" x14ac:dyDescent="0.2">
      <c r="G53106" s="889"/>
    </row>
    <row r="53107" spans="7:7" ht="10.5" customHeight="1" x14ac:dyDescent="0.2">
      <c r="G53107" s="889"/>
    </row>
    <row r="53108" spans="7:7" ht="10.5" customHeight="1" x14ac:dyDescent="0.2">
      <c r="G53108" s="889"/>
    </row>
    <row r="53109" spans="7:7" ht="10.5" customHeight="1" x14ac:dyDescent="0.2">
      <c r="G53109" s="889"/>
    </row>
    <row r="53110" spans="7:7" ht="10.5" customHeight="1" x14ac:dyDescent="0.2">
      <c r="G53110" s="889"/>
    </row>
    <row r="53111" spans="7:7" ht="10.5" customHeight="1" x14ac:dyDescent="0.2">
      <c r="G53111" s="889"/>
    </row>
    <row r="53112" spans="7:7" ht="10.5" customHeight="1" x14ac:dyDescent="0.2">
      <c r="G53112" s="889"/>
    </row>
    <row r="53113" spans="7:7" ht="10.5" customHeight="1" x14ac:dyDescent="0.2">
      <c r="G53113" s="889"/>
    </row>
    <row r="53114" spans="7:7" ht="10.5" customHeight="1" x14ac:dyDescent="0.2">
      <c r="G53114" s="889"/>
    </row>
    <row r="53115" spans="7:7" ht="10.5" customHeight="1" x14ac:dyDescent="0.2">
      <c r="G53115" s="889"/>
    </row>
    <row r="53116" spans="7:7" ht="10.5" customHeight="1" x14ac:dyDescent="0.2">
      <c r="G53116" s="889"/>
    </row>
    <row r="53117" spans="7:7" ht="10.5" customHeight="1" x14ac:dyDescent="0.2">
      <c r="G53117" s="889"/>
    </row>
    <row r="53118" spans="7:7" ht="10.5" customHeight="1" x14ac:dyDescent="0.2">
      <c r="G53118" s="889"/>
    </row>
    <row r="53119" spans="7:7" ht="10.5" customHeight="1" x14ac:dyDescent="0.2">
      <c r="G53119" s="889"/>
    </row>
    <row r="53120" spans="7:7" ht="10.5" customHeight="1" x14ac:dyDescent="0.2">
      <c r="G53120" s="889"/>
    </row>
    <row r="53121" spans="7:7" ht="10.5" customHeight="1" x14ac:dyDescent="0.2">
      <c r="G53121" s="889"/>
    </row>
    <row r="53122" spans="7:7" ht="10.5" customHeight="1" x14ac:dyDescent="0.2">
      <c r="G53122" s="889"/>
    </row>
    <row r="53123" spans="7:7" ht="10.5" customHeight="1" x14ac:dyDescent="0.2">
      <c r="G53123" s="889"/>
    </row>
    <row r="53124" spans="7:7" ht="10.5" customHeight="1" x14ac:dyDescent="0.2">
      <c r="G53124" s="889"/>
    </row>
    <row r="53125" spans="7:7" ht="10.5" customHeight="1" x14ac:dyDescent="0.2">
      <c r="G53125" s="889"/>
    </row>
    <row r="53126" spans="7:7" ht="10.5" customHeight="1" x14ac:dyDescent="0.2">
      <c r="G53126" s="889"/>
    </row>
    <row r="53127" spans="7:7" ht="10.5" customHeight="1" x14ac:dyDescent="0.2">
      <c r="G53127" s="889"/>
    </row>
    <row r="53128" spans="7:7" ht="10.5" customHeight="1" x14ac:dyDescent="0.2">
      <c r="G53128" s="889"/>
    </row>
    <row r="53129" spans="7:7" ht="10.5" customHeight="1" x14ac:dyDescent="0.2">
      <c r="G53129" s="889"/>
    </row>
    <row r="53130" spans="7:7" ht="10.5" customHeight="1" x14ac:dyDescent="0.2">
      <c r="G53130" s="889"/>
    </row>
    <row r="53131" spans="7:7" ht="10.5" customHeight="1" x14ac:dyDescent="0.2">
      <c r="G53131" s="889"/>
    </row>
    <row r="53132" spans="7:7" ht="10.5" customHeight="1" x14ac:dyDescent="0.2">
      <c r="G53132" s="889"/>
    </row>
    <row r="53133" spans="7:7" ht="10.5" customHeight="1" x14ac:dyDescent="0.2">
      <c r="G53133" s="889"/>
    </row>
    <row r="53134" spans="7:7" ht="10.5" customHeight="1" x14ac:dyDescent="0.2">
      <c r="G53134" s="889"/>
    </row>
    <row r="53135" spans="7:7" ht="10.5" customHeight="1" x14ac:dyDescent="0.2">
      <c r="G53135" s="889"/>
    </row>
    <row r="53136" spans="7:7" ht="10.5" customHeight="1" x14ac:dyDescent="0.2">
      <c r="G53136" s="889"/>
    </row>
    <row r="53137" spans="7:7" ht="10.5" customHeight="1" x14ac:dyDescent="0.2">
      <c r="G53137" s="889"/>
    </row>
    <row r="53138" spans="7:7" ht="10.5" customHeight="1" x14ac:dyDescent="0.2">
      <c r="G53138" s="889"/>
    </row>
    <row r="53139" spans="7:7" ht="10.5" customHeight="1" x14ac:dyDescent="0.2">
      <c r="G53139" s="889"/>
    </row>
    <row r="53140" spans="7:7" ht="10.5" customHeight="1" x14ac:dyDescent="0.2">
      <c r="G53140" s="889"/>
    </row>
    <row r="53141" spans="7:7" ht="10.5" customHeight="1" x14ac:dyDescent="0.2">
      <c r="G53141" s="889"/>
    </row>
    <row r="53142" spans="7:7" ht="10.5" customHeight="1" x14ac:dyDescent="0.2">
      <c r="G53142" s="889"/>
    </row>
    <row r="53143" spans="7:7" ht="10.5" customHeight="1" x14ac:dyDescent="0.2">
      <c r="G53143" s="889"/>
    </row>
    <row r="53144" spans="7:7" ht="10.5" customHeight="1" x14ac:dyDescent="0.2">
      <c r="G53144" s="889"/>
    </row>
    <row r="53145" spans="7:7" ht="10.5" customHeight="1" x14ac:dyDescent="0.2">
      <c r="G53145" s="889"/>
    </row>
    <row r="53146" spans="7:7" ht="10.5" customHeight="1" x14ac:dyDescent="0.2">
      <c r="G53146" s="889"/>
    </row>
    <row r="53147" spans="7:7" ht="10.5" customHeight="1" x14ac:dyDescent="0.2">
      <c r="G53147" s="889"/>
    </row>
    <row r="53148" spans="7:7" ht="10.5" customHeight="1" x14ac:dyDescent="0.2">
      <c r="G53148" s="889"/>
    </row>
    <row r="53149" spans="7:7" ht="10.5" customHeight="1" x14ac:dyDescent="0.2">
      <c r="G53149" s="889"/>
    </row>
    <row r="53150" spans="7:7" ht="10.5" customHeight="1" x14ac:dyDescent="0.2">
      <c r="G53150" s="889"/>
    </row>
    <row r="53151" spans="7:7" ht="10.5" customHeight="1" x14ac:dyDescent="0.2">
      <c r="G53151" s="889"/>
    </row>
    <row r="53152" spans="7:7" ht="10.5" customHeight="1" x14ac:dyDescent="0.2">
      <c r="G53152" s="889"/>
    </row>
    <row r="53153" spans="7:7" ht="10.5" customHeight="1" x14ac:dyDescent="0.2">
      <c r="G53153" s="889"/>
    </row>
    <row r="53154" spans="7:7" ht="10.5" customHeight="1" x14ac:dyDescent="0.2">
      <c r="G53154" s="889"/>
    </row>
    <row r="53155" spans="7:7" ht="10.5" customHeight="1" x14ac:dyDescent="0.2">
      <c r="G53155" s="889"/>
    </row>
    <row r="53156" spans="7:7" ht="10.5" customHeight="1" x14ac:dyDescent="0.2">
      <c r="G53156" s="889"/>
    </row>
    <row r="53157" spans="7:7" ht="10.5" customHeight="1" x14ac:dyDescent="0.2">
      <c r="G53157" s="889"/>
    </row>
    <row r="53158" spans="7:7" ht="10.5" customHeight="1" x14ac:dyDescent="0.2">
      <c r="G53158" s="889"/>
    </row>
    <row r="53159" spans="7:7" ht="10.5" customHeight="1" x14ac:dyDescent="0.2">
      <c r="G53159" s="889"/>
    </row>
    <row r="53160" spans="7:7" ht="10.5" customHeight="1" x14ac:dyDescent="0.2">
      <c r="G53160" s="889"/>
    </row>
    <row r="53161" spans="7:7" ht="10.5" customHeight="1" x14ac:dyDescent="0.2">
      <c r="G53161" s="889"/>
    </row>
    <row r="53162" spans="7:7" ht="10.5" customHeight="1" x14ac:dyDescent="0.2">
      <c r="G53162" s="889"/>
    </row>
    <row r="53163" spans="7:7" ht="10.5" customHeight="1" x14ac:dyDescent="0.2">
      <c r="G53163" s="889"/>
    </row>
    <row r="53164" spans="7:7" ht="10.5" customHeight="1" x14ac:dyDescent="0.2">
      <c r="G53164" s="889"/>
    </row>
    <row r="53165" spans="7:7" ht="10.5" customHeight="1" x14ac:dyDescent="0.2">
      <c r="G53165" s="889"/>
    </row>
    <row r="53166" spans="7:7" ht="10.5" customHeight="1" x14ac:dyDescent="0.2">
      <c r="G53166" s="889"/>
    </row>
    <row r="53167" spans="7:7" ht="10.5" customHeight="1" x14ac:dyDescent="0.2">
      <c r="G53167" s="889"/>
    </row>
    <row r="53168" spans="7:7" ht="10.5" customHeight="1" x14ac:dyDescent="0.2">
      <c r="G53168" s="889"/>
    </row>
    <row r="53169" spans="7:7" ht="10.5" customHeight="1" x14ac:dyDescent="0.2">
      <c r="G53169" s="889"/>
    </row>
    <row r="53170" spans="7:7" ht="10.5" customHeight="1" x14ac:dyDescent="0.2">
      <c r="G53170" s="889"/>
    </row>
    <row r="53171" spans="7:7" ht="10.5" customHeight="1" x14ac:dyDescent="0.2">
      <c r="G53171" s="889"/>
    </row>
    <row r="53172" spans="7:7" ht="10.5" customHeight="1" x14ac:dyDescent="0.2">
      <c r="G53172" s="889"/>
    </row>
    <row r="53173" spans="7:7" ht="10.5" customHeight="1" x14ac:dyDescent="0.2">
      <c r="G53173" s="889"/>
    </row>
    <row r="53174" spans="7:7" ht="10.5" customHeight="1" x14ac:dyDescent="0.2">
      <c r="G53174" s="889"/>
    </row>
    <row r="53175" spans="7:7" ht="10.5" customHeight="1" x14ac:dyDescent="0.2">
      <c r="G53175" s="889"/>
    </row>
    <row r="53176" spans="7:7" ht="10.5" customHeight="1" x14ac:dyDescent="0.2">
      <c r="G53176" s="889"/>
    </row>
    <row r="53177" spans="7:7" ht="10.5" customHeight="1" x14ac:dyDescent="0.2">
      <c r="G53177" s="889"/>
    </row>
    <row r="53178" spans="7:7" ht="10.5" customHeight="1" x14ac:dyDescent="0.2">
      <c r="G53178" s="889"/>
    </row>
    <row r="53179" spans="7:7" ht="10.5" customHeight="1" x14ac:dyDescent="0.2">
      <c r="G53179" s="889"/>
    </row>
    <row r="53180" spans="7:7" ht="10.5" customHeight="1" x14ac:dyDescent="0.2">
      <c r="G53180" s="889"/>
    </row>
    <row r="53181" spans="7:7" ht="10.5" customHeight="1" x14ac:dyDescent="0.2">
      <c r="G53181" s="889"/>
    </row>
    <row r="53182" spans="7:7" ht="10.5" customHeight="1" x14ac:dyDescent="0.2">
      <c r="G53182" s="889"/>
    </row>
    <row r="53183" spans="7:7" ht="10.5" customHeight="1" x14ac:dyDescent="0.2">
      <c r="G53183" s="889"/>
    </row>
    <row r="53184" spans="7:7" ht="10.5" customHeight="1" x14ac:dyDescent="0.2">
      <c r="G53184" s="889"/>
    </row>
    <row r="53185" spans="7:7" ht="10.5" customHeight="1" x14ac:dyDescent="0.2">
      <c r="G53185" s="889"/>
    </row>
    <row r="53186" spans="7:7" ht="10.5" customHeight="1" x14ac:dyDescent="0.2">
      <c r="G53186" s="889"/>
    </row>
    <row r="53187" spans="7:7" ht="10.5" customHeight="1" x14ac:dyDescent="0.2">
      <c r="G53187" s="889"/>
    </row>
    <row r="53188" spans="7:7" ht="10.5" customHeight="1" x14ac:dyDescent="0.2">
      <c r="G53188" s="889"/>
    </row>
    <row r="53189" spans="7:7" ht="10.5" customHeight="1" x14ac:dyDescent="0.2">
      <c r="G53189" s="889"/>
    </row>
    <row r="53190" spans="7:7" ht="10.5" customHeight="1" x14ac:dyDescent="0.2">
      <c r="G53190" s="889"/>
    </row>
    <row r="53191" spans="7:7" ht="10.5" customHeight="1" x14ac:dyDescent="0.2">
      <c r="G53191" s="889"/>
    </row>
    <row r="53192" spans="7:7" ht="10.5" customHeight="1" x14ac:dyDescent="0.2">
      <c r="G53192" s="889"/>
    </row>
    <row r="53193" spans="7:7" ht="10.5" customHeight="1" x14ac:dyDescent="0.2">
      <c r="G53193" s="889"/>
    </row>
    <row r="53194" spans="7:7" ht="10.5" customHeight="1" x14ac:dyDescent="0.2">
      <c r="G53194" s="889"/>
    </row>
    <row r="53195" spans="7:7" ht="10.5" customHeight="1" x14ac:dyDescent="0.2">
      <c r="G53195" s="889"/>
    </row>
    <row r="53196" spans="7:7" ht="10.5" customHeight="1" x14ac:dyDescent="0.2">
      <c r="G53196" s="889"/>
    </row>
    <row r="53197" spans="7:7" ht="10.5" customHeight="1" x14ac:dyDescent="0.2">
      <c r="G53197" s="889"/>
    </row>
    <row r="53198" spans="7:7" ht="10.5" customHeight="1" x14ac:dyDescent="0.2">
      <c r="G53198" s="889"/>
    </row>
    <row r="53199" spans="7:7" ht="10.5" customHeight="1" x14ac:dyDescent="0.2">
      <c r="G53199" s="889"/>
    </row>
    <row r="53200" spans="7:7" ht="10.5" customHeight="1" x14ac:dyDescent="0.2">
      <c r="G53200" s="889"/>
    </row>
    <row r="53201" spans="7:7" ht="10.5" customHeight="1" x14ac:dyDescent="0.2">
      <c r="G53201" s="889"/>
    </row>
    <row r="53202" spans="7:7" ht="10.5" customHeight="1" x14ac:dyDescent="0.2">
      <c r="G53202" s="889"/>
    </row>
    <row r="53203" spans="7:7" ht="10.5" customHeight="1" x14ac:dyDescent="0.2">
      <c r="G53203" s="889"/>
    </row>
    <row r="53204" spans="7:7" ht="10.5" customHeight="1" x14ac:dyDescent="0.2">
      <c r="G53204" s="889"/>
    </row>
    <row r="53205" spans="7:7" ht="10.5" customHeight="1" x14ac:dyDescent="0.2">
      <c r="G53205" s="889"/>
    </row>
    <row r="53206" spans="7:7" ht="10.5" customHeight="1" x14ac:dyDescent="0.2">
      <c r="G53206" s="889"/>
    </row>
    <row r="53207" spans="7:7" ht="10.5" customHeight="1" x14ac:dyDescent="0.2">
      <c r="G53207" s="889"/>
    </row>
    <row r="53208" spans="7:7" ht="10.5" customHeight="1" x14ac:dyDescent="0.2">
      <c r="G53208" s="889"/>
    </row>
    <row r="53209" spans="7:7" ht="10.5" customHeight="1" x14ac:dyDescent="0.2">
      <c r="G53209" s="889"/>
    </row>
    <row r="53210" spans="7:7" ht="10.5" customHeight="1" x14ac:dyDescent="0.2">
      <c r="G53210" s="889"/>
    </row>
    <row r="53211" spans="7:7" ht="10.5" customHeight="1" x14ac:dyDescent="0.2">
      <c r="G53211" s="889"/>
    </row>
    <row r="53212" spans="7:7" ht="10.5" customHeight="1" x14ac:dyDescent="0.2">
      <c r="G53212" s="889"/>
    </row>
    <row r="53213" spans="7:7" ht="10.5" customHeight="1" x14ac:dyDescent="0.2">
      <c r="G53213" s="889"/>
    </row>
    <row r="53214" spans="7:7" ht="10.5" customHeight="1" x14ac:dyDescent="0.2">
      <c r="G53214" s="889"/>
    </row>
    <row r="53215" spans="7:7" ht="10.5" customHeight="1" x14ac:dyDescent="0.2">
      <c r="G53215" s="889"/>
    </row>
    <row r="53216" spans="7:7" ht="10.5" customHeight="1" x14ac:dyDescent="0.2">
      <c r="G53216" s="889"/>
    </row>
    <row r="53217" spans="7:7" ht="10.5" customHeight="1" x14ac:dyDescent="0.2">
      <c r="G53217" s="889"/>
    </row>
    <row r="53218" spans="7:7" ht="10.5" customHeight="1" x14ac:dyDescent="0.2">
      <c r="G53218" s="889"/>
    </row>
    <row r="53219" spans="7:7" ht="10.5" customHeight="1" x14ac:dyDescent="0.2">
      <c r="G53219" s="889"/>
    </row>
    <row r="53220" spans="7:7" ht="10.5" customHeight="1" x14ac:dyDescent="0.2">
      <c r="G53220" s="889"/>
    </row>
    <row r="53221" spans="7:7" ht="10.5" customHeight="1" x14ac:dyDescent="0.2">
      <c r="G53221" s="889"/>
    </row>
    <row r="53222" spans="7:7" ht="10.5" customHeight="1" x14ac:dyDescent="0.2">
      <c r="G53222" s="889"/>
    </row>
    <row r="53223" spans="7:7" ht="10.5" customHeight="1" x14ac:dyDescent="0.2">
      <c r="G53223" s="889"/>
    </row>
    <row r="53224" spans="7:7" ht="10.5" customHeight="1" x14ac:dyDescent="0.2">
      <c r="G53224" s="889"/>
    </row>
    <row r="53225" spans="7:7" ht="10.5" customHeight="1" x14ac:dyDescent="0.2">
      <c r="G53225" s="889"/>
    </row>
    <row r="53226" spans="7:7" ht="10.5" customHeight="1" x14ac:dyDescent="0.2">
      <c r="G53226" s="889"/>
    </row>
    <row r="53227" spans="7:7" ht="10.5" customHeight="1" x14ac:dyDescent="0.2">
      <c r="G53227" s="889"/>
    </row>
    <row r="53228" spans="7:7" ht="10.5" customHeight="1" x14ac:dyDescent="0.2">
      <c r="G53228" s="889"/>
    </row>
    <row r="53229" spans="7:7" ht="10.5" customHeight="1" x14ac:dyDescent="0.2">
      <c r="G53229" s="889"/>
    </row>
    <row r="53230" spans="7:7" ht="10.5" customHeight="1" x14ac:dyDescent="0.2">
      <c r="G53230" s="889"/>
    </row>
    <row r="53231" spans="7:7" ht="10.5" customHeight="1" x14ac:dyDescent="0.2">
      <c r="G53231" s="889"/>
    </row>
    <row r="53232" spans="7:7" ht="10.5" customHeight="1" x14ac:dyDescent="0.2">
      <c r="G53232" s="889"/>
    </row>
    <row r="53233" spans="7:7" ht="10.5" customHeight="1" x14ac:dyDescent="0.2">
      <c r="G53233" s="889"/>
    </row>
    <row r="53234" spans="7:7" ht="10.5" customHeight="1" x14ac:dyDescent="0.2">
      <c r="G53234" s="889"/>
    </row>
    <row r="53235" spans="7:7" ht="10.5" customHeight="1" x14ac:dyDescent="0.2">
      <c r="G53235" s="889"/>
    </row>
    <row r="53236" spans="7:7" ht="10.5" customHeight="1" x14ac:dyDescent="0.2">
      <c r="G53236" s="889"/>
    </row>
    <row r="53237" spans="7:7" ht="10.5" customHeight="1" x14ac:dyDescent="0.2">
      <c r="G53237" s="889"/>
    </row>
    <row r="53238" spans="7:7" ht="10.5" customHeight="1" x14ac:dyDescent="0.2">
      <c r="G53238" s="889"/>
    </row>
    <row r="53239" spans="7:7" ht="10.5" customHeight="1" x14ac:dyDescent="0.2">
      <c r="G53239" s="889"/>
    </row>
    <row r="53240" spans="7:7" ht="10.5" customHeight="1" x14ac:dyDescent="0.2">
      <c r="G53240" s="889"/>
    </row>
    <row r="53241" spans="7:7" ht="10.5" customHeight="1" x14ac:dyDescent="0.2">
      <c r="G53241" s="889"/>
    </row>
    <row r="53242" spans="7:7" ht="10.5" customHeight="1" x14ac:dyDescent="0.2">
      <c r="G53242" s="889"/>
    </row>
    <row r="53243" spans="7:7" ht="10.5" customHeight="1" x14ac:dyDescent="0.2">
      <c r="G53243" s="889"/>
    </row>
    <row r="53244" spans="7:7" ht="10.5" customHeight="1" x14ac:dyDescent="0.2">
      <c r="G53244" s="889"/>
    </row>
    <row r="53245" spans="7:7" ht="10.5" customHeight="1" x14ac:dyDescent="0.2">
      <c r="G53245" s="889"/>
    </row>
    <row r="53246" spans="7:7" ht="10.5" customHeight="1" x14ac:dyDescent="0.2">
      <c r="G53246" s="889"/>
    </row>
    <row r="53247" spans="7:7" ht="10.5" customHeight="1" x14ac:dyDescent="0.2">
      <c r="G53247" s="889"/>
    </row>
    <row r="53248" spans="7:7" ht="10.5" customHeight="1" x14ac:dyDescent="0.2">
      <c r="G53248" s="889"/>
    </row>
    <row r="53249" spans="7:7" ht="10.5" customHeight="1" x14ac:dyDescent="0.2">
      <c r="G53249" s="889"/>
    </row>
    <row r="53250" spans="7:7" ht="10.5" customHeight="1" x14ac:dyDescent="0.2">
      <c r="G53250" s="889"/>
    </row>
    <row r="53251" spans="7:7" ht="10.5" customHeight="1" x14ac:dyDescent="0.2">
      <c r="G53251" s="889"/>
    </row>
    <row r="53252" spans="7:7" ht="10.5" customHeight="1" x14ac:dyDescent="0.2">
      <c r="G53252" s="889"/>
    </row>
    <row r="53253" spans="7:7" ht="10.5" customHeight="1" x14ac:dyDescent="0.2">
      <c r="G53253" s="889"/>
    </row>
    <row r="53254" spans="7:7" ht="10.5" customHeight="1" x14ac:dyDescent="0.2">
      <c r="G53254" s="889"/>
    </row>
    <row r="53255" spans="7:7" ht="10.5" customHeight="1" x14ac:dyDescent="0.2">
      <c r="G53255" s="889"/>
    </row>
    <row r="53256" spans="7:7" ht="10.5" customHeight="1" x14ac:dyDescent="0.2">
      <c r="G53256" s="889"/>
    </row>
    <row r="53257" spans="7:7" ht="10.5" customHeight="1" x14ac:dyDescent="0.2">
      <c r="G53257" s="889"/>
    </row>
    <row r="53258" spans="7:7" ht="10.5" customHeight="1" x14ac:dyDescent="0.2">
      <c r="G53258" s="889"/>
    </row>
    <row r="53259" spans="7:7" ht="10.5" customHeight="1" x14ac:dyDescent="0.2">
      <c r="G53259" s="889"/>
    </row>
    <row r="53260" spans="7:7" ht="10.5" customHeight="1" x14ac:dyDescent="0.2">
      <c r="G53260" s="889"/>
    </row>
    <row r="53261" spans="7:7" ht="10.5" customHeight="1" x14ac:dyDescent="0.2">
      <c r="G53261" s="889"/>
    </row>
    <row r="53262" spans="7:7" ht="10.5" customHeight="1" x14ac:dyDescent="0.2">
      <c r="G53262" s="889"/>
    </row>
    <row r="53263" spans="7:7" ht="10.5" customHeight="1" x14ac:dyDescent="0.2">
      <c r="G53263" s="889"/>
    </row>
    <row r="53264" spans="7:7" ht="10.5" customHeight="1" x14ac:dyDescent="0.2">
      <c r="G53264" s="889"/>
    </row>
    <row r="53265" spans="7:7" ht="10.5" customHeight="1" x14ac:dyDescent="0.2">
      <c r="G53265" s="889"/>
    </row>
    <row r="53266" spans="7:7" ht="10.5" customHeight="1" x14ac:dyDescent="0.2">
      <c r="G53266" s="889"/>
    </row>
    <row r="53267" spans="7:7" ht="10.5" customHeight="1" x14ac:dyDescent="0.2">
      <c r="G53267" s="889"/>
    </row>
    <row r="53268" spans="7:7" ht="10.5" customHeight="1" x14ac:dyDescent="0.2">
      <c r="G53268" s="889"/>
    </row>
    <row r="53269" spans="7:7" ht="10.5" customHeight="1" x14ac:dyDescent="0.2">
      <c r="G53269" s="889"/>
    </row>
    <row r="53270" spans="7:7" ht="10.5" customHeight="1" x14ac:dyDescent="0.2">
      <c r="G53270" s="889"/>
    </row>
    <row r="53271" spans="7:7" ht="10.5" customHeight="1" x14ac:dyDescent="0.2">
      <c r="G53271" s="889"/>
    </row>
    <row r="53272" spans="7:7" ht="10.5" customHeight="1" x14ac:dyDescent="0.2">
      <c r="G53272" s="889"/>
    </row>
    <row r="53273" spans="7:7" ht="10.5" customHeight="1" x14ac:dyDescent="0.2">
      <c r="G53273" s="889"/>
    </row>
    <row r="53274" spans="7:7" ht="10.5" customHeight="1" x14ac:dyDescent="0.2">
      <c r="G53274" s="889"/>
    </row>
    <row r="53275" spans="7:7" ht="10.5" customHeight="1" x14ac:dyDescent="0.2">
      <c r="G53275" s="889"/>
    </row>
    <row r="53276" spans="7:7" ht="10.5" customHeight="1" x14ac:dyDescent="0.2">
      <c r="G53276" s="889"/>
    </row>
    <row r="53277" spans="7:7" ht="10.5" customHeight="1" x14ac:dyDescent="0.2">
      <c r="G53277" s="889"/>
    </row>
    <row r="53278" spans="7:7" ht="10.5" customHeight="1" x14ac:dyDescent="0.2">
      <c r="G53278" s="889"/>
    </row>
    <row r="53279" spans="7:7" ht="10.5" customHeight="1" x14ac:dyDescent="0.2">
      <c r="G53279" s="889"/>
    </row>
    <row r="53280" spans="7:7" ht="10.5" customHeight="1" x14ac:dyDescent="0.2">
      <c r="G53280" s="889"/>
    </row>
    <row r="53281" spans="7:7" ht="10.5" customHeight="1" x14ac:dyDescent="0.2">
      <c r="G53281" s="889"/>
    </row>
    <row r="53282" spans="7:7" ht="10.5" customHeight="1" x14ac:dyDescent="0.2">
      <c r="G53282" s="889"/>
    </row>
    <row r="53283" spans="7:7" ht="10.5" customHeight="1" x14ac:dyDescent="0.2">
      <c r="G53283" s="889"/>
    </row>
    <row r="53284" spans="7:7" ht="10.5" customHeight="1" x14ac:dyDescent="0.2">
      <c r="G53284" s="889"/>
    </row>
    <row r="53285" spans="7:7" ht="10.5" customHeight="1" x14ac:dyDescent="0.2">
      <c r="G53285" s="889"/>
    </row>
    <row r="53286" spans="7:7" ht="10.5" customHeight="1" x14ac:dyDescent="0.2">
      <c r="G53286" s="889"/>
    </row>
    <row r="53287" spans="7:7" ht="10.5" customHeight="1" x14ac:dyDescent="0.2">
      <c r="G53287" s="889"/>
    </row>
    <row r="53288" spans="7:7" ht="10.5" customHeight="1" x14ac:dyDescent="0.2">
      <c r="G53288" s="889"/>
    </row>
    <row r="53289" spans="7:7" ht="10.5" customHeight="1" x14ac:dyDescent="0.2">
      <c r="G53289" s="889"/>
    </row>
    <row r="53290" spans="7:7" ht="10.5" customHeight="1" x14ac:dyDescent="0.2">
      <c r="G53290" s="889"/>
    </row>
    <row r="53291" spans="7:7" ht="10.5" customHeight="1" x14ac:dyDescent="0.2">
      <c r="G53291" s="889"/>
    </row>
    <row r="53292" spans="7:7" ht="10.5" customHeight="1" x14ac:dyDescent="0.2">
      <c r="G53292" s="889"/>
    </row>
    <row r="53293" spans="7:7" ht="10.5" customHeight="1" x14ac:dyDescent="0.2">
      <c r="G53293" s="889"/>
    </row>
    <row r="53294" spans="7:7" ht="10.5" customHeight="1" x14ac:dyDescent="0.2">
      <c r="G53294" s="889"/>
    </row>
    <row r="53295" spans="7:7" ht="10.5" customHeight="1" x14ac:dyDescent="0.2">
      <c r="G53295" s="889"/>
    </row>
    <row r="53296" spans="7:7" ht="10.5" customHeight="1" x14ac:dyDescent="0.2">
      <c r="G53296" s="889"/>
    </row>
    <row r="53297" spans="7:7" ht="10.5" customHeight="1" x14ac:dyDescent="0.2">
      <c r="G53297" s="889"/>
    </row>
    <row r="53298" spans="7:7" ht="10.5" customHeight="1" x14ac:dyDescent="0.2">
      <c r="G53298" s="889"/>
    </row>
    <row r="53299" spans="7:7" ht="10.5" customHeight="1" x14ac:dyDescent="0.2">
      <c r="G53299" s="889"/>
    </row>
    <row r="53300" spans="7:7" ht="10.5" customHeight="1" x14ac:dyDescent="0.2">
      <c r="G53300" s="889"/>
    </row>
    <row r="53301" spans="7:7" ht="10.5" customHeight="1" x14ac:dyDescent="0.2">
      <c r="G53301" s="889"/>
    </row>
    <row r="53302" spans="7:7" ht="10.5" customHeight="1" x14ac:dyDescent="0.2">
      <c r="G53302" s="889"/>
    </row>
    <row r="53303" spans="7:7" ht="10.5" customHeight="1" x14ac:dyDescent="0.2">
      <c r="G53303" s="889"/>
    </row>
    <row r="53304" spans="7:7" ht="10.5" customHeight="1" x14ac:dyDescent="0.2">
      <c r="G53304" s="889"/>
    </row>
    <row r="53305" spans="7:7" ht="10.5" customHeight="1" x14ac:dyDescent="0.2">
      <c r="G53305" s="889"/>
    </row>
    <row r="53306" spans="7:7" ht="10.5" customHeight="1" x14ac:dyDescent="0.2">
      <c r="G53306" s="889"/>
    </row>
    <row r="53307" spans="7:7" ht="10.5" customHeight="1" x14ac:dyDescent="0.2">
      <c r="G53307" s="889"/>
    </row>
    <row r="53308" spans="7:7" ht="10.5" customHeight="1" x14ac:dyDescent="0.2">
      <c r="G53308" s="889"/>
    </row>
    <row r="53309" spans="7:7" ht="10.5" customHeight="1" x14ac:dyDescent="0.2">
      <c r="G53309" s="889"/>
    </row>
    <row r="53310" spans="7:7" ht="10.5" customHeight="1" x14ac:dyDescent="0.2">
      <c r="G53310" s="889"/>
    </row>
    <row r="53311" spans="7:7" ht="10.5" customHeight="1" x14ac:dyDescent="0.2">
      <c r="G53311" s="889"/>
    </row>
    <row r="53312" spans="7:7" ht="10.5" customHeight="1" x14ac:dyDescent="0.2">
      <c r="G53312" s="889"/>
    </row>
    <row r="53313" spans="7:7" ht="10.5" customHeight="1" x14ac:dyDescent="0.2">
      <c r="G53313" s="889"/>
    </row>
    <row r="53314" spans="7:7" ht="10.5" customHeight="1" x14ac:dyDescent="0.2">
      <c r="G53314" s="889"/>
    </row>
    <row r="53315" spans="7:7" ht="10.5" customHeight="1" x14ac:dyDescent="0.2">
      <c r="G53315" s="889"/>
    </row>
    <row r="53316" spans="7:7" ht="10.5" customHeight="1" x14ac:dyDescent="0.2">
      <c r="G53316" s="889"/>
    </row>
    <row r="53317" spans="7:7" ht="10.5" customHeight="1" x14ac:dyDescent="0.2">
      <c r="G53317" s="889"/>
    </row>
    <row r="53318" spans="7:7" ht="10.5" customHeight="1" x14ac:dyDescent="0.2">
      <c r="G53318" s="889"/>
    </row>
    <row r="53319" spans="7:7" ht="10.5" customHeight="1" x14ac:dyDescent="0.2">
      <c r="G53319" s="889"/>
    </row>
    <row r="53320" spans="7:7" ht="10.5" customHeight="1" x14ac:dyDescent="0.2">
      <c r="G53320" s="889"/>
    </row>
    <row r="53321" spans="7:7" ht="10.5" customHeight="1" x14ac:dyDescent="0.2">
      <c r="G53321" s="889"/>
    </row>
    <row r="53322" spans="7:7" ht="10.5" customHeight="1" x14ac:dyDescent="0.2">
      <c r="G53322" s="889"/>
    </row>
    <row r="53323" spans="7:7" ht="10.5" customHeight="1" x14ac:dyDescent="0.2">
      <c r="G53323" s="889"/>
    </row>
    <row r="53324" spans="7:7" ht="10.5" customHeight="1" x14ac:dyDescent="0.2">
      <c r="G53324" s="889"/>
    </row>
    <row r="53325" spans="7:7" ht="10.5" customHeight="1" x14ac:dyDescent="0.2">
      <c r="G53325" s="889"/>
    </row>
    <row r="53326" spans="7:7" ht="10.5" customHeight="1" x14ac:dyDescent="0.2">
      <c r="G53326" s="889"/>
    </row>
    <row r="53327" spans="7:7" ht="10.5" customHeight="1" x14ac:dyDescent="0.2">
      <c r="G53327" s="889"/>
    </row>
    <row r="53328" spans="7:7" ht="10.5" customHeight="1" x14ac:dyDescent="0.2">
      <c r="G53328" s="889"/>
    </row>
    <row r="53329" spans="7:7" ht="10.5" customHeight="1" x14ac:dyDescent="0.2">
      <c r="G53329" s="889"/>
    </row>
    <row r="53330" spans="7:7" ht="10.5" customHeight="1" x14ac:dyDescent="0.2">
      <c r="G53330" s="889"/>
    </row>
    <row r="53331" spans="7:7" ht="10.5" customHeight="1" x14ac:dyDescent="0.2">
      <c r="G53331" s="889"/>
    </row>
    <row r="53332" spans="7:7" ht="10.5" customHeight="1" x14ac:dyDescent="0.2">
      <c r="G53332" s="889"/>
    </row>
    <row r="53333" spans="7:7" ht="10.5" customHeight="1" x14ac:dyDescent="0.2">
      <c r="G53333" s="889"/>
    </row>
    <row r="53334" spans="7:7" ht="10.5" customHeight="1" x14ac:dyDescent="0.2">
      <c r="G53334" s="889"/>
    </row>
    <row r="53335" spans="7:7" ht="10.5" customHeight="1" x14ac:dyDescent="0.2">
      <c r="G53335" s="889"/>
    </row>
    <row r="53336" spans="7:7" ht="10.5" customHeight="1" x14ac:dyDescent="0.2">
      <c r="G53336" s="889"/>
    </row>
    <row r="53337" spans="7:7" ht="10.5" customHeight="1" x14ac:dyDescent="0.2">
      <c r="G53337" s="889"/>
    </row>
    <row r="53338" spans="7:7" ht="10.5" customHeight="1" x14ac:dyDescent="0.2">
      <c r="G53338" s="889"/>
    </row>
    <row r="53339" spans="7:7" ht="10.5" customHeight="1" x14ac:dyDescent="0.2">
      <c r="G53339" s="889"/>
    </row>
    <row r="53340" spans="7:7" ht="10.5" customHeight="1" x14ac:dyDescent="0.2">
      <c r="G53340" s="889"/>
    </row>
    <row r="53341" spans="7:7" ht="10.5" customHeight="1" x14ac:dyDescent="0.2">
      <c r="G53341" s="889"/>
    </row>
    <row r="53342" spans="7:7" ht="10.5" customHeight="1" x14ac:dyDescent="0.2">
      <c r="G53342" s="889"/>
    </row>
    <row r="53343" spans="7:7" ht="10.5" customHeight="1" x14ac:dyDescent="0.2">
      <c r="G53343" s="889"/>
    </row>
    <row r="53344" spans="7:7" ht="10.5" customHeight="1" x14ac:dyDescent="0.2">
      <c r="G53344" s="889"/>
    </row>
    <row r="53345" spans="7:7" ht="10.5" customHeight="1" x14ac:dyDescent="0.2">
      <c r="G53345" s="889"/>
    </row>
    <row r="53346" spans="7:7" ht="10.5" customHeight="1" x14ac:dyDescent="0.2">
      <c r="G53346" s="889"/>
    </row>
    <row r="53347" spans="7:7" ht="10.5" customHeight="1" x14ac:dyDescent="0.2">
      <c r="G53347" s="889"/>
    </row>
    <row r="53348" spans="7:7" ht="10.5" customHeight="1" x14ac:dyDescent="0.2">
      <c r="G53348" s="889"/>
    </row>
    <row r="53349" spans="7:7" ht="10.5" customHeight="1" x14ac:dyDescent="0.2">
      <c r="G53349" s="889"/>
    </row>
    <row r="53350" spans="7:7" ht="10.5" customHeight="1" x14ac:dyDescent="0.2">
      <c r="G53350" s="889"/>
    </row>
    <row r="53351" spans="7:7" ht="10.5" customHeight="1" x14ac:dyDescent="0.2">
      <c r="G53351" s="889"/>
    </row>
    <row r="53352" spans="7:7" ht="10.5" customHeight="1" x14ac:dyDescent="0.2">
      <c r="G53352" s="889"/>
    </row>
    <row r="53353" spans="7:7" ht="10.5" customHeight="1" x14ac:dyDescent="0.2">
      <c r="G53353" s="889"/>
    </row>
    <row r="53354" spans="7:7" ht="10.5" customHeight="1" x14ac:dyDescent="0.2">
      <c r="G53354" s="889"/>
    </row>
    <row r="53355" spans="7:7" ht="10.5" customHeight="1" x14ac:dyDescent="0.2">
      <c r="G53355" s="889"/>
    </row>
    <row r="53356" spans="7:7" ht="10.5" customHeight="1" x14ac:dyDescent="0.2">
      <c r="G53356" s="889"/>
    </row>
    <row r="53357" spans="7:7" ht="10.5" customHeight="1" x14ac:dyDescent="0.2">
      <c r="G53357" s="889"/>
    </row>
    <row r="53358" spans="7:7" ht="10.5" customHeight="1" x14ac:dyDescent="0.2">
      <c r="G53358" s="889"/>
    </row>
    <row r="53359" spans="7:7" ht="10.5" customHeight="1" x14ac:dyDescent="0.2">
      <c r="G53359" s="889"/>
    </row>
    <row r="53360" spans="7:7" ht="10.5" customHeight="1" x14ac:dyDescent="0.2">
      <c r="G53360" s="889"/>
    </row>
    <row r="53361" spans="7:7" ht="10.5" customHeight="1" x14ac:dyDescent="0.2">
      <c r="G53361" s="889"/>
    </row>
    <row r="53362" spans="7:7" ht="10.5" customHeight="1" x14ac:dyDescent="0.2">
      <c r="G53362" s="889"/>
    </row>
    <row r="53363" spans="7:7" ht="10.5" customHeight="1" x14ac:dyDescent="0.2">
      <c r="G53363" s="889"/>
    </row>
    <row r="53364" spans="7:7" ht="10.5" customHeight="1" x14ac:dyDescent="0.2">
      <c r="G53364" s="889"/>
    </row>
    <row r="53365" spans="7:7" ht="10.5" customHeight="1" x14ac:dyDescent="0.2">
      <c r="G53365" s="889"/>
    </row>
    <row r="53366" spans="7:7" ht="10.5" customHeight="1" x14ac:dyDescent="0.2">
      <c r="G53366" s="889"/>
    </row>
    <row r="53367" spans="7:7" ht="10.5" customHeight="1" x14ac:dyDescent="0.2">
      <c r="G53367" s="889"/>
    </row>
    <row r="53368" spans="7:7" ht="10.5" customHeight="1" x14ac:dyDescent="0.2">
      <c r="G53368" s="889"/>
    </row>
    <row r="53369" spans="7:7" ht="10.5" customHeight="1" x14ac:dyDescent="0.2">
      <c r="G53369" s="889"/>
    </row>
    <row r="53370" spans="7:7" ht="10.5" customHeight="1" x14ac:dyDescent="0.2">
      <c r="G53370" s="889"/>
    </row>
    <row r="53371" spans="7:7" ht="10.5" customHeight="1" x14ac:dyDescent="0.2">
      <c r="G53371" s="889"/>
    </row>
    <row r="53372" spans="7:7" ht="10.5" customHeight="1" x14ac:dyDescent="0.2">
      <c r="G53372" s="889"/>
    </row>
    <row r="53373" spans="7:7" ht="10.5" customHeight="1" x14ac:dyDescent="0.2">
      <c r="G53373" s="889"/>
    </row>
    <row r="53374" spans="7:7" ht="10.5" customHeight="1" x14ac:dyDescent="0.2">
      <c r="G53374" s="889"/>
    </row>
    <row r="53375" spans="7:7" ht="10.5" customHeight="1" x14ac:dyDescent="0.2">
      <c r="G53375" s="889"/>
    </row>
    <row r="53376" spans="7:7" ht="10.5" customHeight="1" x14ac:dyDescent="0.2">
      <c r="G53376" s="889"/>
    </row>
    <row r="53377" spans="7:7" ht="10.5" customHeight="1" x14ac:dyDescent="0.2">
      <c r="G53377" s="889"/>
    </row>
    <row r="53378" spans="7:7" ht="10.5" customHeight="1" x14ac:dyDescent="0.2">
      <c r="G53378" s="889"/>
    </row>
    <row r="53379" spans="7:7" ht="10.5" customHeight="1" x14ac:dyDescent="0.2">
      <c r="G53379" s="889"/>
    </row>
    <row r="53380" spans="7:7" ht="10.5" customHeight="1" x14ac:dyDescent="0.2">
      <c r="G53380" s="889"/>
    </row>
    <row r="53381" spans="7:7" ht="10.5" customHeight="1" x14ac:dyDescent="0.2">
      <c r="G53381" s="889"/>
    </row>
    <row r="53382" spans="7:7" ht="10.5" customHeight="1" x14ac:dyDescent="0.2">
      <c r="G53382" s="889"/>
    </row>
    <row r="53383" spans="7:7" ht="10.5" customHeight="1" x14ac:dyDescent="0.2">
      <c r="G53383" s="889"/>
    </row>
    <row r="53384" spans="7:7" ht="10.5" customHeight="1" x14ac:dyDescent="0.2">
      <c r="G53384" s="889"/>
    </row>
    <row r="53385" spans="7:7" ht="10.5" customHeight="1" x14ac:dyDescent="0.2">
      <c r="G53385" s="889"/>
    </row>
    <row r="53386" spans="7:7" ht="10.5" customHeight="1" x14ac:dyDescent="0.2">
      <c r="G53386" s="889"/>
    </row>
    <row r="53387" spans="7:7" ht="10.5" customHeight="1" x14ac:dyDescent="0.2">
      <c r="G53387" s="889"/>
    </row>
    <row r="53388" spans="7:7" ht="10.5" customHeight="1" x14ac:dyDescent="0.2">
      <c r="G53388" s="889"/>
    </row>
    <row r="53389" spans="7:7" ht="10.5" customHeight="1" x14ac:dyDescent="0.2">
      <c r="G53389" s="889"/>
    </row>
    <row r="53390" spans="7:7" ht="10.5" customHeight="1" x14ac:dyDescent="0.2">
      <c r="G53390" s="889"/>
    </row>
    <row r="53391" spans="7:7" ht="10.5" customHeight="1" x14ac:dyDescent="0.2">
      <c r="G53391" s="889"/>
    </row>
    <row r="53392" spans="7:7" ht="10.5" customHeight="1" x14ac:dyDescent="0.2">
      <c r="G53392" s="889"/>
    </row>
    <row r="53393" spans="7:7" ht="10.5" customHeight="1" x14ac:dyDescent="0.2">
      <c r="G53393" s="889"/>
    </row>
    <row r="53394" spans="7:7" ht="10.5" customHeight="1" x14ac:dyDescent="0.2">
      <c r="G53394" s="889"/>
    </row>
    <row r="53395" spans="7:7" ht="10.5" customHeight="1" x14ac:dyDescent="0.2">
      <c r="G53395" s="889"/>
    </row>
    <row r="53396" spans="7:7" ht="10.5" customHeight="1" x14ac:dyDescent="0.2">
      <c r="G53396" s="889"/>
    </row>
    <row r="53397" spans="7:7" ht="10.5" customHeight="1" x14ac:dyDescent="0.2">
      <c r="G53397" s="889"/>
    </row>
    <row r="53398" spans="7:7" ht="10.5" customHeight="1" x14ac:dyDescent="0.2">
      <c r="G53398" s="889"/>
    </row>
    <row r="53399" spans="7:7" ht="10.5" customHeight="1" x14ac:dyDescent="0.2">
      <c r="G53399" s="889"/>
    </row>
    <row r="53400" spans="7:7" ht="10.5" customHeight="1" x14ac:dyDescent="0.2">
      <c r="G53400" s="889"/>
    </row>
    <row r="53401" spans="7:7" ht="10.5" customHeight="1" x14ac:dyDescent="0.2">
      <c r="G53401" s="889"/>
    </row>
    <row r="53402" spans="7:7" ht="10.5" customHeight="1" x14ac:dyDescent="0.2">
      <c r="G53402" s="889"/>
    </row>
    <row r="53403" spans="7:7" ht="10.5" customHeight="1" x14ac:dyDescent="0.2">
      <c r="G53403" s="889"/>
    </row>
    <row r="53404" spans="7:7" ht="10.5" customHeight="1" x14ac:dyDescent="0.2">
      <c r="G53404" s="889"/>
    </row>
    <row r="53405" spans="7:7" ht="10.5" customHeight="1" x14ac:dyDescent="0.2">
      <c r="G53405" s="889"/>
    </row>
    <row r="53406" spans="7:7" ht="10.5" customHeight="1" x14ac:dyDescent="0.2">
      <c r="G53406" s="889"/>
    </row>
    <row r="53407" spans="7:7" ht="10.5" customHeight="1" x14ac:dyDescent="0.2">
      <c r="G53407" s="889"/>
    </row>
    <row r="53408" spans="7:7" ht="10.5" customHeight="1" x14ac:dyDescent="0.2">
      <c r="G53408" s="889"/>
    </row>
    <row r="53409" spans="7:7" ht="10.5" customHeight="1" x14ac:dyDescent="0.2">
      <c r="G53409" s="889"/>
    </row>
    <row r="53410" spans="7:7" ht="10.5" customHeight="1" x14ac:dyDescent="0.2">
      <c r="G53410" s="889"/>
    </row>
    <row r="53411" spans="7:7" ht="10.5" customHeight="1" x14ac:dyDescent="0.2">
      <c r="G53411" s="889"/>
    </row>
    <row r="53412" spans="7:7" ht="10.5" customHeight="1" x14ac:dyDescent="0.2">
      <c r="G53412" s="889"/>
    </row>
    <row r="53413" spans="7:7" ht="10.5" customHeight="1" x14ac:dyDescent="0.2">
      <c r="G53413" s="889"/>
    </row>
    <row r="53414" spans="7:7" ht="10.5" customHeight="1" x14ac:dyDescent="0.2">
      <c r="G53414" s="889"/>
    </row>
    <row r="53415" spans="7:7" ht="10.5" customHeight="1" x14ac:dyDescent="0.2">
      <c r="G53415" s="889"/>
    </row>
    <row r="53416" spans="7:7" ht="10.5" customHeight="1" x14ac:dyDescent="0.2">
      <c r="G53416" s="889"/>
    </row>
    <row r="53417" spans="7:7" ht="10.5" customHeight="1" x14ac:dyDescent="0.2">
      <c r="G53417" s="889"/>
    </row>
    <row r="53418" spans="7:7" ht="10.5" customHeight="1" x14ac:dyDescent="0.2">
      <c r="G53418" s="889"/>
    </row>
    <row r="53419" spans="7:7" ht="10.5" customHeight="1" x14ac:dyDescent="0.2">
      <c r="G53419" s="889"/>
    </row>
    <row r="53420" spans="7:7" ht="10.5" customHeight="1" x14ac:dyDescent="0.2">
      <c r="G53420" s="889"/>
    </row>
    <row r="53421" spans="7:7" ht="10.5" customHeight="1" x14ac:dyDescent="0.2">
      <c r="G53421" s="889"/>
    </row>
    <row r="53422" spans="7:7" ht="10.5" customHeight="1" x14ac:dyDescent="0.2">
      <c r="G53422" s="889"/>
    </row>
    <row r="53423" spans="7:7" ht="10.5" customHeight="1" x14ac:dyDescent="0.2">
      <c r="G53423" s="889"/>
    </row>
    <row r="53424" spans="7:7" ht="10.5" customHeight="1" x14ac:dyDescent="0.2">
      <c r="G53424" s="889"/>
    </row>
    <row r="53425" spans="7:7" ht="10.5" customHeight="1" x14ac:dyDescent="0.2">
      <c r="G53425" s="889"/>
    </row>
    <row r="53426" spans="7:7" ht="10.5" customHeight="1" x14ac:dyDescent="0.2">
      <c r="G53426" s="889"/>
    </row>
    <row r="53427" spans="7:7" ht="10.5" customHeight="1" x14ac:dyDescent="0.2">
      <c r="G53427" s="889"/>
    </row>
    <row r="53428" spans="7:7" ht="10.5" customHeight="1" x14ac:dyDescent="0.2">
      <c r="G53428" s="889"/>
    </row>
    <row r="53429" spans="7:7" ht="10.5" customHeight="1" x14ac:dyDescent="0.2">
      <c r="G53429" s="889"/>
    </row>
    <row r="53430" spans="7:7" ht="10.5" customHeight="1" x14ac:dyDescent="0.2">
      <c r="G53430" s="889"/>
    </row>
    <row r="53431" spans="7:7" ht="10.5" customHeight="1" x14ac:dyDescent="0.2">
      <c r="G53431" s="889"/>
    </row>
    <row r="53432" spans="7:7" ht="10.5" customHeight="1" x14ac:dyDescent="0.2">
      <c r="G53432" s="889"/>
    </row>
    <row r="53433" spans="7:7" ht="10.5" customHeight="1" x14ac:dyDescent="0.2">
      <c r="G53433" s="889"/>
    </row>
    <row r="53434" spans="7:7" ht="10.5" customHeight="1" x14ac:dyDescent="0.2">
      <c r="G53434" s="889"/>
    </row>
    <row r="53435" spans="7:7" ht="10.5" customHeight="1" x14ac:dyDescent="0.2">
      <c r="G53435" s="889"/>
    </row>
    <row r="53436" spans="7:7" ht="10.5" customHeight="1" x14ac:dyDescent="0.2">
      <c r="G53436" s="889"/>
    </row>
    <row r="53437" spans="7:7" ht="10.5" customHeight="1" x14ac:dyDescent="0.2">
      <c r="G53437" s="889"/>
    </row>
    <row r="53438" spans="7:7" ht="10.5" customHeight="1" x14ac:dyDescent="0.2">
      <c r="G53438" s="889"/>
    </row>
    <row r="53439" spans="7:7" ht="10.5" customHeight="1" x14ac:dyDescent="0.2">
      <c r="G53439" s="889"/>
    </row>
    <row r="53440" spans="7:7" ht="10.5" customHeight="1" x14ac:dyDescent="0.2">
      <c r="G53440" s="889"/>
    </row>
    <row r="53441" spans="7:7" ht="10.5" customHeight="1" x14ac:dyDescent="0.2">
      <c r="G53441" s="889"/>
    </row>
    <row r="53442" spans="7:7" ht="10.5" customHeight="1" x14ac:dyDescent="0.2">
      <c r="G53442" s="889"/>
    </row>
    <row r="53443" spans="7:7" ht="10.5" customHeight="1" x14ac:dyDescent="0.2">
      <c r="G53443" s="889"/>
    </row>
    <row r="53444" spans="7:7" ht="10.5" customHeight="1" x14ac:dyDescent="0.2">
      <c r="G53444" s="889"/>
    </row>
    <row r="53445" spans="7:7" ht="10.5" customHeight="1" x14ac:dyDescent="0.2">
      <c r="G53445" s="889"/>
    </row>
    <row r="53446" spans="7:7" ht="10.5" customHeight="1" x14ac:dyDescent="0.2">
      <c r="G53446" s="889"/>
    </row>
    <row r="53447" spans="7:7" ht="10.5" customHeight="1" x14ac:dyDescent="0.2">
      <c r="G53447" s="889"/>
    </row>
    <row r="53448" spans="7:7" ht="10.5" customHeight="1" x14ac:dyDescent="0.2">
      <c r="G53448" s="889"/>
    </row>
    <row r="53449" spans="7:7" ht="10.5" customHeight="1" x14ac:dyDescent="0.2">
      <c r="G53449" s="889"/>
    </row>
    <row r="53450" spans="7:7" ht="10.5" customHeight="1" x14ac:dyDescent="0.2">
      <c r="G53450" s="889"/>
    </row>
    <row r="53451" spans="7:7" ht="10.5" customHeight="1" x14ac:dyDescent="0.2">
      <c r="G53451" s="889"/>
    </row>
    <row r="53452" spans="7:7" ht="10.5" customHeight="1" x14ac:dyDescent="0.2">
      <c r="G53452" s="889"/>
    </row>
    <row r="53453" spans="7:7" ht="10.5" customHeight="1" x14ac:dyDescent="0.2">
      <c r="G53453" s="889"/>
    </row>
    <row r="53454" spans="7:7" ht="10.5" customHeight="1" x14ac:dyDescent="0.2">
      <c r="G53454" s="889"/>
    </row>
    <row r="53455" spans="7:7" ht="10.5" customHeight="1" x14ac:dyDescent="0.2">
      <c r="G53455" s="889"/>
    </row>
    <row r="53456" spans="7:7" ht="10.5" customHeight="1" x14ac:dyDescent="0.2">
      <c r="G53456" s="889"/>
    </row>
    <row r="53457" spans="7:7" ht="10.5" customHeight="1" x14ac:dyDescent="0.2">
      <c r="G53457" s="889"/>
    </row>
    <row r="53458" spans="7:7" ht="10.5" customHeight="1" x14ac:dyDescent="0.2">
      <c r="G53458" s="889"/>
    </row>
    <row r="53459" spans="7:7" ht="10.5" customHeight="1" x14ac:dyDescent="0.2">
      <c r="G53459" s="889"/>
    </row>
    <row r="53460" spans="7:7" ht="10.5" customHeight="1" x14ac:dyDescent="0.2">
      <c r="G53460" s="889"/>
    </row>
    <row r="53461" spans="7:7" ht="10.5" customHeight="1" x14ac:dyDescent="0.2">
      <c r="G53461" s="889"/>
    </row>
    <row r="53462" spans="7:7" ht="10.5" customHeight="1" x14ac:dyDescent="0.2">
      <c r="G53462" s="889"/>
    </row>
    <row r="53463" spans="7:7" ht="10.5" customHeight="1" x14ac:dyDescent="0.2">
      <c r="G53463" s="889"/>
    </row>
    <row r="53464" spans="7:7" ht="10.5" customHeight="1" x14ac:dyDescent="0.2">
      <c r="G53464" s="889"/>
    </row>
    <row r="53465" spans="7:7" ht="10.5" customHeight="1" x14ac:dyDescent="0.2">
      <c r="G53465" s="889"/>
    </row>
    <row r="53466" spans="7:7" ht="10.5" customHeight="1" x14ac:dyDescent="0.2">
      <c r="G53466" s="889"/>
    </row>
    <row r="53467" spans="7:7" ht="10.5" customHeight="1" x14ac:dyDescent="0.2">
      <c r="G53467" s="889"/>
    </row>
    <row r="53468" spans="7:7" ht="10.5" customHeight="1" x14ac:dyDescent="0.2">
      <c r="G53468" s="889"/>
    </row>
    <row r="53469" spans="7:7" ht="10.5" customHeight="1" x14ac:dyDescent="0.2">
      <c r="G53469" s="889"/>
    </row>
    <row r="53470" spans="7:7" ht="10.5" customHeight="1" x14ac:dyDescent="0.2">
      <c r="G53470" s="889"/>
    </row>
    <row r="53471" spans="7:7" ht="10.5" customHeight="1" x14ac:dyDescent="0.2">
      <c r="G53471" s="889"/>
    </row>
    <row r="53472" spans="7:7" ht="10.5" customHeight="1" x14ac:dyDescent="0.2">
      <c r="G53472" s="889"/>
    </row>
    <row r="53473" spans="7:7" ht="10.5" customHeight="1" x14ac:dyDescent="0.2">
      <c r="G53473" s="889"/>
    </row>
    <row r="53474" spans="7:7" ht="10.5" customHeight="1" x14ac:dyDescent="0.2">
      <c r="G53474" s="889"/>
    </row>
    <row r="53475" spans="7:7" ht="10.5" customHeight="1" x14ac:dyDescent="0.2">
      <c r="G53475" s="889"/>
    </row>
    <row r="53476" spans="7:7" ht="10.5" customHeight="1" x14ac:dyDescent="0.2">
      <c r="G53476" s="889"/>
    </row>
    <row r="53477" spans="7:7" ht="10.5" customHeight="1" x14ac:dyDescent="0.2">
      <c r="G53477" s="889"/>
    </row>
    <row r="53478" spans="7:7" ht="10.5" customHeight="1" x14ac:dyDescent="0.2">
      <c r="G53478" s="889"/>
    </row>
    <row r="53479" spans="7:7" ht="10.5" customHeight="1" x14ac:dyDescent="0.2">
      <c r="G53479" s="889"/>
    </row>
    <row r="53480" spans="7:7" ht="10.5" customHeight="1" x14ac:dyDescent="0.2">
      <c r="G53480" s="889"/>
    </row>
    <row r="53481" spans="7:7" ht="10.5" customHeight="1" x14ac:dyDescent="0.2">
      <c r="G53481" s="889"/>
    </row>
    <row r="53482" spans="7:7" ht="10.5" customHeight="1" x14ac:dyDescent="0.2">
      <c r="G53482" s="889"/>
    </row>
    <row r="53483" spans="7:7" ht="10.5" customHeight="1" x14ac:dyDescent="0.2">
      <c r="G53483" s="889"/>
    </row>
    <row r="53484" spans="7:7" ht="10.5" customHeight="1" x14ac:dyDescent="0.2">
      <c r="G53484" s="889"/>
    </row>
    <row r="53485" spans="7:7" ht="10.5" customHeight="1" x14ac:dyDescent="0.2">
      <c r="G53485" s="889"/>
    </row>
    <row r="53486" spans="7:7" ht="10.5" customHeight="1" x14ac:dyDescent="0.2">
      <c r="G53486" s="889"/>
    </row>
    <row r="53487" spans="7:7" ht="10.5" customHeight="1" x14ac:dyDescent="0.2">
      <c r="G53487" s="889"/>
    </row>
    <row r="53488" spans="7:7" ht="10.5" customHeight="1" x14ac:dyDescent="0.2">
      <c r="G53488" s="889"/>
    </row>
    <row r="53489" spans="7:7" ht="10.5" customHeight="1" x14ac:dyDescent="0.2">
      <c r="G53489" s="889"/>
    </row>
    <row r="53490" spans="7:7" ht="10.5" customHeight="1" x14ac:dyDescent="0.2">
      <c r="G53490" s="889"/>
    </row>
    <row r="53491" spans="7:7" ht="10.5" customHeight="1" x14ac:dyDescent="0.2">
      <c r="G53491" s="889"/>
    </row>
    <row r="53492" spans="7:7" ht="10.5" customHeight="1" x14ac:dyDescent="0.2">
      <c r="G53492" s="889"/>
    </row>
    <row r="53493" spans="7:7" ht="10.5" customHeight="1" x14ac:dyDescent="0.2">
      <c r="G53493" s="889"/>
    </row>
    <row r="53494" spans="7:7" ht="10.5" customHeight="1" x14ac:dyDescent="0.2">
      <c r="G53494" s="889"/>
    </row>
    <row r="53495" spans="7:7" ht="10.5" customHeight="1" x14ac:dyDescent="0.2">
      <c r="G53495" s="889"/>
    </row>
    <row r="53496" spans="7:7" ht="10.5" customHeight="1" x14ac:dyDescent="0.2">
      <c r="G53496" s="889"/>
    </row>
    <row r="53497" spans="7:7" ht="10.5" customHeight="1" x14ac:dyDescent="0.2">
      <c r="G53497" s="889"/>
    </row>
    <row r="53498" spans="7:7" ht="10.5" customHeight="1" x14ac:dyDescent="0.2">
      <c r="G53498" s="889"/>
    </row>
    <row r="53499" spans="7:7" ht="10.5" customHeight="1" x14ac:dyDescent="0.2">
      <c r="G53499" s="889"/>
    </row>
    <row r="53500" spans="7:7" ht="10.5" customHeight="1" x14ac:dyDescent="0.2">
      <c r="G53500" s="889"/>
    </row>
    <row r="53501" spans="7:7" ht="10.5" customHeight="1" x14ac:dyDescent="0.2">
      <c r="G53501" s="889"/>
    </row>
    <row r="53502" spans="7:7" ht="10.5" customHeight="1" x14ac:dyDescent="0.2">
      <c r="G53502" s="889"/>
    </row>
    <row r="53503" spans="7:7" ht="10.5" customHeight="1" x14ac:dyDescent="0.2">
      <c r="G53503" s="889"/>
    </row>
    <row r="53504" spans="7:7" ht="10.5" customHeight="1" x14ac:dyDescent="0.2">
      <c r="G53504" s="889"/>
    </row>
    <row r="53505" spans="7:7" ht="10.5" customHeight="1" x14ac:dyDescent="0.2">
      <c r="G53505" s="889"/>
    </row>
    <row r="53506" spans="7:7" ht="10.5" customHeight="1" x14ac:dyDescent="0.2">
      <c r="G53506" s="889"/>
    </row>
    <row r="53507" spans="7:7" ht="10.5" customHeight="1" x14ac:dyDescent="0.2">
      <c r="G53507" s="889"/>
    </row>
    <row r="53508" spans="7:7" ht="10.5" customHeight="1" x14ac:dyDescent="0.2">
      <c r="G53508" s="889"/>
    </row>
    <row r="53509" spans="7:7" ht="10.5" customHeight="1" x14ac:dyDescent="0.2">
      <c r="G53509" s="889"/>
    </row>
    <row r="53510" spans="7:7" ht="10.5" customHeight="1" x14ac:dyDescent="0.2">
      <c r="G53510" s="889"/>
    </row>
    <row r="53511" spans="7:7" ht="10.5" customHeight="1" x14ac:dyDescent="0.2">
      <c r="G53511" s="889"/>
    </row>
    <row r="53512" spans="7:7" ht="10.5" customHeight="1" x14ac:dyDescent="0.2">
      <c r="G53512" s="889"/>
    </row>
    <row r="53513" spans="7:7" ht="10.5" customHeight="1" x14ac:dyDescent="0.2">
      <c r="G53513" s="889"/>
    </row>
    <row r="53514" spans="7:7" ht="10.5" customHeight="1" x14ac:dyDescent="0.2">
      <c r="G53514" s="889"/>
    </row>
    <row r="53515" spans="7:7" ht="10.5" customHeight="1" x14ac:dyDescent="0.2">
      <c r="G53515" s="889"/>
    </row>
    <row r="53516" spans="7:7" ht="10.5" customHeight="1" x14ac:dyDescent="0.2">
      <c r="G53516" s="889"/>
    </row>
    <row r="53517" spans="7:7" ht="10.5" customHeight="1" x14ac:dyDescent="0.2">
      <c r="G53517" s="889"/>
    </row>
    <row r="53518" spans="7:7" ht="10.5" customHeight="1" x14ac:dyDescent="0.2">
      <c r="G53518" s="889"/>
    </row>
    <row r="53519" spans="7:7" ht="10.5" customHeight="1" x14ac:dyDescent="0.2">
      <c r="G53519" s="889"/>
    </row>
    <row r="53520" spans="7:7" ht="10.5" customHeight="1" x14ac:dyDescent="0.2">
      <c r="G53520" s="889"/>
    </row>
    <row r="53521" spans="7:7" ht="10.5" customHeight="1" x14ac:dyDescent="0.2">
      <c r="G53521" s="889"/>
    </row>
    <row r="53522" spans="7:7" ht="10.5" customHeight="1" x14ac:dyDescent="0.2">
      <c r="G53522" s="889"/>
    </row>
    <row r="53523" spans="7:7" ht="10.5" customHeight="1" x14ac:dyDescent="0.2">
      <c r="G53523" s="889"/>
    </row>
    <row r="53524" spans="7:7" ht="10.5" customHeight="1" x14ac:dyDescent="0.2">
      <c r="G53524" s="889"/>
    </row>
    <row r="53525" spans="7:7" ht="10.5" customHeight="1" x14ac:dyDescent="0.2">
      <c r="G53525" s="889"/>
    </row>
    <row r="53526" spans="7:7" ht="10.5" customHeight="1" x14ac:dyDescent="0.2">
      <c r="G53526" s="889"/>
    </row>
    <row r="53527" spans="7:7" ht="10.5" customHeight="1" x14ac:dyDescent="0.2">
      <c r="G53527" s="889"/>
    </row>
    <row r="53528" spans="7:7" ht="10.5" customHeight="1" x14ac:dyDescent="0.2">
      <c r="G53528" s="889"/>
    </row>
    <row r="53529" spans="7:7" ht="10.5" customHeight="1" x14ac:dyDescent="0.2">
      <c r="G53529" s="889"/>
    </row>
    <row r="53530" spans="7:7" ht="10.5" customHeight="1" x14ac:dyDescent="0.2">
      <c r="G53530" s="889"/>
    </row>
    <row r="53531" spans="7:7" ht="10.5" customHeight="1" x14ac:dyDescent="0.2">
      <c r="G53531" s="889"/>
    </row>
    <row r="53532" spans="7:7" ht="10.5" customHeight="1" x14ac:dyDescent="0.2">
      <c r="G53532" s="889"/>
    </row>
    <row r="53533" spans="7:7" ht="10.5" customHeight="1" x14ac:dyDescent="0.2">
      <c r="G53533" s="889"/>
    </row>
    <row r="53534" spans="7:7" ht="10.5" customHeight="1" x14ac:dyDescent="0.2">
      <c r="G53534" s="889"/>
    </row>
    <row r="53535" spans="7:7" ht="10.5" customHeight="1" x14ac:dyDescent="0.2">
      <c r="G53535" s="889"/>
    </row>
    <row r="53536" spans="7:7" ht="10.5" customHeight="1" x14ac:dyDescent="0.2">
      <c r="G53536" s="889"/>
    </row>
    <row r="53537" spans="7:7" ht="10.5" customHeight="1" x14ac:dyDescent="0.2">
      <c r="G53537" s="889"/>
    </row>
    <row r="53538" spans="7:7" ht="10.5" customHeight="1" x14ac:dyDescent="0.2">
      <c r="G53538" s="889"/>
    </row>
    <row r="53539" spans="7:7" ht="10.5" customHeight="1" x14ac:dyDescent="0.2">
      <c r="G53539" s="889"/>
    </row>
    <row r="53540" spans="7:7" ht="10.5" customHeight="1" x14ac:dyDescent="0.2">
      <c r="G53540" s="889"/>
    </row>
    <row r="53541" spans="7:7" ht="10.5" customHeight="1" x14ac:dyDescent="0.2">
      <c r="G53541" s="889"/>
    </row>
    <row r="53542" spans="7:7" ht="10.5" customHeight="1" x14ac:dyDescent="0.2">
      <c r="G53542" s="889"/>
    </row>
    <row r="53543" spans="7:7" ht="10.5" customHeight="1" x14ac:dyDescent="0.2">
      <c r="G53543" s="889"/>
    </row>
    <row r="53544" spans="7:7" ht="10.5" customHeight="1" x14ac:dyDescent="0.2">
      <c r="G53544" s="889"/>
    </row>
    <row r="53545" spans="7:7" ht="10.5" customHeight="1" x14ac:dyDescent="0.2">
      <c r="G53545" s="889"/>
    </row>
    <row r="53546" spans="7:7" ht="10.5" customHeight="1" x14ac:dyDescent="0.2">
      <c r="G53546" s="889"/>
    </row>
    <row r="53547" spans="7:7" ht="10.5" customHeight="1" x14ac:dyDescent="0.2">
      <c r="G53547" s="889"/>
    </row>
    <row r="53548" spans="7:7" ht="10.5" customHeight="1" x14ac:dyDescent="0.2">
      <c r="G53548" s="889"/>
    </row>
    <row r="53549" spans="7:7" ht="10.5" customHeight="1" x14ac:dyDescent="0.2">
      <c r="G53549" s="889"/>
    </row>
    <row r="53550" spans="7:7" ht="10.5" customHeight="1" x14ac:dyDescent="0.2">
      <c r="G53550" s="889"/>
    </row>
    <row r="53551" spans="7:7" ht="10.5" customHeight="1" x14ac:dyDescent="0.2">
      <c r="G53551" s="889"/>
    </row>
    <row r="53552" spans="7:7" ht="10.5" customHeight="1" x14ac:dyDescent="0.2">
      <c r="G53552" s="889"/>
    </row>
    <row r="53553" spans="7:7" ht="10.5" customHeight="1" x14ac:dyDescent="0.2">
      <c r="G53553" s="889"/>
    </row>
    <row r="53554" spans="7:7" ht="10.5" customHeight="1" x14ac:dyDescent="0.2">
      <c r="G53554" s="889"/>
    </row>
    <row r="53555" spans="7:7" ht="10.5" customHeight="1" x14ac:dyDescent="0.2">
      <c r="G53555" s="889"/>
    </row>
    <row r="53556" spans="7:7" ht="10.5" customHeight="1" x14ac:dyDescent="0.2">
      <c r="G53556" s="889"/>
    </row>
    <row r="53557" spans="7:7" ht="10.5" customHeight="1" x14ac:dyDescent="0.2">
      <c r="G53557" s="889"/>
    </row>
    <row r="53558" spans="7:7" ht="10.5" customHeight="1" x14ac:dyDescent="0.2">
      <c r="G53558" s="889"/>
    </row>
    <row r="53559" spans="7:7" ht="10.5" customHeight="1" x14ac:dyDescent="0.2">
      <c r="G53559" s="889"/>
    </row>
    <row r="53560" spans="7:7" ht="10.5" customHeight="1" x14ac:dyDescent="0.2">
      <c r="G53560" s="889"/>
    </row>
    <row r="53561" spans="7:7" ht="10.5" customHeight="1" x14ac:dyDescent="0.2">
      <c r="G53561" s="889"/>
    </row>
    <row r="53562" spans="7:7" ht="10.5" customHeight="1" x14ac:dyDescent="0.2">
      <c r="G53562" s="889"/>
    </row>
    <row r="53563" spans="7:7" ht="10.5" customHeight="1" x14ac:dyDescent="0.2">
      <c r="G53563" s="889"/>
    </row>
    <row r="53564" spans="7:7" ht="10.5" customHeight="1" x14ac:dyDescent="0.2">
      <c r="G53564" s="889"/>
    </row>
    <row r="53565" spans="7:7" ht="10.5" customHeight="1" x14ac:dyDescent="0.2">
      <c r="G53565" s="889"/>
    </row>
    <row r="53566" spans="7:7" ht="10.5" customHeight="1" x14ac:dyDescent="0.2">
      <c r="G53566" s="889"/>
    </row>
    <row r="53567" spans="7:7" ht="10.5" customHeight="1" x14ac:dyDescent="0.2">
      <c r="G53567" s="889"/>
    </row>
    <row r="53568" spans="7:7" ht="10.5" customHeight="1" x14ac:dyDescent="0.2">
      <c r="G53568" s="889"/>
    </row>
    <row r="53569" spans="7:7" ht="10.5" customHeight="1" x14ac:dyDescent="0.2">
      <c r="G53569" s="889"/>
    </row>
    <row r="53570" spans="7:7" ht="10.5" customHeight="1" x14ac:dyDescent="0.2">
      <c r="G53570" s="889"/>
    </row>
    <row r="53571" spans="7:7" ht="10.5" customHeight="1" x14ac:dyDescent="0.2">
      <c r="G53571" s="889"/>
    </row>
    <row r="53572" spans="7:7" ht="10.5" customHeight="1" x14ac:dyDescent="0.2">
      <c r="G53572" s="889"/>
    </row>
    <row r="53573" spans="7:7" ht="10.5" customHeight="1" x14ac:dyDescent="0.2">
      <c r="G53573" s="889"/>
    </row>
    <row r="53574" spans="7:7" ht="10.5" customHeight="1" x14ac:dyDescent="0.2">
      <c r="G53574" s="889"/>
    </row>
    <row r="53575" spans="7:7" ht="10.5" customHeight="1" x14ac:dyDescent="0.2">
      <c r="G53575" s="889"/>
    </row>
    <row r="53576" spans="7:7" ht="10.5" customHeight="1" x14ac:dyDescent="0.2">
      <c r="G53576" s="889"/>
    </row>
    <row r="53577" spans="7:7" ht="10.5" customHeight="1" x14ac:dyDescent="0.2">
      <c r="G53577" s="889"/>
    </row>
    <row r="53578" spans="7:7" ht="10.5" customHeight="1" x14ac:dyDescent="0.2">
      <c r="G53578" s="889"/>
    </row>
    <row r="53579" spans="7:7" ht="10.5" customHeight="1" x14ac:dyDescent="0.2">
      <c r="G53579" s="889"/>
    </row>
    <row r="53580" spans="7:7" ht="10.5" customHeight="1" x14ac:dyDescent="0.2">
      <c r="G53580" s="889"/>
    </row>
    <row r="53581" spans="7:7" ht="10.5" customHeight="1" x14ac:dyDescent="0.2">
      <c r="G53581" s="889"/>
    </row>
    <row r="53582" spans="7:7" ht="10.5" customHeight="1" x14ac:dyDescent="0.2">
      <c r="G53582" s="889"/>
    </row>
    <row r="53583" spans="7:7" ht="10.5" customHeight="1" x14ac:dyDescent="0.2">
      <c r="G53583" s="889"/>
    </row>
    <row r="53584" spans="7:7" ht="10.5" customHeight="1" x14ac:dyDescent="0.2">
      <c r="G53584" s="889"/>
    </row>
    <row r="53585" spans="7:7" ht="10.5" customHeight="1" x14ac:dyDescent="0.2">
      <c r="G53585" s="889"/>
    </row>
    <row r="53586" spans="7:7" ht="10.5" customHeight="1" x14ac:dyDescent="0.2">
      <c r="G53586" s="889"/>
    </row>
    <row r="53587" spans="7:7" ht="10.5" customHeight="1" x14ac:dyDescent="0.2">
      <c r="G53587" s="889"/>
    </row>
    <row r="53588" spans="7:7" ht="10.5" customHeight="1" x14ac:dyDescent="0.2">
      <c r="G53588" s="889"/>
    </row>
    <row r="53589" spans="7:7" ht="10.5" customHeight="1" x14ac:dyDescent="0.2">
      <c r="G53589" s="889"/>
    </row>
    <row r="53590" spans="7:7" ht="10.5" customHeight="1" x14ac:dyDescent="0.2">
      <c r="G53590" s="889"/>
    </row>
    <row r="53591" spans="7:7" ht="10.5" customHeight="1" x14ac:dyDescent="0.2">
      <c r="G53591" s="889"/>
    </row>
    <row r="53592" spans="7:7" ht="10.5" customHeight="1" x14ac:dyDescent="0.2">
      <c r="G53592" s="889"/>
    </row>
    <row r="53593" spans="7:7" ht="10.5" customHeight="1" x14ac:dyDescent="0.2">
      <c r="G53593" s="889"/>
    </row>
    <row r="53594" spans="7:7" ht="10.5" customHeight="1" x14ac:dyDescent="0.2">
      <c r="G53594" s="889"/>
    </row>
    <row r="53595" spans="7:7" ht="10.5" customHeight="1" x14ac:dyDescent="0.2">
      <c r="G53595" s="889"/>
    </row>
    <row r="53596" spans="7:7" ht="10.5" customHeight="1" x14ac:dyDescent="0.2">
      <c r="G53596" s="889"/>
    </row>
    <row r="53597" spans="7:7" ht="10.5" customHeight="1" x14ac:dyDescent="0.2">
      <c r="G53597" s="889"/>
    </row>
    <row r="53598" spans="7:7" ht="10.5" customHeight="1" x14ac:dyDescent="0.2">
      <c r="G53598" s="889"/>
    </row>
    <row r="53599" spans="7:7" ht="10.5" customHeight="1" x14ac:dyDescent="0.2">
      <c r="G53599" s="889"/>
    </row>
    <row r="53600" spans="7:7" ht="10.5" customHeight="1" x14ac:dyDescent="0.2">
      <c r="G53600" s="889"/>
    </row>
    <row r="53601" spans="7:7" ht="10.5" customHeight="1" x14ac:dyDescent="0.2">
      <c r="G53601" s="889"/>
    </row>
    <row r="53602" spans="7:7" ht="10.5" customHeight="1" x14ac:dyDescent="0.2">
      <c r="G53602" s="889"/>
    </row>
    <row r="53603" spans="7:7" ht="10.5" customHeight="1" x14ac:dyDescent="0.2">
      <c r="G53603" s="889"/>
    </row>
    <row r="53604" spans="7:7" ht="10.5" customHeight="1" x14ac:dyDescent="0.2">
      <c r="G53604" s="889"/>
    </row>
    <row r="53605" spans="7:7" ht="10.5" customHeight="1" x14ac:dyDescent="0.2">
      <c r="G53605" s="889"/>
    </row>
    <row r="53606" spans="7:7" ht="10.5" customHeight="1" x14ac:dyDescent="0.2">
      <c r="G53606" s="889"/>
    </row>
    <row r="53607" spans="7:7" ht="10.5" customHeight="1" x14ac:dyDescent="0.2">
      <c r="G53607" s="889"/>
    </row>
    <row r="53608" spans="7:7" ht="10.5" customHeight="1" x14ac:dyDescent="0.2">
      <c r="G53608" s="889"/>
    </row>
    <row r="53609" spans="7:7" ht="10.5" customHeight="1" x14ac:dyDescent="0.2">
      <c r="G53609" s="889"/>
    </row>
    <row r="53610" spans="7:7" ht="10.5" customHeight="1" x14ac:dyDescent="0.2">
      <c r="G53610" s="889"/>
    </row>
    <row r="53611" spans="7:7" ht="10.5" customHeight="1" x14ac:dyDescent="0.2">
      <c r="G53611" s="889"/>
    </row>
    <row r="53612" spans="7:7" ht="10.5" customHeight="1" x14ac:dyDescent="0.2">
      <c r="G53612" s="889"/>
    </row>
    <row r="53613" spans="7:7" ht="10.5" customHeight="1" x14ac:dyDescent="0.2">
      <c r="G53613" s="889"/>
    </row>
    <row r="53614" spans="7:7" ht="10.5" customHeight="1" x14ac:dyDescent="0.2">
      <c r="G53614" s="889"/>
    </row>
    <row r="53615" spans="7:7" ht="10.5" customHeight="1" x14ac:dyDescent="0.2">
      <c r="G53615" s="889"/>
    </row>
    <row r="53616" spans="7:7" ht="10.5" customHeight="1" x14ac:dyDescent="0.2">
      <c r="G53616" s="889"/>
    </row>
    <row r="53617" spans="7:7" ht="10.5" customHeight="1" x14ac:dyDescent="0.2">
      <c r="G53617" s="889"/>
    </row>
    <row r="53618" spans="7:7" ht="10.5" customHeight="1" x14ac:dyDescent="0.2">
      <c r="G53618" s="889"/>
    </row>
    <row r="53619" spans="7:7" ht="10.5" customHeight="1" x14ac:dyDescent="0.2">
      <c r="G53619" s="889"/>
    </row>
    <row r="53620" spans="7:7" ht="10.5" customHeight="1" x14ac:dyDescent="0.2">
      <c r="G53620" s="889"/>
    </row>
    <row r="53621" spans="7:7" ht="10.5" customHeight="1" x14ac:dyDescent="0.2">
      <c r="G53621" s="889"/>
    </row>
    <row r="53622" spans="7:7" ht="10.5" customHeight="1" x14ac:dyDescent="0.2">
      <c r="G53622" s="889"/>
    </row>
    <row r="53623" spans="7:7" ht="10.5" customHeight="1" x14ac:dyDescent="0.2">
      <c r="G53623" s="889"/>
    </row>
    <row r="53624" spans="7:7" ht="10.5" customHeight="1" x14ac:dyDescent="0.2">
      <c r="G53624" s="889"/>
    </row>
    <row r="53625" spans="7:7" ht="10.5" customHeight="1" x14ac:dyDescent="0.2">
      <c r="G53625" s="889"/>
    </row>
    <row r="53626" spans="7:7" ht="10.5" customHeight="1" x14ac:dyDescent="0.2">
      <c r="G53626" s="889"/>
    </row>
    <row r="53627" spans="7:7" ht="10.5" customHeight="1" x14ac:dyDescent="0.2">
      <c r="G53627" s="889"/>
    </row>
    <row r="53628" spans="7:7" ht="10.5" customHeight="1" x14ac:dyDescent="0.2">
      <c r="G53628" s="889"/>
    </row>
    <row r="53629" spans="7:7" ht="10.5" customHeight="1" x14ac:dyDescent="0.2">
      <c r="G53629" s="889"/>
    </row>
    <row r="53630" spans="7:7" ht="10.5" customHeight="1" x14ac:dyDescent="0.2">
      <c r="G53630" s="889"/>
    </row>
    <row r="53631" spans="7:7" ht="10.5" customHeight="1" x14ac:dyDescent="0.2">
      <c r="G53631" s="889"/>
    </row>
    <row r="53632" spans="7:7" ht="10.5" customHeight="1" x14ac:dyDescent="0.2">
      <c r="G53632" s="889"/>
    </row>
    <row r="53633" spans="7:7" ht="10.5" customHeight="1" x14ac:dyDescent="0.2">
      <c r="G53633" s="889"/>
    </row>
    <row r="53634" spans="7:7" ht="10.5" customHeight="1" x14ac:dyDescent="0.2">
      <c r="G53634" s="889"/>
    </row>
    <row r="53635" spans="7:7" ht="10.5" customHeight="1" x14ac:dyDescent="0.2">
      <c r="G53635" s="889"/>
    </row>
    <row r="53636" spans="7:7" ht="10.5" customHeight="1" x14ac:dyDescent="0.2">
      <c r="G53636" s="889"/>
    </row>
    <row r="53637" spans="7:7" ht="10.5" customHeight="1" x14ac:dyDescent="0.2">
      <c r="G53637" s="889"/>
    </row>
    <row r="53638" spans="7:7" ht="10.5" customHeight="1" x14ac:dyDescent="0.2">
      <c r="G53638" s="889"/>
    </row>
    <row r="53639" spans="7:7" ht="10.5" customHeight="1" x14ac:dyDescent="0.2">
      <c r="G53639" s="889"/>
    </row>
    <row r="53640" spans="7:7" ht="10.5" customHeight="1" x14ac:dyDescent="0.2">
      <c r="G53640" s="889"/>
    </row>
    <row r="53641" spans="7:7" ht="10.5" customHeight="1" x14ac:dyDescent="0.2">
      <c r="G53641" s="889"/>
    </row>
    <row r="53642" spans="7:7" ht="10.5" customHeight="1" x14ac:dyDescent="0.2">
      <c r="G53642" s="889"/>
    </row>
    <row r="53643" spans="7:7" ht="10.5" customHeight="1" x14ac:dyDescent="0.2">
      <c r="G53643" s="889"/>
    </row>
    <row r="53644" spans="7:7" ht="10.5" customHeight="1" x14ac:dyDescent="0.2">
      <c r="G53644" s="889"/>
    </row>
    <row r="53645" spans="7:7" ht="10.5" customHeight="1" x14ac:dyDescent="0.2">
      <c r="G53645" s="889"/>
    </row>
    <row r="53646" spans="7:7" ht="10.5" customHeight="1" x14ac:dyDescent="0.2">
      <c r="G53646" s="889"/>
    </row>
    <row r="53647" spans="7:7" ht="10.5" customHeight="1" x14ac:dyDescent="0.2">
      <c r="G53647" s="889"/>
    </row>
    <row r="53648" spans="7:7" ht="10.5" customHeight="1" x14ac:dyDescent="0.2">
      <c r="G53648" s="889"/>
    </row>
    <row r="53649" spans="7:7" ht="10.5" customHeight="1" x14ac:dyDescent="0.2">
      <c r="G53649" s="889"/>
    </row>
    <row r="53650" spans="7:7" ht="10.5" customHeight="1" x14ac:dyDescent="0.2">
      <c r="G53650" s="889"/>
    </row>
    <row r="53651" spans="7:7" ht="10.5" customHeight="1" x14ac:dyDescent="0.2">
      <c r="G53651" s="889"/>
    </row>
    <row r="53652" spans="7:7" ht="10.5" customHeight="1" x14ac:dyDescent="0.2">
      <c r="G53652" s="889"/>
    </row>
    <row r="53653" spans="7:7" ht="10.5" customHeight="1" x14ac:dyDescent="0.2">
      <c r="G53653" s="889"/>
    </row>
    <row r="53654" spans="7:7" ht="10.5" customHeight="1" x14ac:dyDescent="0.2">
      <c r="G53654" s="889"/>
    </row>
    <row r="53655" spans="7:7" ht="10.5" customHeight="1" x14ac:dyDescent="0.2">
      <c r="G53655" s="889"/>
    </row>
    <row r="53656" spans="7:7" ht="10.5" customHeight="1" x14ac:dyDescent="0.2">
      <c r="G53656" s="889"/>
    </row>
    <row r="53657" spans="7:7" ht="10.5" customHeight="1" x14ac:dyDescent="0.2">
      <c r="G53657" s="889"/>
    </row>
    <row r="53658" spans="7:7" ht="10.5" customHeight="1" x14ac:dyDescent="0.2">
      <c r="G53658" s="889"/>
    </row>
    <row r="53659" spans="7:7" ht="10.5" customHeight="1" x14ac:dyDescent="0.2">
      <c r="G53659" s="889"/>
    </row>
    <row r="53660" spans="7:7" ht="10.5" customHeight="1" x14ac:dyDescent="0.2">
      <c r="G53660" s="889"/>
    </row>
    <row r="53661" spans="7:7" ht="10.5" customHeight="1" x14ac:dyDescent="0.2">
      <c r="G53661" s="889"/>
    </row>
    <row r="53662" spans="7:7" ht="10.5" customHeight="1" x14ac:dyDescent="0.2">
      <c r="G53662" s="889"/>
    </row>
    <row r="53663" spans="7:7" ht="10.5" customHeight="1" x14ac:dyDescent="0.2">
      <c r="G53663" s="889"/>
    </row>
    <row r="53664" spans="7:7" ht="10.5" customHeight="1" x14ac:dyDescent="0.2">
      <c r="G53664" s="889"/>
    </row>
    <row r="53665" spans="7:7" ht="10.5" customHeight="1" x14ac:dyDescent="0.2">
      <c r="G53665" s="889"/>
    </row>
    <row r="53666" spans="7:7" ht="10.5" customHeight="1" x14ac:dyDescent="0.2">
      <c r="G53666" s="889"/>
    </row>
    <row r="53667" spans="7:7" ht="10.5" customHeight="1" x14ac:dyDescent="0.2">
      <c r="G53667" s="889"/>
    </row>
    <row r="53668" spans="7:7" ht="10.5" customHeight="1" x14ac:dyDescent="0.2">
      <c r="G53668" s="889"/>
    </row>
    <row r="53669" spans="7:7" ht="10.5" customHeight="1" x14ac:dyDescent="0.2">
      <c r="G53669" s="889"/>
    </row>
    <row r="53670" spans="7:7" ht="10.5" customHeight="1" x14ac:dyDescent="0.2">
      <c r="G53670" s="889"/>
    </row>
    <row r="53671" spans="7:7" ht="10.5" customHeight="1" x14ac:dyDescent="0.2">
      <c r="G53671" s="889"/>
    </row>
    <row r="53672" spans="7:7" ht="10.5" customHeight="1" x14ac:dyDescent="0.2">
      <c r="G53672" s="889"/>
    </row>
    <row r="53673" spans="7:7" ht="10.5" customHeight="1" x14ac:dyDescent="0.2">
      <c r="G53673" s="889"/>
    </row>
    <row r="53674" spans="7:7" ht="10.5" customHeight="1" x14ac:dyDescent="0.2">
      <c r="G53674" s="889"/>
    </row>
    <row r="53675" spans="7:7" ht="10.5" customHeight="1" x14ac:dyDescent="0.2">
      <c r="G53675" s="889"/>
    </row>
    <row r="53676" spans="7:7" ht="10.5" customHeight="1" x14ac:dyDescent="0.2">
      <c r="G53676" s="889"/>
    </row>
    <row r="53677" spans="7:7" ht="10.5" customHeight="1" x14ac:dyDescent="0.2">
      <c r="G53677" s="889"/>
    </row>
    <row r="53678" spans="7:7" ht="10.5" customHeight="1" x14ac:dyDescent="0.2">
      <c r="G53678" s="889"/>
    </row>
    <row r="53679" spans="7:7" ht="10.5" customHeight="1" x14ac:dyDescent="0.2">
      <c r="G53679" s="889"/>
    </row>
    <row r="53680" spans="7:7" ht="10.5" customHeight="1" x14ac:dyDescent="0.2">
      <c r="G53680" s="889"/>
    </row>
    <row r="53681" spans="7:7" ht="10.5" customHeight="1" x14ac:dyDescent="0.2">
      <c r="G53681" s="889"/>
    </row>
    <row r="53682" spans="7:7" ht="10.5" customHeight="1" x14ac:dyDescent="0.2">
      <c r="G53682" s="889"/>
    </row>
    <row r="53683" spans="7:7" ht="10.5" customHeight="1" x14ac:dyDescent="0.2">
      <c r="G53683" s="889"/>
    </row>
    <row r="53684" spans="7:7" ht="10.5" customHeight="1" x14ac:dyDescent="0.2">
      <c r="G53684" s="889"/>
    </row>
    <row r="53685" spans="7:7" ht="10.5" customHeight="1" x14ac:dyDescent="0.2">
      <c r="G53685" s="889"/>
    </row>
    <row r="53686" spans="7:7" ht="10.5" customHeight="1" x14ac:dyDescent="0.2">
      <c r="G53686" s="889"/>
    </row>
    <row r="53687" spans="7:7" ht="10.5" customHeight="1" x14ac:dyDescent="0.2">
      <c r="G53687" s="889"/>
    </row>
    <row r="53688" spans="7:7" ht="10.5" customHeight="1" x14ac:dyDescent="0.2">
      <c r="G53688" s="889"/>
    </row>
    <row r="53689" spans="7:7" ht="10.5" customHeight="1" x14ac:dyDescent="0.2">
      <c r="G53689" s="889"/>
    </row>
    <row r="53690" spans="7:7" ht="10.5" customHeight="1" x14ac:dyDescent="0.2">
      <c r="G53690" s="889"/>
    </row>
    <row r="53691" spans="7:7" ht="10.5" customHeight="1" x14ac:dyDescent="0.2">
      <c r="G53691" s="889"/>
    </row>
    <row r="53692" spans="7:7" ht="10.5" customHeight="1" x14ac:dyDescent="0.2">
      <c r="G53692" s="889"/>
    </row>
    <row r="53693" spans="7:7" ht="10.5" customHeight="1" x14ac:dyDescent="0.2">
      <c r="G53693" s="889"/>
    </row>
    <row r="53694" spans="7:7" ht="10.5" customHeight="1" x14ac:dyDescent="0.2">
      <c r="G53694" s="889"/>
    </row>
    <row r="53695" spans="7:7" ht="10.5" customHeight="1" x14ac:dyDescent="0.2">
      <c r="G53695" s="889"/>
    </row>
    <row r="53696" spans="7:7" ht="10.5" customHeight="1" x14ac:dyDescent="0.2">
      <c r="G53696" s="889"/>
    </row>
    <row r="53697" spans="7:7" ht="10.5" customHeight="1" x14ac:dyDescent="0.2">
      <c r="G53697" s="889"/>
    </row>
    <row r="53698" spans="7:7" ht="10.5" customHeight="1" x14ac:dyDescent="0.2">
      <c r="G53698" s="889"/>
    </row>
    <row r="53699" spans="7:7" ht="10.5" customHeight="1" x14ac:dyDescent="0.2">
      <c r="G53699" s="889"/>
    </row>
    <row r="53700" spans="7:7" ht="10.5" customHeight="1" x14ac:dyDescent="0.2">
      <c r="G53700" s="889"/>
    </row>
    <row r="53701" spans="7:7" ht="10.5" customHeight="1" x14ac:dyDescent="0.2">
      <c r="G53701" s="889"/>
    </row>
    <row r="53702" spans="7:7" ht="10.5" customHeight="1" x14ac:dyDescent="0.2">
      <c r="G53702" s="889"/>
    </row>
    <row r="53703" spans="7:7" ht="10.5" customHeight="1" x14ac:dyDescent="0.2">
      <c r="G53703" s="889"/>
    </row>
    <row r="53704" spans="7:7" ht="10.5" customHeight="1" x14ac:dyDescent="0.2">
      <c r="G53704" s="889"/>
    </row>
    <row r="53705" spans="7:7" ht="10.5" customHeight="1" x14ac:dyDescent="0.2">
      <c r="G53705" s="889"/>
    </row>
    <row r="53706" spans="7:7" ht="10.5" customHeight="1" x14ac:dyDescent="0.2">
      <c r="G53706" s="889"/>
    </row>
    <row r="53707" spans="7:7" ht="10.5" customHeight="1" x14ac:dyDescent="0.2">
      <c r="G53707" s="889"/>
    </row>
    <row r="53708" spans="7:7" ht="10.5" customHeight="1" x14ac:dyDescent="0.2">
      <c r="G53708" s="889"/>
    </row>
    <row r="53709" spans="7:7" ht="10.5" customHeight="1" x14ac:dyDescent="0.2">
      <c r="G53709" s="889"/>
    </row>
    <row r="53710" spans="7:7" ht="10.5" customHeight="1" x14ac:dyDescent="0.2">
      <c r="G53710" s="889"/>
    </row>
    <row r="53711" spans="7:7" ht="10.5" customHeight="1" x14ac:dyDescent="0.2">
      <c r="G53711" s="889"/>
    </row>
    <row r="53712" spans="7:7" ht="10.5" customHeight="1" x14ac:dyDescent="0.2">
      <c r="G53712" s="889"/>
    </row>
    <row r="53713" spans="7:7" ht="10.5" customHeight="1" x14ac:dyDescent="0.2">
      <c r="G53713" s="889"/>
    </row>
    <row r="53714" spans="7:7" ht="10.5" customHeight="1" x14ac:dyDescent="0.2">
      <c r="G53714" s="889"/>
    </row>
    <row r="53715" spans="7:7" ht="10.5" customHeight="1" x14ac:dyDescent="0.2">
      <c r="G53715" s="889"/>
    </row>
    <row r="53716" spans="7:7" ht="10.5" customHeight="1" x14ac:dyDescent="0.2">
      <c r="G53716" s="889"/>
    </row>
    <row r="53717" spans="7:7" ht="10.5" customHeight="1" x14ac:dyDescent="0.2">
      <c r="G53717" s="889"/>
    </row>
    <row r="53718" spans="7:7" ht="10.5" customHeight="1" x14ac:dyDescent="0.2">
      <c r="G53718" s="889"/>
    </row>
    <row r="53719" spans="7:7" ht="10.5" customHeight="1" x14ac:dyDescent="0.2">
      <c r="G53719" s="889"/>
    </row>
    <row r="53720" spans="7:7" ht="10.5" customHeight="1" x14ac:dyDescent="0.2">
      <c r="G53720" s="889"/>
    </row>
    <row r="53721" spans="7:7" ht="10.5" customHeight="1" x14ac:dyDescent="0.2">
      <c r="G53721" s="889"/>
    </row>
    <row r="53722" spans="7:7" ht="10.5" customHeight="1" x14ac:dyDescent="0.2">
      <c r="G53722" s="889"/>
    </row>
    <row r="53723" spans="7:7" ht="10.5" customHeight="1" x14ac:dyDescent="0.2">
      <c r="G53723" s="889"/>
    </row>
    <row r="53724" spans="7:7" ht="10.5" customHeight="1" x14ac:dyDescent="0.2">
      <c r="G53724" s="889"/>
    </row>
    <row r="53725" spans="7:7" ht="10.5" customHeight="1" x14ac:dyDescent="0.2">
      <c r="G53725" s="889"/>
    </row>
    <row r="53726" spans="7:7" ht="10.5" customHeight="1" x14ac:dyDescent="0.2">
      <c r="G53726" s="889"/>
    </row>
    <row r="53727" spans="7:7" ht="10.5" customHeight="1" x14ac:dyDescent="0.2">
      <c r="G53727" s="889"/>
    </row>
    <row r="53728" spans="7:7" ht="10.5" customHeight="1" x14ac:dyDescent="0.2">
      <c r="G53728" s="889"/>
    </row>
    <row r="53729" spans="7:7" ht="10.5" customHeight="1" x14ac:dyDescent="0.2">
      <c r="G53729" s="889"/>
    </row>
    <row r="53730" spans="7:7" ht="10.5" customHeight="1" x14ac:dyDescent="0.2">
      <c r="G53730" s="889"/>
    </row>
    <row r="53731" spans="7:7" ht="10.5" customHeight="1" x14ac:dyDescent="0.2">
      <c r="G53731" s="889"/>
    </row>
    <row r="53732" spans="7:7" ht="10.5" customHeight="1" x14ac:dyDescent="0.2">
      <c r="G53732" s="889"/>
    </row>
    <row r="53733" spans="7:7" ht="10.5" customHeight="1" x14ac:dyDescent="0.2">
      <c r="G53733" s="889"/>
    </row>
    <row r="53734" spans="7:7" ht="10.5" customHeight="1" x14ac:dyDescent="0.2">
      <c r="G53734" s="889"/>
    </row>
    <row r="53735" spans="7:7" ht="10.5" customHeight="1" x14ac:dyDescent="0.2">
      <c r="G53735" s="889"/>
    </row>
    <row r="53736" spans="7:7" ht="10.5" customHeight="1" x14ac:dyDescent="0.2">
      <c r="G53736" s="889"/>
    </row>
    <row r="53737" spans="7:7" ht="10.5" customHeight="1" x14ac:dyDescent="0.2">
      <c r="G53737" s="889"/>
    </row>
    <row r="53738" spans="7:7" ht="10.5" customHeight="1" x14ac:dyDescent="0.2">
      <c r="G53738" s="889"/>
    </row>
    <row r="53739" spans="7:7" ht="10.5" customHeight="1" x14ac:dyDescent="0.2">
      <c r="G53739" s="889"/>
    </row>
    <row r="53740" spans="7:7" ht="10.5" customHeight="1" x14ac:dyDescent="0.2">
      <c r="G53740" s="889"/>
    </row>
    <row r="53741" spans="7:7" ht="10.5" customHeight="1" x14ac:dyDescent="0.2">
      <c r="G53741" s="889"/>
    </row>
    <row r="53742" spans="7:7" ht="10.5" customHeight="1" x14ac:dyDescent="0.2">
      <c r="G53742" s="889"/>
    </row>
    <row r="53743" spans="7:7" ht="10.5" customHeight="1" x14ac:dyDescent="0.2">
      <c r="G53743" s="889"/>
    </row>
    <row r="53744" spans="7:7" ht="10.5" customHeight="1" x14ac:dyDescent="0.2">
      <c r="G53744" s="889"/>
    </row>
    <row r="53745" spans="7:7" ht="10.5" customHeight="1" x14ac:dyDescent="0.2">
      <c r="G53745" s="889"/>
    </row>
    <row r="53746" spans="7:7" ht="10.5" customHeight="1" x14ac:dyDescent="0.2">
      <c r="G53746" s="889"/>
    </row>
    <row r="53747" spans="7:7" ht="10.5" customHeight="1" x14ac:dyDescent="0.2">
      <c r="G53747" s="889"/>
    </row>
    <row r="53748" spans="7:7" ht="10.5" customHeight="1" x14ac:dyDescent="0.2">
      <c r="G53748" s="889"/>
    </row>
    <row r="53749" spans="7:7" ht="10.5" customHeight="1" x14ac:dyDescent="0.2">
      <c r="G53749" s="889"/>
    </row>
    <row r="53750" spans="7:7" ht="10.5" customHeight="1" x14ac:dyDescent="0.2">
      <c r="G53750" s="889"/>
    </row>
    <row r="53751" spans="7:7" ht="10.5" customHeight="1" x14ac:dyDescent="0.2">
      <c r="G53751" s="889"/>
    </row>
    <row r="53752" spans="7:7" ht="10.5" customHeight="1" x14ac:dyDescent="0.2">
      <c r="G53752" s="889"/>
    </row>
    <row r="53753" spans="7:7" ht="10.5" customHeight="1" x14ac:dyDescent="0.2">
      <c r="G53753" s="889"/>
    </row>
    <row r="53754" spans="7:7" ht="10.5" customHeight="1" x14ac:dyDescent="0.2">
      <c r="G53754" s="889"/>
    </row>
    <row r="53755" spans="7:7" ht="10.5" customHeight="1" x14ac:dyDescent="0.2">
      <c r="G53755" s="889"/>
    </row>
    <row r="53756" spans="7:7" ht="10.5" customHeight="1" x14ac:dyDescent="0.2">
      <c r="G53756" s="889"/>
    </row>
    <row r="53757" spans="7:7" ht="10.5" customHeight="1" x14ac:dyDescent="0.2">
      <c r="G53757" s="889"/>
    </row>
    <row r="53758" spans="7:7" ht="10.5" customHeight="1" x14ac:dyDescent="0.2">
      <c r="G53758" s="889"/>
    </row>
    <row r="53759" spans="7:7" ht="10.5" customHeight="1" x14ac:dyDescent="0.2">
      <c r="G53759" s="889"/>
    </row>
    <row r="53760" spans="7:7" ht="10.5" customHeight="1" x14ac:dyDescent="0.2">
      <c r="G53760" s="889"/>
    </row>
    <row r="53761" spans="7:7" ht="10.5" customHeight="1" x14ac:dyDescent="0.2">
      <c r="G53761" s="889"/>
    </row>
    <row r="53762" spans="7:7" ht="10.5" customHeight="1" x14ac:dyDescent="0.2">
      <c r="G53762" s="889"/>
    </row>
    <row r="53763" spans="7:7" ht="10.5" customHeight="1" x14ac:dyDescent="0.2">
      <c r="G53763" s="889"/>
    </row>
    <row r="53764" spans="7:7" ht="10.5" customHeight="1" x14ac:dyDescent="0.2">
      <c r="G53764" s="889"/>
    </row>
    <row r="53765" spans="7:7" ht="10.5" customHeight="1" x14ac:dyDescent="0.2">
      <c r="G53765" s="889"/>
    </row>
    <row r="53766" spans="7:7" ht="10.5" customHeight="1" x14ac:dyDescent="0.2">
      <c r="G53766" s="889"/>
    </row>
    <row r="53767" spans="7:7" ht="10.5" customHeight="1" x14ac:dyDescent="0.2">
      <c r="G53767" s="889"/>
    </row>
    <row r="53768" spans="7:7" ht="10.5" customHeight="1" x14ac:dyDescent="0.2">
      <c r="G53768" s="889"/>
    </row>
    <row r="53769" spans="7:7" ht="10.5" customHeight="1" x14ac:dyDescent="0.2">
      <c r="G53769" s="889"/>
    </row>
    <row r="53770" spans="7:7" ht="10.5" customHeight="1" x14ac:dyDescent="0.2">
      <c r="G53770" s="889"/>
    </row>
    <row r="53771" spans="7:7" ht="10.5" customHeight="1" x14ac:dyDescent="0.2">
      <c r="G53771" s="889"/>
    </row>
    <row r="53772" spans="7:7" ht="10.5" customHeight="1" x14ac:dyDescent="0.2">
      <c r="G53772" s="889"/>
    </row>
    <row r="53773" spans="7:7" ht="10.5" customHeight="1" x14ac:dyDescent="0.2">
      <c r="G53773" s="889"/>
    </row>
    <row r="53774" spans="7:7" ht="10.5" customHeight="1" x14ac:dyDescent="0.2">
      <c r="G53774" s="889"/>
    </row>
    <row r="53775" spans="7:7" ht="10.5" customHeight="1" x14ac:dyDescent="0.2">
      <c r="G53775" s="889"/>
    </row>
    <row r="53776" spans="7:7" ht="10.5" customHeight="1" x14ac:dyDescent="0.2">
      <c r="G53776" s="889"/>
    </row>
    <row r="53777" spans="7:7" ht="10.5" customHeight="1" x14ac:dyDescent="0.2">
      <c r="G53777" s="889"/>
    </row>
    <row r="53778" spans="7:7" ht="10.5" customHeight="1" x14ac:dyDescent="0.2">
      <c r="G53778" s="889"/>
    </row>
    <row r="53779" spans="7:7" ht="10.5" customHeight="1" x14ac:dyDescent="0.2">
      <c r="G53779" s="889"/>
    </row>
    <row r="53780" spans="7:7" ht="10.5" customHeight="1" x14ac:dyDescent="0.2">
      <c r="G53780" s="889"/>
    </row>
    <row r="53781" spans="7:7" ht="10.5" customHeight="1" x14ac:dyDescent="0.2">
      <c r="G53781" s="889"/>
    </row>
    <row r="53782" spans="7:7" ht="10.5" customHeight="1" x14ac:dyDescent="0.2">
      <c r="G53782" s="889"/>
    </row>
    <row r="53783" spans="7:7" ht="10.5" customHeight="1" x14ac:dyDescent="0.2">
      <c r="G53783" s="889"/>
    </row>
    <row r="53784" spans="7:7" ht="10.5" customHeight="1" x14ac:dyDescent="0.2">
      <c r="G53784" s="889"/>
    </row>
    <row r="53785" spans="7:7" ht="10.5" customHeight="1" x14ac:dyDescent="0.2">
      <c r="G53785" s="889"/>
    </row>
    <row r="53786" spans="7:7" ht="10.5" customHeight="1" x14ac:dyDescent="0.2">
      <c r="G53786" s="889"/>
    </row>
    <row r="53787" spans="7:7" ht="10.5" customHeight="1" x14ac:dyDescent="0.2">
      <c r="G53787" s="889"/>
    </row>
    <row r="53788" spans="7:7" ht="10.5" customHeight="1" x14ac:dyDescent="0.2">
      <c r="G53788" s="889"/>
    </row>
    <row r="53789" spans="7:7" ht="10.5" customHeight="1" x14ac:dyDescent="0.2">
      <c r="G53789" s="889"/>
    </row>
    <row r="53790" spans="7:7" ht="10.5" customHeight="1" x14ac:dyDescent="0.2">
      <c r="G53790" s="889"/>
    </row>
    <row r="53791" spans="7:7" ht="10.5" customHeight="1" x14ac:dyDescent="0.2">
      <c r="G53791" s="889"/>
    </row>
    <row r="53792" spans="7:7" ht="10.5" customHeight="1" x14ac:dyDescent="0.2">
      <c r="G53792" s="889"/>
    </row>
    <row r="53793" spans="7:7" ht="10.5" customHeight="1" x14ac:dyDescent="0.2">
      <c r="G53793" s="889"/>
    </row>
    <row r="53794" spans="7:7" ht="10.5" customHeight="1" x14ac:dyDescent="0.2">
      <c r="G53794" s="889"/>
    </row>
    <row r="53795" spans="7:7" ht="10.5" customHeight="1" x14ac:dyDescent="0.2">
      <c r="G53795" s="889"/>
    </row>
    <row r="53796" spans="7:7" ht="10.5" customHeight="1" x14ac:dyDescent="0.2">
      <c r="G53796" s="889"/>
    </row>
    <row r="53797" spans="7:7" ht="10.5" customHeight="1" x14ac:dyDescent="0.2">
      <c r="G53797" s="889"/>
    </row>
    <row r="53798" spans="7:7" ht="10.5" customHeight="1" x14ac:dyDescent="0.2">
      <c r="G53798" s="889"/>
    </row>
    <row r="53799" spans="7:7" ht="10.5" customHeight="1" x14ac:dyDescent="0.2">
      <c r="G53799" s="889"/>
    </row>
    <row r="53800" spans="7:7" ht="10.5" customHeight="1" x14ac:dyDescent="0.2">
      <c r="G53800" s="889"/>
    </row>
    <row r="53801" spans="7:7" ht="10.5" customHeight="1" x14ac:dyDescent="0.2">
      <c r="G53801" s="889"/>
    </row>
    <row r="53802" spans="7:7" ht="10.5" customHeight="1" x14ac:dyDescent="0.2">
      <c r="G53802" s="889"/>
    </row>
    <row r="53803" spans="7:7" ht="10.5" customHeight="1" x14ac:dyDescent="0.2">
      <c r="G53803" s="889"/>
    </row>
    <row r="53804" spans="7:7" ht="10.5" customHeight="1" x14ac:dyDescent="0.2">
      <c r="G53804" s="889"/>
    </row>
    <row r="53805" spans="7:7" ht="10.5" customHeight="1" x14ac:dyDescent="0.2">
      <c r="G53805" s="889"/>
    </row>
    <row r="53806" spans="7:7" ht="10.5" customHeight="1" x14ac:dyDescent="0.2">
      <c r="G53806" s="889"/>
    </row>
    <row r="53807" spans="7:7" ht="10.5" customHeight="1" x14ac:dyDescent="0.2">
      <c r="G53807" s="889"/>
    </row>
    <row r="53808" spans="7:7" ht="10.5" customHeight="1" x14ac:dyDescent="0.2">
      <c r="G53808" s="889"/>
    </row>
    <row r="53809" spans="7:7" ht="10.5" customHeight="1" x14ac:dyDescent="0.2">
      <c r="G53809" s="889"/>
    </row>
    <row r="53810" spans="7:7" ht="10.5" customHeight="1" x14ac:dyDescent="0.2">
      <c r="G53810" s="889"/>
    </row>
    <row r="53811" spans="7:7" ht="10.5" customHeight="1" x14ac:dyDescent="0.2">
      <c r="G53811" s="889"/>
    </row>
    <row r="53812" spans="7:7" ht="10.5" customHeight="1" x14ac:dyDescent="0.2">
      <c r="G53812" s="889"/>
    </row>
    <row r="53813" spans="7:7" ht="10.5" customHeight="1" x14ac:dyDescent="0.2">
      <c r="G53813" s="889"/>
    </row>
    <row r="53814" spans="7:7" ht="10.5" customHeight="1" x14ac:dyDescent="0.2">
      <c r="G53814" s="889"/>
    </row>
    <row r="53815" spans="7:7" ht="10.5" customHeight="1" x14ac:dyDescent="0.2">
      <c r="G53815" s="889"/>
    </row>
    <row r="53816" spans="7:7" ht="10.5" customHeight="1" x14ac:dyDescent="0.2">
      <c r="G53816" s="889"/>
    </row>
    <row r="53817" spans="7:7" ht="10.5" customHeight="1" x14ac:dyDescent="0.2">
      <c r="G53817" s="889"/>
    </row>
    <row r="53818" spans="7:7" ht="10.5" customHeight="1" x14ac:dyDescent="0.2">
      <c r="G53818" s="889"/>
    </row>
    <row r="53819" spans="7:7" ht="10.5" customHeight="1" x14ac:dyDescent="0.2">
      <c r="G53819" s="889"/>
    </row>
    <row r="53820" spans="7:7" ht="10.5" customHeight="1" x14ac:dyDescent="0.2">
      <c r="G53820" s="889"/>
    </row>
    <row r="53821" spans="7:7" ht="10.5" customHeight="1" x14ac:dyDescent="0.2">
      <c r="G53821" s="889"/>
    </row>
    <row r="53822" spans="7:7" ht="10.5" customHeight="1" x14ac:dyDescent="0.2">
      <c r="G53822" s="889"/>
    </row>
    <row r="53823" spans="7:7" ht="10.5" customHeight="1" x14ac:dyDescent="0.2">
      <c r="G53823" s="889"/>
    </row>
    <row r="53824" spans="7:7" ht="10.5" customHeight="1" x14ac:dyDescent="0.2">
      <c r="G53824" s="889"/>
    </row>
    <row r="53825" spans="7:7" ht="10.5" customHeight="1" x14ac:dyDescent="0.2">
      <c r="G53825" s="889"/>
    </row>
    <row r="53826" spans="7:7" ht="10.5" customHeight="1" x14ac:dyDescent="0.2">
      <c r="G53826" s="889"/>
    </row>
    <row r="53827" spans="7:7" ht="10.5" customHeight="1" x14ac:dyDescent="0.2">
      <c r="G53827" s="889"/>
    </row>
    <row r="53828" spans="7:7" ht="10.5" customHeight="1" x14ac:dyDescent="0.2">
      <c r="G53828" s="889"/>
    </row>
    <row r="53829" spans="7:7" ht="10.5" customHeight="1" x14ac:dyDescent="0.2">
      <c r="G53829" s="889"/>
    </row>
    <row r="53830" spans="7:7" ht="10.5" customHeight="1" x14ac:dyDescent="0.2">
      <c r="G53830" s="889"/>
    </row>
    <row r="53831" spans="7:7" ht="10.5" customHeight="1" x14ac:dyDescent="0.2">
      <c r="G53831" s="889"/>
    </row>
    <row r="53832" spans="7:7" ht="10.5" customHeight="1" x14ac:dyDescent="0.2">
      <c r="G53832" s="889"/>
    </row>
    <row r="53833" spans="7:7" ht="10.5" customHeight="1" x14ac:dyDescent="0.2">
      <c r="G53833" s="889"/>
    </row>
    <row r="53834" spans="7:7" ht="10.5" customHeight="1" x14ac:dyDescent="0.2">
      <c r="G53834" s="889"/>
    </row>
    <row r="53835" spans="7:7" ht="10.5" customHeight="1" x14ac:dyDescent="0.2">
      <c r="G53835" s="889"/>
    </row>
    <row r="53836" spans="7:7" ht="10.5" customHeight="1" x14ac:dyDescent="0.2">
      <c r="G53836" s="889"/>
    </row>
    <row r="53837" spans="7:7" ht="10.5" customHeight="1" x14ac:dyDescent="0.2">
      <c r="G53837" s="889"/>
    </row>
    <row r="53838" spans="7:7" ht="10.5" customHeight="1" x14ac:dyDescent="0.2">
      <c r="G53838" s="889"/>
    </row>
    <row r="53839" spans="7:7" ht="10.5" customHeight="1" x14ac:dyDescent="0.2">
      <c r="G53839" s="889"/>
    </row>
    <row r="53840" spans="7:7" ht="10.5" customHeight="1" x14ac:dyDescent="0.2">
      <c r="G53840" s="889"/>
    </row>
    <row r="53841" spans="7:7" ht="10.5" customHeight="1" x14ac:dyDescent="0.2">
      <c r="G53841" s="889"/>
    </row>
    <row r="53842" spans="7:7" ht="10.5" customHeight="1" x14ac:dyDescent="0.2">
      <c r="G53842" s="889"/>
    </row>
    <row r="53843" spans="7:7" ht="10.5" customHeight="1" x14ac:dyDescent="0.2">
      <c r="G53843" s="889"/>
    </row>
    <row r="53844" spans="7:7" ht="10.5" customHeight="1" x14ac:dyDescent="0.2">
      <c r="G53844" s="889"/>
    </row>
    <row r="53845" spans="7:7" ht="10.5" customHeight="1" x14ac:dyDescent="0.2">
      <c r="G53845" s="889"/>
    </row>
    <row r="53846" spans="7:7" ht="10.5" customHeight="1" x14ac:dyDescent="0.2">
      <c r="G53846" s="889"/>
    </row>
    <row r="53847" spans="7:7" ht="10.5" customHeight="1" x14ac:dyDescent="0.2">
      <c r="G53847" s="889"/>
    </row>
    <row r="53848" spans="7:7" ht="10.5" customHeight="1" x14ac:dyDescent="0.2">
      <c r="G53848" s="889"/>
    </row>
    <row r="53849" spans="7:7" ht="10.5" customHeight="1" x14ac:dyDescent="0.2">
      <c r="G53849" s="889"/>
    </row>
    <row r="53850" spans="7:7" ht="10.5" customHeight="1" x14ac:dyDescent="0.2">
      <c r="G53850" s="889"/>
    </row>
    <row r="53851" spans="7:7" ht="10.5" customHeight="1" x14ac:dyDescent="0.2">
      <c r="G53851" s="889"/>
    </row>
    <row r="53852" spans="7:7" ht="10.5" customHeight="1" x14ac:dyDescent="0.2">
      <c r="G53852" s="889"/>
    </row>
    <row r="53853" spans="7:7" ht="10.5" customHeight="1" x14ac:dyDescent="0.2">
      <c r="G53853" s="889"/>
    </row>
    <row r="53854" spans="7:7" ht="10.5" customHeight="1" x14ac:dyDescent="0.2">
      <c r="G53854" s="889"/>
    </row>
    <row r="53855" spans="7:7" ht="10.5" customHeight="1" x14ac:dyDescent="0.2">
      <c r="G53855" s="889"/>
    </row>
    <row r="53856" spans="7:7" ht="10.5" customHeight="1" x14ac:dyDescent="0.2">
      <c r="G53856" s="889"/>
    </row>
    <row r="53857" spans="7:7" ht="10.5" customHeight="1" x14ac:dyDescent="0.2">
      <c r="G53857" s="889"/>
    </row>
    <row r="53858" spans="7:7" ht="10.5" customHeight="1" x14ac:dyDescent="0.2">
      <c r="G53858" s="889"/>
    </row>
    <row r="53859" spans="7:7" ht="10.5" customHeight="1" x14ac:dyDescent="0.2">
      <c r="G53859" s="889"/>
    </row>
    <row r="53860" spans="7:7" ht="10.5" customHeight="1" x14ac:dyDescent="0.2">
      <c r="G53860" s="889"/>
    </row>
    <row r="53861" spans="7:7" ht="10.5" customHeight="1" x14ac:dyDescent="0.2">
      <c r="G53861" s="889"/>
    </row>
    <row r="53862" spans="7:7" ht="10.5" customHeight="1" x14ac:dyDescent="0.2">
      <c r="G53862" s="889"/>
    </row>
    <row r="53863" spans="7:7" ht="10.5" customHeight="1" x14ac:dyDescent="0.2">
      <c r="G53863" s="889"/>
    </row>
    <row r="53864" spans="7:7" ht="10.5" customHeight="1" x14ac:dyDescent="0.2">
      <c r="G53864" s="889"/>
    </row>
    <row r="53865" spans="7:7" ht="10.5" customHeight="1" x14ac:dyDescent="0.2">
      <c r="G53865" s="889"/>
    </row>
    <row r="53866" spans="7:7" ht="10.5" customHeight="1" x14ac:dyDescent="0.2">
      <c r="G53866" s="889"/>
    </row>
    <row r="53867" spans="7:7" ht="10.5" customHeight="1" x14ac:dyDescent="0.2">
      <c r="G53867" s="889"/>
    </row>
    <row r="53868" spans="7:7" ht="10.5" customHeight="1" x14ac:dyDescent="0.2">
      <c r="G53868" s="889"/>
    </row>
    <row r="53869" spans="7:7" ht="10.5" customHeight="1" x14ac:dyDescent="0.2">
      <c r="G53869" s="889"/>
    </row>
    <row r="53870" spans="7:7" ht="10.5" customHeight="1" x14ac:dyDescent="0.2">
      <c r="G53870" s="889"/>
    </row>
    <row r="53871" spans="7:7" ht="10.5" customHeight="1" x14ac:dyDescent="0.2">
      <c r="G53871" s="889"/>
    </row>
    <row r="53872" spans="7:7" ht="10.5" customHeight="1" x14ac:dyDescent="0.2">
      <c r="G53872" s="889"/>
    </row>
    <row r="53873" spans="7:7" ht="10.5" customHeight="1" x14ac:dyDescent="0.2">
      <c r="G53873" s="889"/>
    </row>
    <row r="53874" spans="7:7" ht="10.5" customHeight="1" x14ac:dyDescent="0.2">
      <c r="G53874" s="889"/>
    </row>
    <row r="53875" spans="7:7" ht="10.5" customHeight="1" x14ac:dyDescent="0.2">
      <c r="G53875" s="889"/>
    </row>
    <row r="53876" spans="7:7" ht="10.5" customHeight="1" x14ac:dyDescent="0.2">
      <c r="G53876" s="889"/>
    </row>
    <row r="53877" spans="7:7" ht="10.5" customHeight="1" x14ac:dyDescent="0.2">
      <c r="G53877" s="889"/>
    </row>
    <row r="53878" spans="7:7" ht="10.5" customHeight="1" x14ac:dyDescent="0.2">
      <c r="G53878" s="889"/>
    </row>
    <row r="53879" spans="7:7" ht="10.5" customHeight="1" x14ac:dyDescent="0.2">
      <c r="G53879" s="889"/>
    </row>
    <row r="53880" spans="7:7" ht="10.5" customHeight="1" x14ac:dyDescent="0.2">
      <c r="G53880" s="889"/>
    </row>
    <row r="53881" spans="7:7" ht="10.5" customHeight="1" x14ac:dyDescent="0.2">
      <c r="G53881" s="889"/>
    </row>
    <row r="53882" spans="7:7" ht="10.5" customHeight="1" x14ac:dyDescent="0.2">
      <c r="G53882" s="889"/>
    </row>
    <row r="53883" spans="7:7" ht="10.5" customHeight="1" x14ac:dyDescent="0.2">
      <c r="G53883" s="889"/>
    </row>
    <row r="53884" spans="7:7" ht="10.5" customHeight="1" x14ac:dyDescent="0.2">
      <c r="G53884" s="889"/>
    </row>
    <row r="53885" spans="7:7" ht="10.5" customHeight="1" x14ac:dyDescent="0.2">
      <c r="G53885" s="889"/>
    </row>
    <row r="53886" spans="7:7" ht="10.5" customHeight="1" x14ac:dyDescent="0.2">
      <c r="G53886" s="889"/>
    </row>
    <row r="53887" spans="7:7" ht="10.5" customHeight="1" x14ac:dyDescent="0.2">
      <c r="G53887" s="889"/>
    </row>
    <row r="53888" spans="7:7" ht="10.5" customHeight="1" x14ac:dyDescent="0.2">
      <c r="G53888" s="889"/>
    </row>
    <row r="53889" spans="7:7" ht="10.5" customHeight="1" x14ac:dyDescent="0.2">
      <c r="G53889" s="889"/>
    </row>
    <row r="53890" spans="7:7" ht="10.5" customHeight="1" x14ac:dyDescent="0.2">
      <c r="G53890" s="889"/>
    </row>
    <row r="53891" spans="7:7" ht="10.5" customHeight="1" x14ac:dyDescent="0.2">
      <c r="G53891" s="889"/>
    </row>
    <row r="53892" spans="7:7" ht="10.5" customHeight="1" x14ac:dyDescent="0.2">
      <c r="G53892" s="889"/>
    </row>
    <row r="53893" spans="7:7" ht="10.5" customHeight="1" x14ac:dyDescent="0.2">
      <c r="G53893" s="889"/>
    </row>
    <row r="53894" spans="7:7" ht="10.5" customHeight="1" x14ac:dyDescent="0.2">
      <c r="G53894" s="889"/>
    </row>
    <row r="53895" spans="7:7" ht="10.5" customHeight="1" x14ac:dyDescent="0.2">
      <c r="G53895" s="889"/>
    </row>
    <row r="53896" spans="7:7" ht="10.5" customHeight="1" x14ac:dyDescent="0.2">
      <c r="G53896" s="889"/>
    </row>
    <row r="53897" spans="7:7" ht="10.5" customHeight="1" x14ac:dyDescent="0.2">
      <c r="G53897" s="889"/>
    </row>
    <row r="53898" spans="7:7" ht="10.5" customHeight="1" x14ac:dyDescent="0.2">
      <c r="G53898" s="889"/>
    </row>
    <row r="53899" spans="7:7" ht="10.5" customHeight="1" x14ac:dyDescent="0.2">
      <c r="G53899" s="889"/>
    </row>
    <row r="53900" spans="7:7" ht="10.5" customHeight="1" x14ac:dyDescent="0.2">
      <c r="G53900" s="889"/>
    </row>
    <row r="53901" spans="7:7" ht="10.5" customHeight="1" x14ac:dyDescent="0.2">
      <c r="G53901" s="889"/>
    </row>
    <row r="53902" spans="7:7" ht="10.5" customHeight="1" x14ac:dyDescent="0.2">
      <c r="G53902" s="889"/>
    </row>
    <row r="53903" spans="7:7" ht="10.5" customHeight="1" x14ac:dyDescent="0.2">
      <c r="G53903" s="889"/>
    </row>
    <row r="53904" spans="7:7" ht="10.5" customHeight="1" x14ac:dyDescent="0.2">
      <c r="G53904" s="889"/>
    </row>
    <row r="53905" spans="7:7" ht="10.5" customHeight="1" x14ac:dyDescent="0.2">
      <c r="G53905" s="889"/>
    </row>
    <row r="53906" spans="7:7" ht="10.5" customHeight="1" x14ac:dyDescent="0.2">
      <c r="G53906" s="889"/>
    </row>
    <row r="53907" spans="7:7" ht="10.5" customHeight="1" x14ac:dyDescent="0.2">
      <c r="G53907" s="889"/>
    </row>
    <row r="53908" spans="7:7" ht="10.5" customHeight="1" x14ac:dyDescent="0.2">
      <c r="G53908" s="889"/>
    </row>
    <row r="53909" spans="7:7" ht="10.5" customHeight="1" x14ac:dyDescent="0.2">
      <c r="G53909" s="889"/>
    </row>
    <row r="53910" spans="7:7" ht="10.5" customHeight="1" x14ac:dyDescent="0.2">
      <c r="G53910" s="889"/>
    </row>
    <row r="53911" spans="7:7" ht="10.5" customHeight="1" x14ac:dyDescent="0.2">
      <c r="G53911" s="889"/>
    </row>
    <row r="53912" spans="7:7" ht="10.5" customHeight="1" x14ac:dyDescent="0.2">
      <c r="G53912" s="889"/>
    </row>
    <row r="53913" spans="7:7" ht="10.5" customHeight="1" x14ac:dyDescent="0.2">
      <c r="G53913" s="889"/>
    </row>
    <row r="53914" spans="7:7" ht="10.5" customHeight="1" x14ac:dyDescent="0.2">
      <c r="G53914" s="889"/>
    </row>
    <row r="53915" spans="7:7" ht="10.5" customHeight="1" x14ac:dyDescent="0.2">
      <c r="G53915" s="889"/>
    </row>
    <row r="53916" spans="7:7" ht="10.5" customHeight="1" x14ac:dyDescent="0.2">
      <c r="G53916" s="889"/>
    </row>
    <row r="53917" spans="7:7" ht="10.5" customHeight="1" x14ac:dyDescent="0.2">
      <c r="G53917" s="889"/>
    </row>
    <row r="53918" spans="7:7" ht="10.5" customHeight="1" x14ac:dyDescent="0.2">
      <c r="G53918" s="889"/>
    </row>
    <row r="53919" spans="7:7" ht="10.5" customHeight="1" x14ac:dyDescent="0.2">
      <c r="G53919" s="889"/>
    </row>
    <row r="53920" spans="7:7" ht="10.5" customHeight="1" x14ac:dyDescent="0.2">
      <c r="G53920" s="889"/>
    </row>
    <row r="53921" spans="7:7" ht="10.5" customHeight="1" x14ac:dyDescent="0.2">
      <c r="G53921" s="889"/>
    </row>
    <row r="53922" spans="7:7" ht="10.5" customHeight="1" x14ac:dyDescent="0.2">
      <c r="G53922" s="889"/>
    </row>
    <row r="53923" spans="7:7" ht="10.5" customHeight="1" x14ac:dyDescent="0.2">
      <c r="G53923" s="889"/>
    </row>
    <row r="53924" spans="7:7" ht="10.5" customHeight="1" x14ac:dyDescent="0.2">
      <c r="G53924" s="889"/>
    </row>
    <row r="53925" spans="7:7" ht="10.5" customHeight="1" x14ac:dyDescent="0.2">
      <c r="G53925" s="889"/>
    </row>
    <row r="53926" spans="7:7" ht="10.5" customHeight="1" x14ac:dyDescent="0.2">
      <c r="G53926" s="889"/>
    </row>
    <row r="53927" spans="7:7" ht="10.5" customHeight="1" x14ac:dyDescent="0.2">
      <c r="G53927" s="889"/>
    </row>
    <row r="53928" spans="7:7" ht="10.5" customHeight="1" x14ac:dyDescent="0.2">
      <c r="G53928" s="889"/>
    </row>
    <row r="53929" spans="7:7" ht="10.5" customHeight="1" x14ac:dyDescent="0.2">
      <c r="G53929" s="889"/>
    </row>
    <row r="53930" spans="7:7" ht="10.5" customHeight="1" x14ac:dyDescent="0.2">
      <c r="G53930" s="889"/>
    </row>
    <row r="53931" spans="7:7" ht="10.5" customHeight="1" x14ac:dyDescent="0.2">
      <c r="G53931" s="889"/>
    </row>
    <row r="53932" spans="7:7" ht="10.5" customHeight="1" x14ac:dyDescent="0.2">
      <c r="G53932" s="889"/>
    </row>
    <row r="53933" spans="7:7" ht="10.5" customHeight="1" x14ac:dyDescent="0.2">
      <c r="G53933" s="889"/>
    </row>
    <row r="53934" spans="7:7" ht="10.5" customHeight="1" x14ac:dyDescent="0.2">
      <c r="G53934" s="889"/>
    </row>
    <row r="53935" spans="7:7" ht="10.5" customHeight="1" x14ac:dyDescent="0.2">
      <c r="G53935" s="889"/>
    </row>
    <row r="53936" spans="7:7" ht="10.5" customHeight="1" x14ac:dyDescent="0.2">
      <c r="G53936" s="889"/>
    </row>
    <row r="53937" spans="7:7" ht="10.5" customHeight="1" x14ac:dyDescent="0.2">
      <c r="G53937" s="889"/>
    </row>
    <row r="53938" spans="7:7" ht="10.5" customHeight="1" x14ac:dyDescent="0.2">
      <c r="G53938" s="889"/>
    </row>
    <row r="53939" spans="7:7" ht="10.5" customHeight="1" x14ac:dyDescent="0.2">
      <c r="G53939" s="889"/>
    </row>
    <row r="53940" spans="7:7" ht="10.5" customHeight="1" x14ac:dyDescent="0.2">
      <c r="G53940" s="889"/>
    </row>
    <row r="53941" spans="7:7" ht="10.5" customHeight="1" x14ac:dyDescent="0.2">
      <c r="G53941" s="889"/>
    </row>
    <row r="53942" spans="7:7" ht="10.5" customHeight="1" x14ac:dyDescent="0.2">
      <c r="G53942" s="889"/>
    </row>
    <row r="53943" spans="7:7" ht="10.5" customHeight="1" x14ac:dyDescent="0.2">
      <c r="G53943" s="889"/>
    </row>
    <row r="53944" spans="7:7" ht="10.5" customHeight="1" x14ac:dyDescent="0.2">
      <c r="G53944" s="889"/>
    </row>
    <row r="53945" spans="7:7" ht="10.5" customHeight="1" x14ac:dyDescent="0.2">
      <c r="G53945" s="889"/>
    </row>
    <row r="53946" spans="7:7" ht="10.5" customHeight="1" x14ac:dyDescent="0.2">
      <c r="G53946" s="889"/>
    </row>
    <row r="53947" spans="7:7" ht="10.5" customHeight="1" x14ac:dyDescent="0.2">
      <c r="G53947" s="889"/>
    </row>
    <row r="53948" spans="7:7" ht="10.5" customHeight="1" x14ac:dyDescent="0.2">
      <c r="G53948" s="889"/>
    </row>
    <row r="53949" spans="7:7" ht="10.5" customHeight="1" x14ac:dyDescent="0.2">
      <c r="G53949" s="889"/>
    </row>
    <row r="53950" spans="7:7" ht="10.5" customHeight="1" x14ac:dyDescent="0.2">
      <c r="G53950" s="889"/>
    </row>
    <row r="53951" spans="7:7" ht="10.5" customHeight="1" x14ac:dyDescent="0.2">
      <c r="G53951" s="889"/>
    </row>
    <row r="53952" spans="7:7" ht="10.5" customHeight="1" x14ac:dyDescent="0.2">
      <c r="G53952" s="889"/>
    </row>
    <row r="53953" spans="7:7" ht="10.5" customHeight="1" x14ac:dyDescent="0.2">
      <c r="G53953" s="889"/>
    </row>
    <row r="53954" spans="7:7" ht="10.5" customHeight="1" x14ac:dyDescent="0.2">
      <c r="G53954" s="889"/>
    </row>
    <row r="53955" spans="7:7" ht="10.5" customHeight="1" x14ac:dyDescent="0.2">
      <c r="G53955" s="889"/>
    </row>
    <row r="53956" spans="7:7" ht="10.5" customHeight="1" x14ac:dyDescent="0.2">
      <c r="G53956" s="889"/>
    </row>
    <row r="53957" spans="7:7" ht="10.5" customHeight="1" x14ac:dyDescent="0.2">
      <c r="G53957" s="889"/>
    </row>
    <row r="53958" spans="7:7" ht="10.5" customHeight="1" x14ac:dyDescent="0.2">
      <c r="G53958" s="889"/>
    </row>
    <row r="53959" spans="7:7" ht="10.5" customHeight="1" x14ac:dyDescent="0.2">
      <c r="G53959" s="889"/>
    </row>
    <row r="53960" spans="7:7" ht="10.5" customHeight="1" x14ac:dyDescent="0.2">
      <c r="G53960" s="889"/>
    </row>
    <row r="53961" spans="7:7" ht="10.5" customHeight="1" x14ac:dyDescent="0.2">
      <c r="G53961" s="889"/>
    </row>
    <row r="53962" spans="7:7" ht="10.5" customHeight="1" x14ac:dyDescent="0.2">
      <c r="G53962" s="889"/>
    </row>
    <row r="53963" spans="7:7" ht="10.5" customHeight="1" x14ac:dyDescent="0.2">
      <c r="G53963" s="889"/>
    </row>
    <row r="53964" spans="7:7" ht="10.5" customHeight="1" x14ac:dyDescent="0.2">
      <c r="G53964" s="889"/>
    </row>
    <row r="53965" spans="7:7" ht="10.5" customHeight="1" x14ac:dyDescent="0.2">
      <c r="G53965" s="889"/>
    </row>
    <row r="53966" spans="7:7" ht="10.5" customHeight="1" x14ac:dyDescent="0.2">
      <c r="G53966" s="889"/>
    </row>
    <row r="53967" spans="7:7" ht="10.5" customHeight="1" x14ac:dyDescent="0.2">
      <c r="G53967" s="889"/>
    </row>
    <row r="53968" spans="7:7" ht="10.5" customHeight="1" x14ac:dyDescent="0.2">
      <c r="G53968" s="889"/>
    </row>
    <row r="53969" spans="7:7" ht="10.5" customHeight="1" x14ac:dyDescent="0.2">
      <c r="G53969" s="889"/>
    </row>
    <row r="53970" spans="7:7" ht="10.5" customHeight="1" x14ac:dyDescent="0.2">
      <c r="G53970" s="889"/>
    </row>
    <row r="53971" spans="7:7" ht="10.5" customHeight="1" x14ac:dyDescent="0.2">
      <c r="G53971" s="889"/>
    </row>
    <row r="53972" spans="7:7" ht="10.5" customHeight="1" x14ac:dyDescent="0.2">
      <c r="G53972" s="889"/>
    </row>
    <row r="53973" spans="7:7" ht="10.5" customHeight="1" x14ac:dyDescent="0.2">
      <c r="G53973" s="889"/>
    </row>
    <row r="53974" spans="7:7" ht="10.5" customHeight="1" x14ac:dyDescent="0.2">
      <c r="G53974" s="889"/>
    </row>
    <row r="53975" spans="7:7" ht="10.5" customHeight="1" x14ac:dyDescent="0.2">
      <c r="G53975" s="889"/>
    </row>
    <row r="53976" spans="7:7" ht="10.5" customHeight="1" x14ac:dyDescent="0.2">
      <c r="G53976" s="889"/>
    </row>
    <row r="53977" spans="7:7" ht="10.5" customHeight="1" x14ac:dyDescent="0.2">
      <c r="G53977" s="889"/>
    </row>
    <row r="53978" spans="7:7" ht="10.5" customHeight="1" x14ac:dyDescent="0.2">
      <c r="G53978" s="889"/>
    </row>
    <row r="53979" spans="7:7" ht="10.5" customHeight="1" x14ac:dyDescent="0.2">
      <c r="G53979" s="889"/>
    </row>
    <row r="53980" spans="7:7" ht="10.5" customHeight="1" x14ac:dyDescent="0.2">
      <c r="G53980" s="889"/>
    </row>
    <row r="53981" spans="7:7" ht="10.5" customHeight="1" x14ac:dyDescent="0.2">
      <c r="G53981" s="889"/>
    </row>
    <row r="53982" spans="7:7" ht="10.5" customHeight="1" x14ac:dyDescent="0.2">
      <c r="G53982" s="889"/>
    </row>
    <row r="53983" spans="7:7" ht="10.5" customHeight="1" x14ac:dyDescent="0.2">
      <c r="G53983" s="889"/>
    </row>
    <row r="53984" spans="7:7" ht="10.5" customHeight="1" x14ac:dyDescent="0.2">
      <c r="G53984" s="889"/>
    </row>
    <row r="53985" spans="7:7" ht="10.5" customHeight="1" x14ac:dyDescent="0.2">
      <c r="G53985" s="889"/>
    </row>
    <row r="53986" spans="7:7" ht="10.5" customHeight="1" x14ac:dyDescent="0.2">
      <c r="G53986" s="889"/>
    </row>
    <row r="53987" spans="7:7" ht="10.5" customHeight="1" x14ac:dyDescent="0.2">
      <c r="G53987" s="889"/>
    </row>
    <row r="53988" spans="7:7" ht="10.5" customHeight="1" x14ac:dyDescent="0.2">
      <c r="G53988" s="889"/>
    </row>
    <row r="53989" spans="7:7" ht="10.5" customHeight="1" x14ac:dyDescent="0.2">
      <c r="G53989" s="889"/>
    </row>
    <row r="53990" spans="7:7" ht="10.5" customHeight="1" x14ac:dyDescent="0.2">
      <c r="G53990" s="889"/>
    </row>
    <row r="53991" spans="7:7" ht="10.5" customHeight="1" x14ac:dyDescent="0.2">
      <c r="G53991" s="889"/>
    </row>
    <row r="53992" spans="7:7" ht="10.5" customHeight="1" x14ac:dyDescent="0.2">
      <c r="G53992" s="889"/>
    </row>
    <row r="53993" spans="7:7" ht="10.5" customHeight="1" x14ac:dyDescent="0.2">
      <c r="G53993" s="889"/>
    </row>
    <row r="53994" spans="7:7" ht="10.5" customHeight="1" x14ac:dyDescent="0.2">
      <c r="G53994" s="889"/>
    </row>
    <row r="53995" spans="7:7" ht="10.5" customHeight="1" x14ac:dyDescent="0.2">
      <c r="G53995" s="889"/>
    </row>
    <row r="53996" spans="7:7" ht="10.5" customHeight="1" x14ac:dyDescent="0.2">
      <c r="G53996" s="889"/>
    </row>
    <row r="53997" spans="7:7" ht="10.5" customHeight="1" x14ac:dyDescent="0.2">
      <c r="G53997" s="889"/>
    </row>
    <row r="53998" spans="7:7" ht="10.5" customHeight="1" x14ac:dyDescent="0.2">
      <c r="G53998" s="889"/>
    </row>
    <row r="53999" spans="7:7" ht="10.5" customHeight="1" x14ac:dyDescent="0.2">
      <c r="G53999" s="889"/>
    </row>
    <row r="54000" spans="7:7" ht="10.5" customHeight="1" x14ac:dyDescent="0.2">
      <c r="G54000" s="889"/>
    </row>
    <row r="54001" spans="7:7" ht="10.5" customHeight="1" x14ac:dyDescent="0.2">
      <c r="G54001" s="889"/>
    </row>
    <row r="54002" spans="7:7" ht="10.5" customHeight="1" x14ac:dyDescent="0.2">
      <c r="G54002" s="889"/>
    </row>
    <row r="54003" spans="7:7" ht="10.5" customHeight="1" x14ac:dyDescent="0.2">
      <c r="G54003" s="889"/>
    </row>
    <row r="54004" spans="7:7" ht="10.5" customHeight="1" x14ac:dyDescent="0.2">
      <c r="G54004" s="889"/>
    </row>
    <row r="54005" spans="7:7" ht="10.5" customHeight="1" x14ac:dyDescent="0.2">
      <c r="G54005" s="889"/>
    </row>
    <row r="54006" spans="7:7" ht="10.5" customHeight="1" x14ac:dyDescent="0.2">
      <c r="G54006" s="889"/>
    </row>
    <row r="54007" spans="7:7" ht="10.5" customHeight="1" x14ac:dyDescent="0.2">
      <c r="G54007" s="889"/>
    </row>
    <row r="54008" spans="7:7" ht="10.5" customHeight="1" x14ac:dyDescent="0.2">
      <c r="G54008" s="889"/>
    </row>
    <row r="54009" spans="7:7" ht="10.5" customHeight="1" x14ac:dyDescent="0.2">
      <c r="G54009" s="889"/>
    </row>
    <row r="54010" spans="7:7" ht="10.5" customHeight="1" x14ac:dyDescent="0.2">
      <c r="G54010" s="889"/>
    </row>
    <row r="54011" spans="7:7" ht="10.5" customHeight="1" x14ac:dyDescent="0.2">
      <c r="G54011" s="889"/>
    </row>
    <row r="54012" spans="7:7" ht="10.5" customHeight="1" x14ac:dyDescent="0.2">
      <c r="G54012" s="889"/>
    </row>
    <row r="54013" spans="7:7" ht="10.5" customHeight="1" x14ac:dyDescent="0.2">
      <c r="G54013" s="889"/>
    </row>
    <row r="54014" spans="7:7" ht="10.5" customHeight="1" x14ac:dyDescent="0.2">
      <c r="G54014" s="889"/>
    </row>
    <row r="54015" spans="7:7" ht="10.5" customHeight="1" x14ac:dyDescent="0.2">
      <c r="G54015" s="889"/>
    </row>
    <row r="54016" spans="7:7" ht="10.5" customHeight="1" x14ac:dyDescent="0.2">
      <c r="G54016" s="889"/>
    </row>
    <row r="54017" spans="7:7" ht="10.5" customHeight="1" x14ac:dyDescent="0.2">
      <c r="G54017" s="889"/>
    </row>
    <row r="54018" spans="7:7" ht="10.5" customHeight="1" x14ac:dyDescent="0.2">
      <c r="G54018" s="889"/>
    </row>
    <row r="54019" spans="7:7" ht="10.5" customHeight="1" x14ac:dyDescent="0.2">
      <c r="G54019" s="889"/>
    </row>
    <row r="54020" spans="7:7" ht="10.5" customHeight="1" x14ac:dyDescent="0.2">
      <c r="G54020" s="889"/>
    </row>
    <row r="54021" spans="7:7" ht="10.5" customHeight="1" x14ac:dyDescent="0.2">
      <c r="G54021" s="889"/>
    </row>
    <row r="54022" spans="7:7" ht="10.5" customHeight="1" x14ac:dyDescent="0.2">
      <c r="G54022" s="889"/>
    </row>
    <row r="54023" spans="7:7" ht="10.5" customHeight="1" x14ac:dyDescent="0.2">
      <c r="G54023" s="889"/>
    </row>
    <row r="54024" spans="7:7" ht="10.5" customHeight="1" x14ac:dyDescent="0.2">
      <c r="G54024" s="889"/>
    </row>
    <row r="54025" spans="7:7" ht="10.5" customHeight="1" x14ac:dyDescent="0.2">
      <c r="G54025" s="889"/>
    </row>
    <row r="54026" spans="7:7" ht="10.5" customHeight="1" x14ac:dyDescent="0.2">
      <c r="G54026" s="889"/>
    </row>
    <row r="54027" spans="7:7" ht="10.5" customHeight="1" x14ac:dyDescent="0.2">
      <c r="G54027" s="889"/>
    </row>
    <row r="54028" spans="7:7" ht="10.5" customHeight="1" x14ac:dyDescent="0.2">
      <c r="G54028" s="889"/>
    </row>
    <row r="54029" spans="7:7" ht="10.5" customHeight="1" x14ac:dyDescent="0.2">
      <c r="G54029" s="889"/>
    </row>
    <row r="54030" spans="7:7" ht="10.5" customHeight="1" x14ac:dyDescent="0.2">
      <c r="G54030" s="889"/>
    </row>
    <row r="54031" spans="7:7" ht="10.5" customHeight="1" x14ac:dyDescent="0.2">
      <c r="G54031" s="889"/>
    </row>
    <row r="54032" spans="7:7" ht="10.5" customHeight="1" x14ac:dyDescent="0.2">
      <c r="G54032" s="889"/>
    </row>
    <row r="54033" spans="7:7" ht="10.5" customHeight="1" x14ac:dyDescent="0.2">
      <c r="G54033" s="889"/>
    </row>
    <row r="54034" spans="7:7" ht="10.5" customHeight="1" x14ac:dyDescent="0.2">
      <c r="G54034" s="889"/>
    </row>
    <row r="54035" spans="7:7" ht="10.5" customHeight="1" x14ac:dyDescent="0.2">
      <c r="G54035" s="889"/>
    </row>
    <row r="54036" spans="7:7" ht="10.5" customHeight="1" x14ac:dyDescent="0.2">
      <c r="G54036" s="889"/>
    </row>
    <row r="54037" spans="7:7" ht="10.5" customHeight="1" x14ac:dyDescent="0.2">
      <c r="G54037" s="889"/>
    </row>
    <row r="54038" spans="7:7" ht="10.5" customHeight="1" x14ac:dyDescent="0.2">
      <c r="G54038" s="889"/>
    </row>
    <row r="54039" spans="7:7" ht="10.5" customHeight="1" x14ac:dyDescent="0.2">
      <c r="G54039" s="889"/>
    </row>
    <row r="54040" spans="7:7" ht="10.5" customHeight="1" x14ac:dyDescent="0.2">
      <c r="G54040" s="889"/>
    </row>
    <row r="54041" spans="7:7" ht="10.5" customHeight="1" x14ac:dyDescent="0.2">
      <c r="G54041" s="889"/>
    </row>
    <row r="54042" spans="7:7" ht="10.5" customHeight="1" x14ac:dyDescent="0.2">
      <c r="G54042" s="889"/>
    </row>
    <row r="54043" spans="7:7" ht="10.5" customHeight="1" x14ac:dyDescent="0.2">
      <c r="G54043" s="889"/>
    </row>
    <row r="54044" spans="7:7" ht="10.5" customHeight="1" x14ac:dyDescent="0.2">
      <c r="G54044" s="889"/>
    </row>
    <row r="54045" spans="7:7" ht="10.5" customHeight="1" x14ac:dyDescent="0.2">
      <c r="G54045" s="889"/>
    </row>
    <row r="54046" spans="7:7" ht="10.5" customHeight="1" x14ac:dyDescent="0.2">
      <c r="G54046" s="889"/>
    </row>
    <row r="54047" spans="7:7" ht="10.5" customHeight="1" x14ac:dyDescent="0.2">
      <c r="G54047" s="889"/>
    </row>
    <row r="54048" spans="7:7" ht="10.5" customHeight="1" x14ac:dyDescent="0.2">
      <c r="G54048" s="889"/>
    </row>
    <row r="54049" spans="7:7" ht="10.5" customHeight="1" x14ac:dyDescent="0.2">
      <c r="G54049" s="889"/>
    </row>
    <row r="54050" spans="7:7" ht="10.5" customHeight="1" x14ac:dyDescent="0.2">
      <c r="G54050" s="889"/>
    </row>
    <row r="54051" spans="7:7" ht="10.5" customHeight="1" x14ac:dyDescent="0.2">
      <c r="G54051" s="889"/>
    </row>
    <row r="54052" spans="7:7" ht="10.5" customHeight="1" x14ac:dyDescent="0.2">
      <c r="G54052" s="889"/>
    </row>
    <row r="54053" spans="7:7" ht="10.5" customHeight="1" x14ac:dyDescent="0.2">
      <c r="G54053" s="889"/>
    </row>
    <row r="54054" spans="7:7" ht="10.5" customHeight="1" x14ac:dyDescent="0.2">
      <c r="G54054" s="889"/>
    </row>
    <row r="54055" spans="7:7" ht="10.5" customHeight="1" x14ac:dyDescent="0.2">
      <c r="G54055" s="889"/>
    </row>
    <row r="54056" spans="7:7" ht="10.5" customHeight="1" x14ac:dyDescent="0.2">
      <c r="G54056" s="889"/>
    </row>
    <row r="54057" spans="7:7" ht="10.5" customHeight="1" x14ac:dyDescent="0.2">
      <c r="G54057" s="889"/>
    </row>
    <row r="54058" spans="7:7" ht="10.5" customHeight="1" x14ac:dyDescent="0.2">
      <c r="G54058" s="889"/>
    </row>
    <row r="54059" spans="7:7" ht="10.5" customHeight="1" x14ac:dyDescent="0.2">
      <c r="G54059" s="889"/>
    </row>
    <row r="54060" spans="7:7" ht="10.5" customHeight="1" x14ac:dyDescent="0.2">
      <c r="G54060" s="889"/>
    </row>
    <row r="54061" spans="7:7" ht="10.5" customHeight="1" x14ac:dyDescent="0.2">
      <c r="G54061" s="889"/>
    </row>
    <row r="54062" spans="7:7" ht="10.5" customHeight="1" x14ac:dyDescent="0.2">
      <c r="G54062" s="889"/>
    </row>
    <row r="54063" spans="7:7" ht="10.5" customHeight="1" x14ac:dyDescent="0.2">
      <c r="G54063" s="889"/>
    </row>
    <row r="54064" spans="7:7" ht="10.5" customHeight="1" x14ac:dyDescent="0.2">
      <c r="G54064" s="889"/>
    </row>
    <row r="54065" spans="7:7" ht="10.5" customHeight="1" x14ac:dyDescent="0.2">
      <c r="G54065" s="889"/>
    </row>
    <row r="54066" spans="7:7" ht="10.5" customHeight="1" x14ac:dyDescent="0.2">
      <c r="G54066" s="889"/>
    </row>
    <row r="54067" spans="7:7" ht="10.5" customHeight="1" x14ac:dyDescent="0.2">
      <c r="G54067" s="889"/>
    </row>
    <row r="54068" spans="7:7" ht="10.5" customHeight="1" x14ac:dyDescent="0.2">
      <c r="G54068" s="889"/>
    </row>
    <row r="54069" spans="7:7" ht="10.5" customHeight="1" x14ac:dyDescent="0.2">
      <c r="G54069" s="889"/>
    </row>
    <row r="54070" spans="7:7" ht="10.5" customHeight="1" x14ac:dyDescent="0.2">
      <c r="G54070" s="889"/>
    </row>
    <row r="54071" spans="7:7" ht="10.5" customHeight="1" x14ac:dyDescent="0.2">
      <c r="G54071" s="889"/>
    </row>
    <row r="54072" spans="7:7" ht="10.5" customHeight="1" x14ac:dyDescent="0.2">
      <c r="G54072" s="889"/>
    </row>
    <row r="54073" spans="7:7" ht="10.5" customHeight="1" x14ac:dyDescent="0.2">
      <c r="G54073" s="889"/>
    </row>
    <row r="54074" spans="7:7" ht="10.5" customHeight="1" x14ac:dyDescent="0.2">
      <c r="G54074" s="889"/>
    </row>
    <row r="54075" spans="7:7" ht="10.5" customHeight="1" x14ac:dyDescent="0.2">
      <c r="G54075" s="889"/>
    </row>
    <row r="54076" spans="7:7" ht="10.5" customHeight="1" x14ac:dyDescent="0.2">
      <c r="G54076" s="889"/>
    </row>
    <row r="54077" spans="7:7" ht="10.5" customHeight="1" x14ac:dyDescent="0.2">
      <c r="G54077" s="889"/>
    </row>
    <row r="54078" spans="7:7" ht="10.5" customHeight="1" x14ac:dyDescent="0.2">
      <c r="G54078" s="889"/>
    </row>
    <row r="54079" spans="7:7" ht="10.5" customHeight="1" x14ac:dyDescent="0.2">
      <c r="G54079" s="889"/>
    </row>
    <row r="54080" spans="7:7" ht="10.5" customHeight="1" x14ac:dyDescent="0.2">
      <c r="G54080" s="889"/>
    </row>
    <row r="54081" spans="7:7" ht="10.5" customHeight="1" x14ac:dyDescent="0.2">
      <c r="G54081" s="889"/>
    </row>
    <row r="54082" spans="7:7" ht="10.5" customHeight="1" x14ac:dyDescent="0.2">
      <c r="G54082" s="889"/>
    </row>
    <row r="54083" spans="7:7" ht="10.5" customHeight="1" x14ac:dyDescent="0.2">
      <c r="G54083" s="889"/>
    </row>
    <row r="54084" spans="7:7" ht="10.5" customHeight="1" x14ac:dyDescent="0.2">
      <c r="G54084" s="889"/>
    </row>
    <row r="54085" spans="7:7" ht="10.5" customHeight="1" x14ac:dyDescent="0.2">
      <c r="G54085" s="889"/>
    </row>
    <row r="54086" spans="7:7" ht="10.5" customHeight="1" x14ac:dyDescent="0.2">
      <c r="G54086" s="889"/>
    </row>
    <row r="54087" spans="7:7" ht="10.5" customHeight="1" x14ac:dyDescent="0.2">
      <c r="G54087" s="889"/>
    </row>
    <row r="54088" spans="7:7" ht="10.5" customHeight="1" x14ac:dyDescent="0.2">
      <c r="G54088" s="889"/>
    </row>
    <row r="54089" spans="7:7" ht="10.5" customHeight="1" x14ac:dyDescent="0.2">
      <c r="G54089" s="889"/>
    </row>
    <row r="54090" spans="7:7" ht="10.5" customHeight="1" x14ac:dyDescent="0.2">
      <c r="G54090" s="889"/>
    </row>
    <row r="54091" spans="7:7" ht="10.5" customHeight="1" x14ac:dyDescent="0.2">
      <c r="G54091" s="889"/>
    </row>
    <row r="54092" spans="7:7" ht="10.5" customHeight="1" x14ac:dyDescent="0.2">
      <c r="G54092" s="889"/>
    </row>
    <row r="54093" spans="7:7" ht="10.5" customHeight="1" x14ac:dyDescent="0.2">
      <c r="G54093" s="889"/>
    </row>
    <row r="54094" spans="7:7" ht="10.5" customHeight="1" x14ac:dyDescent="0.2">
      <c r="G54094" s="889"/>
    </row>
    <row r="54095" spans="7:7" ht="10.5" customHeight="1" x14ac:dyDescent="0.2">
      <c r="G54095" s="889"/>
    </row>
    <row r="54096" spans="7:7" ht="10.5" customHeight="1" x14ac:dyDescent="0.2">
      <c r="G54096" s="889"/>
    </row>
    <row r="54097" spans="7:7" ht="10.5" customHeight="1" x14ac:dyDescent="0.2">
      <c r="G54097" s="889"/>
    </row>
    <row r="54098" spans="7:7" ht="10.5" customHeight="1" x14ac:dyDescent="0.2">
      <c r="G54098" s="889"/>
    </row>
    <row r="54099" spans="7:7" ht="10.5" customHeight="1" x14ac:dyDescent="0.2">
      <c r="G54099" s="889"/>
    </row>
    <row r="54100" spans="7:7" ht="10.5" customHeight="1" x14ac:dyDescent="0.2">
      <c r="G54100" s="889"/>
    </row>
    <row r="54101" spans="7:7" ht="10.5" customHeight="1" x14ac:dyDescent="0.2">
      <c r="G54101" s="889"/>
    </row>
    <row r="54102" spans="7:7" ht="10.5" customHeight="1" x14ac:dyDescent="0.2">
      <c r="G54102" s="889"/>
    </row>
    <row r="54103" spans="7:7" ht="10.5" customHeight="1" x14ac:dyDescent="0.2">
      <c r="G54103" s="889"/>
    </row>
    <row r="54104" spans="7:7" ht="10.5" customHeight="1" x14ac:dyDescent="0.2">
      <c r="G54104" s="889"/>
    </row>
    <row r="54105" spans="7:7" ht="10.5" customHeight="1" x14ac:dyDescent="0.2">
      <c r="G54105" s="889"/>
    </row>
    <row r="54106" spans="7:7" ht="10.5" customHeight="1" x14ac:dyDescent="0.2">
      <c r="G54106" s="889"/>
    </row>
    <row r="54107" spans="7:7" ht="10.5" customHeight="1" x14ac:dyDescent="0.2">
      <c r="G54107" s="889"/>
    </row>
    <row r="54108" spans="7:7" ht="10.5" customHeight="1" x14ac:dyDescent="0.2">
      <c r="G54108" s="889"/>
    </row>
    <row r="54109" spans="7:7" ht="10.5" customHeight="1" x14ac:dyDescent="0.2">
      <c r="G54109" s="889"/>
    </row>
    <row r="54110" spans="7:7" ht="10.5" customHeight="1" x14ac:dyDescent="0.2">
      <c r="G54110" s="889"/>
    </row>
    <row r="54111" spans="7:7" ht="10.5" customHeight="1" x14ac:dyDescent="0.2">
      <c r="G54111" s="889"/>
    </row>
    <row r="54112" spans="7:7" ht="10.5" customHeight="1" x14ac:dyDescent="0.2">
      <c r="G54112" s="889"/>
    </row>
    <row r="54113" spans="7:7" ht="10.5" customHeight="1" x14ac:dyDescent="0.2">
      <c r="G54113" s="889"/>
    </row>
    <row r="54114" spans="7:7" ht="10.5" customHeight="1" x14ac:dyDescent="0.2">
      <c r="G54114" s="889"/>
    </row>
    <row r="54115" spans="7:7" ht="10.5" customHeight="1" x14ac:dyDescent="0.2">
      <c r="G54115" s="889"/>
    </row>
    <row r="54116" spans="7:7" ht="10.5" customHeight="1" x14ac:dyDescent="0.2">
      <c r="G54116" s="889"/>
    </row>
    <row r="54117" spans="7:7" ht="10.5" customHeight="1" x14ac:dyDescent="0.2">
      <c r="G54117" s="889"/>
    </row>
    <row r="54118" spans="7:7" ht="10.5" customHeight="1" x14ac:dyDescent="0.2">
      <c r="G54118" s="889"/>
    </row>
    <row r="54119" spans="7:7" ht="10.5" customHeight="1" x14ac:dyDescent="0.2">
      <c r="G54119" s="889"/>
    </row>
    <row r="54120" spans="7:7" ht="10.5" customHeight="1" x14ac:dyDescent="0.2">
      <c r="G54120" s="889"/>
    </row>
    <row r="54121" spans="7:7" ht="10.5" customHeight="1" x14ac:dyDescent="0.2">
      <c r="G54121" s="889"/>
    </row>
    <row r="54122" spans="7:7" ht="10.5" customHeight="1" x14ac:dyDescent="0.2">
      <c r="G54122" s="889"/>
    </row>
    <row r="54123" spans="7:7" ht="10.5" customHeight="1" x14ac:dyDescent="0.2">
      <c r="G54123" s="889"/>
    </row>
    <row r="54124" spans="7:7" ht="10.5" customHeight="1" x14ac:dyDescent="0.2">
      <c r="G54124" s="889"/>
    </row>
    <row r="54125" spans="7:7" ht="10.5" customHeight="1" x14ac:dyDescent="0.2">
      <c r="G54125" s="889"/>
    </row>
    <row r="54126" spans="7:7" ht="10.5" customHeight="1" x14ac:dyDescent="0.2">
      <c r="G54126" s="889"/>
    </row>
    <row r="54127" spans="7:7" ht="10.5" customHeight="1" x14ac:dyDescent="0.2">
      <c r="G54127" s="889"/>
    </row>
    <row r="54128" spans="7:7" ht="10.5" customHeight="1" x14ac:dyDescent="0.2">
      <c r="G54128" s="889"/>
    </row>
    <row r="54129" spans="7:7" ht="10.5" customHeight="1" x14ac:dyDescent="0.2">
      <c r="G54129" s="889"/>
    </row>
    <row r="54130" spans="7:7" ht="10.5" customHeight="1" x14ac:dyDescent="0.2">
      <c r="G54130" s="889"/>
    </row>
    <row r="54131" spans="7:7" ht="10.5" customHeight="1" x14ac:dyDescent="0.2">
      <c r="G54131" s="889"/>
    </row>
    <row r="54132" spans="7:7" ht="10.5" customHeight="1" x14ac:dyDescent="0.2">
      <c r="G54132" s="889"/>
    </row>
    <row r="54133" spans="7:7" ht="10.5" customHeight="1" x14ac:dyDescent="0.2">
      <c r="G54133" s="889"/>
    </row>
    <row r="54134" spans="7:7" ht="10.5" customHeight="1" x14ac:dyDescent="0.2">
      <c r="G54134" s="889"/>
    </row>
    <row r="54135" spans="7:7" ht="10.5" customHeight="1" x14ac:dyDescent="0.2">
      <c r="G54135" s="889"/>
    </row>
    <row r="54136" spans="7:7" ht="10.5" customHeight="1" x14ac:dyDescent="0.2">
      <c r="G54136" s="889"/>
    </row>
    <row r="54137" spans="7:7" ht="10.5" customHeight="1" x14ac:dyDescent="0.2">
      <c r="G54137" s="889"/>
    </row>
    <row r="54138" spans="7:7" ht="10.5" customHeight="1" x14ac:dyDescent="0.2">
      <c r="G54138" s="889"/>
    </row>
    <row r="54139" spans="7:7" ht="10.5" customHeight="1" x14ac:dyDescent="0.2">
      <c r="G54139" s="889"/>
    </row>
    <row r="54140" spans="7:7" ht="10.5" customHeight="1" x14ac:dyDescent="0.2">
      <c r="G54140" s="889"/>
    </row>
    <row r="54141" spans="7:7" ht="10.5" customHeight="1" x14ac:dyDescent="0.2">
      <c r="G54141" s="889"/>
    </row>
    <row r="54142" spans="7:7" ht="10.5" customHeight="1" x14ac:dyDescent="0.2">
      <c r="G54142" s="889"/>
    </row>
    <row r="54143" spans="7:7" ht="10.5" customHeight="1" x14ac:dyDescent="0.2">
      <c r="G54143" s="889"/>
    </row>
    <row r="54144" spans="7:7" ht="10.5" customHeight="1" x14ac:dyDescent="0.2">
      <c r="G54144" s="889"/>
    </row>
    <row r="54145" spans="7:7" ht="10.5" customHeight="1" x14ac:dyDescent="0.2">
      <c r="G54145" s="889"/>
    </row>
    <row r="54146" spans="7:7" ht="10.5" customHeight="1" x14ac:dyDescent="0.2">
      <c r="G54146" s="889"/>
    </row>
    <row r="54147" spans="7:7" ht="10.5" customHeight="1" x14ac:dyDescent="0.2">
      <c r="G54147" s="889"/>
    </row>
    <row r="54148" spans="7:7" ht="10.5" customHeight="1" x14ac:dyDescent="0.2">
      <c r="G54148" s="889"/>
    </row>
    <row r="54149" spans="7:7" ht="10.5" customHeight="1" x14ac:dyDescent="0.2">
      <c r="G54149" s="889"/>
    </row>
    <row r="54150" spans="7:7" ht="10.5" customHeight="1" x14ac:dyDescent="0.2">
      <c r="G54150" s="889"/>
    </row>
    <row r="54151" spans="7:7" ht="10.5" customHeight="1" x14ac:dyDescent="0.2">
      <c r="G54151" s="889"/>
    </row>
    <row r="54152" spans="7:7" ht="10.5" customHeight="1" x14ac:dyDescent="0.2">
      <c r="G54152" s="889"/>
    </row>
    <row r="54153" spans="7:7" ht="10.5" customHeight="1" x14ac:dyDescent="0.2">
      <c r="G54153" s="889"/>
    </row>
    <row r="54154" spans="7:7" ht="10.5" customHeight="1" x14ac:dyDescent="0.2">
      <c r="G54154" s="889"/>
    </row>
    <row r="54155" spans="7:7" ht="10.5" customHeight="1" x14ac:dyDescent="0.2">
      <c r="G54155" s="889"/>
    </row>
    <row r="54156" spans="7:7" ht="10.5" customHeight="1" x14ac:dyDescent="0.2">
      <c r="G54156" s="889"/>
    </row>
    <row r="54157" spans="7:7" ht="10.5" customHeight="1" x14ac:dyDescent="0.2">
      <c r="G54157" s="889"/>
    </row>
    <row r="54158" spans="7:7" ht="10.5" customHeight="1" x14ac:dyDescent="0.2">
      <c r="G54158" s="889"/>
    </row>
    <row r="54159" spans="7:7" ht="10.5" customHeight="1" x14ac:dyDescent="0.2">
      <c r="G54159" s="889"/>
    </row>
    <row r="54160" spans="7:7" ht="10.5" customHeight="1" x14ac:dyDescent="0.2">
      <c r="G54160" s="889"/>
    </row>
    <row r="54161" spans="7:7" ht="10.5" customHeight="1" x14ac:dyDescent="0.2">
      <c r="G54161" s="889"/>
    </row>
    <row r="54162" spans="7:7" ht="10.5" customHeight="1" x14ac:dyDescent="0.2">
      <c r="G54162" s="889"/>
    </row>
    <row r="54163" spans="7:7" ht="10.5" customHeight="1" x14ac:dyDescent="0.2">
      <c r="G54163" s="889"/>
    </row>
    <row r="54164" spans="7:7" ht="10.5" customHeight="1" x14ac:dyDescent="0.2">
      <c r="G54164" s="889"/>
    </row>
    <row r="54165" spans="7:7" ht="10.5" customHeight="1" x14ac:dyDescent="0.2">
      <c r="G54165" s="889"/>
    </row>
    <row r="54166" spans="7:7" ht="10.5" customHeight="1" x14ac:dyDescent="0.2">
      <c r="G54166" s="889"/>
    </row>
    <row r="54167" spans="7:7" ht="10.5" customHeight="1" x14ac:dyDescent="0.2">
      <c r="G54167" s="889"/>
    </row>
    <row r="54168" spans="7:7" ht="10.5" customHeight="1" x14ac:dyDescent="0.2">
      <c r="G54168" s="889"/>
    </row>
    <row r="54169" spans="7:7" ht="10.5" customHeight="1" x14ac:dyDescent="0.2">
      <c r="G54169" s="889"/>
    </row>
    <row r="54170" spans="7:7" ht="10.5" customHeight="1" x14ac:dyDescent="0.2">
      <c r="G54170" s="889"/>
    </row>
    <row r="54171" spans="7:7" ht="10.5" customHeight="1" x14ac:dyDescent="0.2">
      <c r="G54171" s="889"/>
    </row>
    <row r="54172" spans="7:7" ht="10.5" customHeight="1" x14ac:dyDescent="0.2">
      <c r="G54172" s="889"/>
    </row>
    <row r="54173" spans="7:7" ht="10.5" customHeight="1" x14ac:dyDescent="0.2">
      <c r="G54173" s="889"/>
    </row>
    <row r="54174" spans="7:7" ht="10.5" customHeight="1" x14ac:dyDescent="0.2">
      <c r="G54174" s="889"/>
    </row>
    <row r="54175" spans="7:7" ht="10.5" customHeight="1" x14ac:dyDescent="0.2">
      <c r="G54175" s="889"/>
    </row>
    <row r="54176" spans="7:7" ht="10.5" customHeight="1" x14ac:dyDescent="0.2">
      <c r="G54176" s="889"/>
    </row>
    <row r="54177" spans="7:7" ht="10.5" customHeight="1" x14ac:dyDescent="0.2">
      <c r="G54177" s="889"/>
    </row>
    <row r="54178" spans="7:7" ht="10.5" customHeight="1" x14ac:dyDescent="0.2">
      <c r="G54178" s="889"/>
    </row>
    <row r="54179" spans="7:7" ht="10.5" customHeight="1" x14ac:dyDescent="0.2">
      <c r="G54179" s="889"/>
    </row>
    <row r="54180" spans="7:7" ht="10.5" customHeight="1" x14ac:dyDescent="0.2">
      <c r="G54180" s="889"/>
    </row>
    <row r="54181" spans="7:7" ht="10.5" customHeight="1" x14ac:dyDescent="0.2">
      <c r="G54181" s="889"/>
    </row>
    <row r="54182" spans="7:7" ht="10.5" customHeight="1" x14ac:dyDescent="0.2">
      <c r="G54182" s="889"/>
    </row>
    <row r="54183" spans="7:7" ht="10.5" customHeight="1" x14ac:dyDescent="0.2">
      <c r="G54183" s="889"/>
    </row>
    <row r="54184" spans="7:7" ht="10.5" customHeight="1" x14ac:dyDescent="0.2">
      <c r="G54184" s="889"/>
    </row>
    <row r="54185" spans="7:7" ht="10.5" customHeight="1" x14ac:dyDescent="0.2">
      <c r="G54185" s="889"/>
    </row>
    <row r="54186" spans="7:7" ht="10.5" customHeight="1" x14ac:dyDescent="0.2">
      <c r="G54186" s="889"/>
    </row>
    <row r="54187" spans="7:7" ht="10.5" customHeight="1" x14ac:dyDescent="0.2">
      <c r="G54187" s="889"/>
    </row>
    <row r="54188" spans="7:7" ht="10.5" customHeight="1" x14ac:dyDescent="0.2">
      <c r="G54188" s="889"/>
    </row>
    <row r="54189" spans="7:7" ht="10.5" customHeight="1" x14ac:dyDescent="0.2">
      <c r="G54189" s="889"/>
    </row>
    <row r="54190" spans="7:7" ht="10.5" customHeight="1" x14ac:dyDescent="0.2">
      <c r="G54190" s="889"/>
    </row>
    <row r="54191" spans="7:7" ht="10.5" customHeight="1" x14ac:dyDescent="0.2">
      <c r="G54191" s="889"/>
    </row>
    <row r="54192" spans="7:7" ht="10.5" customHeight="1" x14ac:dyDescent="0.2">
      <c r="G54192" s="889"/>
    </row>
    <row r="54193" spans="7:7" ht="10.5" customHeight="1" x14ac:dyDescent="0.2">
      <c r="G54193" s="889"/>
    </row>
    <row r="54194" spans="7:7" ht="10.5" customHeight="1" x14ac:dyDescent="0.2">
      <c r="G54194" s="889"/>
    </row>
    <row r="54195" spans="7:7" ht="10.5" customHeight="1" x14ac:dyDescent="0.2">
      <c r="G54195" s="889"/>
    </row>
    <row r="54196" spans="7:7" ht="10.5" customHeight="1" x14ac:dyDescent="0.2">
      <c r="G54196" s="889"/>
    </row>
    <row r="54197" spans="7:7" ht="10.5" customHeight="1" x14ac:dyDescent="0.2">
      <c r="G54197" s="889"/>
    </row>
    <row r="54198" spans="7:7" ht="10.5" customHeight="1" x14ac:dyDescent="0.2">
      <c r="G54198" s="889"/>
    </row>
    <row r="54199" spans="7:7" ht="10.5" customHeight="1" x14ac:dyDescent="0.2">
      <c r="G54199" s="889"/>
    </row>
    <row r="54200" spans="7:7" ht="10.5" customHeight="1" x14ac:dyDescent="0.2">
      <c r="G54200" s="889"/>
    </row>
    <row r="54201" spans="7:7" ht="10.5" customHeight="1" x14ac:dyDescent="0.2">
      <c r="G54201" s="889"/>
    </row>
    <row r="54202" spans="7:7" ht="10.5" customHeight="1" x14ac:dyDescent="0.2">
      <c r="G54202" s="889"/>
    </row>
    <row r="54203" spans="7:7" ht="10.5" customHeight="1" x14ac:dyDescent="0.2">
      <c r="G54203" s="889"/>
    </row>
    <row r="54204" spans="7:7" ht="10.5" customHeight="1" x14ac:dyDescent="0.2">
      <c r="G54204" s="889"/>
    </row>
    <row r="54205" spans="7:7" ht="10.5" customHeight="1" x14ac:dyDescent="0.2">
      <c r="G54205" s="889"/>
    </row>
    <row r="54206" spans="7:7" ht="10.5" customHeight="1" x14ac:dyDescent="0.2">
      <c r="G54206" s="889"/>
    </row>
    <row r="54207" spans="7:7" ht="10.5" customHeight="1" x14ac:dyDescent="0.2">
      <c r="G54207" s="889"/>
    </row>
    <row r="54208" spans="7:7" ht="10.5" customHeight="1" x14ac:dyDescent="0.2">
      <c r="G54208" s="889"/>
    </row>
    <row r="54209" spans="7:7" ht="10.5" customHeight="1" x14ac:dyDescent="0.2">
      <c r="G54209" s="889"/>
    </row>
    <row r="54210" spans="7:7" ht="10.5" customHeight="1" x14ac:dyDescent="0.2">
      <c r="G54210" s="889"/>
    </row>
    <row r="54211" spans="7:7" ht="10.5" customHeight="1" x14ac:dyDescent="0.2">
      <c r="G54211" s="889"/>
    </row>
    <row r="54212" spans="7:7" ht="10.5" customHeight="1" x14ac:dyDescent="0.2">
      <c r="G54212" s="889"/>
    </row>
    <row r="54213" spans="7:7" ht="10.5" customHeight="1" x14ac:dyDescent="0.2">
      <c r="G54213" s="889"/>
    </row>
    <row r="54214" spans="7:7" ht="10.5" customHeight="1" x14ac:dyDescent="0.2">
      <c r="G54214" s="889"/>
    </row>
    <row r="54215" spans="7:7" ht="10.5" customHeight="1" x14ac:dyDescent="0.2">
      <c r="G54215" s="889"/>
    </row>
    <row r="54216" spans="7:7" ht="10.5" customHeight="1" x14ac:dyDescent="0.2">
      <c r="G54216" s="889"/>
    </row>
    <row r="54217" spans="7:7" ht="10.5" customHeight="1" x14ac:dyDescent="0.2">
      <c r="G54217" s="889"/>
    </row>
    <row r="54218" spans="7:7" ht="10.5" customHeight="1" x14ac:dyDescent="0.2">
      <c r="G54218" s="889"/>
    </row>
    <row r="54219" spans="7:7" ht="10.5" customHeight="1" x14ac:dyDescent="0.2">
      <c r="G54219" s="889"/>
    </row>
    <row r="54220" spans="7:7" ht="10.5" customHeight="1" x14ac:dyDescent="0.2">
      <c r="G54220" s="889"/>
    </row>
    <row r="54221" spans="7:7" ht="10.5" customHeight="1" x14ac:dyDescent="0.2">
      <c r="G54221" s="889"/>
    </row>
    <row r="54222" spans="7:7" ht="10.5" customHeight="1" x14ac:dyDescent="0.2">
      <c r="G54222" s="889"/>
    </row>
    <row r="54223" spans="7:7" ht="10.5" customHeight="1" x14ac:dyDescent="0.2">
      <c r="G54223" s="889"/>
    </row>
    <row r="54224" spans="7:7" ht="10.5" customHeight="1" x14ac:dyDescent="0.2">
      <c r="G54224" s="889"/>
    </row>
    <row r="54225" spans="7:7" ht="10.5" customHeight="1" x14ac:dyDescent="0.2">
      <c r="G54225" s="889"/>
    </row>
    <row r="54226" spans="7:7" ht="10.5" customHeight="1" x14ac:dyDescent="0.2">
      <c r="G54226" s="889"/>
    </row>
    <row r="54227" spans="7:7" ht="10.5" customHeight="1" x14ac:dyDescent="0.2">
      <c r="G54227" s="889"/>
    </row>
    <row r="54228" spans="7:7" ht="10.5" customHeight="1" x14ac:dyDescent="0.2">
      <c r="G54228" s="889"/>
    </row>
    <row r="54229" spans="7:7" ht="10.5" customHeight="1" x14ac:dyDescent="0.2">
      <c r="G54229" s="889"/>
    </row>
    <row r="54230" spans="7:7" ht="10.5" customHeight="1" x14ac:dyDescent="0.2">
      <c r="G54230" s="889"/>
    </row>
    <row r="54231" spans="7:7" ht="10.5" customHeight="1" x14ac:dyDescent="0.2">
      <c r="G54231" s="889"/>
    </row>
    <row r="54232" spans="7:7" ht="10.5" customHeight="1" x14ac:dyDescent="0.2">
      <c r="G54232" s="889"/>
    </row>
    <row r="54233" spans="7:7" ht="10.5" customHeight="1" x14ac:dyDescent="0.2">
      <c r="G54233" s="889"/>
    </row>
    <row r="54234" spans="7:7" ht="10.5" customHeight="1" x14ac:dyDescent="0.2">
      <c r="G54234" s="889"/>
    </row>
    <row r="54235" spans="7:7" ht="10.5" customHeight="1" x14ac:dyDescent="0.2">
      <c r="G54235" s="889"/>
    </row>
    <row r="54236" spans="7:7" ht="10.5" customHeight="1" x14ac:dyDescent="0.2">
      <c r="G54236" s="889"/>
    </row>
    <row r="54237" spans="7:7" ht="10.5" customHeight="1" x14ac:dyDescent="0.2">
      <c r="G54237" s="889"/>
    </row>
    <row r="54238" spans="7:7" ht="10.5" customHeight="1" x14ac:dyDescent="0.2">
      <c r="G54238" s="889"/>
    </row>
    <row r="54239" spans="7:7" ht="10.5" customHeight="1" x14ac:dyDescent="0.2">
      <c r="G54239" s="889"/>
    </row>
    <row r="54240" spans="7:7" ht="10.5" customHeight="1" x14ac:dyDescent="0.2">
      <c r="G54240" s="889"/>
    </row>
    <row r="54241" spans="7:7" ht="10.5" customHeight="1" x14ac:dyDescent="0.2">
      <c r="G54241" s="889"/>
    </row>
    <row r="54242" spans="7:7" ht="10.5" customHeight="1" x14ac:dyDescent="0.2">
      <c r="G54242" s="889"/>
    </row>
    <row r="54243" spans="7:7" ht="10.5" customHeight="1" x14ac:dyDescent="0.2">
      <c r="G54243" s="889"/>
    </row>
    <row r="54244" spans="7:7" ht="10.5" customHeight="1" x14ac:dyDescent="0.2">
      <c r="G54244" s="889"/>
    </row>
    <row r="54245" spans="7:7" ht="10.5" customHeight="1" x14ac:dyDescent="0.2">
      <c r="G54245" s="889"/>
    </row>
    <row r="54246" spans="7:7" ht="10.5" customHeight="1" x14ac:dyDescent="0.2">
      <c r="G54246" s="889"/>
    </row>
    <row r="54247" spans="7:7" ht="10.5" customHeight="1" x14ac:dyDescent="0.2">
      <c r="G54247" s="889"/>
    </row>
    <row r="54248" spans="7:7" ht="10.5" customHeight="1" x14ac:dyDescent="0.2">
      <c r="G54248" s="889"/>
    </row>
    <row r="54249" spans="7:7" ht="10.5" customHeight="1" x14ac:dyDescent="0.2">
      <c r="G54249" s="889"/>
    </row>
    <row r="54250" spans="7:7" ht="10.5" customHeight="1" x14ac:dyDescent="0.2">
      <c r="G54250" s="889"/>
    </row>
    <row r="54251" spans="7:7" ht="10.5" customHeight="1" x14ac:dyDescent="0.2">
      <c r="G54251" s="889"/>
    </row>
    <row r="54252" spans="7:7" ht="10.5" customHeight="1" x14ac:dyDescent="0.2">
      <c r="G54252" s="889"/>
    </row>
    <row r="54253" spans="7:7" ht="10.5" customHeight="1" x14ac:dyDescent="0.2">
      <c r="G54253" s="889"/>
    </row>
    <row r="54254" spans="7:7" ht="10.5" customHeight="1" x14ac:dyDescent="0.2">
      <c r="G54254" s="889"/>
    </row>
    <row r="54255" spans="7:7" ht="10.5" customHeight="1" x14ac:dyDescent="0.2">
      <c r="G54255" s="889"/>
    </row>
    <row r="54256" spans="7:7" ht="10.5" customHeight="1" x14ac:dyDescent="0.2">
      <c r="G54256" s="889"/>
    </row>
    <row r="54257" spans="7:7" ht="10.5" customHeight="1" x14ac:dyDescent="0.2">
      <c r="G54257" s="889"/>
    </row>
    <row r="54258" spans="7:7" ht="10.5" customHeight="1" x14ac:dyDescent="0.2">
      <c r="G54258" s="889"/>
    </row>
    <row r="54259" spans="7:7" ht="10.5" customHeight="1" x14ac:dyDescent="0.2">
      <c r="G54259" s="889"/>
    </row>
    <row r="54260" spans="7:7" ht="10.5" customHeight="1" x14ac:dyDescent="0.2">
      <c r="G54260" s="889"/>
    </row>
    <row r="54261" spans="7:7" ht="10.5" customHeight="1" x14ac:dyDescent="0.2">
      <c r="G54261" s="889"/>
    </row>
    <row r="54262" spans="7:7" ht="10.5" customHeight="1" x14ac:dyDescent="0.2">
      <c r="G54262" s="889"/>
    </row>
    <row r="54263" spans="7:7" ht="10.5" customHeight="1" x14ac:dyDescent="0.2">
      <c r="G54263" s="889"/>
    </row>
    <row r="54264" spans="7:7" ht="10.5" customHeight="1" x14ac:dyDescent="0.2">
      <c r="G54264" s="889"/>
    </row>
    <row r="54265" spans="7:7" ht="10.5" customHeight="1" x14ac:dyDescent="0.2">
      <c r="G54265" s="889"/>
    </row>
    <row r="54266" spans="7:7" ht="10.5" customHeight="1" x14ac:dyDescent="0.2">
      <c r="G54266" s="889"/>
    </row>
    <row r="54267" spans="7:7" ht="10.5" customHeight="1" x14ac:dyDescent="0.2">
      <c r="G54267" s="889"/>
    </row>
    <row r="54268" spans="7:7" ht="10.5" customHeight="1" x14ac:dyDescent="0.2">
      <c r="G54268" s="889"/>
    </row>
    <row r="54269" spans="7:7" ht="10.5" customHeight="1" x14ac:dyDescent="0.2">
      <c r="G54269" s="889"/>
    </row>
    <row r="54270" spans="7:7" ht="10.5" customHeight="1" x14ac:dyDescent="0.2">
      <c r="G54270" s="889"/>
    </row>
    <row r="54271" spans="7:7" ht="10.5" customHeight="1" x14ac:dyDescent="0.2">
      <c r="G54271" s="889"/>
    </row>
    <row r="54272" spans="7:7" ht="10.5" customHeight="1" x14ac:dyDescent="0.2">
      <c r="G54272" s="889"/>
    </row>
    <row r="54273" spans="7:7" ht="10.5" customHeight="1" x14ac:dyDescent="0.2">
      <c r="G54273" s="889"/>
    </row>
    <row r="54274" spans="7:7" ht="10.5" customHeight="1" x14ac:dyDescent="0.2">
      <c r="G54274" s="889"/>
    </row>
    <row r="54275" spans="7:7" ht="10.5" customHeight="1" x14ac:dyDescent="0.2">
      <c r="G54275" s="889"/>
    </row>
    <row r="54276" spans="7:7" ht="10.5" customHeight="1" x14ac:dyDescent="0.2">
      <c r="G54276" s="889"/>
    </row>
    <row r="54277" spans="7:7" ht="10.5" customHeight="1" x14ac:dyDescent="0.2">
      <c r="G54277" s="889"/>
    </row>
    <row r="54278" spans="7:7" ht="10.5" customHeight="1" x14ac:dyDescent="0.2">
      <c r="G54278" s="889"/>
    </row>
    <row r="54279" spans="7:7" ht="10.5" customHeight="1" x14ac:dyDescent="0.2">
      <c r="G54279" s="889"/>
    </row>
    <row r="54280" spans="7:7" ht="10.5" customHeight="1" x14ac:dyDescent="0.2">
      <c r="G54280" s="889"/>
    </row>
    <row r="54281" spans="7:7" ht="10.5" customHeight="1" x14ac:dyDescent="0.2">
      <c r="G54281" s="889"/>
    </row>
    <row r="54282" spans="7:7" ht="10.5" customHeight="1" x14ac:dyDescent="0.2">
      <c r="G54282" s="889"/>
    </row>
    <row r="54283" spans="7:7" ht="10.5" customHeight="1" x14ac:dyDescent="0.2">
      <c r="G54283" s="889"/>
    </row>
    <row r="54284" spans="7:7" ht="10.5" customHeight="1" x14ac:dyDescent="0.2">
      <c r="G54284" s="889"/>
    </row>
    <row r="54285" spans="7:7" ht="10.5" customHeight="1" x14ac:dyDescent="0.2">
      <c r="G54285" s="889"/>
    </row>
    <row r="54286" spans="7:7" ht="10.5" customHeight="1" x14ac:dyDescent="0.2">
      <c r="G54286" s="889"/>
    </row>
    <row r="54287" spans="7:7" ht="10.5" customHeight="1" x14ac:dyDescent="0.2">
      <c r="G54287" s="889"/>
    </row>
    <row r="54288" spans="7:7" ht="10.5" customHeight="1" x14ac:dyDescent="0.2">
      <c r="G54288" s="889"/>
    </row>
    <row r="54289" spans="7:7" ht="10.5" customHeight="1" x14ac:dyDescent="0.2">
      <c r="G54289" s="889"/>
    </row>
    <row r="54290" spans="7:7" ht="10.5" customHeight="1" x14ac:dyDescent="0.2">
      <c r="G54290" s="889"/>
    </row>
    <row r="54291" spans="7:7" ht="10.5" customHeight="1" x14ac:dyDescent="0.2">
      <c r="G54291" s="889"/>
    </row>
    <row r="54292" spans="7:7" ht="10.5" customHeight="1" x14ac:dyDescent="0.2">
      <c r="G54292" s="889"/>
    </row>
    <row r="54293" spans="7:7" ht="10.5" customHeight="1" x14ac:dyDescent="0.2">
      <c r="G54293" s="889"/>
    </row>
    <row r="54294" spans="7:7" ht="10.5" customHeight="1" x14ac:dyDescent="0.2">
      <c r="G54294" s="889"/>
    </row>
    <row r="54295" spans="7:7" ht="10.5" customHeight="1" x14ac:dyDescent="0.2">
      <c r="G54295" s="889"/>
    </row>
    <row r="54296" spans="7:7" ht="10.5" customHeight="1" x14ac:dyDescent="0.2">
      <c r="G54296" s="889"/>
    </row>
    <row r="54297" spans="7:7" ht="10.5" customHeight="1" x14ac:dyDescent="0.2">
      <c r="G54297" s="889"/>
    </row>
    <row r="54298" spans="7:7" ht="10.5" customHeight="1" x14ac:dyDescent="0.2">
      <c r="G54298" s="889"/>
    </row>
    <row r="54299" spans="7:7" ht="10.5" customHeight="1" x14ac:dyDescent="0.2">
      <c r="G54299" s="889"/>
    </row>
    <row r="54300" spans="7:7" ht="10.5" customHeight="1" x14ac:dyDescent="0.2">
      <c r="G54300" s="889"/>
    </row>
    <row r="54301" spans="7:7" ht="10.5" customHeight="1" x14ac:dyDescent="0.2">
      <c r="G54301" s="889"/>
    </row>
    <row r="54302" spans="7:7" ht="10.5" customHeight="1" x14ac:dyDescent="0.2">
      <c r="G54302" s="889"/>
    </row>
    <row r="54303" spans="7:7" ht="10.5" customHeight="1" x14ac:dyDescent="0.2">
      <c r="G54303" s="889"/>
    </row>
    <row r="54304" spans="7:7" ht="10.5" customHeight="1" x14ac:dyDescent="0.2">
      <c r="G54304" s="889"/>
    </row>
    <row r="54305" spans="7:7" ht="10.5" customHeight="1" x14ac:dyDescent="0.2">
      <c r="G54305" s="889"/>
    </row>
    <row r="54306" spans="7:7" ht="10.5" customHeight="1" x14ac:dyDescent="0.2">
      <c r="G54306" s="889"/>
    </row>
    <row r="54307" spans="7:7" ht="10.5" customHeight="1" x14ac:dyDescent="0.2">
      <c r="G54307" s="889"/>
    </row>
    <row r="54308" spans="7:7" ht="10.5" customHeight="1" x14ac:dyDescent="0.2">
      <c r="G54308" s="889"/>
    </row>
    <row r="54309" spans="7:7" ht="10.5" customHeight="1" x14ac:dyDescent="0.2">
      <c r="G54309" s="889"/>
    </row>
    <row r="54310" spans="7:7" ht="10.5" customHeight="1" x14ac:dyDescent="0.2">
      <c r="G54310" s="889"/>
    </row>
    <row r="54311" spans="7:7" ht="10.5" customHeight="1" x14ac:dyDescent="0.2">
      <c r="G54311" s="889"/>
    </row>
    <row r="54312" spans="7:7" ht="10.5" customHeight="1" x14ac:dyDescent="0.2">
      <c r="G54312" s="889"/>
    </row>
    <row r="54313" spans="7:7" ht="10.5" customHeight="1" x14ac:dyDescent="0.2">
      <c r="G54313" s="889"/>
    </row>
    <row r="54314" spans="7:7" ht="10.5" customHeight="1" x14ac:dyDescent="0.2">
      <c r="G54314" s="889"/>
    </row>
    <row r="54315" spans="7:7" ht="10.5" customHeight="1" x14ac:dyDescent="0.2">
      <c r="G54315" s="889"/>
    </row>
    <row r="54316" spans="7:7" ht="10.5" customHeight="1" x14ac:dyDescent="0.2">
      <c r="G54316" s="889"/>
    </row>
    <row r="54317" spans="7:7" ht="10.5" customHeight="1" x14ac:dyDescent="0.2">
      <c r="G54317" s="889"/>
    </row>
    <row r="54318" spans="7:7" ht="10.5" customHeight="1" x14ac:dyDescent="0.2">
      <c r="G54318" s="889"/>
    </row>
    <row r="54319" spans="7:7" ht="10.5" customHeight="1" x14ac:dyDescent="0.2">
      <c r="G54319" s="889"/>
    </row>
    <row r="54320" spans="7:7" ht="10.5" customHeight="1" x14ac:dyDescent="0.2">
      <c r="G54320" s="889"/>
    </row>
    <row r="54321" spans="7:7" ht="10.5" customHeight="1" x14ac:dyDescent="0.2">
      <c r="G54321" s="889"/>
    </row>
    <row r="54322" spans="7:7" ht="10.5" customHeight="1" x14ac:dyDescent="0.2">
      <c r="G54322" s="889"/>
    </row>
    <row r="54323" spans="7:7" ht="10.5" customHeight="1" x14ac:dyDescent="0.2">
      <c r="G54323" s="889"/>
    </row>
    <row r="54324" spans="7:7" ht="10.5" customHeight="1" x14ac:dyDescent="0.2">
      <c r="G54324" s="889"/>
    </row>
    <row r="54325" spans="7:7" ht="10.5" customHeight="1" x14ac:dyDescent="0.2">
      <c r="G54325" s="889"/>
    </row>
    <row r="54326" spans="7:7" ht="10.5" customHeight="1" x14ac:dyDescent="0.2">
      <c r="G54326" s="889"/>
    </row>
    <row r="54327" spans="7:7" ht="10.5" customHeight="1" x14ac:dyDescent="0.2">
      <c r="G54327" s="889"/>
    </row>
    <row r="54328" spans="7:7" ht="10.5" customHeight="1" x14ac:dyDescent="0.2">
      <c r="G54328" s="889"/>
    </row>
    <row r="54329" spans="7:7" ht="10.5" customHeight="1" x14ac:dyDescent="0.2">
      <c r="G54329" s="889"/>
    </row>
    <row r="54330" spans="7:7" ht="10.5" customHeight="1" x14ac:dyDescent="0.2">
      <c r="G54330" s="889"/>
    </row>
    <row r="54331" spans="7:7" ht="10.5" customHeight="1" x14ac:dyDescent="0.2">
      <c r="G54331" s="889"/>
    </row>
    <row r="54332" spans="7:7" ht="10.5" customHeight="1" x14ac:dyDescent="0.2">
      <c r="G54332" s="889"/>
    </row>
    <row r="54333" spans="7:7" ht="10.5" customHeight="1" x14ac:dyDescent="0.2">
      <c r="G54333" s="889"/>
    </row>
    <row r="54334" spans="7:7" ht="10.5" customHeight="1" x14ac:dyDescent="0.2">
      <c r="G54334" s="889"/>
    </row>
    <row r="54335" spans="7:7" ht="10.5" customHeight="1" x14ac:dyDescent="0.2">
      <c r="G54335" s="889"/>
    </row>
    <row r="54336" spans="7:7" ht="10.5" customHeight="1" x14ac:dyDescent="0.2">
      <c r="G54336" s="889"/>
    </row>
    <row r="54337" spans="7:7" ht="10.5" customHeight="1" x14ac:dyDescent="0.2">
      <c r="G54337" s="889"/>
    </row>
    <row r="54338" spans="7:7" ht="10.5" customHeight="1" x14ac:dyDescent="0.2">
      <c r="G54338" s="889"/>
    </row>
    <row r="54339" spans="7:7" ht="10.5" customHeight="1" x14ac:dyDescent="0.2">
      <c r="G54339" s="889"/>
    </row>
    <row r="54340" spans="7:7" ht="10.5" customHeight="1" x14ac:dyDescent="0.2">
      <c r="G54340" s="889"/>
    </row>
    <row r="54341" spans="7:7" ht="10.5" customHeight="1" x14ac:dyDescent="0.2">
      <c r="G54341" s="889"/>
    </row>
    <row r="54342" spans="7:7" ht="10.5" customHeight="1" x14ac:dyDescent="0.2">
      <c r="G54342" s="889"/>
    </row>
    <row r="54343" spans="7:7" ht="10.5" customHeight="1" x14ac:dyDescent="0.2">
      <c r="G54343" s="889"/>
    </row>
    <row r="54344" spans="7:7" ht="10.5" customHeight="1" x14ac:dyDescent="0.2">
      <c r="G54344" s="889"/>
    </row>
    <row r="54345" spans="7:7" ht="10.5" customHeight="1" x14ac:dyDescent="0.2">
      <c r="G54345" s="889"/>
    </row>
    <row r="54346" spans="7:7" ht="10.5" customHeight="1" x14ac:dyDescent="0.2">
      <c r="G54346" s="889"/>
    </row>
    <row r="54347" spans="7:7" ht="10.5" customHeight="1" x14ac:dyDescent="0.2">
      <c r="G54347" s="889"/>
    </row>
    <row r="54348" spans="7:7" ht="10.5" customHeight="1" x14ac:dyDescent="0.2">
      <c r="G54348" s="889"/>
    </row>
    <row r="54349" spans="7:7" ht="10.5" customHeight="1" x14ac:dyDescent="0.2">
      <c r="G54349" s="889"/>
    </row>
    <row r="54350" spans="7:7" ht="10.5" customHeight="1" x14ac:dyDescent="0.2">
      <c r="G54350" s="889"/>
    </row>
    <row r="54351" spans="7:7" ht="10.5" customHeight="1" x14ac:dyDescent="0.2">
      <c r="G54351" s="889"/>
    </row>
    <row r="54352" spans="7:7" ht="10.5" customHeight="1" x14ac:dyDescent="0.2">
      <c r="G54352" s="889"/>
    </row>
    <row r="54353" spans="7:7" ht="10.5" customHeight="1" x14ac:dyDescent="0.2">
      <c r="G54353" s="889"/>
    </row>
    <row r="54354" spans="7:7" ht="10.5" customHeight="1" x14ac:dyDescent="0.2">
      <c r="G54354" s="889"/>
    </row>
    <row r="54355" spans="7:7" ht="10.5" customHeight="1" x14ac:dyDescent="0.2">
      <c r="G54355" s="889"/>
    </row>
    <row r="54356" spans="7:7" ht="10.5" customHeight="1" x14ac:dyDescent="0.2">
      <c r="G54356" s="889"/>
    </row>
    <row r="54357" spans="7:7" ht="10.5" customHeight="1" x14ac:dyDescent="0.2">
      <c r="G54357" s="889"/>
    </row>
    <row r="54358" spans="7:7" ht="10.5" customHeight="1" x14ac:dyDescent="0.2">
      <c r="G54358" s="889"/>
    </row>
    <row r="54359" spans="7:7" ht="10.5" customHeight="1" x14ac:dyDescent="0.2">
      <c r="G54359" s="889"/>
    </row>
    <row r="54360" spans="7:7" ht="10.5" customHeight="1" x14ac:dyDescent="0.2">
      <c r="G54360" s="889"/>
    </row>
    <row r="54361" spans="7:7" ht="10.5" customHeight="1" x14ac:dyDescent="0.2">
      <c r="G54361" s="889"/>
    </row>
    <row r="54362" spans="7:7" ht="10.5" customHeight="1" x14ac:dyDescent="0.2">
      <c r="G54362" s="889"/>
    </row>
    <row r="54363" spans="7:7" ht="10.5" customHeight="1" x14ac:dyDescent="0.2">
      <c r="G54363" s="889"/>
    </row>
    <row r="54364" spans="7:7" ht="10.5" customHeight="1" x14ac:dyDescent="0.2">
      <c r="G54364" s="889"/>
    </row>
    <row r="54365" spans="7:7" ht="10.5" customHeight="1" x14ac:dyDescent="0.2">
      <c r="G54365" s="889"/>
    </row>
    <row r="54366" spans="7:7" ht="10.5" customHeight="1" x14ac:dyDescent="0.2">
      <c r="G54366" s="889"/>
    </row>
    <row r="54367" spans="7:7" ht="10.5" customHeight="1" x14ac:dyDescent="0.2">
      <c r="G54367" s="889"/>
    </row>
    <row r="54368" spans="7:7" ht="10.5" customHeight="1" x14ac:dyDescent="0.2">
      <c r="G54368" s="889"/>
    </row>
    <row r="54369" spans="7:7" ht="10.5" customHeight="1" x14ac:dyDescent="0.2">
      <c r="G54369" s="889"/>
    </row>
    <row r="54370" spans="7:7" ht="10.5" customHeight="1" x14ac:dyDescent="0.2">
      <c r="G54370" s="889"/>
    </row>
    <row r="54371" spans="7:7" ht="10.5" customHeight="1" x14ac:dyDescent="0.2">
      <c r="G54371" s="889"/>
    </row>
    <row r="54372" spans="7:7" ht="10.5" customHeight="1" x14ac:dyDescent="0.2">
      <c r="G54372" s="889"/>
    </row>
    <row r="54373" spans="7:7" ht="10.5" customHeight="1" x14ac:dyDescent="0.2">
      <c r="G54373" s="889"/>
    </row>
    <row r="54374" spans="7:7" ht="10.5" customHeight="1" x14ac:dyDescent="0.2">
      <c r="G54374" s="889"/>
    </row>
    <row r="54375" spans="7:7" ht="10.5" customHeight="1" x14ac:dyDescent="0.2">
      <c r="G54375" s="889"/>
    </row>
    <row r="54376" spans="7:7" ht="10.5" customHeight="1" x14ac:dyDescent="0.2">
      <c r="G54376" s="889"/>
    </row>
    <row r="54377" spans="7:7" ht="10.5" customHeight="1" x14ac:dyDescent="0.2">
      <c r="G54377" s="889"/>
    </row>
    <row r="54378" spans="7:7" ht="10.5" customHeight="1" x14ac:dyDescent="0.2">
      <c r="G54378" s="889"/>
    </row>
    <row r="54379" spans="7:7" ht="10.5" customHeight="1" x14ac:dyDescent="0.2">
      <c r="G54379" s="889"/>
    </row>
    <row r="54380" spans="7:7" ht="10.5" customHeight="1" x14ac:dyDescent="0.2">
      <c r="G54380" s="889"/>
    </row>
    <row r="54381" spans="7:7" ht="10.5" customHeight="1" x14ac:dyDescent="0.2">
      <c r="G54381" s="889"/>
    </row>
    <row r="54382" spans="7:7" ht="10.5" customHeight="1" x14ac:dyDescent="0.2">
      <c r="G54382" s="889"/>
    </row>
    <row r="54383" spans="7:7" ht="10.5" customHeight="1" x14ac:dyDescent="0.2">
      <c r="G54383" s="889"/>
    </row>
    <row r="54384" spans="7:7" ht="10.5" customHeight="1" x14ac:dyDescent="0.2">
      <c r="G54384" s="889"/>
    </row>
    <row r="54385" spans="7:7" ht="10.5" customHeight="1" x14ac:dyDescent="0.2">
      <c r="G54385" s="889"/>
    </row>
    <row r="54386" spans="7:7" ht="10.5" customHeight="1" x14ac:dyDescent="0.2">
      <c r="G54386" s="889"/>
    </row>
    <row r="54387" spans="7:7" ht="10.5" customHeight="1" x14ac:dyDescent="0.2">
      <c r="G54387" s="889"/>
    </row>
    <row r="54388" spans="7:7" ht="10.5" customHeight="1" x14ac:dyDescent="0.2">
      <c r="G54388" s="889"/>
    </row>
    <row r="54389" spans="7:7" ht="10.5" customHeight="1" x14ac:dyDescent="0.2">
      <c r="G54389" s="889"/>
    </row>
    <row r="54390" spans="7:7" ht="10.5" customHeight="1" x14ac:dyDescent="0.2">
      <c r="G54390" s="889"/>
    </row>
    <row r="54391" spans="7:7" ht="10.5" customHeight="1" x14ac:dyDescent="0.2">
      <c r="G54391" s="889"/>
    </row>
    <row r="54392" spans="7:7" ht="10.5" customHeight="1" x14ac:dyDescent="0.2">
      <c r="G54392" s="889"/>
    </row>
    <row r="54393" spans="7:7" ht="10.5" customHeight="1" x14ac:dyDescent="0.2">
      <c r="G54393" s="889"/>
    </row>
    <row r="54394" spans="7:7" ht="10.5" customHeight="1" x14ac:dyDescent="0.2">
      <c r="G54394" s="889"/>
    </row>
    <row r="54395" spans="7:7" ht="10.5" customHeight="1" x14ac:dyDescent="0.2">
      <c r="G54395" s="889"/>
    </row>
    <row r="54396" spans="7:7" ht="10.5" customHeight="1" x14ac:dyDescent="0.2">
      <c r="G54396" s="889"/>
    </row>
    <row r="54397" spans="7:7" ht="10.5" customHeight="1" x14ac:dyDescent="0.2">
      <c r="G54397" s="889"/>
    </row>
    <row r="54398" spans="7:7" ht="10.5" customHeight="1" x14ac:dyDescent="0.2">
      <c r="G54398" s="889"/>
    </row>
    <row r="54399" spans="7:7" ht="10.5" customHeight="1" x14ac:dyDescent="0.2">
      <c r="G54399" s="889"/>
    </row>
    <row r="54400" spans="7:7" ht="10.5" customHeight="1" x14ac:dyDescent="0.2">
      <c r="G54400" s="889"/>
    </row>
    <row r="54401" spans="7:7" ht="10.5" customHeight="1" x14ac:dyDescent="0.2">
      <c r="G54401" s="889"/>
    </row>
    <row r="54402" spans="7:7" ht="10.5" customHeight="1" x14ac:dyDescent="0.2">
      <c r="G54402" s="889"/>
    </row>
    <row r="54403" spans="7:7" ht="10.5" customHeight="1" x14ac:dyDescent="0.2">
      <c r="G54403" s="889"/>
    </row>
    <row r="54404" spans="7:7" ht="10.5" customHeight="1" x14ac:dyDescent="0.2">
      <c r="G54404" s="889"/>
    </row>
    <row r="54405" spans="7:7" ht="10.5" customHeight="1" x14ac:dyDescent="0.2">
      <c r="G54405" s="889"/>
    </row>
    <row r="54406" spans="7:7" ht="10.5" customHeight="1" x14ac:dyDescent="0.2">
      <c r="G54406" s="889"/>
    </row>
    <row r="54407" spans="7:7" ht="10.5" customHeight="1" x14ac:dyDescent="0.2">
      <c r="G54407" s="889"/>
    </row>
    <row r="54408" spans="7:7" ht="10.5" customHeight="1" x14ac:dyDescent="0.2">
      <c r="G54408" s="889"/>
    </row>
    <row r="54409" spans="7:7" ht="10.5" customHeight="1" x14ac:dyDescent="0.2">
      <c r="G54409" s="889"/>
    </row>
    <row r="54410" spans="7:7" ht="10.5" customHeight="1" x14ac:dyDescent="0.2">
      <c r="G54410" s="889"/>
    </row>
    <row r="54411" spans="7:7" ht="10.5" customHeight="1" x14ac:dyDescent="0.2">
      <c r="G54411" s="889"/>
    </row>
    <row r="54412" spans="7:7" ht="10.5" customHeight="1" x14ac:dyDescent="0.2">
      <c r="G54412" s="889"/>
    </row>
    <row r="54413" spans="7:7" ht="10.5" customHeight="1" x14ac:dyDescent="0.2">
      <c r="G54413" s="889"/>
    </row>
    <row r="54414" spans="7:7" ht="10.5" customHeight="1" x14ac:dyDescent="0.2">
      <c r="G54414" s="889"/>
    </row>
    <row r="54415" spans="7:7" ht="10.5" customHeight="1" x14ac:dyDescent="0.2">
      <c r="G54415" s="889"/>
    </row>
    <row r="54416" spans="7:7" ht="10.5" customHeight="1" x14ac:dyDescent="0.2">
      <c r="G54416" s="889"/>
    </row>
    <row r="54417" spans="7:7" ht="10.5" customHeight="1" x14ac:dyDescent="0.2">
      <c r="G54417" s="889"/>
    </row>
    <row r="54418" spans="7:7" ht="10.5" customHeight="1" x14ac:dyDescent="0.2">
      <c r="G54418" s="889"/>
    </row>
    <row r="54419" spans="7:7" ht="10.5" customHeight="1" x14ac:dyDescent="0.2">
      <c r="G54419" s="889"/>
    </row>
    <row r="54420" spans="7:7" ht="10.5" customHeight="1" x14ac:dyDescent="0.2">
      <c r="G54420" s="889"/>
    </row>
    <row r="54421" spans="7:7" ht="10.5" customHeight="1" x14ac:dyDescent="0.2">
      <c r="G54421" s="889"/>
    </row>
    <row r="54422" spans="7:7" ht="10.5" customHeight="1" x14ac:dyDescent="0.2">
      <c r="G54422" s="889"/>
    </row>
    <row r="54423" spans="7:7" ht="10.5" customHeight="1" x14ac:dyDescent="0.2">
      <c r="G54423" s="889"/>
    </row>
    <row r="54424" spans="7:7" ht="10.5" customHeight="1" x14ac:dyDescent="0.2">
      <c r="G54424" s="889"/>
    </row>
    <row r="54425" spans="7:7" ht="10.5" customHeight="1" x14ac:dyDescent="0.2">
      <c r="G54425" s="889"/>
    </row>
    <row r="54426" spans="7:7" ht="10.5" customHeight="1" x14ac:dyDescent="0.2">
      <c r="G54426" s="889"/>
    </row>
    <row r="54427" spans="7:7" ht="10.5" customHeight="1" x14ac:dyDescent="0.2">
      <c r="G54427" s="889"/>
    </row>
    <row r="54428" spans="7:7" ht="10.5" customHeight="1" x14ac:dyDescent="0.2">
      <c r="G54428" s="889"/>
    </row>
    <row r="54429" spans="7:7" ht="10.5" customHeight="1" x14ac:dyDescent="0.2">
      <c r="G54429" s="889"/>
    </row>
    <row r="54430" spans="7:7" ht="10.5" customHeight="1" x14ac:dyDescent="0.2">
      <c r="G54430" s="889"/>
    </row>
    <row r="54431" spans="7:7" ht="10.5" customHeight="1" x14ac:dyDescent="0.2">
      <c r="G54431" s="889"/>
    </row>
    <row r="54432" spans="7:7" ht="10.5" customHeight="1" x14ac:dyDescent="0.2">
      <c r="G54432" s="889"/>
    </row>
    <row r="54433" spans="7:7" ht="10.5" customHeight="1" x14ac:dyDescent="0.2">
      <c r="G54433" s="889"/>
    </row>
    <row r="54434" spans="7:7" ht="10.5" customHeight="1" x14ac:dyDescent="0.2">
      <c r="G54434" s="889"/>
    </row>
    <row r="54435" spans="7:7" ht="10.5" customHeight="1" x14ac:dyDescent="0.2">
      <c r="G54435" s="889"/>
    </row>
    <row r="54436" spans="7:7" ht="10.5" customHeight="1" x14ac:dyDescent="0.2">
      <c r="G54436" s="889"/>
    </row>
    <row r="54437" spans="7:7" ht="10.5" customHeight="1" x14ac:dyDescent="0.2">
      <c r="G54437" s="889"/>
    </row>
    <row r="54438" spans="7:7" ht="10.5" customHeight="1" x14ac:dyDescent="0.2">
      <c r="G54438" s="889"/>
    </row>
    <row r="54439" spans="7:7" ht="10.5" customHeight="1" x14ac:dyDescent="0.2">
      <c r="G54439" s="889"/>
    </row>
    <row r="54440" spans="7:7" ht="10.5" customHeight="1" x14ac:dyDescent="0.2">
      <c r="G54440" s="889"/>
    </row>
    <row r="54441" spans="7:7" ht="10.5" customHeight="1" x14ac:dyDescent="0.2">
      <c r="G54441" s="889"/>
    </row>
    <row r="54442" spans="7:7" ht="10.5" customHeight="1" x14ac:dyDescent="0.2">
      <c r="G54442" s="889"/>
    </row>
    <row r="54443" spans="7:7" ht="10.5" customHeight="1" x14ac:dyDescent="0.2">
      <c r="G54443" s="889"/>
    </row>
    <row r="54444" spans="7:7" ht="10.5" customHeight="1" x14ac:dyDescent="0.2">
      <c r="G54444" s="889"/>
    </row>
    <row r="54445" spans="7:7" ht="10.5" customHeight="1" x14ac:dyDescent="0.2">
      <c r="G54445" s="889"/>
    </row>
    <row r="54446" spans="7:7" ht="10.5" customHeight="1" x14ac:dyDescent="0.2">
      <c r="G54446" s="889"/>
    </row>
    <row r="54447" spans="7:7" ht="10.5" customHeight="1" x14ac:dyDescent="0.2">
      <c r="G54447" s="889"/>
    </row>
    <row r="54448" spans="7:7" ht="10.5" customHeight="1" x14ac:dyDescent="0.2">
      <c r="G54448" s="889"/>
    </row>
    <row r="54449" spans="7:7" ht="10.5" customHeight="1" x14ac:dyDescent="0.2">
      <c r="G54449" s="889"/>
    </row>
    <row r="54450" spans="7:7" ht="10.5" customHeight="1" x14ac:dyDescent="0.2">
      <c r="G54450" s="889"/>
    </row>
    <row r="54451" spans="7:7" ht="10.5" customHeight="1" x14ac:dyDescent="0.2">
      <c r="G54451" s="889"/>
    </row>
    <row r="54452" spans="7:7" ht="10.5" customHeight="1" x14ac:dyDescent="0.2">
      <c r="G54452" s="889"/>
    </row>
    <row r="54453" spans="7:7" ht="10.5" customHeight="1" x14ac:dyDescent="0.2">
      <c r="G54453" s="889"/>
    </row>
    <row r="54454" spans="7:7" ht="10.5" customHeight="1" x14ac:dyDescent="0.2">
      <c r="G54454" s="889"/>
    </row>
    <row r="54455" spans="7:7" ht="10.5" customHeight="1" x14ac:dyDescent="0.2">
      <c r="G54455" s="889"/>
    </row>
    <row r="54456" spans="7:7" ht="10.5" customHeight="1" x14ac:dyDescent="0.2">
      <c r="G54456" s="889"/>
    </row>
    <row r="54457" spans="7:7" ht="10.5" customHeight="1" x14ac:dyDescent="0.2">
      <c r="G54457" s="889"/>
    </row>
    <row r="54458" spans="7:7" ht="10.5" customHeight="1" x14ac:dyDescent="0.2">
      <c r="G54458" s="889"/>
    </row>
    <row r="54459" spans="7:7" ht="10.5" customHeight="1" x14ac:dyDescent="0.2">
      <c r="G54459" s="889"/>
    </row>
    <row r="54460" spans="7:7" ht="10.5" customHeight="1" x14ac:dyDescent="0.2">
      <c r="G54460" s="889"/>
    </row>
    <row r="54461" spans="7:7" ht="10.5" customHeight="1" x14ac:dyDescent="0.2">
      <c r="G54461" s="889"/>
    </row>
    <row r="54462" spans="7:7" ht="10.5" customHeight="1" x14ac:dyDescent="0.2">
      <c r="G54462" s="889"/>
    </row>
    <row r="54463" spans="7:7" ht="10.5" customHeight="1" x14ac:dyDescent="0.2">
      <c r="G54463" s="889"/>
    </row>
    <row r="54464" spans="7:7" ht="10.5" customHeight="1" x14ac:dyDescent="0.2">
      <c r="G54464" s="889"/>
    </row>
    <row r="54465" spans="7:7" ht="10.5" customHeight="1" x14ac:dyDescent="0.2">
      <c r="G54465" s="889"/>
    </row>
    <row r="54466" spans="7:7" ht="10.5" customHeight="1" x14ac:dyDescent="0.2">
      <c r="G54466" s="889"/>
    </row>
    <row r="54467" spans="7:7" ht="10.5" customHeight="1" x14ac:dyDescent="0.2">
      <c r="G54467" s="889"/>
    </row>
    <row r="54468" spans="7:7" ht="10.5" customHeight="1" x14ac:dyDescent="0.2">
      <c r="G54468" s="889"/>
    </row>
    <row r="54469" spans="7:7" ht="10.5" customHeight="1" x14ac:dyDescent="0.2">
      <c r="G54469" s="889"/>
    </row>
    <row r="54470" spans="7:7" ht="10.5" customHeight="1" x14ac:dyDescent="0.2">
      <c r="G54470" s="889"/>
    </row>
    <row r="54471" spans="7:7" ht="10.5" customHeight="1" x14ac:dyDescent="0.2">
      <c r="G54471" s="889"/>
    </row>
    <row r="54472" spans="7:7" ht="10.5" customHeight="1" x14ac:dyDescent="0.2">
      <c r="G54472" s="889"/>
    </row>
    <row r="54473" spans="7:7" ht="10.5" customHeight="1" x14ac:dyDescent="0.2">
      <c r="G54473" s="889"/>
    </row>
    <row r="54474" spans="7:7" ht="10.5" customHeight="1" x14ac:dyDescent="0.2">
      <c r="G54474" s="889"/>
    </row>
    <row r="54475" spans="7:7" ht="10.5" customHeight="1" x14ac:dyDescent="0.2">
      <c r="G54475" s="889"/>
    </row>
    <row r="54476" spans="7:7" ht="10.5" customHeight="1" x14ac:dyDescent="0.2">
      <c r="G54476" s="889"/>
    </row>
    <row r="54477" spans="7:7" ht="10.5" customHeight="1" x14ac:dyDescent="0.2">
      <c r="G54477" s="889"/>
    </row>
    <row r="54478" spans="7:7" ht="10.5" customHeight="1" x14ac:dyDescent="0.2">
      <c r="G54478" s="889"/>
    </row>
    <row r="54479" spans="7:7" ht="10.5" customHeight="1" x14ac:dyDescent="0.2">
      <c r="G54479" s="889"/>
    </row>
    <row r="54480" spans="7:7" ht="10.5" customHeight="1" x14ac:dyDescent="0.2">
      <c r="G54480" s="889"/>
    </row>
    <row r="54481" spans="7:7" ht="10.5" customHeight="1" x14ac:dyDescent="0.2">
      <c r="G54481" s="889"/>
    </row>
    <row r="54482" spans="7:7" ht="10.5" customHeight="1" x14ac:dyDescent="0.2">
      <c r="G54482" s="889"/>
    </row>
    <row r="54483" spans="7:7" ht="10.5" customHeight="1" x14ac:dyDescent="0.2">
      <c r="G54483" s="889"/>
    </row>
    <row r="54484" spans="7:7" ht="10.5" customHeight="1" x14ac:dyDescent="0.2">
      <c r="G54484" s="889"/>
    </row>
    <row r="54485" spans="7:7" ht="10.5" customHeight="1" x14ac:dyDescent="0.2">
      <c r="G54485" s="889"/>
    </row>
    <row r="54486" spans="7:7" ht="10.5" customHeight="1" x14ac:dyDescent="0.2">
      <c r="G54486" s="889"/>
    </row>
    <row r="54487" spans="7:7" ht="10.5" customHeight="1" x14ac:dyDescent="0.2">
      <c r="G54487" s="889"/>
    </row>
    <row r="54488" spans="7:7" ht="10.5" customHeight="1" x14ac:dyDescent="0.2">
      <c r="G54488" s="889"/>
    </row>
    <row r="54489" spans="7:7" ht="10.5" customHeight="1" x14ac:dyDescent="0.2">
      <c r="G54489" s="889"/>
    </row>
    <row r="54490" spans="7:7" ht="10.5" customHeight="1" x14ac:dyDescent="0.2">
      <c r="G54490" s="889"/>
    </row>
    <row r="54491" spans="7:7" ht="10.5" customHeight="1" x14ac:dyDescent="0.2">
      <c r="G54491" s="889"/>
    </row>
    <row r="54492" spans="7:7" ht="10.5" customHeight="1" x14ac:dyDescent="0.2">
      <c r="G54492" s="889"/>
    </row>
    <row r="54493" spans="7:7" ht="10.5" customHeight="1" x14ac:dyDescent="0.2">
      <c r="G54493" s="889"/>
    </row>
    <row r="54494" spans="7:7" ht="10.5" customHeight="1" x14ac:dyDescent="0.2">
      <c r="G54494" s="889"/>
    </row>
    <row r="54495" spans="7:7" ht="10.5" customHeight="1" x14ac:dyDescent="0.2">
      <c r="G54495" s="889"/>
    </row>
    <row r="54496" spans="7:7" ht="10.5" customHeight="1" x14ac:dyDescent="0.2">
      <c r="G54496" s="889"/>
    </row>
    <row r="54497" spans="7:7" ht="10.5" customHeight="1" x14ac:dyDescent="0.2">
      <c r="G54497" s="889"/>
    </row>
    <row r="54498" spans="7:7" ht="10.5" customHeight="1" x14ac:dyDescent="0.2">
      <c r="G54498" s="889"/>
    </row>
    <row r="54499" spans="7:7" ht="10.5" customHeight="1" x14ac:dyDescent="0.2">
      <c r="G54499" s="889"/>
    </row>
    <row r="54500" spans="7:7" ht="10.5" customHeight="1" x14ac:dyDescent="0.2">
      <c r="G54500" s="889"/>
    </row>
    <row r="54501" spans="7:7" ht="10.5" customHeight="1" x14ac:dyDescent="0.2">
      <c r="G54501" s="889"/>
    </row>
    <row r="54502" spans="7:7" ht="10.5" customHeight="1" x14ac:dyDescent="0.2">
      <c r="G54502" s="889"/>
    </row>
    <row r="54503" spans="7:7" ht="10.5" customHeight="1" x14ac:dyDescent="0.2">
      <c r="G54503" s="889"/>
    </row>
    <row r="54504" spans="7:7" ht="10.5" customHeight="1" x14ac:dyDescent="0.2">
      <c r="G54504" s="889"/>
    </row>
    <row r="54505" spans="7:7" ht="10.5" customHeight="1" x14ac:dyDescent="0.2">
      <c r="G54505" s="889"/>
    </row>
    <row r="54506" spans="7:7" ht="10.5" customHeight="1" x14ac:dyDescent="0.2">
      <c r="G54506" s="889"/>
    </row>
    <row r="54507" spans="7:7" ht="10.5" customHeight="1" x14ac:dyDescent="0.2">
      <c r="G54507" s="889"/>
    </row>
    <row r="54508" spans="7:7" ht="10.5" customHeight="1" x14ac:dyDescent="0.2">
      <c r="G54508" s="889"/>
    </row>
    <row r="54509" spans="7:7" ht="10.5" customHeight="1" x14ac:dyDescent="0.2">
      <c r="G54509" s="889"/>
    </row>
    <row r="54510" spans="7:7" ht="10.5" customHeight="1" x14ac:dyDescent="0.2">
      <c r="G54510" s="889"/>
    </row>
    <row r="54511" spans="7:7" ht="10.5" customHeight="1" x14ac:dyDescent="0.2">
      <c r="G54511" s="889"/>
    </row>
    <row r="54512" spans="7:7" ht="10.5" customHeight="1" x14ac:dyDescent="0.2">
      <c r="G54512" s="889"/>
    </row>
    <row r="54513" spans="7:7" ht="10.5" customHeight="1" x14ac:dyDescent="0.2">
      <c r="G54513" s="889"/>
    </row>
    <row r="54514" spans="7:7" ht="10.5" customHeight="1" x14ac:dyDescent="0.2">
      <c r="G54514" s="889"/>
    </row>
    <row r="54515" spans="7:7" ht="10.5" customHeight="1" x14ac:dyDescent="0.2">
      <c r="G54515" s="889"/>
    </row>
    <row r="54516" spans="7:7" ht="10.5" customHeight="1" x14ac:dyDescent="0.2">
      <c r="G54516" s="889"/>
    </row>
    <row r="54517" spans="7:7" ht="10.5" customHeight="1" x14ac:dyDescent="0.2">
      <c r="G54517" s="889"/>
    </row>
    <row r="54518" spans="7:7" ht="10.5" customHeight="1" x14ac:dyDescent="0.2">
      <c r="G54518" s="889"/>
    </row>
    <row r="54519" spans="7:7" ht="10.5" customHeight="1" x14ac:dyDescent="0.2">
      <c r="G54519" s="889"/>
    </row>
    <row r="54520" spans="7:7" ht="10.5" customHeight="1" x14ac:dyDescent="0.2">
      <c r="G54520" s="889"/>
    </row>
    <row r="54521" spans="7:7" ht="10.5" customHeight="1" x14ac:dyDescent="0.2">
      <c r="G54521" s="889"/>
    </row>
    <row r="54522" spans="7:7" ht="10.5" customHeight="1" x14ac:dyDescent="0.2">
      <c r="G54522" s="889"/>
    </row>
    <row r="54523" spans="7:7" ht="10.5" customHeight="1" x14ac:dyDescent="0.2">
      <c r="G54523" s="889"/>
    </row>
    <row r="54524" spans="7:7" ht="10.5" customHeight="1" x14ac:dyDescent="0.2">
      <c r="G54524" s="889"/>
    </row>
    <row r="54525" spans="7:7" ht="10.5" customHeight="1" x14ac:dyDescent="0.2">
      <c r="G54525" s="889"/>
    </row>
    <row r="54526" spans="7:7" ht="10.5" customHeight="1" x14ac:dyDescent="0.2">
      <c r="G54526" s="889"/>
    </row>
    <row r="54527" spans="7:7" ht="10.5" customHeight="1" x14ac:dyDescent="0.2">
      <c r="G54527" s="889"/>
    </row>
    <row r="54528" spans="7:7" ht="10.5" customHeight="1" x14ac:dyDescent="0.2">
      <c r="G54528" s="889"/>
    </row>
    <row r="54529" spans="7:7" ht="10.5" customHeight="1" x14ac:dyDescent="0.2">
      <c r="G54529" s="889"/>
    </row>
    <row r="54530" spans="7:7" ht="10.5" customHeight="1" x14ac:dyDescent="0.2">
      <c r="G54530" s="889"/>
    </row>
    <row r="54531" spans="7:7" ht="10.5" customHeight="1" x14ac:dyDescent="0.2">
      <c r="G54531" s="889"/>
    </row>
    <row r="54532" spans="7:7" ht="10.5" customHeight="1" x14ac:dyDescent="0.2">
      <c r="G54532" s="889"/>
    </row>
    <row r="54533" spans="7:7" ht="10.5" customHeight="1" x14ac:dyDescent="0.2">
      <c r="G54533" s="889"/>
    </row>
    <row r="54534" spans="7:7" ht="10.5" customHeight="1" x14ac:dyDescent="0.2">
      <c r="G54534" s="889"/>
    </row>
    <row r="54535" spans="7:7" ht="10.5" customHeight="1" x14ac:dyDescent="0.2">
      <c r="G54535" s="889"/>
    </row>
    <row r="54536" spans="7:7" ht="10.5" customHeight="1" x14ac:dyDescent="0.2">
      <c r="G54536" s="889"/>
    </row>
    <row r="54537" spans="7:7" ht="10.5" customHeight="1" x14ac:dyDescent="0.2">
      <c r="G54537" s="889"/>
    </row>
    <row r="54538" spans="7:7" ht="10.5" customHeight="1" x14ac:dyDescent="0.2">
      <c r="G54538" s="889"/>
    </row>
    <row r="54539" spans="7:7" ht="10.5" customHeight="1" x14ac:dyDescent="0.2">
      <c r="G54539" s="889"/>
    </row>
    <row r="54540" spans="7:7" ht="10.5" customHeight="1" x14ac:dyDescent="0.2">
      <c r="G54540" s="889"/>
    </row>
    <row r="54541" spans="7:7" ht="10.5" customHeight="1" x14ac:dyDescent="0.2">
      <c r="G54541" s="889"/>
    </row>
    <row r="54542" spans="7:7" ht="10.5" customHeight="1" x14ac:dyDescent="0.2">
      <c r="G54542" s="889"/>
    </row>
    <row r="54543" spans="7:7" ht="10.5" customHeight="1" x14ac:dyDescent="0.2">
      <c r="G54543" s="889"/>
    </row>
    <row r="54544" spans="7:7" ht="10.5" customHeight="1" x14ac:dyDescent="0.2">
      <c r="G54544" s="889"/>
    </row>
    <row r="54545" spans="7:7" ht="10.5" customHeight="1" x14ac:dyDescent="0.2">
      <c r="G54545" s="889"/>
    </row>
    <row r="54546" spans="7:7" ht="10.5" customHeight="1" x14ac:dyDescent="0.2">
      <c r="G54546" s="889"/>
    </row>
    <row r="54547" spans="7:7" ht="10.5" customHeight="1" x14ac:dyDescent="0.2">
      <c r="G54547" s="889"/>
    </row>
    <row r="54548" spans="7:7" ht="10.5" customHeight="1" x14ac:dyDescent="0.2">
      <c r="G54548" s="889"/>
    </row>
    <row r="54549" spans="7:7" ht="10.5" customHeight="1" x14ac:dyDescent="0.2">
      <c r="G54549" s="889"/>
    </row>
    <row r="54550" spans="7:7" ht="10.5" customHeight="1" x14ac:dyDescent="0.2">
      <c r="G54550" s="889"/>
    </row>
    <row r="54551" spans="7:7" ht="10.5" customHeight="1" x14ac:dyDescent="0.2">
      <c r="G54551" s="889"/>
    </row>
    <row r="54552" spans="7:7" ht="10.5" customHeight="1" x14ac:dyDescent="0.2">
      <c r="G54552" s="889"/>
    </row>
    <row r="54553" spans="7:7" ht="10.5" customHeight="1" x14ac:dyDescent="0.2">
      <c r="G54553" s="889"/>
    </row>
    <row r="54554" spans="7:7" ht="10.5" customHeight="1" x14ac:dyDescent="0.2">
      <c r="G54554" s="889"/>
    </row>
    <row r="54555" spans="7:7" ht="10.5" customHeight="1" x14ac:dyDescent="0.2">
      <c r="G54555" s="889"/>
    </row>
    <row r="54556" spans="7:7" ht="10.5" customHeight="1" x14ac:dyDescent="0.2">
      <c r="G54556" s="889"/>
    </row>
    <row r="54557" spans="7:7" ht="10.5" customHeight="1" x14ac:dyDescent="0.2">
      <c r="G54557" s="889"/>
    </row>
    <row r="54558" spans="7:7" ht="10.5" customHeight="1" x14ac:dyDescent="0.2">
      <c r="G54558" s="889"/>
    </row>
    <row r="54559" spans="7:7" ht="10.5" customHeight="1" x14ac:dyDescent="0.2">
      <c r="G54559" s="889"/>
    </row>
    <row r="54560" spans="7:7" ht="10.5" customHeight="1" x14ac:dyDescent="0.2">
      <c r="G54560" s="889"/>
    </row>
    <row r="54561" spans="7:7" ht="10.5" customHeight="1" x14ac:dyDescent="0.2">
      <c r="G54561" s="889"/>
    </row>
    <row r="54562" spans="7:7" ht="10.5" customHeight="1" x14ac:dyDescent="0.2">
      <c r="G54562" s="889"/>
    </row>
    <row r="54563" spans="7:7" ht="10.5" customHeight="1" x14ac:dyDescent="0.2">
      <c r="G54563" s="889"/>
    </row>
    <row r="54564" spans="7:7" ht="10.5" customHeight="1" x14ac:dyDescent="0.2">
      <c r="G54564" s="889"/>
    </row>
    <row r="54565" spans="7:7" ht="10.5" customHeight="1" x14ac:dyDescent="0.2">
      <c r="G54565" s="889"/>
    </row>
    <row r="54566" spans="7:7" ht="10.5" customHeight="1" x14ac:dyDescent="0.2">
      <c r="G54566" s="889"/>
    </row>
    <row r="54567" spans="7:7" ht="10.5" customHeight="1" x14ac:dyDescent="0.2">
      <c r="G54567" s="889"/>
    </row>
    <row r="54568" spans="7:7" ht="10.5" customHeight="1" x14ac:dyDescent="0.2">
      <c r="G54568" s="889"/>
    </row>
    <row r="54569" spans="7:7" ht="10.5" customHeight="1" x14ac:dyDescent="0.2">
      <c r="G54569" s="889"/>
    </row>
    <row r="54570" spans="7:7" ht="10.5" customHeight="1" x14ac:dyDescent="0.2">
      <c r="G54570" s="889"/>
    </row>
    <row r="54571" spans="7:7" ht="10.5" customHeight="1" x14ac:dyDescent="0.2">
      <c r="G54571" s="889"/>
    </row>
    <row r="54572" spans="7:7" ht="10.5" customHeight="1" x14ac:dyDescent="0.2">
      <c r="G54572" s="889"/>
    </row>
    <row r="54573" spans="7:7" ht="10.5" customHeight="1" x14ac:dyDescent="0.2">
      <c r="G54573" s="889"/>
    </row>
    <row r="54574" spans="7:7" ht="10.5" customHeight="1" x14ac:dyDescent="0.2">
      <c r="G54574" s="889"/>
    </row>
    <row r="54575" spans="7:7" ht="10.5" customHeight="1" x14ac:dyDescent="0.2">
      <c r="G54575" s="889"/>
    </row>
    <row r="54576" spans="7:7" ht="10.5" customHeight="1" x14ac:dyDescent="0.2">
      <c r="G54576" s="889"/>
    </row>
    <row r="54577" spans="7:7" ht="10.5" customHeight="1" x14ac:dyDescent="0.2">
      <c r="G54577" s="889"/>
    </row>
    <row r="54578" spans="7:7" ht="10.5" customHeight="1" x14ac:dyDescent="0.2">
      <c r="G54578" s="889"/>
    </row>
    <row r="54579" spans="7:7" ht="10.5" customHeight="1" x14ac:dyDescent="0.2">
      <c r="G54579" s="889"/>
    </row>
    <row r="54580" spans="7:7" ht="10.5" customHeight="1" x14ac:dyDescent="0.2">
      <c r="G54580" s="889"/>
    </row>
    <row r="54581" spans="7:7" ht="10.5" customHeight="1" x14ac:dyDescent="0.2">
      <c r="G54581" s="889"/>
    </row>
    <row r="54582" spans="7:7" ht="10.5" customHeight="1" x14ac:dyDescent="0.2">
      <c r="G54582" s="889"/>
    </row>
    <row r="54583" spans="7:7" ht="10.5" customHeight="1" x14ac:dyDescent="0.2">
      <c r="G54583" s="889"/>
    </row>
    <row r="54584" spans="7:7" ht="10.5" customHeight="1" x14ac:dyDescent="0.2">
      <c r="G54584" s="889"/>
    </row>
    <row r="54585" spans="7:7" ht="10.5" customHeight="1" x14ac:dyDescent="0.2">
      <c r="G54585" s="889"/>
    </row>
    <row r="54586" spans="7:7" ht="10.5" customHeight="1" x14ac:dyDescent="0.2">
      <c r="G54586" s="889"/>
    </row>
    <row r="54587" spans="7:7" ht="10.5" customHeight="1" x14ac:dyDescent="0.2">
      <c r="G54587" s="889"/>
    </row>
    <row r="54588" spans="7:7" ht="10.5" customHeight="1" x14ac:dyDescent="0.2">
      <c r="G54588" s="889"/>
    </row>
    <row r="54589" spans="7:7" ht="10.5" customHeight="1" x14ac:dyDescent="0.2">
      <c r="G54589" s="889"/>
    </row>
    <row r="54590" spans="7:7" ht="10.5" customHeight="1" x14ac:dyDescent="0.2">
      <c r="G54590" s="889"/>
    </row>
    <row r="54591" spans="7:7" ht="10.5" customHeight="1" x14ac:dyDescent="0.2">
      <c r="G54591" s="889"/>
    </row>
    <row r="54592" spans="7:7" ht="10.5" customHeight="1" x14ac:dyDescent="0.2">
      <c r="G54592" s="889"/>
    </row>
    <row r="54593" spans="7:7" ht="10.5" customHeight="1" x14ac:dyDescent="0.2">
      <c r="G54593" s="889"/>
    </row>
    <row r="54594" spans="7:7" ht="10.5" customHeight="1" x14ac:dyDescent="0.2">
      <c r="G54594" s="889"/>
    </row>
    <row r="54595" spans="7:7" ht="10.5" customHeight="1" x14ac:dyDescent="0.2">
      <c r="G54595" s="889"/>
    </row>
    <row r="54596" spans="7:7" ht="10.5" customHeight="1" x14ac:dyDescent="0.2">
      <c r="G54596" s="889"/>
    </row>
    <row r="54597" spans="7:7" ht="10.5" customHeight="1" x14ac:dyDescent="0.2">
      <c r="G54597" s="889"/>
    </row>
    <row r="54598" spans="7:7" ht="10.5" customHeight="1" x14ac:dyDescent="0.2">
      <c r="G54598" s="889"/>
    </row>
    <row r="54599" spans="7:7" ht="10.5" customHeight="1" x14ac:dyDescent="0.2">
      <c r="G54599" s="889"/>
    </row>
    <row r="54600" spans="7:7" ht="10.5" customHeight="1" x14ac:dyDescent="0.2">
      <c r="G54600" s="889"/>
    </row>
    <row r="54601" spans="7:7" ht="10.5" customHeight="1" x14ac:dyDescent="0.2">
      <c r="G54601" s="889"/>
    </row>
    <row r="54602" spans="7:7" ht="10.5" customHeight="1" x14ac:dyDescent="0.2">
      <c r="G54602" s="889"/>
    </row>
    <row r="54603" spans="7:7" ht="10.5" customHeight="1" x14ac:dyDescent="0.2">
      <c r="G54603" s="889"/>
    </row>
    <row r="54604" spans="7:7" ht="10.5" customHeight="1" x14ac:dyDescent="0.2">
      <c r="G54604" s="889"/>
    </row>
    <row r="54605" spans="7:7" ht="10.5" customHeight="1" x14ac:dyDescent="0.2">
      <c r="G54605" s="889"/>
    </row>
    <row r="54606" spans="7:7" ht="10.5" customHeight="1" x14ac:dyDescent="0.2">
      <c r="G54606" s="889"/>
    </row>
    <row r="54607" spans="7:7" ht="10.5" customHeight="1" x14ac:dyDescent="0.2">
      <c r="G54607" s="889"/>
    </row>
    <row r="54608" spans="7:7" ht="10.5" customHeight="1" x14ac:dyDescent="0.2">
      <c r="G54608" s="889"/>
    </row>
    <row r="54609" spans="7:7" ht="10.5" customHeight="1" x14ac:dyDescent="0.2">
      <c r="G54609" s="889"/>
    </row>
    <row r="54610" spans="7:7" ht="10.5" customHeight="1" x14ac:dyDescent="0.2">
      <c r="G54610" s="889"/>
    </row>
    <row r="54611" spans="7:7" ht="10.5" customHeight="1" x14ac:dyDescent="0.2">
      <c r="G54611" s="889"/>
    </row>
    <row r="54612" spans="7:7" ht="10.5" customHeight="1" x14ac:dyDescent="0.2">
      <c r="G54612" s="889"/>
    </row>
    <row r="54613" spans="7:7" ht="10.5" customHeight="1" x14ac:dyDescent="0.2">
      <c r="G54613" s="889"/>
    </row>
    <row r="54614" spans="7:7" ht="10.5" customHeight="1" x14ac:dyDescent="0.2">
      <c r="G54614" s="889"/>
    </row>
    <row r="54615" spans="7:7" ht="10.5" customHeight="1" x14ac:dyDescent="0.2">
      <c r="G54615" s="889"/>
    </row>
    <row r="54616" spans="7:7" ht="10.5" customHeight="1" x14ac:dyDescent="0.2">
      <c r="G54616" s="889"/>
    </row>
    <row r="54617" spans="7:7" ht="10.5" customHeight="1" x14ac:dyDescent="0.2">
      <c r="G54617" s="889"/>
    </row>
    <row r="54618" spans="7:7" ht="10.5" customHeight="1" x14ac:dyDescent="0.2">
      <c r="G54618" s="889"/>
    </row>
    <row r="54619" spans="7:7" ht="10.5" customHeight="1" x14ac:dyDescent="0.2">
      <c r="G54619" s="889"/>
    </row>
    <row r="54620" spans="7:7" ht="10.5" customHeight="1" x14ac:dyDescent="0.2">
      <c r="G54620" s="889"/>
    </row>
    <row r="54621" spans="7:7" ht="10.5" customHeight="1" x14ac:dyDescent="0.2">
      <c r="G54621" s="889"/>
    </row>
    <row r="54622" spans="7:7" ht="10.5" customHeight="1" x14ac:dyDescent="0.2">
      <c r="G54622" s="889"/>
    </row>
    <row r="54623" spans="7:7" ht="10.5" customHeight="1" x14ac:dyDescent="0.2">
      <c r="G54623" s="889"/>
    </row>
    <row r="54624" spans="7:7" ht="10.5" customHeight="1" x14ac:dyDescent="0.2">
      <c r="G54624" s="889"/>
    </row>
    <row r="54625" spans="7:7" ht="10.5" customHeight="1" x14ac:dyDescent="0.2">
      <c r="G54625" s="889"/>
    </row>
    <row r="54626" spans="7:7" ht="10.5" customHeight="1" x14ac:dyDescent="0.2">
      <c r="G54626" s="889"/>
    </row>
    <row r="54627" spans="7:7" ht="10.5" customHeight="1" x14ac:dyDescent="0.2">
      <c r="G54627" s="889"/>
    </row>
    <row r="54628" spans="7:7" ht="10.5" customHeight="1" x14ac:dyDescent="0.2">
      <c r="G54628" s="889"/>
    </row>
    <row r="54629" spans="7:7" ht="10.5" customHeight="1" x14ac:dyDescent="0.2">
      <c r="G54629" s="889"/>
    </row>
    <row r="54630" spans="7:7" ht="10.5" customHeight="1" x14ac:dyDescent="0.2">
      <c r="G54630" s="889"/>
    </row>
    <row r="54631" spans="7:7" ht="10.5" customHeight="1" x14ac:dyDescent="0.2">
      <c r="G54631" s="889"/>
    </row>
    <row r="54632" spans="7:7" ht="10.5" customHeight="1" x14ac:dyDescent="0.2">
      <c r="G54632" s="889"/>
    </row>
    <row r="54633" spans="7:7" ht="10.5" customHeight="1" x14ac:dyDescent="0.2">
      <c r="G54633" s="889"/>
    </row>
    <row r="54634" spans="7:7" ht="10.5" customHeight="1" x14ac:dyDescent="0.2">
      <c r="G54634" s="889"/>
    </row>
    <row r="54635" spans="7:7" ht="10.5" customHeight="1" x14ac:dyDescent="0.2">
      <c r="G54635" s="889"/>
    </row>
    <row r="54636" spans="7:7" ht="10.5" customHeight="1" x14ac:dyDescent="0.2">
      <c r="G54636" s="889"/>
    </row>
    <row r="54637" spans="7:7" ht="10.5" customHeight="1" x14ac:dyDescent="0.2">
      <c r="G54637" s="889"/>
    </row>
    <row r="54638" spans="7:7" ht="10.5" customHeight="1" x14ac:dyDescent="0.2">
      <c r="G54638" s="889"/>
    </row>
    <row r="54639" spans="7:7" ht="10.5" customHeight="1" x14ac:dyDescent="0.2">
      <c r="G54639" s="889"/>
    </row>
    <row r="54640" spans="7:7" ht="10.5" customHeight="1" x14ac:dyDescent="0.2">
      <c r="G54640" s="889"/>
    </row>
    <row r="54641" spans="7:7" ht="10.5" customHeight="1" x14ac:dyDescent="0.2">
      <c r="G54641" s="889"/>
    </row>
    <row r="54642" spans="7:7" ht="10.5" customHeight="1" x14ac:dyDescent="0.2">
      <c r="G54642" s="889"/>
    </row>
    <row r="54643" spans="7:7" ht="10.5" customHeight="1" x14ac:dyDescent="0.2">
      <c r="G54643" s="889"/>
    </row>
    <row r="54644" spans="7:7" ht="10.5" customHeight="1" x14ac:dyDescent="0.2">
      <c r="G54644" s="889"/>
    </row>
    <row r="54645" spans="7:7" ht="10.5" customHeight="1" x14ac:dyDescent="0.2">
      <c r="G54645" s="889"/>
    </row>
    <row r="54646" spans="7:7" ht="10.5" customHeight="1" x14ac:dyDescent="0.2">
      <c r="G54646" s="889"/>
    </row>
    <row r="54647" spans="7:7" ht="10.5" customHeight="1" x14ac:dyDescent="0.2">
      <c r="G54647" s="889"/>
    </row>
    <row r="54648" spans="7:7" ht="10.5" customHeight="1" x14ac:dyDescent="0.2">
      <c r="G54648" s="889"/>
    </row>
    <row r="54649" spans="7:7" ht="10.5" customHeight="1" x14ac:dyDescent="0.2">
      <c r="G54649" s="889"/>
    </row>
    <row r="54650" spans="7:7" ht="10.5" customHeight="1" x14ac:dyDescent="0.2">
      <c r="G54650" s="889"/>
    </row>
    <row r="54651" spans="7:7" ht="10.5" customHeight="1" x14ac:dyDescent="0.2">
      <c r="G54651" s="889"/>
    </row>
    <row r="54652" spans="7:7" ht="10.5" customHeight="1" x14ac:dyDescent="0.2">
      <c r="G54652" s="889"/>
    </row>
    <row r="54653" spans="7:7" ht="10.5" customHeight="1" x14ac:dyDescent="0.2">
      <c r="G54653" s="889"/>
    </row>
    <row r="54654" spans="7:7" ht="10.5" customHeight="1" x14ac:dyDescent="0.2">
      <c r="G54654" s="889"/>
    </row>
    <row r="54655" spans="7:7" ht="10.5" customHeight="1" x14ac:dyDescent="0.2">
      <c r="G54655" s="889"/>
    </row>
    <row r="54656" spans="7:7" ht="10.5" customHeight="1" x14ac:dyDescent="0.2">
      <c r="G54656" s="889"/>
    </row>
    <row r="54657" spans="7:7" ht="10.5" customHeight="1" x14ac:dyDescent="0.2">
      <c r="G54657" s="889"/>
    </row>
    <row r="54658" spans="7:7" ht="10.5" customHeight="1" x14ac:dyDescent="0.2">
      <c r="G54658" s="889"/>
    </row>
    <row r="54659" spans="7:7" ht="10.5" customHeight="1" x14ac:dyDescent="0.2">
      <c r="G54659" s="889"/>
    </row>
    <row r="54660" spans="7:7" ht="10.5" customHeight="1" x14ac:dyDescent="0.2">
      <c r="G54660" s="889"/>
    </row>
    <row r="54661" spans="7:7" ht="10.5" customHeight="1" x14ac:dyDescent="0.2">
      <c r="G54661" s="889"/>
    </row>
    <row r="54662" spans="7:7" ht="10.5" customHeight="1" x14ac:dyDescent="0.2">
      <c r="G54662" s="889"/>
    </row>
    <row r="54663" spans="7:7" ht="10.5" customHeight="1" x14ac:dyDescent="0.2">
      <c r="G54663" s="889"/>
    </row>
    <row r="54664" spans="7:7" ht="10.5" customHeight="1" x14ac:dyDescent="0.2">
      <c r="G54664" s="889"/>
    </row>
    <row r="54665" spans="7:7" ht="10.5" customHeight="1" x14ac:dyDescent="0.2">
      <c r="G54665" s="889"/>
    </row>
    <row r="54666" spans="7:7" ht="10.5" customHeight="1" x14ac:dyDescent="0.2">
      <c r="G54666" s="889"/>
    </row>
    <row r="54667" spans="7:7" ht="10.5" customHeight="1" x14ac:dyDescent="0.2">
      <c r="G54667" s="889"/>
    </row>
    <row r="54668" spans="7:7" ht="10.5" customHeight="1" x14ac:dyDescent="0.2">
      <c r="G54668" s="889"/>
    </row>
    <row r="54669" spans="7:7" ht="10.5" customHeight="1" x14ac:dyDescent="0.2">
      <c r="G54669" s="889"/>
    </row>
    <row r="54670" spans="7:7" ht="10.5" customHeight="1" x14ac:dyDescent="0.2">
      <c r="G54670" s="889"/>
    </row>
    <row r="54671" spans="7:7" ht="10.5" customHeight="1" x14ac:dyDescent="0.2">
      <c r="G54671" s="889"/>
    </row>
    <row r="54672" spans="7:7" ht="10.5" customHeight="1" x14ac:dyDescent="0.2">
      <c r="G54672" s="889"/>
    </row>
    <row r="54673" spans="7:7" ht="10.5" customHeight="1" x14ac:dyDescent="0.2">
      <c r="G54673" s="889"/>
    </row>
    <row r="54674" spans="7:7" ht="10.5" customHeight="1" x14ac:dyDescent="0.2">
      <c r="G54674" s="889"/>
    </row>
    <row r="54675" spans="7:7" ht="10.5" customHeight="1" x14ac:dyDescent="0.2">
      <c r="G54675" s="889"/>
    </row>
    <row r="54676" spans="7:7" ht="10.5" customHeight="1" x14ac:dyDescent="0.2">
      <c r="G54676" s="889"/>
    </row>
    <row r="54677" spans="7:7" ht="10.5" customHeight="1" x14ac:dyDescent="0.2">
      <c r="G54677" s="889"/>
    </row>
    <row r="54678" spans="7:7" ht="10.5" customHeight="1" x14ac:dyDescent="0.2">
      <c r="G54678" s="889"/>
    </row>
    <row r="54679" spans="7:7" ht="10.5" customHeight="1" x14ac:dyDescent="0.2">
      <c r="G54679" s="889"/>
    </row>
    <row r="54680" spans="7:7" ht="10.5" customHeight="1" x14ac:dyDescent="0.2">
      <c r="G54680" s="889"/>
    </row>
    <row r="54681" spans="7:7" ht="10.5" customHeight="1" x14ac:dyDescent="0.2">
      <c r="G54681" s="889"/>
    </row>
    <row r="54682" spans="7:7" ht="10.5" customHeight="1" x14ac:dyDescent="0.2">
      <c r="G54682" s="889"/>
    </row>
    <row r="54683" spans="7:7" ht="10.5" customHeight="1" x14ac:dyDescent="0.2">
      <c r="G54683" s="889"/>
    </row>
    <row r="54684" spans="7:7" ht="10.5" customHeight="1" x14ac:dyDescent="0.2">
      <c r="G54684" s="889"/>
    </row>
    <row r="54685" spans="7:7" ht="10.5" customHeight="1" x14ac:dyDescent="0.2">
      <c r="G54685" s="889"/>
    </row>
    <row r="54686" spans="7:7" ht="10.5" customHeight="1" x14ac:dyDescent="0.2">
      <c r="G54686" s="889"/>
    </row>
    <row r="54687" spans="7:7" ht="10.5" customHeight="1" x14ac:dyDescent="0.2">
      <c r="G54687" s="889"/>
    </row>
    <row r="54688" spans="7:7" ht="10.5" customHeight="1" x14ac:dyDescent="0.2">
      <c r="G54688" s="889"/>
    </row>
    <row r="54689" spans="7:7" ht="10.5" customHeight="1" x14ac:dyDescent="0.2">
      <c r="G54689" s="889"/>
    </row>
    <row r="54690" spans="7:7" ht="10.5" customHeight="1" x14ac:dyDescent="0.2">
      <c r="G54690" s="889"/>
    </row>
    <row r="54691" spans="7:7" ht="10.5" customHeight="1" x14ac:dyDescent="0.2">
      <c r="G54691" s="889"/>
    </row>
    <row r="54692" spans="7:7" ht="10.5" customHeight="1" x14ac:dyDescent="0.2">
      <c r="G54692" s="889"/>
    </row>
    <row r="54693" spans="7:7" ht="10.5" customHeight="1" x14ac:dyDescent="0.2">
      <c r="G54693" s="889"/>
    </row>
    <row r="54694" spans="7:7" ht="10.5" customHeight="1" x14ac:dyDescent="0.2">
      <c r="G54694" s="889"/>
    </row>
    <row r="54695" spans="7:7" ht="10.5" customHeight="1" x14ac:dyDescent="0.2">
      <c r="G54695" s="889"/>
    </row>
    <row r="54696" spans="7:7" ht="10.5" customHeight="1" x14ac:dyDescent="0.2">
      <c r="G54696" s="889"/>
    </row>
    <row r="54697" spans="7:7" ht="10.5" customHeight="1" x14ac:dyDescent="0.2">
      <c r="G54697" s="889"/>
    </row>
    <row r="54698" spans="7:7" ht="10.5" customHeight="1" x14ac:dyDescent="0.2">
      <c r="G54698" s="889"/>
    </row>
    <row r="54699" spans="7:7" ht="10.5" customHeight="1" x14ac:dyDescent="0.2">
      <c r="G54699" s="889"/>
    </row>
    <row r="54700" spans="7:7" ht="10.5" customHeight="1" x14ac:dyDescent="0.2">
      <c r="G54700" s="889"/>
    </row>
    <row r="54701" spans="7:7" ht="10.5" customHeight="1" x14ac:dyDescent="0.2">
      <c r="G54701" s="889"/>
    </row>
    <row r="54702" spans="7:7" ht="10.5" customHeight="1" x14ac:dyDescent="0.2">
      <c r="G54702" s="889"/>
    </row>
    <row r="54703" spans="7:7" ht="10.5" customHeight="1" x14ac:dyDescent="0.2">
      <c r="G54703" s="889"/>
    </row>
    <row r="54704" spans="7:7" ht="10.5" customHeight="1" x14ac:dyDescent="0.2">
      <c r="G54704" s="889"/>
    </row>
    <row r="54705" spans="7:7" ht="10.5" customHeight="1" x14ac:dyDescent="0.2">
      <c r="G54705" s="889"/>
    </row>
    <row r="54706" spans="7:7" ht="10.5" customHeight="1" x14ac:dyDescent="0.2">
      <c r="G54706" s="889"/>
    </row>
    <row r="54707" spans="7:7" ht="10.5" customHeight="1" x14ac:dyDescent="0.2">
      <c r="G54707" s="889"/>
    </row>
    <row r="54708" spans="7:7" ht="10.5" customHeight="1" x14ac:dyDescent="0.2">
      <c r="G54708" s="889"/>
    </row>
    <row r="54709" spans="7:7" ht="10.5" customHeight="1" x14ac:dyDescent="0.2">
      <c r="G54709" s="889"/>
    </row>
    <row r="54710" spans="7:7" ht="10.5" customHeight="1" x14ac:dyDescent="0.2">
      <c r="G54710" s="889"/>
    </row>
    <row r="54711" spans="7:7" ht="10.5" customHeight="1" x14ac:dyDescent="0.2">
      <c r="G54711" s="889"/>
    </row>
    <row r="54712" spans="7:7" ht="10.5" customHeight="1" x14ac:dyDescent="0.2">
      <c r="G54712" s="889"/>
    </row>
    <row r="54713" spans="7:7" ht="10.5" customHeight="1" x14ac:dyDescent="0.2">
      <c r="G54713" s="889"/>
    </row>
    <row r="54714" spans="7:7" ht="10.5" customHeight="1" x14ac:dyDescent="0.2">
      <c r="G54714" s="889"/>
    </row>
    <row r="54715" spans="7:7" ht="10.5" customHeight="1" x14ac:dyDescent="0.2">
      <c r="G54715" s="889"/>
    </row>
    <row r="54716" spans="7:7" ht="10.5" customHeight="1" x14ac:dyDescent="0.2">
      <c r="G54716" s="889"/>
    </row>
    <row r="54717" spans="7:7" ht="10.5" customHeight="1" x14ac:dyDescent="0.2">
      <c r="G54717" s="889"/>
    </row>
    <row r="54718" spans="7:7" ht="10.5" customHeight="1" x14ac:dyDescent="0.2">
      <c r="G54718" s="889"/>
    </row>
    <row r="54719" spans="7:7" ht="10.5" customHeight="1" x14ac:dyDescent="0.2">
      <c r="G54719" s="889"/>
    </row>
    <row r="54720" spans="7:7" ht="10.5" customHeight="1" x14ac:dyDescent="0.2">
      <c r="G54720" s="889"/>
    </row>
    <row r="54721" spans="7:7" ht="10.5" customHeight="1" x14ac:dyDescent="0.2">
      <c r="G54721" s="889"/>
    </row>
    <row r="54722" spans="7:7" ht="10.5" customHeight="1" x14ac:dyDescent="0.2">
      <c r="G54722" s="889"/>
    </row>
    <row r="54723" spans="7:7" ht="10.5" customHeight="1" x14ac:dyDescent="0.2">
      <c r="G54723" s="889"/>
    </row>
    <row r="54724" spans="7:7" ht="10.5" customHeight="1" x14ac:dyDescent="0.2">
      <c r="G54724" s="889"/>
    </row>
    <row r="54725" spans="7:7" ht="10.5" customHeight="1" x14ac:dyDescent="0.2">
      <c r="G54725" s="889"/>
    </row>
    <row r="54726" spans="7:7" ht="10.5" customHeight="1" x14ac:dyDescent="0.2">
      <c r="G54726" s="889"/>
    </row>
    <row r="54727" spans="7:7" ht="10.5" customHeight="1" x14ac:dyDescent="0.2">
      <c r="G54727" s="889"/>
    </row>
    <row r="54728" spans="7:7" ht="10.5" customHeight="1" x14ac:dyDescent="0.2">
      <c r="G54728" s="889"/>
    </row>
    <row r="54729" spans="7:7" ht="10.5" customHeight="1" x14ac:dyDescent="0.2">
      <c r="G54729" s="889"/>
    </row>
    <row r="54730" spans="7:7" ht="10.5" customHeight="1" x14ac:dyDescent="0.2">
      <c r="G54730" s="889"/>
    </row>
    <row r="54731" spans="7:7" ht="10.5" customHeight="1" x14ac:dyDescent="0.2">
      <c r="G54731" s="889"/>
    </row>
    <row r="54732" spans="7:7" ht="10.5" customHeight="1" x14ac:dyDescent="0.2">
      <c r="G54732" s="889"/>
    </row>
    <row r="54733" spans="7:7" ht="10.5" customHeight="1" x14ac:dyDescent="0.2">
      <c r="G54733" s="889"/>
    </row>
    <row r="54734" spans="7:7" ht="10.5" customHeight="1" x14ac:dyDescent="0.2">
      <c r="G54734" s="889"/>
    </row>
    <row r="54735" spans="7:7" ht="10.5" customHeight="1" x14ac:dyDescent="0.2">
      <c r="G54735" s="889"/>
    </row>
    <row r="54736" spans="7:7" ht="10.5" customHeight="1" x14ac:dyDescent="0.2">
      <c r="G54736" s="889"/>
    </row>
    <row r="54737" spans="7:7" ht="10.5" customHeight="1" x14ac:dyDescent="0.2">
      <c r="G54737" s="889"/>
    </row>
    <row r="54738" spans="7:7" ht="10.5" customHeight="1" x14ac:dyDescent="0.2">
      <c r="G54738" s="889"/>
    </row>
    <row r="54739" spans="7:7" ht="10.5" customHeight="1" x14ac:dyDescent="0.2">
      <c r="G54739" s="889"/>
    </row>
    <row r="54740" spans="7:7" ht="10.5" customHeight="1" x14ac:dyDescent="0.2">
      <c r="G54740" s="889"/>
    </row>
    <row r="54741" spans="7:7" ht="10.5" customHeight="1" x14ac:dyDescent="0.2">
      <c r="G54741" s="889"/>
    </row>
    <row r="54742" spans="7:7" ht="10.5" customHeight="1" x14ac:dyDescent="0.2">
      <c r="G54742" s="889"/>
    </row>
    <row r="54743" spans="7:7" ht="10.5" customHeight="1" x14ac:dyDescent="0.2">
      <c r="G54743" s="889"/>
    </row>
    <row r="54744" spans="7:7" ht="10.5" customHeight="1" x14ac:dyDescent="0.2">
      <c r="G54744" s="889"/>
    </row>
    <row r="54745" spans="7:7" ht="10.5" customHeight="1" x14ac:dyDescent="0.2">
      <c r="G54745" s="889"/>
    </row>
    <row r="54746" spans="7:7" ht="10.5" customHeight="1" x14ac:dyDescent="0.2">
      <c r="G54746" s="889"/>
    </row>
    <row r="54747" spans="7:7" ht="10.5" customHeight="1" x14ac:dyDescent="0.2">
      <c r="G54747" s="889"/>
    </row>
    <row r="54748" spans="7:7" ht="10.5" customHeight="1" x14ac:dyDescent="0.2">
      <c r="G54748" s="889"/>
    </row>
    <row r="54749" spans="7:7" ht="10.5" customHeight="1" x14ac:dyDescent="0.2">
      <c r="G54749" s="889"/>
    </row>
    <row r="54750" spans="7:7" ht="10.5" customHeight="1" x14ac:dyDescent="0.2">
      <c r="G54750" s="889"/>
    </row>
    <row r="54751" spans="7:7" ht="10.5" customHeight="1" x14ac:dyDescent="0.2">
      <c r="G54751" s="889"/>
    </row>
    <row r="54752" spans="7:7" ht="10.5" customHeight="1" x14ac:dyDescent="0.2">
      <c r="G54752" s="889"/>
    </row>
    <row r="54753" spans="7:7" ht="10.5" customHeight="1" x14ac:dyDescent="0.2">
      <c r="G54753" s="889"/>
    </row>
    <row r="54754" spans="7:7" ht="10.5" customHeight="1" x14ac:dyDescent="0.2">
      <c r="G54754" s="889"/>
    </row>
    <row r="54755" spans="7:7" ht="10.5" customHeight="1" x14ac:dyDescent="0.2">
      <c r="G54755" s="889"/>
    </row>
    <row r="54756" spans="7:7" ht="10.5" customHeight="1" x14ac:dyDescent="0.2">
      <c r="G54756" s="889"/>
    </row>
    <row r="54757" spans="7:7" ht="10.5" customHeight="1" x14ac:dyDescent="0.2">
      <c r="G54757" s="889"/>
    </row>
    <row r="54758" spans="7:7" ht="10.5" customHeight="1" x14ac:dyDescent="0.2">
      <c r="G54758" s="889"/>
    </row>
    <row r="54759" spans="7:7" ht="10.5" customHeight="1" x14ac:dyDescent="0.2">
      <c r="G54759" s="889"/>
    </row>
    <row r="54760" spans="7:7" ht="10.5" customHeight="1" x14ac:dyDescent="0.2">
      <c r="G54760" s="889"/>
    </row>
    <row r="54761" spans="7:7" ht="10.5" customHeight="1" x14ac:dyDescent="0.2">
      <c r="G54761" s="889"/>
    </row>
    <row r="54762" spans="7:7" ht="10.5" customHeight="1" x14ac:dyDescent="0.2">
      <c r="G54762" s="889"/>
    </row>
    <row r="54763" spans="7:7" ht="10.5" customHeight="1" x14ac:dyDescent="0.2">
      <c r="G54763" s="889"/>
    </row>
    <row r="54764" spans="7:7" ht="10.5" customHeight="1" x14ac:dyDescent="0.2">
      <c r="G54764" s="889"/>
    </row>
    <row r="54765" spans="7:7" ht="10.5" customHeight="1" x14ac:dyDescent="0.2">
      <c r="G54765" s="889"/>
    </row>
    <row r="54766" spans="7:7" ht="10.5" customHeight="1" x14ac:dyDescent="0.2">
      <c r="G54766" s="889"/>
    </row>
    <row r="54767" spans="7:7" ht="10.5" customHeight="1" x14ac:dyDescent="0.2">
      <c r="G54767" s="889"/>
    </row>
    <row r="54768" spans="7:7" ht="10.5" customHeight="1" x14ac:dyDescent="0.2">
      <c r="G54768" s="889"/>
    </row>
    <row r="54769" spans="7:7" ht="10.5" customHeight="1" x14ac:dyDescent="0.2">
      <c r="G54769" s="889"/>
    </row>
    <row r="54770" spans="7:7" ht="10.5" customHeight="1" x14ac:dyDescent="0.2">
      <c r="G54770" s="889"/>
    </row>
    <row r="54771" spans="7:7" ht="10.5" customHeight="1" x14ac:dyDescent="0.2">
      <c r="G54771" s="889"/>
    </row>
    <row r="54772" spans="7:7" ht="10.5" customHeight="1" x14ac:dyDescent="0.2">
      <c r="G54772" s="889"/>
    </row>
    <row r="54773" spans="7:7" ht="10.5" customHeight="1" x14ac:dyDescent="0.2">
      <c r="G54773" s="889"/>
    </row>
    <row r="54774" spans="7:7" ht="10.5" customHeight="1" x14ac:dyDescent="0.2">
      <c r="G54774" s="889"/>
    </row>
    <row r="54775" spans="7:7" ht="10.5" customHeight="1" x14ac:dyDescent="0.2">
      <c r="G54775" s="889"/>
    </row>
    <row r="54776" spans="7:7" ht="10.5" customHeight="1" x14ac:dyDescent="0.2">
      <c r="G54776" s="889"/>
    </row>
    <row r="54777" spans="7:7" ht="10.5" customHeight="1" x14ac:dyDescent="0.2">
      <c r="G54777" s="889"/>
    </row>
    <row r="54778" spans="7:7" ht="10.5" customHeight="1" x14ac:dyDescent="0.2">
      <c r="G54778" s="889"/>
    </row>
    <row r="54779" spans="7:7" ht="10.5" customHeight="1" x14ac:dyDescent="0.2">
      <c r="G54779" s="889"/>
    </row>
    <row r="54780" spans="7:7" ht="10.5" customHeight="1" x14ac:dyDescent="0.2">
      <c r="G54780" s="889"/>
    </row>
    <row r="54781" spans="7:7" ht="10.5" customHeight="1" x14ac:dyDescent="0.2">
      <c r="G54781" s="889"/>
    </row>
    <row r="54782" spans="7:7" ht="10.5" customHeight="1" x14ac:dyDescent="0.2">
      <c r="G54782" s="889"/>
    </row>
    <row r="54783" spans="7:7" ht="10.5" customHeight="1" x14ac:dyDescent="0.2">
      <c r="G54783" s="889"/>
    </row>
    <row r="54784" spans="7:7" ht="10.5" customHeight="1" x14ac:dyDescent="0.2">
      <c r="G54784" s="889"/>
    </row>
    <row r="54785" spans="7:7" ht="10.5" customHeight="1" x14ac:dyDescent="0.2">
      <c r="G54785" s="889"/>
    </row>
    <row r="54786" spans="7:7" ht="10.5" customHeight="1" x14ac:dyDescent="0.2">
      <c r="G54786" s="889"/>
    </row>
    <row r="54787" spans="7:7" ht="10.5" customHeight="1" x14ac:dyDescent="0.2">
      <c r="G54787" s="889"/>
    </row>
    <row r="54788" spans="7:7" ht="10.5" customHeight="1" x14ac:dyDescent="0.2">
      <c r="G54788" s="889"/>
    </row>
    <row r="54789" spans="7:7" ht="10.5" customHeight="1" x14ac:dyDescent="0.2">
      <c r="G54789" s="889"/>
    </row>
    <row r="54790" spans="7:7" ht="10.5" customHeight="1" x14ac:dyDescent="0.2">
      <c r="G54790" s="889"/>
    </row>
    <row r="54791" spans="7:7" ht="10.5" customHeight="1" x14ac:dyDescent="0.2">
      <c r="G54791" s="889"/>
    </row>
    <row r="54792" spans="7:7" ht="10.5" customHeight="1" x14ac:dyDescent="0.2">
      <c r="G54792" s="889"/>
    </row>
    <row r="54793" spans="7:7" ht="10.5" customHeight="1" x14ac:dyDescent="0.2">
      <c r="G54793" s="889"/>
    </row>
    <row r="54794" spans="7:7" ht="10.5" customHeight="1" x14ac:dyDescent="0.2">
      <c r="G54794" s="889"/>
    </row>
    <row r="54795" spans="7:7" ht="10.5" customHeight="1" x14ac:dyDescent="0.2">
      <c r="G54795" s="889"/>
    </row>
    <row r="54796" spans="7:7" ht="10.5" customHeight="1" x14ac:dyDescent="0.2">
      <c r="G54796" s="889"/>
    </row>
    <row r="54797" spans="7:7" ht="10.5" customHeight="1" x14ac:dyDescent="0.2">
      <c r="G54797" s="889"/>
    </row>
    <row r="54798" spans="7:7" ht="10.5" customHeight="1" x14ac:dyDescent="0.2">
      <c r="G54798" s="889"/>
    </row>
    <row r="54799" spans="7:7" ht="10.5" customHeight="1" x14ac:dyDescent="0.2">
      <c r="G54799" s="889"/>
    </row>
    <row r="54800" spans="7:7" ht="10.5" customHeight="1" x14ac:dyDescent="0.2">
      <c r="G54800" s="889"/>
    </row>
    <row r="54801" spans="7:7" ht="10.5" customHeight="1" x14ac:dyDescent="0.2">
      <c r="G54801" s="889"/>
    </row>
    <row r="54802" spans="7:7" ht="10.5" customHeight="1" x14ac:dyDescent="0.2">
      <c r="G54802" s="889"/>
    </row>
    <row r="54803" spans="7:7" ht="10.5" customHeight="1" x14ac:dyDescent="0.2">
      <c r="G54803" s="889"/>
    </row>
    <row r="54804" spans="7:7" ht="10.5" customHeight="1" x14ac:dyDescent="0.2">
      <c r="G54804" s="889"/>
    </row>
    <row r="54805" spans="7:7" ht="10.5" customHeight="1" x14ac:dyDescent="0.2">
      <c r="G54805" s="889"/>
    </row>
    <row r="54806" spans="7:7" ht="10.5" customHeight="1" x14ac:dyDescent="0.2">
      <c r="G54806" s="889"/>
    </row>
    <row r="54807" spans="7:7" ht="10.5" customHeight="1" x14ac:dyDescent="0.2">
      <c r="G54807" s="889"/>
    </row>
    <row r="54808" spans="7:7" ht="10.5" customHeight="1" x14ac:dyDescent="0.2">
      <c r="G54808" s="889"/>
    </row>
    <row r="54809" spans="7:7" ht="10.5" customHeight="1" x14ac:dyDescent="0.2">
      <c r="G54809" s="889"/>
    </row>
    <row r="54810" spans="7:7" ht="10.5" customHeight="1" x14ac:dyDescent="0.2">
      <c r="G54810" s="889"/>
    </row>
    <row r="54811" spans="7:7" ht="10.5" customHeight="1" x14ac:dyDescent="0.2">
      <c r="G54811" s="889"/>
    </row>
    <row r="54812" spans="7:7" ht="10.5" customHeight="1" x14ac:dyDescent="0.2">
      <c r="G54812" s="889"/>
    </row>
    <row r="54813" spans="7:7" ht="10.5" customHeight="1" x14ac:dyDescent="0.2">
      <c r="G54813" s="889"/>
    </row>
    <row r="54814" spans="7:7" ht="10.5" customHeight="1" x14ac:dyDescent="0.2">
      <c r="G54814" s="889"/>
    </row>
    <row r="54815" spans="7:7" ht="10.5" customHeight="1" x14ac:dyDescent="0.2">
      <c r="G54815" s="889"/>
    </row>
    <row r="54816" spans="7:7" ht="10.5" customHeight="1" x14ac:dyDescent="0.2">
      <c r="G54816" s="889"/>
    </row>
    <row r="54817" spans="7:7" ht="10.5" customHeight="1" x14ac:dyDescent="0.2">
      <c r="G54817" s="889"/>
    </row>
    <row r="54818" spans="7:7" ht="10.5" customHeight="1" x14ac:dyDescent="0.2">
      <c r="G54818" s="889"/>
    </row>
    <row r="54819" spans="7:7" ht="10.5" customHeight="1" x14ac:dyDescent="0.2">
      <c r="G54819" s="889"/>
    </row>
    <row r="54820" spans="7:7" ht="10.5" customHeight="1" x14ac:dyDescent="0.2">
      <c r="G54820" s="889"/>
    </row>
    <row r="54821" spans="7:7" ht="10.5" customHeight="1" x14ac:dyDescent="0.2">
      <c r="G54821" s="889"/>
    </row>
    <row r="54822" spans="7:7" ht="10.5" customHeight="1" x14ac:dyDescent="0.2">
      <c r="G54822" s="889"/>
    </row>
    <row r="54823" spans="7:7" ht="10.5" customHeight="1" x14ac:dyDescent="0.2">
      <c r="G54823" s="889"/>
    </row>
    <row r="54824" spans="7:7" ht="10.5" customHeight="1" x14ac:dyDescent="0.2">
      <c r="G54824" s="889"/>
    </row>
    <row r="54825" spans="7:7" ht="10.5" customHeight="1" x14ac:dyDescent="0.2">
      <c r="G54825" s="889"/>
    </row>
    <row r="54826" spans="7:7" ht="10.5" customHeight="1" x14ac:dyDescent="0.2">
      <c r="G54826" s="889"/>
    </row>
    <row r="54827" spans="7:7" ht="10.5" customHeight="1" x14ac:dyDescent="0.2">
      <c r="G54827" s="889"/>
    </row>
    <row r="54828" spans="7:7" ht="10.5" customHeight="1" x14ac:dyDescent="0.2">
      <c r="G54828" s="889"/>
    </row>
    <row r="54829" spans="7:7" ht="10.5" customHeight="1" x14ac:dyDescent="0.2">
      <c r="G54829" s="889"/>
    </row>
    <row r="54830" spans="7:7" ht="10.5" customHeight="1" x14ac:dyDescent="0.2">
      <c r="G54830" s="889"/>
    </row>
    <row r="54831" spans="7:7" ht="10.5" customHeight="1" x14ac:dyDescent="0.2">
      <c r="G54831" s="889"/>
    </row>
    <row r="54832" spans="7:7" ht="10.5" customHeight="1" x14ac:dyDescent="0.2">
      <c r="G54832" s="889"/>
    </row>
    <row r="54833" spans="7:7" ht="10.5" customHeight="1" x14ac:dyDescent="0.2">
      <c r="G54833" s="889"/>
    </row>
    <row r="54834" spans="7:7" ht="10.5" customHeight="1" x14ac:dyDescent="0.2">
      <c r="G54834" s="889"/>
    </row>
    <row r="54835" spans="7:7" ht="10.5" customHeight="1" x14ac:dyDescent="0.2">
      <c r="G54835" s="889"/>
    </row>
    <row r="54836" spans="7:7" ht="10.5" customHeight="1" x14ac:dyDescent="0.2">
      <c r="G54836" s="889"/>
    </row>
    <row r="54837" spans="7:7" ht="10.5" customHeight="1" x14ac:dyDescent="0.2">
      <c r="G54837" s="889"/>
    </row>
    <row r="54838" spans="7:7" ht="10.5" customHeight="1" x14ac:dyDescent="0.2">
      <c r="G54838" s="889"/>
    </row>
    <row r="54839" spans="7:7" ht="10.5" customHeight="1" x14ac:dyDescent="0.2">
      <c r="G54839" s="889"/>
    </row>
    <row r="54840" spans="7:7" ht="10.5" customHeight="1" x14ac:dyDescent="0.2">
      <c r="G54840" s="889"/>
    </row>
    <row r="54841" spans="7:7" ht="10.5" customHeight="1" x14ac:dyDescent="0.2">
      <c r="G54841" s="889"/>
    </row>
    <row r="54842" spans="7:7" ht="10.5" customHeight="1" x14ac:dyDescent="0.2">
      <c r="G54842" s="889"/>
    </row>
    <row r="54843" spans="7:7" ht="10.5" customHeight="1" x14ac:dyDescent="0.2">
      <c r="G54843" s="889"/>
    </row>
    <row r="54844" spans="7:7" ht="10.5" customHeight="1" x14ac:dyDescent="0.2">
      <c r="G54844" s="889"/>
    </row>
    <row r="54845" spans="7:7" ht="10.5" customHeight="1" x14ac:dyDescent="0.2">
      <c r="G54845" s="889"/>
    </row>
    <row r="54846" spans="7:7" ht="10.5" customHeight="1" x14ac:dyDescent="0.2">
      <c r="G54846" s="889"/>
    </row>
    <row r="54847" spans="7:7" ht="10.5" customHeight="1" x14ac:dyDescent="0.2">
      <c r="G54847" s="889"/>
    </row>
    <row r="54848" spans="7:7" ht="10.5" customHeight="1" x14ac:dyDescent="0.2">
      <c r="G54848" s="889"/>
    </row>
    <row r="54849" spans="7:7" ht="10.5" customHeight="1" x14ac:dyDescent="0.2">
      <c r="G54849" s="889"/>
    </row>
    <row r="54850" spans="7:7" ht="10.5" customHeight="1" x14ac:dyDescent="0.2">
      <c r="G54850" s="889"/>
    </row>
    <row r="54851" spans="7:7" ht="10.5" customHeight="1" x14ac:dyDescent="0.2">
      <c r="G54851" s="889"/>
    </row>
    <row r="54852" spans="7:7" ht="10.5" customHeight="1" x14ac:dyDescent="0.2">
      <c r="G54852" s="889"/>
    </row>
    <row r="54853" spans="7:7" ht="10.5" customHeight="1" x14ac:dyDescent="0.2">
      <c r="G54853" s="889"/>
    </row>
    <row r="54854" spans="7:7" ht="10.5" customHeight="1" x14ac:dyDescent="0.2">
      <c r="G54854" s="889"/>
    </row>
    <row r="54855" spans="7:7" ht="10.5" customHeight="1" x14ac:dyDescent="0.2">
      <c r="G54855" s="889"/>
    </row>
    <row r="54856" spans="7:7" ht="10.5" customHeight="1" x14ac:dyDescent="0.2">
      <c r="G54856" s="889"/>
    </row>
    <row r="54857" spans="7:7" ht="10.5" customHeight="1" x14ac:dyDescent="0.2">
      <c r="G54857" s="889"/>
    </row>
    <row r="54858" spans="7:7" ht="10.5" customHeight="1" x14ac:dyDescent="0.2">
      <c r="G54858" s="889"/>
    </row>
    <row r="54859" spans="7:7" ht="10.5" customHeight="1" x14ac:dyDescent="0.2">
      <c r="G54859" s="889"/>
    </row>
    <row r="54860" spans="7:7" ht="10.5" customHeight="1" x14ac:dyDescent="0.2">
      <c r="G54860" s="889"/>
    </row>
    <row r="54861" spans="7:7" ht="10.5" customHeight="1" x14ac:dyDescent="0.2">
      <c r="G54861" s="889"/>
    </row>
    <row r="54862" spans="7:7" ht="10.5" customHeight="1" x14ac:dyDescent="0.2">
      <c r="G54862" s="889"/>
    </row>
    <row r="54863" spans="7:7" ht="10.5" customHeight="1" x14ac:dyDescent="0.2">
      <c r="G54863" s="889"/>
    </row>
    <row r="54864" spans="7:7" ht="10.5" customHeight="1" x14ac:dyDescent="0.2">
      <c r="G54864" s="889"/>
    </row>
    <row r="54865" spans="7:7" ht="10.5" customHeight="1" x14ac:dyDescent="0.2">
      <c r="G54865" s="889"/>
    </row>
    <row r="54866" spans="7:7" ht="10.5" customHeight="1" x14ac:dyDescent="0.2">
      <c r="G54866" s="889"/>
    </row>
    <row r="54867" spans="7:7" ht="10.5" customHeight="1" x14ac:dyDescent="0.2">
      <c r="G54867" s="889"/>
    </row>
    <row r="54868" spans="7:7" ht="10.5" customHeight="1" x14ac:dyDescent="0.2">
      <c r="G54868" s="889"/>
    </row>
    <row r="54869" spans="7:7" ht="10.5" customHeight="1" x14ac:dyDescent="0.2">
      <c r="G54869" s="889"/>
    </row>
    <row r="54870" spans="7:7" ht="10.5" customHeight="1" x14ac:dyDescent="0.2">
      <c r="G54870" s="889"/>
    </row>
    <row r="54871" spans="7:7" ht="10.5" customHeight="1" x14ac:dyDescent="0.2">
      <c r="G54871" s="889"/>
    </row>
    <row r="54872" spans="7:7" ht="10.5" customHeight="1" x14ac:dyDescent="0.2">
      <c r="G54872" s="889"/>
    </row>
    <row r="54873" spans="7:7" ht="10.5" customHeight="1" x14ac:dyDescent="0.2">
      <c r="G54873" s="889"/>
    </row>
    <row r="54874" spans="7:7" ht="10.5" customHeight="1" x14ac:dyDescent="0.2">
      <c r="G54874" s="889"/>
    </row>
    <row r="54875" spans="7:7" ht="10.5" customHeight="1" x14ac:dyDescent="0.2">
      <c r="G54875" s="889"/>
    </row>
    <row r="54876" spans="7:7" ht="10.5" customHeight="1" x14ac:dyDescent="0.2">
      <c r="G54876" s="889"/>
    </row>
    <row r="54877" spans="7:7" ht="10.5" customHeight="1" x14ac:dyDescent="0.2">
      <c r="G54877" s="889"/>
    </row>
    <row r="54878" spans="7:7" ht="10.5" customHeight="1" x14ac:dyDescent="0.2">
      <c r="G54878" s="889"/>
    </row>
    <row r="54879" spans="7:7" ht="10.5" customHeight="1" x14ac:dyDescent="0.2">
      <c r="G54879" s="889"/>
    </row>
    <row r="54880" spans="7:7" ht="10.5" customHeight="1" x14ac:dyDescent="0.2">
      <c r="G54880" s="889"/>
    </row>
    <row r="54881" spans="7:7" ht="10.5" customHeight="1" x14ac:dyDescent="0.2">
      <c r="G54881" s="889"/>
    </row>
    <row r="54882" spans="7:7" ht="10.5" customHeight="1" x14ac:dyDescent="0.2">
      <c r="G54882" s="889"/>
    </row>
    <row r="54883" spans="7:7" ht="10.5" customHeight="1" x14ac:dyDescent="0.2">
      <c r="G54883" s="889"/>
    </row>
    <row r="54884" spans="7:7" ht="10.5" customHeight="1" x14ac:dyDescent="0.2">
      <c r="G54884" s="889"/>
    </row>
    <row r="54885" spans="7:7" ht="10.5" customHeight="1" x14ac:dyDescent="0.2">
      <c r="G54885" s="889"/>
    </row>
    <row r="54886" spans="7:7" ht="10.5" customHeight="1" x14ac:dyDescent="0.2">
      <c r="G54886" s="889"/>
    </row>
    <row r="54887" spans="7:7" ht="10.5" customHeight="1" x14ac:dyDescent="0.2">
      <c r="G54887" s="889"/>
    </row>
    <row r="54888" spans="7:7" ht="10.5" customHeight="1" x14ac:dyDescent="0.2">
      <c r="G54888" s="889"/>
    </row>
    <row r="54889" spans="7:7" ht="10.5" customHeight="1" x14ac:dyDescent="0.2">
      <c r="G54889" s="889"/>
    </row>
    <row r="54890" spans="7:7" ht="10.5" customHeight="1" x14ac:dyDescent="0.2">
      <c r="G54890" s="889"/>
    </row>
    <row r="54891" spans="7:7" ht="10.5" customHeight="1" x14ac:dyDescent="0.2">
      <c r="G54891" s="889"/>
    </row>
    <row r="54892" spans="7:7" ht="10.5" customHeight="1" x14ac:dyDescent="0.2">
      <c r="G54892" s="889"/>
    </row>
    <row r="54893" spans="7:7" ht="10.5" customHeight="1" x14ac:dyDescent="0.2">
      <c r="G54893" s="889"/>
    </row>
    <row r="54894" spans="7:7" ht="10.5" customHeight="1" x14ac:dyDescent="0.2">
      <c r="G54894" s="889"/>
    </row>
    <row r="54895" spans="7:7" ht="10.5" customHeight="1" x14ac:dyDescent="0.2">
      <c r="G54895" s="889"/>
    </row>
    <row r="54896" spans="7:7" ht="10.5" customHeight="1" x14ac:dyDescent="0.2">
      <c r="G54896" s="889"/>
    </row>
    <row r="54897" spans="7:7" ht="10.5" customHeight="1" x14ac:dyDescent="0.2">
      <c r="G54897" s="889"/>
    </row>
    <row r="54898" spans="7:7" ht="10.5" customHeight="1" x14ac:dyDescent="0.2">
      <c r="G54898" s="889"/>
    </row>
    <row r="54899" spans="7:7" ht="10.5" customHeight="1" x14ac:dyDescent="0.2">
      <c r="G54899" s="889"/>
    </row>
    <row r="54900" spans="7:7" ht="10.5" customHeight="1" x14ac:dyDescent="0.2">
      <c r="G54900" s="889"/>
    </row>
    <row r="54901" spans="7:7" ht="10.5" customHeight="1" x14ac:dyDescent="0.2">
      <c r="G54901" s="889"/>
    </row>
    <row r="54902" spans="7:7" ht="10.5" customHeight="1" x14ac:dyDescent="0.2">
      <c r="G54902" s="889"/>
    </row>
    <row r="54903" spans="7:7" ht="10.5" customHeight="1" x14ac:dyDescent="0.2">
      <c r="G54903" s="889"/>
    </row>
    <row r="54904" spans="7:7" ht="10.5" customHeight="1" x14ac:dyDescent="0.2">
      <c r="G54904" s="889"/>
    </row>
    <row r="54905" spans="7:7" ht="10.5" customHeight="1" x14ac:dyDescent="0.2">
      <c r="G54905" s="889"/>
    </row>
    <row r="54906" spans="7:7" ht="10.5" customHeight="1" x14ac:dyDescent="0.2">
      <c r="G54906" s="889"/>
    </row>
    <row r="54907" spans="7:7" ht="10.5" customHeight="1" x14ac:dyDescent="0.2">
      <c r="G54907" s="889"/>
    </row>
    <row r="54908" spans="7:7" ht="10.5" customHeight="1" x14ac:dyDescent="0.2">
      <c r="G54908" s="889"/>
    </row>
    <row r="54909" spans="7:7" ht="10.5" customHeight="1" x14ac:dyDescent="0.2">
      <c r="G54909" s="889"/>
    </row>
    <row r="54910" spans="7:7" ht="10.5" customHeight="1" x14ac:dyDescent="0.2">
      <c r="G54910" s="889"/>
    </row>
    <row r="54911" spans="7:7" ht="10.5" customHeight="1" x14ac:dyDescent="0.2">
      <c r="G54911" s="889"/>
    </row>
    <row r="54912" spans="7:7" ht="10.5" customHeight="1" x14ac:dyDescent="0.2">
      <c r="G54912" s="889"/>
    </row>
    <row r="54913" spans="7:7" ht="10.5" customHeight="1" x14ac:dyDescent="0.2">
      <c r="G54913" s="889"/>
    </row>
    <row r="54914" spans="7:7" ht="10.5" customHeight="1" x14ac:dyDescent="0.2">
      <c r="G54914" s="889"/>
    </row>
    <row r="54915" spans="7:7" ht="10.5" customHeight="1" x14ac:dyDescent="0.2">
      <c r="G54915" s="889"/>
    </row>
    <row r="54916" spans="7:7" ht="10.5" customHeight="1" x14ac:dyDescent="0.2">
      <c r="G54916" s="889"/>
    </row>
    <row r="54917" spans="7:7" ht="10.5" customHeight="1" x14ac:dyDescent="0.2">
      <c r="G54917" s="889"/>
    </row>
    <row r="54918" spans="7:7" ht="10.5" customHeight="1" x14ac:dyDescent="0.2">
      <c r="G54918" s="889"/>
    </row>
    <row r="54919" spans="7:7" ht="10.5" customHeight="1" x14ac:dyDescent="0.2">
      <c r="G54919" s="889"/>
    </row>
    <row r="54920" spans="7:7" ht="10.5" customHeight="1" x14ac:dyDescent="0.2">
      <c r="G54920" s="889"/>
    </row>
    <row r="54921" spans="7:7" ht="10.5" customHeight="1" x14ac:dyDescent="0.2">
      <c r="G54921" s="889"/>
    </row>
    <row r="54922" spans="7:7" ht="10.5" customHeight="1" x14ac:dyDescent="0.2">
      <c r="G54922" s="889"/>
    </row>
    <row r="54923" spans="7:7" ht="10.5" customHeight="1" x14ac:dyDescent="0.2">
      <c r="G54923" s="889"/>
    </row>
    <row r="54924" spans="7:7" ht="10.5" customHeight="1" x14ac:dyDescent="0.2">
      <c r="G54924" s="889"/>
    </row>
    <row r="54925" spans="7:7" ht="10.5" customHeight="1" x14ac:dyDescent="0.2">
      <c r="G54925" s="889"/>
    </row>
    <row r="54926" spans="7:7" ht="10.5" customHeight="1" x14ac:dyDescent="0.2">
      <c r="G54926" s="889"/>
    </row>
    <row r="54927" spans="7:7" ht="10.5" customHeight="1" x14ac:dyDescent="0.2">
      <c r="G54927" s="889"/>
    </row>
    <row r="54928" spans="7:7" ht="10.5" customHeight="1" x14ac:dyDescent="0.2">
      <c r="G54928" s="889"/>
    </row>
    <row r="54929" spans="7:7" ht="10.5" customHeight="1" x14ac:dyDescent="0.2">
      <c r="G54929" s="889"/>
    </row>
    <row r="54930" spans="7:7" ht="10.5" customHeight="1" x14ac:dyDescent="0.2">
      <c r="G54930" s="889"/>
    </row>
    <row r="54931" spans="7:7" ht="10.5" customHeight="1" x14ac:dyDescent="0.2">
      <c r="G54931" s="889"/>
    </row>
    <row r="54932" spans="7:7" ht="10.5" customHeight="1" x14ac:dyDescent="0.2">
      <c r="G54932" s="889"/>
    </row>
    <row r="54933" spans="7:7" ht="10.5" customHeight="1" x14ac:dyDescent="0.2">
      <c r="G54933" s="889"/>
    </row>
    <row r="54934" spans="7:7" ht="10.5" customHeight="1" x14ac:dyDescent="0.2">
      <c r="G54934" s="889"/>
    </row>
    <row r="54935" spans="7:7" ht="10.5" customHeight="1" x14ac:dyDescent="0.2">
      <c r="G54935" s="889"/>
    </row>
    <row r="54936" spans="7:7" ht="10.5" customHeight="1" x14ac:dyDescent="0.2">
      <c r="G54936" s="889"/>
    </row>
    <row r="54937" spans="7:7" ht="10.5" customHeight="1" x14ac:dyDescent="0.2">
      <c r="G54937" s="889"/>
    </row>
    <row r="54938" spans="7:7" ht="10.5" customHeight="1" x14ac:dyDescent="0.2">
      <c r="G54938" s="889"/>
    </row>
    <row r="54939" spans="7:7" ht="10.5" customHeight="1" x14ac:dyDescent="0.2">
      <c r="G54939" s="889"/>
    </row>
    <row r="54940" spans="7:7" ht="10.5" customHeight="1" x14ac:dyDescent="0.2">
      <c r="G54940" s="889"/>
    </row>
    <row r="54941" spans="7:7" ht="10.5" customHeight="1" x14ac:dyDescent="0.2">
      <c r="G54941" s="889"/>
    </row>
    <row r="54942" spans="7:7" ht="10.5" customHeight="1" x14ac:dyDescent="0.2">
      <c r="G54942" s="889"/>
    </row>
    <row r="54943" spans="7:7" ht="10.5" customHeight="1" x14ac:dyDescent="0.2">
      <c r="G54943" s="889"/>
    </row>
    <row r="54944" spans="7:7" ht="10.5" customHeight="1" x14ac:dyDescent="0.2">
      <c r="G54944" s="889"/>
    </row>
    <row r="54945" spans="7:7" ht="10.5" customHeight="1" x14ac:dyDescent="0.2">
      <c r="G54945" s="889"/>
    </row>
    <row r="54946" spans="7:7" ht="10.5" customHeight="1" x14ac:dyDescent="0.2">
      <c r="G54946" s="889"/>
    </row>
    <row r="54947" spans="7:7" ht="10.5" customHeight="1" x14ac:dyDescent="0.2">
      <c r="G54947" s="889"/>
    </row>
    <row r="54948" spans="7:7" ht="10.5" customHeight="1" x14ac:dyDescent="0.2">
      <c r="G54948" s="889"/>
    </row>
    <row r="54949" spans="7:7" ht="10.5" customHeight="1" x14ac:dyDescent="0.2">
      <c r="G54949" s="889"/>
    </row>
    <row r="54950" spans="7:7" ht="10.5" customHeight="1" x14ac:dyDescent="0.2">
      <c r="G54950" s="889"/>
    </row>
    <row r="54951" spans="7:7" ht="10.5" customHeight="1" x14ac:dyDescent="0.2">
      <c r="G54951" s="889"/>
    </row>
    <row r="54952" spans="7:7" ht="10.5" customHeight="1" x14ac:dyDescent="0.2">
      <c r="G54952" s="889"/>
    </row>
    <row r="54953" spans="7:7" ht="10.5" customHeight="1" x14ac:dyDescent="0.2">
      <c r="G54953" s="889"/>
    </row>
    <row r="54954" spans="7:7" ht="10.5" customHeight="1" x14ac:dyDescent="0.2">
      <c r="G54954" s="889"/>
    </row>
    <row r="54955" spans="7:7" ht="10.5" customHeight="1" x14ac:dyDescent="0.2">
      <c r="G54955" s="889"/>
    </row>
    <row r="54956" spans="7:7" ht="10.5" customHeight="1" x14ac:dyDescent="0.2">
      <c r="G54956" s="889"/>
    </row>
    <row r="54957" spans="7:7" ht="10.5" customHeight="1" x14ac:dyDescent="0.2">
      <c r="G54957" s="889"/>
    </row>
    <row r="54958" spans="7:7" ht="10.5" customHeight="1" x14ac:dyDescent="0.2">
      <c r="G54958" s="889"/>
    </row>
    <row r="54959" spans="7:7" ht="10.5" customHeight="1" x14ac:dyDescent="0.2">
      <c r="G54959" s="889"/>
    </row>
    <row r="54960" spans="7:7" ht="10.5" customHeight="1" x14ac:dyDescent="0.2">
      <c r="G54960" s="889"/>
    </row>
    <row r="54961" spans="7:7" ht="10.5" customHeight="1" x14ac:dyDescent="0.2">
      <c r="G54961" s="889"/>
    </row>
    <row r="54962" spans="7:7" ht="10.5" customHeight="1" x14ac:dyDescent="0.2">
      <c r="G54962" s="889"/>
    </row>
    <row r="54963" spans="7:7" ht="10.5" customHeight="1" x14ac:dyDescent="0.2">
      <c r="G54963" s="889"/>
    </row>
    <row r="54964" spans="7:7" ht="10.5" customHeight="1" x14ac:dyDescent="0.2">
      <c r="G54964" s="889"/>
    </row>
    <row r="54965" spans="7:7" ht="10.5" customHeight="1" x14ac:dyDescent="0.2">
      <c r="G54965" s="889"/>
    </row>
    <row r="54966" spans="7:7" ht="10.5" customHeight="1" x14ac:dyDescent="0.2">
      <c r="G54966" s="889"/>
    </row>
    <row r="54967" spans="7:7" ht="10.5" customHeight="1" x14ac:dyDescent="0.2">
      <c r="G54967" s="889"/>
    </row>
    <row r="54968" spans="7:7" ht="10.5" customHeight="1" x14ac:dyDescent="0.2">
      <c r="G54968" s="889"/>
    </row>
    <row r="54969" spans="7:7" ht="10.5" customHeight="1" x14ac:dyDescent="0.2">
      <c r="G54969" s="889"/>
    </row>
    <row r="54970" spans="7:7" ht="10.5" customHeight="1" x14ac:dyDescent="0.2">
      <c r="G54970" s="889"/>
    </row>
    <row r="54971" spans="7:7" ht="10.5" customHeight="1" x14ac:dyDescent="0.2">
      <c r="G54971" s="889"/>
    </row>
    <row r="54972" spans="7:7" ht="10.5" customHeight="1" x14ac:dyDescent="0.2">
      <c r="G54972" s="889"/>
    </row>
    <row r="54973" spans="7:7" ht="10.5" customHeight="1" x14ac:dyDescent="0.2">
      <c r="G54973" s="889"/>
    </row>
    <row r="54974" spans="7:7" ht="10.5" customHeight="1" x14ac:dyDescent="0.2">
      <c r="G54974" s="889"/>
    </row>
    <row r="54975" spans="7:7" ht="10.5" customHeight="1" x14ac:dyDescent="0.2">
      <c r="G54975" s="889"/>
    </row>
    <row r="54976" spans="7:7" ht="10.5" customHeight="1" x14ac:dyDescent="0.2">
      <c r="G54976" s="889"/>
    </row>
    <row r="54977" spans="7:7" ht="10.5" customHeight="1" x14ac:dyDescent="0.2">
      <c r="G54977" s="889"/>
    </row>
    <row r="54978" spans="7:7" ht="10.5" customHeight="1" x14ac:dyDescent="0.2">
      <c r="G54978" s="889"/>
    </row>
    <row r="54979" spans="7:7" ht="10.5" customHeight="1" x14ac:dyDescent="0.2">
      <c r="G54979" s="889"/>
    </row>
    <row r="54980" spans="7:7" ht="10.5" customHeight="1" x14ac:dyDescent="0.2">
      <c r="G54980" s="889"/>
    </row>
    <row r="54981" spans="7:7" ht="10.5" customHeight="1" x14ac:dyDescent="0.2">
      <c r="G54981" s="889"/>
    </row>
    <row r="54982" spans="7:7" ht="10.5" customHeight="1" x14ac:dyDescent="0.2">
      <c r="G54982" s="889"/>
    </row>
    <row r="54983" spans="7:7" ht="10.5" customHeight="1" x14ac:dyDescent="0.2">
      <c r="G54983" s="889"/>
    </row>
    <row r="54984" spans="7:7" ht="10.5" customHeight="1" x14ac:dyDescent="0.2">
      <c r="G54984" s="889"/>
    </row>
    <row r="54985" spans="7:7" ht="10.5" customHeight="1" x14ac:dyDescent="0.2">
      <c r="G54985" s="889"/>
    </row>
    <row r="54986" spans="7:7" ht="10.5" customHeight="1" x14ac:dyDescent="0.2">
      <c r="G54986" s="889"/>
    </row>
    <row r="54987" spans="7:7" ht="10.5" customHeight="1" x14ac:dyDescent="0.2">
      <c r="G54987" s="889"/>
    </row>
    <row r="54988" spans="7:7" ht="10.5" customHeight="1" x14ac:dyDescent="0.2">
      <c r="G54988" s="889"/>
    </row>
    <row r="54989" spans="7:7" ht="10.5" customHeight="1" x14ac:dyDescent="0.2">
      <c r="G54989" s="889"/>
    </row>
    <row r="54990" spans="7:7" ht="10.5" customHeight="1" x14ac:dyDescent="0.2">
      <c r="G54990" s="889"/>
    </row>
    <row r="54991" spans="7:7" ht="10.5" customHeight="1" x14ac:dyDescent="0.2">
      <c r="G54991" s="889"/>
    </row>
    <row r="54992" spans="7:7" ht="10.5" customHeight="1" x14ac:dyDescent="0.2">
      <c r="G54992" s="889"/>
    </row>
    <row r="54993" spans="7:7" ht="10.5" customHeight="1" x14ac:dyDescent="0.2">
      <c r="G54993" s="889"/>
    </row>
    <row r="54994" spans="7:7" ht="10.5" customHeight="1" x14ac:dyDescent="0.2">
      <c r="G54994" s="889"/>
    </row>
    <row r="54995" spans="7:7" ht="10.5" customHeight="1" x14ac:dyDescent="0.2">
      <c r="G54995" s="889"/>
    </row>
    <row r="54996" spans="7:7" ht="10.5" customHeight="1" x14ac:dyDescent="0.2">
      <c r="G54996" s="889"/>
    </row>
    <row r="54997" spans="7:7" ht="10.5" customHeight="1" x14ac:dyDescent="0.2">
      <c r="G54997" s="889"/>
    </row>
    <row r="54998" spans="7:7" ht="10.5" customHeight="1" x14ac:dyDescent="0.2">
      <c r="G54998" s="889"/>
    </row>
    <row r="54999" spans="7:7" ht="10.5" customHeight="1" x14ac:dyDescent="0.2">
      <c r="G54999" s="889"/>
    </row>
    <row r="55000" spans="7:7" ht="10.5" customHeight="1" x14ac:dyDescent="0.2">
      <c r="G55000" s="889"/>
    </row>
    <row r="55001" spans="7:7" ht="10.5" customHeight="1" x14ac:dyDescent="0.2">
      <c r="G55001" s="889"/>
    </row>
    <row r="55002" spans="7:7" ht="10.5" customHeight="1" x14ac:dyDescent="0.2">
      <c r="G55002" s="889"/>
    </row>
    <row r="55003" spans="7:7" ht="10.5" customHeight="1" x14ac:dyDescent="0.2">
      <c r="G55003" s="889"/>
    </row>
    <row r="55004" spans="7:7" ht="10.5" customHeight="1" x14ac:dyDescent="0.2">
      <c r="G55004" s="889"/>
    </row>
    <row r="55005" spans="7:7" ht="10.5" customHeight="1" x14ac:dyDescent="0.2">
      <c r="G55005" s="889"/>
    </row>
    <row r="55006" spans="7:7" ht="10.5" customHeight="1" x14ac:dyDescent="0.2">
      <c r="G55006" s="889"/>
    </row>
    <row r="55007" spans="7:7" ht="10.5" customHeight="1" x14ac:dyDescent="0.2">
      <c r="G55007" s="889"/>
    </row>
    <row r="55008" spans="7:7" ht="10.5" customHeight="1" x14ac:dyDescent="0.2">
      <c r="G55008" s="889"/>
    </row>
    <row r="55009" spans="7:7" ht="10.5" customHeight="1" x14ac:dyDescent="0.2">
      <c r="G55009" s="889"/>
    </row>
    <row r="55010" spans="7:7" ht="10.5" customHeight="1" x14ac:dyDescent="0.2">
      <c r="G55010" s="889"/>
    </row>
    <row r="55011" spans="7:7" ht="10.5" customHeight="1" x14ac:dyDescent="0.2">
      <c r="G55011" s="889"/>
    </row>
    <row r="55012" spans="7:7" ht="10.5" customHeight="1" x14ac:dyDescent="0.2">
      <c r="G55012" s="889"/>
    </row>
    <row r="55013" spans="7:7" ht="10.5" customHeight="1" x14ac:dyDescent="0.2">
      <c r="G55013" s="889"/>
    </row>
    <row r="55014" spans="7:7" ht="10.5" customHeight="1" x14ac:dyDescent="0.2">
      <c r="G55014" s="889"/>
    </row>
    <row r="55015" spans="7:7" ht="10.5" customHeight="1" x14ac:dyDescent="0.2">
      <c r="G55015" s="889"/>
    </row>
    <row r="55016" spans="7:7" ht="10.5" customHeight="1" x14ac:dyDescent="0.2">
      <c r="G55016" s="889"/>
    </row>
    <row r="55017" spans="7:7" ht="10.5" customHeight="1" x14ac:dyDescent="0.2">
      <c r="G55017" s="889"/>
    </row>
    <row r="55018" spans="7:7" ht="10.5" customHeight="1" x14ac:dyDescent="0.2">
      <c r="G55018" s="889"/>
    </row>
    <row r="55019" spans="7:7" ht="10.5" customHeight="1" x14ac:dyDescent="0.2">
      <c r="G55019" s="889"/>
    </row>
    <row r="55020" spans="7:7" ht="10.5" customHeight="1" x14ac:dyDescent="0.2">
      <c r="G55020" s="889"/>
    </row>
    <row r="55021" spans="7:7" ht="10.5" customHeight="1" x14ac:dyDescent="0.2">
      <c r="G55021" s="889"/>
    </row>
    <row r="55022" spans="7:7" ht="10.5" customHeight="1" x14ac:dyDescent="0.2">
      <c r="G55022" s="889"/>
    </row>
    <row r="55023" spans="7:7" ht="10.5" customHeight="1" x14ac:dyDescent="0.2">
      <c r="G55023" s="889"/>
    </row>
    <row r="55024" spans="7:7" ht="10.5" customHeight="1" x14ac:dyDescent="0.2">
      <c r="G55024" s="889"/>
    </row>
    <row r="55025" spans="7:7" ht="10.5" customHeight="1" x14ac:dyDescent="0.2">
      <c r="G55025" s="889"/>
    </row>
    <row r="55026" spans="7:7" ht="10.5" customHeight="1" x14ac:dyDescent="0.2">
      <c r="G55026" s="889"/>
    </row>
    <row r="55027" spans="7:7" ht="10.5" customHeight="1" x14ac:dyDescent="0.2">
      <c r="G55027" s="889"/>
    </row>
    <row r="55028" spans="7:7" ht="10.5" customHeight="1" x14ac:dyDescent="0.2">
      <c r="G55028" s="889"/>
    </row>
    <row r="55029" spans="7:7" ht="10.5" customHeight="1" x14ac:dyDescent="0.2">
      <c r="G55029" s="889"/>
    </row>
    <row r="55030" spans="7:7" ht="10.5" customHeight="1" x14ac:dyDescent="0.2">
      <c r="G55030" s="889"/>
    </row>
    <row r="55031" spans="7:7" ht="10.5" customHeight="1" x14ac:dyDescent="0.2">
      <c r="G55031" s="889"/>
    </row>
    <row r="55032" spans="7:7" ht="10.5" customHeight="1" x14ac:dyDescent="0.2">
      <c r="G55032" s="889"/>
    </row>
    <row r="55033" spans="7:7" ht="10.5" customHeight="1" x14ac:dyDescent="0.2">
      <c r="G55033" s="889"/>
    </row>
    <row r="55034" spans="7:7" ht="10.5" customHeight="1" x14ac:dyDescent="0.2">
      <c r="G55034" s="889"/>
    </row>
    <row r="55035" spans="7:7" ht="10.5" customHeight="1" x14ac:dyDescent="0.2">
      <c r="G55035" s="889"/>
    </row>
    <row r="55036" spans="7:7" ht="10.5" customHeight="1" x14ac:dyDescent="0.2">
      <c r="G55036" s="889"/>
    </row>
    <row r="55037" spans="7:7" ht="10.5" customHeight="1" x14ac:dyDescent="0.2">
      <c r="G55037" s="889"/>
    </row>
    <row r="55038" spans="7:7" ht="10.5" customHeight="1" x14ac:dyDescent="0.2">
      <c r="G55038" s="889"/>
    </row>
    <row r="55039" spans="7:7" ht="10.5" customHeight="1" x14ac:dyDescent="0.2">
      <c r="G55039" s="889"/>
    </row>
    <row r="55040" spans="7:7" ht="10.5" customHeight="1" x14ac:dyDescent="0.2">
      <c r="G55040" s="889"/>
    </row>
    <row r="55041" spans="7:7" ht="10.5" customHeight="1" x14ac:dyDescent="0.2">
      <c r="G55041" s="889"/>
    </row>
    <row r="55042" spans="7:7" ht="10.5" customHeight="1" x14ac:dyDescent="0.2">
      <c r="G55042" s="889"/>
    </row>
    <row r="55043" spans="7:7" ht="10.5" customHeight="1" x14ac:dyDescent="0.2">
      <c r="G55043" s="889"/>
    </row>
    <row r="55044" spans="7:7" ht="10.5" customHeight="1" x14ac:dyDescent="0.2">
      <c r="G55044" s="889"/>
    </row>
    <row r="55045" spans="7:7" ht="10.5" customHeight="1" x14ac:dyDescent="0.2">
      <c r="G55045" s="889"/>
    </row>
    <row r="55046" spans="7:7" ht="10.5" customHeight="1" x14ac:dyDescent="0.2">
      <c r="G55046" s="889"/>
    </row>
    <row r="55047" spans="7:7" ht="10.5" customHeight="1" x14ac:dyDescent="0.2">
      <c r="G55047" s="889"/>
    </row>
    <row r="55048" spans="7:7" ht="10.5" customHeight="1" x14ac:dyDescent="0.2">
      <c r="G55048" s="889"/>
    </row>
    <row r="55049" spans="7:7" ht="10.5" customHeight="1" x14ac:dyDescent="0.2">
      <c r="G55049" s="889"/>
    </row>
    <row r="55050" spans="7:7" ht="10.5" customHeight="1" x14ac:dyDescent="0.2">
      <c r="G55050" s="889"/>
    </row>
    <row r="55051" spans="7:7" ht="10.5" customHeight="1" x14ac:dyDescent="0.2">
      <c r="G55051" s="889"/>
    </row>
    <row r="55052" spans="7:7" ht="10.5" customHeight="1" x14ac:dyDescent="0.2">
      <c r="G55052" s="889"/>
    </row>
    <row r="55053" spans="7:7" ht="10.5" customHeight="1" x14ac:dyDescent="0.2">
      <c r="G55053" s="889"/>
    </row>
    <row r="55054" spans="7:7" ht="10.5" customHeight="1" x14ac:dyDescent="0.2">
      <c r="G55054" s="889"/>
    </row>
    <row r="55055" spans="7:7" ht="10.5" customHeight="1" x14ac:dyDescent="0.2">
      <c r="G55055" s="889"/>
    </row>
    <row r="55056" spans="7:7" ht="10.5" customHeight="1" x14ac:dyDescent="0.2">
      <c r="G55056" s="889"/>
    </row>
    <row r="55057" spans="7:7" ht="10.5" customHeight="1" x14ac:dyDescent="0.2">
      <c r="G55057" s="889"/>
    </row>
    <row r="55058" spans="7:7" ht="10.5" customHeight="1" x14ac:dyDescent="0.2">
      <c r="G55058" s="889"/>
    </row>
    <row r="55059" spans="7:7" ht="10.5" customHeight="1" x14ac:dyDescent="0.2">
      <c r="G55059" s="889"/>
    </row>
    <row r="55060" spans="7:7" ht="10.5" customHeight="1" x14ac:dyDescent="0.2">
      <c r="G55060" s="889"/>
    </row>
    <row r="55061" spans="7:7" ht="10.5" customHeight="1" x14ac:dyDescent="0.2">
      <c r="G55061" s="889"/>
    </row>
    <row r="55062" spans="7:7" ht="10.5" customHeight="1" x14ac:dyDescent="0.2">
      <c r="G55062" s="889"/>
    </row>
    <row r="55063" spans="7:7" ht="10.5" customHeight="1" x14ac:dyDescent="0.2">
      <c r="G55063" s="889"/>
    </row>
    <row r="55064" spans="7:7" ht="10.5" customHeight="1" x14ac:dyDescent="0.2">
      <c r="G55064" s="889"/>
    </row>
    <row r="55065" spans="7:7" ht="10.5" customHeight="1" x14ac:dyDescent="0.2">
      <c r="G55065" s="889"/>
    </row>
    <row r="55066" spans="7:7" ht="10.5" customHeight="1" x14ac:dyDescent="0.2">
      <c r="G55066" s="889"/>
    </row>
    <row r="55067" spans="7:7" ht="10.5" customHeight="1" x14ac:dyDescent="0.2">
      <c r="G55067" s="889"/>
    </row>
    <row r="55068" spans="7:7" ht="10.5" customHeight="1" x14ac:dyDescent="0.2">
      <c r="G55068" s="889"/>
    </row>
    <row r="55069" spans="7:7" ht="10.5" customHeight="1" x14ac:dyDescent="0.2">
      <c r="G55069" s="889"/>
    </row>
    <row r="55070" spans="7:7" ht="10.5" customHeight="1" x14ac:dyDescent="0.2">
      <c r="G55070" s="889"/>
    </row>
    <row r="55071" spans="7:7" ht="10.5" customHeight="1" x14ac:dyDescent="0.2">
      <c r="G55071" s="889"/>
    </row>
    <row r="55072" spans="7:7" ht="10.5" customHeight="1" x14ac:dyDescent="0.2">
      <c r="G55072" s="889"/>
    </row>
    <row r="55073" spans="7:7" ht="10.5" customHeight="1" x14ac:dyDescent="0.2">
      <c r="G55073" s="889"/>
    </row>
    <row r="55074" spans="7:7" ht="10.5" customHeight="1" x14ac:dyDescent="0.2">
      <c r="G55074" s="889"/>
    </row>
    <row r="55075" spans="7:7" ht="10.5" customHeight="1" x14ac:dyDescent="0.2">
      <c r="G55075" s="889"/>
    </row>
    <row r="55076" spans="7:7" ht="10.5" customHeight="1" x14ac:dyDescent="0.2">
      <c r="G55076" s="889"/>
    </row>
    <row r="55077" spans="7:7" ht="10.5" customHeight="1" x14ac:dyDescent="0.2">
      <c r="G55077" s="889"/>
    </row>
    <row r="55078" spans="7:7" ht="10.5" customHeight="1" x14ac:dyDescent="0.2">
      <c r="G55078" s="889"/>
    </row>
    <row r="55079" spans="7:7" ht="10.5" customHeight="1" x14ac:dyDescent="0.2">
      <c r="G55079" s="889"/>
    </row>
    <row r="55080" spans="7:7" ht="10.5" customHeight="1" x14ac:dyDescent="0.2">
      <c r="G55080" s="889"/>
    </row>
    <row r="55081" spans="7:7" ht="10.5" customHeight="1" x14ac:dyDescent="0.2">
      <c r="G55081" s="889"/>
    </row>
    <row r="55082" spans="7:7" ht="10.5" customHeight="1" x14ac:dyDescent="0.2">
      <c r="G55082" s="889"/>
    </row>
    <row r="55083" spans="7:7" ht="10.5" customHeight="1" x14ac:dyDescent="0.2">
      <c r="G55083" s="889"/>
    </row>
    <row r="55084" spans="7:7" ht="10.5" customHeight="1" x14ac:dyDescent="0.2">
      <c r="G55084" s="889"/>
    </row>
    <row r="55085" spans="7:7" ht="10.5" customHeight="1" x14ac:dyDescent="0.2">
      <c r="G55085" s="889"/>
    </row>
    <row r="55086" spans="7:7" ht="10.5" customHeight="1" x14ac:dyDescent="0.2">
      <c r="G55086" s="889"/>
    </row>
    <row r="55087" spans="7:7" ht="10.5" customHeight="1" x14ac:dyDescent="0.2">
      <c r="G55087" s="889"/>
    </row>
    <row r="55088" spans="7:7" ht="10.5" customHeight="1" x14ac:dyDescent="0.2">
      <c r="G55088" s="889"/>
    </row>
    <row r="55089" spans="7:7" ht="10.5" customHeight="1" x14ac:dyDescent="0.2">
      <c r="G55089" s="889"/>
    </row>
    <row r="55090" spans="7:7" ht="10.5" customHeight="1" x14ac:dyDescent="0.2">
      <c r="G55090" s="889"/>
    </row>
    <row r="55091" spans="7:7" ht="10.5" customHeight="1" x14ac:dyDescent="0.2">
      <c r="G55091" s="889"/>
    </row>
    <row r="55092" spans="7:7" ht="10.5" customHeight="1" x14ac:dyDescent="0.2">
      <c r="G55092" s="889"/>
    </row>
    <row r="55093" spans="7:7" ht="10.5" customHeight="1" x14ac:dyDescent="0.2">
      <c r="G55093" s="889"/>
    </row>
    <row r="55094" spans="7:7" ht="10.5" customHeight="1" x14ac:dyDescent="0.2">
      <c r="G55094" s="889"/>
    </row>
    <row r="55095" spans="7:7" ht="10.5" customHeight="1" x14ac:dyDescent="0.2">
      <c r="G55095" s="889"/>
    </row>
    <row r="55096" spans="7:7" ht="10.5" customHeight="1" x14ac:dyDescent="0.2">
      <c r="G55096" s="889"/>
    </row>
    <row r="55097" spans="7:7" ht="10.5" customHeight="1" x14ac:dyDescent="0.2">
      <c r="G55097" s="889"/>
    </row>
    <row r="55098" spans="7:7" ht="10.5" customHeight="1" x14ac:dyDescent="0.2">
      <c r="G55098" s="889"/>
    </row>
    <row r="55099" spans="7:7" ht="10.5" customHeight="1" x14ac:dyDescent="0.2">
      <c r="G55099" s="889"/>
    </row>
    <row r="55100" spans="7:7" ht="10.5" customHeight="1" x14ac:dyDescent="0.2">
      <c r="G55100" s="889"/>
    </row>
    <row r="55101" spans="7:7" ht="10.5" customHeight="1" x14ac:dyDescent="0.2">
      <c r="G55101" s="889"/>
    </row>
    <row r="55102" spans="7:7" ht="10.5" customHeight="1" x14ac:dyDescent="0.2">
      <c r="G55102" s="889"/>
    </row>
    <row r="55103" spans="7:7" ht="10.5" customHeight="1" x14ac:dyDescent="0.2">
      <c r="G55103" s="889"/>
    </row>
    <row r="55104" spans="7:7" ht="10.5" customHeight="1" x14ac:dyDescent="0.2">
      <c r="G55104" s="889"/>
    </row>
    <row r="55105" spans="7:7" ht="10.5" customHeight="1" x14ac:dyDescent="0.2">
      <c r="G55105" s="889"/>
    </row>
    <row r="55106" spans="7:7" ht="10.5" customHeight="1" x14ac:dyDescent="0.2">
      <c r="G55106" s="889"/>
    </row>
    <row r="55107" spans="7:7" ht="10.5" customHeight="1" x14ac:dyDescent="0.2">
      <c r="G55107" s="889"/>
    </row>
    <row r="55108" spans="7:7" ht="10.5" customHeight="1" x14ac:dyDescent="0.2">
      <c r="G55108" s="889"/>
    </row>
    <row r="55109" spans="7:7" ht="10.5" customHeight="1" x14ac:dyDescent="0.2">
      <c r="G55109" s="889"/>
    </row>
    <row r="55110" spans="7:7" ht="10.5" customHeight="1" x14ac:dyDescent="0.2">
      <c r="G55110" s="889"/>
    </row>
    <row r="55111" spans="7:7" ht="10.5" customHeight="1" x14ac:dyDescent="0.2">
      <c r="G55111" s="889"/>
    </row>
    <row r="55112" spans="7:7" ht="10.5" customHeight="1" x14ac:dyDescent="0.2">
      <c r="G55112" s="889"/>
    </row>
    <row r="55113" spans="7:7" ht="10.5" customHeight="1" x14ac:dyDescent="0.2">
      <c r="G55113" s="889"/>
    </row>
    <row r="55114" spans="7:7" ht="10.5" customHeight="1" x14ac:dyDescent="0.2">
      <c r="G55114" s="889"/>
    </row>
    <row r="55115" spans="7:7" ht="10.5" customHeight="1" x14ac:dyDescent="0.2">
      <c r="G55115" s="889"/>
    </row>
    <row r="55116" spans="7:7" ht="10.5" customHeight="1" x14ac:dyDescent="0.2">
      <c r="G55116" s="889"/>
    </row>
    <row r="55117" spans="7:7" ht="10.5" customHeight="1" x14ac:dyDescent="0.2">
      <c r="G55117" s="889"/>
    </row>
    <row r="55118" spans="7:7" ht="10.5" customHeight="1" x14ac:dyDescent="0.2">
      <c r="G55118" s="889"/>
    </row>
    <row r="55119" spans="7:7" ht="10.5" customHeight="1" x14ac:dyDescent="0.2">
      <c r="G55119" s="889"/>
    </row>
    <row r="55120" spans="7:7" ht="10.5" customHeight="1" x14ac:dyDescent="0.2">
      <c r="G55120" s="889"/>
    </row>
    <row r="55121" spans="7:7" ht="10.5" customHeight="1" x14ac:dyDescent="0.2">
      <c r="G55121" s="889"/>
    </row>
    <row r="55122" spans="7:7" ht="10.5" customHeight="1" x14ac:dyDescent="0.2">
      <c r="G55122" s="889"/>
    </row>
    <row r="55123" spans="7:7" ht="10.5" customHeight="1" x14ac:dyDescent="0.2">
      <c r="G55123" s="889"/>
    </row>
    <row r="55124" spans="7:7" ht="10.5" customHeight="1" x14ac:dyDescent="0.2">
      <c r="G55124" s="889"/>
    </row>
    <row r="55125" spans="7:7" ht="10.5" customHeight="1" x14ac:dyDescent="0.2">
      <c r="G55125" s="889"/>
    </row>
    <row r="55126" spans="7:7" ht="10.5" customHeight="1" x14ac:dyDescent="0.2">
      <c r="G55126" s="889"/>
    </row>
    <row r="55127" spans="7:7" ht="10.5" customHeight="1" x14ac:dyDescent="0.2">
      <c r="G55127" s="889"/>
    </row>
    <row r="55128" spans="7:7" ht="10.5" customHeight="1" x14ac:dyDescent="0.2">
      <c r="G55128" s="889"/>
    </row>
    <row r="55129" spans="7:7" ht="10.5" customHeight="1" x14ac:dyDescent="0.2">
      <c r="G55129" s="889"/>
    </row>
    <row r="55130" spans="7:7" ht="10.5" customHeight="1" x14ac:dyDescent="0.2">
      <c r="G55130" s="889"/>
    </row>
    <row r="55131" spans="7:7" ht="10.5" customHeight="1" x14ac:dyDescent="0.2">
      <c r="G55131" s="889"/>
    </row>
    <row r="55132" spans="7:7" ht="10.5" customHeight="1" x14ac:dyDescent="0.2">
      <c r="G55132" s="889"/>
    </row>
    <row r="55133" spans="7:7" ht="10.5" customHeight="1" x14ac:dyDescent="0.2">
      <c r="G55133" s="889"/>
    </row>
    <row r="55134" spans="7:7" ht="10.5" customHeight="1" x14ac:dyDescent="0.2">
      <c r="G55134" s="889"/>
    </row>
    <row r="55135" spans="7:7" ht="10.5" customHeight="1" x14ac:dyDescent="0.2">
      <c r="G55135" s="889"/>
    </row>
    <row r="55136" spans="7:7" ht="10.5" customHeight="1" x14ac:dyDescent="0.2">
      <c r="G55136" s="889"/>
    </row>
    <row r="55137" spans="7:7" ht="10.5" customHeight="1" x14ac:dyDescent="0.2">
      <c r="G55137" s="889"/>
    </row>
    <row r="55138" spans="7:7" ht="10.5" customHeight="1" x14ac:dyDescent="0.2">
      <c r="G55138" s="889"/>
    </row>
    <row r="55139" spans="7:7" ht="10.5" customHeight="1" x14ac:dyDescent="0.2">
      <c r="G55139" s="889"/>
    </row>
    <row r="55140" spans="7:7" ht="10.5" customHeight="1" x14ac:dyDescent="0.2">
      <c r="G55140" s="889"/>
    </row>
    <row r="55141" spans="7:7" ht="10.5" customHeight="1" x14ac:dyDescent="0.2">
      <c r="G55141" s="889"/>
    </row>
    <row r="55142" spans="7:7" ht="10.5" customHeight="1" x14ac:dyDescent="0.2">
      <c r="G55142" s="889"/>
    </row>
    <row r="55143" spans="7:7" ht="10.5" customHeight="1" x14ac:dyDescent="0.2">
      <c r="G55143" s="889"/>
    </row>
    <row r="55144" spans="7:7" ht="10.5" customHeight="1" x14ac:dyDescent="0.2">
      <c r="G55144" s="889"/>
    </row>
    <row r="55145" spans="7:7" ht="10.5" customHeight="1" x14ac:dyDescent="0.2">
      <c r="G55145" s="889"/>
    </row>
    <row r="55146" spans="7:7" ht="10.5" customHeight="1" x14ac:dyDescent="0.2">
      <c r="G55146" s="889"/>
    </row>
    <row r="55147" spans="7:7" ht="10.5" customHeight="1" x14ac:dyDescent="0.2">
      <c r="G55147" s="889"/>
    </row>
    <row r="55148" spans="7:7" ht="10.5" customHeight="1" x14ac:dyDescent="0.2">
      <c r="G55148" s="889"/>
    </row>
    <row r="55149" spans="7:7" ht="10.5" customHeight="1" x14ac:dyDescent="0.2">
      <c r="G55149" s="889"/>
    </row>
    <row r="55150" spans="7:7" ht="10.5" customHeight="1" x14ac:dyDescent="0.2">
      <c r="G55150" s="889"/>
    </row>
    <row r="55151" spans="7:7" ht="10.5" customHeight="1" x14ac:dyDescent="0.2">
      <c r="G55151" s="889"/>
    </row>
    <row r="55152" spans="7:7" ht="10.5" customHeight="1" x14ac:dyDescent="0.2">
      <c r="G55152" s="889"/>
    </row>
    <row r="55153" spans="7:7" ht="10.5" customHeight="1" x14ac:dyDescent="0.2">
      <c r="G55153" s="889"/>
    </row>
    <row r="55154" spans="7:7" ht="10.5" customHeight="1" x14ac:dyDescent="0.2">
      <c r="G55154" s="889"/>
    </row>
    <row r="55155" spans="7:7" ht="10.5" customHeight="1" x14ac:dyDescent="0.2">
      <c r="G55155" s="889"/>
    </row>
    <row r="55156" spans="7:7" ht="10.5" customHeight="1" x14ac:dyDescent="0.2">
      <c r="G55156" s="889"/>
    </row>
    <row r="55157" spans="7:7" ht="10.5" customHeight="1" x14ac:dyDescent="0.2">
      <c r="G55157" s="889"/>
    </row>
    <row r="55158" spans="7:7" ht="10.5" customHeight="1" x14ac:dyDescent="0.2">
      <c r="G55158" s="889"/>
    </row>
    <row r="55159" spans="7:7" ht="10.5" customHeight="1" x14ac:dyDescent="0.2">
      <c r="G55159" s="889"/>
    </row>
    <row r="55160" spans="7:7" ht="10.5" customHeight="1" x14ac:dyDescent="0.2">
      <c r="G55160" s="889"/>
    </row>
    <row r="55161" spans="7:7" ht="10.5" customHeight="1" x14ac:dyDescent="0.2">
      <c r="G55161" s="889"/>
    </row>
    <row r="55162" spans="7:7" ht="10.5" customHeight="1" x14ac:dyDescent="0.2">
      <c r="G55162" s="889"/>
    </row>
    <row r="55163" spans="7:7" ht="10.5" customHeight="1" x14ac:dyDescent="0.2">
      <c r="G55163" s="889"/>
    </row>
    <row r="55164" spans="7:7" ht="10.5" customHeight="1" x14ac:dyDescent="0.2">
      <c r="G55164" s="889"/>
    </row>
    <row r="55165" spans="7:7" ht="10.5" customHeight="1" x14ac:dyDescent="0.2">
      <c r="G55165" s="889"/>
    </row>
    <row r="55166" spans="7:7" ht="10.5" customHeight="1" x14ac:dyDescent="0.2">
      <c r="G55166" s="889"/>
    </row>
    <row r="55167" spans="7:7" ht="10.5" customHeight="1" x14ac:dyDescent="0.2">
      <c r="G55167" s="889"/>
    </row>
    <row r="55168" spans="7:7" ht="10.5" customHeight="1" x14ac:dyDescent="0.2">
      <c r="G55168" s="889"/>
    </row>
    <row r="55169" spans="7:7" ht="10.5" customHeight="1" x14ac:dyDescent="0.2">
      <c r="G55169" s="889"/>
    </row>
    <row r="55170" spans="7:7" ht="10.5" customHeight="1" x14ac:dyDescent="0.2">
      <c r="G55170" s="889"/>
    </row>
    <row r="55171" spans="7:7" ht="10.5" customHeight="1" x14ac:dyDescent="0.2">
      <c r="G55171" s="889"/>
    </row>
    <row r="55172" spans="7:7" ht="10.5" customHeight="1" x14ac:dyDescent="0.2">
      <c r="G55172" s="889"/>
    </row>
    <row r="55173" spans="7:7" ht="10.5" customHeight="1" x14ac:dyDescent="0.2">
      <c r="G55173" s="889"/>
    </row>
    <row r="55174" spans="7:7" ht="10.5" customHeight="1" x14ac:dyDescent="0.2">
      <c r="G55174" s="889"/>
    </row>
    <row r="55175" spans="7:7" ht="10.5" customHeight="1" x14ac:dyDescent="0.2">
      <c r="G55175" s="889"/>
    </row>
    <row r="55176" spans="7:7" ht="10.5" customHeight="1" x14ac:dyDescent="0.2">
      <c r="G55176" s="889"/>
    </row>
    <row r="55177" spans="7:7" ht="10.5" customHeight="1" x14ac:dyDescent="0.2">
      <c r="G55177" s="889"/>
    </row>
    <row r="55178" spans="7:7" ht="10.5" customHeight="1" x14ac:dyDescent="0.2">
      <c r="G55178" s="889"/>
    </row>
    <row r="55179" spans="7:7" ht="10.5" customHeight="1" x14ac:dyDescent="0.2">
      <c r="G55179" s="889"/>
    </row>
    <row r="55180" spans="7:7" ht="10.5" customHeight="1" x14ac:dyDescent="0.2">
      <c r="G55180" s="889"/>
    </row>
    <row r="55181" spans="7:7" ht="10.5" customHeight="1" x14ac:dyDescent="0.2">
      <c r="G55181" s="889"/>
    </row>
    <row r="55182" spans="7:7" ht="10.5" customHeight="1" x14ac:dyDescent="0.2">
      <c r="G55182" s="889"/>
    </row>
    <row r="55183" spans="7:7" ht="10.5" customHeight="1" x14ac:dyDescent="0.2">
      <c r="G55183" s="889"/>
    </row>
    <row r="55184" spans="7:7" ht="10.5" customHeight="1" x14ac:dyDescent="0.2">
      <c r="G55184" s="889"/>
    </row>
    <row r="55185" spans="7:7" ht="10.5" customHeight="1" x14ac:dyDescent="0.2">
      <c r="G55185" s="889"/>
    </row>
    <row r="55186" spans="7:7" ht="10.5" customHeight="1" x14ac:dyDescent="0.2">
      <c r="G55186" s="889"/>
    </row>
    <row r="55187" spans="7:7" ht="10.5" customHeight="1" x14ac:dyDescent="0.2">
      <c r="G55187" s="889"/>
    </row>
    <row r="55188" spans="7:7" ht="10.5" customHeight="1" x14ac:dyDescent="0.2">
      <c r="G55188" s="889"/>
    </row>
    <row r="55189" spans="7:7" ht="10.5" customHeight="1" x14ac:dyDescent="0.2">
      <c r="G55189" s="889"/>
    </row>
    <row r="55190" spans="7:7" ht="10.5" customHeight="1" x14ac:dyDescent="0.2">
      <c r="G55190" s="889"/>
    </row>
    <row r="55191" spans="7:7" ht="10.5" customHeight="1" x14ac:dyDescent="0.2">
      <c r="G55191" s="889"/>
    </row>
    <row r="55192" spans="7:7" ht="10.5" customHeight="1" x14ac:dyDescent="0.2">
      <c r="G55192" s="889"/>
    </row>
    <row r="55193" spans="7:7" ht="10.5" customHeight="1" x14ac:dyDescent="0.2">
      <c r="G55193" s="889"/>
    </row>
    <row r="55194" spans="7:7" ht="10.5" customHeight="1" x14ac:dyDescent="0.2">
      <c r="G55194" s="889"/>
    </row>
    <row r="55195" spans="7:7" ht="10.5" customHeight="1" x14ac:dyDescent="0.2">
      <c r="G55195" s="889"/>
    </row>
    <row r="55196" spans="7:7" ht="10.5" customHeight="1" x14ac:dyDescent="0.2">
      <c r="G55196" s="889"/>
    </row>
    <row r="55197" spans="7:7" ht="10.5" customHeight="1" x14ac:dyDescent="0.2">
      <c r="G55197" s="889"/>
    </row>
    <row r="55198" spans="7:7" ht="10.5" customHeight="1" x14ac:dyDescent="0.2">
      <c r="G55198" s="889"/>
    </row>
    <row r="55199" spans="7:7" ht="10.5" customHeight="1" x14ac:dyDescent="0.2">
      <c r="G55199" s="889"/>
    </row>
    <row r="55200" spans="7:7" ht="10.5" customHeight="1" x14ac:dyDescent="0.2">
      <c r="G55200" s="889"/>
    </row>
    <row r="55201" spans="7:7" ht="10.5" customHeight="1" x14ac:dyDescent="0.2">
      <c r="G55201" s="889"/>
    </row>
    <row r="55202" spans="7:7" ht="10.5" customHeight="1" x14ac:dyDescent="0.2">
      <c r="G55202" s="889"/>
    </row>
    <row r="55203" spans="7:7" ht="10.5" customHeight="1" x14ac:dyDescent="0.2">
      <c r="G55203" s="889"/>
    </row>
    <row r="55204" spans="7:7" ht="10.5" customHeight="1" x14ac:dyDescent="0.2">
      <c r="G55204" s="889"/>
    </row>
    <row r="55205" spans="7:7" ht="10.5" customHeight="1" x14ac:dyDescent="0.2">
      <c r="G55205" s="889"/>
    </row>
    <row r="55206" spans="7:7" ht="10.5" customHeight="1" x14ac:dyDescent="0.2">
      <c r="G55206" s="889"/>
    </row>
    <row r="55207" spans="7:7" ht="10.5" customHeight="1" x14ac:dyDescent="0.2">
      <c r="G55207" s="889"/>
    </row>
    <row r="55208" spans="7:7" ht="10.5" customHeight="1" x14ac:dyDescent="0.2">
      <c r="G55208" s="889"/>
    </row>
    <row r="55209" spans="7:7" ht="10.5" customHeight="1" x14ac:dyDescent="0.2">
      <c r="G55209" s="889"/>
    </row>
    <row r="55210" spans="7:7" ht="10.5" customHeight="1" x14ac:dyDescent="0.2">
      <c r="G55210" s="889"/>
    </row>
    <row r="55211" spans="7:7" ht="10.5" customHeight="1" x14ac:dyDescent="0.2">
      <c r="G55211" s="889"/>
    </row>
    <row r="55212" spans="7:7" ht="10.5" customHeight="1" x14ac:dyDescent="0.2">
      <c r="G55212" s="889"/>
    </row>
    <row r="55213" spans="7:7" ht="10.5" customHeight="1" x14ac:dyDescent="0.2">
      <c r="G55213" s="889"/>
    </row>
    <row r="55214" spans="7:7" ht="10.5" customHeight="1" x14ac:dyDescent="0.2">
      <c r="G55214" s="889"/>
    </row>
    <row r="55215" spans="7:7" ht="10.5" customHeight="1" x14ac:dyDescent="0.2">
      <c r="G55215" s="889"/>
    </row>
    <row r="55216" spans="7:7" ht="10.5" customHeight="1" x14ac:dyDescent="0.2">
      <c r="G55216" s="889"/>
    </row>
    <row r="55217" spans="7:7" ht="10.5" customHeight="1" x14ac:dyDescent="0.2">
      <c r="G55217" s="889"/>
    </row>
    <row r="55218" spans="7:7" ht="10.5" customHeight="1" x14ac:dyDescent="0.2">
      <c r="G55218" s="889"/>
    </row>
    <row r="55219" spans="7:7" ht="10.5" customHeight="1" x14ac:dyDescent="0.2">
      <c r="G55219" s="889"/>
    </row>
    <row r="55220" spans="7:7" ht="10.5" customHeight="1" x14ac:dyDescent="0.2">
      <c r="G55220" s="889"/>
    </row>
    <row r="55221" spans="7:7" ht="10.5" customHeight="1" x14ac:dyDescent="0.2">
      <c r="G55221" s="889"/>
    </row>
    <row r="55222" spans="7:7" ht="10.5" customHeight="1" x14ac:dyDescent="0.2">
      <c r="G55222" s="889"/>
    </row>
    <row r="55223" spans="7:7" ht="10.5" customHeight="1" x14ac:dyDescent="0.2">
      <c r="G55223" s="889"/>
    </row>
    <row r="55224" spans="7:7" ht="10.5" customHeight="1" x14ac:dyDescent="0.2">
      <c r="G55224" s="889"/>
    </row>
    <row r="55225" spans="7:7" ht="10.5" customHeight="1" x14ac:dyDescent="0.2">
      <c r="G55225" s="889"/>
    </row>
    <row r="55226" spans="7:7" ht="10.5" customHeight="1" x14ac:dyDescent="0.2">
      <c r="G55226" s="889"/>
    </row>
    <row r="55227" spans="7:7" ht="10.5" customHeight="1" x14ac:dyDescent="0.2">
      <c r="G55227" s="889"/>
    </row>
    <row r="55228" spans="7:7" ht="10.5" customHeight="1" x14ac:dyDescent="0.2">
      <c r="G55228" s="889"/>
    </row>
    <row r="55229" spans="7:7" ht="10.5" customHeight="1" x14ac:dyDescent="0.2">
      <c r="G55229" s="889"/>
    </row>
    <row r="55230" spans="7:7" ht="10.5" customHeight="1" x14ac:dyDescent="0.2">
      <c r="G55230" s="889"/>
    </row>
    <row r="55231" spans="7:7" ht="10.5" customHeight="1" x14ac:dyDescent="0.2">
      <c r="G55231" s="889"/>
    </row>
    <row r="55232" spans="7:7" ht="10.5" customHeight="1" x14ac:dyDescent="0.2">
      <c r="G55232" s="889"/>
    </row>
    <row r="55233" spans="7:7" ht="10.5" customHeight="1" x14ac:dyDescent="0.2">
      <c r="G55233" s="889"/>
    </row>
    <row r="55234" spans="7:7" ht="10.5" customHeight="1" x14ac:dyDescent="0.2">
      <c r="G55234" s="889"/>
    </row>
    <row r="55235" spans="7:7" ht="10.5" customHeight="1" x14ac:dyDescent="0.2">
      <c r="G55235" s="889"/>
    </row>
    <row r="55236" spans="7:7" ht="10.5" customHeight="1" x14ac:dyDescent="0.2">
      <c r="G55236" s="889"/>
    </row>
    <row r="55237" spans="7:7" ht="10.5" customHeight="1" x14ac:dyDescent="0.2">
      <c r="G55237" s="889"/>
    </row>
    <row r="55238" spans="7:7" ht="10.5" customHeight="1" x14ac:dyDescent="0.2">
      <c r="G55238" s="889"/>
    </row>
    <row r="55239" spans="7:7" ht="10.5" customHeight="1" x14ac:dyDescent="0.2">
      <c r="G55239" s="889"/>
    </row>
    <row r="55240" spans="7:7" ht="10.5" customHeight="1" x14ac:dyDescent="0.2">
      <c r="G55240" s="889"/>
    </row>
    <row r="55241" spans="7:7" ht="10.5" customHeight="1" x14ac:dyDescent="0.2">
      <c r="G55241" s="889"/>
    </row>
    <row r="55242" spans="7:7" ht="10.5" customHeight="1" x14ac:dyDescent="0.2">
      <c r="G55242" s="889"/>
    </row>
    <row r="55243" spans="7:7" ht="10.5" customHeight="1" x14ac:dyDescent="0.2">
      <c r="G55243" s="889"/>
    </row>
    <row r="55244" spans="7:7" ht="10.5" customHeight="1" x14ac:dyDescent="0.2">
      <c r="G55244" s="889"/>
    </row>
    <row r="55245" spans="7:7" ht="10.5" customHeight="1" x14ac:dyDescent="0.2">
      <c r="G55245" s="889"/>
    </row>
    <row r="55246" spans="7:7" ht="10.5" customHeight="1" x14ac:dyDescent="0.2">
      <c r="G55246" s="889"/>
    </row>
    <row r="55247" spans="7:7" ht="10.5" customHeight="1" x14ac:dyDescent="0.2">
      <c r="G55247" s="889"/>
    </row>
    <row r="55248" spans="7:7" ht="10.5" customHeight="1" x14ac:dyDescent="0.2">
      <c r="G55248" s="889"/>
    </row>
    <row r="55249" spans="7:7" ht="10.5" customHeight="1" x14ac:dyDescent="0.2">
      <c r="G55249" s="889"/>
    </row>
    <row r="55250" spans="7:7" ht="10.5" customHeight="1" x14ac:dyDescent="0.2">
      <c r="G55250" s="889"/>
    </row>
    <row r="55251" spans="7:7" ht="10.5" customHeight="1" x14ac:dyDescent="0.2">
      <c r="G55251" s="889"/>
    </row>
    <row r="55252" spans="7:7" ht="10.5" customHeight="1" x14ac:dyDescent="0.2">
      <c r="G55252" s="889"/>
    </row>
    <row r="55253" spans="7:7" ht="10.5" customHeight="1" x14ac:dyDescent="0.2">
      <c r="G55253" s="889"/>
    </row>
    <row r="55254" spans="7:7" ht="10.5" customHeight="1" x14ac:dyDescent="0.2">
      <c r="G55254" s="889"/>
    </row>
    <row r="55255" spans="7:7" ht="10.5" customHeight="1" x14ac:dyDescent="0.2">
      <c r="G55255" s="889"/>
    </row>
    <row r="55256" spans="7:7" ht="10.5" customHeight="1" x14ac:dyDescent="0.2">
      <c r="G55256" s="889"/>
    </row>
    <row r="55257" spans="7:7" ht="10.5" customHeight="1" x14ac:dyDescent="0.2">
      <c r="G55257" s="889"/>
    </row>
    <row r="55258" spans="7:7" ht="10.5" customHeight="1" x14ac:dyDescent="0.2">
      <c r="G55258" s="889"/>
    </row>
    <row r="55259" spans="7:7" ht="10.5" customHeight="1" x14ac:dyDescent="0.2">
      <c r="G55259" s="889"/>
    </row>
    <row r="55260" spans="7:7" ht="10.5" customHeight="1" x14ac:dyDescent="0.2">
      <c r="G55260" s="889"/>
    </row>
    <row r="55261" spans="7:7" ht="10.5" customHeight="1" x14ac:dyDescent="0.2">
      <c r="G55261" s="889"/>
    </row>
    <row r="55262" spans="7:7" ht="10.5" customHeight="1" x14ac:dyDescent="0.2">
      <c r="G55262" s="889"/>
    </row>
    <row r="55263" spans="7:7" ht="10.5" customHeight="1" x14ac:dyDescent="0.2">
      <c r="G55263" s="889"/>
    </row>
    <row r="55264" spans="7:7" ht="10.5" customHeight="1" x14ac:dyDescent="0.2">
      <c r="G55264" s="889"/>
    </row>
    <row r="55265" spans="7:7" ht="10.5" customHeight="1" x14ac:dyDescent="0.2">
      <c r="G55265" s="889"/>
    </row>
    <row r="55266" spans="7:7" ht="10.5" customHeight="1" x14ac:dyDescent="0.2">
      <c r="G55266" s="889"/>
    </row>
    <row r="55267" spans="7:7" ht="10.5" customHeight="1" x14ac:dyDescent="0.2">
      <c r="G55267" s="889"/>
    </row>
    <row r="55268" spans="7:7" ht="10.5" customHeight="1" x14ac:dyDescent="0.2">
      <c r="G55268" s="889"/>
    </row>
    <row r="55269" spans="7:7" ht="10.5" customHeight="1" x14ac:dyDescent="0.2">
      <c r="G55269" s="889"/>
    </row>
    <row r="55270" spans="7:7" ht="10.5" customHeight="1" x14ac:dyDescent="0.2">
      <c r="G55270" s="889"/>
    </row>
    <row r="55271" spans="7:7" ht="10.5" customHeight="1" x14ac:dyDescent="0.2">
      <c r="G55271" s="889"/>
    </row>
    <row r="55272" spans="7:7" ht="10.5" customHeight="1" x14ac:dyDescent="0.2">
      <c r="G55272" s="889"/>
    </row>
    <row r="55273" spans="7:7" ht="10.5" customHeight="1" x14ac:dyDescent="0.2">
      <c r="G55273" s="889"/>
    </row>
    <row r="55274" spans="7:7" ht="10.5" customHeight="1" x14ac:dyDescent="0.2">
      <c r="G55274" s="889"/>
    </row>
    <row r="55275" spans="7:7" ht="10.5" customHeight="1" x14ac:dyDescent="0.2">
      <c r="G55275" s="889"/>
    </row>
    <row r="55276" spans="7:7" ht="10.5" customHeight="1" x14ac:dyDescent="0.2">
      <c r="G55276" s="889"/>
    </row>
    <row r="55277" spans="7:7" ht="10.5" customHeight="1" x14ac:dyDescent="0.2">
      <c r="G55277" s="889"/>
    </row>
    <row r="55278" spans="7:7" ht="10.5" customHeight="1" x14ac:dyDescent="0.2">
      <c r="G55278" s="889"/>
    </row>
    <row r="55279" spans="7:7" ht="10.5" customHeight="1" x14ac:dyDescent="0.2">
      <c r="G55279" s="889"/>
    </row>
    <row r="55280" spans="7:7" ht="10.5" customHeight="1" x14ac:dyDescent="0.2">
      <c r="G55280" s="889"/>
    </row>
    <row r="55281" spans="7:7" ht="10.5" customHeight="1" x14ac:dyDescent="0.2">
      <c r="G55281" s="889"/>
    </row>
    <row r="55282" spans="7:7" ht="10.5" customHeight="1" x14ac:dyDescent="0.2">
      <c r="G55282" s="889"/>
    </row>
    <row r="55283" spans="7:7" ht="10.5" customHeight="1" x14ac:dyDescent="0.2">
      <c r="G55283" s="889"/>
    </row>
    <row r="55284" spans="7:7" ht="10.5" customHeight="1" x14ac:dyDescent="0.2">
      <c r="G55284" s="889"/>
    </row>
    <row r="55285" spans="7:7" ht="10.5" customHeight="1" x14ac:dyDescent="0.2">
      <c r="G55285" s="889"/>
    </row>
    <row r="55286" spans="7:7" ht="10.5" customHeight="1" x14ac:dyDescent="0.2">
      <c r="G55286" s="889"/>
    </row>
    <row r="55287" spans="7:7" ht="10.5" customHeight="1" x14ac:dyDescent="0.2">
      <c r="G55287" s="889"/>
    </row>
    <row r="55288" spans="7:7" ht="10.5" customHeight="1" x14ac:dyDescent="0.2">
      <c r="G55288" s="889"/>
    </row>
    <row r="55289" spans="7:7" ht="10.5" customHeight="1" x14ac:dyDescent="0.2">
      <c r="G55289" s="889"/>
    </row>
    <row r="55290" spans="7:7" ht="10.5" customHeight="1" x14ac:dyDescent="0.2">
      <c r="G55290" s="889"/>
    </row>
    <row r="55291" spans="7:7" ht="10.5" customHeight="1" x14ac:dyDescent="0.2">
      <c r="G55291" s="889"/>
    </row>
    <row r="55292" spans="7:7" ht="10.5" customHeight="1" x14ac:dyDescent="0.2">
      <c r="G55292" s="889"/>
    </row>
    <row r="55293" spans="7:7" ht="10.5" customHeight="1" x14ac:dyDescent="0.2">
      <c r="G55293" s="889"/>
    </row>
    <row r="55294" spans="7:7" ht="10.5" customHeight="1" x14ac:dyDescent="0.2">
      <c r="G55294" s="889"/>
    </row>
    <row r="55295" spans="7:7" ht="10.5" customHeight="1" x14ac:dyDescent="0.2">
      <c r="G55295" s="889"/>
    </row>
    <row r="55296" spans="7:7" ht="10.5" customHeight="1" x14ac:dyDescent="0.2">
      <c r="G55296" s="889"/>
    </row>
    <row r="55297" spans="7:7" ht="10.5" customHeight="1" x14ac:dyDescent="0.2">
      <c r="G55297" s="889"/>
    </row>
    <row r="55298" spans="7:7" ht="10.5" customHeight="1" x14ac:dyDescent="0.2">
      <c r="G55298" s="889"/>
    </row>
    <row r="55299" spans="7:7" ht="10.5" customHeight="1" x14ac:dyDescent="0.2">
      <c r="G55299" s="889"/>
    </row>
    <row r="55300" spans="7:7" ht="10.5" customHeight="1" x14ac:dyDescent="0.2">
      <c r="G55300" s="889"/>
    </row>
    <row r="55301" spans="7:7" ht="10.5" customHeight="1" x14ac:dyDescent="0.2">
      <c r="G55301" s="889"/>
    </row>
    <row r="55302" spans="7:7" ht="10.5" customHeight="1" x14ac:dyDescent="0.2">
      <c r="G55302" s="889"/>
    </row>
    <row r="55303" spans="7:7" ht="10.5" customHeight="1" x14ac:dyDescent="0.2">
      <c r="G55303" s="889"/>
    </row>
    <row r="55304" spans="7:7" ht="10.5" customHeight="1" x14ac:dyDescent="0.2">
      <c r="G55304" s="889"/>
    </row>
    <row r="55305" spans="7:7" ht="10.5" customHeight="1" x14ac:dyDescent="0.2">
      <c r="G55305" s="889"/>
    </row>
    <row r="55306" spans="7:7" ht="10.5" customHeight="1" x14ac:dyDescent="0.2">
      <c r="G55306" s="889"/>
    </row>
    <row r="55307" spans="7:7" ht="10.5" customHeight="1" x14ac:dyDescent="0.2">
      <c r="G55307" s="889"/>
    </row>
    <row r="55308" spans="7:7" ht="10.5" customHeight="1" x14ac:dyDescent="0.2">
      <c r="G55308" s="889"/>
    </row>
    <row r="55309" spans="7:7" ht="10.5" customHeight="1" x14ac:dyDescent="0.2">
      <c r="G55309" s="889"/>
    </row>
    <row r="55310" spans="7:7" ht="10.5" customHeight="1" x14ac:dyDescent="0.2">
      <c r="G55310" s="889"/>
    </row>
    <row r="55311" spans="7:7" ht="10.5" customHeight="1" x14ac:dyDescent="0.2">
      <c r="G55311" s="889"/>
    </row>
    <row r="55312" spans="7:7" ht="10.5" customHeight="1" x14ac:dyDescent="0.2">
      <c r="G55312" s="889"/>
    </row>
    <row r="55313" spans="7:7" ht="10.5" customHeight="1" x14ac:dyDescent="0.2">
      <c r="G55313" s="889"/>
    </row>
    <row r="55314" spans="7:7" ht="10.5" customHeight="1" x14ac:dyDescent="0.2">
      <c r="G55314" s="889"/>
    </row>
    <row r="55315" spans="7:7" ht="10.5" customHeight="1" x14ac:dyDescent="0.2">
      <c r="G55315" s="889"/>
    </row>
    <row r="55316" spans="7:7" ht="10.5" customHeight="1" x14ac:dyDescent="0.2">
      <c r="G55316" s="889"/>
    </row>
    <row r="55317" spans="7:7" ht="10.5" customHeight="1" x14ac:dyDescent="0.2">
      <c r="G55317" s="889"/>
    </row>
    <row r="55318" spans="7:7" ht="10.5" customHeight="1" x14ac:dyDescent="0.2">
      <c r="G55318" s="889"/>
    </row>
    <row r="55319" spans="7:7" ht="10.5" customHeight="1" x14ac:dyDescent="0.2">
      <c r="G55319" s="889"/>
    </row>
    <row r="55320" spans="7:7" ht="10.5" customHeight="1" x14ac:dyDescent="0.2">
      <c r="G55320" s="889"/>
    </row>
    <row r="55321" spans="7:7" ht="10.5" customHeight="1" x14ac:dyDescent="0.2">
      <c r="G55321" s="889"/>
    </row>
    <row r="55322" spans="7:7" ht="10.5" customHeight="1" x14ac:dyDescent="0.2">
      <c r="G55322" s="889"/>
    </row>
    <row r="55323" spans="7:7" ht="10.5" customHeight="1" x14ac:dyDescent="0.2">
      <c r="G55323" s="889"/>
    </row>
    <row r="55324" spans="7:7" ht="10.5" customHeight="1" x14ac:dyDescent="0.2">
      <c r="G55324" s="889"/>
    </row>
    <row r="55325" spans="7:7" ht="10.5" customHeight="1" x14ac:dyDescent="0.2">
      <c r="G55325" s="889"/>
    </row>
    <row r="55326" spans="7:7" ht="10.5" customHeight="1" x14ac:dyDescent="0.2">
      <c r="G55326" s="889"/>
    </row>
    <row r="55327" spans="7:7" ht="10.5" customHeight="1" x14ac:dyDescent="0.2">
      <c r="G55327" s="889"/>
    </row>
    <row r="55328" spans="7:7" ht="10.5" customHeight="1" x14ac:dyDescent="0.2">
      <c r="G55328" s="889"/>
    </row>
    <row r="55329" spans="7:7" ht="10.5" customHeight="1" x14ac:dyDescent="0.2">
      <c r="G55329" s="889"/>
    </row>
    <row r="55330" spans="7:7" ht="10.5" customHeight="1" x14ac:dyDescent="0.2">
      <c r="G55330" s="889"/>
    </row>
    <row r="55331" spans="7:7" ht="10.5" customHeight="1" x14ac:dyDescent="0.2">
      <c r="G55331" s="889"/>
    </row>
    <row r="55332" spans="7:7" ht="10.5" customHeight="1" x14ac:dyDescent="0.2">
      <c r="G55332" s="889"/>
    </row>
    <row r="55333" spans="7:7" ht="10.5" customHeight="1" x14ac:dyDescent="0.2">
      <c r="G55333" s="889"/>
    </row>
    <row r="55334" spans="7:7" ht="10.5" customHeight="1" x14ac:dyDescent="0.2">
      <c r="G55334" s="889"/>
    </row>
    <row r="55335" spans="7:7" ht="10.5" customHeight="1" x14ac:dyDescent="0.2">
      <c r="G55335" s="889"/>
    </row>
    <row r="55336" spans="7:7" ht="10.5" customHeight="1" x14ac:dyDescent="0.2">
      <c r="G55336" s="889"/>
    </row>
    <row r="55337" spans="7:7" ht="10.5" customHeight="1" x14ac:dyDescent="0.2">
      <c r="G55337" s="889"/>
    </row>
    <row r="55338" spans="7:7" ht="10.5" customHeight="1" x14ac:dyDescent="0.2">
      <c r="G55338" s="889"/>
    </row>
    <row r="55339" spans="7:7" ht="10.5" customHeight="1" x14ac:dyDescent="0.2">
      <c r="G55339" s="889"/>
    </row>
    <row r="55340" spans="7:7" ht="10.5" customHeight="1" x14ac:dyDescent="0.2">
      <c r="G55340" s="889"/>
    </row>
    <row r="55341" spans="7:7" ht="10.5" customHeight="1" x14ac:dyDescent="0.2">
      <c r="G55341" s="889"/>
    </row>
    <row r="55342" spans="7:7" ht="10.5" customHeight="1" x14ac:dyDescent="0.2">
      <c r="G55342" s="889"/>
    </row>
    <row r="55343" spans="7:7" ht="10.5" customHeight="1" x14ac:dyDescent="0.2">
      <c r="G55343" s="889"/>
    </row>
    <row r="55344" spans="7:7" ht="10.5" customHeight="1" x14ac:dyDescent="0.2">
      <c r="G55344" s="889"/>
    </row>
    <row r="55345" spans="7:7" ht="10.5" customHeight="1" x14ac:dyDescent="0.2">
      <c r="G55345" s="889"/>
    </row>
    <row r="55346" spans="7:7" ht="10.5" customHeight="1" x14ac:dyDescent="0.2">
      <c r="G55346" s="889"/>
    </row>
    <row r="55347" spans="7:7" ht="10.5" customHeight="1" x14ac:dyDescent="0.2">
      <c r="G55347" s="889"/>
    </row>
    <row r="55348" spans="7:7" ht="10.5" customHeight="1" x14ac:dyDescent="0.2">
      <c r="G55348" s="889"/>
    </row>
    <row r="55349" spans="7:7" ht="10.5" customHeight="1" x14ac:dyDescent="0.2">
      <c r="G55349" s="889"/>
    </row>
    <row r="55350" spans="7:7" ht="10.5" customHeight="1" x14ac:dyDescent="0.2">
      <c r="G55350" s="889"/>
    </row>
    <row r="55351" spans="7:7" ht="10.5" customHeight="1" x14ac:dyDescent="0.2">
      <c r="G55351" s="889"/>
    </row>
    <row r="55352" spans="7:7" ht="10.5" customHeight="1" x14ac:dyDescent="0.2">
      <c r="G55352" s="889"/>
    </row>
    <row r="55353" spans="7:7" ht="10.5" customHeight="1" x14ac:dyDescent="0.2">
      <c r="G55353" s="889"/>
    </row>
    <row r="55354" spans="7:7" ht="10.5" customHeight="1" x14ac:dyDescent="0.2">
      <c r="G55354" s="889"/>
    </row>
    <row r="55355" spans="7:7" ht="10.5" customHeight="1" x14ac:dyDescent="0.2">
      <c r="G55355" s="889"/>
    </row>
    <row r="55356" spans="7:7" ht="10.5" customHeight="1" x14ac:dyDescent="0.2">
      <c r="G55356" s="889"/>
    </row>
    <row r="55357" spans="7:7" ht="10.5" customHeight="1" x14ac:dyDescent="0.2">
      <c r="G55357" s="889"/>
    </row>
    <row r="55358" spans="7:7" ht="10.5" customHeight="1" x14ac:dyDescent="0.2">
      <c r="G55358" s="889"/>
    </row>
    <row r="55359" spans="7:7" ht="10.5" customHeight="1" x14ac:dyDescent="0.2">
      <c r="G55359" s="889"/>
    </row>
    <row r="55360" spans="7:7" ht="10.5" customHeight="1" x14ac:dyDescent="0.2">
      <c r="G55360" s="889"/>
    </row>
    <row r="55361" spans="7:7" ht="10.5" customHeight="1" x14ac:dyDescent="0.2">
      <c r="G55361" s="889"/>
    </row>
    <row r="55362" spans="7:7" ht="10.5" customHeight="1" x14ac:dyDescent="0.2">
      <c r="G55362" s="889"/>
    </row>
    <row r="55363" spans="7:7" ht="10.5" customHeight="1" x14ac:dyDescent="0.2">
      <c r="G55363" s="889"/>
    </row>
    <row r="55364" spans="7:7" ht="10.5" customHeight="1" x14ac:dyDescent="0.2">
      <c r="G55364" s="889"/>
    </row>
    <row r="55365" spans="7:7" ht="10.5" customHeight="1" x14ac:dyDescent="0.2">
      <c r="G55365" s="889"/>
    </row>
    <row r="55366" spans="7:7" ht="10.5" customHeight="1" x14ac:dyDescent="0.2">
      <c r="G55366" s="889"/>
    </row>
    <row r="55367" spans="7:7" ht="10.5" customHeight="1" x14ac:dyDescent="0.2">
      <c r="G55367" s="889"/>
    </row>
    <row r="55368" spans="7:7" ht="10.5" customHeight="1" x14ac:dyDescent="0.2">
      <c r="G55368" s="889"/>
    </row>
    <row r="55369" spans="7:7" ht="10.5" customHeight="1" x14ac:dyDescent="0.2">
      <c r="G55369" s="889"/>
    </row>
    <row r="55370" spans="7:7" ht="10.5" customHeight="1" x14ac:dyDescent="0.2">
      <c r="G55370" s="889"/>
    </row>
    <row r="55371" spans="7:7" ht="10.5" customHeight="1" x14ac:dyDescent="0.2">
      <c r="G55371" s="889"/>
    </row>
    <row r="55372" spans="7:7" ht="10.5" customHeight="1" x14ac:dyDescent="0.2">
      <c r="G55372" s="889"/>
    </row>
    <row r="55373" spans="7:7" ht="10.5" customHeight="1" x14ac:dyDescent="0.2">
      <c r="G55373" s="889"/>
    </row>
    <row r="55374" spans="7:7" ht="10.5" customHeight="1" x14ac:dyDescent="0.2">
      <c r="G55374" s="889"/>
    </row>
    <row r="55375" spans="7:7" ht="10.5" customHeight="1" x14ac:dyDescent="0.2">
      <c r="G55375" s="889"/>
    </row>
    <row r="55376" spans="7:7" ht="10.5" customHeight="1" x14ac:dyDescent="0.2">
      <c r="G55376" s="889"/>
    </row>
    <row r="55377" spans="7:7" ht="10.5" customHeight="1" x14ac:dyDescent="0.2">
      <c r="G55377" s="889"/>
    </row>
    <row r="55378" spans="7:7" ht="10.5" customHeight="1" x14ac:dyDescent="0.2">
      <c r="G55378" s="889"/>
    </row>
    <row r="55379" spans="7:7" ht="10.5" customHeight="1" x14ac:dyDescent="0.2">
      <c r="G55379" s="889"/>
    </row>
    <row r="55380" spans="7:7" ht="10.5" customHeight="1" x14ac:dyDescent="0.2">
      <c r="G55380" s="889"/>
    </row>
    <row r="55381" spans="7:7" ht="10.5" customHeight="1" x14ac:dyDescent="0.2">
      <c r="G55381" s="889"/>
    </row>
    <row r="55382" spans="7:7" ht="10.5" customHeight="1" x14ac:dyDescent="0.2">
      <c r="G55382" s="889"/>
    </row>
    <row r="55383" spans="7:7" ht="10.5" customHeight="1" x14ac:dyDescent="0.2">
      <c r="G55383" s="889"/>
    </row>
    <row r="55384" spans="7:7" ht="10.5" customHeight="1" x14ac:dyDescent="0.2">
      <c r="G55384" s="889"/>
    </row>
    <row r="55385" spans="7:7" ht="10.5" customHeight="1" x14ac:dyDescent="0.2">
      <c r="G55385" s="889"/>
    </row>
    <row r="55386" spans="7:7" ht="10.5" customHeight="1" x14ac:dyDescent="0.2">
      <c r="G55386" s="889"/>
    </row>
    <row r="55387" spans="7:7" ht="10.5" customHeight="1" x14ac:dyDescent="0.2">
      <c r="G55387" s="889"/>
    </row>
    <row r="55388" spans="7:7" ht="10.5" customHeight="1" x14ac:dyDescent="0.2">
      <c r="G55388" s="889"/>
    </row>
    <row r="55389" spans="7:7" ht="10.5" customHeight="1" x14ac:dyDescent="0.2">
      <c r="G55389" s="889"/>
    </row>
    <row r="55390" spans="7:7" ht="10.5" customHeight="1" x14ac:dyDescent="0.2">
      <c r="G55390" s="889"/>
    </row>
    <row r="55391" spans="7:7" ht="10.5" customHeight="1" x14ac:dyDescent="0.2">
      <c r="G55391" s="889"/>
    </row>
    <row r="55392" spans="7:7" ht="10.5" customHeight="1" x14ac:dyDescent="0.2">
      <c r="G55392" s="889"/>
    </row>
    <row r="55393" spans="7:7" ht="10.5" customHeight="1" x14ac:dyDescent="0.2">
      <c r="G55393" s="889"/>
    </row>
    <row r="55394" spans="7:7" ht="10.5" customHeight="1" x14ac:dyDescent="0.2">
      <c r="G55394" s="889"/>
    </row>
    <row r="55395" spans="7:7" ht="10.5" customHeight="1" x14ac:dyDescent="0.2">
      <c r="G55395" s="889"/>
    </row>
    <row r="55396" spans="7:7" ht="10.5" customHeight="1" x14ac:dyDescent="0.2">
      <c r="G55396" s="889"/>
    </row>
    <row r="55397" spans="7:7" ht="10.5" customHeight="1" x14ac:dyDescent="0.2">
      <c r="G55397" s="889"/>
    </row>
    <row r="55398" spans="7:7" ht="10.5" customHeight="1" x14ac:dyDescent="0.2">
      <c r="G55398" s="889"/>
    </row>
    <row r="55399" spans="7:7" ht="10.5" customHeight="1" x14ac:dyDescent="0.2">
      <c r="G55399" s="889"/>
    </row>
    <row r="55400" spans="7:7" ht="10.5" customHeight="1" x14ac:dyDescent="0.2">
      <c r="G55400" s="889"/>
    </row>
    <row r="55401" spans="7:7" ht="10.5" customHeight="1" x14ac:dyDescent="0.2">
      <c r="G55401" s="889"/>
    </row>
    <row r="55402" spans="7:7" ht="10.5" customHeight="1" x14ac:dyDescent="0.2">
      <c r="G55402" s="889"/>
    </row>
    <row r="55403" spans="7:7" ht="10.5" customHeight="1" x14ac:dyDescent="0.2">
      <c r="G55403" s="889"/>
    </row>
    <row r="55404" spans="7:7" ht="10.5" customHeight="1" x14ac:dyDescent="0.2">
      <c r="G55404" s="889"/>
    </row>
    <row r="55405" spans="7:7" ht="10.5" customHeight="1" x14ac:dyDescent="0.2">
      <c r="G55405" s="889"/>
    </row>
    <row r="55406" spans="7:7" ht="10.5" customHeight="1" x14ac:dyDescent="0.2">
      <c r="G55406" s="889"/>
    </row>
    <row r="55407" spans="7:7" ht="10.5" customHeight="1" x14ac:dyDescent="0.2">
      <c r="G55407" s="889"/>
    </row>
    <row r="55408" spans="7:7" ht="10.5" customHeight="1" x14ac:dyDescent="0.2">
      <c r="G55408" s="889"/>
    </row>
    <row r="55409" spans="7:7" ht="10.5" customHeight="1" x14ac:dyDescent="0.2">
      <c r="G55409" s="889"/>
    </row>
    <row r="55410" spans="7:7" ht="10.5" customHeight="1" x14ac:dyDescent="0.2">
      <c r="G55410" s="889"/>
    </row>
    <row r="55411" spans="7:7" ht="10.5" customHeight="1" x14ac:dyDescent="0.2">
      <c r="G55411" s="889"/>
    </row>
    <row r="55412" spans="7:7" ht="10.5" customHeight="1" x14ac:dyDescent="0.2">
      <c r="G55412" s="889"/>
    </row>
    <row r="55413" spans="7:7" ht="10.5" customHeight="1" x14ac:dyDescent="0.2">
      <c r="G55413" s="889"/>
    </row>
    <row r="55414" spans="7:7" ht="10.5" customHeight="1" x14ac:dyDescent="0.2">
      <c r="G55414" s="889"/>
    </row>
    <row r="55415" spans="7:7" ht="10.5" customHeight="1" x14ac:dyDescent="0.2">
      <c r="G55415" s="889"/>
    </row>
    <row r="55416" spans="7:7" ht="10.5" customHeight="1" x14ac:dyDescent="0.2">
      <c r="G55416" s="889"/>
    </row>
    <row r="55417" spans="7:7" ht="10.5" customHeight="1" x14ac:dyDescent="0.2">
      <c r="G55417" s="889"/>
    </row>
    <row r="55418" spans="7:7" ht="10.5" customHeight="1" x14ac:dyDescent="0.2">
      <c r="G55418" s="889"/>
    </row>
    <row r="55419" spans="7:7" ht="10.5" customHeight="1" x14ac:dyDescent="0.2">
      <c r="G55419" s="889"/>
    </row>
    <row r="55420" spans="7:7" ht="10.5" customHeight="1" x14ac:dyDescent="0.2">
      <c r="G55420" s="889"/>
    </row>
    <row r="55421" spans="7:7" ht="10.5" customHeight="1" x14ac:dyDescent="0.2">
      <c r="G55421" s="889"/>
    </row>
    <row r="55422" spans="7:7" ht="10.5" customHeight="1" x14ac:dyDescent="0.2">
      <c r="G55422" s="889"/>
    </row>
    <row r="55423" spans="7:7" ht="10.5" customHeight="1" x14ac:dyDescent="0.2">
      <c r="G55423" s="889"/>
    </row>
    <row r="55424" spans="7:7" ht="10.5" customHeight="1" x14ac:dyDescent="0.2">
      <c r="G55424" s="889"/>
    </row>
    <row r="55425" spans="7:7" ht="10.5" customHeight="1" x14ac:dyDescent="0.2">
      <c r="G55425" s="889"/>
    </row>
    <row r="55426" spans="7:7" ht="10.5" customHeight="1" x14ac:dyDescent="0.2">
      <c r="G55426" s="889"/>
    </row>
    <row r="55427" spans="7:7" ht="10.5" customHeight="1" x14ac:dyDescent="0.2">
      <c r="G55427" s="889"/>
    </row>
    <row r="55428" spans="7:7" ht="10.5" customHeight="1" x14ac:dyDescent="0.2">
      <c r="G55428" s="889"/>
    </row>
    <row r="55429" spans="7:7" ht="10.5" customHeight="1" x14ac:dyDescent="0.2">
      <c r="G55429" s="889"/>
    </row>
    <row r="55430" spans="7:7" ht="10.5" customHeight="1" x14ac:dyDescent="0.2">
      <c r="G55430" s="889"/>
    </row>
    <row r="55431" spans="7:7" ht="10.5" customHeight="1" x14ac:dyDescent="0.2">
      <c r="G55431" s="889"/>
    </row>
    <row r="55432" spans="7:7" ht="10.5" customHeight="1" x14ac:dyDescent="0.2">
      <c r="G55432" s="889"/>
    </row>
    <row r="55433" spans="7:7" ht="10.5" customHeight="1" x14ac:dyDescent="0.2">
      <c r="G55433" s="889"/>
    </row>
    <row r="55434" spans="7:7" ht="10.5" customHeight="1" x14ac:dyDescent="0.2">
      <c r="G55434" s="889"/>
    </row>
    <row r="55435" spans="7:7" ht="10.5" customHeight="1" x14ac:dyDescent="0.2">
      <c r="G55435" s="889"/>
    </row>
    <row r="55436" spans="7:7" ht="10.5" customHeight="1" x14ac:dyDescent="0.2">
      <c r="G55436" s="889"/>
    </row>
    <row r="55437" spans="7:7" ht="10.5" customHeight="1" x14ac:dyDescent="0.2">
      <c r="G55437" s="889"/>
    </row>
    <row r="55438" spans="7:7" ht="10.5" customHeight="1" x14ac:dyDescent="0.2">
      <c r="G55438" s="889"/>
    </row>
    <row r="55439" spans="7:7" ht="10.5" customHeight="1" x14ac:dyDescent="0.2">
      <c r="G55439" s="889"/>
    </row>
    <row r="55440" spans="7:7" ht="10.5" customHeight="1" x14ac:dyDescent="0.2">
      <c r="G55440" s="889"/>
    </row>
    <row r="55441" spans="7:7" ht="10.5" customHeight="1" x14ac:dyDescent="0.2">
      <c r="G55441" s="889"/>
    </row>
    <row r="55442" spans="7:7" ht="10.5" customHeight="1" x14ac:dyDescent="0.2">
      <c r="G55442" s="889"/>
    </row>
    <row r="55443" spans="7:7" ht="10.5" customHeight="1" x14ac:dyDescent="0.2">
      <c r="G55443" s="889"/>
    </row>
    <row r="55444" spans="7:7" ht="10.5" customHeight="1" x14ac:dyDescent="0.2">
      <c r="G55444" s="889"/>
    </row>
    <row r="55445" spans="7:7" ht="10.5" customHeight="1" x14ac:dyDescent="0.2">
      <c r="G55445" s="889"/>
    </row>
    <row r="55446" spans="7:7" ht="10.5" customHeight="1" x14ac:dyDescent="0.2">
      <c r="G55446" s="889"/>
    </row>
    <row r="55447" spans="7:7" ht="10.5" customHeight="1" x14ac:dyDescent="0.2">
      <c r="G55447" s="889"/>
    </row>
    <row r="55448" spans="7:7" ht="10.5" customHeight="1" x14ac:dyDescent="0.2">
      <c r="G55448" s="889"/>
    </row>
    <row r="55449" spans="7:7" ht="10.5" customHeight="1" x14ac:dyDescent="0.2">
      <c r="G55449" s="889"/>
    </row>
    <row r="55450" spans="7:7" ht="10.5" customHeight="1" x14ac:dyDescent="0.2">
      <c r="G55450" s="889"/>
    </row>
    <row r="55451" spans="7:7" ht="10.5" customHeight="1" x14ac:dyDescent="0.2">
      <c r="G55451" s="889"/>
    </row>
    <row r="55452" spans="7:7" ht="10.5" customHeight="1" x14ac:dyDescent="0.2">
      <c r="G55452" s="889"/>
    </row>
    <row r="55453" spans="7:7" ht="10.5" customHeight="1" x14ac:dyDescent="0.2">
      <c r="G55453" s="889"/>
    </row>
    <row r="55454" spans="7:7" ht="10.5" customHeight="1" x14ac:dyDescent="0.2">
      <c r="G55454" s="889"/>
    </row>
    <row r="55455" spans="7:7" ht="10.5" customHeight="1" x14ac:dyDescent="0.2">
      <c r="G55455" s="889"/>
    </row>
    <row r="55456" spans="7:7" ht="10.5" customHeight="1" x14ac:dyDescent="0.2">
      <c r="G55456" s="889"/>
    </row>
    <row r="55457" spans="7:7" ht="10.5" customHeight="1" x14ac:dyDescent="0.2">
      <c r="G55457" s="889"/>
    </row>
    <row r="55458" spans="7:7" ht="10.5" customHeight="1" x14ac:dyDescent="0.2">
      <c r="G55458" s="889"/>
    </row>
    <row r="55459" spans="7:7" ht="10.5" customHeight="1" x14ac:dyDescent="0.2">
      <c r="G55459" s="889"/>
    </row>
    <row r="55460" spans="7:7" ht="10.5" customHeight="1" x14ac:dyDescent="0.2">
      <c r="G55460" s="889"/>
    </row>
    <row r="55461" spans="7:7" ht="10.5" customHeight="1" x14ac:dyDescent="0.2">
      <c r="G55461" s="889"/>
    </row>
    <row r="55462" spans="7:7" ht="10.5" customHeight="1" x14ac:dyDescent="0.2">
      <c r="G55462" s="889"/>
    </row>
    <row r="55463" spans="7:7" ht="10.5" customHeight="1" x14ac:dyDescent="0.2">
      <c r="G55463" s="889"/>
    </row>
    <row r="55464" spans="7:7" ht="10.5" customHeight="1" x14ac:dyDescent="0.2">
      <c r="G55464" s="889"/>
    </row>
    <row r="55465" spans="7:7" ht="10.5" customHeight="1" x14ac:dyDescent="0.2">
      <c r="G55465" s="889"/>
    </row>
    <row r="55466" spans="7:7" ht="10.5" customHeight="1" x14ac:dyDescent="0.2">
      <c r="G55466" s="889"/>
    </row>
    <row r="55467" spans="7:7" ht="10.5" customHeight="1" x14ac:dyDescent="0.2">
      <c r="G55467" s="889"/>
    </row>
    <row r="55468" spans="7:7" ht="10.5" customHeight="1" x14ac:dyDescent="0.2">
      <c r="G55468" s="889"/>
    </row>
    <row r="55469" spans="7:7" ht="10.5" customHeight="1" x14ac:dyDescent="0.2">
      <c r="G55469" s="889"/>
    </row>
    <row r="55470" spans="7:7" ht="10.5" customHeight="1" x14ac:dyDescent="0.2">
      <c r="G55470" s="889"/>
    </row>
    <row r="55471" spans="7:7" ht="10.5" customHeight="1" x14ac:dyDescent="0.2">
      <c r="G55471" s="889"/>
    </row>
    <row r="55472" spans="7:7" ht="10.5" customHeight="1" x14ac:dyDescent="0.2">
      <c r="G55472" s="889"/>
    </row>
    <row r="55473" spans="7:7" ht="10.5" customHeight="1" x14ac:dyDescent="0.2">
      <c r="G55473" s="889"/>
    </row>
    <row r="55474" spans="7:7" ht="10.5" customHeight="1" x14ac:dyDescent="0.2">
      <c r="G55474" s="889"/>
    </row>
    <row r="55475" spans="7:7" ht="10.5" customHeight="1" x14ac:dyDescent="0.2">
      <c r="G55475" s="889"/>
    </row>
    <row r="55476" spans="7:7" ht="10.5" customHeight="1" x14ac:dyDescent="0.2">
      <c r="G55476" s="889"/>
    </row>
    <row r="55477" spans="7:7" ht="10.5" customHeight="1" x14ac:dyDescent="0.2">
      <c r="G55477" s="889"/>
    </row>
    <row r="55478" spans="7:7" ht="10.5" customHeight="1" x14ac:dyDescent="0.2">
      <c r="G55478" s="889"/>
    </row>
    <row r="55479" spans="7:7" ht="10.5" customHeight="1" x14ac:dyDescent="0.2">
      <c r="G55479" s="889"/>
    </row>
    <row r="55480" spans="7:7" ht="10.5" customHeight="1" x14ac:dyDescent="0.2">
      <c r="G55480" s="889"/>
    </row>
    <row r="55481" spans="7:7" ht="10.5" customHeight="1" x14ac:dyDescent="0.2">
      <c r="G55481" s="889"/>
    </row>
    <row r="55482" spans="7:7" ht="10.5" customHeight="1" x14ac:dyDescent="0.2">
      <c r="G55482" s="889"/>
    </row>
    <row r="55483" spans="7:7" ht="10.5" customHeight="1" x14ac:dyDescent="0.2">
      <c r="G55483" s="889"/>
    </row>
    <row r="55484" spans="7:7" ht="10.5" customHeight="1" x14ac:dyDescent="0.2">
      <c r="G55484" s="889"/>
    </row>
    <row r="55485" spans="7:7" ht="10.5" customHeight="1" x14ac:dyDescent="0.2">
      <c r="G55485" s="889"/>
    </row>
    <row r="55486" spans="7:7" ht="10.5" customHeight="1" x14ac:dyDescent="0.2">
      <c r="G55486" s="889"/>
    </row>
    <row r="55487" spans="7:7" ht="10.5" customHeight="1" x14ac:dyDescent="0.2">
      <c r="G55487" s="889"/>
    </row>
    <row r="55488" spans="7:7" ht="10.5" customHeight="1" x14ac:dyDescent="0.2">
      <c r="G55488" s="889"/>
    </row>
    <row r="55489" spans="7:7" ht="10.5" customHeight="1" x14ac:dyDescent="0.2">
      <c r="G55489" s="889"/>
    </row>
    <row r="55490" spans="7:7" ht="10.5" customHeight="1" x14ac:dyDescent="0.2">
      <c r="G55490" s="889"/>
    </row>
    <row r="55491" spans="7:7" ht="10.5" customHeight="1" x14ac:dyDescent="0.2">
      <c r="G55491" s="889"/>
    </row>
    <row r="55492" spans="7:7" ht="10.5" customHeight="1" x14ac:dyDescent="0.2">
      <c r="G55492" s="889"/>
    </row>
    <row r="55493" spans="7:7" ht="10.5" customHeight="1" x14ac:dyDescent="0.2">
      <c r="G55493" s="889"/>
    </row>
    <row r="55494" spans="7:7" ht="10.5" customHeight="1" x14ac:dyDescent="0.2">
      <c r="G55494" s="889"/>
    </row>
    <row r="55495" spans="7:7" ht="10.5" customHeight="1" x14ac:dyDescent="0.2">
      <c r="G55495" s="889"/>
    </row>
    <row r="55496" spans="7:7" ht="10.5" customHeight="1" x14ac:dyDescent="0.2">
      <c r="G55496" s="889"/>
    </row>
    <row r="55497" spans="7:7" ht="10.5" customHeight="1" x14ac:dyDescent="0.2">
      <c r="G55497" s="889"/>
    </row>
    <row r="55498" spans="7:7" ht="10.5" customHeight="1" x14ac:dyDescent="0.2">
      <c r="G55498" s="889"/>
    </row>
    <row r="55499" spans="7:7" ht="10.5" customHeight="1" x14ac:dyDescent="0.2">
      <c r="G55499" s="889"/>
    </row>
    <row r="55500" spans="7:7" ht="10.5" customHeight="1" x14ac:dyDescent="0.2">
      <c r="G55500" s="889"/>
    </row>
    <row r="55501" spans="7:7" ht="10.5" customHeight="1" x14ac:dyDescent="0.2">
      <c r="G55501" s="889"/>
    </row>
    <row r="55502" spans="7:7" ht="10.5" customHeight="1" x14ac:dyDescent="0.2">
      <c r="G55502" s="889"/>
    </row>
    <row r="55503" spans="7:7" ht="10.5" customHeight="1" x14ac:dyDescent="0.2">
      <c r="G55503" s="889"/>
    </row>
    <row r="55504" spans="7:7" ht="10.5" customHeight="1" x14ac:dyDescent="0.2">
      <c r="G55504" s="889"/>
    </row>
    <row r="55505" spans="7:7" ht="10.5" customHeight="1" x14ac:dyDescent="0.2">
      <c r="G55505" s="889"/>
    </row>
    <row r="55506" spans="7:7" ht="10.5" customHeight="1" x14ac:dyDescent="0.2">
      <c r="G55506" s="889"/>
    </row>
    <row r="55507" spans="7:7" ht="10.5" customHeight="1" x14ac:dyDescent="0.2">
      <c r="G55507" s="889"/>
    </row>
    <row r="55508" spans="7:7" ht="10.5" customHeight="1" x14ac:dyDescent="0.2">
      <c r="G55508" s="889"/>
    </row>
    <row r="55509" spans="7:7" ht="10.5" customHeight="1" x14ac:dyDescent="0.2">
      <c r="G55509" s="889"/>
    </row>
    <row r="55510" spans="7:7" ht="10.5" customHeight="1" x14ac:dyDescent="0.2">
      <c r="G55510" s="889"/>
    </row>
    <row r="55511" spans="7:7" ht="10.5" customHeight="1" x14ac:dyDescent="0.2">
      <c r="G55511" s="889"/>
    </row>
    <row r="55512" spans="7:7" ht="10.5" customHeight="1" x14ac:dyDescent="0.2">
      <c r="G55512" s="889"/>
    </row>
    <row r="55513" spans="7:7" ht="10.5" customHeight="1" x14ac:dyDescent="0.2">
      <c r="G55513" s="889"/>
    </row>
    <row r="55514" spans="7:7" ht="10.5" customHeight="1" x14ac:dyDescent="0.2">
      <c r="G55514" s="889"/>
    </row>
    <row r="55515" spans="7:7" ht="10.5" customHeight="1" x14ac:dyDescent="0.2">
      <c r="G55515" s="889"/>
    </row>
    <row r="55516" spans="7:7" ht="10.5" customHeight="1" x14ac:dyDescent="0.2">
      <c r="G55516" s="889"/>
    </row>
    <row r="55517" spans="7:7" ht="10.5" customHeight="1" x14ac:dyDescent="0.2">
      <c r="G55517" s="889"/>
    </row>
    <row r="55518" spans="7:7" ht="10.5" customHeight="1" x14ac:dyDescent="0.2">
      <c r="G55518" s="889"/>
    </row>
    <row r="55519" spans="7:7" ht="10.5" customHeight="1" x14ac:dyDescent="0.2">
      <c r="G55519" s="889"/>
    </row>
    <row r="55520" spans="7:7" ht="10.5" customHeight="1" x14ac:dyDescent="0.2">
      <c r="G55520" s="889"/>
    </row>
    <row r="55521" spans="7:7" ht="10.5" customHeight="1" x14ac:dyDescent="0.2">
      <c r="G55521" s="889"/>
    </row>
    <row r="55522" spans="7:7" ht="10.5" customHeight="1" x14ac:dyDescent="0.2">
      <c r="G55522" s="889"/>
    </row>
    <row r="55523" spans="7:7" ht="10.5" customHeight="1" x14ac:dyDescent="0.2">
      <c r="G55523" s="889"/>
    </row>
    <row r="55524" spans="7:7" ht="10.5" customHeight="1" x14ac:dyDescent="0.2">
      <c r="G55524" s="889"/>
    </row>
    <row r="55525" spans="7:7" ht="10.5" customHeight="1" x14ac:dyDescent="0.2">
      <c r="G55525" s="889"/>
    </row>
    <row r="55526" spans="7:7" ht="10.5" customHeight="1" x14ac:dyDescent="0.2">
      <c r="G55526" s="889"/>
    </row>
    <row r="55527" spans="7:7" ht="10.5" customHeight="1" x14ac:dyDescent="0.2">
      <c r="G55527" s="889"/>
    </row>
    <row r="55528" spans="7:7" ht="10.5" customHeight="1" x14ac:dyDescent="0.2">
      <c r="G55528" s="889"/>
    </row>
    <row r="55529" spans="7:7" ht="10.5" customHeight="1" x14ac:dyDescent="0.2">
      <c r="G55529" s="889"/>
    </row>
    <row r="55530" spans="7:7" ht="10.5" customHeight="1" x14ac:dyDescent="0.2">
      <c r="G55530" s="889"/>
    </row>
    <row r="55531" spans="7:7" ht="10.5" customHeight="1" x14ac:dyDescent="0.2">
      <c r="G55531" s="889"/>
    </row>
    <row r="55532" spans="7:7" ht="10.5" customHeight="1" x14ac:dyDescent="0.2">
      <c r="G55532" s="889"/>
    </row>
    <row r="55533" spans="7:7" ht="10.5" customHeight="1" x14ac:dyDescent="0.2">
      <c r="G55533" s="889"/>
    </row>
    <row r="55534" spans="7:7" ht="10.5" customHeight="1" x14ac:dyDescent="0.2">
      <c r="G55534" s="889"/>
    </row>
    <row r="55535" spans="7:7" ht="10.5" customHeight="1" x14ac:dyDescent="0.2">
      <c r="G55535" s="889"/>
    </row>
    <row r="55536" spans="7:7" ht="10.5" customHeight="1" x14ac:dyDescent="0.2">
      <c r="G55536" s="889"/>
    </row>
    <row r="55537" spans="7:7" ht="10.5" customHeight="1" x14ac:dyDescent="0.2">
      <c r="G55537" s="889"/>
    </row>
    <row r="55538" spans="7:7" ht="10.5" customHeight="1" x14ac:dyDescent="0.2">
      <c r="G55538" s="889"/>
    </row>
    <row r="55539" spans="7:7" ht="10.5" customHeight="1" x14ac:dyDescent="0.2">
      <c r="G55539" s="889"/>
    </row>
    <row r="55540" spans="7:7" ht="10.5" customHeight="1" x14ac:dyDescent="0.2">
      <c r="G55540" s="889"/>
    </row>
    <row r="55541" spans="7:7" ht="10.5" customHeight="1" x14ac:dyDescent="0.2">
      <c r="G55541" s="889"/>
    </row>
    <row r="55542" spans="7:7" ht="10.5" customHeight="1" x14ac:dyDescent="0.2">
      <c r="G55542" s="889"/>
    </row>
    <row r="55543" spans="7:7" ht="10.5" customHeight="1" x14ac:dyDescent="0.2">
      <c r="G55543" s="889"/>
    </row>
    <row r="55544" spans="7:7" ht="10.5" customHeight="1" x14ac:dyDescent="0.2">
      <c r="G55544" s="889"/>
    </row>
    <row r="55545" spans="7:7" ht="10.5" customHeight="1" x14ac:dyDescent="0.2">
      <c r="G55545" s="889"/>
    </row>
    <row r="55546" spans="7:7" ht="10.5" customHeight="1" x14ac:dyDescent="0.2">
      <c r="G55546" s="889"/>
    </row>
    <row r="55547" spans="7:7" ht="10.5" customHeight="1" x14ac:dyDescent="0.2">
      <c r="G55547" s="889"/>
    </row>
    <row r="55548" spans="7:7" ht="10.5" customHeight="1" x14ac:dyDescent="0.2">
      <c r="G55548" s="889"/>
    </row>
    <row r="55549" spans="7:7" ht="10.5" customHeight="1" x14ac:dyDescent="0.2">
      <c r="G55549" s="889"/>
    </row>
    <row r="55550" spans="7:7" ht="10.5" customHeight="1" x14ac:dyDescent="0.2">
      <c r="G55550" s="889"/>
    </row>
    <row r="55551" spans="7:7" ht="10.5" customHeight="1" x14ac:dyDescent="0.2">
      <c r="G55551" s="889"/>
    </row>
    <row r="55552" spans="7:7" ht="10.5" customHeight="1" x14ac:dyDescent="0.2">
      <c r="G55552" s="889"/>
    </row>
    <row r="55553" spans="7:7" ht="10.5" customHeight="1" x14ac:dyDescent="0.2">
      <c r="G55553" s="889"/>
    </row>
    <row r="55554" spans="7:7" ht="10.5" customHeight="1" x14ac:dyDescent="0.2">
      <c r="G55554" s="889"/>
    </row>
    <row r="55555" spans="7:7" ht="10.5" customHeight="1" x14ac:dyDescent="0.2">
      <c r="G55555" s="889"/>
    </row>
    <row r="55556" spans="7:7" ht="10.5" customHeight="1" x14ac:dyDescent="0.2">
      <c r="G55556" s="889"/>
    </row>
    <row r="55557" spans="7:7" ht="10.5" customHeight="1" x14ac:dyDescent="0.2">
      <c r="G55557" s="889"/>
    </row>
    <row r="55558" spans="7:7" ht="10.5" customHeight="1" x14ac:dyDescent="0.2">
      <c r="G55558" s="889"/>
    </row>
    <row r="55559" spans="7:7" ht="10.5" customHeight="1" x14ac:dyDescent="0.2">
      <c r="G55559" s="889"/>
    </row>
    <row r="55560" spans="7:7" ht="10.5" customHeight="1" x14ac:dyDescent="0.2">
      <c r="G55560" s="889"/>
    </row>
    <row r="55561" spans="7:7" ht="10.5" customHeight="1" x14ac:dyDescent="0.2">
      <c r="G55561" s="889"/>
    </row>
    <row r="55562" spans="7:7" ht="10.5" customHeight="1" x14ac:dyDescent="0.2">
      <c r="G55562" s="889"/>
    </row>
    <row r="55563" spans="7:7" ht="10.5" customHeight="1" x14ac:dyDescent="0.2">
      <c r="G55563" s="889"/>
    </row>
    <row r="55564" spans="7:7" ht="10.5" customHeight="1" x14ac:dyDescent="0.2">
      <c r="G55564" s="889"/>
    </row>
    <row r="55565" spans="7:7" ht="10.5" customHeight="1" x14ac:dyDescent="0.2">
      <c r="G55565" s="889"/>
    </row>
    <row r="55566" spans="7:7" ht="10.5" customHeight="1" x14ac:dyDescent="0.2">
      <c r="G55566" s="889"/>
    </row>
    <row r="55567" spans="7:7" ht="10.5" customHeight="1" x14ac:dyDescent="0.2">
      <c r="G55567" s="889"/>
    </row>
    <row r="55568" spans="7:7" ht="10.5" customHeight="1" x14ac:dyDescent="0.2">
      <c r="G55568" s="889"/>
    </row>
    <row r="55569" spans="7:7" ht="10.5" customHeight="1" x14ac:dyDescent="0.2">
      <c r="G55569" s="889"/>
    </row>
    <row r="55570" spans="7:7" ht="10.5" customHeight="1" x14ac:dyDescent="0.2">
      <c r="G55570" s="889"/>
    </row>
    <row r="55571" spans="7:7" ht="10.5" customHeight="1" x14ac:dyDescent="0.2">
      <c r="G55571" s="889"/>
    </row>
    <row r="55572" spans="7:7" ht="10.5" customHeight="1" x14ac:dyDescent="0.2">
      <c r="G55572" s="889"/>
    </row>
    <row r="55573" spans="7:7" ht="10.5" customHeight="1" x14ac:dyDescent="0.2">
      <c r="G55573" s="889"/>
    </row>
    <row r="55574" spans="7:7" ht="10.5" customHeight="1" x14ac:dyDescent="0.2">
      <c r="G55574" s="889"/>
    </row>
    <row r="55575" spans="7:7" ht="10.5" customHeight="1" x14ac:dyDescent="0.2">
      <c r="G55575" s="889"/>
    </row>
    <row r="55576" spans="7:7" ht="10.5" customHeight="1" x14ac:dyDescent="0.2">
      <c r="G55576" s="889"/>
    </row>
    <row r="55577" spans="7:7" ht="10.5" customHeight="1" x14ac:dyDescent="0.2">
      <c r="G55577" s="889"/>
    </row>
    <row r="55578" spans="7:7" ht="10.5" customHeight="1" x14ac:dyDescent="0.2">
      <c r="G55578" s="889"/>
    </row>
    <row r="55579" spans="7:7" ht="10.5" customHeight="1" x14ac:dyDescent="0.2">
      <c r="G55579" s="889"/>
    </row>
    <row r="55580" spans="7:7" ht="10.5" customHeight="1" x14ac:dyDescent="0.2">
      <c r="G55580" s="889"/>
    </row>
    <row r="55581" spans="7:7" ht="10.5" customHeight="1" x14ac:dyDescent="0.2">
      <c r="G55581" s="889"/>
    </row>
    <row r="55582" spans="7:7" ht="10.5" customHeight="1" x14ac:dyDescent="0.2">
      <c r="G55582" s="889"/>
    </row>
    <row r="55583" spans="7:7" ht="10.5" customHeight="1" x14ac:dyDescent="0.2">
      <c r="G55583" s="889"/>
    </row>
    <row r="55584" spans="7:7" ht="10.5" customHeight="1" x14ac:dyDescent="0.2">
      <c r="G55584" s="889"/>
    </row>
    <row r="55585" spans="7:7" ht="10.5" customHeight="1" x14ac:dyDescent="0.2">
      <c r="G55585" s="889"/>
    </row>
    <row r="55586" spans="7:7" ht="10.5" customHeight="1" x14ac:dyDescent="0.2">
      <c r="G55586" s="889"/>
    </row>
    <row r="55587" spans="7:7" ht="10.5" customHeight="1" x14ac:dyDescent="0.2">
      <c r="G55587" s="889"/>
    </row>
    <row r="55588" spans="7:7" ht="10.5" customHeight="1" x14ac:dyDescent="0.2">
      <c r="G55588" s="889"/>
    </row>
    <row r="55589" spans="7:7" ht="10.5" customHeight="1" x14ac:dyDescent="0.2">
      <c r="G55589" s="889"/>
    </row>
    <row r="55590" spans="7:7" ht="10.5" customHeight="1" x14ac:dyDescent="0.2">
      <c r="G55590" s="889"/>
    </row>
    <row r="55591" spans="7:7" ht="10.5" customHeight="1" x14ac:dyDescent="0.2">
      <c r="G55591" s="889"/>
    </row>
    <row r="55592" spans="7:7" ht="10.5" customHeight="1" x14ac:dyDescent="0.2">
      <c r="G55592" s="889"/>
    </row>
    <row r="55593" spans="7:7" ht="10.5" customHeight="1" x14ac:dyDescent="0.2">
      <c r="G55593" s="889"/>
    </row>
    <row r="55594" spans="7:7" ht="10.5" customHeight="1" x14ac:dyDescent="0.2">
      <c r="G55594" s="889"/>
    </row>
    <row r="55595" spans="7:7" ht="10.5" customHeight="1" x14ac:dyDescent="0.2">
      <c r="G55595" s="889"/>
    </row>
    <row r="55596" spans="7:7" ht="10.5" customHeight="1" x14ac:dyDescent="0.2">
      <c r="G55596" s="889"/>
    </row>
    <row r="55597" spans="7:7" ht="10.5" customHeight="1" x14ac:dyDescent="0.2">
      <c r="G55597" s="889"/>
    </row>
    <row r="55598" spans="7:7" ht="10.5" customHeight="1" x14ac:dyDescent="0.2">
      <c r="G55598" s="889"/>
    </row>
    <row r="55599" spans="7:7" ht="10.5" customHeight="1" x14ac:dyDescent="0.2">
      <c r="G55599" s="889"/>
    </row>
    <row r="55600" spans="7:7" ht="10.5" customHeight="1" x14ac:dyDescent="0.2">
      <c r="G55600" s="889"/>
    </row>
    <row r="55601" spans="7:7" ht="10.5" customHeight="1" x14ac:dyDescent="0.2">
      <c r="G55601" s="889"/>
    </row>
    <row r="55602" spans="7:7" ht="10.5" customHeight="1" x14ac:dyDescent="0.2">
      <c r="G55602" s="889"/>
    </row>
    <row r="55603" spans="7:7" ht="10.5" customHeight="1" x14ac:dyDescent="0.2">
      <c r="G55603" s="889"/>
    </row>
    <row r="55604" spans="7:7" ht="10.5" customHeight="1" x14ac:dyDescent="0.2">
      <c r="G55604" s="889"/>
    </row>
    <row r="55605" spans="7:7" ht="10.5" customHeight="1" x14ac:dyDescent="0.2">
      <c r="G55605" s="889"/>
    </row>
    <row r="55606" spans="7:7" ht="10.5" customHeight="1" x14ac:dyDescent="0.2">
      <c r="G55606" s="889"/>
    </row>
    <row r="55607" spans="7:7" ht="10.5" customHeight="1" x14ac:dyDescent="0.2">
      <c r="G55607" s="889"/>
    </row>
    <row r="55608" spans="7:7" ht="10.5" customHeight="1" x14ac:dyDescent="0.2">
      <c r="G55608" s="889"/>
    </row>
    <row r="55609" spans="7:7" ht="10.5" customHeight="1" x14ac:dyDescent="0.2">
      <c r="G55609" s="889"/>
    </row>
    <row r="55610" spans="7:7" ht="10.5" customHeight="1" x14ac:dyDescent="0.2">
      <c r="G55610" s="889"/>
    </row>
    <row r="55611" spans="7:7" ht="10.5" customHeight="1" x14ac:dyDescent="0.2">
      <c r="G55611" s="889"/>
    </row>
    <row r="55612" spans="7:7" ht="10.5" customHeight="1" x14ac:dyDescent="0.2">
      <c r="G55612" s="889"/>
    </row>
    <row r="55613" spans="7:7" ht="10.5" customHeight="1" x14ac:dyDescent="0.2">
      <c r="G55613" s="889"/>
    </row>
    <row r="55614" spans="7:7" ht="10.5" customHeight="1" x14ac:dyDescent="0.2">
      <c r="G55614" s="889"/>
    </row>
    <row r="55615" spans="7:7" ht="10.5" customHeight="1" x14ac:dyDescent="0.2">
      <c r="G55615" s="889"/>
    </row>
    <row r="55616" spans="7:7" ht="10.5" customHeight="1" x14ac:dyDescent="0.2">
      <c r="G55616" s="889"/>
    </row>
    <row r="55617" spans="7:7" ht="10.5" customHeight="1" x14ac:dyDescent="0.2">
      <c r="G55617" s="889"/>
    </row>
    <row r="55618" spans="7:7" ht="10.5" customHeight="1" x14ac:dyDescent="0.2">
      <c r="G55618" s="889"/>
    </row>
    <row r="55619" spans="7:7" ht="10.5" customHeight="1" x14ac:dyDescent="0.2">
      <c r="G55619" s="889"/>
    </row>
    <row r="55620" spans="7:7" ht="10.5" customHeight="1" x14ac:dyDescent="0.2">
      <c r="G55620" s="889"/>
    </row>
    <row r="55621" spans="7:7" ht="10.5" customHeight="1" x14ac:dyDescent="0.2">
      <c r="G55621" s="889"/>
    </row>
    <row r="55622" spans="7:7" ht="10.5" customHeight="1" x14ac:dyDescent="0.2">
      <c r="G55622" s="889"/>
    </row>
    <row r="55623" spans="7:7" ht="10.5" customHeight="1" x14ac:dyDescent="0.2">
      <c r="G55623" s="889"/>
    </row>
    <row r="55624" spans="7:7" ht="10.5" customHeight="1" x14ac:dyDescent="0.2">
      <c r="G55624" s="889"/>
    </row>
    <row r="55625" spans="7:7" ht="10.5" customHeight="1" x14ac:dyDescent="0.2">
      <c r="G55625" s="889"/>
    </row>
    <row r="55626" spans="7:7" ht="10.5" customHeight="1" x14ac:dyDescent="0.2">
      <c r="G55626" s="889"/>
    </row>
    <row r="55627" spans="7:7" ht="10.5" customHeight="1" x14ac:dyDescent="0.2">
      <c r="G55627" s="889"/>
    </row>
    <row r="55628" spans="7:7" ht="10.5" customHeight="1" x14ac:dyDescent="0.2">
      <c r="G55628" s="889"/>
    </row>
    <row r="55629" spans="7:7" ht="10.5" customHeight="1" x14ac:dyDescent="0.2">
      <c r="G55629" s="889"/>
    </row>
    <row r="55630" spans="7:7" ht="10.5" customHeight="1" x14ac:dyDescent="0.2">
      <c r="G55630" s="889"/>
    </row>
    <row r="55631" spans="7:7" ht="10.5" customHeight="1" x14ac:dyDescent="0.2">
      <c r="G55631" s="889"/>
    </row>
    <row r="55632" spans="7:7" ht="10.5" customHeight="1" x14ac:dyDescent="0.2">
      <c r="G55632" s="889"/>
    </row>
    <row r="55633" spans="7:7" ht="10.5" customHeight="1" x14ac:dyDescent="0.2">
      <c r="G55633" s="889"/>
    </row>
    <row r="55634" spans="7:7" ht="10.5" customHeight="1" x14ac:dyDescent="0.2">
      <c r="G55634" s="889"/>
    </row>
    <row r="55635" spans="7:7" ht="10.5" customHeight="1" x14ac:dyDescent="0.2">
      <c r="G55635" s="889"/>
    </row>
    <row r="55636" spans="7:7" ht="10.5" customHeight="1" x14ac:dyDescent="0.2">
      <c r="G55636" s="889"/>
    </row>
    <row r="55637" spans="7:7" ht="10.5" customHeight="1" x14ac:dyDescent="0.2">
      <c r="G55637" s="889"/>
    </row>
    <row r="55638" spans="7:7" ht="10.5" customHeight="1" x14ac:dyDescent="0.2">
      <c r="G55638" s="889"/>
    </row>
    <row r="55639" spans="7:7" ht="10.5" customHeight="1" x14ac:dyDescent="0.2">
      <c r="G55639" s="889"/>
    </row>
    <row r="55640" spans="7:7" ht="10.5" customHeight="1" x14ac:dyDescent="0.2">
      <c r="G55640" s="889"/>
    </row>
    <row r="55641" spans="7:7" ht="10.5" customHeight="1" x14ac:dyDescent="0.2">
      <c r="G55641" s="889"/>
    </row>
    <row r="55642" spans="7:7" ht="10.5" customHeight="1" x14ac:dyDescent="0.2">
      <c r="G55642" s="889"/>
    </row>
    <row r="55643" spans="7:7" ht="10.5" customHeight="1" x14ac:dyDescent="0.2">
      <c r="G55643" s="889"/>
    </row>
    <row r="55644" spans="7:7" ht="10.5" customHeight="1" x14ac:dyDescent="0.2">
      <c r="G55644" s="889"/>
    </row>
    <row r="55645" spans="7:7" ht="10.5" customHeight="1" x14ac:dyDescent="0.2">
      <c r="G55645" s="889"/>
    </row>
    <row r="55646" spans="7:7" ht="10.5" customHeight="1" x14ac:dyDescent="0.2">
      <c r="G55646" s="889"/>
    </row>
    <row r="55647" spans="7:7" ht="10.5" customHeight="1" x14ac:dyDescent="0.2">
      <c r="G55647" s="889"/>
    </row>
    <row r="55648" spans="7:7" ht="10.5" customHeight="1" x14ac:dyDescent="0.2">
      <c r="G55648" s="889"/>
    </row>
    <row r="55649" spans="7:7" ht="10.5" customHeight="1" x14ac:dyDescent="0.2">
      <c r="G55649" s="889"/>
    </row>
    <row r="55650" spans="7:7" ht="10.5" customHeight="1" x14ac:dyDescent="0.2">
      <c r="G55650" s="889"/>
    </row>
    <row r="55651" spans="7:7" ht="10.5" customHeight="1" x14ac:dyDescent="0.2">
      <c r="G55651" s="889"/>
    </row>
    <row r="55652" spans="7:7" ht="10.5" customHeight="1" x14ac:dyDescent="0.2">
      <c r="G55652" s="889"/>
    </row>
    <row r="55653" spans="7:7" ht="10.5" customHeight="1" x14ac:dyDescent="0.2">
      <c r="G55653" s="889"/>
    </row>
    <row r="55654" spans="7:7" ht="10.5" customHeight="1" x14ac:dyDescent="0.2">
      <c r="G55654" s="889"/>
    </row>
    <row r="55655" spans="7:7" ht="10.5" customHeight="1" x14ac:dyDescent="0.2">
      <c r="G55655" s="889"/>
    </row>
    <row r="55656" spans="7:7" ht="10.5" customHeight="1" x14ac:dyDescent="0.2">
      <c r="G55656" s="889"/>
    </row>
    <row r="55657" spans="7:7" ht="10.5" customHeight="1" x14ac:dyDescent="0.2">
      <c r="G55657" s="889"/>
    </row>
    <row r="55658" spans="7:7" ht="10.5" customHeight="1" x14ac:dyDescent="0.2">
      <c r="G55658" s="889"/>
    </row>
    <row r="55659" spans="7:7" ht="10.5" customHeight="1" x14ac:dyDescent="0.2">
      <c r="G55659" s="889"/>
    </row>
    <row r="55660" spans="7:7" ht="10.5" customHeight="1" x14ac:dyDescent="0.2">
      <c r="G55660" s="889"/>
    </row>
    <row r="55661" spans="7:7" ht="10.5" customHeight="1" x14ac:dyDescent="0.2">
      <c r="G55661" s="889"/>
    </row>
    <row r="55662" spans="7:7" ht="10.5" customHeight="1" x14ac:dyDescent="0.2">
      <c r="G55662" s="889"/>
    </row>
    <row r="55663" spans="7:7" ht="10.5" customHeight="1" x14ac:dyDescent="0.2">
      <c r="G55663" s="889"/>
    </row>
    <row r="55664" spans="7:7" ht="10.5" customHeight="1" x14ac:dyDescent="0.2">
      <c r="G55664" s="889"/>
    </row>
    <row r="55665" spans="7:7" ht="10.5" customHeight="1" x14ac:dyDescent="0.2">
      <c r="G55665" s="889"/>
    </row>
    <row r="55666" spans="7:7" ht="10.5" customHeight="1" x14ac:dyDescent="0.2">
      <c r="G55666" s="889"/>
    </row>
    <row r="55667" spans="7:7" ht="10.5" customHeight="1" x14ac:dyDescent="0.2">
      <c r="G55667" s="889"/>
    </row>
    <row r="55668" spans="7:7" ht="10.5" customHeight="1" x14ac:dyDescent="0.2">
      <c r="G55668" s="889"/>
    </row>
    <row r="55669" spans="7:7" ht="10.5" customHeight="1" x14ac:dyDescent="0.2">
      <c r="G55669" s="889"/>
    </row>
    <row r="55670" spans="7:7" ht="10.5" customHeight="1" x14ac:dyDescent="0.2">
      <c r="G55670" s="889"/>
    </row>
    <row r="55671" spans="7:7" ht="10.5" customHeight="1" x14ac:dyDescent="0.2">
      <c r="G55671" s="889"/>
    </row>
    <row r="55672" spans="7:7" ht="10.5" customHeight="1" x14ac:dyDescent="0.2">
      <c r="G55672" s="889"/>
    </row>
    <row r="55673" spans="7:7" ht="10.5" customHeight="1" x14ac:dyDescent="0.2">
      <c r="G55673" s="889"/>
    </row>
    <row r="55674" spans="7:7" ht="10.5" customHeight="1" x14ac:dyDescent="0.2">
      <c r="G55674" s="889"/>
    </row>
    <row r="55675" spans="7:7" ht="10.5" customHeight="1" x14ac:dyDescent="0.2">
      <c r="G55675" s="889"/>
    </row>
    <row r="55676" spans="7:7" ht="10.5" customHeight="1" x14ac:dyDescent="0.2">
      <c r="G55676" s="889"/>
    </row>
    <row r="55677" spans="7:7" ht="10.5" customHeight="1" x14ac:dyDescent="0.2">
      <c r="G55677" s="889"/>
    </row>
    <row r="55678" spans="7:7" ht="10.5" customHeight="1" x14ac:dyDescent="0.2">
      <c r="G55678" s="889"/>
    </row>
    <row r="55679" spans="7:7" ht="10.5" customHeight="1" x14ac:dyDescent="0.2">
      <c r="G55679" s="889"/>
    </row>
    <row r="55680" spans="7:7" ht="10.5" customHeight="1" x14ac:dyDescent="0.2">
      <c r="G55680" s="889"/>
    </row>
    <row r="55681" spans="7:7" ht="10.5" customHeight="1" x14ac:dyDescent="0.2">
      <c r="G55681" s="889"/>
    </row>
    <row r="55682" spans="7:7" ht="10.5" customHeight="1" x14ac:dyDescent="0.2">
      <c r="G55682" s="889"/>
    </row>
    <row r="55683" spans="7:7" ht="10.5" customHeight="1" x14ac:dyDescent="0.2">
      <c r="G55683" s="889"/>
    </row>
    <row r="55684" spans="7:7" ht="10.5" customHeight="1" x14ac:dyDescent="0.2">
      <c r="G55684" s="889"/>
    </row>
    <row r="55685" spans="7:7" ht="10.5" customHeight="1" x14ac:dyDescent="0.2">
      <c r="G55685" s="889"/>
    </row>
    <row r="55686" spans="7:7" ht="10.5" customHeight="1" x14ac:dyDescent="0.2">
      <c r="G55686" s="889"/>
    </row>
    <row r="55687" spans="7:7" ht="10.5" customHeight="1" x14ac:dyDescent="0.2">
      <c r="G55687" s="889"/>
    </row>
    <row r="55688" spans="7:7" ht="10.5" customHeight="1" x14ac:dyDescent="0.2">
      <c r="G55688" s="889"/>
    </row>
    <row r="55689" spans="7:7" ht="10.5" customHeight="1" x14ac:dyDescent="0.2">
      <c r="G55689" s="889"/>
    </row>
    <row r="55690" spans="7:7" ht="10.5" customHeight="1" x14ac:dyDescent="0.2">
      <c r="G55690" s="889"/>
    </row>
    <row r="55691" spans="7:7" ht="10.5" customHeight="1" x14ac:dyDescent="0.2">
      <c r="G55691" s="889"/>
    </row>
    <row r="55692" spans="7:7" ht="10.5" customHeight="1" x14ac:dyDescent="0.2">
      <c r="G55692" s="889"/>
    </row>
    <row r="55693" spans="7:7" ht="10.5" customHeight="1" x14ac:dyDescent="0.2">
      <c r="G55693" s="889"/>
    </row>
    <row r="55694" spans="7:7" ht="10.5" customHeight="1" x14ac:dyDescent="0.2">
      <c r="G55694" s="889"/>
    </row>
    <row r="55695" spans="7:7" ht="10.5" customHeight="1" x14ac:dyDescent="0.2">
      <c r="G55695" s="889"/>
    </row>
    <row r="55696" spans="7:7" ht="10.5" customHeight="1" x14ac:dyDescent="0.2">
      <c r="G55696" s="889"/>
    </row>
    <row r="55697" spans="7:7" ht="10.5" customHeight="1" x14ac:dyDescent="0.2">
      <c r="G55697" s="889"/>
    </row>
    <row r="55698" spans="7:7" ht="10.5" customHeight="1" x14ac:dyDescent="0.2">
      <c r="G55698" s="889"/>
    </row>
    <row r="55699" spans="7:7" ht="10.5" customHeight="1" x14ac:dyDescent="0.2">
      <c r="G55699" s="889"/>
    </row>
    <row r="55700" spans="7:7" ht="10.5" customHeight="1" x14ac:dyDescent="0.2">
      <c r="G55700" s="889"/>
    </row>
    <row r="55701" spans="7:7" ht="10.5" customHeight="1" x14ac:dyDescent="0.2">
      <c r="G55701" s="889"/>
    </row>
    <row r="55702" spans="7:7" ht="10.5" customHeight="1" x14ac:dyDescent="0.2">
      <c r="G55702" s="889"/>
    </row>
    <row r="55703" spans="7:7" ht="10.5" customHeight="1" x14ac:dyDescent="0.2">
      <c r="G55703" s="889"/>
    </row>
    <row r="55704" spans="7:7" ht="10.5" customHeight="1" x14ac:dyDescent="0.2">
      <c r="G55704" s="889"/>
    </row>
    <row r="55705" spans="7:7" ht="10.5" customHeight="1" x14ac:dyDescent="0.2">
      <c r="G55705" s="889"/>
    </row>
    <row r="55706" spans="7:7" ht="10.5" customHeight="1" x14ac:dyDescent="0.2">
      <c r="G55706" s="889"/>
    </row>
    <row r="55707" spans="7:7" ht="10.5" customHeight="1" x14ac:dyDescent="0.2">
      <c r="G55707" s="889"/>
    </row>
    <row r="55708" spans="7:7" ht="10.5" customHeight="1" x14ac:dyDescent="0.2">
      <c r="G55708" s="889"/>
    </row>
    <row r="55709" spans="7:7" ht="10.5" customHeight="1" x14ac:dyDescent="0.2">
      <c r="G55709" s="889"/>
    </row>
    <row r="55710" spans="7:7" ht="10.5" customHeight="1" x14ac:dyDescent="0.2">
      <c r="G55710" s="889"/>
    </row>
    <row r="55711" spans="7:7" ht="10.5" customHeight="1" x14ac:dyDescent="0.2">
      <c r="G55711" s="889"/>
    </row>
    <row r="55712" spans="7:7" ht="10.5" customHeight="1" x14ac:dyDescent="0.2">
      <c r="G55712" s="889"/>
    </row>
    <row r="55713" spans="7:7" ht="10.5" customHeight="1" x14ac:dyDescent="0.2">
      <c r="G55713" s="889"/>
    </row>
    <row r="55714" spans="7:7" ht="10.5" customHeight="1" x14ac:dyDescent="0.2">
      <c r="G55714" s="889"/>
    </row>
    <row r="55715" spans="7:7" ht="10.5" customHeight="1" x14ac:dyDescent="0.2">
      <c r="G55715" s="889"/>
    </row>
    <row r="55716" spans="7:7" ht="10.5" customHeight="1" x14ac:dyDescent="0.2">
      <c r="G55716" s="889"/>
    </row>
    <row r="55717" spans="7:7" ht="10.5" customHeight="1" x14ac:dyDescent="0.2">
      <c r="G55717" s="889"/>
    </row>
    <row r="55718" spans="7:7" ht="10.5" customHeight="1" x14ac:dyDescent="0.2">
      <c r="G55718" s="889"/>
    </row>
    <row r="55719" spans="7:7" ht="10.5" customHeight="1" x14ac:dyDescent="0.2">
      <c r="G55719" s="889"/>
    </row>
    <row r="55720" spans="7:7" ht="10.5" customHeight="1" x14ac:dyDescent="0.2">
      <c r="G55720" s="889"/>
    </row>
    <row r="55721" spans="7:7" ht="10.5" customHeight="1" x14ac:dyDescent="0.2">
      <c r="G55721" s="889"/>
    </row>
    <row r="55722" spans="7:7" ht="10.5" customHeight="1" x14ac:dyDescent="0.2">
      <c r="G55722" s="889"/>
    </row>
    <row r="55723" spans="7:7" ht="10.5" customHeight="1" x14ac:dyDescent="0.2">
      <c r="G55723" s="889"/>
    </row>
    <row r="55724" spans="7:7" ht="10.5" customHeight="1" x14ac:dyDescent="0.2">
      <c r="G55724" s="889"/>
    </row>
    <row r="55725" spans="7:7" ht="10.5" customHeight="1" x14ac:dyDescent="0.2">
      <c r="G55725" s="889"/>
    </row>
    <row r="55726" spans="7:7" ht="10.5" customHeight="1" x14ac:dyDescent="0.2">
      <c r="G55726" s="889"/>
    </row>
    <row r="55727" spans="7:7" ht="10.5" customHeight="1" x14ac:dyDescent="0.2">
      <c r="G55727" s="889"/>
    </row>
    <row r="55728" spans="7:7" ht="10.5" customHeight="1" x14ac:dyDescent="0.2">
      <c r="G55728" s="889"/>
    </row>
    <row r="55729" spans="7:7" ht="10.5" customHeight="1" x14ac:dyDescent="0.2">
      <c r="G55729" s="889"/>
    </row>
    <row r="55730" spans="7:7" ht="10.5" customHeight="1" x14ac:dyDescent="0.2">
      <c r="G55730" s="889"/>
    </row>
    <row r="55731" spans="7:7" ht="10.5" customHeight="1" x14ac:dyDescent="0.2">
      <c r="G55731" s="889"/>
    </row>
    <row r="55732" spans="7:7" ht="10.5" customHeight="1" x14ac:dyDescent="0.2">
      <c r="G55732" s="889"/>
    </row>
    <row r="55733" spans="7:7" ht="10.5" customHeight="1" x14ac:dyDescent="0.2">
      <c r="G55733" s="889"/>
    </row>
    <row r="55734" spans="7:7" ht="10.5" customHeight="1" x14ac:dyDescent="0.2">
      <c r="G55734" s="889"/>
    </row>
    <row r="55735" spans="7:7" ht="10.5" customHeight="1" x14ac:dyDescent="0.2">
      <c r="G55735" s="889"/>
    </row>
    <row r="55736" spans="7:7" ht="10.5" customHeight="1" x14ac:dyDescent="0.2">
      <c r="G55736" s="889"/>
    </row>
    <row r="55737" spans="7:7" ht="10.5" customHeight="1" x14ac:dyDescent="0.2">
      <c r="G55737" s="889"/>
    </row>
    <row r="55738" spans="7:7" ht="10.5" customHeight="1" x14ac:dyDescent="0.2">
      <c r="G55738" s="889"/>
    </row>
    <row r="55739" spans="7:7" ht="10.5" customHeight="1" x14ac:dyDescent="0.2">
      <c r="G55739" s="889"/>
    </row>
    <row r="55740" spans="7:7" ht="10.5" customHeight="1" x14ac:dyDescent="0.2">
      <c r="G55740" s="889"/>
    </row>
    <row r="55741" spans="7:7" ht="10.5" customHeight="1" x14ac:dyDescent="0.2">
      <c r="G55741" s="889"/>
    </row>
    <row r="55742" spans="7:7" ht="10.5" customHeight="1" x14ac:dyDescent="0.2">
      <c r="G55742" s="889"/>
    </row>
    <row r="55743" spans="7:7" ht="10.5" customHeight="1" x14ac:dyDescent="0.2">
      <c r="G55743" s="889"/>
    </row>
    <row r="55744" spans="7:7" ht="10.5" customHeight="1" x14ac:dyDescent="0.2">
      <c r="G55744" s="889"/>
    </row>
    <row r="55745" spans="7:7" ht="10.5" customHeight="1" x14ac:dyDescent="0.2">
      <c r="G55745" s="889"/>
    </row>
    <row r="55746" spans="7:7" ht="10.5" customHeight="1" x14ac:dyDescent="0.2">
      <c r="G55746" s="889"/>
    </row>
    <row r="55747" spans="7:7" ht="10.5" customHeight="1" x14ac:dyDescent="0.2">
      <c r="G55747" s="889"/>
    </row>
    <row r="55748" spans="7:7" ht="10.5" customHeight="1" x14ac:dyDescent="0.2">
      <c r="G55748" s="889"/>
    </row>
    <row r="55749" spans="7:7" ht="10.5" customHeight="1" x14ac:dyDescent="0.2">
      <c r="G55749" s="889"/>
    </row>
    <row r="55750" spans="7:7" ht="10.5" customHeight="1" x14ac:dyDescent="0.2">
      <c r="G55750" s="889"/>
    </row>
    <row r="55751" spans="7:7" ht="10.5" customHeight="1" x14ac:dyDescent="0.2">
      <c r="G55751" s="889"/>
    </row>
    <row r="55752" spans="7:7" ht="10.5" customHeight="1" x14ac:dyDescent="0.2">
      <c r="G55752" s="889"/>
    </row>
    <row r="55753" spans="7:7" ht="10.5" customHeight="1" x14ac:dyDescent="0.2">
      <c r="G55753" s="889"/>
    </row>
    <row r="55754" spans="7:7" ht="10.5" customHeight="1" x14ac:dyDescent="0.2">
      <c r="G55754" s="889"/>
    </row>
    <row r="55755" spans="7:7" ht="10.5" customHeight="1" x14ac:dyDescent="0.2">
      <c r="G55755" s="889"/>
    </row>
    <row r="55756" spans="7:7" ht="10.5" customHeight="1" x14ac:dyDescent="0.2">
      <c r="G55756" s="889"/>
    </row>
    <row r="55757" spans="7:7" ht="10.5" customHeight="1" x14ac:dyDescent="0.2">
      <c r="G55757" s="889"/>
    </row>
    <row r="55758" spans="7:7" ht="10.5" customHeight="1" x14ac:dyDescent="0.2">
      <c r="G55758" s="889"/>
    </row>
    <row r="55759" spans="7:7" ht="10.5" customHeight="1" x14ac:dyDescent="0.2">
      <c r="G55759" s="889"/>
    </row>
    <row r="55760" spans="7:7" ht="10.5" customHeight="1" x14ac:dyDescent="0.2">
      <c r="G55760" s="889"/>
    </row>
    <row r="55761" spans="7:7" ht="10.5" customHeight="1" x14ac:dyDescent="0.2">
      <c r="G55761" s="889"/>
    </row>
    <row r="55762" spans="7:7" ht="10.5" customHeight="1" x14ac:dyDescent="0.2">
      <c r="G55762" s="889"/>
    </row>
    <row r="55763" spans="7:7" ht="10.5" customHeight="1" x14ac:dyDescent="0.2">
      <c r="G55763" s="889"/>
    </row>
    <row r="55764" spans="7:7" ht="10.5" customHeight="1" x14ac:dyDescent="0.2">
      <c r="G55764" s="889"/>
    </row>
    <row r="55765" spans="7:7" ht="10.5" customHeight="1" x14ac:dyDescent="0.2">
      <c r="G55765" s="889"/>
    </row>
    <row r="55766" spans="7:7" ht="10.5" customHeight="1" x14ac:dyDescent="0.2">
      <c r="G55766" s="889"/>
    </row>
    <row r="55767" spans="7:7" ht="10.5" customHeight="1" x14ac:dyDescent="0.2">
      <c r="G55767" s="889"/>
    </row>
    <row r="55768" spans="7:7" ht="10.5" customHeight="1" x14ac:dyDescent="0.2">
      <c r="G55768" s="889"/>
    </row>
    <row r="55769" spans="7:7" ht="10.5" customHeight="1" x14ac:dyDescent="0.2">
      <c r="G55769" s="889"/>
    </row>
    <row r="55770" spans="7:7" ht="10.5" customHeight="1" x14ac:dyDescent="0.2">
      <c r="G55770" s="889"/>
    </row>
    <row r="55771" spans="7:7" ht="10.5" customHeight="1" x14ac:dyDescent="0.2">
      <c r="G55771" s="889"/>
    </row>
    <row r="55772" spans="7:7" ht="10.5" customHeight="1" x14ac:dyDescent="0.2">
      <c r="G55772" s="889"/>
    </row>
    <row r="55773" spans="7:7" ht="10.5" customHeight="1" x14ac:dyDescent="0.2">
      <c r="G55773" s="889"/>
    </row>
    <row r="55774" spans="7:7" ht="10.5" customHeight="1" x14ac:dyDescent="0.2">
      <c r="G55774" s="889"/>
    </row>
    <row r="55775" spans="7:7" ht="10.5" customHeight="1" x14ac:dyDescent="0.2">
      <c r="G55775" s="889"/>
    </row>
    <row r="55776" spans="7:7" ht="10.5" customHeight="1" x14ac:dyDescent="0.2">
      <c r="G55776" s="889"/>
    </row>
    <row r="55777" spans="7:7" ht="10.5" customHeight="1" x14ac:dyDescent="0.2">
      <c r="G55777" s="889"/>
    </row>
    <row r="55778" spans="7:7" ht="10.5" customHeight="1" x14ac:dyDescent="0.2">
      <c r="G55778" s="889"/>
    </row>
    <row r="55779" spans="7:7" ht="10.5" customHeight="1" x14ac:dyDescent="0.2">
      <c r="G55779" s="889"/>
    </row>
    <row r="55780" spans="7:7" ht="10.5" customHeight="1" x14ac:dyDescent="0.2">
      <c r="G55780" s="889"/>
    </row>
    <row r="55781" spans="7:7" ht="10.5" customHeight="1" x14ac:dyDescent="0.2">
      <c r="G55781" s="889"/>
    </row>
    <row r="55782" spans="7:7" ht="10.5" customHeight="1" x14ac:dyDescent="0.2">
      <c r="G55782" s="889"/>
    </row>
    <row r="55783" spans="7:7" ht="10.5" customHeight="1" x14ac:dyDescent="0.2">
      <c r="G55783" s="889"/>
    </row>
    <row r="55784" spans="7:7" ht="10.5" customHeight="1" x14ac:dyDescent="0.2">
      <c r="G55784" s="889"/>
    </row>
    <row r="55785" spans="7:7" ht="10.5" customHeight="1" x14ac:dyDescent="0.2">
      <c r="G55785" s="889"/>
    </row>
    <row r="55786" spans="7:7" ht="10.5" customHeight="1" x14ac:dyDescent="0.2">
      <c r="G55786" s="889"/>
    </row>
    <row r="55787" spans="7:7" ht="10.5" customHeight="1" x14ac:dyDescent="0.2">
      <c r="G55787" s="889"/>
    </row>
    <row r="55788" spans="7:7" ht="10.5" customHeight="1" x14ac:dyDescent="0.2">
      <c r="G55788" s="889"/>
    </row>
    <row r="55789" spans="7:7" ht="10.5" customHeight="1" x14ac:dyDescent="0.2">
      <c r="G55789" s="889"/>
    </row>
    <row r="55790" spans="7:7" ht="10.5" customHeight="1" x14ac:dyDescent="0.2">
      <c r="G55790" s="889"/>
    </row>
    <row r="55791" spans="7:7" ht="10.5" customHeight="1" x14ac:dyDescent="0.2">
      <c r="G55791" s="889"/>
    </row>
    <row r="55792" spans="7:7" ht="10.5" customHeight="1" x14ac:dyDescent="0.2">
      <c r="G55792" s="889"/>
    </row>
    <row r="55793" spans="7:7" ht="10.5" customHeight="1" x14ac:dyDescent="0.2">
      <c r="G55793" s="889"/>
    </row>
    <row r="55794" spans="7:7" ht="10.5" customHeight="1" x14ac:dyDescent="0.2">
      <c r="G55794" s="889"/>
    </row>
    <row r="55795" spans="7:7" ht="10.5" customHeight="1" x14ac:dyDescent="0.2">
      <c r="G55795" s="889"/>
    </row>
    <row r="55796" spans="7:7" ht="10.5" customHeight="1" x14ac:dyDescent="0.2">
      <c r="G55796" s="889"/>
    </row>
    <row r="55797" spans="7:7" ht="10.5" customHeight="1" x14ac:dyDescent="0.2">
      <c r="G55797" s="889"/>
    </row>
    <row r="55798" spans="7:7" ht="10.5" customHeight="1" x14ac:dyDescent="0.2">
      <c r="G55798" s="889"/>
    </row>
    <row r="55799" spans="7:7" ht="10.5" customHeight="1" x14ac:dyDescent="0.2">
      <c r="G55799" s="889"/>
    </row>
    <row r="55800" spans="7:7" ht="10.5" customHeight="1" x14ac:dyDescent="0.2">
      <c r="G55800" s="889"/>
    </row>
    <row r="55801" spans="7:7" ht="10.5" customHeight="1" x14ac:dyDescent="0.2">
      <c r="G55801" s="889"/>
    </row>
    <row r="55802" spans="7:7" ht="10.5" customHeight="1" x14ac:dyDescent="0.2">
      <c r="G55802" s="889"/>
    </row>
    <row r="55803" spans="7:7" ht="10.5" customHeight="1" x14ac:dyDescent="0.2">
      <c r="G55803" s="889"/>
    </row>
    <row r="55804" spans="7:7" ht="10.5" customHeight="1" x14ac:dyDescent="0.2">
      <c r="G55804" s="889"/>
    </row>
    <row r="55805" spans="7:7" ht="10.5" customHeight="1" x14ac:dyDescent="0.2">
      <c r="G55805" s="889"/>
    </row>
    <row r="55806" spans="7:7" ht="10.5" customHeight="1" x14ac:dyDescent="0.2">
      <c r="G55806" s="889"/>
    </row>
    <row r="55807" spans="7:7" ht="10.5" customHeight="1" x14ac:dyDescent="0.2">
      <c r="G55807" s="889"/>
    </row>
    <row r="55808" spans="7:7" ht="10.5" customHeight="1" x14ac:dyDescent="0.2">
      <c r="G55808" s="889"/>
    </row>
    <row r="55809" spans="7:7" ht="10.5" customHeight="1" x14ac:dyDescent="0.2">
      <c r="G55809" s="889"/>
    </row>
    <row r="55810" spans="7:7" ht="10.5" customHeight="1" x14ac:dyDescent="0.2">
      <c r="G55810" s="889"/>
    </row>
    <row r="55811" spans="7:7" ht="10.5" customHeight="1" x14ac:dyDescent="0.2">
      <c r="G55811" s="889"/>
    </row>
    <row r="55812" spans="7:7" ht="10.5" customHeight="1" x14ac:dyDescent="0.2">
      <c r="G55812" s="889"/>
    </row>
    <row r="55813" spans="7:7" ht="10.5" customHeight="1" x14ac:dyDescent="0.2">
      <c r="G55813" s="889"/>
    </row>
    <row r="55814" spans="7:7" ht="10.5" customHeight="1" x14ac:dyDescent="0.2">
      <c r="G55814" s="889"/>
    </row>
    <row r="55815" spans="7:7" ht="10.5" customHeight="1" x14ac:dyDescent="0.2">
      <c r="G55815" s="889"/>
    </row>
    <row r="55816" spans="7:7" ht="10.5" customHeight="1" x14ac:dyDescent="0.2">
      <c r="G55816" s="889"/>
    </row>
    <row r="55817" spans="7:7" ht="10.5" customHeight="1" x14ac:dyDescent="0.2">
      <c r="G55817" s="889"/>
    </row>
    <row r="55818" spans="7:7" ht="10.5" customHeight="1" x14ac:dyDescent="0.2">
      <c r="G55818" s="889"/>
    </row>
    <row r="55819" spans="7:7" ht="10.5" customHeight="1" x14ac:dyDescent="0.2">
      <c r="G55819" s="889"/>
    </row>
    <row r="55820" spans="7:7" ht="10.5" customHeight="1" x14ac:dyDescent="0.2">
      <c r="G55820" s="889"/>
    </row>
    <row r="55821" spans="7:7" ht="10.5" customHeight="1" x14ac:dyDescent="0.2">
      <c r="G55821" s="889"/>
    </row>
    <row r="55822" spans="7:7" ht="10.5" customHeight="1" x14ac:dyDescent="0.2">
      <c r="G55822" s="889"/>
    </row>
    <row r="55823" spans="7:7" ht="10.5" customHeight="1" x14ac:dyDescent="0.2">
      <c r="G55823" s="889"/>
    </row>
    <row r="55824" spans="7:7" ht="10.5" customHeight="1" x14ac:dyDescent="0.2">
      <c r="G55824" s="889"/>
    </row>
    <row r="55825" spans="7:7" ht="10.5" customHeight="1" x14ac:dyDescent="0.2">
      <c r="G55825" s="889"/>
    </row>
    <row r="55826" spans="7:7" ht="10.5" customHeight="1" x14ac:dyDescent="0.2">
      <c r="G55826" s="889"/>
    </row>
    <row r="55827" spans="7:7" ht="10.5" customHeight="1" x14ac:dyDescent="0.2">
      <c r="G55827" s="889"/>
    </row>
    <row r="55828" spans="7:7" ht="10.5" customHeight="1" x14ac:dyDescent="0.2">
      <c r="G55828" s="889"/>
    </row>
    <row r="55829" spans="7:7" ht="10.5" customHeight="1" x14ac:dyDescent="0.2">
      <c r="G55829" s="889"/>
    </row>
    <row r="55830" spans="7:7" ht="10.5" customHeight="1" x14ac:dyDescent="0.2">
      <c r="G55830" s="889"/>
    </row>
    <row r="55831" spans="7:7" ht="10.5" customHeight="1" x14ac:dyDescent="0.2">
      <c r="G55831" s="889"/>
    </row>
    <row r="55832" spans="7:7" ht="10.5" customHeight="1" x14ac:dyDescent="0.2">
      <c r="G55832" s="889"/>
    </row>
    <row r="55833" spans="7:7" ht="10.5" customHeight="1" x14ac:dyDescent="0.2">
      <c r="G55833" s="889"/>
    </row>
    <row r="55834" spans="7:7" ht="10.5" customHeight="1" x14ac:dyDescent="0.2">
      <c r="G55834" s="889"/>
    </row>
    <row r="55835" spans="7:7" ht="10.5" customHeight="1" x14ac:dyDescent="0.2">
      <c r="G55835" s="889"/>
    </row>
    <row r="55836" spans="7:7" ht="10.5" customHeight="1" x14ac:dyDescent="0.2">
      <c r="G55836" s="889"/>
    </row>
    <row r="55837" spans="7:7" ht="10.5" customHeight="1" x14ac:dyDescent="0.2">
      <c r="G55837" s="889"/>
    </row>
    <row r="55838" spans="7:7" ht="10.5" customHeight="1" x14ac:dyDescent="0.2">
      <c r="G55838" s="889"/>
    </row>
    <row r="55839" spans="7:7" ht="10.5" customHeight="1" x14ac:dyDescent="0.2">
      <c r="G55839" s="889"/>
    </row>
    <row r="55840" spans="7:7" ht="10.5" customHeight="1" x14ac:dyDescent="0.2">
      <c r="G55840" s="889"/>
    </row>
    <row r="55841" spans="7:7" ht="10.5" customHeight="1" x14ac:dyDescent="0.2">
      <c r="G55841" s="889"/>
    </row>
    <row r="55842" spans="7:7" ht="10.5" customHeight="1" x14ac:dyDescent="0.2">
      <c r="G55842" s="889"/>
    </row>
    <row r="55843" spans="7:7" ht="10.5" customHeight="1" x14ac:dyDescent="0.2">
      <c r="G55843" s="889"/>
    </row>
    <row r="55844" spans="7:7" ht="10.5" customHeight="1" x14ac:dyDescent="0.2">
      <c r="G55844" s="889"/>
    </row>
    <row r="55845" spans="7:7" ht="10.5" customHeight="1" x14ac:dyDescent="0.2">
      <c r="G55845" s="889"/>
    </row>
    <row r="55846" spans="7:7" ht="10.5" customHeight="1" x14ac:dyDescent="0.2">
      <c r="G55846" s="889"/>
    </row>
    <row r="55847" spans="7:7" ht="10.5" customHeight="1" x14ac:dyDescent="0.2">
      <c r="G55847" s="889"/>
    </row>
    <row r="55848" spans="7:7" ht="10.5" customHeight="1" x14ac:dyDescent="0.2">
      <c r="G55848" s="889"/>
    </row>
    <row r="55849" spans="7:7" ht="10.5" customHeight="1" x14ac:dyDescent="0.2">
      <c r="G55849" s="889"/>
    </row>
    <row r="55850" spans="7:7" ht="10.5" customHeight="1" x14ac:dyDescent="0.2">
      <c r="G55850" s="889"/>
    </row>
    <row r="55851" spans="7:7" ht="10.5" customHeight="1" x14ac:dyDescent="0.2">
      <c r="G55851" s="889"/>
    </row>
    <row r="55852" spans="7:7" ht="10.5" customHeight="1" x14ac:dyDescent="0.2">
      <c r="G55852" s="889"/>
    </row>
    <row r="55853" spans="7:7" ht="10.5" customHeight="1" x14ac:dyDescent="0.2">
      <c r="G55853" s="889"/>
    </row>
    <row r="55854" spans="7:7" ht="10.5" customHeight="1" x14ac:dyDescent="0.2">
      <c r="G55854" s="889"/>
    </row>
    <row r="55855" spans="7:7" ht="10.5" customHeight="1" x14ac:dyDescent="0.2">
      <c r="G55855" s="889"/>
    </row>
    <row r="55856" spans="7:7" ht="10.5" customHeight="1" x14ac:dyDescent="0.2">
      <c r="G55856" s="889"/>
    </row>
    <row r="55857" spans="7:7" ht="10.5" customHeight="1" x14ac:dyDescent="0.2">
      <c r="G55857" s="889"/>
    </row>
    <row r="55858" spans="7:7" ht="10.5" customHeight="1" x14ac:dyDescent="0.2">
      <c r="G55858" s="889"/>
    </row>
    <row r="55859" spans="7:7" ht="10.5" customHeight="1" x14ac:dyDescent="0.2">
      <c r="G55859" s="889"/>
    </row>
    <row r="55860" spans="7:7" ht="10.5" customHeight="1" x14ac:dyDescent="0.2">
      <c r="G55860" s="889"/>
    </row>
    <row r="55861" spans="7:7" ht="10.5" customHeight="1" x14ac:dyDescent="0.2">
      <c r="G55861" s="889"/>
    </row>
    <row r="55862" spans="7:7" ht="10.5" customHeight="1" x14ac:dyDescent="0.2">
      <c r="G55862" s="889"/>
    </row>
    <row r="55863" spans="7:7" ht="10.5" customHeight="1" x14ac:dyDescent="0.2">
      <c r="G55863" s="889"/>
    </row>
    <row r="55864" spans="7:7" ht="10.5" customHeight="1" x14ac:dyDescent="0.2">
      <c r="G55864" s="889"/>
    </row>
    <row r="55865" spans="7:7" ht="10.5" customHeight="1" x14ac:dyDescent="0.2">
      <c r="G55865" s="889"/>
    </row>
    <row r="55866" spans="7:7" ht="10.5" customHeight="1" x14ac:dyDescent="0.2">
      <c r="G55866" s="889"/>
    </row>
    <row r="55867" spans="7:7" ht="10.5" customHeight="1" x14ac:dyDescent="0.2">
      <c r="G55867" s="889"/>
    </row>
    <row r="55868" spans="7:7" ht="10.5" customHeight="1" x14ac:dyDescent="0.2">
      <c r="G55868" s="889"/>
    </row>
    <row r="55869" spans="7:7" ht="10.5" customHeight="1" x14ac:dyDescent="0.2">
      <c r="G55869" s="889"/>
    </row>
    <row r="55870" spans="7:7" ht="10.5" customHeight="1" x14ac:dyDescent="0.2">
      <c r="G55870" s="889"/>
    </row>
    <row r="55871" spans="7:7" ht="10.5" customHeight="1" x14ac:dyDescent="0.2">
      <c r="G55871" s="889"/>
    </row>
    <row r="55872" spans="7:7" ht="10.5" customHeight="1" x14ac:dyDescent="0.2">
      <c r="G55872" s="889"/>
    </row>
    <row r="55873" spans="7:7" ht="10.5" customHeight="1" x14ac:dyDescent="0.2">
      <c r="G55873" s="889"/>
    </row>
    <row r="55874" spans="7:7" ht="10.5" customHeight="1" x14ac:dyDescent="0.2">
      <c r="G55874" s="889"/>
    </row>
    <row r="55875" spans="7:7" ht="10.5" customHeight="1" x14ac:dyDescent="0.2">
      <c r="G55875" s="889"/>
    </row>
    <row r="55876" spans="7:7" ht="10.5" customHeight="1" x14ac:dyDescent="0.2">
      <c r="G55876" s="889"/>
    </row>
    <row r="55877" spans="7:7" ht="10.5" customHeight="1" x14ac:dyDescent="0.2">
      <c r="G55877" s="889"/>
    </row>
    <row r="55878" spans="7:7" ht="10.5" customHeight="1" x14ac:dyDescent="0.2">
      <c r="G55878" s="889"/>
    </row>
    <row r="55879" spans="7:7" ht="10.5" customHeight="1" x14ac:dyDescent="0.2">
      <c r="G55879" s="889"/>
    </row>
    <row r="55880" spans="7:7" ht="10.5" customHeight="1" x14ac:dyDescent="0.2">
      <c r="G55880" s="889"/>
    </row>
    <row r="55881" spans="7:7" ht="10.5" customHeight="1" x14ac:dyDescent="0.2">
      <c r="G55881" s="889"/>
    </row>
    <row r="55882" spans="7:7" ht="10.5" customHeight="1" x14ac:dyDescent="0.2">
      <c r="G55882" s="889"/>
    </row>
    <row r="55883" spans="7:7" ht="10.5" customHeight="1" x14ac:dyDescent="0.2">
      <c r="G55883" s="889"/>
    </row>
    <row r="55884" spans="7:7" ht="10.5" customHeight="1" x14ac:dyDescent="0.2">
      <c r="G55884" s="889"/>
    </row>
    <row r="55885" spans="7:7" ht="10.5" customHeight="1" x14ac:dyDescent="0.2">
      <c r="G55885" s="889"/>
    </row>
    <row r="55886" spans="7:7" ht="10.5" customHeight="1" x14ac:dyDescent="0.2">
      <c r="G55886" s="889"/>
    </row>
    <row r="55887" spans="7:7" ht="10.5" customHeight="1" x14ac:dyDescent="0.2">
      <c r="G55887" s="889"/>
    </row>
    <row r="55888" spans="7:7" ht="10.5" customHeight="1" x14ac:dyDescent="0.2">
      <c r="G55888" s="889"/>
    </row>
    <row r="55889" spans="7:7" ht="10.5" customHeight="1" x14ac:dyDescent="0.2">
      <c r="G55889" s="889"/>
    </row>
    <row r="55890" spans="7:7" ht="10.5" customHeight="1" x14ac:dyDescent="0.2">
      <c r="G55890" s="889"/>
    </row>
    <row r="55891" spans="7:7" ht="10.5" customHeight="1" x14ac:dyDescent="0.2">
      <c r="G55891" s="889"/>
    </row>
    <row r="55892" spans="7:7" ht="10.5" customHeight="1" x14ac:dyDescent="0.2">
      <c r="G55892" s="889"/>
    </row>
    <row r="55893" spans="7:7" ht="10.5" customHeight="1" x14ac:dyDescent="0.2">
      <c r="G55893" s="889"/>
    </row>
    <row r="55894" spans="7:7" ht="10.5" customHeight="1" x14ac:dyDescent="0.2">
      <c r="G55894" s="889"/>
    </row>
    <row r="55895" spans="7:7" ht="10.5" customHeight="1" x14ac:dyDescent="0.2">
      <c r="G55895" s="889"/>
    </row>
    <row r="55896" spans="7:7" ht="10.5" customHeight="1" x14ac:dyDescent="0.2">
      <c r="G55896" s="889"/>
    </row>
    <row r="55897" spans="7:7" ht="10.5" customHeight="1" x14ac:dyDescent="0.2">
      <c r="G55897" s="889"/>
    </row>
    <row r="55898" spans="7:7" ht="10.5" customHeight="1" x14ac:dyDescent="0.2">
      <c r="G55898" s="889"/>
    </row>
    <row r="55899" spans="7:7" ht="10.5" customHeight="1" x14ac:dyDescent="0.2">
      <c r="G55899" s="889"/>
    </row>
    <row r="55900" spans="7:7" ht="10.5" customHeight="1" x14ac:dyDescent="0.2">
      <c r="G55900" s="889"/>
    </row>
    <row r="55901" spans="7:7" ht="10.5" customHeight="1" x14ac:dyDescent="0.2">
      <c r="G55901" s="889"/>
    </row>
    <row r="55902" spans="7:7" ht="10.5" customHeight="1" x14ac:dyDescent="0.2">
      <c r="G55902" s="889"/>
    </row>
    <row r="55903" spans="7:7" ht="10.5" customHeight="1" x14ac:dyDescent="0.2">
      <c r="G55903" s="889"/>
    </row>
    <row r="55904" spans="7:7" ht="10.5" customHeight="1" x14ac:dyDescent="0.2">
      <c r="G55904" s="889"/>
    </row>
    <row r="55905" spans="7:7" ht="10.5" customHeight="1" x14ac:dyDescent="0.2">
      <c r="G55905" s="889"/>
    </row>
    <row r="55906" spans="7:7" ht="10.5" customHeight="1" x14ac:dyDescent="0.2">
      <c r="G55906" s="889"/>
    </row>
    <row r="55907" spans="7:7" ht="10.5" customHeight="1" x14ac:dyDescent="0.2">
      <c r="G55907" s="889"/>
    </row>
    <row r="55908" spans="7:7" ht="10.5" customHeight="1" x14ac:dyDescent="0.2">
      <c r="G55908" s="889"/>
    </row>
    <row r="55909" spans="7:7" ht="10.5" customHeight="1" x14ac:dyDescent="0.2">
      <c r="G55909" s="889"/>
    </row>
    <row r="55910" spans="7:7" ht="10.5" customHeight="1" x14ac:dyDescent="0.2">
      <c r="G55910" s="889"/>
    </row>
    <row r="55911" spans="7:7" ht="10.5" customHeight="1" x14ac:dyDescent="0.2">
      <c r="G55911" s="889"/>
    </row>
    <row r="55912" spans="7:7" ht="10.5" customHeight="1" x14ac:dyDescent="0.2">
      <c r="G55912" s="889"/>
    </row>
    <row r="55913" spans="7:7" ht="10.5" customHeight="1" x14ac:dyDescent="0.2">
      <c r="G55913" s="889"/>
    </row>
    <row r="55914" spans="7:7" ht="10.5" customHeight="1" x14ac:dyDescent="0.2">
      <c r="G55914" s="889"/>
    </row>
    <row r="55915" spans="7:7" ht="10.5" customHeight="1" x14ac:dyDescent="0.2">
      <c r="G55915" s="889"/>
    </row>
    <row r="55916" spans="7:7" ht="10.5" customHeight="1" x14ac:dyDescent="0.2">
      <c r="G55916" s="889"/>
    </row>
    <row r="55917" spans="7:7" ht="10.5" customHeight="1" x14ac:dyDescent="0.2">
      <c r="G55917" s="889"/>
    </row>
    <row r="55918" spans="7:7" ht="10.5" customHeight="1" x14ac:dyDescent="0.2">
      <c r="G55918" s="889"/>
    </row>
    <row r="55919" spans="7:7" ht="10.5" customHeight="1" x14ac:dyDescent="0.2">
      <c r="G55919" s="889"/>
    </row>
    <row r="55920" spans="7:7" ht="10.5" customHeight="1" x14ac:dyDescent="0.2">
      <c r="G55920" s="889"/>
    </row>
    <row r="55921" spans="7:7" ht="10.5" customHeight="1" x14ac:dyDescent="0.2">
      <c r="G55921" s="889"/>
    </row>
    <row r="55922" spans="7:7" ht="10.5" customHeight="1" x14ac:dyDescent="0.2">
      <c r="G55922" s="889"/>
    </row>
    <row r="55923" spans="7:7" ht="10.5" customHeight="1" x14ac:dyDescent="0.2">
      <c r="G55923" s="889"/>
    </row>
    <row r="55924" spans="7:7" ht="10.5" customHeight="1" x14ac:dyDescent="0.2">
      <c r="G55924" s="889"/>
    </row>
    <row r="55925" spans="7:7" ht="10.5" customHeight="1" x14ac:dyDescent="0.2">
      <c r="G55925" s="889"/>
    </row>
    <row r="55926" spans="7:7" ht="10.5" customHeight="1" x14ac:dyDescent="0.2">
      <c r="G55926" s="889"/>
    </row>
    <row r="55927" spans="7:7" ht="10.5" customHeight="1" x14ac:dyDescent="0.2">
      <c r="G55927" s="889"/>
    </row>
    <row r="55928" spans="7:7" ht="10.5" customHeight="1" x14ac:dyDescent="0.2">
      <c r="G55928" s="889"/>
    </row>
    <row r="55929" spans="7:7" ht="10.5" customHeight="1" x14ac:dyDescent="0.2">
      <c r="G55929" s="889"/>
    </row>
    <row r="55930" spans="7:7" ht="10.5" customHeight="1" x14ac:dyDescent="0.2">
      <c r="G55930" s="889"/>
    </row>
    <row r="55931" spans="7:7" ht="10.5" customHeight="1" x14ac:dyDescent="0.2">
      <c r="G55931" s="889"/>
    </row>
    <row r="55932" spans="7:7" ht="10.5" customHeight="1" x14ac:dyDescent="0.2">
      <c r="G55932" s="889"/>
    </row>
    <row r="55933" spans="7:7" ht="10.5" customHeight="1" x14ac:dyDescent="0.2">
      <c r="G55933" s="889"/>
    </row>
    <row r="55934" spans="7:7" ht="10.5" customHeight="1" x14ac:dyDescent="0.2">
      <c r="G55934" s="889"/>
    </row>
    <row r="55935" spans="7:7" ht="10.5" customHeight="1" x14ac:dyDescent="0.2">
      <c r="G55935" s="889"/>
    </row>
    <row r="55936" spans="7:7" ht="10.5" customHeight="1" x14ac:dyDescent="0.2">
      <c r="G55936" s="889"/>
    </row>
    <row r="55937" spans="7:7" ht="10.5" customHeight="1" x14ac:dyDescent="0.2">
      <c r="G55937" s="889"/>
    </row>
    <row r="55938" spans="7:7" ht="10.5" customHeight="1" x14ac:dyDescent="0.2">
      <c r="G55938" s="889"/>
    </row>
    <row r="55939" spans="7:7" ht="10.5" customHeight="1" x14ac:dyDescent="0.2">
      <c r="G55939" s="889"/>
    </row>
    <row r="55940" spans="7:7" ht="10.5" customHeight="1" x14ac:dyDescent="0.2">
      <c r="G55940" s="889"/>
    </row>
    <row r="55941" spans="7:7" ht="10.5" customHeight="1" x14ac:dyDescent="0.2">
      <c r="G55941" s="889"/>
    </row>
    <row r="55942" spans="7:7" ht="10.5" customHeight="1" x14ac:dyDescent="0.2">
      <c r="G55942" s="889"/>
    </row>
    <row r="55943" spans="7:7" ht="10.5" customHeight="1" x14ac:dyDescent="0.2">
      <c r="G55943" s="889"/>
    </row>
    <row r="55944" spans="7:7" ht="10.5" customHeight="1" x14ac:dyDescent="0.2">
      <c r="G55944" s="889"/>
    </row>
    <row r="55945" spans="7:7" ht="10.5" customHeight="1" x14ac:dyDescent="0.2">
      <c r="G55945" s="889"/>
    </row>
    <row r="55946" spans="7:7" ht="10.5" customHeight="1" x14ac:dyDescent="0.2">
      <c r="G55946" s="889"/>
    </row>
    <row r="55947" spans="7:7" ht="10.5" customHeight="1" x14ac:dyDescent="0.2">
      <c r="G55947" s="889"/>
    </row>
    <row r="55948" spans="7:7" ht="10.5" customHeight="1" x14ac:dyDescent="0.2">
      <c r="G55948" s="889"/>
    </row>
    <row r="55949" spans="7:7" ht="10.5" customHeight="1" x14ac:dyDescent="0.2">
      <c r="G55949" s="889"/>
    </row>
    <row r="55950" spans="7:7" ht="10.5" customHeight="1" x14ac:dyDescent="0.2">
      <c r="G55950" s="889"/>
    </row>
    <row r="55951" spans="7:7" ht="10.5" customHeight="1" x14ac:dyDescent="0.2">
      <c r="G55951" s="889"/>
    </row>
    <row r="55952" spans="7:7" ht="10.5" customHeight="1" x14ac:dyDescent="0.2">
      <c r="G55952" s="889"/>
    </row>
    <row r="55953" spans="7:7" ht="10.5" customHeight="1" x14ac:dyDescent="0.2">
      <c r="G55953" s="889"/>
    </row>
    <row r="55954" spans="7:7" ht="10.5" customHeight="1" x14ac:dyDescent="0.2">
      <c r="G55954" s="889"/>
    </row>
    <row r="55955" spans="7:7" ht="10.5" customHeight="1" x14ac:dyDescent="0.2">
      <c r="G55955" s="889"/>
    </row>
    <row r="55956" spans="7:7" ht="10.5" customHeight="1" x14ac:dyDescent="0.2">
      <c r="G55956" s="889"/>
    </row>
    <row r="55957" spans="7:7" ht="10.5" customHeight="1" x14ac:dyDescent="0.2">
      <c r="G55957" s="889"/>
    </row>
    <row r="55958" spans="7:7" ht="10.5" customHeight="1" x14ac:dyDescent="0.2">
      <c r="G55958" s="889"/>
    </row>
    <row r="55959" spans="7:7" ht="10.5" customHeight="1" x14ac:dyDescent="0.2">
      <c r="G55959" s="889"/>
    </row>
    <row r="55960" spans="7:7" ht="10.5" customHeight="1" x14ac:dyDescent="0.2">
      <c r="G55960" s="889"/>
    </row>
    <row r="55961" spans="7:7" ht="10.5" customHeight="1" x14ac:dyDescent="0.2">
      <c r="G55961" s="889"/>
    </row>
    <row r="55962" spans="7:7" ht="10.5" customHeight="1" x14ac:dyDescent="0.2">
      <c r="G55962" s="889"/>
    </row>
    <row r="55963" spans="7:7" ht="10.5" customHeight="1" x14ac:dyDescent="0.2">
      <c r="G55963" s="889"/>
    </row>
    <row r="55964" spans="7:7" ht="10.5" customHeight="1" x14ac:dyDescent="0.2">
      <c r="G55964" s="889"/>
    </row>
    <row r="55965" spans="7:7" ht="10.5" customHeight="1" x14ac:dyDescent="0.2">
      <c r="G55965" s="889"/>
    </row>
    <row r="55966" spans="7:7" ht="10.5" customHeight="1" x14ac:dyDescent="0.2">
      <c r="G55966" s="889"/>
    </row>
    <row r="55967" spans="7:7" ht="10.5" customHeight="1" x14ac:dyDescent="0.2">
      <c r="G55967" s="889"/>
    </row>
    <row r="55968" spans="7:7" ht="10.5" customHeight="1" x14ac:dyDescent="0.2">
      <c r="G55968" s="889"/>
    </row>
    <row r="55969" spans="7:7" ht="10.5" customHeight="1" x14ac:dyDescent="0.2">
      <c r="G55969" s="889"/>
    </row>
    <row r="55970" spans="7:7" ht="10.5" customHeight="1" x14ac:dyDescent="0.2">
      <c r="G55970" s="889"/>
    </row>
    <row r="55971" spans="7:7" ht="10.5" customHeight="1" x14ac:dyDescent="0.2">
      <c r="G55971" s="889"/>
    </row>
    <row r="55972" spans="7:7" ht="10.5" customHeight="1" x14ac:dyDescent="0.2">
      <c r="G55972" s="889"/>
    </row>
    <row r="55973" spans="7:7" ht="10.5" customHeight="1" x14ac:dyDescent="0.2">
      <c r="G55973" s="889"/>
    </row>
    <row r="55974" spans="7:7" ht="10.5" customHeight="1" x14ac:dyDescent="0.2">
      <c r="G55974" s="889"/>
    </row>
    <row r="55975" spans="7:7" ht="10.5" customHeight="1" x14ac:dyDescent="0.2">
      <c r="G55975" s="889"/>
    </row>
    <row r="55976" spans="7:7" ht="10.5" customHeight="1" x14ac:dyDescent="0.2">
      <c r="G55976" s="889"/>
    </row>
    <row r="55977" spans="7:7" ht="10.5" customHeight="1" x14ac:dyDescent="0.2">
      <c r="G55977" s="889"/>
    </row>
    <row r="55978" spans="7:7" ht="10.5" customHeight="1" x14ac:dyDescent="0.2">
      <c r="G55978" s="889"/>
    </row>
    <row r="55979" spans="7:7" ht="10.5" customHeight="1" x14ac:dyDescent="0.2">
      <c r="G55979" s="889"/>
    </row>
    <row r="55980" spans="7:7" ht="10.5" customHeight="1" x14ac:dyDescent="0.2">
      <c r="G55980" s="889"/>
    </row>
    <row r="55981" spans="7:7" ht="10.5" customHeight="1" x14ac:dyDescent="0.2">
      <c r="G55981" s="889"/>
    </row>
    <row r="55982" spans="7:7" ht="10.5" customHeight="1" x14ac:dyDescent="0.2">
      <c r="G55982" s="889"/>
    </row>
    <row r="55983" spans="7:7" ht="10.5" customHeight="1" x14ac:dyDescent="0.2">
      <c r="G55983" s="889"/>
    </row>
    <row r="55984" spans="7:7" ht="10.5" customHeight="1" x14ac:dyDescent="0.2">
      <c r="G55984" s="889"/>
    </row>
    <row r="55985" spans="7:7" ht="10.5" customHeight="1" x14ac:dyDescent="0.2">
      <c r="G55985" s="889"/>
    </row>
    <row r="55986" spans="7:7" ht="10.5" customHeight="1" x14ac:dyDescent="0.2">
      <c r="G55986" s="889"/>
    </row>
    <row r="55987" spans="7:7" ht="10.5" customHeight="1" x14ac:dyDescent="0.2">
      <c r="G55987" s="889"/>
    </row>
    <row r="55988" spans="7:7" ht="10.5" customHeight="1" x14ac:dyDescent="0.2">
      <c r="G55988" s="889"/>
    </row>
    <row r="55989" spans="7:7" ht="10.5" customHeight="1" x14ac:dyDescent="0.2">
      <c r="G55989" s="889"/>
    </row>
    <row r="55990" spans="7:7" ht="10.5" customHeight="1" x14ac:dyDescent="0.2">
      <c r="G55990" s="889"/>
    </row>
    <row r="55991" spans="7:7" ht="10.5" customHeight="1" x14ac:dyDescent="0.2">
      <c r="G55991" s="889"/>
    </row>
    <row r="55992" spans="7:7" ht="10.5" customHeight="1" x14ac:dyDescent="0.2">
      <c r="G55992" s="889"/>
    </row>
    <row r="55993" spans="7:7" ht="10.5" customHeight="1" x14ac:dyDescent="0.2">
      <c r="G55993" s="889"/>
    </row>
    <row r="55994" spans="7:7" ht="10.5" customHeight="1" x14ac:dyDescent="0.2">
      <c r="G55994" s="889"/>
    </row>
    <row r="55995" spans="7:7" ht="10.5" customHeight="1" x14ac:dyDescent="0.2">
      <c r="G55995" s="889"/>
    </row>
    <row r="55996" spans="7:7" ht="10.5" customHeight="1" x14ac:dyDescent="0.2">
      <c r="G55996" s="889"/>
    </row>
    <row r="55997" spans="7:7" ht="10.5" customHeight="1" x14ac:dyDescent="0.2">
      <c r="G55997" s="889"/>
    </row>
    <row r="55998" spans="7:7" ht="10.5" customHeight="1" x14ac:dyDescent="0.2">
      <c r="G55998" s="889"/>
    </row>
    <row r="55999" spans="7:7" ht="10.5" customHeight="1" x14ac:dyDescent="0.2">
      <c r="G55999" s="889"/>
    </row>
    <row r="56000" spans="7:7" ht="10.5" customHeight="1" x14ac:dyDescent="0.2">
      <c r="G56000" s="889"/>
    </row>
    <row r="56001" spans="7:7" ht="10.5" customHeight="1" x14ac:dyDescent="0.2">
      <c r="G56001" s="889"/>
    </row>
    <row r="56002" spans="7:7" ht="10.5" customHeight="1" x14ac:dyDescent="0.2">
      <c r="G56002" s="889"/>
    </row>
    <row r="56003" spans="7:7" ht="10.5" customHeight="1" x14ac:dyDescent="0.2">
      <c r="G56003" s="889"/>
    </row>
    <row r="56004" spans="7:7" ht="10.5" customHeight="1" x14ac:dyDescent="0.2">
      <c r="G56004" s="889"/>
    </row>
    <row r="56005" spans="7:7" ht="10.5" customHeight="1" x14ac:dyDescent="0.2">
      <c r="G56005" s="889"/>
    </row>
    <row r="56006" spans="7:7" ht="10.5" customHeight="1" x14ac:dyDescent="0.2">
      <c r="G56006" s="889"/>
    </row>
    <row r="56007" spans="7:7" ht="10.5" customHeight="1" x14ac:dyDescent="0.2">
      <c r="G56007" s="889"/>
    </row>
    <row r="56008" spans="7:7" ht="10.5" customHeight="1" x14ac:dyDescent="0.2">
      <c r="G56008" s="889"/>
    </row>
    <row r="56009" spans="7:7" ht="10.5" customHeight="1" x14ac:dyDescent="0.2">
      <c r="G56009" s="889"/>
    </row>
    <row r="56010" spans="7:7" ht="10.5" customHeight="1" x14ac:dyDescent="0.2">
      <c r="G56010" s="889"/>
    </row>
    <row r="56011" spans="7:7" ht="10.5" customHeight="1" x14ac:dyDescent="0.2">
      <c r="G56011" s="889"/>
    </row>
    <row r="56012" spans="7:7" ht="10.5" customHeight="1" x14ac:dyDescent="0.2">
      <c r="G56012" s="889"/>
    </row>
    <row r="56013" spans="7:7" ht="10.5" customHeight="1" x14ac:dyDescent="0.2">
      <c r="G56013" s="889"/>
    </row>
    <row r="56014" spans="7:7" ht="10.5" customHeight="1" x14ac:dyDescent="0.2">
      <c r="G56014" s="889"/>
    </row>
    <row r="56015" spans="7:7" ht="10.5" customHeight="1" x14ac:dyDescent="0.2">
      <c r="G56015" s="889"/>
    </row>
    <row r="56016" spans="7:7" ht="10.5" customHeight="1" x14ac:dyDescent="0.2">
      <c r="G56016" s="889"/>
    </row>
    <row r="56017" spans="7:7" ht="10.5" customHeight="1" x14ac:dyDescent="0.2">
      <c r="G56017" s="889"/>
    </row>
    <row r="56018" spans="7:7" ht="10.5" customHeight="1" x14ac:dyDescent="0.2">
      <c r="G56018" s="889"/>
    </row>
    <row r="56019" spans="7:7" ht="10.5" customHeight="1" x14ac:dyDescent="0.2">
      <c r="G56019" s="889"/>
    </row>
    <row r="56020" spans="7:7" ht="10.5" customHeight="1" x14ac:dyDescent="0.2">
      <c r="G56020" s="889"/>
    </row>
    <row r="56021" spans="7:7" ht="10.5" customHeight="1" x14ac:dyDescent="0.2">
      <c r="G56021" s="889"/>
    </row>
    <row r="56022" spans="7:7" ht="10.5" customHeight="1" x14ac:dyDescent="0.2">
      <c r="G56022" s="889"/>
    </row>
    <row r="56023" spans="7:7" ht="10.5" customHeight="1" x14ac:dyDescent="0.2">
      <c r="G56023" s="889"/>
    </row>
    <row r="56024" spans="7:7" ht="10.5" customHeight="1" x14ac:dyDescent="0.2">
      <c r="G56024" s="889"/>
    </row>
    <row r="56025" spans="7:7" ht="10.5" customHeight="1" x14ac:dyDescent="0.2">
      <c r="G56025" s="889"/>
    </row>
    <row r="56026" spans="7:7" ht="10.5" customHeight="1" x14ac:dyDescent="0.2">
      <c r="G56026" s="889"/>
    </row>
    <row r="56027" spans="7:7" ht="10.5" customHeight="1" x14ac:dyDescent="0.2">
      <c r="G56027" s="889"/>
    </row>
    <row r="56028" spans="7:7" ht="10.5" customHeight="1" x14ac:dyDescent="0.2">
      <c r="G56028" s="889"/>
    </row>
    <row r="56029" spans="7:7" ht="10.5" customHeight="1" x14ac:dyDescent="0.2">
      <c r="G56029" s="889"/>
    </row>
    <row r="56030" spans="7:7" ht="10.5" customHeight="1" x14ac:dyDescent="0.2">
      <c r="G56030" s="889"/>
    </row>
    <row r="56031" spans="7:7" ht="10.5" customHeight="1" x14ac:dyDescent="0.2">
      <c r="G56031" s="889"/>
    </row>
    <row r="56032" spans="7:7" ht="10.5" customHeight="1" x14ac:dyDescent="0.2">
      <c r="G56032" s="889"/>
    </row>
    <row r="56033" spans="7:7" ht="10.5" customHeight="1" x14ac:dyDescent="0.2">
      <c r="G56033" s="889"/>
    </row>
    <row r="56034" spans="7:7" ht="10.5" customHeight="1" x14ac:dyDescent="0.2">
      <c r="G56034" s="889"/>
    </row>
    <row r="56035" spans="7:7" ht="10.5" customHeight="1" x14ac:dyDescent="0.2">
      <c r="G56035" s="889"/>
    </row>
    <row r="56036" spans="7:7" ht="10.5" customHeight="1" x14ac:dyDescent="0.2">
      <c r="G56036" s="889"/>
    </row>
    <row r="56037" spans="7:7" ht="10.5" customHeight="1" x14ac:dyDescent="0.2">
      <c r="G56037" s="889"/>
    </row>
    <row r="56038" spans="7:7" ht="10.5" customHeight="1" x14ac:dyDescent="0.2">
      <c r="G56038" s="889"/>
    </row>
    <row r="56039" spans="7:7" ht="10.5" customHeight="1" x14ac:dyDescent="0.2">
      <c r="G56039" s="889"/>
    </row>
    <row r="56040" spans="7:7" ht="10.5" customHeight="1" x14ac:dyDescent="0.2">
      <c r="G56040" s="889"/>
    </row>
    <row r="56041" spans="7:7" ht="10.5" customHeight="1" x14ac:dyDescent="0.2">
      <c r="G56041" s="889"/>
    </row>
    <row r="56042" spans="7:7" ht="10.5" customHeight="1" x14ac:dyDescent="0.2">
      <c r="G56042" s="889"/>
    </row>
    <row r="56043" spans="7:7" ht="10.5" customHeight="1" x14ac:dyDescent="0.2">
      <c r="G56043" s="889"/>
    </row>
    <row r="56044" spans="7:7" ht="10.5" customHeight="1" x14ac:dyDescent="0.2">
      <c r="G56044" s="889"/>
    </row>
    <row r="56045" spans="7:7" ht="10.5" customHeight="1" x14ac:dyDescent="0.2">
      <c r="G56045" s="889"/>
    </row>
    <row r="56046" spans="7:7" ht="10.5" customHeight="1" x14ac:dyDescent="0.2">
      <c r="G56046" s="889"/>
    </row>
    <row r="56047" spans="7:7" ht="10.5" customHeight="1" x14ac:dyDescent="0.2">
      <c r="G56047" s="889"/>
    </row>
    <row r="56048" spans="7:7" ht="10.5" customHeight="1" x14ac:dyDescent="0.2">
      <c r="G56048" s="889"/>
    </row>
    <row r="56049" spans="7:7" ht="10.5" customHeight="1" x14ac:dyDescent="0.2">
      <c r="G56049" s="889"/>
    </row>
    <row r="56050" spans="7:7" ht="10.5" customHeight="1" x14ac:dyDescent="0.2">
      <c r="G56050" s="889"/>
    </row>
    <row r="56051" spans="7:7" ht="10.5" customHeight="1" x14ac:dyDescent="0.2">
      <c r="G56051" s="889"/>
    </row>
    <row r="56052" spans="7:7" ht="10.5" customHeight="1" x14ac:dyDescent="0.2">
      <c r="G56052" s="889"/>
    </row>
    <row r="56053" spans="7:7" ht="10.5" customHeight="1" x14ac:dyDescent="0.2">
      <c r="G56053" s="889"/>
    </row>
    <row r="56054" spans="7:7" ht="10.5" customHeight="1" x14ac:dyDescent="0.2">
      <c r="G56054" s="889"/>
    </row>
    <row r="56055" spans="7:7" ht="10.5" customHeight="1" x14ac:dyDescent="0.2">
      <c r="G56055" s="889"/>
    </row>
    <row r="56056" spans="7:7" ht="10.5" customHeight="1" x14ac:dyDescent="0.2">
      <c r="G56056" s="889"/>
    </row>
    <row r="56057" spans="7:7" ht="10.5" customHeight="1" x14ac:dyDescent="0.2">
      <c r="G56057" s="889"/>
    </row>
    <row r="56058" spans="7:7" ht="10.5" customHeight="1" x14ac:dyDescent="0.2">
      <c r="G56058" s="889"/>
    </row>
    <row r="56059" spans="7:7" ht="10.5" customHeight="1" x14ac:dyDescent="0.2">
      <c r="G56059" s="889"/>
    </row>
    <row r="56060" spans="7:7" ht="10.5" customHeight="1" x14ac:dyDescent="0.2">
      <c r="G56060" s="889"/>
    </row>
    <row r="56061" spans="7:7" ht="10.5" customHeight="1" x14ac:dyDescent="0.2">
      <c r="G56061" s="889"/>
    </row>
    <row r="56062" spans="7:7" ht="10.5" customHeight="1" x14ac:dyDescent="0.2">
      <c r="G56062" s="889"/>
    </row>
    <row r="56063" spans="7:7" ht="10.5" customHeight="1" x14ac:dyDescent="0.2">
      <c r="G56063" s="889"/>
    </row>
    <row r="56064" spans="7:7" ht="10.5" customHeight="1" x14ac:dyDescent="0.2">
      <c r="G56064" s="889"/>
    </row>
    <row r="56065" spans="7:7" ht="10.5" customHeight="1" x14ac:dyDescent="0.2">
      <c r="G56065" s="889"/>
    </row>
    <row r="56066" spans="7:7" ht="10.5" customHeight="1" x14ac:dyDescent="0.2">
      <c r="G56066" s="889"/>
    </row>
    <row r="56067" spans="7:7" ht="10.5" customHeight="1" x14ac:dyDescent="0.2">
      <c r="G56067" s="889"/>
    </row>
    <row r="56068" spans="7:7" ht="10.5" customHeight="1" x14ac:dyDescent="0.2">
      <c r="G56068" s="889"/>
    </row>
    <row r="56069" spans="7:7" ht="10.5" customHeight="1" x14ac:dyDescent="0.2">
      <c r="G56069" s="889"/>
    </row>
    <row r="56070" spans="7:7" ht="10.5" customHeight="1" x14ac:dyDescent="0.2">
      <c r="G56070" s="889"/>
    </row>
    <row r="56071" spans="7:7" ht="10.5" customHeight="1" x14ac:dyDescent="0.2">
      <c r="G56071" s="889"/>
    </row>
    <row r="56072" spans="7:7" ht="10.5" customHeight="1" x14ac:dyDescent="0.2">
      <c r="G56072" s="889"/>
    </row>
    <row r="56073" spans="7:7" ht="10.5" customHeight="1" x14ac:dyDescent="0.2">
      <c r="G56073" s="889"/>
    </row>
    <row r="56074" spans="7:7" ht="10.5" customHeight="1" x14ac:dyDescent="0.2">
      <c r="G56074" s="889"/>
    </row>
    <row r="56075" spans="7:7" ht="10.5" customHeight="1" x14ac:dyDescent="0.2">
      <c r="G56075" s="889"/>
    </row>
    <row r="56076" spans="7:7" ht="10.5" customHeight="1" x14ac:dyDescent="0.2">
      <c r="G56076" s="889"/>
    </row>
    <row r="56077" spans="7:7" ht="10.5" customHeight="1" x14ac:dyDescent="0.2">
      <c r="G56077" s="889"/>
    </row>
    <row r="56078" spans="7:7" ht="10.5" customHeight="1" x14ac:dyDescent="0.2">
      <c r="G56078" s="889"/>
    </row>
    <row r="56079" spans="7:7" ht="10.5" customHeight="1" x14ac:dyDescent="0.2">
      <c r="G56079" s="889"/>
    </row>
    <row r="56080" spans="7:7" ht="10.5" customHeight="1" x14ac:dyDescent="0.2">
      <c r="G56080" s="889"/>
    </row>
    <row r="56081" spans="7:7" ht="10.5" customHeight="1" x14ac:dyDescent="0.2">
      <c r="G56081" s="889"/>
    </row>
    <row r="56082" spans="7:7" ht="10.5" customHeight="1" x14ac:dyDescent="0.2">
      <c r="G56082" s="889"/>
    </row>
    <row r="56083" spans="7:7" ht="10.5" customHeight="1" x14ac:dyDescent="0.2">
      <c r="G56083" s="889"/>
    </row>
    <row r="56084" spans="7:7" ht="10.5" customHeight="1" x14ac:dyDescent="0.2">
      <c r="G56084" s="889"/>
    </row>
    <row r="56085" spans="7:7" ht="10.5" customHeight="1" x14ac:dyDescent="0.2">
      <c r="G56085" s="889"/>
    </row>
    <row r="56086" spans="7:7" ht="10.5" customHeight="1" x14ac:dyDescent="0.2">
      <c r="G56086" s="889"/>
    </row>
    <row r="56087" spans="7:7" ht="10.5" customHeight="1" x14ac:dyDescent="0.2">
      <c r="G56087" s="889"/>
    </row>
    <row r="56088" spans="7:7" ht="10.5" customHeight="1" x14ac:dyDescent="0.2">
      <c r="G56088" s="889"/>
    </row>
    <row r="56089" spans="7:7" ht="10.5" customHeight="1" x14ac:dyDescent="0.2">
      <c r="G56089" s="889"/>
    </row>
    <row r="56090" spans="7:7" ht="10.5" customHeight="1" x14ac:dyDescent="0.2">
      <c r="G56090" s="889"/>
    </row>
    <row r="56091" spans="7:7" ht="10.5" customHeight="1" x14ac:dyDescent="0.2">
      <c r="G56091" s="889"/>
    </row>
    <row r="56092" spans="7:7" ht="10.5" customHeight="1" x14ac:dyDescent="0.2">
      <c r="G56092" s="889"/>
    </row>
    <row r="56093" spans="7:7" ht="10.5" customHeight="1" x14ac:dyDescent="0.2">
      <c r="G56093" s="889"/>
    </row>
    <row r="56094" spans="7:7" ht="10.5" customHeight="1" x14ac:dyDescent="0.2">
      <c r="G56094" s="889"/>
    </row>
    <row r="56095" spans="7:7" ht="10.5" customHeight="1" x14ac:dyDescent="0.2">
      <c r="G56095" s="889"/>
    </row>
    <row r="56096" spans="7:7" ht="10.5" customHeight="1" x14ac:dyDescent="0.2">
      <c r="G56096" s="889"/>
    </row>
    <row r="56097" spans="7:7" ht="10.5" customHeight="1" x14ac:dyDescent="0.2">
      <c r="G56097" s="889"/>
    </row>
    <row r="56098" spans="7:7" ht="10.5" customHeight="1" x14ac:dyDescent="0.2">
      <c r="G56098" s="889"/>
    </row>
    <row r="56099" spans="7:7" ht="10.5" customHeight="1" x14ac:dyDescent="0.2">
      <c r="G56099" s="889"/>
    </row>
    <row r="56100" spans="7:7" ht="10.5" customHeight="1" x14ac:dyDescent="0.2">
      <c r="G56100" s="889"/>
    </row>
    <row r="56101" spans="7:7" ht="10.5" customHeight="1" x14ac:dyDescent="0.2">
      <c r="G56101" s="889"/>
    </row>
    <row r="56102" spans="7:7" ht="10.5" customHeight="1" x14ac:dyDescent="0.2">
      <c r="G56102" s="889"/>
    </row>
    <row r="56103" spans="7:7" ht="10.5" customHeight="1" x14ac:dyDescent="0.2">
      <c r="G56103" s="889"/>
    </row>
    <row r="56104" spans="7:7" ht="10.5" customHeight="1" x14ac:dyDescent="0.2">
      <c r="G56104" s="889"/>
    </row>
    <row r="56105" spans="7:7" ht="10.5" customHeight="1" x14ac:dyDescent="0.2">
      <c r="G56105" s="889"/>
    </row>
    <row r="56106" spans="7:7" ht="10.5" customHeight="1" x14ac:dyDescent="0.2">
      <c r="G56106" s="889"/>
    </row>
    <row r="56107" spans="7:7" ht="10.5" customHeight="1" x14ac:dyDescent="0.2">
      <c r="G56107" s="889"/>
    </row>
    <row r="56108" spans="7:7" ht="10.5" customHeight="1" x14ac:dyDescent="0.2">
      <c r="G56108" s="889"/>
    </row>
    <row r="56109" spans="7:7" ht="10.5" customHeight="1" x14ac:dyDescent="0.2">
      <c r="G56109" s="889"/>
    </row>
    <row r="56110" spans="7:7" ht="10.5" customHeight="1" x14ac:dyDescent="0.2">
      <c r="G56110" s="889"/>
    </row>
    <row r="56111" spans="7:7" ht="10.5" customHeight="1" x14ac:dyDescent="0.2">
      <c r="G56111" s="889"/>
    </row>
    <row r="56112" spans="7:7" ht="10.5" customHeight="1" x14ac:dyDescent="0.2">
      <c r="G56112" s="889"/>
    </row>
    <row r="56113" spans="7:7" ht="10.5" customHeight="1" x14ac:dyDescent="0.2">
      <c r="G56113" s="889"/>
    </row>
    <row r="56114" spans="7:7" ht="10.5" customHeight="1" x14ac:dyDescent="0.2">
      <c r="G56114" s="889"/>
    </row>
    <row r="56115" spans="7:7" ht="10.5" customHeight="1" x14ac:dyDescent="0.2">
      <c r="G56115" s="889"/>
    </row>
    <row r="56116" spans="7:7" ht="10.5" customHeight="1" x14ac:dyDescent="0.2">
      <c r="G56116" s="889"/>
    </row>
    <row r="56117" spans="7:7" ht="10.5" customHeight="1" x14ac:dyDescent="0.2">
      <c r="G56117" s="889"/>
    </row>
    <row r="56118" spans="7:7" ht="10.5" customHeight="1" x14ac:dyDescent="0.2">
      <c r="G56118" s="889"/>
    </row>
    <row r="56119" spans="7:7" ht="10.5" customHeight="1" x14ac:dyDescent="0.2">
      <c r="G56119" s="889"/>
    </row>
    <row r="56120" spans="7:7" ht="10.5" customHeight="1" x14ac:dyDescent="0.2">
      <c r="G56120" s="889"/>
    </row>
    <row r="56121" spans="7:7" ht="10.5" customHeight="1" x14ac:dyDescent="0.2">
      <c r="G56121" s="889"/>
    </row>
    <row r="56122" spans="7:7" ht="10.5" customHeight="1" x14ac:dyDescent="0.2">
      <c r="G56122" s="889"/>
    </row>
    <row r="56123" spans="7:7" ht="10.5" customHeight="1" x14ac:dyDescent="0.2">
      <c r="G56123" s="889"/>
    </row>
    <row r="56124" spans="7:7" ht="10.5" customHeight="1" x14ac:dyDescent="0.2">
      <c r="G56124" s="889"/>
    </row>
    <row r="56125" spans="7:7" ht="10.5" customHeight="1" x14ac:dyDescent="0.2">
      <c r="G56125" s="889"/>
    </row>
    <row r="56126" spans="7:7" ht="10.5" customHeight="1" x14ac:dyDescent="0.2">
      <c r="G56126" s="889"/>
    </row>
    <row r="56127" spans="7:7" ht="10.5" customHeight="1" x14ac:dyDescent="0.2">
      <c r="G56127" s="889"/>
    </row>
    <row r="56128" spans="7:7" ht="10.5" customHeight="1" x14ac:dyDescent="0.2">
      <c r="G56128" s="889"/>
    </row>
    <row r="56129" spans="7:7" ht="10.5" customHeight="1" x14ac:dyDescent="0.2">
      <c r="G56129" s="889"/>
    </row>
    <row r="56130" spans="7:7" ht="10.5" customHeight="1" x14ac:dyDescent="0.2">
      <c r="G56130" s="889"/>
    </row>
    <row r="56131" spans="7:7" ht="10.5" customHeight="1" x14ac:dyDescent="0.2">
      <c r="G56131" s="889"/>
    </row>
    <row r="56132" spans="7:7" ht="10.5" customHeight="1" x14ac:dyDescent="0.2">
      <c r="G56132" s="889"/>
    </row>
    <row r="56133" spans="7:7" ht="10.5" customHeight="1" x14ac:dyDescent="0.2">
      <c r="G56133" s="889"/>
    </row>
    <row r="56134" spans="7:7" ht="10.5" customHeight="1" x14ac:dyDescent="0.2">
      <c r="G56134" s="889"/>
    </row>
    <row r="56135" spans="7:7" ht="10.5" customHeight="1" x14ac:dyDescent="0.2">
      <c r="G56135" s="889"/>
    </row>
    <row r="56136" spans="7:7" ht="10.5" customHeight="1" x14ac:dyDescent="0.2">
      <c r="G56136" s="889"/>
    </row>
    <row r="56137" spans="7:7" ht="10.5" customHeight="1" x14ac:dyDescent="0.2">
      <c r="G56137" s="889"/>
    </row>
    <row r="56138" spans="7:7" ht="10.5" customHeight="1" x14ac:dyDescent="0.2">
      <c r="G56138" s="889"/>
    </row>
    <row r="56139" spans="7:7" ht="10.5" customHeight="1" x14ac:dyDescent="0.2">
      <c r="G56139" s="889"/>
    </row>
    <row r="56140" spans="7:7" ht="10.5" customHeight="1" x14ac:dyDescent="0.2">
      <c r="G56140" s="889"/>
    </row>
    <row r="56141" spans="7:7" ht="10.5" customHeight="1" x14ac:dyDescent="0.2">
      <c r="G56141" s="889"/>
    </row>
    <row r="56142" spans="7:7" ht="10.5" customHeight="1" x14ac:dyDescent="0.2">
      <c r="G56142" s="889"/>
    </row>
    <row r="56143" spans="7:7" ht="10.5" customHeight="1" x14ac:dyDescent="0.2">
      <c r="G56143" s="889"/>
    </row>
    <row r="56144" spans="7:7" ht="10.5" customHeight="1" x14ac:dyDescent="0.2">
      <c r="G56144" s="889"/>
    </row>
    <row r="56145" spans="7:7" ht="10.5" customHeight="1" x14ac:dyDescent="0.2">
      <c r="G56145" s="889"/>
    </row>
    <row r="56146" spans="7:7" ht="10.5" customHeight="1" x14ac:dyDescent="0.2">
      <c r="G56146" s="889"/>
    </row>
    <row r="56147" spans="7:7" ht="10.5" customHeight="1" x14ac:dyDescent="0.2">
      <c r="G56147" s="889"/>
    </row>
    <row r="56148" spans="7:7" ht="10.5" customHeight="1" x14ac:dyDescent="0.2">
      <c r="G56148" s="889"/>
    </row>
    <row r="56149" spans="7:7" ht="10.5" customHeight="1" x14ac:dyDescent="0.2">
      <c r="G56149" s="889"/>
    </row>
    <row r="56150" spans="7:7" ht="10.5" customHeight="1" x14ac:dyDescent="0.2">
      <c r="G56150" s="889"/>
    </row>
    <row r="56151" spans="7:7" ht="10.5" customHeight="1" x14ac:dyDescent="0.2">
      <c r="G56151" s="889"/>
    </row>
    <row r="56152" spans="7:7" ht="10.5" customHeight="1" x14ac:dyDescent="0.2">
      <c r="G56152" s="889"/>
    </row>
    <row r="56153" spans="7:7" ht="10.5" customHeight="1" x14ac:dyDescent="0.2">
      <c r="G56153" s="889"/>
    </row>
    <row r="56154" spans="7:7" ht="10.5" customHeight="1" x14ac:dyDescent="0.2">
      <c r="G56154" s="889"/>
    </row>
    <row r="56155" spans="7:7" ht="10.5" customHeight="1" x14ac:dyDescent="0.2">
      <c r="G56155" s="889"/>
    </row>
    <row r="56156" spans="7:7" ht="10.5" customHeight="1" x14ac:dyDescent="0.2">
      <c r="G56156" s="889"/>
    </row>
    <row r="56157" spans="7:7" ht="10.5" customHeight="1" x14ac:dyDescent="0.2">
      <c r="G56157" s="889"/>
    </row>
    <row r="56158" spans="7:7" ht="10.5" customHeight="1" x14ac:dyDescent="0.2">
      <c r="G56158" s="889"/>
    </row>
    <row r="56159" spans="7:7" ht="10.5" customHeight="1" x14ac:dyDescent="0.2">
      <c r="G56159" s="889"/>
    </row>
    <row r="56160" spans="7:7" ht="10.5" customHeight="1" x14ac:dyDescent="0.2">
      <c r="G56160" s="889"/>
    </row>
    <row r="56161" spans="7:7" ht="10.5" customHeight="1" x14ac:dyDescent="0.2">
      <c r="G56161" s="889"/>
    </row>
    <row r="56162" spans="7:7" ht="10.5" customHeight="1" x14ac:dyDescent="0.2">
      <c r="G56162" s="889"/>
    </row>
    <row r="56163" spans="7:7" ht="10.5" customHeight="1" x14ac:dyDescent="0.2">
      <c r="G56163" s="889"/>
    </row>
    <row r="56164" spans="7:7" ht="10.5" customHeight="1" x14ac:dyDescent="0.2">
      <c r="G56164" s="889"/>
    </row>
    <row r="56165" spans="7:7" ht="10.5" customHeight="1" x14ac:dyDescent="0.2">
      <c r="G56165" s="889"/>
    </row>
    <row r="56166" spans="7:7" ht="10.5" customHeight="1" x14ac:dyDescent="0.2">
      <c r="G56166" s="889"/>
    </row>
    <row r="56167" spans="7:7" ht="10.5" customHeight="1" x14ac:dyDescent="0.2">
      <c r="G56167" s="889"/>
    </row>
    <row r="56168" spans="7:7" ht="10.5" customHeight="1" x14ac:dyDescent="0.2">
      <c r="G56168" s="889"/>
    </row>
    <row r="56169" spans="7:7" ht="10.5" customHeight="1" x14ac:dyDescent="0.2">
      <c r="G56169" s="889"/>
    </row>
    <row r="56170" spans="7:7" ht="10.5" customHeight="1" x14ac:dyDescent="0.2">
      <c r="G56170" s="889"/>
    </row>
    <row r="56171" spans="7:7" ht="10.5" customHeight="1" x14ac:dyDescent="0.2">
      <c r="G56171" s="889"/>
    </row>
    <row r="56172" spans="7:7" ht="10.5" customHeight="1" x14ac:dyDescent="0.2">
      <c r="G56172" s="889"/>
    </row>
    <row r="56173" spans="7:7" ht="10.5" customHeight="1" x14ac:dyDescent="0.2">
      <c r="G56173" s="889"/>
    </row>
    <row r="56174" spans="7:7" ht="10.5" customHeight="1" x14ac:dyDescent="0.2">
      <c r="G56174" s="889"/>
    </row>
    <row r="56175" spans="7:7" ht="10.5" customHeight="1" x14ac:dyDescent="0.2">
      <c r="G56175" s="889"/>
    </row>
    <row r="56176" spans="7:7" ht="10.5" customHeight="1" x14ac:dyDescent="0.2">
      <c r="G56176" s="889"/>
    </row>
    <row r="56177" spans="7:7" ht="10.5" customHeight="1" x14ac:dyDescent="0.2">
      <c r="G56177" s="889"/>
    </row>
    <row r="56178" spans="7:7" ht="10.5" customHeight="1" x14ac:dyDescent="0.2">
      <c r="G56178" s="889"/>
    </row>
    <row r="56179" spans="7:7" ht="10.5" customHeight="1" x14ac:dyDescent="0.2">
      <c r="G56179" s="889"/>
    </row>
    <row r="56180" spans="7:7" ht="10.5" customHeight="1" x14ac:dyDescent="0.2">
      <c r="G56180" s="889"/>
    </row>
    <row r="56181" spans="7:7" ht="10.5" customHeight="1" x14ac:dyDescent="0.2">
      <c r="G56181" s="889"/>
    </row>
    <row r="56182" spans="7:7" ht="10.5" customHeight="1" x14ac:dyDescent="0.2">
      <c r="G56182" s="889"/>
    </row>
    <row r="56183" spans="7:7" ht="10.5" customHeight="1" x14ac:dyDescent="0.2">
      <c r="G56183" s="889"/>
    </row>
    <row r="56184" spans="7:7" ht="10.5" customHeight="1" x14ac:dyDescent="0.2">
      <c r="G56184" s="889"/>
    </row>
    <row r="56185" spans="7:7" ht="10.5" customHeight="1" x14ac:dyDescent="0.2">
      <c r="G56185" s="889"/>
    </row>
    <row r="56186" spans="7:7" ht="10.5" customHeight="1" x14ac:dyDescent="0.2">
      <c r="G56186" s="889"/>
    </row>
    <row r="56187" spans="7:7" ht="10.5" customHeight="1" x14ac:dyDescent="0.2">
      <c r="G56187" s="889"/>
    </row>
    <row r="56188" spans="7:7" ht="10.5" customHeight="1" x14ac:dyDescent="0.2">
      <c r="G56188" s="889"/>
    </row>
    <row r="56189" spans="7:7" ht="10.5" customHeight="1" x14ac:dyDescent="0.2">
      <c r="G56189" s="889"/>
    </row>
    <row r="56190" spans="7:7" ht="10.5" customHeight="1" x14ac:dyDescent="0.2">
      <c r="G56190" s="889"/>
    </row>
    <row r="56191" spans="7:7" ht="10.5" customHeight="1" x14ac:dyDescent="0.2">
      <c r="G56191" s="889"/>
    </row>
    <row r="56192" spans="7:7" ht="10.5" customHeight="1" x14ac:dyDescent="0.2">
      <c r="G56192" s="889"/>
    </row>
    <row r="56193" spans="7:7" ht="10.5" customHeight="1" x14ac:dyDescent="0.2">
      <c r="G56193" s="889"/>
    </row>
    <row r="56194" spans="7:7" ht="10.5" customHeight="1" x14ac:dyDescent="0.2">
      <c r="G56194" s="889"/>
    </row>
    <row r="56195" spans="7:7" ht="10.5" customHeight="1" x14ac:dyDescent="0.2">
      <c r="G56195" s="889"/>
    </row>
    <row r="56196" spans="7:7" ht="10.5" customHeight="1" x14ac:dyDescent="0.2">
      <c r="G56196" s="889"/>
    </row>
    <row r="56197" spans="7:7" ht="10.5" customHeight="1" x14ac:dyDescent="0.2">
      <c r="G56197" s="889"/>
    </row>
    <row r="56198" spans="7:7" ht="10.5" customHeight="1" x14ac:dyDescent="0.2">
      <c r="G56198" s="889"/>
    </row>
    <row r="56199" spans="7:7" ht="10.5" customHeight="1" x14ac:dyDescent="0.2">
      <c r="G56199" s="889"/>
    </row>
    <row r="56200" spans="7:7" ht="10.5" customHeight="1" x14ac:dyDescent="0.2">
      <c r="G56200" s="889"/>
    </row>
    <row r="56201" spans="7:7" ht="10.5" customHeight="1" x14ac:dyDescent="0.2">
      <c r="G56201" s="889"/>
    </row>
    <row r="56202" spans="7:7" ht="10.5" customHeight="1" x14ac:dyDescent="0.2">
      <c r="G56202" s="889"/>
    </row>
    <row r="56203" spans="7:7" ht="10.5" customHeight="1" x14ac:dyDescent="0.2">
      <c r="G56203" s="889"/>
    </row>
    <row r="56204" spans="7:7" ht="10.5" customHeight="1" x14ac:dyDescent="0.2">
      <c r="G56204" s="889"/>
    </row>
    <row r="56205" spans="7:7" ht="10.5" customHeight="1" x14ac:dyDescent="0.2">
      <c r="G56205" s="889"/>
    </row>
    <row r="56206" spans="7:7" ht="10.5" customHeight="1" x14ac:dyDescent="0.2">
      <c r="G56206" s="889"/>
    </row>
    <row r="56207" spans="7:7" ht="10.5" customHeight="1" x14ac:dyDescent="0.2">
      <c r="G56207" s="889"/>
    </row>
    <row r="56208" spans="7:7" ht="10.5" customHeight="1" x14ac:dyDescent="0.2">
      <c r="G56208" s="889"/>
    </row>
    <row r="56209" spans="7:7" ht="10.5" customHeight="1" x14ac:dyDescent="0.2">
      <c r="G56209" s="889"/>
    </row>
    <row r="56210" spans="7:7" ht="10.5" customHeight="1" x14ac:dyDescent="0.2">
      <c r="G56210" s="889"/>
    </row>
    <row r="56211" spans="7:7" ht="10.5" customHeight="1" x14ac:dyDescent="0.2">
      <c r="G56211" s="889"/>
    </row>
    <row r="56212" spans="7:7" ht="10.5" customHeight="1" x14ac:dyDescent="0.2">
      <c r="G56212" s="889"/>
    </row>
    <row r="56213" spans="7:7" ht="10.5" customHeight="1" x14ac:dyDescent="0.2">
      <c r="G56213" s="889"/>
    </row>
    <row r="56214" spans="7:7" ht="10.5" customHeight="1" x14ac:dyDescent="0.2">
      <c r="G56214" s="889"/>
    </row>
    <row r="56215" spans="7:7" ht="10.5" customHeight="1" x14ac:dyDescent="0.2">
      <c r="G56215" s="889"/>
    </row>
    <row r="56216" spans="7:7" ht="10.5" customHeight="1" x14ac:dyDescent="0.2">
      <c r="G56216" s="889"/>
    </row>
    <row r="56217" spans="7:7" ht="10.5" customHeight="1" x14ac:dyDescent="0.2">
      <c r="G56217" s="889"/>
    </row>
    <row r="56218" spans="7:7" ht="10.5" customHeight="1" x14ac:dyDescent="0.2">
      <c r="G56218" s="889"/>
    </row>
    <row r="56219" spans="7:7" ht="10.5" customHeight="1" x14ac:dyDescent="0.2">
      <c r="G56219" s="889"/>
    </row>
    <row r="56220" spans="7:7" ht="10.5" customHeight="1" x14ac:dyDescent="0.2">
      <c r="G56220" s="889"/>
    </row>
    <row r="56221" spans="7:7" ht="10.5" customHeight="1" x14ac:dyDescent="0.2">
      <c r="G56221" s="889"/>
    </row>
    <row r="56222" spans="7:7" ht="10.5" customHeight="1" x14ac:dyDescent="0.2">
      <c r="G56222" s="889"/>
    </row>
    <row r="56223" spans="7:7" ht="10.5" customHeight="1" x14ac:dyDescent="0.2">
      <c r="G56223" s="889"/>
    </row>
    <row r="56224" spans="7:7" ht="10.5" customHeight="1" x14ac:dyDescent="0.2">
      <c r="G56224" s="889"/>
    </row>
    <row r="56225" spans="7:7" ht="10.5" customHeight="1" x14ac:dyDescent="0.2">
      <c r="G56225" s="889"/>
    </row>
    <row r="56226" spans="7:7" ht="10.5" customHeight="1" x14ac:dyDescent="0.2">
      <c r="G56226" s="889"/>
    </row>
    <row r="56227" spans="7:7" ht="10.5" customHeight="1" x14ac:dyDescent="0.2">
      <c r="G56227" s="889"/>
    </row>
    <row r="56228" spans="7:7" ht="10.5" customHeight="1" x14ac:dyDescent="0.2">
      <c r="G56228" s="889"/>
    </row>
    <row r="56229" spans="7:7" ht="10.5" customHeight="1" x14ac:dyDescent="0.2">
      <c r="G56229" s="889"/>
    </row>
    <row r="56230" spans="7:7" ht="10.5" customHeight="1" x14ac:dyDescent="0.2">
      <c r="G56230" s="889"/>
    </row>
    <row r="56231" spans="7:7" ht="10.5" customHeight="1" x14ac:dyDescent="0.2">
      <c r="G56231" s="889"/>
    </row>
    <row r="56232" spans="7:7" ht="10.5" customHeight="1" x14ac:dyDescent="0.2">
      <c r="G56232" s="889"/>
    </row>
    <row r="56233" spans="7:7" ht="10.5" customHeight="1" x14ac:dyDescent="0.2">
      <c r="G56233" s="889"/>
    </row>
    <row r="56234" spans="7:7" ht="10.5" customHeight="1" x14ac:dyDescent="0.2">
      <c r="G56234" s="889"/>
    </row>
    <row r="56235" spans="7:7" ht="10.5" customHeight="1" x14ac:dyDescent="0.2">
      <c r="G56235" s="889"/>
    </row>
    <row r="56236" spans="7:7" ht="10.5" customHeight="1" x14ac:dyDescent="0.2">
      <c r="G56236" s="889"/>
    </row>
    <row r="56237" spans="7:7" ht="10.5" customHeight="1" x14ac:dyDescent="0.2">
      <c r="G56237" s="889"/>
    </row>
    <row r="56238" spans="7:7" ht="10.5" customHeight="1" x14ac:dyDescent="0.2">
      <c r="G56238" s="889"/>
    </row>
    <row r="56239" spans="7:7" ht="10.5" customHeight="1" x14ac:dyDescent="0.2">
      <c r="G56239" s="889"/>
    </row>
    <row r="56240" spans="7:7" ht="10.5" customHeight="1" x14ac:dyDescent="0.2">
      <c r="G56240" s="889"/>
    </row>
    <row r="56241" spans="7:7" ht="10.5" customHeight="1" x14ac:dyDescent="0.2">
      <c r="G56241" s="889"/>
    </row>
    <row r="56242" spans="7:7" ht="10.5" customHeight="1" x14ac:dyDescent="0.2">
      <c r="G56242" s="889"/>
    </row>
    <row r="56243" spans="7:7" ht="10.5" customHeight="1" x14ac:dyDescent="0.2">
      <c r="G56243" s="889"/>
    </row>
    <row r="56244" spans="7:7" ht="10.5" customHeight="1" x14ac:dyDescent="0.2">
      <c r="G56244" s="889"/>
    </row>
    <row r="56245" spans="7:7" ht="10.5" customHeight="1" x14ac:dyDescent="0.2">
      <c r="G56245" s="889"/>
    </row>
    <row r="56246" spans="7:7" ht="10.5" customHeight="1" x14ac:dyDescent="0.2">
      <c r="G56246" s="889"/>
    </row>
    <row r="56247" spans="7:7" ht="10.5" customHeight="1" x14ac:dyDescent="0.2">
      <c r="G56247" s="889"/>
    </row>
    <row r="56248" spans="7:7" ht="10.5" customHeight="1" x14ac:dyDescent="0.2">
      <c r="G56248" s="889"/>
    </row>
    <row r="56249" spans="7:7" ht="10.5" customHeight="1" x14ac:dyDescent="0.2">
      <c r="G56249" s="889"/>
    </row>
    <row r="56250" spans="7:7" ht="10.5" customHeight="1" x14ac:dyDescent="0.2">
      <c r="G56250" s="889"/>
    </row>
    <row r="56251" spans="7:7" ht="10.5" customHeight="1" x14ac:dyDescent="0.2">
      <c r="G56251" s="889"/>
    </row>
    <row r="56252" spans="7:7" ht="10.5" customHeight="1" x14ac:dyDescent="0.2">
      <c r="G56252" s="889"/>
    </row>
    <row r="56253" spans="7:7" ht="10.5" customHeight="1" x14ac:dyDescent="0.2">
      <c r="G56253" s="889"/>
    </row>
    <row r="56254" spans="7:7" ht="10.5" customHeight="1" x14ac:dyDescent="0.2">
      <c r="G56254" s="889"/>
    </row>
    <row r="56255" spans="7:7" ht="10.5" customHeight="1" x14ac:dyDescent="0.2">
      <c r="G56255" s="889"/>
    </row>
    <row r="56256" spans="7:7" ht="10.5" customHeight="1" x14ac:dyDescent="0.2">
      <c r="G56256" s="889"/>
    </row>
    <row r="56257" spans="7:7" ht="10.5" customHeight="1" x14ac:dyDescent="0.2">
      <c r="G56257" s="889"/>
    </row>
    <row r="56258" spans="7:7" ht="10.5" customHeight="1" x14ac:dyDescent="0.2">
      <c r="G56258" s="889"/>
    </row>
    <row r="56259" spans="7:7" ht="10.5" customHeight="1" x14ac:dyDescent="0.2">
      <c r="G56259" s="889"/>
    </row>
    <row r="56260" spans="7:7" ht="10.5" customHeight="1" x14ac:dyDescent="0.2">
      <c r="G56260" s="889"/>
    </row>
    <row r="56261" spans="7:7" ht="10.5" customHeight="1" x14ac:dyDescent="0.2">
      <c r="G56261" s="889"/>
    </row>
    <row r="56262" spans="7:7" ht="10.5" customHeight="1" x14ac:dyDescent="0.2">
      <c r="G56262" s="889"/>
    </row>
    <row r="56263" spans="7:7" ht="10.5" customHeight="1" x14ac:dyDescent="0.2">
      <c r="G56263" s="889"/>
    </row>
    <row r="56264" spans="7:7" ht="10.5" customHeight="1" x14ac:dyDescent="0.2">
      <c r="G56264" s="889"/>
    </row>
    <row r="56265" spans="7:7" ht="10.5" customHeight="1" x14ac:dyDescent="0.2">
      <c r="G56265" s="889"/>
    </row>
    <row r="56266" spans="7:7" ht="10.5" customHeight="1" x14ac:dyDescent="0.2">
      <c r="G56266" s="889"/>
    </row>
    <row r="56267" spans="7:7" ht="10.5" customHeight="1" x14ac:dyDescent="0.2">
      <c r="G56267" s="889"/>
    </row>
    <row r="56268" spans="7:7" ht="10.5" customHeight="1" x14ac:dyDescent="0.2">
      <c r="G56268" s="889"/>
    </row>
    <row r="56269" spans="7:7" ht="10.5" customHeight="1" x14ac:dyDescent="0.2">
      <c r="G56269" s="889"/>
    </row>
    <row r="56270" spans="7:7" ht="10.5" customHeight="1" x14ac:dyDescent="0.2">
      <c r="G56270" s="889"/>
    </row>
    <row r="56271" spans="7:7" ht="10.5" customHeight="1" x14ac:dyDescent="0.2">
      <c r="G56271" s="889"/>
    </row>
    <row r="56272" spans="7:7" ht="10.5" customHeight="1" x14ac:dyDescent="0.2">
      <c r="G56272" s="889"/>
    </row>
    <row r="56273" spans="7:7" ht="10.5" customHeight="1" x14ac:dyDescent="0.2">
      <c r="G56273" s="889"/>
    </row>
    <row r="56274" spans="7:7" ht="10.5" customHeight="1" x14ac:dyDescent="0.2">
      <c r="G56274" s="889"/>
    </row>
    <row r="56275" spans="7:7" ht="10.5" customHeight="1" x14ac:dyDescent="0.2">
      <c r="G56275" s="889"/>
    </row>
    <row r="56276" spans="7:7" ht="10.5" customHeight="1" x14ac:dyDescent="0.2">
      <c r="G56276" s="889"/>
    </row>
    <row r="56277" spans="7:7" ht="10.5" customHeight="1" x14ac:dyDescent="0.2">
      <c r="G56277" s="889"/>
    </row>
    <row r="56278" spans="7:7" ht="10.5" customHeight="1" x14ac:dyDescent="0.2">
      <c r="G56278" s="889"/>
    </row>
    <row r="56279" spans="7:7" ht="10.5" customHeight="1" x14ac:dyDescent="0.2">
      <c r="G56279" s="889"/>
    </row>
    <row r="56280" spans="7:7" ht="10.5" customHeight="1" x14ac:dyDescent="0.2">
      <c r="G56280" s="889"/>
    </row>
    <row r="56281" spans="7:7" ht="10.5" customHeight="1" x14ac:dyDescent="0.2">
      <c r="G56281" s="889"/>
    </row>
    <row r="56282" spans="7:7" ht="10.5" customHeight="1" x14ac:dyDescent="0.2">
      <c r="G56282" s="889"/>
    </row>
    <row r="56283" spans="7:7" ht="10.5" customHeight="1" x14ac:dyDescent="0.2">
      <c r="G56283" s="889"/>
    </row>
    <row r="56284" spans="7:7" ht="10.5" customHeight="1" x14ac:dyDescent="0.2">
      <c r="G56284" s="889"/>
    </row>
    <row r="56285" spans="7:7" ht="10.5" customHeight="1" x14ac:dyDescent="0.2">
      <c r="G56285" s="889"/>
    </row>
    <row r="56286" spans="7:7" ht="10.5" customHeight="1" x14ac:dyDescent="0.2">
      <c r="G56286" s="889"/>
    </row>
    <row r="56287" spans="7:7" ht="10.5" customHeight="1" x14ac:dyDescent="0.2">
      <c r="G56287" s="889"/>
    </row>
    <row r="56288" spans="7:7" ht="10.5" customHeight="1" x14ac:dyDescent="0.2">
      <c r="G56288" s="889"/>
    </row>
    <row r="56289" spans="7:7" ht="10.5" customHeight="1" x14ac:dyDescent="0.2">
      <c r="G56289" s="889"/>
    </row>
    <row r="56290" spans="7:7" ht="10.5" customHeight="1" x14ac:dyDescent="0.2">
      <c r="G56290" s="889"/>
    </row>
    <row r="56291" spans="7:7" ht="10.5" customHeight="1" x14ac:dyDescent="0.2">
      <c r="G56291" s="889"/>
    </row>
    <row r="56292" spans="7:7" ht="10.5" customHeight="1" x14ac:dyDescent="0.2">
      <c r="G56292" s="889"/>
    </row>
    <row r="56293" spans="7:7" ht="10.5" customHeight="1" x14ac:dyDescent="0.2">
      <c r="G56293" s="889"/>
    </row>
    <row r="56294" spans="7:7" ht="10.5" customHeight="1" x14ac:dyDescent="0.2">
      <c r="G56294" s="889"/>
    </row>
    <row r="56295" spans="7:7" ht="10.5" customHeight="1" x14ac:dyDescent="0.2">
      <c r="G56295" s="889"/>
    </row>
    <row r="56296" spans="7:7" ht="10.5" customHeight="1" x14ac:dyDescent="0.2">
      <c r="G56296" s="889"/>
    </row>
    <row r="56297" spans="7:7" ht="10.5" customHeight="1" x14ac:dyDescent="0.2">
      <c r="G56297" s="889"/>
    </row>
    <row r="56298" spans="7:7" ht="10.5" customHeight="1" x14ac:dyDescent="0.2">
      <c r="G56298" s="889"/>
    </row>
    <row r="56299" spans="7:7" ht="10.5" customHeight="1" x14ac:dyDescent="0.2">
      <c r="G56299" s="889"/>
    </row>
    <row r="56300" spans="7:7" ht="10.5" customHeight="1" x14ac:dyDescent="0.2">
      <c r="G56300" s="889"/>
    </row>
    <row r="56301" spans="7:7" ht="10.5" customHeight="1" x14ac:dyDescent="0.2">
      <c r="G56301" s="889"/>
    </row>
    <row r="56302" spans="7:7" ht="10.5" customHeight="1" x14ac:dyDescent="0.2">
      <c r="G56302" s="889"/>
    </row>
    <row r="56303" spans="7:7" ht="10.5" customHeight="1" x14ac:dyDescent="0.2">
      <c r="G56303" s="889"/>
    </row>
    <row r="56304" spans="7:7" ht="10.5" customHeight="1" x14ac:dyDescent="0.2">
      <c r="G56304" s="889"/>
    </row>
    <row r="56305" spans="7:7" ht="10.5" customHeight="1" x14ac:dyDescent="0.2">
      <c r="G56305" s="889"/>
    </row>
    <row r="56306" spans="7:7" ht="10.5" customHeight="1" x14ac:dyDescent="0.2">
      <c r="G56306" s="889"/>
    </row>
    <row r="56307" spans="7:7" ht="10.5" customHeight="1" x14ac:dyDescent="0.2">
      <c r="G56307" s="889"/>
    </row>
    <row r="56308" spans="7:7" ht="10.5" customHeight="1" x14ac:dyDescent="0.2">
      <c r="G56308" s="889"/>
    </row>
    <row r="56309" spans="7:7" ht="10.5" customHeight="1" x14ac:dyDescent="0.2">
      <c r="G56309" s="889"/>
    </row>
    <row r="56310" spans="7:7" ht="10.5" customHeight="1" x14ac:dyDescent="0.2">
      <c r="G56310" s="889"/>
    </row>
    <row r="56311" spans="7:7" ht="10.5" customHeight="1" x14ac:dyDescent="0.2">
      <c r="G56311" s="889"/>
    </row>
    <row r="56312" spans="7:7" ht="10.5" customHeight="1" x14ac:dyDescent="0.2">
      <c r="G56312" s="889"/>
    </row>
    <row r="56313" spans="7:7" ht="10.5" customHeight="1" x14ac:dyDescent="0.2">
      <c r="G56313" s="889"/>
    </row>
    <row r="56314" spans="7:7" ht="10.5" customHeight="1" x14ac:dyDescent="0.2">
      <c r="G56314" s="889"/>
    </row>
    <row r="56315" spans="7:7" ht="10.5" customHeight="1" x14ac:dyDescent="0.2">
      <c r="G56315" s="889"/>
    </row>
    <row r="56316" spans="7:7" ht="10.5" customHeight="1" x14ac:dyDescent="0.2">
      <c r="G56316" s="889"/>
    </row>
    <row r="56317" spans="7:7" ht="10.5" customHeight="1" x14ac:dyDescent="0.2">
      <c r="G56317" s="889"/>
    </row>
    <row r="56318" spans="7:7" ht="10.5" customHeight="1" x14ac:dyDescent="0.2">
      <c r="G56318" s="889"/>
    </row>
    <row r="56319" spans="7:7" ht="10.5" customHeight="1" x14ac:dyDescent="0.2">
      <c r="G56319" s="889"/>
    </row>
    <row r="56320" spans="7:7" ht="10.5" customHeight="1" x14ac:dyDescent="0.2">
      <c r="G56320" s="889"/>
    </row>
    <row r="56321" spans="7:7" ht="10.5" customHeight="1" x14ac:dyDescent="0.2">
      <c r="G56321" s="889"/>
    </row>
    <row r="56322" spans="7:7" ht="10.5" customHeight="1" x14ac:dyDescent="0.2">
      <c r="G56322" s="889"/>
    </row>
    <row r="56323" spans="7:7" ht="10.5" customHeight="1" x14ac:dyDescent="0.2">
      <c r="G56323" s="889"/>
    </row>
    <row r="56324" spans="7:7" ht="10.5" customHeight="1" x14ac:dyDescent="0.2">
      <c r="G56324" s="889"/>
    </row>
    <row r="56325" spans="7:7" ht="10.5" customHeight="1" x14ac:dyDescent="0.2">
      <c r="G56325" s="889"/>
    </row>
    <row r="56326" spans="7:7" ht="10.5" customHeight="1" x14ac:dyDescent="0.2">
      <c r="G56326" s="889"/>
    </row>
    <row r="56327" spans="7:7" ht="10.5" customHeight="1" x14ac:dyDescent="0.2">
      <c r="G56327" s="889"/>
    </row>
    <row r="56328" spans="7:7" ht="10.5" customHeight="1" x14ac:dyDescent="0.2">
      <c r="G56328" s="889"/>
    </row>
    <row r="56329" spans="7:7" ht="10.5" customHeight="1" x14ac:dyDescent="0.2">
      <c r="G56329" s="889"/>
    </row>
    <row r="56330" spans="7:7" ht="10.5" customHeight="1" x14ac:dyDescent="0.2">
      <c r="G56330" s="889"/>
    </row>
    <row r="56331" spans="7:7" ht="10.5" customHeight="1" x14ac:dyDescent="0.2">
      <c r="G56331" s="889"/>
    </row>
    <row r="56332" spans="7:7" ht="10.5" customHeight="1" x14ac:dyDescent="0.2">
      <c r="G56332" s="889"/>
    </row>
    <row r="56333" spans="7:7" ht="10.5" customHeight="1" x14ac:dyDescent="0.2">
      <c r="G56333" s="889"/>
    </row>
    <row r="56334" spans="7:7" ht="10.5" customHeight="1" x14ac:dyDescent="0.2">
      <c r="G56334" s="889"/>
    </row>
    <row r="56335" spans="7:7" ht="10.5" customHeight="1" x14ac:dyDescent="0.2">
      <c r="G56335" s="889"/>
    </row>
    <row r="56336" spans="7:7" ht="10.5" customHeight="1" x14ac:dyDescent="0.2">
      <c r="G56336" s="889"/>
    </row>
    <row r="56337" spans="7:7" ht="10.5" customHeight="1" x14ac:dyDescent="0.2">
      <c r="G56337" s="889"/>
    </row>
    <row r="56338" spans="7:7" ht="10.5" customHeight="1" x14ac:dyDescent="0.2">
      <c r="G56338" s="889"/>
    </row>
    <row r="56339" spans="7:7" ht="10.5" customHeight="1" x14ac:dyDescent="0.2">
      <c r="G56339" s="889"/>
    </row>
    <row r="56340" spans="7:7" ht="10.5" customHeight="1" x14ac:dyDescent="0.2">
      <c r="G56340" s="889"/>
    </row>
    <row r="56341" spans="7:7" ht="10.5" customHeight="1" x14ac:dyDescent="0.2">
      <c r="G56341" s="889"/>
    </row>
    <row r="56342" spans="7:7" ht="10.5" customHeight="1" x14ac:dyDescent="0.2">
      <c r="G56342" s="889"/>
    </row>
    <row r="56343" spans="7:7" ht="10.5" customHeight="1" x14ac:dyDescent="0.2">
      <c r="G56343" s="889"/>
    </row>
    <row r="56344" spans="7:7" ht="10.5" customHeight="1" x14ac:dyDescent="0.2">
      <c r="G56344" s="889"/>
    </row>
    <row r="56345" spans="7:7" ht="10.5" customHeight="1" x14ac:dyDescent="0.2">
      <c r="G56345" s="889"/>
    </row>
    <row r="56346" spans="7:7" ht="10.5" customHeight="1" x14ac:dyDescent="0.2">
      <c r="G56346" s="889"/>
    </row>
    <row r="56347" spans="7:7" ht="10.5" customHeight="1" x14ac:dyDescent="0.2">
      <c r="G56347" s="889"/>
    </row>
    <row r="56348" spans="7:7" ht="10.5" customHeight="1" x14ac:dyDescent="0.2">
      <c r="G56348" s="889"/>
    </row>
    <row r="56349" spans="7:7" ht="10.5" customHeight="1" x14ac:dyDescent="0.2">
      <c r="G56349" s="889"/>
    </row>
    <row r="56350" spans="7:7" ht="10.5" customHeight="1" x14ac:dyDescent="0.2">
      <c r="G56350" s="889"/>
    </row>
    <row r="56351" spans="7:7" ht="10.5" customHeight="1" x14ac:dyDescent="0.2">
      <c r="G56351" s="889"/>
    </row>
    <row r="56352" spans="7:7" ht="10.5" customHeight="1" x14ac:dyDescent="0.2">
      <c r="G56352" s="889"/>
    </row>
    <row r="56353" spans="7:7" ht="10.5" customHeight="1" x14ac:dyDescent="0.2">
      <c r="G56353" s="889"/>
    </row>
    <row r="56354" spans="7:7" ht="10.5" customHeight="1" x14ac:dyDescent="0.2">
      <c r="G56354" s="889"/>
    </row>
    <row r="56355" spans="7:7" ht="10.5" customHeight="1" x14ac:dyDescent="0.2">
      <c r="G56355" s="889"/>
    </row>
    <row r="56356" spans="7:7" ht="10.5" customHeight="1" x14ac:dyDescent="0.2">
      <c r="G56356" s="889"/>
    </row>
    <row r="56357" spans="7:7" ht="10.5" customHeight="1" x14ac:dyDescent="0.2">
      <c r="G56357" s="889"/>
    </row>
    <row r="56358" spans="7:7" ht="10.5" customHeight="1" x14ac:dyDescent="0.2">
      <c r="G56358" s="889"/>
    </row>
    <row r="56359" spans="7:7" ht="10.5" customHeight="1" x14ac:dyDescent="0.2">
      <c r="G56359" s="889"/>
    </row>
    <row r="56360" spans="7:7" ht="10.5" customHeight="1" x14ac:dyDescent="0.2">
      <c r="G56360" s="889"/>
    </row>
    <row r="56361" spans="7:7" ht="10.5" customHeight="1" x14ac:dyDescent="0.2">
      <c r="G56361" s="889"/>
    </row>
    <row r="56362" spans="7:7" ht="10.5" customHeight="1" x14ac:dyDescent="0.2">
      <c r="G56362" s="889"/>
    </row>
    <row r="56363" spans="7:7" ht="10.5" customHeight="1" x14ac:dyDescent="0.2">
      <c r="G56363" s="889"/>
    </row>
    <row r="56364" spans="7:7" ht="10.5" customHeight="1" x14ac:dyDescent="0.2">
      <c r="G56364" s="889"/>
    </row>
    <row r="56365" spans="7:7" ht="10.5" customHeight="1" x14ac:dyDescent="0.2">
      <c r="G56365" s="889"/>
    </row>
    <row r="56366" spans="7:7" ht="10.5" customHeight="1" x14ac:dyDescent="0.2">
      <c r="G56366" s="889"/>
    </row>
    <row r="56367" spans="7:7" ht="10.5" customHeight="1" x14ac:dyDescent="0.2">
      <c r="G56367" s="889"/>
    </row>
    <row r="56368" spans="7:7" ht="10.5" customHeight="1" x14ac:dyDescent="0.2">
      <c r="G56368" s="889"/>
    </row>
    <row r="56369" spans="7:7" ht="10.5" customHeight="1" x14ac:dyDescent="0.2">
      <c r="G56369" s="889"/>
    </row>
    <row r="56370" spans="7:7" ht="10.5" customHeight="1" x14ac:dyDescent="0.2">
      <c r="G56370" s="889"/>
    </row>
    <row r="56371" spans="7:7" ht="10.5" customHeight="1" x14ac:dyDescent="0.2">
      <c r="G56371" s="889"/>
    </row>
    <row r="56372" spans="7:7" ht="10.5" customHeight="1" x14ac:dyDescent="0.2">
      <c r="G56372" s="889"/>
    </row>
    <row r="56373" spans="7:7" ht="10.5" customHeight="1" x14ac:dyDescent="0.2">
      <c r="G56373" s="889"/>
    </row>
    <row r="56374" spans="7:7" ht="10.5" customHeight="1" x14ac:dyDescent="0.2">
      <c r="G56374" s="889"/>
    </row>
    <row r="56375" spans="7:7" ht="10.5" customHeight="1" x14ac:dyDescent="0.2">
      <c r="G56375" s="889"/>
    </row>
    <row r="56376" spans="7:7" ht="10.5" customHeight="1" x14ac:dyDescent="0.2">
      <c r="G56376" s="889"/>
    </row>
    <row r="56377" spans="7:7" ht="10.5" customHeight="1" x14ac:dyDescent="0.2">
      <c r="G56377" s="889"/>
    </row>
    <row r="56378" spans="7:7" ht="10.5" customHeight="1" x14ac:dyDescent="0.2">
      <c r="G56378" s="889"/>
    </row>
    <row r="56379" spans="7:7" ht="10.5" customHeight="1" x14ac:dyDescent="0.2">
      <c r="G56379" s="889"/>
    </row>
    <row r="56380" spans="7:7" ht="10.5" customHeight="1" x14ac:dyDescent="0.2">
      <c r="G56380" s="889"/>
    </row>
    <row r="56381" spans="7:7" ht="10.5" customHeight="1" x14ac:dyDescent="0.2">
      <c r="G56381" s="889"/>
    </row>
    <row r="56382" spans="7:7" ht="10.5" customHeight="1" x14ac:dyDescent="0.2">
      <c r="G56382" s="889"/>
    </row>
    <row r="56383" spans="7:7" ht="10.5" customHeight="1" x14ac:dyDescent="0.2">
      <c r="G56383" s="889"/>
    </row>
    <row r="56384" spans="7:7" ht="10.5" customHeight="1" x14ac:dyDescent="0.2">
      <c r="G56384" s="889"/>
    </row>
    <row r="56385" spans="7:7" ht="10.5" customHeight="1" x14ac:dyDescent="0.2">
      <c r="G56385" s="889"/>
    </row>
    <row r="56386" spans="7:7" ht="10.5" customHeight="1" x14ac:dyDescent="0.2">
      <c r="G56386" s="889"/>
    </row>
    <row r="56387" spans="7:7" ht="10.5" customHeight="1" x14ac:dyDescent="0.2">
      <c r="G56387" s="889"/>
    </row>
    <row r="56388" spans="7:7" ht="10.5" customHeight="1" x14ac:dyDescent="0.2">
      <c r="G56388" s="889"/>
    </row>
    <row r="56389" spans="7:7" ht="10.5" customHeight="1" x14ac:dyDescent="0.2">
      <c r="G56389" s="889"/>
    </row>
    <row r="56390" spans="7:7" ht="10.5" customHeight="1" x14ac:dyDescent="0.2">
      <c r="G56390" s="889"/>
    </row>
    <row r="56391" spans="7:7" ht="10.5" customHeight="1" x14ac:dyDescent="0.2">
      <c r="G56391" s="889"/>
    </row>
    <row r="56392" spans="7:7" ht="10.5" customHeight="1" x14ac:dyDescent="0.2">
      <c r="G56392" s="889"/>
    </row>
    <row r="56393" spans="7:7" ht="10.5" customHeight="1" x14ac:dyDescent="0.2">
      <c r="G56393" s="889"/>
    </row>
    <row r="56394" spans="7:7" ht="10.5" customHeight="1" x14ac:dyDescent="0.2">
      <c r="G56394" s="889"/>
    </row>
    <row r="56395" spans="7:7" ht="10.5" customHeight="1" x14ac:dyDescent="0.2">
      <c r="G56395" s="889"/>
    </row>
    <row r="56396" spans="7:7" ht="10.5" customHeight="1" x14ac:dyDescent="0.2">
      <c r="G56396" s="889"/>
    </row>
    <row r="56397" spans="7:7" ht="10.5" customHeight="1" x14ac:dyDescent="0.2">
      <c r="G56397" s="889"/>
    </row>
    <row r="56398" spans="7:7" ht="10.5" customHeight="1" x14ac:dyDescent="0.2">
      <c r="G56398" s="889"/>
    </row>
    <row r="56399" spans="7:7" ht="10.5" customHeight="1" x14ac:dyDescent="0.2">
      <c r="G56399" s="889"/>
    </row>
    <row r="56400" spans="7:7" ht="10.5" customHeight="1" x14ac:dyDescent="0.2">
      <c r="G56400" s="889"/>
    </row>
    <row r="56401" spans="7:7" ht="10.5" customHeight="1" x14ac:dyDescent="0.2">
      <c r="G56401" s="889"/>
    </row>
    <row r="56402" spans="7:7" ht="10.5" customHeight="1" x14ac:dyDescent="0.2">
      <c r="G56402" s="889"/>
    </row>
    <row r="56403" spans="7:7" ht="10.5" customHeight="1" x14ac:dyDescent="0.2">
      <c r="G56403" s="889"/>
    </row>
    <row r="56404" spans="7:7" ht="10.5" customHeight="1" x14ac:dyDescent="0.2">
      <c r="G56404" s="889"/>
    </row>
    <row r="56405" spans="7:7" ht="10.5" customHeight="1" x14ac:dyDescent="0.2">
      <c r="G56405" s="889"/>
    </row>
    <row r="56406" spans="7:7" ht="10.5" customHeight="1" x14ac:dyDescent="0.2">
      <c r="G56406" s="889"/>
    </row>
    <row r="56407" spans="7:7" ht="10.5" customHeight="1" x14ac:dyDescent="0.2">
      <c r="G56407" s="889"/>
    </row>
    <row r="56408" spans="7:7" ht="10.5" customHeight="1" x14ac:dyDescent="0.2">
      <c r="G56408" s="889"/>
    </row>
    <row r="56409" spans="7:7" ht="10.5" customHeight="1" x14ac:dyDescent="0.2">
      <c r="G56409" s="889"/>
    </row>
    <row r="56410" spans="7:7" ht="10.5" customHeight="1" x14ac:dyDescent="0.2">
      <c r="G56410" s="889"/>
    </row>
    <row r="56411" spans="7:7" ht="10.5" customHeight="1" x14ac:dyDescent="0.2">
      <c r="G56411" s="889"/>
    </row>
    <row r="56412" spans="7:7" ht="10.5" customHeight="1" x14ac:dyDescent="0.2">
      <c r="G56412" s="889"/>
    </row>
    <row r="56413" spans="7:7" ht="10.5" customHeight="1" x14ac:dyDescent="0.2">
      <c r="G56413" s="889"/>
    </row>
    <row r="56414" spans="7:7" ht="10.5" customHeight="1" x14ac:dyDescent="0.2">
      <c r="G56414" s="889"/>
    </row>
    <row r="56415" spans="7:7" ht="10.5" customHeight="1" x14ac:dyDescent="0.2">
      <c r="G56415" s="889"/>
    </row>
    <row r="56416" spans="7:7" ht="10.5" customHeight="1" x14ac:dyDescent="0.2">
      <c r="G56416" s="889"/>
    </row>
    <row r="56417" spans="7:7" ht="10.5" customHeight="1" x14ac:dyDescent="0.2">
      <c r="G56417" s="889"/>
    </row>
    <row r="56418" spans="7:7" ht="10.5" customHeight="1" x14ac:dyDescent="0.2">
      <c r="G56418" s="889"/>
    </row>
    <row r="56419" spans="7:7" ht="10.5" customHeight="1" x14ac:dyDescent="0.2">
      <c r="G56419" s="889"/>
    </row>
    <row r="56420" spans="7:7" ht="10.5" customHeight="1" x14ac:dyDescent="0.2">
      <c r="G56420" s="889"/>
    </row>
    <row r="56421" spans="7:7" ht="10.5" customHeight="1" x14ac:dyDescent="0.2">
      <c r="G56421" s="889"/>
    </row>
    <row r="56422" spans="7:7" ht="10.5" customHeight="1" x14ac:dyDescent="0.2">
      <c r="G56422" s="889"/>
    </row>
    <row r="56423" spans="7:7" ht="10.5" customHeight="1" x14ac:dyDescent="0.2">
      <c r="G56423" s="889"/>
    </row>
    <row r="56424" spans="7:7" ht="10.5" customHeight="1" x14ac:dyDescent="0.2">
      <c r="G56424" s="889"/>
    </row>
    <row r="56425" spans="7:7" ht="10.5" customHeight="1" x14ac:dyDescent="0.2">
      <c r="G56425" s="889"/>
    </row>
    <row r="56426" spans="7:7" ht="10.5" customHeight="1" x14ac:dyDescent="0.2">
      <c r="G56426" s="889"/>
    </row>
    <row r="56427" spans="7:7" ht="10.5" customHeight="1" x14ac:dyDescent="0.2">
      <c r="G56427" s="889"/>
    </row>
    <row r="56428" spans="7:7" ht="10.5" customHeight="1" x14ac:dyDescent="0.2">
      <c r="G56428" s="889"/>
    </row>
    <row r="56429" spans="7:7" ht="10.5" customHeight="1" x14ac:dyDescent="0.2">
      <c r="G56429" s="889"/>
    </row>
    <row r="56430" spans="7:7" ht="10.5" customHeight="1" x14ac:dyDescent="0.2">
      <c r="G56430" s="889"/>
    </row>
    <row r="56431" spans="7:7" ht="10.5" customHeight="1" x14ac:dyDescent="0.2">
      <c r="G56431" s="889"/>
    </row>
    <row r="56432" spans="7:7" ht="10.5" customHeight="1" x14ac:dyDescent="0.2">
      <c r="G56432" s="889"/>
    </row>
    <row r="56433" spans="7:7" ht="10.5" customHeight="1" x14ac:dyDescent="0.2">
      <c r="G56433" s="889"/>
    </row>
    <row r="56434" spans="7:7" ht="10.5" customHeight="1" x14ac:dyDescent="0.2">
      <c r="G56434" s="889"/>
    </row>
    <row r="56435" spans="7:7" ht="10.5" customHeight="1" x14ac:dyDescent="0.2">
      <c r="G56435" s="889"/>
    </row>
    <row r="56436" spans="7:7" ht="10.5" customHeight="1" x14ac:dyDescent="0.2">
      <c r="G56436" s="889"/>
    </row>
    <row r="56437" spans="7:7" ht="10.5" customHeight="1" x14ac:dyDescent="0.2">
      <c r="G56437" s="889"/>
    </row>
    <row r="56438" spans="7:7" ht="10.5" customHeight="1" x14ac:dyDescent="0.2">
      <c r="G56438" s="889"/>
    </row>
    <row r="56439" spans="7:7" ht="10.5" customHeight="1" x14ac:dyDescent="0.2">
      <c r="G56439" s="889"/>
    </row>
    <row r="56440" spans="7:7" ht="10.5" customHeight="1" x14ac:dyDescent="0.2">
      <c r="G56440" s="889"/>
    </row>
    <row r="56441" spans="7:7" ht="10.5" customHeight="1" x14ac:dyDescent="0.2">
      <c r="G56441" s="889"/>
    </row>
    <row r="56442" spans="7:7" ht="10.5" customHeight="1" x14ac:dyDescent="0.2">
      <c r="G56442" s="889"/>
    </row>
    <row r="56443" spans="7:7" ht="10.5" customHeight="1" x14ac:dyDescent="0.2">
      <c r="G56443" s="889"/>
    </row>
    <row r="56444" spans="7:7" ht="10.5" customHeight="1" x14ac:dyDescent="0.2">
      <c r="G56444" s="889"/>
    </row>
    <row r="56445" spans="7:7" ht="10.5" customHeight="1" x14ac:dyDescent="0.2">
      <c r="G56445" s="889"/>
    </row>
    <row r="56446" spans="7:7" ht="10.5" customHeight="1" x14ac:dyDescent="0.2">
      <c r="G56446" s="889"/>
    </row>
    <row r="56447" spans="7:7" ht="10.5" customHeight="1" x14ac:dyDescent="0.2">
      <c r="G56447" s="889"/>
    </row>
    <row r="56448" spans="7:7" ht="10.5" customHeight="1" x14ac:dyDescent="0.2">
      <c r="G56448" s="889"/>
    </row>
    <row r="56449" spans="7:7" ht="10.5" customHeight="1" x14ac:dyDescent="0.2">
      <c r="G56449" s="889"/>
    </row>
    <row r="56450" spans="7:7" ht="10.5" customHeight="1" x14ac:dyDescent="0.2">
      <c r="G56450" s="889"/>
    </row>
    <row r="56451" spans="7:7" ht="10.5" customHeight="1" x14ac:dyDescent="0.2">
      <c r="G56451" s="889"/>
    </row>
    <row r="56452" spans="7:7" ht="10.5" customHeight="1" x14ac:dyDescent="0.2">
      <c r="G56452" s="889"/>
    </row>
    <row r="56453" spans="7:7" ht="10.5" customHeight="1" x14ac:dyDescent="0.2">
      <c r="G56453" s="889"/>
    </row>
    <row r="56454" spans="7:7" ht="10.5" customHeight="1" x14ac:dyDescent="0.2">
      <c r="G56454" s="889"/>
    </row>
    <row r="56455" spans="7:7" ht="10.5" customHeight="1" x14ac:dyDescent="0.2">
      <c r="G56455" s="889"/>
    </row>
    <row r="56456" spans="7:7" ht="10.5" customHeight="1" x14ac:dyDescent="0.2">
      <c r="G56456" s="889"/>
    </row>
    <row r="56457" spans="7:7" ht="10.5" customHeight="1" x14ac:dyDescent="0.2">
      <c r="G56457" s="889"/>
    </row>
    <row r="56458" spans="7:7" ht="10.5" customHeight="1" x14ac:dyDescent="0.2">
      <c r="G56458" s="889"/>
    </row>
    <row r="56459" spans="7:7" ht="10.5" customHeight="1" x14ac:dyDescent="0.2">
      <c r="G56459" s="889"/>
    </row>
    <row r="56460" spans="7:7" ht="10.5" customHeight="1" x14ac:dyDescent="0.2">
      <c r="G56460" s="889"/>
    </row>
    <row r="56461" spans="7:7" ht="10.5" customHeight="1" x14ac:dyDescent="0.2">
      <c r="G56461" s="889"/>
    </row>
    <row r="56462" spans="7:7" ht="10.5" customHeight="1" x14ac:dyDescent="0.2">
      <c r="G56462" s="889"/>
    </row>
    <row r="56463" spans="7:7" ht="10.5" customHeight="1" x14ac:dyDescent="0.2">
      <c r="G56463" s="889"/>
    </row>
    <row r="56464" spans="7:7" ht="10.5" customHeight="1" x14ac:dyDescent="0.2">
      <c r="G56464" s="889"/>
    </row>
    <row r="56465" spans="7:7" ht="10.5" customHeight="1" x14ac:dyDescent="0.2">
      <c r="G56465" s="889"/>
    </row>
    <row r="56466" spans="7:7" ht="10.5" customHeight="1" x14ac:dyDescent="0.2">
      <c r="G56466" s="889"/>
    </row>
    <row r="56467" spans="7:7" ht="10.5" customHeight="1" x14ac:dyDescent="0.2">
      <c r="G56467" s="889"/>
    </row>
    <row r="56468" spans="7:7" ht="10.5" customHeight="1" x14ac:dyDescent="0.2">
      <c r="G56468" s="889"/>
    </row>
    <row r="56469" spans="7:7" ht="10.5" customHeight="1" x14ac:dyDescent="0.2">
      <c r="G56469" s="889"/>
    </row>
    <row r="56470" spans="7:7" ht="10.5" customHeight="1" x14ac:dyDescent="0.2">
      <c r="G56470" s="889"/>
    </row>
    <row r="56471" spans="7:7" ht="10.5" customHeight="1" x14ac:dyDescent="0.2">
      <c r="G56471" s="889"/>
    </row>
    <row r="56472" spans="7:7" ht="10.5" customHeight="1" x14ac:dyDescent="0.2">
      <c r="G56472" s="889"/>
    </row>
    <row r="56473" spans="7:7" ht="10.5" customHeight="1" x14ac:dyDescent="0.2">
      <c r="G56473" s="889"/>
    </row>
    <row r="56474" spans="7:7" ht="10.5" customHeight="1" x14ac:dyDescent="0.2">
      <c r="G56474" s="889"/>
    </row>
    <row r="56475" spans="7:7" ht="10.5" customHeight="1" x14ac:dyDescent="0.2">
      <c r="G56475" s="889"/>
    </row>
    <row r="56476" spans="7:7" ht="10.5" customHeight="1" x14ac:dyDescent="0.2">
      <c r="G56476" s="889"/>
    </row>
    <row r="56477" spans="7:7" ht="10.5" customHeight="1" x14ac:dyDescent="0.2">
      <c r="G56477" s="889"/>
    </row>
    <row r="56478" spans="7:7" ht="10.5" customHeight="1" x14ac:dyDescent="0.2">
      <c r="G56478" s="889"/>
    </row>
    <row r="56479" spans="7:7" ht="10.5" customHeight="1" x14ac:dyDescent="0.2">
      <c r="G56479" s="889"/>
    </row>
    <row r="56480" spans="7:7" ht="10.5" customHeight="1" x14ac:dyDescent="0.2">
      <c r="G56480" s="889"/>
    </row>
    <row r="56481" spans="7:7" ht="10.5" customHeight="1" x14ac:dyDescent="0.2">
      <c r="G56481" s="889"/>
    </row>
    <row r="56482" spans="7:7" ht="10.5" customHeight="1" x14ac:dyDescent="0.2">
      <c r="G56482" s="889"/>
    </row>
    <row r="56483" spans="7:7" ht="10.5" customHeight="1" x14ac:dyDescent="0.2">
      <c r="G56483" s="889"/>
    </row>
    <row r="56484" spans="7:7" ht="10.5" customHeight="1" x14ac:dyDescent="0.2">
      <c r="G56484" s="889"/>
    </row>
    <row r="56485" spans="7:7" ht="10.5" customHeight="1" x14ac:dyDescent="0.2">
      <c r="G56485" s="889"/>
    </row>
    <row r="56486" spans="7:7" ht="10.5" customHeight="1" x14ac:dyDescent="0.2">
      <c r="G56486" s="889"/>
    </row>
    <row r="56487" spans="7:7" ht="10.5" customHeight="1" x14ac:dyDescent="0.2">
      <c r="G56487" s="889"/>
    </row>
    <row r="56488" spans="7:7" ht="10.5" customHeight="1" x14ac:dyDescent="0.2">
      <c r="G56488" s="889"/>
    </row>
    <row r="56489" spans="7:7" ht="10.5" customHeight="1" x14ac:dyDescent="0.2">
      <c r="G56489" s="889"/>
    </row>
    <row r="56490" spans="7:7" ht="10.5" customHeight="1" x14ac:dyDescent="0.2">
      <c r="G56490" s="889"/>
    </row>
    <row r="56491" spans="7:7" ht="10.5" customHeight="1" x14ac:dyDescent="0.2">
      <c r="G56491" s="889"/>
    </row>
    <row r="56492" spans="7:7" ht="10.5" customHeight="1" x14ac:dyDescent="0.2">
      <c r="G56492" s="889"/>
    </row>
    <row r="56493" spans="7:7" ht="10.5" customHeight="1" x14ac:dyDescent="0.2">
      <c r="G56493" s="889"/>
    </row>
    <row r="56494" spans="7:7" ht="10.5" customHeight="1" x14ac:dyDescent="0.2">
      <c r="G56494" s="889"/>
    </row>
    <row r="56495" spans="7:7" ht="10.5" customHeight="1" x14ac:dyDescent="0.2">
      <c r="G56495" s="889"/>
    </row>
    <row r="56496" spans="7:7" ht="10.5" customHeight="1" x14ac:dyDescent="0.2">
      <c r="G56496" s="889"/>
    </row>
    <row r="56497" spans="7:7" ht="10.5" customHeight="1" x14ac:dyDescent="0.2">
      <c r="G56497" s="889"/>
    </row>
    <row r="56498" spans="7:7" ht="10.5" customHeight="1" x14ac:dyDescent="0.2">
      <c r="G56498" s="889"/>
    </row>
    <row r="56499" spans="7:7" ht="10.5" customHeight="1" x14ac:dyDescent="0.2">
      <c r="G56499" s="889"/>
    </row>
    <row r="56500" spans="7:7" ht="10.5" customHeight="1" x14ac:dyDescent="0.2">
      <c r="G56500" s="889"/>
    </row>
    <row r="56501" spans="7:7" ht="10.5" customHeight="1" x14ac:dyDescent="0.2">
      <c r="G56501" s="889"/>
    </row>
    <row r="56502" spans="7:7" ht="10.5" customHeight="1" x14ac:dyDescent="0.2">
      <c r="G56502" s="889"/>
    </row>
    <row r="56503" spans="7:7" ht="10.5" customHeight="1" x14ac:dyDescent="0.2">
      <c r="G56503" s="889"/>
    </row>
    <row r="56504" spans="7:7" ht="10.5" customHeight="1" x14ac:dyDescent="0.2">
      <c r="G56504" s="889"/>
    </row>
    <row r="56505" spans="7:7" ht="10.5" customHeight="1" x14ac:dyDescent="0.2">
      <c r="G56505" s="889"/>
    </row>
    <row r="56506" spans="7:7" ht="10.5" customHeight="1" x14ac:dyDescent="0.2">
      <c r="G56506" s="889"/>
    </row>
    <row r="56507" spans="7:7" ht="10.5" customHeight="1" x14ac:dyDescent="0.2">
      <c r="G56507" s="889"/>
    </row>
    <row r="56508" spans="7:7" ht="10.5" customHeight="1" x14ac:dyDescent="0.2">
      <c r="G56508" s="889"/>
    </row>
    <row r="56509" spans="7:7" ht="10.5" customHeight="1" x14ac:dyDescent="0.2">
      <c r="G56509" s="889"/>
    </row>
    <row r="56510" spans="7:7" ht="10.5" customHeight="1" x14ac:dyDescent="0.2">
      <c r="G56510" s="889"/>
    </row>
    <row r="56511" spans="7:7" ht="10.5" customHeight="1" x14ac:dyDescent="0.2">
      <c r="G56511" s="889"/>
    </row>
    <row r="56512" spans="7:7" ht="10.5" customHeight="1" x14ac:dyDescent="0.2">
      <c r="G56512" s="889"/>
    </row>
    <row r="56513" spans="7:7" ht="10.5" customHeight="1" x14ac:dyDescent="0.2">
      <c r="G56513" s="889"/>
    </row>
    <row r="56514" spans="7:7" ht="10.5" customHeight="1" x14ac:dyDescent="0.2">
      <c r="G56514" s="889"/>
    </row>
    <row r="56515" spans="7:7" ht="10.5" customHeight="1" x14ac:dyDescent="0.2">
      <c r="G56515" s="889"/>
    </row>
    <row r="56516" spans="7:7" ht="10.5" customHeight="1" x14ac:dyDescent="0.2">
      <c r="G56516" s="889"/>
    </row>
    <row r="56517" spans="7:7" ht="10.5" customHeight="1" x14ac:dyDescent="0.2">
      <c r="G56517" s="889"/>
    </row>
    <row r="56518" spans="7:7" ht="10.5" customHeight="1" x14ac:dyDescent="0.2">
      <c r="G56518" s="889"/>
    </row>
    <row r="56519" spans="7:7" ht="10.5" customHeight="1" x14ac:dyDescent="0.2">
      <c r="G56519" s="889"/>
    </row>
    <row r="56520" spans="7:7" ht="10.5" customHeight="1" x14ac:dyDescent="0.2">
      <c r="G56520" s="889"/>
    </row>
    <row r="56521" spans="7:7" ht="10.5" customHeight="1" x14ac:dyDescent="0.2">
      <c r="G56521" s="889"/>
    </row>
    <row r="56522" spans="7:7" ht="10.5" customHeight="1" x14ac:dyDescent="0.2">
      <c r="G56522" s="889"/>
    </row>
    <row r="56523" spans="7:7" ht="10.5" customHeight="1" x14ac:dyDescent="0.2">
      <c r="G56523" s="889"/>
    </row>
    <row r="56524" spans="7:7" ht="10.5" customHeight="1" x14ac:dyDescent="0.2">
      <c r="G56524" s="889"/>
    </row>
    <row r="56525" spans="7:7" ht="10.5" customHeight="1" x14ac:dyDescent="0.2">
      <c r="G56525" s="889"/>
    </row>
    <row r="56526" spans="7:7" ht="10.5" customHeight="1" x14ac:dyDescent="0.2">
      <c r="G56526" s="889"/>
    </row>
    <row r="56527" spans="7:7" ht="10.5" customHeight="1" x14ac:dyDescent="0.2">
      <c r="G56527" s="889"/>
    </row>
    <row r="56528" spans="7:7" ht="10.5" customHeight="1" x14ac:dyDescent="0.2">
      <c r="G56528" s="889"/>
    </row>
    <row r="56529" spans="7:7" ht="10.5" customHeight="1" x14ac:dyDescent="0.2">
      <c r="G56529" s="889"/>
    </row>
    <row r="56530" spans="7:7" ht="10.5" customHeight="1" x14ac:dyDescent="0.2">
      <c r="G56530" s="889"/>
    </row>
    <row r="56531" spans="7:7" ht="10.5" customHeight="1" x14ac:dyDescent="0.2">
      <c r="G56531" s="889"/>
    </row>
    <row r="56532" spans="7:7" ht="10.5" customHeight="1" x14ac:dyDescent="0.2">
      <c r="G56532" s="889"/>
    </row>
    <row r="56533" spans="7:7" ht="10.5" customHeight="1" x14ac:dyDescent="0.2">
      <c r="G56533" s="889"/>
    </row>
    <row r="56534" spans="7:7" ht="10.5" customHeight="1" x14ac:dyDescent="0.2">
      <c r="G56534" s="889"/>
    </row>
    <row r="56535" spans="7:7" ht="10.5" customHeight="1" x14ac:dyDescent="0.2">
      <c r="G56535" s="889"/>
    </row>
    <row r="56536" spans="7:7" ht="10.5" customHeight="1" x14ac:dyDescent="0.2">
      <c r="G56536" s="889"/>
    </row>
    <row r="56537" spans="7:7" ht="10.5" customHeight="1" x14ac:dyDescent="0.2">
      <c r="G56537" s="889"/>
    </row>
    <row r="56538" spans="7:7" ht="10.5" customHeight="1" x14ac:dyDescent="0.2">
      <c r="G56538" s="889"/>
    </row>
    <row r="56539" spans="7:7" ht="10.5" customHeight="1" x14ac:dyDescent="0.2">
      <c r="G56539" s="889"/>
    </row>
    <row r="56540" spans="7:7" ht="10.5" customHeight="1" x14ac:dyDescent="0.2">
      <c r="G56540" s="889"/>
    </row>
    <row r="56541" spans="7:7" ht="10.5" customHeight="1" x14ac:dyDescent="0.2">
      <c r="G56541" s="889"/>
    </row>
    <row r="56542" spans="7:7" ht="10.5" customHeight="1" x14ac:dyDescent="0.2">
      <c r="G56542" s="889"/>
    </row>
    <row r="56543" spans="7:7" ht="10.5" customHeight="1" x14ac:dyDescent="0.2">
      <c r="G56543" s="889"/>
    </row>
    <row r="56544" spans="7:7" ht="10.5" customHeight="1" x14ac:dyDescent="0.2">
      <c r="G56544" s="889"/>
    </row>
    <row r="56545" spans="7:7" ht="10.5" customHeight="1" x14ac:dyDescent="0.2">
      <c r="G56545" s="889"/>
    </row>
    <row r="56546" spans="7:7" ht="10.5" customHeight="1" x14ac:dyDescent="0.2">
      <c r="G56546" s="889"/>
    </row>
    <row r="56547" spans="7:7" ht="10.5" customHeight="1" x14ac:dyDescent="0.2">
      <c r="G56547" s="889"/>
    </row>
    <row r="56548" spans="7:7" ht="10.5" customHeight="1" x14ac:dyDescent="0.2">
      <c r="G56548" s="889"/>
    </row>
    <row r="56549" spans="7:7" ht="10.5" customHeight="1" x14ac:dyDescent="0.2">
      <c r="G56549" s="889"/>
    </row>
    <row r="56550" spans="7:7" ht="10.5" customHeight="1" x14ac:dyDescent="0.2">
      <c r="G56550" s="889"/>
    </row>
    <row r="56551" spans="7:7" ht="10.5" customHeight="1" x14ac:dyDescent="0.2">
      <c r="G56551" s="889"/>
    </row>
    <row r="56552" spans="7:7" ht="10.5" customHeight="1" x14ac:dyDescent="0.2">
      <c r="G56552" s="889"/>
    </row>
    <row r="56553" spans="7:7" ht="10.5" customHeight="1" x14ac:dyDescent="0.2">
      <c r="G56553" s="889"/>
    </row>
    <row r="56554" spans="7:7" ht="10.5" customHeight="1" x14ac:dyDescent="0.2">
      <c r="G56554" s="889"/>
    </row>
    <row r="56555" spans="7:7" ht="10.5" customHeight="1" x14ac:dyDescent="0.2">
      <c r="G56555" s="889"/>
    </row>
    <row r="56556" spans="7:7" ht="10.5" customHeight="1" x14ac:dyDescent="0.2">
      <c r="G56556" s="889"/>
    </row>
    <row r="56557" spans="7:7" ht="10.5" customHeight="1" x14ac:dyDescent="0.2">
      <c r="G56557" s="889"/>
    </row>
    <row r="56558" spans="7:7" ht="10.5" customHeight="1" x14ac:dyDescent="0.2">
      <c r="G56558" s="889"/>
    </row>
    <row r="56559" spans="7:7" ht="10.5" customHeight="1" x14ac:dyDescent="0.2">
      <c r="G56559" s="889"/>
    </row>
    <row r="56560" spans="7:7" ht="10.5" customHeight="1" x14ac:dyDescent="0.2">
      <c r="G56560" s="889"/>
    </row>
    <row r="56561" spans="7:7" ht="10.5" customHeight="1" x14ac:dyDescent="0.2">
      <c r="G56561" s="889"/>
    </row>
    <row r="56562" spans="7:7" ht="10.5" customHeight="1" x14ac:dyDescent="0.2">
      <c r="G56562" s="889"/>
    </row>
    <row r="56563" spans="7:7" ht="10.5" customHeight="1" x14ac:dyDescent="0.2">
      <c r="G56563" s="889"/>
    </row>
    <row r="56564" spans="7:7" ht="10.5" customHeight="1" x14ac:dyDescent="0.2">
      <c r="G56564" s="889"/>
    </row>
    <row r="56565" spans="7:7" ht="10.5" customHeight="1" x14ac:dyDescent="0.2">
      <c r="G56565" s="889"/>
    </row>
    <row r="56566" spans="7:7" ht="10.5" customHeight="1" x14ac:dyDescent="0.2">
      <c r="G56566" s="889"/>
    </row>
    <row r="56567" spans="7:7" ht="10.5" customHeight="1" x14ac:dyDescent="0.2">
      <c r="G56567" s="889"/>
    </row>
    <row r="56568" spans="7:7" ht="10.5" customHeight="1" x14ac:dyDescent="0.2">
      <c r="G56568" s="889"/>
    </row>
    <row r="56569" spans="7:7" ht="10.5" customHeight="1" x14ac:dyDescent="0.2">
      <c r="G56569" s="889"/>
    </row>
    <row r="56570" spans="7:7" ht="10.5" customHeight="1" x14ac:dyDescent="0.2">
      <c r="G56570" s="889"/>
    </row>
    <row r="56571" spans="7:7" ht="10.5" customHeight="1" x14ac:dyDescent="0.2">
      <c r="G56571" s="889"/>
    </row>
    <row r="56572" spans="7:7" ht="10.5" customHeight="1" x14ac:dyDescent="0.2">
      <c r="G56572" s="889"/>
    </row>
    <row r="56573" spans="7:7" ht="10.5" customHeight="1" x14ac:dyDescent="0.2">
      <c r="G56573" s="889"/>
    </row>
    <row r="56574" spans="7:7" ht="10.5" customHeight="1" x14ac:dyDescent="0.2">
      <c r="G56574" s="889"/>
    </row>
    <row r="56575" spans="7:7" ht="10.5" customHeight="1" x14ac:dyDescent="0.2">
      <c r="G56575" s="889"/>
    </row>
    <row r="56576" spans="7:7" ht="10.5" customHeight="1" x14ac:dyDescent="0.2">
      <c r="G56576" s="889"/>
    </row>
    <row r="56577" spans="7:7" ht="10.5" customHeight="1" x14ac:dyDescent="0.2">
      <c r="G56577" s="889"/>
    </row>
    <row r="56578" spans="7:7" ht="10.5" customHeight="1" x14ac:dyDescent="0.2">
      <c r="G56578" s="889"/>
    </row>
    <row r="56579" spans="7:7" ht="10.5" customHeight="1" x14ac:dyDescent="0.2">
      <c r="G56579" s="889"/>
    </row>
    <row r="56580" spans="7:7" ht="10.5" customHeight="1" x14ac:dyDescent="0.2">
      <c r="G56580" s="889"/>
    </row>
    <row r="56581" spans="7:7" ht="10.5" customHeight="1" x14ac:dyDescent="0.2">
      <c r="G56581" s="889"/>
    </row>
    <row r="56582" spans="7:7" ht="10.5" customHeight="1" x14ac:dyDescent="0.2">
      <c r="G56582" s="889"/>
    </row>
    <row r="56583" spans="7:7" ht="10.5" customHeight="1" x14ac:dyDescent="0.2">
      <c r="G56583" s="889"/>
    </row>
    <row r="56584" spans="7:7" ht="10.5" customHeight="1" x14ac:dyDescent="0.2">
      <c r="G56584" s="889"/>
    </row>
    <row r="56585" spans="7:7" ht="10.5" customHeight="1" x14ac:dyDescent="0.2">
      <c r="G56585" s="889"/>
    </row>
    <row r="56586" spans="7:7" ht="10.5" customHeight="1" x14ac:dyDescent="0.2">
      <c r="G56586" s="889"/>
    </row>
    <row r="56587" spans="7:7" ht="10.5" customHeight="1" x14ac:dyDescent="0.2">
      <c r="G56587" s="889"/>
    </row>
    <row r="56588" spans="7:7" ht="10.5" customHeight="1" x14ac:dyDescent="0.2">
      <c r="G56588" s="889"/>
    </row>
    <row r="56589" spans="7:7" ht="10.5" customHeight="1" x14ac:dyDescent="0.2">
      <c r="G56589" s="889"/>
    </row>
    <row r="56590" spans="7:7" ht="10.5" customHeight="1" x14ac:dyDescent="0.2">
      <c r="G56590" s="889"/>
    </row>
    <row r="56591" spans="7:7" ht="10.5" customHeight="1" x14ac:dyDescent="0.2">
      <c r="G56591" s="889"/>
    </row>
    <row r="56592" spans="7:7" ht="10.5" customHeight="1" x14ac:dyDescent="0.2">
      <c r="G56592" s="889"/>
    </row>
    <row r="56593" spans="7:7" ht="10.5" customHeight="1" x14ac:dyDescent="0.2">
      <c r="G56593" s="889"/>
    </row>
    <row r="56594" spans="7:7" ht="10.5" customHeight="1" x14ac:dyDescent="0.2">
      <c r="G56594" s="889"/>
    </row>
    <row r="56595" spans="7:7" ht="10.5" customHeight="1" x14ac:dyDescent="0.2">
      <c r="G56595" s="889"/>
    </row>
    <row r="56596" spans="7:7" ht="10.5" customHeight="1" x14ac:dyDescent="0.2">
      <c r="G56596" s="889"/>
    </row>
    <row r="56597" spans="7:7" ht="10.5" customHeight="1" x14ac:dyDescent="0.2">
      <c r="G56597" s="889"/>
    </row>
    <row r="56598" spans="7:7" ht="10.5" customHeight="1" x14ac:dyDescent="0.2">
      <c r="G56598" s="889"/>
    </row>
    <row r="56599" spans="7:7" ht="10.5" customHeight="1" x14ac:dyDescent="0.2">
      <c r="G56599" s="889"/>
    </row>
    <row r="56600" spans="7:7" ht="10.5" customHeight="1" x14ac:dyDescent="0.2">
      <c r="G56600" s="889"/>
    </row>
    <row r="56601" spans="7:7" ht="10.5" customHeight="1" x14ac:dyDescent="0.2">
      <c r="G56601" s="889"/>
    </row>
    <row r="56602" spans="7:7" ht="10.5" customHeight="1" x14ac:dyDescent="0.2">
      <c r="G56602" s="889"/>
    </row>
    <row r="56603" spans="7:7" ht="10.5" customHeight="1" x14ac:dyDescent="0.2">
      <c r="G56603" s="889"/>
    </row>
    <row r="56604" spans="7:7" ht="10.5" customHeight="1" x14ac:dyDescent="0.2">
      <c r="G56604" s="889"/>
    </row>
    <row r="56605" spans="7:7" ht="10.5" customHeight="1" x14ac:dyDescent="0.2">
      <c r="G56605" s="889"/>
    </row>
    <row r="56606" spans="7:7" ht="10.5" customHeight="1" x14ac:dyDescent="0.2">
      <c r="G56606" s="889"/>
    </row>
    <row r="56607" spans="7:7" ht="10.5" customHeight="1" x14ac:dyDescent="0.2">
      <c r="G56607" s="889"/>
    </row>
    <row r="56608" spans="7:7" ht="10.5" customHeight="1" x14ac:dyDescent="0.2">
      <c r="G56608" s="889"/>
    </row>
    <row r="56609" spans="7:7" ht="10.5" customHeight="1" x14ac:dyDescent="0.2">
      <c r="G56609" s="889"/>
    </row>
    <row r="56610" spans="7:7" ht="10.5" customHeight="1" x14ac:dyDescent="0.2">
      <c r="G56610" s="889"/>
    </row>
    <row r="56611" spans="7:7" ht="10.5" customHeight="1" x14ac:dyDescent="0.2">
      <c r="G56611" s="889"/>
    </row>
    <row r="56612" spans="7:7" ht="10.5" customHeight="1" x14ac:dyDescent="0.2">
      <c r="G56612" s="889"/>
    </row>
    <row r="56613" spans="7:7" ht="10.5" customHeight="1" x14ac:dyDescent="0.2">
      <c r="G56613" s="889"/>
    </row>
    <row r="56614" spans="7:7" ht="10.5" customHeight="1" x14ac:dyDescent="0.2">
      <c r="G56614" s="889"/>
    </row>
    <row r="56615" spans="7:7" ht="10.5" customHeight="1" x14ac:dyDescent="0.2">
      <c r="G56615" s="889"/>
    </row>
    <row r="56616" spans="7:7" ht="10.5" customHeight="1" x14ac:dyDescent="0.2">
      <c r="G56616" s="889"/>
    </row>
    <row r="56617" spans="7:7" ht="10.5" customHeight="1" x14ac:dyDescent="0.2">
      <c r="G56617" s="889"/>
    </row>
    <row r="56618" spans="7:7" ht="10.5" customHeight="1" x14ac:dyDescent="0.2">
      <c r="G56618" s="889"/>
    </row>
    <row r="56619" spans="7:7" ht="10.5" customHeight="1" x14ac:dyDescent="0.2">
      <c r="G56619" s="889"/>
    </row>
    <row r="56620" spans="7:7" ht="10.5" customHeight="1" x14ac:dyDescent="0.2">
      <c r="G56620" s="889"/>
    </row>
    <row r="56621" spans="7:7" ht="10.5" customHeight="1" x14ac:dyDescent="0.2">
      <c r="G56621" s="889"/>
    </row>
    <row r="56622" spans="7:7" ht="10.5" customHeight="1" x14ac:dyDescent="0.2">
      <c r="G56622" s="889"/>
    </row>
    <row r="56623" spans="7:7" ht="10.5" customHeight="1" x14ac:dyDescent="0.2">
      <c r="G56623" s="889"/>
    </row>
    <row r="56624" spans="7:7" ht="10.5" customHeight="1" x14ac:dyDescent="0.2">
      <c r="G56624" s="889"/>
    </row>
    <row r="56625" spans="7:7" ht="10.5" customHeight="1" x14ac:dyDescent="0.2">
      <c r="G56625" s="889"/>
    </row>
    <row r="56626" spans="7:7" ht="10.5" customHeight="1" x14ac:dyDescent="0.2">
      <c r="G56626" s="889"/>
    </row>
    <row r="56627" spans="7:7" ht="10.5" customHeight="1" x14ac:dyDescent="0.2">
      <c r="G56627" s="889"/>
    </row>
    <row r="56628" spans="7:7" ht="10.5" customHeight="1" x14ac:dyDescent="0.2">
      <c r="G56628" s="889"/>
    </row>
    <row r="56629" spans="7:7" ht="10.5" customHeight="1" x14ac:dyDescent="0.2">
      <c r="G56629" s="889"/>
    </row>
    <row r="56630" spans="7:7" ht="10.5" customHeight="1" x14ac:dyDescent="0.2">
      <c r="G56630" s="889"/>
    </row>
    <row r="56631" spans="7:7" ht="10.5" customHeight="1" x14ac:dyDescent="0.2">
      <c r="G56631" s="889"/>
    </row>
    <row r="56632" spans="7:7" ht="10.5" customHeight="1" x14ac:dyDescent="0.2">
      <c r="G56632" s="889"/>
    </row>
    <row r="56633" spans="7:7" ht="10.5" customHeight="1" x14ac:dyDescent="0.2">
      <c r="G56633" s="889"/>
    </row>
    <row r="56634" spans="7:7" ht="10.5" customHeight="1" x14ac:dyDescent="0.2">
      <c r="G56634" s="889"/>
    </row>
    <row r="56635" spans="7:7" ht="10.5" customHeight="1" x14ac:dyDescent="0.2">
      <c r="G56635" s="889"/>
    </row>
    <row r="56636" spans="7:7" ht="10.5" customHeight="1" x14ac:dyDescent="0.2">
      <c r="G56636" s="889"/>
    </row>
    <row r="56637" spans="7:7" ht="10.5" customHeight="1" x14ac:dyDescent="0.2">
      <c r="G56637" s="889"/>
    </row>
    <row r="56638" spans="7:7" ht="10.5" customHeight="1" x14ac:dyDescent="0.2">
      <c r="G56638" s="889"/>
    </row>
    <row r="56639" spans="7:7" ht="10.5" customHeight="1" x14ac:dyDescent="0.2">
      <c r="G56639" s="889"/>
    </row>
    <row r="56640" spans="7:7" ht="10.5" customHeight="1" x14ac:dyDescent="0.2">
      <c r="G56640" s="889"/>
    </row>
    <row r="56641" spans="7:7" ht="10.5" customHeight="1" x14ac:dyDescent="0.2">
      <c r="G56641" s="889"/>
    </row>
    <row r="56642" spans="7:7" ht="10.5" customHeight="1" x14ac:dyDescent="0.2">
      <c r="G56642" s="889"/>
    </row>
    <row r="56643" spans="7:7" ht="10.5" customHeight="1" x14ac:dyDescent="0.2">
      <c r="G56643" s="889"/>
    </row>
    <row r="56644" spans="7:7" ht="10.5" customHeight="1" x14ac:dyDescent="0.2">
      <c r="G56644" s="889"/>
    </row>
    <row r="56645" spans="7:7" ht="10.5" customHeight="1" x14ac:dyDescent="0.2">
      <c r="G56645" s="889"/>
    </row>
    <row r="56646" spans="7:7" ht="10.5" customHeight="1" x14ac:dyDescent="0.2">
      <c r="G56646" s="889"/>
    </row>
    <row r="56647" spans="7:7" ht="10.5" customHeight="1" x14ac:dyDescent="0.2">
      <c r="G56647" s="889"/>
    </row>
    <row r="56648" spans="7:7" ht="10.5" customHeight="1" x14ac:dyDescent="0.2">
      <c r="G56648" s="889"/>
    </row>
    <row r="56649" spans="7:7" ht="10.5" customHeight="1" x14ac:dyDescent="0.2">
      <c r="G56649" s="889"/>
    </row>
    <row r="56650" spans="7:7" ht="10.5" customHeight="1" x14ac:dyDescent="0.2">
      <c r="G56650" s="889"/>
    </row>
    <row r="56651" spans="7:7" ht="10.5" customHeight="1" x14ac:dyDescent="0.2">
      <c r="G56651" s="889"/>
    </row>
    <row r="56652" spans="7:7" ht="10.5" customHeight="1" x14ac:dyDescent="0.2">
      <c r="G56652" s="889"/>
    </row>
    <row r="56653" spans="7:7" ht="10.5" customHeight="1" x14ac:dyDescent="0.2">
      <c r="G56653" s="889"/>
    </row>
    <row r="56654" spans="7:7" ht="10.5" customHeight="1" x14ac:dyDescent="0.2">
      <c r="G56654" s="889"/>
    </row>
    <row r="56655" spans="7:7" ht="10.5" customHeight="1" x14ac:dyDescent="0.2">
      <c r="G56655" s="889"/>
    </row>
    <row r="56656" spans="7:7" ht="10.5" customHeight="1" x14ac:dyDescent="0.2">
      <c r="G56656" s="889"/>
    </row>
    <row r="56657" spans="7:7" ht="10.5" customHeight="1" x14ac:dyDescent="0.2">
      <c r="G56657" s="889"/>
    </row>
    <row r="56658" spans="7:7" ht="10.5" customHeight="1" x14ac:dyDescent="0.2">
      <c r="G56658" s="889"/>
    </row>
    <row r="56659" spans="7:7" ht="10.5" customHeight="1" x14ac:dyDescent="0.2">
      <c r="G56659" s="889"/>
    </row>
    <row r="56660" spans="7:7" ht="10.5" customHeight="1" x14ac:dyDescent="0.2">
      <c r="G56660" s="889"/>
    </row>
    <row r="56661" spans="7:7" ht="10.5" customHeight="1" x14ac:dyDescent="0.2">
      <c r="G56661" s="889"/>
    </row>
    <row r="56662" spans="7:7" ht="10.5" customHeight="1" x14ac:dyDescent="0.2">
      <c r="G56662" s="889"/>
    </row>
    <row r="56663" spans="7:7" ht="10.5" customHeight="1" x14ac:dyDescent="0.2">
      <c r="G56663" s="889"/>
    </row>
    <row r="56664" spans="7:7" ht="10.5" customHeight="1" x14ac:dyDescent="0.2">
      <c r="G56664" s="889"/>
    </row>
    <row r="56665" spans="7:7" ht="10.5" customHeight="1" x14ac:dyDescent="0.2">
      <c r="G56665" s="889"/>
    </row>
    <row r="56666" spans="7:7" ht="10.5" customHeight="1" x14ac:dyDescent="0.2">
      <c r="G56666" s="889"/>
    </row>
    <row r="56667" spans="7:7" ht="10.5" customHeight="1" x14ac:dyDescent="0.2">
      <c r="G56667" s="889"/>
    </row>
    <row r="56668" spans="7:7" ht="10.5" customHeight="1" x14ac:dyDescent="0.2">
      <c r="G56668" s="889"/>
    </row>
    <row r="56669" spans="7:7" ht="10.5" customHeight="1" x14ac:dyDescent="0.2">
      <c r="G56669" s="889"/>
    </row>
    <row r="56670" spans="7:7" ht="10.5" customHeight="1" x14ac:dyDescent="0.2">
      <c r="G56670" s="889"/>
    </row>
    <row r="56671" spans="7:7" ht="10.5" customHeight="1" x14ac:dyDescent="0.2">
      <c r="G56671" s="889"/>
    </row>
    <row r="56672" spans="7:7" ht="10.5" customHeight="1" x14ac:dyDescent="0.2">
      <c r="G56672" s="889"/>
    </row>
    <row r="56673" spans="7:7" ht="10.5" customHeight="1" x14ac:dyDescent="0.2">
      <c r="G56673" s="889"/>
    </row>
    <row r="56674" spans="7:7" ht="10.5" customHeight="1" x14ac:dyDescent="0.2">
      <c r="G56674" s="889"/>
    </row>
    <row r="56675" spans="7:7" ht="10.5" customHeight="1" x14ac:dyDescent="0.2">
      <c r="G56675" s="889"/>
    </row>
    <row r="56676" spans="7:7" ht="10.5" customHeight="1" x14ac:dyDescent="0.2">
      <c r="G56676" s="889"/>
    </row>
    <row r="56677" spans="7:7" ht="10.5" customHeight="1" x14ac:dyDescent="0.2">
      <c r="G56677" s="889"/>
    </row>
    <row r="56678" spans="7:7" ht="10.5" customHeight="1" x14ac:dyDescent="0.2">
      <c r="G56678" s="889"/>
    </row>
    <row r="56679" spans="7:7" ht="10.5" customHeight="1" x14ac:dyDescent="0.2">
      <c r="G56679" s="889"/>
    </row>
    <row r="56680" spans="7:7" ht="10.5" customHeight="1" x14ac:dyDescent="0.2">
      <c r="G56680" s="889"/>
    </row>
    <row r="56681" spans="7:7" ht="10.5" customHeight="1" x14ac:dyDescent="0.2">
      <c r="G56681" s="889"/>
    </row>
    <row r="56682" spans="7:7" ht="10.5" customHeight="1" x14ac:dyDescent="0.2">
      <c r="G56682" s="889"/>
    </row>
    <row r="56683" spans="7:7" ht="10.5" customHeight="1" x14ac:dyDescent="0.2">
      <c r="G56683" s="889"/>
    </row>
    <row r="56684" spans="7:7" ht="10.5" customHeight="1" x14ac:dyDescent="0.2">
      <c r="G56684" s="889"/>
    </row>
    <row r="56685" spans="7:7" ht="10.5" customHeight="1" x14ac:dyDescent="0.2">
      <c r="G56685" s="889"/>
    </row>
    <row r="56686" spans="7:7" ht="10.5" customHeight="1" x14ac:dyDescent="0.2">
      <c r="G56686" s="889"/>
    </row>
    <row r="56687" spans="7:7" ht="10.5" customHeight="1" x14ac:dyDescent="0.2">
      <c r="G56687" s="889"/>
    </row>
    <row r="56688" spans="7:7" ht="10.5" customHeight="1" x14ac:dyDescent="0.2">
      <c r="G56688" s="889"/>
    </row>
    <row r="56689" spans="7:7" ht="10.5" customHeight="1" x14ac:dyDescent="0.2">
      <c r="G56689" s="889"/>
    </row>
    <row r="56690" spans="7:7" ht="10.5" customHeight="1" x14ac:dyDescent="0.2">
      <c r="G56690" s="889"/>
    </row>
    <row r="56691" spans="7:7" ht="10.5" customHeight="1" x14ac:dyDescent="0.2">
      <c r="G56691" s="889"/>
    </row>
    <row r="56692" spans="7:7" ht="10.5" customHeight="1" x14ac:dyDescent="0.2">
      <c r="G56692" s="889"/>
    </row>
    <row r="56693" spans="7:7" ht="10.5" customHeight="1" x14ac:dyDescent="0.2">
      <c r="G56693" s="889"/>
    </row>
    <row r="56694" spans="7:7" ht="10.5" customHeight="1" x14ac:dyDescent="0.2">
      <c r="G56694" s="889"/>
    </row>
    <row r="56695" spans="7:7" ht="10.5" customHeight="1" x14ac:dyDescent="0.2">
      <c r="G56695" s="889"/>
    </row>
    <row r="56696" spans="7:7" ht="10.5" customHeight="1" x14ac:dyDescent="0.2">
      <c r="G56696" s="889"/>
    </row>
    <row r="56697" spans="7:7" ht="10.5" customHeight="1" x14ac:dyDescent="0.2">
      <c r="G56697" s="889"/>
    </row>
    <row r="56698" spans="7:7" ht="10.5" customHeight="1" x14ac:dyDescent="0.2">
      <c r="G56698" s="889"/>
    </row>
    <row r="56699" spans="7:7" ht="10.5" customHeight="1" x14ac:dyDescent="0.2">
      <c r="G56699" s="889"/>
    </row>
    <row r="56700" spans="7:7" ht="10.5" customHeight="1" x14ac:dyDescent="0.2">
      <c r="G56700" s="889"/>
    </row>
    <row r="56701" spans="7:7" ht="10.5" customHeight="1" x14ac:dyDescent="0.2">
      <c r="G56701" s="889"/>
    </row>
    <row r="56702" spans="7:7" ht="10.5" customHeight="1" x14ac:dyDescent="0.2">
      <c r="G56702" s="889"/>
    </row>
    <row r="56703" spans="7:7" ht="10.5" customHeight="1" x14ac:dyDescent="0.2">
      <c r="G56703" s="889"/>
    </row>
    <row r="56704" spans="7:7" ht="10.5" customHeight="1" x14ac:dyDescent="0.2">
      <c r="G56704" s="889"/>
    </row>
    <row r="56705" spans="7:7" ht="10.5" customHeight="1" x14ac:dyDescent="0.2">
      <c r="G56705" s="889"/>
    </row>
    <row r="56706" spans="7:7" ht="10.5" customHeight="1" x14ac:dyDescent="0.2">
      <c r="G56706" s="889"/>
    </row>
    <row r="56707" spans="7:7" ht="10.5" customHeight="1" x14ac:dyDescent="0.2">
      <c r="G56707" s="889"/>
    </row>
    <row r="56708" spans="7:7" ht="10.5" customHeight="1" x14ac:dyDescent="0.2">
      <c r="G56708" s="889"/>
    </row>
    <row r="56709" spans="7:7" ht="10.5" customHeight="1" x14ac:dyDescent="0.2">
      <c r="G56709" s="889"/>
    </row>
    <row r="56710" spans="7:7" ht="10.5" customHeight="1" x14ac:dyDescent="0.2">
      <c r="G56710" s="889"/>
    </row>
    <row r="56711" spans="7:7" ht="10.5" customHeight="1" x14ac:dyDescent="0.2">
      <c r="G56711" s="889"/>
    </row>
    <row r="56712" spans="7:7" ht="10.5" customHeight="1" x14ac:dyDescent="0.2">
      <c r="G56712" s="889"/>
    </row>
    <row r="56713" spans="7:7" ht="10.5" customHeight="1" x14ac:dyDescent="0.2">
      <c r="G56713" s="889"/>
    </row>
    <row r="56714" spans="7:7" ht="10.5" customHeight="1" x14ac:dyDescent="0.2">
      <c r="G56714" s="889"/>
    </row>
    <row r="56715" spans="7:7" ht="10.5" customHeight="1" x14ac:dyDescent="0.2">
      <c r="G56715" s="889"/>
    </row>
    <row r="56716" spans="7:7" ht="10.5" customHeight="1" x14ac:dyDescent="0.2">
      <c r="G56716" s="889"/>
    </row>
    <row r="56717" spans="7:7" ht="10.5" customHeight="1" x14ac:dyDescent="0.2">
      <c r="G56717" s="889"/>
    </row>
    <row r="56718" spans="7:7" ht="10.5" customHeight="1" x14ac:dyDescent="0.2">
      <c r="G56718" s="889"/>
    </row>
    <row r="56719" spans="7:7" ht="10.5" customHeight="1" x14ac:dyDescent="0.2">
      <c r="G56719" s="889"/>
    </row>
    <row r="56720" spans="7:7" ht="10.5" customHeight="1" x14ac:dyDescent="0.2">
      <c r="G56720" s="889"/>
    </row>
    <row r="56721" spans="7:7" ht="10.5" customHeight="1" x14ac:dyDescent="0.2">
      <c r="G56721" s="889"/>
    </row>
    <row r="56722" spans="7:7" ht="10.5" customHeight="1" x14ac:dyDescent="0.2">
      <c r="G56722" s="889"/>
    </row>
    <row r="56723" spans="7:7" ht="10.5" customHeight="1" x14ac:dyDescent="0.2">
      <c r="G56723" s="889"/>
    </row>
    <row r="56724" spans="7:7" ht="10.5" customHeight="1" x14ac:dyDescent="0.2">
      <c r="G56724" s="889"/>
    </row>
    <row r="56725" spans="7:7" ht="10.5" customHeight="1" x14ac:dyDescent="0.2">
      <c r="G56725" s="889"/>
    </row>
    <row r="56726" spans="7:7" ht="10.5" customHeight="1" x14ac:dyDescent="0.2">
      <c r="G56726" s="889"/>
    </row>
    <row r="56727" spans="7:7" ht="10.5" customHeight="1" x14ac:dyDescent="0.2">
      <c r="G56727" s="889"/>
    </row>
    <row r="56728" spans="7:7" ht="10.5" customHeight="1" x14ac:dyDescent="0.2">
      <c r="G56728" s="889"/>
    </row>
    <row r="56729" spans="7:7" ht="10.5" customHeight="1" x14ac:dyDescent="0.2">
      <c r="G56729" s="889"/>
    </row>
    <row r="56730" spans="7:7" ht="10.5" customHeight="1" x14ac:dyDescent="0.2">
      <c r="G56730" s="889"/>
    </row>
    <row r="56731" spans="7:7" ht="10.5" customHeight="1" x14ac:dyDescent="0.2">
      <c r="G56731" s="889"/>
    </row>
    <row r="56732" spans="7:7" ht="10.5" customHeight="1" x14ac:dyDescent="0.2">
      <c r="G56732" s="889"/>
    </row>
    <row r="56733" spans="7:7" ht="10.5" customHeight="1" x14ac:dyDescent="0.2">
      <c r="G56733" s="889"/>
    </row>
    <row r="56734" spans="7:7" ht="10.5" customHeight="1" x14ac:dyDescent="0.2">
      <c r="G56734" s="889"/>
    </row>
    <row r="56735" spans="7:7" ht="10.5" customHeight="1" x14ac:dyDescent="0.2">
      <c r="G56735" s="889"/>
    </row>
    <row r="56736" spans="7:7" ht="10.5" customHeight="1" x14ac:dyDescent="0.2">
      <c r="G56736" s="889"/>
    </row>
    <row r="56737" spans="7:7" ht="10.5" customHeight="1" x14ac:dyDescent="0.2">
      <c r="G56737" s="889"/>
    </row>
    <row r="56738" spans="7:7" ht="10.5" customHeight="1" x14ac:dyDescent="0.2">
      <c r="G56738" s="889"/>
    </row>
    <row r="56739" spans="7:7" ht="10.5" customHeight="1" x14ac:dyDescent="0.2">
      <c r="G56739" s="889"/>
    </row>
    <row r="56740" spans="7:7" ht="10.5" customHeight="1" x14ac:dyDescent="0.2">
      <c r="G56740" s="889"/>
    </row>
    <row r="56741" spans="7:7" ht="10.5" customHeight="1" x14ac:dyDescent="0.2">
      <c r="G56741" s="889"/>
    </row>
    <row r="56742" spans="7:7" ht="10.5" customHeight="1" x14ac:dyDescent="0.2">
      <c r="G56742" s="889"/>
    </row>
    <row r="56743" spans="7:7" ht="10.5" customHeight="1" x14ac:dyDescent="0.2">
      <c r="G56743" s="889"/>
    </row>
    <row r="56744" spans="7:7" ht="10.5" customHeight="1" x14ac:dyDescent="0.2">
      <c r="G56744" s="889"/>
    </row>
    <row r="56745" spans="7:7" ht="10.5" customHeight="1" x14ac:dyDescent="0.2">
      <c r="G56745" s="889"/>
    </row>
    <row r="56746" spans="7:7" ht="10.5" customHeight="1" x14ac:dyDescent="0.2">
      <c r="G56746" s="889"/>
    </row>
    <row r="56747" spans="7:7" ht="10.5" customHeight="1" x14ac:dyDescent="0.2">
      <c r="G56747" s="889"/>
    </row>
    <row r="56748" spans="7:7" ht="10.5" customHeight="1" x14ac:dyDescent="0.2">
      <c r="G56748" s="889"/>
    </row>
    <row r="56749" spans="7:7" ht="10.5" customHeight="1" x14ac:dyDescent="0.2">
      <c r="G56749" s="889"/>
    </row>
    <row r="56750" spans="7:7" ht="10.5" customHeight="1" x14ac:dyDescent="0.2">
      <c r="G56750" s="889"/>
    </row>
    <row r="56751" spans="7:7" ht="10.5" customHeight="1" x14ac:dyDescent="0.2">
      <c r="G56751" s="889"/>
    </row>
    <row r="56752" spans="7:7" ht="10.5" customHeight="1" x14ac:dyDescent="0.2">
      <c r="G56752" s="889"/>
    </row>
    <row r="56753" spans="7:7" ht="10.5" customHeight="1" x14ac:dyDescent="0.2">
      <c r="G56753" s="889"/>
    </row>
    <row r="56754" spans="7:7" ht="10.5" customHeight="1" x14ac:dyDescent="0.2">
      <c r="G56754" s="889"/>
    </row>
    <row r="56755" spans="7:7" ht="10.5" customHeight="1" x14ac:dyDescent="0.2">
      <c r="G56755" s="889"/>
    </row>
    <row r="56756" spans="7:7" ht="10.5" customHeight="1" x14ac:dyDescent="0.2">
      <c r="G56756" s="889"/>
    </row>
    <row r="56757" spans="7:7" ht="10.5" customHeight="1" x14ac:dyDescent="0.2">
      <c r="G56757" s="889"/>
    </row>
    <row r="56758" spans="7:7" ht="10.5" customHeight="1" x14ac:dyDescent="0.2">
      <c r="G56758" s="889"/>
    </row>
    <row r="56759" spans="7:7" ht="10.5" customHeight="1" x14ac:dyDescent="0.2">
      <c r="G56759" s="889"/>
    </row>
    <row r="56760" spans="7:7" ht="10.5" customHeight="1" x14ac:dyDescent="0.2">
      <c r="G56760" s="889"/>
    </row>
    <row r="56761" spans="7:7" ht="10.5" customHeight="1" x14ac:dyDescent="0.2">
      <c r="G56761" s="889"/>
    </row>
    <row r="56762" spans="7:7" ht="10.5" customHeight="1" x14ac:dyDescent="0.2">
      <c r="G56762" s="889"/>
    </row>
    <row r="56763" spans="7:7" ht="10.5" customHeight="1" x14ac:dyDescent="0.2">
      <c r="G56763" s="889"/>
    </row>
    <row r="56764" spans="7:7" ht="10.5" customHeight="1" x14ac:dyDescent="0.2">
      <c r="G56764" s="889"/>
    </row>
    <row r="56765" spans="7:7" ht="10.5" customHeight="1" x14ac:dyDescent="0.2">
      <c r="G56765" s="889"/>
    </row>
    <row r="56766" spans="7:7" ht="10.5" customHeight="1" x14ac:dyDescent="0.2">
      <c r="G56766" s="889"/>
    </row>
    <row r="56767" spans="7:7" ht="10.5" customHeight="1" x14ac:dyDescent="0.2">
      <c r="G56767" s="889"/>
    </row>
    <row r="56768" spans="7:7" ht="10.5" customHeight="1" x14ac:dyDescent="0.2">
      <c r="G56768" s="889"/>
    </row>
    <row r="56769" spans="7:7" ht="10.5" customHeight="1" x14ac:dyDescent="0.2">
      <c r="G56769" s="889"/>
    </row>
    <row r="56770" spans="7:7" ht="10.5" customHeight="1" x14ac:dyDescent="0.2">
      <c r="G56770" s="889"/>
    </row>
    <row r="56771" spans="7:7" ht="10.5" customHeight="1" x14ac:dyDescent="0.2">
      <c r="G56771" s="889"/>
    </row>
    <row r="56772" spans="7:7" ht="10.5" customHeight="1" x14ac:dyDescent="0.2">
      <c r="G56772" s="889"/>
    </row>
    <row r="56773" spans="7:7" ht="10.5" customHeight="1" x14ac:dyDescent="0.2">
      <c r="G56773" s="889"/>
    </row>
    <row r="56774" spans="7:7" ht="10.5" customHeight="1" x14ac:dyDescent="0.2">
      <c r="G56774" s="889"/>
    </row>
    <row r="56775" spans="7:7" ht="10.5" customHeight="1" x14ac:dyDescent="0.2">
      <c r="G56775" s="889"/>
    </row>
    <row r="56776" spans="7:7" ht="10.5" customHeight="1" x14ac:dyDescent="0.2">
      <c r="G56776" s="889"/>
    </row>
    <row r="56777" spans="7:7" ht="10.5" customHeight="1" x14ac:dyDescent="0.2">
      <c r="G56777" s="889"/>
    </row>
    <row r="56778" spans="7:7" ht="10.5" customHeight="1" x14ac:dyDescent="0.2">
      <c r="G56778" s="889"/>
    </row>
    <row r="56779" spans="7:7" ht="10.5" customHeight="1" x14ac:dyDescent="0.2">
      <c r="G56779" s="889"/>
    </row>
    <row r="56780" spans="7:7" ht="10.5" customHeight="1" x14ac:dyDescent="0.2">
      <c r="G56780" s="889"/>
    </row>
    <row r="56781" spans="7:7" ht="10.5" customHeight="1" x14ac:dyDescent="0.2">
      <c r="G56781" s="889"/>
    </row>
    <row r="56782" spans="7:7" ht="10.5" customHeight="1" x14ac:dyDescent="0.2">
      <c r="G56782" s="889"/>
    </row>
    <row r="56783" spans="7:7" ht="10.5" customHeight="1" x14ac:dyDescent="0.2">
      <c r="G56783" s="889"/>
    </row>
    <row r="56784" spans="7:7" ht="10.5" customHeight="1" x14ac:dyDescent="0.2">
      <c r="G56784" s="889"/>
    </row>
    <row r="56785" spans="7:7" ht="10.5" customHeight="1" x14ac:dyDescent="0.2">
      <c r="G56785" s="889"/>
    </row>
    <row r="56786" spans="7:7" ht="10.5" customHeight="1" x14ac:dyDescent="0.2">
      <c r="G56786" s="889"/>
    </row>
    <row r="56787" spans="7:7" ht="10.5" customHeight="1" x14ac:dyDescent="0.2">
      <c r="G56787" s="889"/>
    </row>
    <row r="56788" spans="7:7" ht="10.5" customHeight="1" x14ac:dyDescent="0.2">
      <c r="G56788" s="889"/>
    </row>
    <row r="56789" spans="7:7" ht="10.5" customHeight="1" x14ac:dyDescent="0.2">
      <c r="G56789" s="889"/>
    </row>
    <row r="56790" spans="7:7" ht="10.5" customHeight="1" x14ac:dyDescent="0.2">
      <c r="G56790" s="889"/>
    </row>
    <row r="56791" spans="7:7" ht="10.5" customHeight="1" x14ac:dyDescent="0.2">
      <c r="G56791" s="889"/>
    </row>
    <row r="56792" spans="7:7" ht="10.5" customHeight="1" x14ac:dyDescent="0.2">
      <c r="G56792" s="889"/>
    </row>
    <row r="56793" spans="7:7" ht="10.5" customHeight="1" x14ac:dyDescent="0.2">
      <c r="G56793" s="889"/>
    </row>
    <row r="56794" spans="7:7" ht="10.5" customHeight="1" x14ac:dyDescent="0.2">
      <c r="G56794" s="889"/>
    </row>
    <row r="56795" spans="7:7" ht="10.5" customHeight="1" x14ac:dyDescent="0.2">
      <c r="G56795" s="889"/>
    </row>
    <row r="56796" spans="7:7" ht="10.5" customHeight="1" x14ac:dyDescent="0.2">
      <c r="G56796" s="889"/>
    </row>
    <row r="56797" spans="7:7" ht="10.5" customHeight="1" x14ac:dyDescent="0.2">
      <c r="G56797" s="889"/>
    </row>
    <row r="56798" spans="7:7" ht="10.5" customHeight="1" x14ac:dyDescent="0.2">
      <c r="G56798" s="889"/>
    </row>
    <row r="56799" spans="7:7" ht="10.5" customHeight="1" x14ac:dyDescent="0.2">
      <c r="G56799" s="889"/>
    </row>
    <row r="56800" spans="7:7" ht="10.5" customHeight="1" x14ac:dyDescent="0.2">
      <c r="G56800" s="889"/>
    </row>
    <row r="56801" spans="7:7" ht="10.5" customHeight="1" x14ac:dyDescent="0.2">
      <c r="G56801" s="889"/>
    </row>
    <row r="56802" spans="7:7" ht="10.5" customHeight="1" x14ac:dyDescent="0.2">
      <c r="G56802" s="889"/>
    </row>
    <row r="56803" spans="7:7" ht="10.5" customHeight="1" x14ac:dyDescent="0.2">
      <c r="G56803" s="889"/>
    </row>
    <row r="56804" spans="7:7" ht="10.5" customHeight="1" x14ac:dyDescent="0.2">
      <c r="G56804" s="889"/>
    </row>
    <row r="56805" spans="7:7" ht="10.5" customHeight="1" x14ac:dyDescent="0.2">
      <c r="G56805" s="889"/>
    </row>
    <row r="56806" spans="7:7" ht="10.5" customHeight="1" x14ac:dyDescent="0.2">
      <c r="G56806" s="889"/>
    </row>
    <row r="56807" spans="7:7" ht="10.5" customHeight="1" x14ac:dyDescent="0.2">
      <c r="G56807" s="889"/>
    </row>
    <row r="56808" spans="7:7" ht="10.5" customHeight="1" x14ac:dyDescent="0.2">
      <c r="G56808" s="889"/>
    </row>
    <row r="56809" spans="7:7" ht="10.5" customHeight="1" x14ac:dyDescent="0.2">
      <c r="G56809" s="889"/>
    </row>
    <row r="56810" spans="7:7" ht="10.5" customHeight="1" x14ac:dyDescent="0.2">
      <c r="G56810" s="889"/>
    </row>
    <row r="56811" spans="7:7" ht="10.5" customHeight="1" x14ac:dyDescent="0.2">
      <c r="G56811" s="889"/>
    </row>
    <row r="56812" spans="7:7" ht="10.5" customHeight="1" x14ac:dyDescent="0.2">
      <c r="G56812" s="889"/>
    </row>
    <row r="56813" spans="7:7" ht="10.5" customHeight="1" x14ac:dyDescent="0.2">
      <c r="G56813" s="889"/>
    </row>
    <row r="56814" spans="7:7" ht="10.5" customHeight="1" x14ac:dyDescent="0.2">
      <c r="G56814" s="889"/>
    </row>
    <row r="56815" spans="7:7" ht="10.5" customHeight="1" x14ac:dyDescent="0.2">
      <c r="G56815" s="889"/>
    </row>
    <row r="56816" spans="7:7" ht="10.5" customHeight="1" x14ac:dyDescent="0.2">
      <c r="G56816" s="889"/>
    </row>
    <row r="56817" spans="7:7" ht="10.5" customHeight="1" x14ac:dyDescent="0.2">
      <c r="G56817" s="889"/>
    </row>
    <row r="56818" spans="7:7" ht="10.5" customHeight="1" x14ac:dyDescent="0.2">
      <c r="G56818" s="889"/>
    </row>
    <row r="56819" spans="7:7" ht="10.5" customHeight="1" x14ac:dyDescent="0.2">
      <c r="G56819" s="889"/>
    </row>
    <row r="56820" spans="7:7" ht="10.5" customHeight="1" x14ac:dyDescent="0.2">
      <c r="G56820" s="889"/>
    </row>
    <row r="56821" spans="7:7" ht="10.5" customHeight="1" x14ac:dyDescent="0.2">
      <c r="G56821" s="889"/>
    </row>
    <row r="56822" spans="7:7" ht="10.5" customHeight="1" x14ac:dyDescent="0.2">
      <c r="G56822" s="889"/>
    </row>
    <row r="56823" spans="7:7" ht="10.5" customHeight="1" x14ac:dyDescent="0.2">
      <c r="G56823" s="889"/>
    </row>
    <row r="56824" spans="7:7" ht="10.5" customHeight="1" x14ac:dyDescent="0.2">
      <c r="G56824" s="889"/>
    </row>
    <row r="56825" spans="7:7" ht="10.5" customHeight="1" x14ac:dyDescent="0.2">
      <c r="G56825" s="889"/>
    </row>
    <row r="56826" spans="7:7" ht="10.5" customHeight="1" x14ac:dyDescent="0.2">
      <c r="G56826" s="889"/>
    </row>
    <row r="56827" spans="7:7" ht="10.5" customHeight="1" x14ac:dyDescent="0.2">
      <c r="G56827" s="889"/>
    </row>
    <row r="56828" spans="7:7" ht="10.5" customHeight="1" x14ac:dyDescent="0.2">
      <c r="G56828" s="889"/>
    </row>
    <row r="56829" spans="7:7" ht="10.5" customHeight="1" x14ac:dyDescent="0.2">
      <c r="G56829" s="889"/>
    </row>
    <row r="56830" spans="7:7" ht="10.5" customHeight="1" x14ac:dyDescent="0.2">
      <c r="G56830" s="889"/>
    </row>
    <row r="56831" spans="7:7" ht="10.5" customHeight="1" x14ac:dyDescent="0.2">
      <c r="G56831" s="889"/>
    </row>
    <row r="56832" spans="7:7" ht="10.5" customHeight="1" x14ac:dyDescent="0.2">
      <c r="G56832" s="889"/>
    </row>
    <row r="56833" spans="7:7" ht="10.5" customHeight="1" x14ac:dyDescent="0.2">
      <c r="G56833" s="889"/>
    </row>
    <row r="56834" spans="7:7" ht="10.5" customHeight="1" x14ac:dyDescent="0.2">
      <c r="G56834" s="889"/>
    </row>
    <row r="56835" spans="7:7" ht="10.5" customHeight="1" x14ac:dyDescent="0.2">
      <c r="G56835" s="889"/>
    </row>
    <row r="56836" spans="7:7" ht="10.5" customHeight="1" x14ac:dyDescent="0.2">
      <c r="G56836" s="889"/>
    </row>
    <row r="56837" spans="7:7" ht="10.5" customHeight="1" x14ac:dyDescent="0.2">
      <c r="G56837" s="889"/>
    </row>
    <row r="56838" spans="7:7" ht="10.5" customHeight="1" x14ac:dyDescent="0.2">
      <c r="G56838" s="889"/>
    </row>
    <row r="56839" spans="7:7" ht="10.5" customHeight="1" x14ac:dyDescent="0.2">
      <c r="G56839" s="889"/>
    </row>
    <row r="56840" spans="7:7" ht="10.5" customHeight="1" x14ac:dyDescent="0.2">
      <c r="G56840" s="889"/>
    </row>
    <row r="56841" spans="7:7" ht="10.5" customHeight="1" x14ac:dyDescent="0.2">
      <c r="G56841" s="889"/>
    </row>
    <row r="56842" spans="7:7" ht="10.5" customHeight="1" x14ac:dyDescent="0.2">
      <c r="G56842" s="889"/>
    </row>
    <row r="56843" spans="7:7" ht="10.5" customHeight="1" x14ac:dyDescent="0.2">
      <c r="G56843" s="889"/>
    </row>
    <row r="56844" spans="7:7" ht="10.5" customHeight="1" x14ac:dyDescent="0.2">
      <c r="G56844" s="889"/>
    </row>
    <row r="56845" spans="7:7" ht="10.5" customHeight="1" x14ac:dyDescent="0.2">
      <c r="G56845" s="889"/>
    </row>
    <row r="56846" spans="7:7" ht="10.5" customHeight="1" x14ac:dyDescent="0.2">
      <c r="G56846" s="889"/>
    </row>
    <row r="56847" spans="7:7" ht="10.5" customHeight="1" x14ac:dyDescent="0.2">
      <c r="G56847" s="889"/>
    </row>
    <row r="56848" spans="7:7" ht="10.5" customHeight="1" x14ac:dyDescent="0.2">
      <c r="G56848" s="889"/>
    </row>
    <row r="56849" spans="7:7" ht="10.5" customHeight="1" x14ac:dyDescent="0.2">
      <c r="G56849" s="889"/>
    </row>
    <row r="56850" spans="7:7" ht="10.5" customHeight="1" x14ac:dyDescent="0.2">
      <c r="G56850" s="889"/>
    </row>
    <row r="56851" spans="7:7" ht="10.5" customHeight="1" x14ac:dyDescent="0.2">
      <c r="G56851" s="889"/>
    </row>
    <row r="56852" spans="7:7" ht="10.5" customHeight="1" x14ac:dyDescent="0.2">
      <c r="G56852" s="889"/>
    </row>
    <row r="56853" spans="7:7" ht="10.5" customHeight="1" x14ac:dyDescent="0.2">
      <c r="G56853" s="889"/>
    </row>
    <row r="56854" spans="7:7" ht="10.5" customHeight="1" x14ac:dyDescent="0.2">
      <c r="G56854" s="889"/>
    </row>
    <row r="56855" spans="7:7" ht="10.5" customHeight="1" x14ac:dyDescent="0.2">
      <c r="G56855" s="889"/>
    </row>
    <row r="56856" spans="7:7" ht="10.5" customHeight="1" x14ac:dyDescent="0.2">
      <c r="G56856" s="889"/>
    </row>
    <row r="56857" spans="7:7" ht="10.5" customHeight="1" x14ac:dyDescent="0.2">
      <c r="G56857" s="889"/>
    </row>
    <row r="56858" spans="7:7" ht="10.5" customHeight="1" x14ac:dyDescent="0.2">
      <c r="G56858" s="889"/>
    </row>
    <row r="56859" spans="7:7" ht="10.5" customHeight="1" x14ac:dyDescent="0.2">
      <c r="G56859" s="889"/>
    </row>
    <row r="56860" spans="7:7" ht="10.5" customHeight="1" x14ac:dyDescent="0.2">
      <c r="G56860" s="889"/>
    </row>
    <row r="56861" spans="7:7" ht="10.5" customHeight="1" x14ac:dyDescent="0.2">
      <c r="G56861" s="889"/>
    </row>
    <row r="56862" spans="7:7" ht="10.5" customHeight="1" x14ac:dyDescent="0.2">
      <c r="G56862" s="889"/>
    </row>
    <row r="56863" spans="7:7" ht="10.5" customHeight="1" x14ac:dyDescent="0.2">
      <c r="G56863" s="889"/>
    </row>
    <row r="56864" spans="7:7" ht="10.5" customHeight="1" x14ac:dyDescent="0.2">
      <c r="G56864" s="889"/>
    </row>
    <row r="56865" spans="7:7" ht="10.5" customHeight="1" x14ac:dyDescent="0.2">
      <c r="G56865" s="889"/>
    </row>
    <row r="56866" spans="7:7" ht="10.5" customHeight="1" x14ac:dyDescent="0.2">
      <c r="G56866" s="889"/>
    </row>
    <row r="56867" spans="7:7" ht="10.5" customHeight="1" x14ac:dyDescent="0.2">
      <c r="G56867" s="889"/>
    </row>
    <row r="56868" spans="7:7" ht="10.5" customHeight="1" x14ac:dyDescent="0.2">
      <c r="G56868" s="889"/>
    </row>
    <row r="56869" spans="7:7" ht="10.5" customHeight="1" x14ac:dyDescent="0.2">
      <c r="G56869" s="889"/>
    </row>
    <row r="56870" spans="7:7" ht="10.5" customHeight="1" x14ac:dyDescent="0.2">
      <c r="G56870" s="889"/>
    </row>
    <row r="56871" spans="7:7" ht="10.5" customHeight="1" x14ac:dyDescent="0.2">
      <c r="G56871" s="889"/>
    </row>
    <row r="56872" spans="7:7" ht="10.5" customHeight="1" x14ac:dyDescent="0.2">
      <c r="G56872" s="889"/>
    </row>
    <row r="56873" spans="7:7" ht="10.5" customHeight="1" x14ac:dyDescent="0.2">
      <c r="G56873" s="889"/>
    </row>
    <row r="56874" spans="7:7" ht="10.5" customHeight="1" x14ac:dyDescent="0.2">
      <c r="G56874" s="889"/>
    </row>
    <row r="56875" spans="7:7" ht="10.5" customHeight="1" x14ac:dyDescent="0.2">
      <c r="G56875" s="889"/>
    </row>
    <row r="56876" spans="7:7" ht="10.5" customHeight="1" x14ac:dyDescent="0.2">
      <c r="G56876" s="889"/>
    </row>
    <row r="56877" spans="7:7" ht="10.5" customHeight="1" x14ac:dyDescent="0.2">
      <c r="G56877" s="889"/>
    </row>
    <row r="56878" spans="7:7" ht="10.5" customHeight="1" x14ac:dyDescent="0.2">
      <c r="G56878" s="889"/>
    </row>
    <row r="56879" spans="7:7" ht="10.5" customHeight="1" x14ac:dyDescent="0.2">
      <c r="G56879" s="889"/>
    </row>
    <row r="56880" spans="7:7" ht="10.5" customHeight="1" x14ac:dyDescent="0.2">
      <c r="G56880" s="889"/>
    </row>
    <row r="56881" spans="7:7" ht="10.5" customHeight="1" x14ac:dyDescent="0.2">
      <c r="G56881" s="889"/>
    </row>
    <row r="56882" spans="7:7" ht="10.5" customHeight="1" x14ac:dyDescent="0.2">
      <c r="G56882" s="889"/>
    </row>
    <row r="56883" spans="7:7" ht="10.5" customHeight="1" x14ac:dyDescent="0.2">
      <c r="G56883" s="889"/>
    </row>
    <row r="56884" spans="7:7" ht="10.5" customHeight="1" x14ac:dyDescent="0.2">
      <c r="G56884" s="889"/>
    </row>
    <row r="56885" spans="7:7" ht="10.5" customHeight="1" x14ac:dyDescent="0.2">
      <c r="G56885" s="889"/>
    </row>
    <row r="56886" spans="7:7" ht="10.5" customHeight="1" x14ac:dyDescent="0.2">
      <c r="G56886" s="889"/>
    </row>
    <row r="56887" spans="7:7" ht="10.5" customHeight="1" x14ac:dyDescent="0.2">
      <c r="G56887" s="889"/>
    </row>
    <row r="56888" spans="7:7" ht="10.5" customHeight="1" x14ac:dyDescent="0.2">
      <c r="G56888" s="889"/>
    </row>
    <row r="56889" spans="7:7" ht="10.5" customHeight="1" x14ac:dyDescent="0.2">
      <c r="G56889" s="889"/>
    </row>
    <row r="56890" spans="7:7" ht="10.5" customHeight="1" x14ac:dyDescent="0.2">
      <c r="G56890" s="889"/>
    </row>
    <row r="56891" spans="7:7" ht="10.5" customHeight="1" x14ac:dyDescent="0.2">
      <c r="G56891" s="889"/>
    </row>
    <row r="56892" spans="7:7" ht="10.5" customHeight="1" x14ac:dyDescent="0.2">
      <c r="G56892" s="889"/>
    </row>
    <row r="56893" spans="7:7" ht="10.5" customHeight="1" x14ac:dyDescent="0.2">
      <c r="G56893" s="889"/>
    </row>
    <row r="56894" spans="7:7" ht="10.5" customHeight="1" x14ac:dyDescent="0.2">
      <c r="G56894" s="889"/>
    </row>
    <row r="56895" spans="7:7" ht="10.5" customHeight="1" x14ac:dyDescent="0.2">
      <c r="G56895" s="889"/>
    </row>
    <row r="56896" spans="7:7" ht="10.5" customHeight="1" x14ac:dyDescent="0.2">
      <c r="G56896" s="889"/>
    </row>
    <row r="56897" spans="7:7" ht="10.5" customHeight="1" x14ac:dyDescent="0.2">
      <c r="G56897" s="889"/>
    </row>
    <row r="56898" spans="7:7" ht="10.5" customHeight="1" x14ac:dyDescent="0.2">
      <c r="G56898" s="889"/>
    </row>
    <row r="56899" spans="7:7" ht="10.5" customHeight="1" x14ac:dyDescent="0.2">
      <c r="G56899" s="889"/>
    </row>
    <row r="56900" spans="7:7" ht="10.5" customHeight="1" x14ac:dyDescent="0.2">
      <c r="G56900" s="889"/>
    </row>
    <row r="56901" spans="7:7" ht="10.5" customHeight="1" x14ac:dyDescent="0.2">
      <c r="G56901" s="889"/>
    </row>
    <row r="56902" spans="7:7" ht="10.5" customHeight="1" x14ac:dyDescent="0.2">
      <c r="G56902" s="889"/>
    </row>
    <row r="56903" spans="7:7" ht="10.5" customHeight="1" x14ac:dyDescent="0.2">
      <c r="G56903" s="889"/>
    </row>
    <row r="56904" spans="7:7" ht="10.5" customHeight="1" x14ac:dyDescent="0.2">
      <c r="G56904" s="889"/>
    </row>
    <row r="56905" spans="7:7" ht="10.5" customHeight="1" x14ac:dyDescent="0.2">
      <c r="G56905" s="889"/>
    </row>
    <row r="56906" spans="7:7" ht="10.5" customHeight="1" x14ac:dyDescent="0.2">
      <c r="G56906" s="889"/>
    </row>
    <row r="56907" spans="7:7" ht="10.5" customHeight="1" x14ac:dyDescent="0.2">
      <c r="G56907" s="889"/>
    </row>
    <row r="56908" spans="7:7" ht="10.5" customHeight="1" x14ac:dyDescent="0.2">
      <c r="G56908" s="889"/>
    </row>
    <row r="56909" spans="7:7" ht="10.5" customHeight="1" x14ac:dyDescent="0.2">
      <c r="G56909" s="889"/>
    </row>
    <row r="56910" spans="7:7" ht="10.5" customHeight="1" x14ac:dyDescent="0.2">
      <c r="G56910" s="889"/>
    </row>
    <row r="56911" spans="7:7" ht="10.5" customHeight="1" x14ac:dyDescent="0.2">
      <c r="G56911" s="889"/>
    </row>
    <row r="56912" spans="7:7" ht="10.5" customHeight="1" x14ac:dyDescent="0.2">
      <c r="G56912" s="889"/>
    </row>
    <row r="56913" spans="7:7" ht="10.5" customHeight="1" x14ac:dyDescent="0.2">
      <c r="G56913" s="889"/>
    </row>
    <row r="56914" spans="7:7" ht="10.5" customHeight="1" x14ac:dyDescent="0.2">
      <c r="G56914" s="889"/>
    </row>
    <row r="56915" spans="7:7" ht="10.5" customHeight="1" x14ac:dyDescent="0.2">
      <c r="G56915" s="889"/>
    </row>
    <row r="56916" spans="7:7" ht="10.5" customHeight="1" x14ac:dyDescent="0.2">
      <c r="G56916" s="889"/>
    </row>
    <row r="56917" spans="7:7" ht="10.5" customHeight="1" x14ac:dyDescent="0.2">
      <c r="G56917" s="889"/>
    </row>
    <row r="56918" spans="7:7" ht="10.5" customHeight="1" x14ac:dyDescent="0.2">
      <c r="G56918" s="889"/>
    </row>
    <row r="56919" spans="7:7" ht="10.5" customHeight="1" x14ac:dyDescent="0.2">
      <c r="G56919" s="889"/>
    </row>
    <row r="56920" spans="7:7" ht="10.5" customHeight="1" x14ac:dyDescent="0.2">
      <c r="G56920" s="889"/>
    </row>
    <row r="56921" spans="7:7" ht="10.5" customHeight="1" x14ac:dyDescent="0.2">
      <c r="G56921" s="889"/>
    </row>
    <row r="56922" spans="7:7" ht="10.5" customHeight="1" x14ac:dyDescent="0.2">
      <c r="G56922" s="889"/>
    </row>
    <row r="56923" spans="7:7" ht="10.5" customHeight="1" x14ac:dyDescent="0.2">
      <c r="G56923" s="889"/>
    </row>
    <row r="56924" spans="7:7" ht="10.5" customHeight="1" x14ac:dyDescent="0.2">
      <c r="G56924" s="889"/>
    </row>
    <row r="56925" spans="7:7" ht="10.5" customHeight="1" x14ac:dyDescent="0.2">
      <c r="G56925" s="889"/>
    </row>
    <row r="56926" spans="7:7" ht="10.5" customHeight="1" x14ac:dyDescent="0.2">
      <c r="G56926" s="889"/>
    </row>
    <row r="56927" spans="7:7" ht="10.5" customHeight="1" x14ac:dyDescent="0.2">
      <c r="G56927" s="889"/>
    </row>
    <row r="56928" spans="7:7" ht="10.5" customHeight="1" x14ac:dyDescent="0.2">
      <c r="G56928" s="889"/>
    </row>
    <row r="56929" spans="7:7" ht="10.5" customHeight="1" x14ac:dyDescent="0.2">
      <c r="G56929" s="889"/>
    </row>
    <row r="56930" spans="7:7" ht="10.5" customHeight="1" x14ac:dyDescent="0.2">
      <c r="G56930" s="889"/>
    </row>
    <row r="56931" spans="7:7" ht="10.5" customHeight="1" x14ac:dyDescent="0.2">
      <c r="G56931" s="889"/>
    </row>
    <row r="56932" spans="7:7" ht="10.5" customHeight="1" x14ac:dyDescent="0.2">
      <c r="G56932" s="889"/>
    </row>
    <row r="56933" spans="7:7" ht="10.5" customHeight="1" x14ac:dyDescent="0.2">
      <c r="G56933" s="889"/>
    </row>
    <row r="56934" spans="7:7" ht="10.5" customHeight="1" x14ac:dyDescent="0.2">
      <c r="G56934" s="889"/>
    </row>
    <row r="56935" spans="7:7" ht="10.5" customHeight="1" x14ac:dyDescent="0.2">
      <c r="G56935" s="889"/>
    </row>
    <row r="56936" spans="7:7" ht="10.5" customHeight="1" x14ac:dyDescent="0.2">
      <c r="G56936" s="889"/>
    </row>
    <row r="56937" spans="7:7" ht="10.5" customHeight="1" x14ac:dyDescent="0.2">
      <c r="G56937" s="889"/>
    </row>
    <row r="56938" spans="7:7" ht="10.5" customHeight="1" x14ac:dyDescent="0.2">
      <c r="G56938" s="889"/>
    </row>
    <row r="56939" spans="7:7" ht="10.5" customHeight="1" x14ac:dyDescent="0.2">
      <c r="G56939" s="889"/>
    </row>
    <row r="56940" spans="7:7" ht="10.5" customHeight="1" x14ac:dyDescent="0.2">
      <c r="G56940" s="889"/>
    </row>
    <row r="56941" spans="7:7" ht="10.5" customHeight="1" x14ac:dyDescent="0.2">
      <c r="G56941" s="889"/>
    </row>
    <row r="56942" spans="7:7" ht="10.5" customHeight="1" x14ac:dyDescent="0.2">
      <c r="G56942" s="889"/>
    </row>
    <row r="56943" spans="7:7" ht="10.5" customHeight="1" x14ac:dyDescent="0.2">
      <c r="G56943" s="889"/>
    </row>
    <row r="56944" spans="7:7" ht="10.5" customHeight="1" x14ac:dyDescent="0.2">
      <c r="G56944" s="889"/>
    </row>
    <row r="56945" spans="7:7" ht="10.5" customHeight="1" x14ac:dyDescent="0.2">
      <c r="G56945" s="889"/>
    </row>
    <row r="56946" spans="7:7" ht="10.5" customHeight="1" x14ac:dyDescent="0.2">
      <c r="G56946" s="889"/>
    </row>
    <row r="56947" spans="7:7" ht="10.5" customHeight="1" x14ac:dyDescent="0.2">
      <c r="G56947" s="889"/>
    </row>
    <row r="56948" spans="7:7" ht="10.5" customHeight="1" x14ac:dyDescent="0.2">
      <c r="G56948" s="889"/>
    </row>
    <row r="56949" spans="7:7" ht="10.5" customHeight="1" x14ac:dyDescent="0.2">
      <c r="G56949" s="889"/>
    </row>
    <row r="56950" spans="7:7" ht="10.5" customHeight="1" x14ac:dyDescent="0.2">
      <c r="G56950" s="889"/>
    </row>
    <row r="56951" spans="7:7" ht="10.5" customHeight="1" x14ac:dyDescent="0.2">
      <c r="G56951" s="889"/>
    </row>
    <row r="56952" spans="7:7" ht="10.5" customHeight="1" x14ac:dyDescent="0.2">
      <c r="G56952" s="889"/>
    </row>
    <row r="56953" spans="7:7" ht="10.5" customHeight="1" x14ac:dyDescent="0.2">
      <c r="G56953" s="889"/>
    </row>
    <row r="56954" spans="7:7" ht="10.5" customHeight="1" x14ac:dyDescent="0.2">
      <c r="G56954" s="889"/>
    </row>
    <row r="56955" spans="7:7" ht="10.5" customHeight="1" x14ac:dyDescent="0.2">
      <c r="G56955" s="889"/>
    </row>
    <row r="56956" spans="7:7" ht="10.5" customHeight="1" x14ac:dyDescent="0.2">
      <c r="G56956" s="889"/>
    </row>
    <row r="56957" spans="7:7" ht="10.5" customHeight="1" x14ac:dyDescent="0.2">
      <c r="G56957" s="889"/>
    </row>
    <row r="56958" spans="7:7" ht="10.5" customHeight="1" x14ac:dyDescent="0.2">
      <c r="G56958" s="889"/>
    </row>
    <row r="56959" spans="7:7" ht="10.5" customHeight="1" x14ac:dyDescent="0.2">
      <c r="G56959" s="889"/>
    </row>
    <row r="56960" spans="7:7" ht="10.5" customHeight="1" x14ac:dyDescent="0.2">
      <c r="G56960" s="889"/>
    </row>
    <row r="56961" spans="7:7" ht="10.5" customHeight="1" x14ac:dyDescent="0.2">
      <c r="G56961" s="889"/>
    </row>
    <row r="56962" spans="7:7" ht="10.5" customHeight="1" x14ac:dyDescent="0.2">
      <c r="G56962" s="889"/>
    </row>
    <row r="56963" spans="7:7" ht="10.5" customHeight="1" x14ac:dyDescent="0.2">
      <c r="G56963" s="889"/>
    </row>
    <row r="56964" spans="7:7" ht="10.5" customHeight="1" x14ac:dyDescent="0.2">
      <c r="G56964" s="889"/>
    </row>
    <row r="56965" spans="7:7" ht="10.5" customHeight="1" x14ac:dyDescent="0.2">
      <c r="G56965" s="889"/>
    </row>
    <row r="56966" spans="7:7" ht="10.5" customHeight="1" x14ac:dyDescent="0.2">
      <c r="G56966" s="889"/>
    </row>
    <row r="56967" spans="7:7" ht="10.5" customHeight="1" x14ac:dyDescent="0.2">
      <c r="G56967" s="889"/>
    </row>
    <row r="56968" spans="7:7" ht="10.5" customHeight="1" x14ac:dyDescent="0.2">
      <c r="G56968" s="889"/>
    </row>
    <row r="56969" spans="7:7" ht="10.5" customHeight="1" x14ac:dyDescent="0.2">
      <c r="G56969" s="889"/>
    </row>
    <row r="56970" spans="7:7" ht="10.5" customHeight="1" x14ac:dyDescent="0.2">
      <c r="G56970" s="889"/>
    </row>
    <row r="56971" spans="7:7" ht="10.5" customHeight="1" x14ac:dyDescent="0.2">
      <c r="G56971" s="889"/>
    </row>
    <row r="56972" spans="7:7" ht="10.5" customHeight="1" x14ac:dyDescent="0.2">
      <c r="G56972" s="889"/>
    </row>
    <row r="56973" spans="7:7" ht="10.5" customHeight="1" x14ac:dyDescent="0.2">
      <c r="G56973" s="889"/>
    </row>
    <row r="56974" spans="7:7" ht="10.5" customHeight="1" x14ac:dyDescent="0.2">
      <c r="G56974" s="889"/>
    </row>
    <row r="56975" spans="7:7" ht="10.5" customHeight="1" x14ac:dyDescent="0.2">
      <c r="G56975" s="889"/>
    </row>
    <row r="56976" spans="7:7" ht="10.5" customHeight="1" x14ac:dyDescent="0.2">
      <c r="G56976" s="889"/>
    </row>
    <row r="56977" spans="7:7" ht="10.5" customHeight="1" x14ac:dyDescent="0.2">
      <c r="G56977" s="889"/>
    </row>
    <row r="56978" spans="7:7" ht="10.5" customHeight="1" x14ac:dyDescent="0.2">
      <c r="G56978" s="889"/>
    </row>
    <row r="56979" spans="7:7" ht="10.5" customHeight="1" x14ac:dyDescent="0.2">
      <c r="G56979" s="889"/>
    </row>
    <row r="56980" spans="7:7" ht="10.5" customHeight="1" x14ac:dyDescent="0.2">
      <c r="G56980" s="889"/>
    </row>
    <row r="56981" spans="7:7" ht="10.5" customHeight="1" x14ac:dyDescent="0.2">
      <c r="G56981" s="889"/>
    </row>
    <row r="56982" spans="7:7" ht="10.5" customHeight="1" x14ac:dyDescent="0.2">
      <c r="G56982" s="889"/>
    </row>
    <row r="56983" spans="7:7" ht="10.5" customHeight="1" x14ac:dyDescent="0.2">
      <c r="G56983" s="889"/>
    </row>
    <row r="56984" spans="7:7" ht="10.5" customHeight="1" x14ac:dyDescent="0.2">
      <c r="G56984" s="889"/>
    </row>
    <row r="56985" spans="7:7" ht="10.5" customHeight="1" x14ac:dyDescent="0.2">
      <c r="G56985" s="889"/>
    </row>
    <row r="56986" spans="7:7" ht="10.5" customHeight="1" x14ac:dyDescent="0.2">
      <c r="G56986" s="889"/>
    </row>
    <row r="56987" spans="7:7" ht="10.5" customHeight="1" x14ac:dyDescent="0.2">
      <c r="G56987" s="889"/>
    </row>
    <row r="56988" spans="7:7" ht="10.5" customHeight="1" x14ac:dyDescent="0.2">
      <c r="G56988" s="889"/>
    </row>
    <row r="56989" spans="7:7" ht="10.5" customHeight="1" x14ac:dyDescent="0.2">
      <c r="G56989" s="889"/>
    </row>
    <row r="56990" spans="7:7" ht="10.5" customHeight="1" x14ac:dyDescent="0.2">
      <c r="G56990" s="889"/>
    </row>
    <row r="56991" spans="7:7" ht="10.5" customHeight="1" x14ac:dyDescent="0.2">
      <c r="G56991" s="889"/>
    </row>
    <row r="56992" spans="7:7" ht="10.5" customHeight="1" x14ac:dyDescent="0.2">
      <c r="G56992" s="889"/>
    </row>
    <row r="56993" spans="7:7" ht="10.5" customHeight="1" x14ac:dyDescent="0.2">
      <c r="G56993" s="889"/>
    </row>
    <row r="56994" spans="7:7" ht="10.5" customHeight="1" x14ac:dyDescent="0.2">
      <c r="G56994" s="889"/>
    </row>
    <row r="56995" spans="7:7" ht="10.5" customHeight="1" x14ac:dyDescent="0.2">
      <c r="G56995" s="889"/>
    </row>
    <row r="56996" spans="7:7" ht="10.5" customHeight="1" x14ac:dyDescent="0.2">
      <c r="G56996" s="889"/>
    </row>
    <row r="56997" spans="7:7" ht="10.5" customHeight="1" x14ac:dyDescent="0.2">
      <c r="G56997" s="889"/>
    </row>
    <row r="56998" spans="7:7" ht="10.5" customHeight="1" x14ac:dyDescent="0.2">
      <c r="G56998" s="889"/>
    </row>
    <row r="56999" spans="7:7" ht="10.5" customHeight="1" x14ac:dyDescent="0.2">
      <c r="G56999" s="889"/>
    </row>
    <row r="57000" spans="7:7" ht="10.5" customHeight="1" x14ac:dyDescent="0.2">
      <c r="G57000" s="889"/>
    </row>
    <row r="57001" spans="7:7" ht="10.5" customHeight="1" x14ac:dyDescent="0.2">
      <c r="G57001" s="889"/>
    </row>
    <row r="57002" spans="7:7" ht="10.5" customHeight="1" x14ac:dyDescent="0.2">
      <c r="G57002" s="889"/>
    </row>
    <row r="57003" spans="7:7" ht="10.5" customHeight="1" x14ac:dyDescent="0.2">
      <c r="G57003" s="889"/>
    </row>
    <row r="57004" spans="7:7" ht="10.5" customHeight="1" x14ac:dyDescent="0.2">
      <c r="G57004" s="889"/>
    </row>
    <row r="57005" spans="7:7" ht="10.5" customHeight="1" x14ac:dyDescent="0.2">
      <c r="G57005" s="889"/>
    </row>
    <row r="57006" spans="7:7" ht="10.5" customHeight="1" x14ac:dyDescent="0.2">
      <c r="G57006" s="889"/>
    </row>
    <row r="57007" spans="7:7" ht="10.5" customHeight="1" x14ac:dyDescent="0.2">
      <c r="G57007" s="889"/>
    </row>
    <row r="57008" spans="7:7" ht="10.5" customHeight="1" x14ac:dyDescent="0.2">
      <c r="G57008" s="889"/>
    </row>
    <row r="57009" spans="7:7" ht="10.5" customHeight="1" x14ac:dyDescent="0.2">
      <c r="G57009" s="889"/>
    </row>
    <row r="57010" spans="7:7" ht="10.5" customHeight="1" x14ac:dyDescent="0.2">
      <c r="G57010" s="889"/>
    </row>
    <row r="57011" spans="7:7" ht="10.5" customHeight="1" x14ac:dyDescent="0.2">
      <c r="G57011" s="889"/>
    </row>
    <row r="57012" spans="7:7" ht="10.5" customHeight="1" x14ac:dyDescent="0.2">
      <c r="G57012" s="889"/>
    </row>
    <row r="57013" spans="7:7" ht="10.5" customHeight="1" x14ac:dyDescent="0.2">
      <c r="G57013" s="889"/>
    </row>
    <row r="57014" spans="7:7" ht="10.5" customHeight="1" x14ac:dyDescent="0.2">
      <c r="G57014" s="889"/>
    </row>
    <row r="57015" spans="7:7" ht="10.5" customHeight="1" x14ac:dyDescent="0.2">
      <c r="G57015" s="889"/>
    </row>
    <row r="57016" spans="7:7" ht="10.5" customHeight="1" x14ac:dyDescent="0.2">
      <c r="G57016" s="889"/>
    </row>
    <row r="57017" spans="7:7" ht="10.5" customHeight="1" x14ac:dyDescent="0.2">
      <c r="G57017" s="889"/>
    </row>
    <row r="57018" spans="7:7" ht="10.5" customHeight="1" x14ac:dyDescent="0.2">
      <c r="G57018" s="889"/>
    </row>
    <row r="57019" spans="7:7" ht="10.5" customHeight="1" x14ac:dyDescent="0.2">
      <c r="G57019" s="889"/>
    </row>
    <row r="57020" spans="7:7" ht="10.5" customHeight="1" x14ac:dyDescent="0.2">
      <c r="G57020" s="889"/>
    </row>
    <row r="57021" spans="7:7" ht="10.5" customHeight="1" x14ac:dyDescent="0.2">
      <c r="G57021" s="889"/>
    </row>
    <row r="57022" spans="7:7" ht="10.5" customHeight="1" x14ac:dyDescent="0.2">
      <c r="G57022" s="889"/>
    </row>
    <row r="57023" spans="7:7" ht="10.5" customHeight="1" x14ac:dyDescent="0.2">
      <c r="G57023" s="889"/>
    </row>
    <row r="57024" spans="7:7" ht="10.5" customHeight="1" x14ac:dyDescent="0.2">
      <c r="G57024" s="889"/>
    </row>
    <row r="57025" spans="7:7" ht="10.5" customHeight="1" x14ac:dyDescent="0.2">
      <c r="G57025" s="889"/>
    </row>
    <row r="57026" spans="7:7" ht="10.5" customHeight="1" x14ac:dyDescent="0.2">
      <c r="G57026" s="889"/>
    </row>
    <row r="57027" spans="7:7" ht="10.5" customHeight="1" x14ac:dyDescent="0.2">
      <c r="G57027" s="889"/>
    </row>
    <row r="57028" spans="7:7" ht="10.5" customHeight="1" x14ac:dyDescent="0.2">
      <c r="G57028" s="889"/>
    </row>
    <row r="57029" spans="7:7" ht="10.5" customHeight="1" x14ac:dyDescent="0.2">
      <c r="G57029" s="889"/>
    </row>
    <row r="57030" spans="7:7" ht="10.5" customHeight="1" x14ac:dyDescent="0.2">
      <c r="G57030" s="889"/>
    </row>
    <row r="57031" spans="7:7" ht="10.5" customHeight="1" x14ac:dyDescent="0.2">
      <c r="G57031" s="889"/>
    </row>
    <row r="57032" spans="7:7" ht="10.5" customHeight="1" x14ac:dyDescent="0.2">
      <c r="G57032" s="889"/>
    </row>
    <row r="57033" spans="7:7" ht="10.5" customHeight="1" x14ac:dyDescent="0.2">
      <c r="G57033" s="889"/>
    </row>
    <row r="57034" spans="7:7" ht="10.5" customHeight="1" x14ac:dyDescent="0.2">
      <c r="G57034" s="889"/>
    </row>
    <row r="57035" spans="7:7" ht="10.5" customHeight="1" x14ac:dyDescent="0.2">
      <c r="G57035" s="889"/>
    </row>
    <row r="57036" spans="7:7" ht="10.5" customHeight="1" x14ac:dyDescent="0.2">
      <c r="G57036" s="889"/>
    </row>
    <row r="57037" spans="7:7" ht="10.5" customHeight="1" x14ac:dyDescent="0.2">
      <c r="G57037" s="889"/>
    </row>
    <row r="57038" spans="7:7" ht="10.5" customHeight="1" x14ac:dyDescent="0.2">
      <c r="G57038" s="889"/>
    </row>
    <row r="57039" spans="7:7" ht="10.5" customHeight="1" x14ac:dyDescent="0.2">
      <c r="G57039" s="889"/>
    </row>
    <row r="57040" spans="7:7" ht="10.5" customHeight="1" x14ac:dyDescent="0.2">
      <c r="G57040" s="889"/>
    </row>
    <row r="57041" spans="7:7" ht="10.5" customHeight="1" x14ac:dyDescent="0.2">
      <c r="G57041" s="889"/>
    </row>
    <row r="57042" spans="7:7" ht="10.5" customHeight="1" x14ac:dyDescent="0.2">
      <c r="G57042" s="889"/>
    </row>
    <row r="57043" spans="7:7" ht="10.5" customHeight="1" x14ac:dyDescent="0.2">
      <c r="G57043" s="889"/>
    </row>
    <row r="57044" spans="7:7" ht="10.5" customHeight="1" x14ac:dyDescent="0.2">
      <c r="G57044" s="889"/>
    </row>
    <row r="57045" spans="7:7" ht="10.5" customHeight="1" x14ac:dyDescent="0.2">
      <c r="G57045" s="889"/>
    </row>
    <row r="57046" spans="7:7" ht="10.5" customHeight="1" x14ac:dyDescent="0.2">
      <c r="G57046" s="889"/>
    </row>
    <row r="57047" spans="7:7" ht="10.5" customHeight="1" x14ac:dyDescent="0.2">
      <c r="G57047" s="889"/>
    </row>
    <row r="57048" spans="7:7" ht="10.5" customHeight="1" x14ac:dyDescent="0.2">
      <c r="G57048" s="889"/>
    </row>
    <row r="57049" spans="7:7" ht="10.5" customHeight="1" x14ac:dyDescent="0.2">
      <c r="G57049" s="889"/>
    </row>
    <row r="57050" spans="7:7" ht="10.5" customHeight="1" x14ac:dyDescent="0.2">
      <c r="G57050" s="889"/>
    </row>
    <row r="57051" spans="7:7" ht="10.5" customHeight="1" x14ac:dyDescent="0.2">
      <c r="G57051" s="889"/>
    </row>
    <row r="57052" spans="7:7" ht="10.5" customHeight="1" x14ac:dyDescent="0.2">
      <c r="G57052" s="889"/>
    </row>
    <row r="57053" spans="7:7" ht="10.5" customHeight="1" x14ac:dyDescent="0.2">
      <c r="G57053" s="889"/>
    </row>
    <row r="57054" spans="7:7" ht="10.5" customHeight="1" x14ac:dyDescent="0.2">
      <c r="G57054" s="889"/>
    </row>
    <row r="57055" spans="7:7" ht="10.5" customHeight="1" x14ac:dyDescent="0.2">
      <c r="G57055" s="889"/>
    </row>
    <row r="57056" spans="7:7" ht="10.5" customHeight="1" x14ac:dyDescent="0.2">
      <c r="G57056" s="889"/>
    </row>
    <row r="57057" spans="7:7" ht="10.5" customHeight="1" x14ac:dyDescent="0.2">
      <c r="G57057" s="889"/>
    </row>
    <row r="57058" spans="7:7" ht="10.5" customHeight="1" x14ac:dyDescent="0.2">
      <c r="G57058" s="889"/>
    </row>
    <row r="57059" spans="7:7" ht="10.5" customHeight="1" x14ac:dyDescent="0.2">
      <c r="G57059" s="889"/>
    </row>
    <row r="57060" spans="7:7" ht="10.5" customHeight="1" x14ac:dyDescent="0.2">
      <c r="G57060" s="889"/>
    </row>
    <row r="57061" spans="7:7" ht="10.5" customHeight="1" x14ac:dyDescent="0.2">
      <c r="G57061" s="889"/>
    </row>
    <row r="57062" spans="7:7" ht="10.5" customHeight="1" x14ac:dyDescent="0.2">
      <c r="G57062" s="889"/>
    </row>
    <row r="57063" spans="7:7" ht="10.5" customHeight="1" x14ac:dyDescent="0.2">
      <c r="G57063" s="889"/>
    </row>
    <row r="57064" spans="7:7" ht="10.5" customHeight="1" x14ac:dyDescent="0.2">
      <c r="G57064" s="889"/>
    </row>
    <row r="57065" spans="7:7" ht="10.5" customHeight="1" x14ac:dyDescent="0.2">
      <c r="G57065" s="889"/>
    </row>
    <row r="57066" spans="7:7" ht="10.5" customHeight="1" x14ac:dyDescent="0.2">
      <c r="G57066" s="889"/>
    </row>
    <row r="57067" spans="7:7" ht="10.5" customHeight="1" x14ac:dyDescent="0.2">
      <c r="G57067" s="889"/>
    </row>
    <row r="57068" spans="7:7" ht="10.5" customHeight="1" x14ac:dyDescent="0.2">
      <c r="G57068" s="889"/>
    </row>
    <row r="57069" spans="7:7" ht="10.5" customHeight="1" x14ac:dyDescent="0.2">
      <c r="G57069" s="889"/>
    </row>
    <row r="57070" spans="7:7" ht="10.5" customHeight="1" x14ac:dyDescent="0.2">
      <c r="G57070" s="889"/>
    </row>
    <row r="57071" spans="7:7" ht="10.5" customHeight="1" x14ac:dyDescent="0.2">
      <c r="G57071" s="889"/>
    </row>
    <row r="57072" spans="7:7" ht="10.5" customHeight="1" x14ac:dyDescent="0.2">
      <c r="G57072" s="889"/>
    </row>
    <row r="57073" spans="7:7" ht="10.5" customHeight="1" x14ac:dyDescent="0.2">
      <c r="G57073" s="889"/>
    </row>
    <row r="57074" spans="7:7" ht="10.5" customHeight="1" x14ac:dyDescent="0.2">
      <c r="G57074" s="889"/>
    </row>
    <row r="57075" spans="7:7" ht="10.5" customHeight="1" x14ac:dyDescent="0.2">
      <c r="G57075" s="889"/>
    </row>
    <row r="57076" spans="7:7" ht="10.5" customHeight="1" x14ac:dyDescent="0.2">
      <c r="G57076" s="889"/>
    </row>
    <row r="57077" spans="7:7" ht="10.5" customHeight="1" x14ac:dyDescent="0.2">
      <c r="G57077" s="889"/>
    </row>
    <row r="57078" spans="7:7" ht="10.5" customHeight="1" x14ac:dyDescent="0.2">
      <c r="G57078" s="889"/>
    </row>
    <row r="57079" spans="7:7" ht="10.5" customHeight="1" x14ac:dyDescent="0.2">
      <c r="G57079" s="889"/>
    </row>
    <row r="57080" spans="7:7" ht="10.5" customHeight="1" x14ac:dyDescent="0.2">
      <c r="G57080" s="889"/>
    </row>
    <row r="57081" spans="7:7" ht="10.5" customHeight="1" x14ac:dyDescent="0.2">
      <c r="G57081" s="889"/>
    </row>
    <row r="57082" spans="7:7" ht="10.5" customHeight="1" x14ac:dyDescent="0.2">
      <c r="G57082" s="889"/>
    </row>
    <row r="57083" spans="7:7" ht="10.5" customHeight="1" x14ac:dyDescent="0.2">
      <c r="G57083" s="889"/>
    </row>
    <row r="57084" spans="7:7" ht="10.5" customHeight="1" x14ac:dyDescent="0.2">
      <c r="G57084" s="889"/>
    </row>
    <row r="57085" spans="7:7" ht="10.5" customHeight="1" x14ac:dyDescent="0.2">
      <c r="G57085" s="889"/>
    </row>
    <row r="57086" spans="7:7" ht="10.5" customHeight="1" x14ac:dyDescent="0.2">
      <c r="G57086" s="889"/>
    </row>
    <row r="57087" spans="7:7" ht="10.5" customHeight="1" x14ac:dyDescent="0.2">
      <c r="G57087" s="889"/>
    </row>
    <row r="57088" spans="7:7" ht="10.5" customHeight="1" x14ac:dyDescent="0.2">
      <c r="G57088" s="889"/>
    </row>
    <row r="57089" spans="7:7" ht="10.5" customHeight="1" x14ac:dyDescent="0.2">
      <c r="G57089" s="889"/>
    </row>
    <row r="57090" spans="7:7" ht="10.5" customHeight="1" x14ac:dyDescent="0.2">
      <c r="G57090" s="889"/>
    </row>
    <row r="57091" spans="7:7" ht="10.5" customHeight="1" x14ac:dyDescent="0.2">
      <c r="G57091" s="889"/>
    </row>
    <row r="57092" spans="7:7" ht="10.5" customHeight="1" x14ac:dyDescent="0.2">
      <c r="G57092" s="889"/>
    </row>
    <row r="57093" spans="7:7" ht="10.5" customHeight="1" x14ac:dyDescent="0.2">
      <c r="G57093" s="889"/>
    </row>
    <row r="57094" spans="7:7" ht="10.5" customHeight="1" x14ac:dyDescent="0.2">
      <c r="G57094" s="889"/>
    </row>
    <row r="57095" spans="7:7" ht="10.5" customHeight="1" x14ac:dyDescent="0.2">
      <c r="G57095" s="889"/>
    </row>
    <row r="57096" spans="7:7" ht="10.5" customHeight="1" x14ac:dyDescent="0.2">
      <c r="G57096" s="889"/>
    </row>
    <row r="57097" spans="7:7" ht="10.5" customHeight="1" x14ac:dyDescent="0.2">
      <c r="G57097" s="889"/>
    </row>
    <row r="57098" spans="7:7" ht="10.5" customHeight="1" x14ac:dyDescent="0.2">
      <c r="G57098" s="889"/>
    </row>
    <row r="57099" spans="7:7" ht="10.5" customHeight="1" x14ac:dyDescent="0.2">
      <c r="G57099" s="889"/>
    </row>
    <row r="57100" spans="7:7" ht="10.5" customHeight="1" x14ac:dyDescent="0.2">
      <c r="G57100" s="889"/>
    </row>
    <row r="57101" spans="7:7" ht="10.5" customHeight="1" x14ac:dyDescent="0.2">
      <c r="G57101" s="889"/>
    </row>
    <row r="57102" spans="7:7" ht="10.5" customHeight="1" x14ac:dyDescent="0.2">
      <c r="G57102" s="889"/>
    </row>
    <row r="57103" spans="7:7" ht="10.5" customHeight="1" x14ac:dyDescent="0.2">
      <c r="G57103" s="889"/>
    </row>
    <row r="57104" spans="7:7" ht="10.5" customHeight="1" x14ac:dyDescent="0.2">
      <c r="G57104" s="889"/>
    </row>
    <row r="57105" spans="7:7" ht="10.5" customHeight="1" x14ac:dyDescent="0.2">
      <c r="G57105" s="889"/>
    </row>
    <row r="57106" spans="7:7" ht="10.5" customHeight="1" x14ac:dyDescent="0.2">
      <c r="G57106" s="889"/>
    </row>
    <row r="57107" spans="7:7" ht="10.5" customHeight="1" x14ac:dyDescent="0.2">
      <c r="G57107" s="889"/>
    </row>
    <row r="57108" spans="7:7" ht="10.5" customHeight="1" x14ac:dyDescent="0.2">
      <c r="G57108" s="889"/>
    </row>
    <row r="57109" spans="7:7" ht="10.5" customHeight="1" x14ac:dyDescent="0.2">
      <c r="G57109" s="889"/>
    </row>
    <row r="57110" spans="7:7" ht="10.5" customHeight="1" x14ac:dyDescent="0.2">
      <c r="G57110" s="889"/>
    </row>
    <row r="57111" spans="7:7" ht="10.5" customHeight="1" x14ac:dyDescent="0.2">
      <c r="G57111" s="889"/>
    </row>
    <row r="57112" spans="7:7" ht="10.5" customHeight="1" x14ac:dyDescent="0.2">
      <c r="G57112" s="889"/>
    </row>
    <row r="57113" spans="7:7" ht="10.5" customHeight="1" x14ac:dyDescent="0.2">
      <c r="G57113" s="889"/>
    </row>
    <row r="57114" spans="7:7" ht="10.5" customHeight="1" x14ac:dyDescent="0.2">
      <c r="G57114" s="889"/>
    </row>
    <row r="57115" spans="7:7" ht="10.5" customHeight="1" x14ac:dyDescent="0.2">
      <c r="G57115" s="889"/>
    </row>
    <row r="57116" spans="7:7" ht="10.5" customHeight="1" x14ac:dyDescent="0.2">
      <c r="G57116" s="889"/>
    </row>
    <row r="57117" spans="7:7" ht="10.5" customHeight="1" x14ac:dyDescent="0.2">
      <c r="G57117" s="889"/>
    </row>
    <row r="57118" spans="7:7" ht="10.5" customHeight="1" x14ac:dyDescent="0.2">
      <c r="G57118" s="889"/>
    </row>
    <row r="57119" spans="7:7" ht="10.5" customHeight="1" x14ac:dyDescent="0.2">
      <c r="G57119" s="889"/>
    </row>
    <row r="57120" spans="7:7" ht="10.5" customHeight="1" x14ac:dyDescent="0.2">
      <c r="G57120" s="889"/>
    </row>
    <row r="57121" spans="7:7" ht="10.5" customHeight="1" x14ac:dyDescent="0.2">
      <c r="G57121" s="889"/>
    </row>
    <row r="57122" spans="7:7" ht="10.5" customHeight="1" x14ac:dyDescent="0.2">
      <c r="G57122" s="889"/>
    </row>
    <row r="57123" spans="7:7" ht="10.5" customHeight="1" x14ac:dyDescent="0.2">
      <c r="G57123" s="889"/>
    </row>
    <row r="57124" spans="7:7" ht="10.5" customHeight="1" x14ac:dyDescent="0.2">
      <c r="G57124" s="889"/>
    </row>
    <row r="57125" spans="7:7" ht="10.5" customHeight="1" x14ac:dyDescent="0.2">
      <c r="G57125" s="889"/>
    </row>
    <row r="57126" spans="7:7" ht="10.5" customHeight="1" x14ac:dyDescent="0.2">
      <c r="G57126" s="889"/>
    </row>
    <row r="57127" spans="7:7" ht="10.5" customHeight="1" x14ac:dyDescent="0.2">
      <c r="G57127" s="889"/>
    </row>
    <row r="57128" spans="7:7" ht="10.5" customHeight="1" x14ac:dyDescent="0.2">
      <c r="G57128" s="889"/>
    </row>
    <row r="57129" spans="7:7" ht="10.5" customHeight="1" x14ac:dyDescent="0.2">
      <c r="G57129" s="889"/>
    </row>
    <row r="57130" spans="7:7" ht="10.5" customHeight="1" x14ac:dyDescent="0.2">
      <c r="G57130" s="889"/>
    </row>
    <row r="57131" spans="7:7" ht="10.5" customHeight="1" x14ac:dyDescent="0.2">
      <c r="G57131" s="889"/>
    </row>
    <row r="57132" spans="7:7" ht="10.5" customHeight="1" x14ac:dyDescent="0.2">
      <c r="G57132" s="889"/>
    </row>
    <row r="57133" spans="7:7" ht="10.5" customHeight="1" x14ac:dyDescent="0.2">
      <c r="G57133" s="889"/>
    </row>
    <row r="57134" spans="7:7" ht="10.5" customHeight="1" x14ac:dyDescent="0.2">
      <c r="G57134" s="889"/>
    </row>
    <row r="57135" spans="7:7" ht="10.5" customHeight="1" x14ac:dyDescent="0.2">
      <c r="G57135" s="889"/>
    </row>
    <row r="57136" spans="7:7" ht="10.5" customHeight="1" x14ac:dyDescent="0.2">
      <c r="G57136" s="889"/>
    </row>
    <row r="57137" spans="7:7" ht="10.5" customHeight="1" x14ac:dyDescent="0.2">
      <c r="G57137" s="889"/>
    </row>
    <row r="57138" spans="7:7" ht="10.5" customHeight="1" x14ac:dyDescent="0.2">
      <c r="G57138" s="889"/>
    </row>
    <row r="57139" spans="7:7" ht="10.5" customHeight="1" x14ac:dyDescent="0.2">
      <c r="G57139" s="889"/>
    </row>
    <row r="57140" spans="7:7" ht="10.5" customHeight="1" x14ac:dyDescent="0.2">
      <c r="G57140" s="889"/>
    </row>
    <row r="57141" spans="7:7" ht="10.5" customHeight="1" x14ac:dyDescent="0.2">
      <c r="G57141" s="889"/>
    </row>
    <row r="57142" spans="7:7" ht="10.5" customHeight="1" x14ac:dyDescent="0.2">
      <c r="G57142" s="889"/>
    </row>
    <row r="57143" spans="7:7" ht="10.5" customHeight="1" x14ac:dyDescent="0.2">
      <c r="G57143" s="889"/>
    </row>
    <row r="57144" spans="7:7" ht="10.5" customHeight="1" x14ac:dyDescent="0.2">
      <c r="G57144" s="889"/>
    </row>
    <row r="57145" spans="7:7" ht="10.5" customHeight="1" x14ac:dyDescent="0.2">
      <c r="G57145" s="889"/>
    </row>
    <row r="57146" spans="7:7" ht="10.5" customHeight="1" x14ac:dyDescent="0.2">
      <c r="G57146" s="889"/>
    </row>
    <row r="57147" spans="7:7" ht="10.5" customHeight="1" x14ac:dyDescent="0.2">
      <c r="G57147" s="889"/>
    </row>
    <row r="57148" spans="7:7" ht="10.5" customHeight="1" x14ac:dyDescent="0.2">
      <c r="G57148" s="889"/>
    </row>
    <row r="57149" spans="7:7" ht="10.5" customHeight="1" x14ac:dyDescent="0.2">
      <c r="G57149" s="889"/>
    </row>
    <row r="57150" spans="7:7" ht="10.5" customHeight="1" x14ac:dyDescent="0.2">
      <c r="G57150" s="889"/>
    </row>
    <row r="57151" spans="7:7" ht="10.5" customHeight="1" x14ac:dyDescent="0.2">
      <c r="G57151" s="889"/>
    </row>
    <row r="57152" spans="7:7" ht="10.5" customHeight="1" x14ac:dyDescent="0.2">
      <c r="G57152" s="889"/>
    </row>
    <row r="57153" spans="7:7" ht="10.5" customHeight="1" x14ac:dyDescent="0.2">
      <c r="G57153" s="889"/>
    </row>
    <row r="57154" spans="7:7" ht="10.5" customHeight="1" x14ac:dyDescent="0.2">
      <c r="G57154" s="889"/>
    </row>
    <row r="57155" spans="7:7" ht="10.5" customHeight="1" x14ac:dyDescent="0.2">
      <c r="G57155" s="889"/>
    </row>
    <row r="57156" spans="7:7" ht="10.5" customHeight="1" x14ac:dyDescent="0.2">
      <c r="G57156" s="889"/>
    </row>
    <row r="57157" spans="7:7" ht="10.5" customHeight="1" x14ac:dyDescent="0.2">
      <c r="G57157" s="889"/>
    </row>
    <row r="57158" spans="7:7" ht="10.5" customHeight="1" x14ac:dyDescent="0.2">
      <c r="G57158" s="889"/>
    </row>
    <row r="57159" spans="7:7" ht="10.5" customHeight="1" x14ac:dyDescent="0.2">
      <c r="G57159" s="889"/>
    </row>
    <row r="57160" spans="7:7" ht="10.5" customHeight="1" x14ac:dyDescent="0.2">
      <c r="G57160" s="889"/>
    </row>
    <row r="57161" spans="7:7" ht="10.5" customHeight="1" x14ac:dyDescent="0.2">
      <c r="G57161" s="889"/>
    </row>
    <row r="57162" spans="7:7" ht="10.5" customHeight="1" x14ac:dyDescent="0.2">
      <c r="G57162" s="889"/>
    </row>
    <row r="57163" spans="7:7" ht="10.5" customHeight="1" x14ac:dyDescent="0.2">
      <c r="G57163" s="889"/>
    </row>
    <row r="57164" spans="7:7" ht="10.5" customHeight="1" x14ac:dyDescent="0.2">
      <c r="G57164" s="889"/>
    </row>
    <row r="57165" spans="7:7" ht="10.5" customHeight="1" x14ac:dyDescent="0.2">
      <c r="G57165" s="889"/>
    </row>
    <row r="57166" spans="7:7" ht="10.5" customHeight="1" x14ac:dyDescent="0.2">
      <c r="G57166" s="889"/>
    </row>
    <row r="57167" spans="7:7" ht="10.5" customHeight="1" x14ac:dyDescent="0.2">
      <c r="G57167" s="889"/>
    </row>
    <row r="57168" spans="7:7" ht="10.5" customHeight="1" x14ac:dyDescent="0.2">
      <c r="G57168" s="889"/>
    </row>
    <row r="57169" spans="7:7" ht="10.5" customHeight="1" x14ac:dyDescent="0.2">
      <c r="G57169" s="889"/>
    </row>
    <row r="57170" spans="7:7" ht="10.5" customHeight="1" x14ac:dyDescent="0.2">
      <c r="G57170" s="889"/>
    </row>
    <row r="57171" spans="7:7" ht="10.5" customHeight="1" x14ac:dyDescent="0.2">
      <c r="G57171" s="889"/>
    </row>
    <row r="57172" spans="7:7" ht="10.5" customHeight="1" x14ac:dyDescent="0.2">
      <c r="G57172" s="889"/>
    </row>
    <row r="57173" spans="7:7" ht="10.5" customHeight="1" x14ac:dyDescent="0.2">
      <c r="G57173" s="889"/>
    </row>
    <row r="57174" spans="7:7" ht="10.5" customHeight="1" x14ac:dyDescent="0.2">
      <c r="G57174" s="889"/>
    </row>
    <row r="57175" spans="7:7" ht="10.5" customHeight="1" x14ac:dyDescent="0.2">
      <c r="G57175" s="889"/>
    </row>
    <row r="57176" spans="7:7" ht="10.5" customHeight="1" x14ac:dyDescent="0.2">
      <c r="G57176" s="889"/>
    </row>
    <row r="57177" spans="7:7" ht="10.5" customHeight="1" x14ac:dyDescent="0.2">
      <c r="G57177" s="889"/>
    </row>
    <row r="57178" spans="7:7" ht="10.5" customHeight="1" x14ac:dyDescent="0.2">
      <c r="G57178" s="889"/>
    </row>
    <row r="57179" spans="7:7" ht="10.5" customHeight="1" x14ac:dyDescent="0.2">
      <c r="G57179" s="889"/>
    </row>
    <row r="57180" spans="7:7" ht="10.5" customHeight="1" x14ac:dyDescent="0.2">
      <c r="G57180" s="889"/>
    </row>
    <row r="57181" spans="7:7" ht="10.5" customHeight="1" x14ac:dyDescent="0.2">
      <c r="G57181" s="889"/>
    </row>
    <row r="57182" spans="7:7" ht="10.5" customHeight="1" x14ac:dyDescent="0.2">
      <c r="G57182" s="889"/>
    </row>
    <row r="57183" spans="7:7" ht="10.5" customHeight="1" x14ac:dyDescent="0.2">
      <c r="G57183" s="889"/>
    </row>
    <row r="57184" spans="7:7" ht="10.5" customHeight="1" x14ac:dyDescent="0.2">
      <c r="G57184" s="889"/>
    </row>
    <row r="57185" spans="7:7" ht="10.5" customHeight="1" x14ac:dyDescent="0.2">
      <c r="G57185" s="889"/>
    </row>
    <row r="57186" spans="7:7" ht="10.5" customHeight="1" x14ac:dyDescent="0.2">
      <c r="G57186" s="889"/>
    </row>
    <row r="57187" spans="7:7" ht="10.5" customHeight="1" x14ac:dyDescent="0.2">
      <c r="G57187" s="889"/>
    </row>
    <row r="57188" spans="7:7" ht="10.5" customHeight="1" x14ac:dyDescent="0.2">
      <c r="G57188" s="889"/>
    </row>
    <row r="57189" spans="7:7" ht="10.5" customHeight="1" x14ac:dyDescent="0.2">
      <c r="G57189" s="889"/>
    </row>
    <row r="57190" spans="7:7" ht="10.5" customHeight="1" x14ac:dyDescent="0.2">
      <c r="G57190" s="889"/>
    </row>
    <row r="57191" spans="7:7" ht="10.5" customHeight="1" x14ac:dyDescent="0.2">
      <c r="G57191" s="889"/>
    </row>
    <row r="57192" spans="7:7" ht="10.5" customHeight="1" x14ac:dyDescent="0.2">
      <c r="G57192" s="889"/>
    </row>
    <row r="57193" spans="7:7" ht="10.5" customHeight="1" x14ac:dyDescent="0.2">
      <c r="G57193" s="889"/>
    </row>
    <row r="57194" spans="7:7" ht="10.5" customHeight="1" x14ac:dyDescent="0.2">
      <c r="G57194" s="889"/>
    </row>
    <row r="57195" spans="7:7" ht="10.5" customHeight="1" x14ac:dyDescent="0.2">
      <c r="G57195" s="889"/>
    </row>
    <row r="57196" spans="7:7" ht="10.5" customHeight="1" x14ac:dyDescent="0.2">
      <c r="G57196" s="889"/>
    </row>
    <row r="57197" spans="7:7" ht="10.5" customHeight="1" x14ac:dyDescent="0.2">
      <c r="G57197" s="889"/>
    </row>
    <row r="57198" spans="7:7" ht="10.5" customHeight="1" x14ac:dyDescent="0.2">
      <c r="G57198" s="889"/>
    </row>
    <row r="57199" spans="7:7" ht="10.5" customHeight="1" x14ac:dyDescent="0.2">
      <c r="G57199" s="889"/>
    </row>
    <row r="57200" spans="7:7" ht="10.5" customHeight="1" x14ac:dyDescent="0.2">
      <c r="G57200" s="889"/>
    </row>
    <row r="57201" spans="7:7" ht="10.5" customHeight="1" x14ac:dyDescent="0.2">
      <c r="G57201" s="889"/>
    </row>
    <row r="57202" spans="7:7" ht="10.5" customHeight="1" x14ac:dyDescent="0.2">
      <c r="G57202" s="889"/>
    </row>
    <row r="57203" spans="7:7" ht="10.5" customHeight="1" x14ac:dyDescent="0.2">
      <c r="G57203" s="889"/>
    </row>
    <row r="57204" spans="7:7" ht="10.5" customHeight="1" x14ac:dyDescent="0.2">
      <c r="G57204" s="889"/>
    </row>
    <row r="57205" spans="7:7" ht="10.5" customHeight="1" x14ac:dyDescent="0.2">
      <c r="G57205" s="889"/>
    </row>
    <row r="57206" spans="7:7" ht="10.5" customHeight="1" x14ac:dyDescent="0.2">
      <c r="G57206" s="889"/>
    </row>
    <row r="57207" spans="7:7" ht="10.5" customHeight="1" x14ac:dyDescent="0.2">
      <c r="G57207" s="889"/>
    </row>
    <row r="57208" spans="7:7" ht="10.5" customHeight="1" x14ac:dyDescent="0.2">
      <c r="G57208" s="889"/>
    </row>
    <row r="57209" spans="7:7" ht="10.5" customHeight="1" x14ac:dyDescent="0.2">
      <c r="G57209" s="889"/>
    </row>
    <row r="57210" spans="7:7" ht="10.5" customHeight="1" x14ac:dyDescent="0.2">
      <c r="G57210" s="889"/>
    </row>
    <row r="57211" spans="7:7" ht="10.5" customHeight="1" x14ac:dyDescent="0.2">
      <c r="G57211" s="889"/>
    </row>
    <row r="57212" spans="7:7" ht="10.5" customHeight="1" x14ac:dyDescent="0.2">
      <c r="G57212" s="889"/>
    </row>
    <row r="57213" spans="7:7" ht="10.5" customHeight="1" x14ac:dyDescent="0.2">
      <c r="G57213" s="889"/>
    </row>
    <row r="57214" spans="7:7" ht="10.5" customHeight="1" x14ac:dyDescent="0.2">
      <c r="G57214" s="889"/>
    </row>
    <row r="57215" spans="7:7" ht="10.5" customHeight="1" x14ac:dyDescent="0.2">
      <c r="G57215" s="889"/>
    </row>
    <row r="57216" spans="7:7" ht="10.5" customHeight="1" x14ac:dyDescent="0.2">
      <c r="G57216" s="889"/>
    </row>
    <row r="57217" spans="7:7" ht="10.5" customHeight="1" x14ac:dyDescent="0.2">
      <c r="G57217" s="889"/>
    </row>
    <row r="57218" spans="7:7" ht="10.5" customHeight="1" x14ac:dyDescent="0.2">
      <c r="G57218" s="889"/>
    </row>
    <row r="57219" spans="7:7" ht="10.5" customHeight="1" x14ac:dyDescent="0.2">
      <c r="G57219" s="889"/>
    </row>
    <row r="57220" spans="7:7" ht="10.5" customHeight="1" x14ac:dyDescent="0.2">
      <c r="G57220" s="889"/>
    </row>
    <row r="57221" spans="7:7" ht="10.5" customHeight="1" x14ac:dyDescent="0.2">
      <c r="G57221" s="889"/>
    </row>
    <row r="57222" spans="7:7" ht="10.5" customHeight="1" x14ac:dyDescent="0.2">
      <c r="G57222" s="889"/>
    </row>
    <row r="57223" spans="7:7" ht="10.5" customHeight="1" x14ac:dyDescent="0.2">
      <c r="G57223" s="889"/>
    </row>
    <row r="57224" spans="7:7" ht="10.5" customHeight="1" x14ac:dyDescent="0.2">
      <c r="G57224" s="889"/>
    </row>
    <row r="57225" spans="7:7" ht="10.5" customHeight="1" x14ac:dyDescent="0.2">
      <c r="G57225" s="889"/>
    </row>
    <row r="57226" spans="7:7" ht="10.5" customHeight="1" x14ac:dyDescent="0.2">
      <c r="G57226" s="889"/>
    </row>
    <row r="57227" spans="7:7" ht="10.5" customHeight="1" x14ac:dyDescent="0.2">
      <c r="G57227" s="889"/>
    </row>
    <row r="57228" spans="7:7" ht="10.5" customHeight="1" x14ac:dyDescent="0.2">
      <c r="G57228" s="889"/>
    </row>
    <row r="57229" spans="7:7" ht="10.5" customHeight="1" x14ac:dyDescent="0.2">
      <c r="G57229" s="889"/>
    </row>
    <row r="57230" spans="7:7" ht="10.5" customHeight="1" x14ac:dyDescent="0.2">
      <c r="G57230" s="889"/>
    </row>
    <row r="57231" spans="7:7" ht="10.5" customHeight="1" x14ac:dyDescent="0.2">
      <c r="G57231" s="889"/>
    </row>
    <row r="57232" spans="7:7" ht="10.5" customHeight="1" x14ac:dyDescent="0.2">
      <c r="G57232" s="889"/>
    </row>
    <row r="57233" spans="7:7" ht="10.5" customHeight="1" x14ac:dyDescent="0.2">
      <c r="G57233" s="889"/>
    </row>
    <row r="57234" spans="7:7" ht="10.5" customHeight="1" x14ac:dyDescent="0.2">
      <c r="G57234" s="889"/>
    </row>
    <row r="57235" spans="7:7" ht="10.5" customHeight="1" x14ac:dyDescent="0.2">
      <c r="G57235" s="889"/>
    </row>
    <row r="57236" spans="7:7" ht="10.5" customHeight="1" x14ac:dyDescent="0.2">
      <c r="G57236" s="889"/>
    </row>
    <row r="57237" spans="7:7" ht="10.5" customHeight="1" x14ac:dyDescent="0.2">
      <c r="G57237" s="889"/>
    </row>
    <row r="57238" spans="7:7" ht="10.5" customHeight="1" x14ac:dyDescent="0.2">
      <c r="G57238" s="889"/>
    </row>
    <row r="57239" spans="7:7" ht="10.5" customHeight="1" x14ac:dyDescent="0.2">
      <c r="G57239" s="889"/>
    </row>
    <row r="57240" spans="7:7" ht="10.5" customHeight="1" x14ac:dyDescent="0.2">
      <c r="G57240" s="889"/>
    </row>
    <row r="57241" spans="7:7" ht="10.5" customHeight="1" x14ac:dyDescent="0.2">
      <c r="G57241" s="889"/>
    </row>
    <row r="57242" spans="7:7" ht="10.5" customHeight="1" x14ac:dyDescent="0.2">
      <c r="G57242" s="889"/>
    </row>
    <row r="57243" spans="7:7" ht="10.5" customHeight="1" x14ac:dyDescent="0.2">
      <c r="G57243" s="889"/>
    </row>
    <row r="57244" spans="7:7" ht="10.5" customHeight="1" x14ac:dyDescent="0.2">
      <c r="G57244" s="889"/>
    </row>
    <row r="57245" spans="7:7" ht="10.5" customHeight="1" x14ac:dyDescent="0.2">
      <c r="G57245" s="889"/>
    </row>
    <row r="57246" spans="7:7" ht="10.5" customHeight="1" x14ac:dyDescent="0.2">
      <c r="G57246" s="889"/>
    </row>
    <row r="57247" spans="7:7" ht="10.5" customHeight="1" x14ac:dyDescent="0.2">
      <c r="G57247" s="889"/>
    </row>
    <row r="57248" spans="7:7" ht="10.5" customHeight="1" x14ac:dyDescent="0.2">
      <c r="G57248" s="889"/>
    </row>
    <row r="57249" spans="7:7" ht="10.5" customHeight="1" x14ac:dyDescent="0.2">
      <c r="G57249" s="889"/>
    </row>
    <row r="57250" spans="7:7" ht="10.5" customHeight="1" x14ac:dyDescent="0.2">
      <c r="G57250" s="889"/>
    </row>
    <row r="57251" spans="7:7" ht="10.5" customHeight="1" x14ac:dyDescent="0.2">
      <c r="G57251" s="889"/>
    </row>
    <row r="57252" spans="7:7" ht="10.5" customHeight="1" x14ac:dyDescent="0.2">
      <c r="G57252" s="889"/>
    </row>
    <row r="57253" spans="7:7" ht="10.5" customHeight="1" x14ac:dyDescent="0.2">
      <c r="G57253" s="889"/>
    </row>
    <row r="57254" spans="7:7" ht="10.5" customHeight="1" x14ac:dyDescent="0.2">
      <c r="G57254" s="889"/>
    </row>
    <row r="57255" spans="7:7" ht="10.5" customHeight="1" x14ac:dyDescent="0.2">
      <c r="G57255" s="889"/>
    </row>
    <row r="57256" spans="7:7" ht="10.5" customHeight="1" x14ac:dyDescent="0.2">
      <c r="G57256" s="889"/>
    </row>
    <row r="57257" spans="7:7" ht="10.5" customHeight="1" x14ac:dyDescent="0.2">
      <c r="G57257" s="889"/>
    </row>
    <row r="57258" spans="7:7" ht="10.5" customHeight="1" x14ac:dyDescent="0.2">
      <c r="G57258" s="889"/>
    </row>
    <row r="57259" spans="7:7" ht="10.5" customHeight="1" x14ac:dyDescent="0.2">
      <c r="G57259" s="889"/>
    </row>
    <row r="57260" spans="7:7" ht="10.5" customHeight="1" x14ac:dyDescent="0.2">
      <c r="G57260" s="889"/>
    </row>
    <row r="57261" spans="7:7" ht="10.5" customHeight="1" x14ac:dyDescent="0.2">
      <c r="G57261" s="889"/>
    </row>
    <row r="57262" spans="7:7" ht="10.5" customHeight="1" x14ac:dyDescent="0.2">
      <c r="G57262" s="889"/>
    </row>
    <row r="57263" spans="7:7" ht="10.5" customHeight="1" x14ac:dyDescent="0.2">
      <c r="G57263" s="889"/>
    </row>
    <row r="57264" spans="7:7" ht="10.5" customHeight="1" x14ac:dyDescent="0.2">
      <c r="G57264" s="889"/>
    </row>
    <row r="57265" spans="7:7" ht="10.5" customHeight="1" x14ac:dyDescent="0.2">
      <c r="G57265" s="889"/>
    </row>
    <row r="57266" spans="7:7" ht="10.5" customHeight="1" x14ac:dyDescent="0.2">
      <c r="G57266" s="889"/>
    </row>
    <row r="57267" spans="7:7" ht="10.5" customHeight="1" x14ac:dyDescent="0.2">
      <c r="G57267" s="889"/>
    </row>
    <row r="57268" spans="7:7" ht="10.5" customHeight="1" x14ac:dyDescent="0.2">
      <c r="G57268" s="889"/>
    </row>
    <row r="57269" spans="7:7" ht="10.5" customHeight="1" x14ac:dyDescent="0.2">
      <c r="G57269" s="889"/>
    </row>
    <row r="57270" spans="7:7" ht="10.5" customHeight="1" x14ac:dyDescent="0.2">
      <c r="G57270" s="889"/>
    </row>
    <row r="57271" spans="7:7" ht="10.5" customHeight="1" x14ac:dyDescent="0.2">
      <c r="G57271" s="889"/>
    </row>
    <row r="57272" spans="7:7" ht="10.5" customHeight="1" x14ac:dyDescent="0.2">
      <c r="G57272" s="889"/>
    </row>
    <row r="57273" spans="7:7" ht="10.5" customHeight="1" x14ac:dyDescent="0.2">
      <c r="G57273" s="889"/>
    </row>
    <row r="57274" spans="7:7" ht="10.5" customHeight="1" x14ac:dyDescent="0.2">
      <c r="G57274" s="889"/>
    </row>
    <row r="57275" spans="7:7" ht="10.5" customHeight="1" x14ac:dyDescent="0.2">
      <c r="G57275" s="889"/>
    </row>
    <row r="57276" spans="7:7" ht="10.5" customHeight="1" x14ac:dyDescent="0.2">
      <c r="G57276" s="889"/>
    </row>
    <row r="57277" spans="7:7" ht="10.5" customHeight="1" x14ac:dyDescent="0.2">
      <c r="G57277" s="889"/>
    </row>
    <row r="57278" spans="7:7" ht="10.5" customHeight="1" x14ac:dyDescent="0.2">
      <c r="G57278" s="889"/>
    </row>
    <row r="57279" spans="7:7" ht="10.5" customHeight="1" x14ac:dyDescent="0.2">
      <c r="G57279" s="889"/>
    </row>
    <row r="57280" spans="7:7" ht="10.5" customHeight="1" x14ac:dyDescent="0.2">
      <c r="G57280" s="889"/>
    </row>
    <row r="57281" spans="7:7" ht="10.5" customHeight="1" x14ac:dyDescent="0.2">
      <c r="G57281" s="889"/>
    </row>
    <row r="57282" spans="7:7" ht="10.5" customHeight="1" x14ac:dyDescent="0.2">
      <c r="G57282" s="889"/>
    </row>
    <row r="57283" spans="7:7" ht="10.5" customHeight="1" x14ac:dyDescent="0.2">
      <c r="G57283" s="889"/>
    </row>
    <row r="57284" spans="7:7" ht="10.5" customHeight="1" x14ac:dyDescent="0.2">
      <c r="G57284" s="889"/>
    </row>
    <row r="57285" spans="7:7" ht="10.5" customHeight="1" x14ac:dyDescent="0.2">
      <c r="G57285" s="889"/>
    </row>
    <row r="57286" spans="7:7" ht="10.5" customHeight="1" x14ac:dyDescent="0.2">
      <c r="G57286" s="889"/>
    </row>
    <row r="57287" spans="7:7" ht="10.5" customHeight="1" x14ac:dyDescent="0.2">
      <c r="G57287" s="889"/>
    </row>
    <row r="57288" spans="7:7" ht="10.5" customHeight="1" x14ac:dyDescent="0.2">
      <c r="G57288" s="889"/>
    </row>
    <row r="57289" spans="7:7" ht="10.5" customHeight="1" x14ac:dyDescent="0.2">
      <c r="G57289" s="889"/>
    </row>
    <row r="57290" spans="7:7" ht="10.5" customHeight="1" x14ac:dyDescent="0.2">
      <c r="G57290" s="889"/>
    </row>
    <row r="57291" spans="7:7" ht="10.5" customHeight="1" x14ac:dyDescent="0.2">
      <c r="G57291" s="889"/>
    </row>
    <row r="57292" spans="7:7" ht="10.5" customHeight="1" x14ac:dyDescent="0.2">
      <c r="G57292" s="889"/>
    </row>
    <row r="57293" spans="7:7" ht="10.5" customHeight="1" x14ac:dyDescent="0.2">
      <c r="G57293" s="889"/>
    </row>
    <row r="57294" spans="7:7" ht="10.5" customHeight="1" x14ac:dyDescent="0.2">
      <c r="G57294" s="889"/>
    </row>
    <row r="57295" spans="7:7" ht="10.5" customHeight="1" x14ac:dyDescent="0.2">
      <c r="G57295" s="889"/>
    </row>
    <row r="57296" spans="7:7" ht="10.5" customHeight="1" x14ac:dyDescent="0.2">
      <c r="G57296" s="889"/>
    </row>
    <row r="57297" spans="7:7" ht="10.5" customHeight="1" x14ac:dyDescent="0.2">
      <c r="G57297" s="889"/>
    </row>
    <row r="57298" spans="7:7" ht="10.5" customHeight="1" x14ac:dyDescent="0.2">
      <c r="G57298" s="889"/>
    </row>
    <row r="57299" spans="7:7" ht="10.5" customHeight="1" x14ac:dyDescent="0.2">
      <c r="G57299" s="889"/>
    </row>
    <row r="57300" spans="7:7" ht="10.5" customHeight="1" x14ac:dyDescent="0.2">
      <c r="G57300" s="889"/>
    </row>
    <row r="57301" spans="7:7" ht="10.5" customHeight="1" x14ac:dyDescent="0.2">
      <c r="G57301" s="889"/>
    </row>
    <row r="57302" spans="7:7" ht="10.5" customHeight="1" x14ac:dyDescent="0.2">
      <c r="G57302" s="889"/>
    </row>
    <row r="57303" spans="7:7" ht="10.5" customHeight="1" x14ac:dyDescent="0.2">
      <c r="G57303" s="889"/>
    </row>
    <row r="57304" spans="7:7" ht="10.5" customHeight="1" x14ac:dyDescent="0.2">
      <c r="G57304" s="889"/>
    </row>
    <row r="57305" spans="7:7" ht="10.5" customHeight="1" x14ac:dyDescent="0.2">
      <c r="G57305" s="889"/>
    </row>
    <row r="57306" spans="7:7" ht="10.5" customHeight="1" x14ac:dyDescent="0.2">
      <c r="G57306" s="889"/>
    </row>
    <row r="57307" spans="7:7" ht="10.5" customHeight="1" x14ac:dyDescent="0.2">
      <c r="G57307" s="889"/>
    </row>
    <row r="57308" spans="7:7" ht="10.5" customHeight="1" x14ac:dyDescent="0.2">
      <c r="G57308" s="889"/>
    </row>
    <row r="57309" spans="7:7" ht="10.5" customHeight="1" x14ac:dyDescent="0.2">
      <c r="G57309" s="889"/>
    </row>
    <row r="57310" spans="7:7" ht="10.5" customHeight="1" x14ac:dyDescent="0.2">
      <c r="G57310" s="889"/>
    </row>
    <row r="57311" spans="7:7" ht="10.5" customHeight="1" x14ac:dyDescent="0.2">
      <c r="G57311" s="889"/>
    </row>
    <row r="57312" spans="7:7" ht="10.5" customHeight="1" x14ac:dyDescent="0.2">
      <c r="G57312" s="889"/>
    </row>
    <row r="57313" spans="7:7" ht="10.5" customHeight="1" x14ac:dyDescent="0.2">
      <c r="G57313" s="889"/>
    </row>
    <row r="57314" spans="7:7" ht="10.5" customHeight="1" x14ac:dyDescent="0.2">
      <c r="G57314" s="889"/>
    </row>
    <row r="57315" spans="7:7" ht="10.5" customHeight="1" x14ac:dyDescent="0.2">
      <c r="G57315" s="889"/>
    </row>
    <row r="57316" spans="7:7" ht="10.5" customHeight="1" x14ac:dyDescent="0.2">
      <c r="G57316" s="889"/>
    </row>
    <row r="57317" spans="7:7" ht="10.5" customHeight="1" x14ac:dyDescent="0.2">
      <c r="G57317" s="889"/>
    </row>
    <row r="57318" spans="7:7" ht="10.5" customHeight="1" x14ac:dyDescent="0.2">
      <c r="G57318" s="889"/>
    </row>
    <row r="57319" spans="7:7" ht="10.5" customHeight="1" x14ac:dyDescent="0.2">
      <c r="G57319" s="889"/>
    </row>
    <row r="57320" spans="7:7" ht="10.5" customHeight="1" x14ac:dyDescent="0.2">
      <c r="G57320" s="889"/>
    </row>
    <row r="57321" spans="7:7" ht="10.5" customHeight="1" x14ac:dyDescent="0.2">
      <c r="G57321" s="889"/>
    </row>
    <row r="57322" spans="7:7" ht="10.5" customHeight="1" x14ac:dyDescent="0.2">
      <c r="G57322" s="889"/>
    </row>
    <row r="57323" spans="7:7" ht="10.5" customHeight="1" x14ac:dyDescent="0.2">
      <c r="G57323" s="889"/>
    </row>
    <row r="57324" spans="7:7" ht="10.5" customHeight="1" x14ac:dyDescent="0.2">
      <c r="G57324" s="889"/>
    </row>
    <row r="57325" spans="7:7" ht="10.5" customHeight="1" x14ac:dyDescent="0.2">
      <c r="G57325" s="889"/>
    </row>
    <row r="57326" spans="7:7" ht="10.5" customHeight="1" x14ac:dyDescent="0.2">
      <c r="G57326" s="889"/>
    </row>
    <row r="57327" spans="7:7" ht="10.5" customHeight="1" x14ac:dyDescent="0.2">
      <c r="G57327" s="889"/>
    </row>
    <row r="57328" spans="7:7" ht="10.5" customHeight="1" x14ac:dyDescent="0.2">
      <c r="G57328" s="889"/>
    </row>
    <row r="57329" spans="7:7" ht="10.5" customHeight="1" x14ac:dyDescent="0.2">
      <c r="G57329" s="889"/>
    </row>
    <row r="57330" spans="7:7" ht="10.5" customHeight="1" x14ac:dyDescent="0.2">
      <c r="G57330" s="889"/>
    </row>
    <row r="57331" spans="7:7" ht="10.5" customHeight="1" x14ac:dyDescent="0.2">
      <c r="G57331" s="889"/>
    </row>
    <row r="57332" spans="7:7" ht="10.5" customHeight="1" x14ac:dyDescent="0.2">
      <c r="G57332" s="889"/>
    </row>
    <row r="57333" spans="7:7" ht="10.5" customHeight="1" x14ac:dyDescent="0.2">
      <c r="G57333" s="889"/>
    </row>
    <row r="57334" spans="7:7" ht="10.5" customHeight="1" x14ac:dyDescent="0.2">
      <c r="G57334" s="889"/>
    </row>
    <row r="57335" spans="7:7" ht="10.5" customHeight="1" x14ac:dyDescent="0.2">
      <c r="G57335" s="889"/>
    </row>
    <row r="57336" spans="7:7" ht="10.5" customHeight="1" x14ac:dyDescent="0.2">
      <c r="G57336" s="889"/>
    </row>
    <row r="57337" spans="7:7" ht="10.5" customHeight="1" x14ac:dyDescent="0.2">
      <c r="G57337" s="889"/>
    </row>
    <row r="57338" spans="7:7" ht="10.5" customHeight="1" x14ac:dyDescent="0.2">
      <c r="G57338" s="889"/>
    </row>
    <row r="57339" spans="7:7" ht="10.5" customHeight="1" x14ac:dyDescent="0.2">
      <c r="G57339" s="889"/>
    </row>
    <row r="57340" spans="7:7" ht="10.5" customHeight="1" x14ac:dyDescent="0.2">
      <c r="G57340" s="889"/>
    </row>
    <row r="57341" spans="7:7" ht="10.5" customHeight="1" x14ac:dyDescent="0.2">
      <c r="G57341" s="889"/>
    </row>
    <row r="57342" spans="7:7" ht="10.5" customHeight="1" x14ac:dyDescent="0.2">
      <c r="G57342" s="889"/>
    </row>
    <row r="57343" spans="7:7" ht="10.5" customHeight="1" x14ac:dyDescent="0.2">
      <c r="G57343" s="889"/>
    </row>
    <row r="57344" spans="7:7" ht="10.5" customHeight="1" x14ac:dyDescent="0.2">
      <c r="G57344" s="889"/>
    </row>
    <row r="57345" spans="7:7" ht="10.5" customHeight="1" x14ac:dyDescent="0.2">
      <c r="G57345" s="889"/>
    </row>
    <row r="57346" spans="7:7" ht="10.5" customHeight="1" x14ac:dyDescent="0.2">
      <c r="G57346" s="889"/>
    </row>
    <row r="57347" spans="7:7" ht="10.5" customHeight="1" x14ac:dyDescent="0.2">
      <c r="G57347" s="889"/>
    </row>
    <row r="57348" spans="7:7" ht="10.5" customHeight="1" x14ac:dyDescent="0.2">
      <c r="G57348" s="889"/>
    </row>
    <row r="57349" spans="7:7" ht="10.5" customHeight="1" x14ac:dyDescent="0.2">
      <c r="G57349" s="889"/>
    </row>
    <row r="57350" spans="7:7" ht="10.5" customHeight="1" x14ac:dyDescent="0.2">
      <c r="G57350" s="889"/>
    </row>
    <row r="57351" spans="7:7" ht="10.5" customHeight="1" x14ac:dyDescent="0.2">
      <c r="G57351" s="889"/>
    </row>
    <row r="57352" spans="7:7" ht="10.5" customHeight="1" x14ac:dyDescent="0.2">
      <c r="G57352" s="889"/>
    </row>
    <row r="57353" spans="7:7" ht="10.5" customHeight="1" x14ac:dyDescent="0.2">
      <c r="G57353" s="889"/>
    </row>
    <row r="57354" spans="7:7" ht="10.5" customHeight="1" x14ac:dyDescent="0.2">
      <c r="G57354" s="889"/>
    </row>
    <row r="57355" spans="7:7" ht="10.5" customHeight="1" x14ac:dyDescent="0.2">
      <c r="G57355" s="889"/>
    </row>
    <row r="57356" spans="7:7" ht="10.5" customHeight="1" x14ac:dyDescent="0.2">
      <c r="G57356" s="889"/>
    </row>
    <row r="57357" spans="7:7" ht="10.5" customHeight="1" x14ac:dyDescent="0.2">
      <c r="G57357" s="889"/>
    </row>
    <row r="57358" spans="7:7" ht="10.5" customHeight="1" x14ac:dyDescent="0.2">
      <c r="G57358" s="889"/>
    </row>
    <row r="57359" spans="7:7" ht="10.5" customHeight="1" x14ac:dyDescent="0.2">
      <c r="G57359" s="889"/>
    </row>
    <row r="57360" spans="7:7" ht="10.5" customHeight="1" x14ac:dyDescent="0.2">
      <c r="G57360" s="889"/>
    </row>
    <row r="57361" spans="7:7" ht="10.5" customHeight="1" x14ac:dyDescent="0.2">
      <c r="G57361" s="889"/>
    </row>
    <row r="57362" spans="7:7" ht="10.5" customHeight="1" x14ac:dyDescent="0.2">
      <c r="G57362" s="889"/>
    </row>
    <row r="57363" spans="7:7" ht="10.5" customHeight="1" x14ac:dyDescent="0.2">
      <c r="G57363" s="889"/>
    </row>
    <row r="57364" spans="7:7" ht="10.5" customHeight="1" x14ac:dyDescent="0.2">
      <c r="G57364" s="889"/>
    </row>
    <row r="57365" spans="7:7" ht="10.5" customHeight="1" x14ac:dyDescent="0.2">
      <c r="G57365" s="889"/>
    </row>
    <row r="57366" spans="7:7" ht="10.5" customHeight="1" x14ac:dyDescent="0.2">
      <c r="G57366" s="889"/>
    </row>
    <row r="57367" spans="7:7" ht="10.5" customHeight="1" x14ac:dyDescent="0.2">
      <c r="G57367" s="889"/>
    </row>
    <row r="57368" spans="7:7" ht="10.5" customHeight="1" x14ac:dyDescent="0.2">
      <c r="G57368" s="889"/>
    </row>
    <row r="57369" spans="7:7" ht="10.5" customHeight="1" x14ac:dyDescent="0.2">
      <c r="G57369" s="889"/>
    </row>
    <row r="57370" spans="7:7" ht="10.5" customHeight="1" x14ac:dyDescent="0.2">
      <c r="G57370" s="889"/>
    </row>
    <row r="57371" spans="7:7" ht="10.5" customHeight="1" x14ac:dyDescent="0.2">
      <c r="G57371" s="889"/>
    </row>
    <row r="57372" spans="7:7" ht="10.5" customHeight="1" x14ac:dyDescent="0.2">
      <c r="G57372" s="889"/>
    </row>
    <row r="57373" spans="7:7" ht="10.5" customHeight="1" x14ac:dyDescent="0.2">
      <c r="G57373" s="889"/>
    </row>
    <row r="57374" spans="7:7" ht="10.5" customHeight="1" x14ac:dyDescent="0.2">
      <c r="G57374" s="889"/>
    </row>
    <row r="57375" spans="7:7" ht="10.5" customHeight="1" x14ac:dyDescent="0.2">
      <c r="G57375" s="889"/>
    </row>
    <row r="57376" spans="7:7" ht="10.5" customHeight="1" x14ac:dyDescent="0.2">
      <c r="G57376" s="889"/>
    </row>
    <row r="57377" spans="7:7" ht="10.5" customHeight="1" x14ac:dyDescent="0.2">
      <c r="G57377" s="889"/>
    </row>
    <row r="57378" spans="7:7" ht="10.5" customHeight="1" x14ac:dyDescent="0.2">
      <c r="G57378" s="889"/>
    </row>
    <row r="57379" spans="7:7" ht="10.5" customHeight="1" x14ac:dyDescent="0.2">
      <c r="G57379" s="889"/>
    </row>
    <row r="57380" spans="7:7" ht="10.5" customHeight="1" x14ac:dyDescent="0.2">
      <c r="G57380" s="889"/>
    </row>
    <row r="57381" spans="7:7" ht="10.5" customHeight="1" x14ac:dyDescent="0.2">
      <c r="G57381" s="889"/>
    </row>
    <row r="57382" spans="7:7" ht="10.5" customHeight="1" x14ac:dyDescent="0.2">
      <c r="G57382" s="889"/>
    </row>
    <row r="57383" spans="7:7" ht="10.5" customHeight="1" x14ac:dyDescent="0.2">
      <c r="G57383" s="889"/>
    </row>
    <row r="57384" spans="7:7" ht="10.5" customHeight="1" x14ac:dyDescent="0.2">
      <c r="G57384" s="889"/>
    </row>
    <row r="57385" spans="7:7" ht="10.5" customHeight="1" x14ac:dyDescent="0.2">
      <c r="G57385" s="889"/>
    </row>
    <row r="57386" spans="7:7" ht="10.5" customHeight="1" x14ac:dyDescent="0.2">
      <c r="G57386" s="889"/>
    </row>
    <row r="57387" spans="7:7" ht="10.5" customHeight="1" x14ac:dyDescent="0.2">
      <c r="G57387" s="889"/>
    </row>
    <row r="57388" spans="7:7" ht="10.5" customHeight="1" x14ac:dyDescent="0.2">
      <c r="G57388" s="889"/>
    </row>
    <row r="57389" spans="7:7" ht="10.5" customHeight="1" x14ac:dyDescent="0.2">
      <c r="G57389" s="889"/>
    </row>
    <row r="57390" spans="7:7" ht="10.5" customHeight="1" x14ac:dyDescent="0.2">
      <c r="G57390" s="889"/>
    </row>
    <row r="57391" spans="7:7" ht="10.5" customHeight="1" x14ac:dyDescent="0.2">
      <c r="G57391" s="889"/>
    </row>
    <row r="57392" spans="7:7" ht="10.5" customHeight="1" x14ac:dyDescent="0.2">
      <c r="G57392" s="889"/>
    </row>
    <row r="57393" spans="7:7" ht="10.5" customHeight="1" x14ac:dyDescent="0.2">
      <c r="G57393" s="889"/>
    </row>
    <row r="57394" spans="7:7" ht="10.5" customHeight="1" x14ac:dyDescent="0.2">
      <c r="G57394" s="889"/>
    </row>
    <row r="57395" spans="7:7" ht="10.5" customHeight="1" x14ac:dyDescent="0.2">
      <c r="G57395" s="889"/>
    </row>
    <row r="57396" spans="7:7" ht="10.5" customHeight="1" x14ac:dyDescent="0.2">
      <c r="G57396" s="889"/>
    </row>
    <row r="57397" spans="7:7" ht="10.5" customHeight="1" x14ac:dyDescent="0.2">
      <c r="G57397" s="889"/>
    </row>
    <row r="57398" spans="7:7" ht="10.5" customHeight="1" x14ac:dyDescent="0.2">
      <c r="G57398" s="889"/>
    </row>
    <row r="57399" spans="7:7" ht="10.5" customHeight="1" x14ac:dyDescent="0.2">
      <c r="G57399" s="889"/>
    </row>
    <row r="57400" spans="7:7" ht="10.5" customHeight="1" x14ac:dyDescent="0.2">
      <c r="G57400" s="889"/>
    </row>
    <row r="57401" spans="7:7" ht="10.5" customHeight="1" x14ac:dyDescent="0.2">
      <c r="G57401" s="889"/>
    </row>
    <row r="57402" spans="7:7" ht="10.5" customHeight="1" x14ac:dyDescent="0.2">
      <c r="G57402" s="889"/>
    </row>
    <row r="57403" spans="7:7" ht="10.5" customHeight="1" x14ac:dyDescent="0.2">
      <c r="G57403" s="889"/>
    </row>
    <row r="57404" spans="7:7" ht="10.5" customHeight="1" x14ac:dyDescent="0.2">
      <c r="G57404" s="889"/>
    </row>
    <row r="57405" spans="7:7" ht="10.5" customHeight="1" x14ac:dyDescent="0.2">
      <c r="G57405" s="889"/>
    </row>
    <row r="57406" spans="7:7" ht="10.5" customHeight="1" x14ac:dyDescent="0.2">
      <c r="G57406" s="889"/>
    </row>
    <row r="57407" spans="7:7" ht="10.5" customHeight="1" x14ac:dyDescent="0.2">
      <c r="G57407" s="889"/>
    </row>
    <row r="57408" spans="7:7" ht="10.5" customHeight="1" x14ac:dyDescent="0.2">
      <c r="G57408" s="889"/>
    </row>
    <row r="57409" spans="7:7" ht="10.5" customHeight="1" x14ac:dyDescent="0.2">
      <c r="G57409" s="889"/>
    </row>
    <row r="57410" spans="7:7" ht="10.5" customHeight="1" x14ac:dyDescent="0.2">
      <c r="G57410" s="889"/>
    </row>
    <row r="57411" spans="7:7" ht="10.5" customHeight="1" x14ac:dyDescent="0.2">
      <c r="G57411" s="889"/>
    </row>
    <row r="57412" spans="7:7" ht="10.5" customHeight="1" x14ac:dyDescent="0.2">
      <c r="G57412" s="889"/>
    </row>
    <row r="57413" spans="7:7" ht="10.5" customHeight="1" x14ac:dyDescent="0.2">
      <c r="G57413" s="889"/>
    </row>
    <row r="57414" spans="7:7" ht="10.5" customHeight="1" x14ac:dyDescent="0.2">
      <c r="G57414" s="889"/>
    </row>
    <row r="57415" spans="7:7" ht="10.5" customHeight="1" x14ac:dyDescent="0.2">
      <c r="G57415" s="889"/>
    </row>
    <row r="57416" spans="7:7" ht="10.5" customHeight="1" x14ac:dyDescent="0.2">
      <c r="G57416" s="889"/>
    </row>
    <row r="57417" spans="7:7" ht="10.5" customHeight="1" x14ac:dyDescent="0.2">
      <c r="G57417" s="889"/>
    </row>
    <row r="57418" spans="7:7" ht="10.5" customHeight="1" x14ac:dyDescent="0.2">
      <c r="G57418" s="889"/>
    </row>
    <row r="57419" spans="7:7" ht="10.5" customHeight="1" x14ac:dyDescent="0.2">
      <c r="G57419" s="889"/>
    </row>
    <row r="57420" spans="7:7" ht="10.5" customHeight="1" x14ac:dyDescent="0.2">
      <c r="G57420" s="889"/>
    </row>
    <row r="57421" spans="7:7" ht="10.5" customHeight="1" x14ac:dyDescent="0.2">
      <c r="G57421" s="889"/>
    </row>
    <row r="57422" spans="7:7" ht="10.5" customHeight="1" x14ac:dyDescent="0.2">
      <c r="G57422" s="889"/>
    </row>
    <row r="57423" spans="7:7" ht="10.5" customHeight="1" x14ac:dyDescent="0.2">
      <c r="G57423" s="889"/>
    </row>
    <row r="57424" spans="7:7" ht="10.5" customHeight="1" x14ac:dyDescent="0.2">
      <c r="G57424" s="889"/>
    </row>
    <row r="57425" spans="7:7" ht="10.5" customHeight="1" x14ac:dyDescent="0.2">
      <c r="G57425" s="889"/>
    </row>
    <row r="57426" spans="7:7" ht="10.5" customHeight="1" x14ac:dyDescent="0.2">
      <c r="G57426" s="889"/>
    </row>
    <row r="57427" spans="7:7" ht="10.5" customHeight="1" x14ac:dyDescent="0.2">
      <c r="G57427" s="889"/>
    </row>
    <row r="57428" spans="7:7" ht="10.5" customHeight="1" x14ac:dyDescent="0.2">
      <c r="G57428" s="889"/>
    </row>
    <row r="57429" spans="7:7" ht="10.5" customHeight="1" x14ac:dyDescent="0.2">
      <c r="G57429" s="889"/>
    </row>
    <row r="57430" spans="7:7" ht="10.5" customHeight="1" x14ac:dyDescent="0.2">
      <c r="G57430" s="889"/>
    </row>
    <row r="57431" spans="7:7" ht="10.5" customHeight="1" x14ac:dyDescent="0.2">
      <c r="G57431" s="889"/>
    </row>
    <row r="57432" spans="7:7" ht="10.5" customHeight="1" x14ac:dyDescent="0.2">
      <c r="G57432" s="889"/>
    </row>
    <row r="57433" spans="7:7" ht="10.5" customHeight="1" x14ac:dyDescent="0.2">
      <c r="G57433" s="889"/>
    </row>
    <row r="57434" spans="7:7" ht="10.5" customHeight="1" x14ac:dyDescent="0.2">
      <c r="G57434" s="889"/>
    </row>
    <row r="57435" spans="7:7" ht="10.5" customHeight="1" x14ac:dyDescent="0.2">
      <c r="G57435" s="889"/>
    </row>
    <row r="57436" spans="7:7" ht="10.5" customHeight="1" x14ac:dyDescent="0.2">
      <c r="G57436" s="889"/>
    </row>
    <row r="57437" spans="7:7" ht="10.5" customHeight="1" x14ac:dyDescent="0.2">
      <c r="G57437" s="889"/>
    </row>
    <row r="57438" spans="7:7" ht="10.5" customHeight="1" x14ac:dyDescent="0.2">
      <c r="G57438" s="889"/>
    </row>
    <row r="57439" spans="7:7" ht="10.5" customHeight="1" x14ac:dyDescent="0.2">
      <c r="G57439" s="889"/>
    </row>
    <row r="57440" spans="7:7" ht="10.5" customHeight="1" x14ac:dyDescent="0.2">
      <c r="G57440" s="889"/>
    </row>
    <row r="57441" spans="7:7" ht="10.5" customHeight="1" x14ac:dyDescent="0.2">
      <c r="G57441" s="889"/>
    </row>
    <row r="57442" spans="7:7" ht="10.5" customHeight="1" x14ac:dyDescent="0.2">
      <c r="G57442" s="889"/>
    </row>
    <row r="57443" spans="7:7" ht="10.5" customHeight="1" x14ac:dyDescent="0.2">
      <c r="G57443" s="889"/>
    </row>
    <row r="57444" spans="7:7" ht="10.5" customHeight="1" x14ac:dyDescent="0.2">
      <c r="G57444" s="889"/>
    </row>
    <row r="57445" spans="7:7" ht="10.5" customHeight="1" x14ac:dyDescent="0.2">
      <c r="G57445" s="889"/>
    </row>
    <row r="57446" spans="7:7" ht="10.5" customHeight="1" x14ac:dyDescent="0.2">
      <c r="G57446" s="889"/>
    </row>
    <row r="57447" spans="7:7" ht="10.5" customHeight="1" x14ac:dyDescent="0.2">
      <c r="G57447" s="889"/>
    </row>
    <row r="57448" spans="7:7" ht="10.5" customHeight="1" x14ac:dyDescent="0.2">
      <c r="G57448" s="889"/>
    </row>
    <row r="57449" spans="7:7" ht="10.5" customHeight="1" x14ac:dyDescent="0.2">
      <c r="G57449" s="889"/>
    </row>
    <row r="57450" spans="7:7" ht="10.5" customHeight="1" x14ac:dyDescent="0.2">
      <c r="G57450" s="889"/>
    </row>
    <row r="57451" spans="7:7" ht="10.5" customHeight="1" x14ac:dyDescent="0.2">
      <c r="G57451" s="889"/>
    </row>
    <row r="57452" spans="7:7" ht="10.5" customHeight="1" x14ac:dyDescent="0.2">
      <c r="G57452" s="889"/>
    </row>
    <row r="57453" spans="7:7" ht="10.5" customHeight="1" x14ac:dyDescent="0.2">
      <c r="G57453" s="889"/>
    </row>
    <row r="57454" spans="7:7" ht="10.5" customHeight="1" x14ac:dyDescent="0.2">
      <c r="G57454" s="889"/>
    </row>
    <row r="57455" spans="7:7" ht="10.5" customHeight="1" x14ac:dyDescent="0.2">
      <c r="G57455" s="889"/>
    </row>
    <row r="57456" spans="7:7" ht="10.5" customHeight="1" x14ac:dyDescent="0.2">
      <c r="G57456" s="889"/>
    </row>
    <row r="57457" spans="7:7" ht="10.5" customHeight="1" x14ac:dyDescent="0.2">
      <c r="G57457" s="889"/>
    </row>
    <row r="57458" spans="7:7" ht="10.5" customHeight="1" x14ac:dyDescent="0.2">
      <c r="G57458" s="889"/>
    </row>
    <row r="57459" spans="7:7" ht="10.5" customHeight="1" x14ac:dyDescent="0.2">
      <c r="G57459" s="889"/>
    </row>
    <row r="57460" spans="7:7" ht="10.5" customHeight="1" x14ac:dyDescent="0.2">
      <c r="G57460" s="889"/>
    </row>
    <row r="57461" spans="7:7" ht="10.5" customHeight="1" x14ac:dyDescent="0.2">
      <c r="G57461" s="889"/>
    </row>
    <row r="57462" spans="7:7" ht="10.5" customHeight="1" x14ac:dyDescent="0.2">
      <c r="G57462" s="889"/>
    </row>
    <row r="57463" spans="7:7" ht="10.5" customHeight="1" x14ac:dyDescent="0.2">
      <c r="G57463" s="889"/>
    </row>
    <row r="57464" spans="7:7" ht="10.5" customHeight="1" x14ac:dyDescent="0.2">
      <c r="G57464" s="889"/>
    </row>
    <row r="57465" spans="7:7" ht="10.5" customHeight="1" x14ac:dyDescent="0.2">
      <c r="G57465" s="889"/>
    </row>
    <row r="57466" spans="7:7" ht="10.5" customHeight="1" x14ac:dyDescent="0.2">
      <c r="G57466" s="889"/>
    </row>
    <row r="57467" spans="7:7" ht="10.5" customHeight="1" x14ac:dyDescent="0.2">
      <c r="G57467" s="889"/>
    </row>
    <row r="57468" spans="7:7" ht="10.5" customHeight="1" x14ac:dyDescent="0.2">
      <c r="G57468" s="889"/>
    </row>
    <row r="57469" spans="7:7" ht="10.5" customHeight="1" x14ac:dyDescent="0.2">
      <c r="G57469" s="889"/>
    </row>
    <row r="57470" spans="7:7" ht="10.5" customHeight="1" x14ac:dyDescent="0.2">
      <c r="G57470" s="889"/>
    </row>
    <row r="57471" spans="7:7" ht="10.5" customHeight="1" x14ac:dyDescent="0.2">
      <c r="G57471" s="889"/>
    </row>
    <row r="57472" spans="7:7" ht="10.5" customHeight="1" x14ac:dyDescent="0.2">
      <c r="G57472" s="889"/>
    </row>
    <row r="57473" spans="7:7" ht="10.5" customHeight="1" x14ac:dyDescent="0.2">
      <c r="G57473" s="889"/>
    </row>
    <row r="57474" spans="7:7" ht="10.5" customHeight="1" x14ac:dyDescent="0.2">
      <c r="G57474" s="889"/>
    </row>
    <row r="57475" spans="7:7" ht="10.5" customHeight="1" x14ac:dyDescent="0.2">
      <c r="G57475" s="889"/>
    </row>
    <row r="57476" spans="7:7" ht="10.5" customHeight="1" x14ac:dyDescent="0.2">
      <c r="G57476" s="889"/>
    </row>
    <row r="57477" spans="7:7" ht="10.5" customHeight="1" x14ac:dyDescent="0.2">
      <c r="G57477" s="889"/>
    </row>
    <row r="57478" spans="7:7" ht="10.5" customHeight="1" x14ac:dyDescent="0.2">
      <c r="G57478" s="889"/>
    </row>
    <row r="57479" spans="7:7" ht="10.5" customHeight="1" x14ac:dyDescent="0.2">
      <c r="G57479" s="889"/>
    </row>
    <row r="57480" spans="7:7" ht="10.5" customHeight="1" x14ac:dyDescent="0.2">
      <c r="G57480" s="889"/>
    </row>
    <row r="57481" spans="7:7" ht="10.5" customHeight="1" x14ac:dyDescent="0.2">
      <c r="G57481" s="889"/>
    </row>
    <row r="57482" spans="7:7" ht="10.5" customHeight="1" x14ac:dyDescent="0.2">
      <c r="G57482" s="889"/>
    </row>
    <row r="57483" spans="7:7" ht="10.5" customHeight="1" x14ac:dyDescent="0.2">
      <c r="G57483" s="889"/>
    </row>
    <row r="57484" spans="7:7" ht="10.5" customHeight="1" x14ac:dyDescent="0.2">
      <c r="G57484" s="889"/>
    </row>
    <row r="57485" spans="7:7" ht="10.5" customHeight="1" x14ac:dyDescent="0.2">
      <c r="G57485" s="889"/>
    </row>
    <row r="57486" spans="7:7" ht="10.5" customHeight="1" x14ac:dyDescent="0.2">
      <c r="G57486" s="889"/>
    </row>
    <row r="57487" spans="7:7" ht="10.5" customHeight="1" x14ac:dyDescent="0.2">
      <c r="G57487" s="889"/>
    </row>
    <row r="57488" spans="7:7" ht="10.5" customHeight="1" x14ac:dyDescent="0.2">
      <c r="G57488" s="889"/>
    </row>
    <row r="57489" spans="7:7" ht="10.5" customHeight="1" x14ac:dyDescent="0.2">
      <c r="G57489" s="889"/>
    </row>
    <row r="57490" spans="7:7" ht="10.5" customHeight="1" x14ac:dyDescent="0.2">
      <c r="G57490" s="889"/>
    </row>
    <row r="57491" spans="7:7" ht="10.5" customHeight="1" x14ac:dyDescent="0.2">
      <c r="G57491" s="889"/>
    </row>
    <row r="57492" spans="7:7" ht="10.5" customHeight="1" x14ac:dyDescent="0.2">
      <c r="G57492" s="889"/>
    </row>
    <row r="57493" spans="7:7" ht="10.5" customHeight="1" x14ac:dyDescent="0.2">
      <c r="G57493" s="889"/>
    </row>
    <row r="57494" spans="7:7" ht="10.5" customHeight="1" x14ac:dyDescent="0.2">
      <c r="G57494" s="889"/>
    </row>
    <row r="57495" spans="7:7" ht="10.5" customHeight="1" x14ac:dyDescent="0.2">
      <c r="G57495" s="889"/>
    </row>
    <row r="57496" spans="7:7" ht="10.5" customHeight="1" x14ac:dyDescent="0.2">
      <c r="G57496" s="889"/>
    </row>
    <row r="57497" spans="7:7" ht="10.5" customHeight="1" x14ac:dyDescent="0.2">
      <c r="G57497" s="889"/>
    </row>
    <row r="57498" spans="7:7" ht="10.5" customHeight="1" x14ac:dyDescent="0.2">
      <c r="G57498" s="889"/>
    </row>
    <row r="57499" spans="7:7" ht="10.5" customHeight="1" x14ac:dyDescent="0.2">
      <c r="G57499" s="889"/>
    </row>
    <row r="57500" spans="7:7" ht="10.5" customHeight="1" x14ac:dyDescent="0.2">
      <c r="G57500" s="889"/>
    </row>
    <row r="57501" spans="7:7" ht="10.5" customHeight="1" x14ac:dyDescent="0.2">
      <c r="G57501" s="889"/>
    </row>
    <row r="57502" spans="7:7" ht="10.5" customHeight="1" x14ac:dyDescent="0.2">
      <c r="G57502" s="889"/>
    </row>
    <row r="57503" spans="7:7" ht="10.5" customHeight="1" x14ac:dyDescent="0.2">
      <c r="G57503" s="889"/>
    </row>
    <row r="57504" spans="7:7" ht="10.5" customHeight="1" x14ac:dyDescent="0.2">
      <c r="G57504" s="889"/>
    </row>
    <row r="57505" spans="7:7" ht="10.5" customHeight="1" x14ac:dyDescent="0.2">
      <c r="G57505" s="889"/>
    </row>
    <row r="57506" spans="7:7" ht="10.5" customHeight="1" x14ac:dyDescent="0.2">
      <c r="G57506" s="889"/>
    </row>
    <row r="57507" spans="7:7" ht="10.5" customHeight="1" x14ac:dyDescent="0.2">
      <c r="G57507" s="889"/>
    </row>
    <row r="57508" spans="7:7" ht="10.5" customHeight="1" x14ac:dyDescent="0.2">
      <c r="G57508" s="889"/>
    </row>
    <row r="57509" spans="7:7" ht="10.5" customHeight="1" x14ac:dyDescent="0.2">
      <c r="G57509" s="889"/>
    </row>
    <row r="57510" spans="7:7" ht="10.5" customHeight="1" x14ac:dyDescent="0.2">
      <c r="G57510" s="889"/>
    </row>
    <row r="57511" spans="7:7" ht="10.5" customHeight="1" x14ac:dyDescent="0.2">
      <c r="G57511" s="889"/>
    </row>
    <row r="57512" spans="7:7" ht="10.5" customHeight="1" x14ac:dyDescent="0.2">
      <c r="G57512" s="889"/>
    </row>
    <row r="57513" spans="7:7" ht="10.5" customHeight="1" x14ac:dyDescent="0.2">
      <c r="G57513" s="889"/>
    </row>
    <row r="57514" spans="7:7" ht="10.5" customHeight="1" x14ac:dyDescent="0.2">
      <c r="G57514" s="889"/>
    </row>
    <row r="57515" spans="7:7" ht="10.5" customHeight="1" x14ac:dyDescent="0.2">
      <c r="G57515" s="889"/>
    </row>
    <row r="57516" spans="7:7" ht="10.5" customHeight="1" x14ac:dyDescent="0.2">
      <c r="G57516" s="889"/>
    </row>
    <row r="57517" spans="7:7" ht="10.5" customHeight="1" x14ac:dyDescent="0.2">
      <c r="G57517" s="889"/>
    </row>
    <row r="57518" spans="7:7" ht="10.5" customHeight="1" x14ac:dyDescent="0.2">
      <c r="G57518" s="889"/>
    </row>
    <row r="57519" spans="7:7" ht="10.5" customHeight="1" x14ac:dyDescent="0.2">
      <c r="G57519" s="889"/>
    </row>
    <row r="57520" spans="7:7" ht="10.5" customHeight="1" x14ac:dyDescent="0.2">
      <c r="G57520" s="889"/>
    </row>
    <row r="57521" spans="7:7" ht="10.5" customHeight="1" x14ac:dyDescent="0.2">
      <c r="G57521" s="889"/>
    </row>
    <row r="57522" spans="7:7" ht="10.5" customHeight="1" x14ac:dyDescent="0.2">
      <c r="G57522" s="889"/>
    </row>
    <row r="57523" spans="7:7" ht="10.5" customHeight="1" x14ac:dyDescent="0.2">
      <c r="G57523" s="889"/>
    </row>
    <row r="57524" spans="7:7" ht="10.5" customHeight="1" x14ac:dyDescent="0.2">
      <c r="G57524" s="889"/>
    </row>
    <row r="57525" spans="7:7" ht="10.5" customHeight="1" x14ac:dyDescent="0.2">
      <c r="G57525" s="889"/>
    </row>
    <row r="57526" spans="7:7" ht="10.5" customHeight="1" x14ac:dyDescent="0.2">
      <c r="G57526" s="889"/>
    </row>
    <row r="57527" spans="7:7" ht="10.5" customHeight="1" x14ac:dyDescent="0.2">
      <c r="G57527" s="889"/>
    </row>
    <row r="57528" spans="7:7" ht="10.5" customHeight="1" x14ac:dyDescent="0.2">
      <c r="G57528" s="889"/>
    </row>
    <row r="57529" spans="7:7" ht="10.5" customHeight="1" x14ac:dyDescent="0.2">
      <c r="G57529" s="889"/>
    </row>
    <row r="57530" spans="7:7" ht="10.5" customHeight="1" x14ac:dyDescent="0.2">
      <c r="G57530" s="889"/>
    </row>
    <row r="57531" spans="7:7" ht="10.5" customHeight="1" x14ac:dyDescent="0.2">
      <c r="G57531" s="889"/>
    </row>
    <row r="57532" spans="7:7" ht="10.5" customHeight="1" x14ac:dyDescent="0.2">
      <c r="G57532" s="889"/>
    </row>
    <row r="57533" spans="7:7" ht="10.5" customHeight="1" x14ac:dyDescent="0.2">
      <c r="G57533" s="889"/>
    </row>
    <row r="57534" spans="7:7" ht="10.5" customHeight="1" x14ac:dyDescent="0.2">
      <c r="G57534" s="889"/>
    </row>
    <row r="57535" spans="7:7" ht="10.5" customHeight="1" x14ac:dyDescent="0.2">
      <c r="G57535" s="889"/>
    </row>
    <row r="57536" spans="7:7" ht="10.5" customHeight="1" x14ac:dyDescent="0.2">
      <c r="G57536" s="889"/>
    </row>
    <row r="57537" spans="7:7" ht="10.5" customHeight="1" x14ac:dyDescent="0.2">
      <c r="G57537" s="889"/>
    </row>
    <row r="57538" spans="7:7" ht="10.5" customHeight="1" x14ac:dyDescent="0.2">
      <c r="G57538" s="889"/>
    </row>
    <row r="57539" spans="7:7" ht="10.5" customHeight="1" x14ac:dyDescent="0.2">
      <c r="G57539" s="889"/>
    </row>
    <row r="57540" spans="7:7" ht="10.5" customHeight="1" x14ac:dyDescent="0.2">
      <c r="G57540" s="889"/>
    </row>
    <row r="57541" spans="7:7" ht="10.5" customHeight="1" x14ac:dyDescent="0.2">
      <c r="G57541" s="889"/>
    </row>
    <row r="57542" spans="7:7" ht="10.5" customHeight="1" x14ac:dyDescent="0.2">
      <c r="G57542" s="889"/>
    </row>
    <row r="57543" spans="7:7" ht="10.5" customHeight="1" x14ac:dyDescent="0.2">
      <c r="G57543" s="889"/>
    </row>
    <row r="57544" spans="7:7" ht="10.5" customHeight="1" x14ac:dyDescent="0.2">
      <c r="G57544" s="889"/>
    </row>
    <row r="57545" spans="7:7" ht="10.5" customHeight="1" x14ac:dyDescent="0.2">
      <c r="G57545" s="889"/>
    </row>
    <row r="57546" spans="7:7" ht="10.5" customHeight="1" x14ac:dyDescent="0.2">
      <c r="G57546" s="889"/>
    </row>
    <row r="57547" spans="7:7" ht="10.5" customHeight="1" x14ac:dyDescent="0.2">
      <c r="G57547" s="889"/>
    </row>
    <row r="57548" spans="7:7" ht="10.5" customHeight="1" x14ac:dyDescent="0.2">
      <c r="G57548" s="889"/>
    </row>
    <row r="57549" spans="7:7" ht="10.5" customHeight="1" x14ac:dyDescent="0.2">
      <c r="G57549" s="889"/>
    </row>
    <row r="57550" spans="7:7" ht="10.5" customHeight="1" x14ac:dyDescent="0.2">
      <c r="G57550" s="889"/>
    </row>
    <row r="57551" spans="7:7" ht="10.5" customHeight="1" x14ac:dyDescent="0.2">
      <c r="G57551" s="889"/>
    </row>
    <row r="57552" spans="7:7" ht="10.5" customHeight="1" x14ac:dyDescent="0.2">
      <c r="G57552" s="889"/>
    </row>
    <row r="57553" spans="7:7" ht="10.5" customHeight="1" x14ac:dyDescent="0.2">
      <c r="G57553" s="889"/>
    </row>
    <row r="57554" spans="7:7" ht="10.5" customHeight="1" x14ac:dyDescent="0.2">
      <c r="G57554" s="889"/>
    </row>
    <row r="57555" spans="7:7" ht="10.5" customHeight="1" x14ac:dyDescent="0.2">
      <c r="G57555" s="889"/>
    </row>
    <row r="57556" spans="7:7" ht="10.5" customHeight="1" x14ac:dyDescent="0.2">
      <c r="G57556" s="889"/>
    </row>
    <row r="57557" spans="7:7" ht="10.5" customHeight="1" x14ac:dyDescent="0.2">
      <c r="G57557" s="889"/>
    </row>
    <row r="57558" spans="7:7" ht="10.5" customHeight="1" x14ac:dyDescent="0.2">
      <c r="G57558" s="889"/>
    </row>
    <row r="57559" spans="7:7" ht="10.5" customHeight="1" x14ac:dyDescent="0.2">
      <c r="G57559" s="889"/>
    </row>
    <row r="57560" spans="7:7" ht="10.5" customHeight="1" x14ac:dyDescent="0.2">
      <c r="G57560" s="889"/>
    </row>
    <row r="57561" spans="7:7" ht="10.5" customHeight="1" x14ac:dyDescent="0.2">
      <c r="G57561" s="889"/>
    </row>
    <row r="57562" spans="7:7" ht="10.5" customHeight="1" x14ac:dyDescent="0.2">
      <c r="G57562" s="889"/>
    </row>
    <row r="57563" spans="7:7" ht="10.5" customHeight="1" x14ac:dyDescent="0.2">
      <c r="G57563" s="889"/>
    </row>
    <row r="57564" spans="7:7" ht="10.5" customHeight="1" x14ac:dyDescent="0.2">
      <c r="G57564" s="889"/>
    </row>
    <row r="57565" spans="7:7" ht="10.5" customHeight="1" x14ac:dyDescent="0.2">
      <c r="G57565" s="889"/>
    </row>
    <row r="57566" spans="7:7" ht="10.5" customHeight="1" x14ac:dyDescent="0.2">
      <c r="G57566" s="889"/>
    </row>
    <row r="57567" spans="7:7" ht="10.5" customHeight="1" x14ac:dyDescent="0.2">
      <c r="G57567" s="889"/>
    </row>
    <row r="57568" spans="7:7" ht="10.5" customHeight="1" x14ac:dyDescent="0.2">
      <c r="G57568" s="889"/>
    </row>
    <row r="57569" spans="7:7" ht="10.5" customHeight="1" x14ac:dyDescent="0.2">
      <c r="G57569" s="889"/>
    </row>
    <row r="57570" spans="7:7" ht="10.5" customHeight="1" x14ac:dyDescent="0.2">
      <c r="G57570" s="889"/>
    </row>
    <row r="57571" spans="7:7" ht="10.5" customHeight="1" x14ac:dyDescent="0.2">
      <c r="G57571" s="889"/>
    </row>
    <row r="57572" spans="7:7" ht="10.5" customHeight="1" x14ac:dyDescent="0.2">
      <c r="G57572" s="889"/>
    </row>
    <row r="57573" spans="7:7" ht="10.5" customHeight="1" x14ac:dyDescent="0.2">
      <c r="G57573" s="889"/>
    </row>
    <row r="57574" spans="7:7" ht="10.5" customHeight="1" x14ac:dyDescent="0.2">
      <c r="G57574" s="889"/>
    </row>
    <row r="57575" spans="7:7" ht="10.5" customHeight="1" x14ac:dyDescent="0.2">
      <c r="G57575" s="889"/>
    </row>
    <row r="57576" spans="7:7" ht="10.5" customHeight="1" x14ac:dyDescent="0.2">
      <c r="G57576" s="889"/>
    </row>
    <row r="57577" spans="7:7" ht="10.5" customHeight="1" x14ac:dyDescent="0.2">
      <c r="G57577" s="889"/>
    </row>
    <row r="57578" spans="7:7" ht="10.5" customHeight="1" x14ac:dyDescent="0.2">
      <c r="G57578" s="889"/>
    </row>
    <row r="57579" spans="7:7" ht="10.5" customHeight="1" x14ac:dyDescent="0.2">
      <c r="G57579" s="889"/>
    </row>
    <row r="57580" spans="7:7" ht="10.5" customHeight="1" x14ac:dyDescent="0.2">
      <c r="G57580" s="889"/>
    </row>
    <row r="57581" spans="7:7" ht="10.5" customHeight="1" x14ac:dyDescent="0.2">
      <c r="G57581" s="889"/>
    </row>
    <row r="57582" spans="7:7" ht="10.5" customHeight="1" x14ac:dyDescent="0.2">
      <c r="G57582" s="889"/>
    </row>
    <row r="57583" spans="7:7" ht="10.5" customHeight="1" x14ac:dyDescent="0.2">
      <c r="G57583" s="889"/>
    </row>
    <row r="57584" spans="7:7" ht="10.5" customHeight="1" x14ac:dyDescent="0.2">
      <c r="G57584" s="889"/>
    </row>
    <row r="57585" spans="7:7" ht="10.5" customHeight="1" x14ac:dyDescent="0.2">
      <c r="G57585" s="889"/>
    </row>
    <row r="57586" spans="7:7" ht="10.5" customHeight="1" x14ac:dyDescent="0.2">
      <c r="G57586" s="889"/>
    </row>
    <row r="57587" spans="7:7" ht="10.5" customHeight="1" x14ac:dyDescent="0.2">
      <c r="G57587" s="889"/>
    </row>
    <row r="57588" spans="7:7" ht="10.5" customHeight="1" x14ac:dyDescent="0.2">
      <c r="G57588" s="889"/>
    </row>
    <row r="57589" spans="7:7" ht="10.5" customHeight="1" x14ac:dyDescent="0.2">
      <c r="G57589" s="889"/>
    </row>
    <row r="57590" spans="7:7" ht="10.5" customHeight="1" x14ac:dyDescent="0.2">
      <c r="G57590" s="889"/>
    </row>
    <row r="57591" spans="7:7" ht="10.5" customHeight="1" x14ac:dyDescent="0.2">
      <c r="G57591" s="889"/>
    </row>
    <row r="57592" spans="7:7" ht="10.5" customHeight="1" x14ac:dyDescent="0.2">
      <c r="G57592" s="889"/>
    </row>
    <row r="57593" spans="7:7" ht="10.5" customHeight="1" x14ac:dyDescent="0.2">
      <c r="G57593" s="889"/>
    </row>
    <row r="57594" spans="7:7" ht="10.5" customHeight="1" x14ac:dyDescent="0.2">
      <c r="G57594" s="889"/>
    </row>
    <row r="57595" spans="7:7" ht="10.5" customHeight="1" x14ac:dyDescent="0.2">
      <c r="G57595" s="889"/>
    </row>
    <row r="57596" spans="7:7" ht="10.5" customHeight="1" x14ac:dyDescent="0.2">
      <c r="G57596" s="889"/>
    </row>
    <row r="57597" spans="7:7" ht="10.5" customHeight="1" x14ac:dyDescent="0.2">
      <c r="G57597" s="889"/>
    </row>
    <row r="57598" spans="7:7" ht="10.5" customHeight="1" x14ac:dyDescent="0.2">
      <c r="G57598" s="889"/>
    </row>
    <row r="57599" spans="7:7" ht="10.5" customHeight="1" x14ac:dyDescent="0.2">
      <c r="G57599" s="889"/>
    </row>
    <row r="57600" spans="7:7" ht="10.5" customHeight="1" x14ac:dyDescent="0.2">
      <c r="G57600" s="889"/>
    </row>
    <row r="57601" spans="7:7" ht="10.5" customHeight="1" x14ac:dyDescent="0.2">
      <c r="G57601" s="889"/>
    </row>
    <row r="57602" spans="7:7" ht="10.5" customHeight="1" x14ac:dyDescent="0.2">
      <c r="G57602" s="889"/>
    </row>
    <row r="57603" spans="7:7" ht="10.5" customHeight="1" x14ac:dyDescent="0.2">
      <c r="G57603" s="889"/>
    </row>
    <row r="57604" spans="7:7" ht="10.5" customHeight="1" x14ac:dyDescent="0.2">
      <c r="G57604" s="889"/>
    </row>
    <row r="57605" spans="7:7" ht="10.5" customHeight="1" x14ac:dyDescent="0.2">
      <c r="G57605" s="889"/>
    </row>
    <row r="57606" spans="7:7" ht="10.5" customHeight="1" x14ac:dyDescent="0.2">
      <c r="G57606" s="889"/>
    </row>
    <row r="57607" spans="7:7" ht="10.5" customHeight="1" x14ac:dyDescent="0.2">
      <c r="G57607" s="889"/>
    </row>
    <row r="57608" spans="7:7" ht="10.5" customHeight="1" x14ac:dyDescent="0.2">
      <c r="G57608" s="889"/>
    </row>
    <row r="57609" spans="7:7" ht="10.5" customHeight="1" x14ac:dyDescent="0.2">
      <c r="G57609" s="889"/>
    </row>
    <row r="57610" spans="7:7" ht="10.5" customHeight="1" x14ac:dyDescent="0.2">
      <c r="G57610" s="889"/>
    </row>
    <row r="57611" spans="7:7" ht="10.5" customHeight="1" x14ac:dyDescent="0.2">
      <c r="G57611" s="889"/>
    </row>
    <row r="57612" spans="7:7" ht="10.5" customHeight="1" x14ac:dyDescent="0.2">
      <c r="G57612" s="889"/>
    </row>
    <row r="57613" spans="7:7" ht="10.5" customHeight="1" x14ac:dyDescent="0.2">
      <c r="G57613" s="889"/>
    </row>
    <row r="57614" spans="7:7" ht="10.5" customHeight="1" x14ac:dyDescent="0.2">
      <c r="G57614" s="889"/>
    </row>
    <row r="57615" spans="7:7" ht="10.5" customHeight="1" x14ac:dyDescent="0.2">
      <c r="G57615" s="889"/>
    </row>
    <row r="57616" spans="7:7" ht="10.5" customHeight="1" x14ac:dyDescent="0.2">
      <c r="G57616" s="889"/>
    </row>
    <row r="57617" spans="7:7" ht="10.5" customHeight="1" x14ac:dyDescent="0.2">
      <c r="G57617" s="889"/>
    </row>
    <row r="57618" spans="7:7" ht="10.5" customHeight="1" x14ac:dyDescent="0.2">
      <c r="G57618" s="889"/>
    </row>
    <row r="57619" spans="7:7" ht="10.5" customHeight="1" x14ac:dyDescent="0.2">
      <c r="G57619" s="889"/>
    </row>
    <row r="57620" spans="7:7" ht="10.5" customHeight="1" x14ac:dyDescent="0.2">
      <c r="G57620" s="889"/>
    </row>
    <row r="57621" spans="7:7" ht="10.5" customHeight="1" x14ac:dyDescent="0.2">
      <c r="G57621" s="889"/>
    </row>
    <row r="57622" spans="7:7" ht="10.5" customHeight="1" x14ac:dyDescent="0.2">
      <c r="G57622" s="889"/>
    </row>
    <row r="57623" spans="7:7" ht="10.5" customHeight="1" x14ac:dyDescent="0.2">
      <c r="G57623" s="889"/>
    </row>
    <row r="57624" spans="7:7" ht="10.5" customHeight="1" x14ac:dyDescent="0.2">
      <c r="G57624" s="889"/>
    </row>
    <row r="57625" spans="7:7" ht="10.5" customHeight="1" x14ac:dyDescent="0.2">
      <c r="G57625" s="889"/>
    </row>
    <row r="57626" spans="7:7" ht="10.5" customHeight="1" x14ac:dyDescent="0.2">
      <c r="G57626" s="889"/>
    </row>
    <row r="57627" spans="7:7" ht="10.5" customHeight="1" x14ac:dyDescent="0.2">
      <c r="G57627" s="889"/>
    </row>
    <row r="57628" spans="7:7" ht="10.5" customHeight="1" x14ac:dyDescent="0.2">
      <c r="G57628" s="889"/>
    </row>
    <row r="57629" spans="7:7" ht="10.5" customHeight="1" x14ac:dyDescent="0.2">
      <c r="G57629" s="889"/>
    </row>
    <row r="57630" spans="7:7" ht="10.5" customHeight="1" x14ac:dyDescent="0.2">
      <c r="G57630" s="889"/>
    </row>
    <row r="57631" spans="7:7" ht="10.5" customHeight="1" x14ac:dyDescent="0.2">
      <c r="G57631" s="889"/>
    </row>
    <row r="57632" spans="7:7" ht="10.5" customHeight="1" x14ac:dyDescent="0.2">
      <c r="G57632" s="889"/>
    </row>
    <row r="57633" spans="7:7" ht="10.5" customHeight="1" x14ac:dyDescent="0.2">
      <c r="G57633" s="889"/>
    </row>
    <row r="57634" spans="7:7" ht="10.5" customHeight="1" x14ac:dyDescent="0.2">
      <c r="G57634" s="889"/>
    </row>
    <row r="57635" spans="7:7" ht="10.5" customHeight="1" x14ac:dyDescent="0.2">
      <c r="G57635" s="889"/>
    </row>
    <row r="57636" spans="7:7" ht="10.5" customHeight="1" x14ac:dyDescent="0.2">
      <c r="G57636" s="889"/>
    </row>
    <row r="57637" spans="7:7" ht="10.5" customHeight="1" x14ac:dyDescent="0.2">
      <c r="G57637" s="889"/>
    </row>
    <row r="57638" spans="7:7" ht="10.5" customHeight="1" x14ac:dyDescent="0.2">
      <c r="G57638" s="889"/>
    </row>
    <row r="57639" spans="7:7" ht="10.5" customHeight="1" x14ac:dyDescent="0.2">
      <c r="G57639" s="889"/>
    </row>
    <row r="57640" spans="7:7" ht="10.5" customHeight="1" x14ac:dyDescent="0.2">
      <c r="G57640" s="889"/>
    </row>
    <row r="57641" spans="7:7" ht="10.5" customHeight="1" x14ac:dyDescent="0.2">
      <c r="G57641" s="889"/>
    </row>
    <row r="57642" spans="7:7" ht="10.5" customHeight="1" x14ac:dyDescent="0.2">
      <c r="G57642" s="889"/>
    </row>
    <row r="57643" spans="7:7" ht="10.5" customHeight="1" x14ac:dyDescent="0.2">
      <c r="G57643" s="889"/>
    </row>
    <row r="57644" spans="7:7" ht="10.5" customHeight="1" x14ac:dyDescent="0.2">
      <c r="G57644" s="889"/>
    </row>
    <row r="57645" spans="7:7" ht="10.5" customHeight="1" x14ac:dyDescent="0.2">
      <c r="G57645" s="889"/>
    </row>
    <row r="57646" spans="7:7" ht="10.5" customHeight="1" x14ac:dyDescent="0.2">
      <c r="G57646" s="889"/>
    </row>
    <row r="57647" spans="7:7" ht="10.5" customHeight="1" x14ac:dyDescent="0.2">
      <c r="G57647" s="889"/>
    </row>
    <row r="57648" spans="7:7" ht="10.5" customHeight="1" x14ac:dyDescent="0.2">
      <c r="G57648" s="889"/>
    </row>
    <row r="57649" spans="7:7" ht="10.5" customHeight="1" x14ac:dyDescent="0.2">
      <c r="G57649" s="889"/>
    </row>
    <row r="57650" spans="7:7" ht="10.5" customHeight="1" x14ac:dyDescent="0.2">
      <c r="G57650" s="889"/>
    </row>
    <row r="57651" spans="7:7" ht="10.5" customHeight="1" x14ac:dyDescent="0.2">
      <c r="G57651" s="889"/>
    </row>
    <row r="57652" spans="7:7" ht="10.5" customHeight="1" x14ac:dyDescent="0.2">
      <c r="G57652" s="889"/>
    </row>
    <row r="57653" spans="7:7" ht="10.5" customHeight="1" x14ac:dyDescent="0.2">
      <c r="G57653" s="889"/>
    </row>
    <row r="57654" spans="7:7" ht="10.5" customHeight="1" x14ac:dyDescent="0.2">
      <c r="G57654" s="889"/>
    </row>
    <row r="57655" spans="7:7" ht="10.5" customHeight="1" x14ac:dyDescent="0.2">
      <c r="G57655" s="889"/>
    </row>
    <row r="57656" spans="7:7" ht="10.5" customHeight="1" x14ac:dyDescent="0.2">
      <c r="G57656" s="889"/>
    </row>
    <row r="57657" spans="7:7" ht="10.5" customHeight="1" x14ac:dyDescent="0.2">
      <c r="G57657" s="889"/>
    </row>
    <row r="57658" spans="7:7" ht="10.5" customHeight="1" x14ac:dyDescent="0.2">
      <c r="G57658" s="889"/>
    </row>
    <row r="57659" spans="7:7" ht="10.5" customHeight="1" x14ac:dyDescent="0.2">
      <c r="G57659" s="889"/>
    </row>
    <row r="57660" spans="7:7" ht="10.5" customHeight="1" x14ac:dyDescent="0.2">
      <c r="G57660" s="889"/>
    </row>
    <row r="57661" spans="7:7" ht="10.5" customHeight="1" x14ac:dyDescent="0.2">
      <c r="G57661" s="889"/>
    </row>
    <row r="57662" spans="7:7" ht="10.5" customHeight="1" x14ac:dyDescent="0.2">
      <c r="G57662" s="889"/>
    </row>
    <row r="57663" spans="7:7" ht="10.5" customHeight="1" x14ac:dyDescent="0.2">
      <c r="G57663" s="889"/>
    </row>
    <row r="57664" spans="7:7" ht="10.5" customHeight="1" x14ac:dyDescent="0.2">
      <c r="G57664" s="889"/>
    </row>
    <row r="57665" spans="7:7" ht="10.5" customHeight="1" x14ac:dyDescent="0.2">
      <c r="G57665" s="889"/>
    </row>
    <row r="57666" spans="7:7" ht="10.5" customHeight="1" x14ac:dyDescent="0.2">
      <c r="G57666" s="889"/>
    </row>
    <row r="57667" spans="7:7" ht="10.5" customHeight="1" x14ac:dyDescent="0.2">
      <c r="G57667" s="889"/>
    </row>
    <row r="57668" spans="7:7" ht="10.5" customHeight="1" x14ac:dyDescent="0.2">
      <c r="G57668" s="889"/>
    </row>
    <row r="57669" spans="7:7" ht="10.5" customHeight="1" x14ac:dyDescent="0.2">
      <c r="G57669" s="889"/>
    </row>
    <row r="57670" spans="7:7" ht="10.5" customHeight="1" x14ac:dyDescent="0.2">
      <c r="G57670" s="889"/>
    </row>
    <row r="57671" spans="7:7" ht="10.5" customHeight="1" x14ac:dyDescent="0.2">
      <c r="G57671" s="889"/>
    </row>
    <row r="57672" spans="7:7" ht="10.5" customHeight="1" x14ac:dyDescent="0.2">
      <c r="G57672" s="889"/>
    </row>
    <row r="57673" spans="7:7" ht="10.5" customHeight="1" x14ac:dyDescent="0.2">
      <c r="G57673" s="889"/>
    </row>
    <row r="57674" spans="7:7" ht="10.5" customHeight="1" x14ac:dyDescent="0.2">
      <c r="G57674" s="889"/>
    </row>
    <row r="57675" spans="7:7" ht="10.5" customHeight="1" x14ac:dyDescent="0.2">
      <c r="G57675" s="889"/>
    </row>
    <row r="57676" spans="7:7" ht="10.5" customHeight="1" x14ac:dyDescent="0.2">
      <c r="G57676" s="889"/>
    </row>
    <row r="57677" spans="7:7" ht="10.5" customHeight="1" x14ac:dyDescent="0.2">
      <c r="G57677" s="889"/>
    </row>
    <row r="57678" spans="7:7" ht="10.5" customHeight="1" x14ac:dyDescent="0.2">
      <c r="G57678" s="889"/>
    </row>
    <row r="57679" spans="7:7" ht="10.5" customHeight="1" x14ac:dyDescent="0.2">
      <c r="G57679" s="889"/>
    </row>
    <row r="57680" spans="7:7" ht="10.5" customHeight="1" x14ac:dyDescent="0.2">
      <c r="G57680" s="889"/>
    </row>
    <row r="57681" spans="7:7" ht="10.5" customHeight="1" x14ac:dyDescent="0.2">
      <c r="G57681" s="889"/>
    </row>
    <row r="57682" spans="7:7" ht="10.5" customHeight="1" x14ac:dyDescent="0.2">
      <c r="G57682" s="889"/>
    </row>
    <row r="57683" spans="7:7" ht="10.5" customHeight="1" x14ac:dyDescent="0.2">
      <c r="G57683" s="889"/>
    </row>
    <row r="57684" spans="7:7" ht="10.5" customHeight="1" x14ac:dyDescent="0.2">
      <c r="G57684" s="889"/>
    </row>
    <row r="57685" spans="7:7" ht="10.5" customHeight="1" x14ac:dyDescent="0.2">
      <c r="G57685" s="889"/>
    </row>
    <row r="57686" spans="7:7" ht="10.5" customHeight="1" x14ac:dyDescent="0.2">
      <c r="G57686" s="889"/>
    </row>
    <row r="57687" spans="7:7" ht="10.5" customHeight="1" x14ac:dyDescent="0.2">
      <c r="G57687" s="889"/>
    </row>
    <row r="57688" spans="7:7" ht="10.5" customHeight="1" x14ac:dyDescent="0.2">
      <c r="G57688" s="889"/>
    </row>
    <row r="57689" spans="7:7" ht="10.5" customHeight="1" x14ac:dyDescent="0.2">
      <c r="G57689" s="889"/>
    </row>
    <row r="57690" spans="7:7" ht="10.5" customHeight="1" x14ac:dyDescent="0.2">
      <c r="G57690" s="889"/>
    </row>
    <row r="57691" spans="7:7" ht="10.5" customHeight="1" x14ac:dyDescent="0.2">
      <c r="G57691" s="889"/>
    </row>
    <row r="57692" spans="7:7" ht="10.5" customHeight="1" x14ac:dyDescent="0.2">
      <c r="G57692" s="889"/>
    </row>
    <row r="57693" spans="7:7" ht="10.5" customHeight="1" x14ac:dyDescent="0.2">
      <c r="G57693" s="889"/>
    </row>
    <row r="57694" spans="7:7" ht="10.5" customHeight="1" x14ac:dyDescent="0.2">
      <c r="G57694" s="889"/>
    </row>
    <row r="57695" spans="7:7" ht="10.5" customHeight="1" x14ac:dyDescent="0.2">
      <c r="G57695" s="889"/>
    </row>
    <row r="57696" spans="7:7" ht="10.5" customHeight="1" x14ac:dyDescent="0.2">
      <c r="G57696" s="889"/>
    </row>
    <row r="57697" spans="7:7" ht="10.5" customHeight="1" x14ac:dyDescent="0.2">
      <c r="G57697" s="889"/>
    </row>
    <row r="57698" spans="7:7" ht="10.5" customHeight="1" x14ac:dyDescent="0.2">
      <c r="G57698" s="889"/>
    </row>
    <row r="57699" spans="7:7" ht="10.5" customHeight="1" x14ac:dyDescent="0.2">
      <c r="G57699" s="889"/>
    </row>
    <row r="57700" spans="7:7" ht="10.5" customHeight="1" x14ac:dyDescent="0.2">
      <c r="G57700" s="889"/>
    </row>
    <row r="57701" spans="7:7" ht="10.5" customHeight="1" x14ac:dyDescent="0.2">
      <c r="G57701" s="889"/>
    </row>
    <row r="57702" spans="7:7" ht="10.5" customHeight="1" x14ac:dyDescent="0.2">
      <c r="G57702" s="889"/>
    </row>
    <row r="57703" spans="7:7" ht="10.5" customHeight="1" x14ac:dyDescent="0.2">
      <c r="G57703" s="889"/>
    </row>
    <row r="57704" spans="7:7" ht="10.5" customHeight="1" x14ac:dyDescent="0.2">
      <c r="G57704" s="889"/>
    </row>
    <row r="57705" spans="7:7" ht="10.5" customHeight="1" x14ac:dyDescent="0.2">
      <c r="G57705" s="889"/>
    </row>
    <row r="57706" spans="7:7" ht="10.5" customHeight="1" x14ac:dyDescent="0.2">
      <c r="G57706" s="889"/>
    </row>
    <row r="57707" spans="7:7" ht="10.5" customHeight="1" x14ac:dyDescent="0.2">
      <c r="G57707" s="889"/>
    </row>
    <row r="57708" spans="7:7" ht="10.5" customHeight="1" x14ac:dyDescent="0.2">
      <c r="G57708" s="889"/>
    </row>
    <row r="57709" spans="7:7" ht="10.5" customHeight="1" x14ac:dyDescent="0.2">
      <c r="G57709" s="889"/>
    </row>
    <row r="57710" spans="7:7" ht="10.5" customHeight="1" x14ac:dyDescent="0.2">
      <c r="G57710" s="889"/>
    </row>
    <row r="57711" spans="7:7" ht="10.5" customHeight="1" x14ac:dyDescent="0.2">
      <c r="G57711" s="889"/>
    </row>
    <row r="57712" spans="7:7" ht="10.5" customHeight="1" x14ac:dyDescent="0.2">
      <c r="G57712" s="889"/>
    </row>
    <row r="57713" spans="7:7" ht="10.5" customHeight="1" x14ac:dyDescent="0.2">
      <c r="G57713" s="889"/>
    </row>
    <row r="57714" spans="7:7" ht="10.5" customHeight="1" x14ac:dyDescent="0.2">
      <c r="G57714" s="889"/>
    </row>
    <row r="57715" spans="7:7" ht="10.5" customHeight="1" x14ac:dyDescent="0.2">
      <c r="G57715" s="889"/>
    </row>
    <row r="57716" spans="7:7" ht="10.5" customHeight="1" x14ac:dyDescent="0.2">
      <c r="G57716" s="889"/>
    </row>
    <row r="57717" spans="7:7" ht="10.5" customHeight="1" x14ac:dyDescent="0.2">
      <c r="G57717" s="889"/>
    </row>
    <row r="57718" spans="7:7" ht="10.5" customHeight="1" x14ac:dyDescent="0.2">
      <c r="G57718" s="889"/>
    </row>
    <row r="57719" spans="7:7" ht="10.5" customHeight="1" x14ac:dyDescent="0.2">
      <c r="G57719" s="889"/>
    </row>
    <row r="57720" spans="7:7" ht="10.5" customHeight="1" x14ac:dyDescent="0.2">
      <c r="G57720" s="889"/>
    </row>
    <row r="57721" spans="7:7" ht="10.5" customHeight="1" x14ac:dyDescent="0.2">
      <c r="G57721" s="889"/>
    </row>
    <row r="57722" spans="7:7" ht="10.5" customHeight="1" x14ac:dyDescent="0.2">
      <c r="G57722" s="889"/>
    </row>
    <row r="57723" spans="7:7" ht="10.5" customHeight="1" x14ac:dyDescent="0.2">
      <c r="G57723" s="889"/>
    </row>
    <row r="57724" spans="7:7" ht="10.5" customHeight="1" x14ac:dyDescent="0.2">
      <c r="G57724" s="889"/>
    </row>
    <row r="57725" spans="7:7" ht="10.5" customHeight="1" x14ac:dyDescent="0.2">
      <c r="G57725" s="889"/>
    </row>
    <row r="57726" spans="7:7" ht="10.5" customHeight="1" x14ac:dyDescent="0.2">
      <c r="G57726" s="889"/>
    </row>
    <row r="57727" spans="7:7" ht="10.5" customHeight="1" x14ac:dyDescent="0.2">
      <c r="G57727" s="889"/>
    </row>
    <row r="57728" spans="7:7" ht="10.5" customHeight="1" x14ac:dyDescent="0.2">
      <c r="G57728" s="889"/>
    </row>
    <row r="57729" spans="7:7" ht="10.5" customHeight="1" x14ac:dyDescent="0.2">
      <c r="G57729" s="889"/>
    </row>
    <row r="57730" spans="7:7" ht="10.5" customHeight="1" x14ac:dyDescent="0.2">
      <c r="G57730" s="889"/>
    </row>
    <row r="57731" spans="7:7" ht="10.5" customHeight="1" x14ac:dyDescent="0.2">
      <c r="G57731" s="889"/>
    </row>
    <row r="57732" spans="7:7" ht="10.5" customHeight="1" x14ac:dyDescent="0.2">
      <c r="G57732" s="889"/>
    </row>
    <row r="57733" spans="7:7" ht="10.5" customHeight="1" x14ac:dyDescent="0.2">
      <c r="G57733" s="889"/>
    </row>
    <row r="57734" spans="7:7" ht="10.5" customHeight="1" x14ac:dyDescent="0.2">
      <c r="G57734" s="889"/>
    </row>
    <row r="57735" spans="7:7" ht="10.5" customHeight="1" x14ac:dyDescent="0.2">
      <c r="G57735" s="889"/>
    </row>
    <row r="57736" spans="7:7" ht="10.5" customHeight="1" x14ac:dyDescent="0.2">
      <c r="G57736" s="889"/>
    </row>
    <row r="57737" spans="7:7" ht="10.5" customHeight="1" x14ac:dyDescent="0.2">
      <c r="G57737" s="889"/>
    </row>
    <row r="57738" spans="7:7" ht="10.5" customHeight="1" x14ac:dyDescent="0.2">
      <c r="G57738" s="889"/>
    </row>
    <row r="57739" spans="7:7" ht="10.5" customHeight="1" x14ac:dyDescent="0.2">
      <c r="G57739" s="889"/>
    </row>
    <row r="57740" spans="7:7" ht="10.5" customHeight="1" x14ac:dyDescent="0.2">
      <c r="G57740" s="889"/>
    </row>
    <row r="57741" spans="7:7" ht="10.5" customHeight="1" x14ac:dyDescent="0.2">
      <c r="G57741" s="889"/>
    </row>
    <row r="57742" spans="7:7" ht="10.5" customHeight="1" x14ac:dyDescent="0.2">
      <c r="G57742" s="889"/>
    </row>
    <row r="57743" spans="7:7" ht="10.5" customHeight="1" x14ac:dyDescent="0.2">
      <c r="G57743" s="889"/>
    </row>
    <row r="57744" spans="7:7" ht="10.5" customHeight="1" x14ac:dyDescent="0.2">
      <c r="G57744" s="889"/>
    </row>
    <row r="57745" spans="7:7" ht="10.5" customHeight="1" x14ac:dyDescent="0.2">
      <c r="G57745" s="889"/>
    </row>
    <row r="57746" spans="7:7" ht="10.5" customHeight="1" x14ac:dyDescent="0.2">
      <c r="G57746" s="889"/>
    </row>
    <row r="57747" spans="7:7" ht="10.5" customHeight="1" x14ac:dyDescent="0.2">
      <c r="G57747" s="889"/>
    </row>
    <row r="57748" spans="7:7" ht="10.5" customHeight="1" x14ac:dyDescent="0.2">
      <c r="G57748" s="889"/>
    </row>
    <row r="57749" spans="7:7" ht="10.5" customHeight="1" x14ac:dyDescent="0.2">
      <c r="G57749" s="889"/>
    </row>
    <row r="57750" spans="7:7" ht="10.5" customHeight="1" x14ac:dyDescent="0.2">
      <c r="G57750" s="889"/>
    </row>
    <row r="57751" spans="7:7" ht="10.5" customHeight="1" x14ac:dyDescent="0.2">
      <c r="G57751" s="889"/>
    </row>
    <row r="57752" spans="7:7" ht="10.5" customHeight="1" x14ac:dyDescent="0.2">
      <c r="G57752" s="889"/>
    </row>
    <row r="57753" spans="7:7" ht="10.5" customHeight="1" x14ac:dyDescent="0.2">
      <c r="G57753" s="889"/>
    </row>
    <row r="57754" spans="7:7" ht="10.5" customHeight="1" x14ac:dyDescent="0.2">
      <c r="G57754" s="889"/>
    </row>
    <row r="57755" spans="7:7" ht="10.5" customHeight="1" x14ac:dyDescent="0.2">
      <c r="G57755" s="889"/>
    </row>
    <row r="57756" spans="7:7" ht="10.5" customHeight="1" x14ac:dyDescent="0.2">
      <c r="G57756" s="889"/>
    </row>
    <row r="57757" spans="7:7" ht="10.5" customHeight="1" x14ac:dyDescent="0.2">
      <c r="G57757" s="889"/>
    </row>
    <row r="57758" spans="7:7" ht="10.5" customHeight="1" x14ac:dyDescent="0.2">
      <c r="G57758" s="889"/>
    </row>
    <row r="57759" spans="7:7" ht="10.5" customHeight="1" x14ac:dyDescent="0.2">
      <c r="G57759" s="889"/>
    </row>
    <row r="57760" spans="7:7" ht="10.5" customHeight="1" x14ac:dyDescent="0.2">
      <c r="G57760" s="889"/>
    </row>
    <row r="57761" spans="7:7" ht="10.5" customHeight="1" x14ac:dyDescent="0.2">
      <c r="G57761" s="889"/>
    </row>
    <row r="57762" spans="7:7" ht="10.5" customHeight="1" x14ac:dyDescent="0.2">
      <c r="G57762" s="889"/>
    </row>
    <row r="57763" spans="7:7" ht="10.5" customHeight="1" x14ac:dyDescent="0.2">
      <c r="G57763" s="889"/>
    </row>
    <row r="57764" spans="7:7" ht="10.5" customHeight="1" x14ac:dyDescent="0.2">
      <c r="G57764" s="889"/>
    </row>
    <row r="57765" spans="7:7" ht="10.5" customHeight="1" x14ac:dyDescent="0.2">
      <c r="G57765" s="889"/>
    </row>
    <row r="57766" spans="7:7" ht="10.5" customHeight="1" x14ac:dyDescent="0.2">
      <c r="G57766" s="889"/>
    </row>
    <row r="57767" spans="7:7" ht="10.5" customHeight="1" x14ac:dyDescent="0.2">
      <c r="G57767" s="889"/>
    </row>
    <row r="57768" spans="7:7" ht="10.5" customHeight="1" x14ac:dyDescent="0.2">
      <c r="G57768" s="889"/>
    </row>
    <row r="57769" spans="7:7" ht="10.5" customHeight="1" x14ac:dyDescent="0.2">
      <c r="G57769" s="889"/>
    </row>
    <row r="57770" spans="7:7" ht="10.5" customHeight="1" x14ac:dyDescent="0.2">
      <c r="G57770" s="889"/>
    </row>
    <row r="57771" spans="7:7" ht="10.5" customHeight="1" x14ac:dyDescent="0.2">
      <c r="G57771" s="889"/>
    </row>
    <row r="57772" spans="7:7" ht="10.5" customHeight="1" x14ac:dyDescent="0.2">
      <c r="G57772" s="889"/>
    </row>
    <row r="57773" spans="7:7" ht="10.5" customHeight="1" x14ac:dyDescent="0.2">
      <c r="G57773" s="889"/>
    </row>
    <row r="57774" spans="7:7" ht="10.5" customHeight="1" x14ac:dyDescent="0.2">
      <c r="G57774" s="889"/>
    </row>
    <row r="57775" spans="7:7" ht="10.5" customHeight="1" x14ac:dyDescent="0.2">
      <c r="G57775" s="889"/>
    </row>
    <row r="57776" spans="7:7" ht="10.5" customHeight="1" x14ac:dyDescent="0.2">
      <c r="G57776" s="889"/>
    </row>
    <row r="57777" spans="7:7" ht="10.5" customHeight="1" x14ac:dyDescent="0.2">
      <c r="G57777" s="889"/>
    </row>
    <row r="57778" spans="7:7" ht="10.5" customHeight="1" x14ac:dyDescent="0.2">
      <c r="G57778" s="889"/>
    </row>
    <row r="57779" spans="7:7" ht="10.5" customHeight="1" x14ac:dyDescent="0.2">
      <c r="G57779" s="889"/>
    </row>
    <row r="57780" spans="7:7" ht="10.5" customHeight="1" x14ac:dyDescent="0.2">
      <c r="G57780" s="889"/>
    </row>
    <row r="57781" spans="7:7" ht="10.5" customHeight="1" x14ac:dyDescent="0.2">
      <c r="G57781" s="889"/>
    </row>
    <row r="57782" spans="7:7" ht="10.5" customHeight="1" x14ac:dyDescent="0.2">
      <c r="G57782" s="889"/>
    </row>
    <row r="57783" spans="7:7" ht="10.5" customHeight="1" x14ac:dyDescent="0.2">
      <c r="G57783" s="889"/>
    </row>
    <row r="57784" spans="7:7" ht="10.5" customHeight="1" x14ac:dyDescent="0.2">
      <c r="G57784" s="889"/>
    </row>
    <row r="57785" spans="7:7" ht="10.5" customHeight="1" x14ac:dyDescent="0.2">
      <c r="G57785" s="889"/>
    </row>
    <row r="57786" spans="7:7" ht="10.5" customHeight="1" x14ac:dyDescent="0.2">
      <c r="G57786" s="889"/>
    </row>
    <row r="57787" spans="7:7" ht="10.5" customHeight="1" x14ac:dyDescent="0.2">
      <c r="G57787" s="889"/>
    </row>
    <row r="57788" spans="7:7" ht="10.5" customHeight="1" x14ac:dyDescent="0.2">
      <c r="G57788" s="889"/>
    </row>
    <row r="57789" spans="7:7" ht="10.5" customHeight="1" x14ac:dyDescent="0.2">
      <c r="G57789" s="889"/>
    </row>
    <row r="57790" spans="7:7" ht="10.5" customHeight="1" x14ac:dyDescent="0.2">
      <c r="G57790" s="889"/>
    </row>
    <row r="57791" spans="7:7" ht="10.5" customHeight="1" x14ac:dyDescent="0.2">
      <c r="G57791" s="889"/>
    </row>
    <row r="57792" spans="7:7" ht="10.5" customHeight="1" x14ac:dyDescent="0.2">
      <c r="G57792" s="889"/>
    </row>
    <row r="57793" spans="7:7" ht="10.5" customHeight="1" x14ac:dyDescent="0.2">
      <c r="G57793" s="889"/>
    </row>
    <row r="57794" spans="7:7" ht="10.5" customHeight="1" x14ac:dyDescent="0.2">
      <c r="G57794" s="889"/>
    </row>
    <row r="57795" spans="7:7" ht="10.5" customHeight="1" x14ac:dyDescent="0.2">
      <c r="G57795" s="889"/>
    </row>
    <row r="57796" spans="7:7" ht="10.5" customHeight="1" x14ac:dyDescent="0.2">
      <c r="G57796" s="889"/>
    </row>
    <row r="57797" spans="7:7" ht="10.5" customHeight="1" x14ac:dyDescent="0.2">
      <c r="G57797" s="889"/>
    </row>
    <row r="57798" spans="7:7" ht="10.5" customHeight="1" x14ac:dyDescent="0.2">
      <c r="G57798" s="889"/>
    </row>
    <row r="57799" spans="7:7" ht="10.5" customHeight="1" x14ac:dyDescent="0.2">
      <c r="G57799" s="889"/>
    </row>
    <row r="57800" spans="7:7" ht="10.5" customHeight="1" x14ac:dyDescent="0.2">
      <c r="G57800" s="889"/>
    </row>
    <row r="57801" spans="7:7" ht="10.5" customHeight="1" x14ac:dyDescent="0.2">
      <c r="G57801" s="889"/>
    </row>
    <row r="57802" spans="7:7" ht="10.5" customHeight="1" x14ac:dyDescent="0.2">
      <c r="G57802" s="889"/>
    </row>
    <row r="57803" spans="7:7" ht="10.5" customHeight="1" x14ac:dyDescent="0.2">
      <c r="G57803" s="889"/>
    </row>
    <row r="57804" spans="7:7" ht="10.5" customHeight="1" x14ac:dyDescent="0.2">
      <c r="G57804" s="889"/>
    </row>
    <row r="57805" spans="7:7" ht="10.5" customHeight="1" x14ac:dyDescent="0.2">
      <c r="G57805" s="889"/>
    </row>
    <row r="57806" spans="7:7" ht="10.5" customHeight="1" x14ac:dyDescent="0.2">
      <c r="G57806" s="889"/>
    </row>
    <row r="57807" spans="7:7" ht="10.5" customHeight="1" x14ac:dyDescent="0.2">
      <c r="G57807" s="889"/>
    </row>
    <row r="57808" spans="7:7" ht="10.5" customHeight="1" x14ac:dyDescent="0.2">
      <c r="G57808" s="889"/>
    </row>
    <row r="57809" spans="7:7" ht="10.5" customHeight="1" x14ac:dyDescent="0.2">
      <c r="G57809" s="889"/>
    </row>
    <row r="57810" spans="7:7" ht="10.5" customHeight="1" x14ac:dyDescent="0.2">
      <c r="G57810" s="889"/>
    </row>
    <row r="57811" spans="7:7" ht="10.5" customHeight="1" x14ac:dyDescent="0.2">
      <c r="G57811" s="889"/>
    </row>
    <row r="57812" spans="7:7" ht="10.5" customHeight="1" x14ac:dyDescent="0.2">
      <c r="G57812" s="889"/>
    </row>
    <row r="57813" spans="7:7" ht="10.5" customHeight="1" x14ac:dyDescent="0.2">
      <c r="G57813" s="889"/>
    </row>
    <row r="57814" spans="7:7" ht="10.5" customHeight="1" x14ac:dyDescent="0.2">
      <c r="G57814" s="889"/>
    </row>
    <row r="57815" spans="7:7" ht="10.5" customHeight="1" x14ac:dyDescent="0.2">
      <c r="G57815" s="889"/>
    </row>
    <row r="57816" spans="7:7" ht="10.5" customHeight="1" x14ac:dyDescent="0.2">
      <c r="G57816" s="889"/>
    </row>
    <row r="57817" spans="7:7" ht="10.5" customHeight="1" x14ac:dyDescent="0.2">
      <c r="G57817" s="889"/>
    </row>
    <row r="57818" spans="7:7" ht="10.5" customHeight="1" x14ac:dyDescent="0.2">
      <c r="G57818" s="889"/>
    </row>
    <row r="57819" spans="7:7" ht="10.5" customHeight="1" x14ac:dyDescent="0.2">
      <c r="G57819" s="889"/>
    </row>
    <row r="57820" spans="7:7" ht="10.5" customHeight="1" x14ac:dyDescent="0.2">
      <c r="G57820" s="889"/>
    </row>
    <row r="57821" spans="7:7" ht="10.5" customHeight="1" x14ac:dyDescent="0.2">
      <c r="G57821" s="889"/>
    </row>
    <row r="57822" spans="7:7" ht="10.5" customHeight="1" x14ac:dyDescent="0.2">
      <c r="G57822" s="889"/>
    </row>
    <row r="57823" spans="7:7" ht="10.5" customHeight="1" x14ac:dyDescent="0.2">
      <c r="G57823" s="889"/>
    </row>
    <row r="57824" spans="7:7" ht="10.5" customHeight="1" x14ac:dyDescent="0.2">
      <c r="G57824" s="889"/>
    </row>
    <row r="57825" spans="7:7" ht="10.5" customHeight="1" x14ac:dyDescent="0.2">
      <c r="G57825" s="889"/>
    </row>
    <row r="57826" spans="7:7" ht="10.5" customHeight="1" x14ac:dyDescent="0.2">
      <c r="G57826" s="889"/>
    </row>
    <row r="57827" spans="7:7" ht="10.5" customHeight="1" x14ac:dyDescent="0.2">
      <c r="G57827" s="889"/>
    </row>
    <row r="57828" spans="7:7" ht="10.5" customHeight="1" x14ac:dyDescent="0.2">
      <c r="G57828" s="889"/>
    </row>
    <row r="57829" spans="7:7" ht="10.5" customHeight="1" x14ac:dyDescent="0.2">
      <c r="G57829" s="889"/>
    </row>
    <row r="57830" spans="7:7" ht="10.5" customHeight="1" x14ac:dyDescent="0.2">
      <c r="G57830" s="889"/>
    </row>
    <row r="57831" spans="7:7" ht="10.5" customHeight="1" x14ac:dyDescent="0.2">
      <c r="G57831" s="889"/>
    </row>
    <row r="57832" spans="7:7" ht="10.5" customHeight="1" x14ac:dyDescent="0.2">
      <c r="G57832" s="889"/>
    </row>
    <row r="57833" spans="7:7" ht="10.5" customHeight="1" x14ac:dyDescent="0.2">
      <c r="G57833" s="889"/>
    </row>
    <row r="57834" spans="7:7" ht="10.5" customHeight="1" x14ac:dyDescent="0.2">
      <c r="G57834" s="889"/>
    </row>
    <row r="57835" spans="7:7" ht="10.5" customHeight="1" x14ac:dyDescent="0.2">
      <c r="G57835" s="889"/>
    </row>
    <row r="57836" spans="7:7" ht="10.5" customHeight="1" x14ac:dyDescent="0.2">
      <c r="G57836" s="889"/>
    </row>
    <row r="57837" spans="7:7" ht="10.5" customHeight="1" x14ac:dyDescent="0.2">
      <c r="G57837" s="889"/>
    </row>
    <row r="57838" spans="7:7" ht="10.5" customHeight="1" x14ac:dyDescent="0.2">
      <c r="G57838" s="889"/>
    </row>
    <row r="57839" spans="7:7" ht="10.5" customHeight="1" x14ac:dyDescent="0.2">
      <c r="G57839" s="889"/>
    </row>
    <row r="57840" spans="7:7" ht="10.5" customHeight="1" x14ac:dyDescent="0.2">
      <c r="G57840" s="889"/>
    </row>
    <row r="57841" spans="7:7" ht="10.5" customHeight="1" x14ac:dyDescent="0.2">
      <c r="G57841" s="889"/>
    </row>
    <row r="57842" spans="7:7" ht="10.5" customHeight="1" x14ac:dyDescent="0.2">
      <c r="G57842" s="889"/>
    </row>
    <row r="57843" spans="7:7" ht="10.5" customHeight="1" x14ac:dyDescent="0.2">
      <c r="G57843" s="889"/>
    </row>
    <row r="57844" spans="7:7" ht="10.5" customHeight="1" x14ac:dyDescent="0.2">
      <c r="G57844" s="889"/>
    </row>
    <row r="57845" spans="7:7" ht="10.5" customHeight="1" x14ac:dyDescent="0.2">
      <c r="G57845" s="889"/>
    </row>
    <row r="57846" spans="7:7" ht="10.5" customHeight="1" x14ac:dyDescent="0.2">
      <c r="G57846" s="889"/>
    </row>
    <row r="57847" spans="7:7" ht="10.5" customHeight="1" x14ac:dyDescent="0.2">
      <c r="G57847" s="889"/>
    </row>
    <row r="57848" spans="7:7" ht="10.5" customHeight="1" x14ac:dyDescent="0.2">
      <c r="G57848" s="889"/>
    </row>
    <row r="57849" spans="7:7" ht="10.5" customHeight="1" x14ac:dyDescent="0.2">
      <c r="G57849" s="889"/>
    </row>
    <row r="57850" spans="7:7" ht="10.5" customHeight="1" x14ac:dyDescent="0.2">
      <c r="G57850" s="889"/>
    </row>
    <row r="57851" spans="7:7" ht="10.5" customHeight="1" x14ac:dyDescent="0.2">
      <c r="G57851" s="889"/>
    </row>
    <row r="57852" spans="7:7" ht="10.5" customHeight="1" x14ac:dyDescent="0.2">
      <c r="G57852" s="889"/>
    </row>
    <row r="57853" spans="7:7" ht="10.5" customHeight="1" x14ac:dyDescent="0.2">
      <c r="G57853" s="889"/>
    </row>
    <row r="57854" spans="7:7" ht="10.5" customHeight="1" x14ac:dyDescent="0.2">
      <c r="G57854" s="889"/>
    </row>
    <row r="57855" spans="7:7" ht="10.5" customHeight="1" x14ac:dyDescent="0.2">
      <c r="G57855" s="889"/>
    </row>
    <row r="57856" spans="7:7" ht="10.5" customHeight="1" x14ac:dyDescent="0.2">
      <c r="G57856" s="889"/>
    </row>
    <row r="57857" spans="7:7" ht="10.5" customHeight="1" x14ac:dyDescent="0.2">
      <c r="G57857" s="889"/>
    </row>
    <row r="57858" spans="7:7" ht="10.5" customHeight="1" x14ac:dyDescent="0.2">
      <c r="G57858" s="889"/>
    </row>
    <row r="57859" spans="7:7" ht="10.5" customHeight="1" x14ac:dyDescent="0.2">
      <c r="G57859" s="889"/>
    </row>
    <row r="57860" spans="7:7" ht="10.5" customHeight="1" x14ac:dyDescent="0.2">
      <c r="G57860" s="889"/>
    </row>
    <row r="57861" spans="7:7" ht="10.5" customHeight="1" x14ac:dyDescent="0.2">
      <c r="G57861" s="889"/>
    </row>
    <row r="57862" spans="7:7" ht="10.5" customHeight="1" x14ac:dyDescent="0.2">
      <c r="G57862" s="889"/>
    </row>
    <row r="57863" spans="7:7" ht="10.5" customHeight="1" x14ac:dyDescent="0.2">
      <c r="G57863" s="889"/>
    </row>
    <row r="57864" spans="7:7" ht="10.5" customHeight="1" x14ac:dyDescent="0.2">
      <c r="G57864" s="889"/>
    </row>
    <row r="57865" spans="7:7" ht="10.5" customHeight="1" x14ac:dyDescent="0.2">
      <c r="G57865" s="889"/>
    </row>
    <row r="57866" spans="7:7" ht="10.5" customHeight="1" x14ac:dyDescent="0.2">
      <c r="G57866" s="889"/>
    </row>
    <row r="57867" spans="7:7" ht="10.5" customHeight="1" x14ac:dyDescent="0.2">
      <c r="G57867" s="889"/>
    </row>
    <row r="57868" spans="7:7" ht="10.5" customHeight="1" x14ac:dyDescent="0.2">
      <c r="G57868" s="889"/>
    </row>
    <row r="57869" spans="7:7" ht="10.5" customHeight="1" x14ac:dyDescent="0.2">
      <c r="G57869" s="889"/>
    </row>
    <row r="57870" spans="7:7" ht="10.5" customHeight="1" x14ac:dyDescent="0.2">
      <c r="G57870" s="889"/>
    </row>
    <row r="57871" spans="7:7" ht="10.5" customHeight="1" x14ac:dyDescent="0.2">
      <c r="G57871" s="889"/>
    </row>
    <row r="57872" spans="7:7" ht="10.5" customHeight="1" x14ac:dyDescent="0.2">
      <c r="G57872" s="889"/>
    </row>
    <row r="57873" spans="7:7" ht="10.5" customHeight="1" x14ac:dyDescent="0.2">
      <c r="G57873" s="889"/>
    </row>
    <row r="57874" spans="7:7" ht="10.5" customHeight="1" x14ac:dyDescent="0.2">
      <c r="G57874" s="889"/>
    </row>
    <row r="57875" spans="7:7" ht="10.5" customHeight="1" x14ac:dyDescent="0.2">
      <c r="G57875" s="889"/>
    </row>
    <row r="57876" spans="7:7" ht="10.5" customHeight="1" x14ac:dyDescent="0.2">
      <c r="G57876" s="889"/>
    </row>
    <row r="57877" spans="7:7" ht="10.5" customHeight="1" x14ac:dyDescent="0.2">
      <c r="G57877" s="889"/>
    </row>
    <row r="57878" spans="7:7" ht="10.5" customHeight="1" x14ac:dyDescent="0.2">
      <c r="G57878" s="889"/>
    </row>
    <row r="57879" spans="7:7" ht="10.5" customHeight="1" x14ac:dyDescent="0.2">
      <c r="G57879" s="889"/>
    </row>
    <row r="57880" spans="7:7" ht="10.5" customHeight="1" x14ac:dyDescent="0.2">
      <c r="G57880" s="889"/>
    </row>
    <row r="57881" spans="7:7" ht="10.5" customHeight="1" x14ac:dyDescent="0.2">
      <c r="G57881" s="889"/>
    </row>
    <row r="57882" spans="7:7" ht="10.5" customHeight="1" x14ac:dyDescent="0.2">
      <c r="G57882" s="889"/>
    </row>
    <row r="57883" spans="7:7" ht="10.5" customHeight="1" x14ac:dyDescent="0.2">
      <c r="G57883" s="889"/>
    </row>
    <row r="57884" spans="7:7" ht="10.5" customHeight="1" x14ac:dyDescent="0.2">
      <c r="G57884" s="889"/>
    </row>
    <row r="57885" spans="7:7" ht="10.5" customHeight="1" x14ac:dyDescent="0.2">
      <c r="G57885" s="889"/>
    </row>
    <row r="57886" spans="7:7" ht="10.5" customHeight="1" x14ac:dyDescent="0.2">
      <c r="G57886" s="889"/>
    </row>
    <row r="57887" spans="7:7" ht="10.5" customHeight="1" x14ac:dyDescent="0.2">
      <c r="G57887" s="889"/>
    </row>
    <row r="57888" spans="7:7" ht="10.5" customHeight="1" x14ac:dyDescent="0.2">
      <c r="G57888" s="889"/>
    </row>
    <row r="57889" spans="7:7" ht="10.5" customHeight="1" x14ac:dyDescent="0.2">
      <c r="G57889" s="889"/>
    </row>
    <row r="57890" spans="7:7" ht="10.5" customHeight="1" x14ac:dyDescent="0.2">
      <c r="G57890" s="889"/>
    </row>
    <row r="57891" spans="7:7" ht="10.5" customHeight="1" x14ac:dyDescent="0.2">
      <c r="G57891" s="889"/>
    </row>
    <row r="57892" spans="7:7" ht="10.5" customHeight="1" x14ac:dyDescent="0.2">
      <c r="G57892" s="889"/>
    </row>
    <row r="57893" spans="7:7" ht="10.5" customHeight="1" x14ac:dyDescent="0.2">
      <c r="G57893" s="889"/>
    </row>
    <row r="57894" spans="7:7" ht="10.5" customHeight="1" x14ac:dyDescent="0.2">
      <c r="G57894" s="889"/>
    </row>
    <row r="57895" spans="7:7" ht="10.5" customHeight="1" x14ac:dyDescent="0.2">
      <c r="G57895" s="889"/>
    </row>
    <row r="57896" spans="7:7" ht="10.5" customHeight="1" x14ac:dyDescent="0.2">
      <c r="G57896" s="889"/>
    </row>
    <row r="57897" spans="7:7" ht="10.5" customHeight="1" x14ac:dyDescent="0.2">
      <c r="G57897" s="889"/>
    </row>
    <row r="57898" spans="7:7" ht="10.5" customHeight="1" x14ac:dyDescent="0.2">
      <c r="G57898" s="889"/>
    </row>
    <row r="57899" spans="7:7" ht="10.5" customHeight="1" x14ac:dyDescent="0.2">
      <c r="G57899" s="889"/>
    </row>
    <row r="57900" spans="7:7" ht="10.5" customHeight="1" x14ac:dyDescent="0.2">
      <c r="G57900" s="889"/>
    </row>
    <row r="57901" spans="7:7" ht="10.5" customHeight="1" x14ac:dyDescent="0.2">
      <c r="G57901" s="889"/>
    </row>
    <row r="57902" spans="7:7" ht="10.5" customHeight="1" x14ac:dyDescent="0.2">
      <c r="G57902" s="889"/>
    </row>
    <row r="57903" spans="7:7" ht="10.5" customHeight="1" x14ac:dyDescent="0.2">
      <c r="G57903" s="889"/>
    </row>
    <row r="57904" spans="7:7" ht="10.5" customHeight="1" x14ac:dyDescent="0.2">
      <c r="G57904" s="889"/>
    </row>
    <row r="57905" spans="7:7" ht="10.5" customHeight="1" x14ac:dyDescent="0.2">
      <c r="G57905" s="889"/>
    </row>
    <row r="57906" spans="7:7" ht="10.5" customHeight="1" x14ac:dyDescent="0.2">
      <c r="G57906" s="889"/>
    </row>
    <row r="57907" spans="7:7" ht="10.5" customHeight="1" x14ac:dyDescent="0.2">
      <c r="G57907" s="889"/>
    </row>
    <row r="57908" spans="7:7" ht="10.5" customHeight="1" x14ac:dyDescent="0.2">
      <c r="G57908" s="889"/>
    </row>
    <row r="57909" spans="7:7" ht="10.5" customHeight="1" x14ac:dyDescent="0.2">
      <c r="G57909" s="889"/>
    </row>
    <row r="57910" spans="7:7" ht="10.5" customHeight="1" x14ac:dyDescent="0.2">
      <c r="G57910" s="889"/>
    </row>
    <row r="57911" spans="7:7" ht="10.5" customHeight="1" x14ac:dyDescent="0.2">
      <c r="G57911" s="889"/>
    </row>
    <row r="57912" spans="7:7" ht="10.5" customHeight="1" x14ac:dyDescent="0.2">
      <c r="G57912" s="889"/>
    </row>
    <row r="57913" spans="7:7" ht="10.5" customHeight="1" x14ac:dyDescent="0.2">
      <c r="G57913" s="889"/>
    </row>
    <row r="57914" spans="7:7" ht="10.5" customHeight="1" x14ac:dyDescent="0.2">
      <c r="G57914" s="889"/>
    </row>
    <row r="57915" spans="7:7" ht="10.5" customHeight="1" x14ac:dyDescent="0.2">
      <c r="G57915" s="889"/>
    </row>
    <row r="57916" spans="7:7" ht="10.5" customHeight="1" x14ac:dyDescent="0.2">
      <c r="G57916" s="889"/>
    </row>
    <row r="57917" spans="7:7" ht="10.5" customHeight="1" x14ac:dyDescent="0.2">
      <c r="G57917" s="889"/>
    </row>
    <row r="57918" spans="7:7" ht="10.5" customHeight="1" x14ac:dyDescent="0.2">
      <c r="G57918" s="889"/>
    </row>
    <row r="57919" spans="7:7" ht="10.5" customHeight="1" x14ac:dyDescent="0.2">
      <c r="G57919" s="889"/>
    </row>
    <row r="57920" spans="7:7" ht="10.5" customHeight="1" x14ac:dyDescent="0.2">
      <c r="G57920" s="889"/>
    </row>
    <row r="57921" spans="7:7" ht="10.5" customHeight="1" x14ac:dyDescent="0.2">
      <c r="G57921" s="889"/>
    </row>
    <row r="57922" spans="7:7" ht="10.5" customHeight="1" x14ac:dyDescent="0.2">
      <c r="G57922" s="889"/>
    </row>
    <row r="57923" spans="7:7" ht="10.5" customHeight="1" x14ac:dyDescent="0.2">
      <c r="G57923" s="889"/>
    </row>
    <row r="57924" spans="7:7" ht="10.5" customHeight="1" x14ac:dyDescent="0.2">
      <c r="G57924" s="889"/>
    </row>
    <row r="57925" spans="7:7" ht="10.5" customHeight="1" x14ac:dyDescent="0.2">
      <c r="G57925" s="889"/>
    </row>
    <row r="57926" spans="7:7" ht="10.5" customHeight="1" x14ac:dyDescent="0.2">
      <c r="G57926" s="889"/>
    </row>
    <row r="57927" spans="7:7" ht="10.5" customHeight="1" x14ac:dyDescent="0.2">
      <c r="G57927" s="889"/>
    </row>
    <row r="57928" spans="7:7" ht="10.5" customHeight="1" x14ac:dyDescent="0.2">
      <c r="G57928" s="889"/>
    </row>
    <row r="57929" spans="7:7" ht="10.5" customHeight="1" x14ac:dyDescent="0.2">
      <c r="G57929" s="889"/>
    </row>
    <row r="57930" spans="7:7" ht="10.5" customHeight="1" x14ac:dyDescent="0.2">
      <c r="G57930" s="889"/>
    </row>
    <row r="57931" spans="7:7" ht="10.5" customHeight="1" x14ac:dyDescent="0.2">
      <c r="G57931" s="889"/>
    </row>
    <row r="57932" spans="7:7" ht="10.5" customHeight="1" x14ac:dyDescent="0.2">
      <c r="G57932" s="889"/>
    </row>
    <row r="57933" spans="7:7" ht="10.5" customHeight="1" x14ac:dyDescent="0.2">
      <c r="G57933" s="889"/>
    </row>
    <row r="57934" spans="7:7" ht="10.5" customHeight="1" x14ac:dyDescent="0.2">
      <c r="G57934" s="889"/>
    </row>
    <row r="57935" spans="7:7" ht="10.5" customHeight="1" x14ac:dyDescent="0.2">
      <c r="G57935" s="889"/>
    </row>
    <row r="57936" spans="7:7" ht="10.5" customHeight="1" x14ac:dyDescent="0.2">
      <c r="G57936" s="889"/>
    </row>
    <row r="57937" spans="7:7" ht="10.5" customHeight="1" x14ac:dyDescent="0.2">
      <c r="G57937" s="889"/>
    </row>
    <row r="57938" spans="7:7" ht="10.5" customHeight="1" x14ac:dyDescent="0.2">
      <c r="G57938" s="889"/>
    </row>
    <row r="57939" spans="7:7" ht="10.5" customHeight="1" x14ac:dyDescent="0.2">
      <c r="G57939" s="889"/>
    </row>
    <row r="57940" spans="7:7" ht="10.5" customHeight="1" x14ac:dyDescent="0.2">
      <c r="G57940" s="889"/>
    </row>
    <row r="57941" spans="7:7" ht="10.5" customHeight="1" x14ac:dyDescent="0.2">
      <c r="G57941" s="889"/>
    </row>
    <row r="57942" spans="7:7" ht="10.5" customHeight="1" x14ac:dyDescent="0.2">
      <c r="G57942" s="889"/>
    </row>
    <row r="57943" spans="7:7" ht="10.5" customHeight="1" x14ac:dyDescent="0.2">
      <c r="G57943" s="889"/>
    </row>
    <row r="57944" spans="7:7" ht="10.5" customHeight="1" x14ac:dyDescent="0.2">
      <c r="G57944" s="889"/>
    </row>
    <row r="57945" spans="7:7" ht="10.5" customHeight="1" x14ac:dyDescent="0.2">
      <c r="G57945" s="889"/>
    </row>
    <row r="57946" spans="7:7" ht="10.5" customHeight="1" x14ac:dyDescent="0.2">
      <c r="G57946" s="889"/>
    </row>
    <row r="57947" spans="7:7" ht="10.5" customHeight="1" x14ac:dyDescent="0.2">
      <c r="G57947" s="889"/>
    </row>
    <row r="57948" spans="7:7" ht="10.5" customHeight="1" x14ac:dyDescent="0.2">
      <c r="G57948" s="889"/>
    </row>
    <row r="57949" spans="7:7" ht="10.5" customHeight="1" x14ac:dyDescent="0.2">
      <c r="G57949" s="889"/>
    </row>
    <row r="57950" spans="7:7" ht="10.5" customHeight="1" x14ac:dyDescent="0.2">
      <c r="G57950" s="889"/>
    </row>
    <row r="57951" spans="7:7" ht="10.5" customHeight="1" x14ac:dyDescent="0.2">
      <c r="G57951" s="889"/>
    </row>
    <row r="57952" spans="7:7" ht="10.5" customHeight="1" x14ac:dyDescent="0.2">
      <c r="G57952" s="889"/>
    </row>
    <row r="57953" spans="7:7" ht="10.5" customHeight="1" x14ac:dyDescent="0.2">
      <c r="G57953" s="889"/>
    </row>
    <row r="57954" spans="7:7" ht="10.5" customHeight="1" x14ac:dyDescent="0.2">
      <c r="G57954" s="889"/>
    </row>
    <row r="57955" spans="7:7" ht="10.5" customHeight="1" x14ac:dyDescent="0.2">
      <c r="G57955" s="889"/>
    </row>
    <row r="57956" spans="7:7" ht="10.5" customHeight="1" x14ac:dyDescent="0.2">
      <c r="G57956" s="889"/>
    </row>
    <row r="57957" spans="7:7" ht="10.5" customHeight="1" x14ac:dyDescent="0.2">
      <c r="G57957" s="889"/>
    </row>
    <row r="57958" spans="7:7" ht="10.5" customHeight="1" x14ac:dyDescent="0.2">
      <c r="G57958" s="889"/>
    </row>
    <row r="57959" spans="7:7" ht="10.5" customHeight="1" x14ac:dyDescent="0.2">
      <c r="G57959" s="889"/>
    </row>
    <row r="57960" spans="7:7" ht="10.5" customHeight="1" x14ac:dyDescent="0.2">
      <c r="G57960" s="889"/>
    </row>
    <row r="57961" spans="7:7" ht="10.5" customHeight="1" x14ac:dyDescent="0.2">
      <c r="G57961" s="889"/>
    </row>
    <row r="57962" spans="7:7" ht="10.5" customHeight="1" x14ac:dyDescent="0.2">
      <c r="G57962" s="889"/>
    </row>
    <row r="57963" spans="7:7" ht="10.5" customHeight="1" x14ac:dyDescent="0.2">
      <c r="G57963" s="889"/>
    </row>
    <row r="57964" spans="7:7" ht="10.5" customHeight="1" x14ac:dyDescent="0.2">
      <c r="G57964" s="889"/>
    </row>
    <row r="57965" spans="7:7" ht="10.5" customHeight="1" x14ac:dyDescent="0.2">
      <c r="G57965" s="889"/>
    </row>
    <row r="57966" spans="7:7" ht="10.5" customHeight="1" x14ac:dyDescent="0.2">
      <c r="G57966" s="889"/>
    </row>
    <row r="57967" spans="7:7" ht="10.5" customHeight="1" x14ac:dyDescent="0.2">
      <c r="G57967" s="889"/>
    </row>
    <row r="57968" spans="7:7" ht="10.5" customHeight="1" x14ac:dyDescent="0.2">
      <c r="G57968" s="889"/>
    </row>
    <row r="57969" spans="7:7" ht="10.5" customHeight="1" x14ac:dyDescent="0.2">
      <c r="G57969" s="889"/>
    </row>
    <row r="57970" spans="7:7" ht="10.5" customHeight="1" x14ac:dyDescent="0.2">
      <c r="G57970" s="889"/>
    </row>
    <row r="57971" spans="7:7" ht="10.5" customHeight="1" x14ac:dyDescent="0.2">
      <c r="G57971" s="889"/>
    </row>
    <row r="57972" spans="7:7" ht="10.5" customHeight="1" x14ac:dyDescent="0.2">
      <c r="G57972" s="889"/>
    </row>
    <row r="57973" spans="7:7" ht="10.5" customHeight="1" x14ac:dyDescent="0.2">
      <c r="G57973" s="889"/>
    </row>
    <row r="57974" spans="7:7" ht="10.5" customHeight="1" x14ac:dyDescent="0.2">
      <c r="G57974" s="889"/>
    </row>
    <row r="57975" spans="7:7" ht="10.5" customHeight="1" x14ac:dyDescent="0.2">
      <c r="G57975" s="889"/>
    </row>
    <row r="57976" spans="7:7" ht="10.5" customHeight="1" x14ac:dyDescent="0.2">
      <c r="G57976" s="889"/>
    </row>
    <row r="57977" spans="7:7" ht="10.5" customHeight="1" x14ac:dyDescent="0.2">
      <c r="G57977" s="889"/>
    </row>
    <row r="57978" spans="7:7" ht="10.5" customHeight="1" x14ac:dyDescent="0.2">
      <c r="G57978" s="889"/>
    </row>
    <row r="57979" spans="7:7" ht="10.5" customHeight="1" x14ac:dyDescent="0.2">
      <c r="G57979" s="889"/>
    </row>
    <row r="57980" spans="7:7" ht="10.5" customHeight="1" x14ac:dyDescent="0.2">
      <c r="G57980" s="889"/>
    </row>
    <row r="57981" spans="7:7" ht="10.5" customHeight="1" x14ac:dyDescent="0.2">
      <c r="G57981" s="889"/>
    </row>
    <row r="57982" spans="7:7" ht="10.5" customHeight="1" x14ac:dyDescent="0.2">
      <c r="G57982" s="889"/>
    </row>
    <row r="57983" spans="7:7" ht="10.5" customHeight="1" x14ac:dyDescent="0.2">
      <c r="G57983" s="889"/>
    </row>
    <row r="57984" spans="7:7" ht="10.5" customHeight="1" x14ac:dyDescent="0.2">
      <c r="G57984" s="889"/>
    </row>
    <row r="57985" spans="7:7" ht="10.5" customHeight="1" x14ac:dyDescent="0.2">
      <c r="G57985" s="889"/>
    </row>
    <row r="57986" spans="7:7" ht="10.5" customHeight="1" x14ac:dyDescent="0.2">
      <c r="G57986" s="889"/>
    </row>
    <row r="57987" spans="7:7" ht="10.5" customHeight="1" x14ac:dyDescent="0.2">
      <c r="G57987" s="889"/>
    </row>
    <row r="57988" spans="7:7" ht="10.5" customHeight="1" x14ac:dyDescent="0.2">
      <c r="G57988" s="889"/>
    </row>
    <row r="57989" spans="7:7" ht="10.5" customHeight="1" x14ac:dyDescent="0.2">
      <c r="G57989" s="889"/>
    </row>
    <row r="57990" spans="7:7" ht="10.5" customHeight="1" x14ac:dyDescent="0.2">
      <c r="G57990" s="889"/>
    </row>
    <row r="57991" spans="7:7" ht="10.5" customHeight="1" x14ac:dyDescent="0.2">
      <c r="G57991" s="889"/>
    </row>
    <row r="57992" spans="7:7" ht="10.5" customHeight="1" x14ac:dyDescent="0.2">
      <c r="G57992" s="889"/>
    </row>
    <row r="57993" spans="7:7" ht="10.5" customHeight="1" x14ac:dyDescent="0.2">
      <c r="G57993" s="889"/>
    </row>
    <row r="57994" spans="7:7" ht="10.5" customHeight="1" x14ac:dyDescent="0.2">
      <c r="G57994" s="889"/>
    </row>
    <row r="57995" spans="7:7" ht="10.5" customHeight="1" x14ac:dyDescent="0.2">
      <c r="G57995" s="889"/>
    </row>
    <row r="57996" spans="7:7" ht="10.5" customHeight="1" x14ac:dyDescent="0.2">
      <c r="G57996" s="889"/>
    </row>
    <row r="57997" spans="7:7" ht="10.5" customHeight="1" x14ac:dyDescent="0.2">
      <c r="G57997" s="889"/>
    </row>
    <row r="57998" spans="7:7" ht="10.5" customHeight="1" x14ac:dyDescent="0.2">
      <c r="G57998" s="889"/>
    </row>
    <row r="57999" spans="7:7" ht="10.5" customHeight="1" x14ac:dyDescent="0.2">
      <c r="G57999" s="889"/>
    </row>
    <row r="58000" spans="7:7" ht="10.5" customHeight="1" x14ac:dyDescent="0.2">
      <c r="G58000" s="889"/>
    </row>
    <row r="58001" spans="7:7" ht="10.5" customHeight="1" x14ac:dyDescent="0.2">
      <c r="G58001" s="889"/>
    </row>
    <row r="58002" spans="7:7" ht="10.5" customHeight="1" x14ac:dyDescent="0.2">
      <c r="G58002" s="889"/>
    </row>
    <row r="58003" spans="7:7" ht="10.5" customHeight="1" x14ac:dyDescent="0.2">
      <c r="G58003" s="889"/>
    </row>
    <row r="58004" spans="7:7" ht="10.5" customHeight="1" x14ac:dyDescent="0.2">
      <c r="G58004" s="889"/>
    </row>
    <row r="58005" spans="7:7" ht="10.5" customHeight="1" x14ac:dyDescent="0.2">
      <c r="G58005" s="889"/>
    </row>
    <row r="58006" spans="7:7" ht="10.5" customHeight="1" x14ac:dyDescent="0.2">
      <c r="G58006" s="889"/>
    </row>
    <row r="58007" spans="7:7" ht="10.5" customHeight="1" x14ac:dyDescent="0.2">
      <c r="G58007" s="889"/>
    </row>
    <row r="58008" spans="7:7" ht="10.5" customHeight="1" x14ac:dyDescent="0.2">
      <c r="G58008" s="889"/>
    </row>
    <row r="58009" spans="7:7" ht="10.5" customHeight="1" x14ac:dyDescent="0.2">
      <c r="G58009" s="889"/>
    </row>
    <row r="58010" spans="7:7" ht="10.5" customHeight="1" x14ac:dyDescent="0.2">
      <c r="G58010" s="889"/>
    </row>
    <row r="58011" spans="7:7" ht="10.5" customHeight="1" x14ac:dyDescent="0.2">
      <c r="G58011" s="889"/>
    </row>
    <row r="58012" spans="7:7" ht="10.5" customHeight="1" x14ac:dyDescent="0.2">
      <c r="G58012" s="889"/>
    </row>
    <row r="58013" spans="7:7" ht="10.5" customHeight="1" x14ac:dyDescent="0.2">
      <c r="G58013" s="889"/>
    </row>
    <row r="58014" spans="7:7" ht="10.5" customHeight="1" x14ac:dyDescent="0.2">
      <c r="G58014" s="889"/>
    </row>
    <row r="58015" spans="7:7" ht="10.5" customHeight="1" x14ac:dyDescent="0.2">
      <c r="G58015" s="889"/>
    </row>
    <row r="58016" spans="7:7" ht="10.5" customHeight="1" x14ac:dyDescent="0.2">
      <c r="G58016" s="889"/>
    </row>
    <row r="58017" spans="7:7" ht="10.5" customHeight="1" x14ac:dyDescent="0.2">
      <c r="G58017" s="889"/>
    </row>
    <row r="58018" spans="7:7" ht="10.5" customHeight="1" x14ac:dyDescent="0.2">
      <c r="G58018" s="889"/>
    </row>
    <row r="58019" spans="7:7" ht="10.5" customHeight="1" x14ac:dyDescent="0.2">
      <c r="G58019" s="889"/>
    </row>
    <row r="58020" spans="7:7" ht="10.5" customHeight="1" x14ac:dyDescent="0.2">
      <c r="G58020" s="889"/>
    </row>
    <row r="58021" spans="7:7" ht="10.5" customHeight="1" x14ac:dyDescent="0.2">
      <c r="G58021" s="889"/>
    </row>
    <row r="58022" spans="7:7" ht="10.5" customHeight="1" x14ac:dyDescent="0.2">
      <c r="G58022" s="889"/>
    </row>
    <row r="58023" spans="7:7" ht="10.5" customHeight="1" x14ac:dyDescent="0.2">
      <c r="G58023" s="889"/>
    </row>
    <row r="58024" spans="7:7" ht="10.5" customHeight="1" x14ac:dyDescent="0.2">
      <c r="G58024" s="889"/>
    </row>
    <row r="58025" spans="7:7" ht="10.5" customHeight="1" x14ac:dyDescent="0.2">
      <c r="G58025" s="889"/>
    </row>
    <row r="58026" spans="7:7" ht="10.5" customHeight="1" x14ac:dyDescent="0.2">
      <c r="G58026" s="889"/>
    </row>
    <row r="58027" spans="7:7" ht="10.5" customHeight="1" x14ac:dyDescent="0.2">
      <c r="G58027" s="889"/>
    </row>
    <row r="58028" spans="7:7" ht="10.5" customHeight="1" x14ac:dyDescent="0.2">
      <c r="G58028" s="889"/>
    </row>
    <row r="58029" spans="7:7" ht="10.5" customHeight="1" x14ac:dyDescent="0.2">
      <c r="G58029" s="889"/>
    </row>
    <row r="58030" spans="7:7" ht="10.5" customHeight="1" x14ac:dyDescent="0.2">
      <c r="G58030" s="889"/>
    </row>
    <row r="58031" spans="7:7" ht="10.5" customHeight="1" x14ac:dyDescent="0.2">
      <c r="G58031" s="889"/>
    </row>
    <row r="58032" spans="7:7" ht="10.5" customHeight="1" x14ac:dyDescent="0.2">
      <c r="G58032" s="889"/>
    </row>
    <row r="58033" spans="7:7" ht="10.5" customHeight="1" x14ac:dyDescent="0.2">
      <c r="G58033" s="889"/>
    </row>
    <row r="58034" spans="7:7" ht="10.5" customHeight="1" x14ac:dyDescent="0.2">
      <c r="G58034" s="889"/>
    </row>
    <row r="58035" spans="7:7" ht="10.5" customHeight="1" x14ac:dyDescent="0.2">
      <c r="G58035" s="889"/>
    </row>
    <row r="58036" spans="7:7" ht="10.5" customHeight="1" x14ac:dyDescent="0.2">
      <c r="G58036" s="889"/>
    </row>
    <row r="58037" spans="7:7" ht="10.5" customHeight="1" x14ac:dyDescent="0.2">
      <c r="G58037" s="889"/>
    </row>
    <row r="58038" spans="7:7" ht="10.5" customHeight="1" x14ac:dyDescent="0.2">
      <c r="G58038" s="889"/>
    </row>
    <row r="58039" spans="7:7" ht="10.5" customHeight="1" x14ac:dyDescent="0.2">
      <c r="G58039" s="889"/>
    </row>
    <row r="58040" spans="7:7" ht="10.5" customHeight="1" x14ac:dyDescent="0.2">
      <c r="G58040" s="889"/>
    </row>
    <row r="58041" spans="7:7" ht="10.5" customHeight="1" x14ac:dyDescent="0.2">
      <c r="G58041" s="889"/>
    </row>
    <row r="58042" spans="7:7" ht="10.5" customHeight="1" x14ac:dyDescent="0.2">
      <c r="G58042" s="889"/>
    </row>
    <row r="58043" spans="7:7" ht="10.5" customHeight="1" x14ac:dyDescent="0.2">
      <c r="G58043" s="889"/>
    </row>
    <row r="58044" spans="7:7" ht="10.5" customHeight="1" x14ac:dyDescent="0.2">
      <c r="G58044" s="889"/>
    </row>
    <row r="58045" spans="7:7" ht="10.5" customHeight="1" x14ac:dyDescent="0.2">
      <c r="G58045" s="889"/>
    </row>
    <row r="58046" spans="7:7" ht="10.5" customHeight="1" x14ac:dyDescent="0.2">
      <c r="G58046" s="889"/>
    </row>
    <row r="58047" spans="7:7" ht="10.5" customHeight="1" x14ac:dyDescent="0.2">
      <c r="G58047" s="889"/>
    </row>
    <row r="58048" spans="7:7" ht="10.5" customHeight="1" x14ac:dyDescent="0.2">
      <c r="G58048" s="889"/>
    </row>
    <row r="58049" spans="7:7" ht="10.5" customHeight="1" x14ac:dyDescent="0.2">
      <c r="G58049" s="889"/>
    </row>
    <row r="58050" spans="7:7" ht="10.5" customHeight="1" x14ac:dyDescent="0.2">
      <c r="G58050" s="889"/>
    </row>
    <row r="58051" spans="7:7" ht="10.5" customHeight="1" x14ac:dyDescent="0.2">
      <c r="G58051" s="889"/>
    </row>
    <row r="58052" spans="7:7" ht="10.5" customHeight="1" x14ac:dyDescent="0.2">
      <c r="G58052" s="889"/>
    </row>
    <row r="58053" spans="7:7" ht="10.5" customHeight="1" x14ac:dyDescent="0.2">
      <c r="G58053" s="889"/>
    </row>
    <row r="58054" spans="7:7" ht="10.5" customHeight="1" x14ac:dyDescent="0.2">
      <c r="G58054" s="889"/>
    </row>
    <row r="58055" spans="7:7" ht="10.5" customHeight="1" x14ac:dyDescent="0.2">
      <c r="G58055" s="889"/>
    </row>
    <row r="58056" spans="7:7" ht="10.5" customHeight="1" x14ac:dyDescent="0.2">
      <c r="G58056" s="889"/>
    </row>
    <row r="58057" spans="7:7" ht="10.5" customHeight="1" x14ac:dyDescent="0.2">
      <c r="G58057" s="889"/>
    </row>
    <row r="58058" spans="7:7" ht="10.5" customHeight="1" x14ac:dyDescent="0.2">
      <c r="G58058" s="889"/>
    </row>
    <row r="58059" spans="7:7" ht="10.5" customHeight="1" x14ac:dyDescent="0.2">
      <c r="G58059" s="889"/>
    </row>
    <row r="58060" spans="7:7" ht="10.5" customHeight="1" x14ac:dyDescent="0.2">
      <c r="G58060" s="889"/>
    </row>
    <row r="58061" spans="7:7" ht="10.5" customHeight="1" x14ac:dyDescent="0.2">
      <c r="G58061" s="889"/>
    </row>
    <row r="58062" spans="7:7" ht="10.5" customHeight="1" x14ac:dyDescent="0.2">
      <c r="G58062" s="889"/>
    </row>
    <row r="58063" spans="7:7" ht="10.5" customHeight="1" x14ac:dyDescent="0.2">
      <c r="G58063" s="889"/>
    </row>
    <row r="58064" spans="7:7" ht="10.5" customHeight="1" x14ac:dyDescent="0.2">
      <c r="G58064" s="889"/>
    </row>
    <row r="58065" spans="7:7" ht="10.5" customHeight="1" x14ac:dyDescent="0.2">
      <c r="G58065" s="889"/>
    </row>
    <row r="58066" spans="7:7" ht="10.5" customHeight="1" x14ac:dyDescent="0.2">
      <c r="G58066" s="889"/>
    </row>
    <row r="58067" spans="7:7" ht="10.5" customHeight="1" x14ac:dyDescent="0.2">
      <c r="G58067" s="889"/>
    </row>
    <row r="58068" spans="7:7" ht="10.5" customHeight="1" x14ac:dyDescent="0.2">
      <c r="G58068" s="889"/>
    </row>
    <row r="58069" spans="7:7" ht="10.5" customHeight="1" x14ac:dyDescent="0.2">
      <c r="G58069" s="889"/>
    </row>
    <row r="58070" spans="7:7" ht="10.5" customHeight="1" x14ac:dyDescent="0.2">
      <c r="G58070" s="889"/>
    </row>
    <row r="58071" spans="7:7" ht="10.5" customHeight="1" x14ac:dyDescent="0.2">
      <c r="G58071" s="889"/>
    </row>
    <row r="58072" spans="7:7" ht="10.5" customHeight="1" x14ac:dyDescent="0.2">
      <c r="G58072" s="889"/>
    </row>
    <row r="58073" spans="7:7" ht="10.5" customHeight="1" x14ac:dyDescent="0.2">
      <c r="G58073" s="889"/>
    </row>
    <row r="58074" spans="7:7" ht="10.5" customHeight="1" x14ac:dyDescent="0.2">
      <c r="G58074" s="889"/>
    </row>
    <row r="58075" spans="7:7" ht="10.5" customHeight="1" x14ac:dyDescent="0.2">
      <c r="G58075" s="889"/>
    </row>
    <row r="58076" spans="7:7" ht="10.5" customHeight="1" x14ac:dyDescent="0.2">
      <c r="G58076" s="889"/>
    </row>
    <row r="58077" spans="7:7" ht="10.5" customHeight="1" x14ac:dyDescent="0.2">
      <c r="G58077" s="889"/>
    </row>
    <row r="58078" spans="7:7" ht="10.5" customHeight="1" x14ac:dyDescent="0.2">
      <c r="G58078" s="889"/>
    </row>
    <row r="58079" spans="7:7" ht="10.5" customHeight="1" x14ac:dyDescent="0.2">
      <c r="G58079" s="889"/>
    </row>
    <row r="58080" spans="7:7" ht="10.5" customHeight="1" x14ac:dyDescent="0.2">
      <c r="G58080" s="889"/>
    </row>
    <row r="58081" spans="7:7" ht="10.5" customHeight="1" x14ac:dyDescent="0.2">
      <c r="G58081" s="889"/>
    </row>
    <row r="58082" spans="7:7" ht="10.5" customHeight="1" x14ac:dyDescent="0.2">
      <c r="G58082" s="889"/>
    </row>
    <row r="58083" spans="7:7" ht="10.5" customHeight="1" x14ac:dyDescent="0.2">
      <c r="G58083" s="889"/>
    </row>
    <row r="58084" spans="7:7" ht="10.5" customHeight="1" x14ac:dyDescent="0.2">
      <c r="G58084" s="889"/>
    </row>
    <row r="58085" spans="7:7" ht="10.5" customHeight="1" x14ac:dyDescent="0.2">
      <c r="G58085" s="889"/>
    </row>
    <row r="58086" spans="7:7" ht="10.5" customHeight="1" x14ac:dyDescent="0.2">
      <c r="G58086" s="889"/>
    </row>
    <row r="58087" spans="7:7" ht="10.5" customHeight="1" x14ac:dyDescent="0.2">
      <c r="G58087" s="889"/>
    </row>
    <row r="58088" spans="7:7" ht="10.5" customHeight="1" x14ac:dyDescent="0.2">
      <c r="G58088" s="889"/>
    </row>
    <row r="58089" spans="7:7" ht="10.5" customHeight="1" x14ac:dyDescent="0.2">
      <c r="G58089" s="889"/>
    </row>
    <row r="58090" spans="7:7" ht="10.5" customHeight="1" x14ac:dyDescent="0.2">
      <c r="G58090" s="889"/>
    </row>
    <row r="58091" spans="7:7" ht="10.5" customHeight="1" x14ac:dyDescent="0.2">
      <c r="G58091" s="889"/>
    </row>
    <row r="58092" spans="7:7" ht="10.5" customHeight="1" x14ac:dyDescent="0.2">
      <c r="G58092" s="889"/>
    </row>
    <row r="58093" spans="7:7" ht="10.5" customHeight="1" x14ac:dyDescent="0.2">
      <c r="G58093" s="889"/>
    </row>
    <row r="58094" spans="7:7" ht="10.5" customHeight="1" x14ac:dyDescent="0.2">
      <c r="G58094" s="889"/>
    </row>
    <row r="58095" spans="7:7" ht="10.5" customHeight="1" x14ac:dyDescent="0.2">
      <c r="G58095" s="889"/>
    </row>
    <row r="58096" spans="7:7" ht="10.5" customHeight="1" x14ac:dyDescent="0.2">
      <c r="G58096" s="889"/>
    </row>
    <row r="58097" spans="7:7" ht="10.5" customHeight="1" x14ac:dyDescent="0.2">
      <c r="G58097" s="889"/>
    </row>
    <row r="58098" spans="7:7" ht="10.5" customHeight="1" x14ac:dyDescent="0.2">
      <c r="G58098" s="889"/>
    </row>
    <row r="58099" spans="7:7" ht="10.5" customHeight="1" x14ac:dyDescent="0.2">
      <c r="G58099" s="889"/>
    </row>
    <row r="58100" spans="7:7" ht="10.5" customHeight="1" x14ac:dyDescent="0.2">
      <c r="G58100" s="889"/>
    </row>
    <row r="58101" spans="7:7" ht="10.5" customHeight="1" x14ac:dyDescent="0.2">
      <c r="G58101" s="889"/>
    </row>
    <row r="58102" spans="7:7" ht="10.5" customHeight="1" x14ac:dyDescent="0.2">
      <c r="G58102" s="889"/>
    </row>
    <row r="58103" spans="7:7" ht="10.5" customHeight="1" x14ac:dyDescent="0.2">
      <c r="G58103" s="889"/>
    </row>
    <row r="58104" spans="7:7" ht="10.5" customHeight="1" x14ac:dyDescent="0.2">
      <c r="G58104" s="889"/>
    </row>
    <row r="58105" spans="7:7" ht="10.5" customHeight="1" x14ac:dyDescent="0.2">
      <c r="G58105" s="889"/>
    </row>
    <row r="58106" spans="7:7" ht="10.5" customHeight="1" x14ac:dyDescent="0.2">
      <c r="G58106" s="889"/>
    </row>
    <row r="58107" spans="7:7" ht="10.5" customHeight="1" x14ac:dyDescent="0.2">
      <c r="G58107" s="889"/>
    </row>
    <row r="58108" spans="7:7" ht="10.5" customHeight="1" x14ac:dyDescent="0.2">
      <c r="G58108" s="889"/>
    </row>
    <row r="58109" spans="7:7" ht="10.5" customHeight="1" x14ac:dyDescent="0.2">
      <c r="G58109" s="889"/>
    </row>
    <row r="58110" spans="7:7" ht="10.5" customHeight="1" x14ac:dyDescent="0.2">
      <c r="G58110" s="889"/>
    </row>
    <row r="58111" spans="7:7" ht="10.5" customHeight="1" x14ac:dyDescent="0.2">
      <c r="G58111" s="889"/>
    </row>
    <row r="58112" spans="7:7" ht="10.5" customHeight="1" x14ac:dyDescent="0.2">
      <c r="G58112" s="889"/>
    </row>
    <row r="58113" spans="7:7" ht="10.5" customHeight="1" x14ac:dyDescent="0.2">
      <c r="G58113" s="889"/>
    </row>
    <row r="58114" spans="7:7" ht="10.5" customHeight="1" x14ac:dyDescent="0.2">
      <c r="G58114" s="889"/>
    </row>
    <row r="58115" spans="7:7" ht="10.5" customHeight="1" x14ac:dyDescent="0.2">
      <c r="G58115" s="889"/>
    </row>
    <row r="58116" spans="7:7" ht="10.5" customHeight="1" x14ac:dyDescent="0.2">
      <c r="G58116" s="889"/>
    </row>
    <row r="58117" spans="7:7" ht="10.5" customHeight="1" x14ac:dyDescent="0.2">
      <c r="G58117" s="889"/>
    </row>
    <row r="58118" spans="7:7" ht="10.5" customHeight="1" x14ac:dyDescent="0.2">
      <c r="G58118" s="889"/>
    </row>
    <row r="58119" spans="7:7" ht="10.5" customHeight="1" x14ac:dyDescent="0.2">
      <c r="G58119" s="889"/>
    </row>
    <row r="58120" spans="7:7" ht="10.5" customHeight="1" x14ac:dyDescent="0.2">
      <c r="G58120" s="889"/>
    </row>
    <row r="58121" spans="7:7" ht="10.5" customHeight="1" x14ac:dyDescent="0.2">
      <c r="G58121" s="889"/>
    </row>
    <row r="58122" spans="7:7" ht="10.5" customHeight="1" x14ac:dyDescent="0.2">
      <c r="G58122" s="889"/>
    </row>
    <row r="58123" spans="7:7" ht="10.5" customHeight="1" x14ac:dyDescent="0.2">
      <c r="G58123" s="889"/>
    </row>
    <row r="58124" spans="7:7" ht="10.5" customHeight="1" x14ac:dyDescent="0.2">
      <c r="G58124" s="889"/>
    </row>
    <row r="58125" spans="7:7" ht="10.5" customHeight="1" x14ac:dyDescent="0.2">
      <c r="G58125" s="889"/>
    </row>
    <row r="58126" spans="7:7" ht="10.5" customHeight="1" x14ac:dyDescent="0.2">
      <c r="G58126" s="889"/>
    </row>
    <row r="58127" spans="7:7" ht="10.5" customHeight="1" x14ac:dyDescent="0.2">
      <c r="G58127" s="889"/>
    </row>
    <row r="58128" spans="7:7" ht="10.5" customHeight="1" x14ac:dyDescent="0.2">
      <c r="G58128" s="889"/>
    </row>
    <row r="58129" spans="7:7" ht="10.5" customHeight="1" x14ac:dyDescent="0.2">
      <c r="G58129" s="889"/>
    </row>
    <row r="58130" spans="7:7" ht="10.5" customHeight="1" x14ac:dyDescent="0.2">
      <c r="G58130" s="889"/>
    </row>
    <row r="58131" spans="7:7" ht="10.5" customHeight="1" x14ac:dyDescent="0.2">
      <c r="G58131" s="889"/>
    </row>
    <row r="58132" spans="7:7" ht="10.5" customHeight="1" x14ac:dyDescent="0.2">
      <c r="G58132" s="889"/>
    </row>
    <row r="58133" spans="7:7" ht="10.5" customHeight="1" x14ac:dyDescent="0.2">
      <c r="G58133" s="889"/>
    </row>
    <row r="58134" spans="7:7" ht="10.5" customHeight="1" x14ac:dyDescent="0.2">
      <c r="G58134" s="889"/>
    </row>
    <row r="58135" spans="7:7" ht="10.5" customHeight="1" x14ac:dyDescent="0.2">
      <c r="G58135" s="889"/>
    </row>
    <row r="58136" spans="7:7" ht="10.5" customHeight="1" x14ac:dyDescent="0.2">
      <c r="G58136" s="889"/>
    </row>
    <row r="58137" spans="7:7" ht="10.5" customHeight="1" x14ac:dyDescent="0.2">
      <c r="G58137" s="889"/>
    </row>
    <row r="58138" spans="7:7" ht="10.5" customHeight="1" x14ac:dyDescent="0.2">
      <c r="G58138" s="889"/>
    </row>
    <row r="58139" spans="7:7" ht="10.5" customHeight="1" x14ac:dyDescent="0.2">
      <c r="G58139" s="889"/>
    </row>
    <row r="58140" spans="7:7" ht="10.5" customHeight="1" x14ac:dyDescent="0.2">
      <c r="G58140" s="889"/>
    </row>
    <row r="58141" spans="7:7" ht="10.5" customHeight="1" x14ac:dyDescent="0.2">
      <c r="G58141" s="889"/>
    </row>
    <row r="58142" spans="7:7" ht="10.5" customHeight="1" x14ac:dyDescent="0.2">
      <c r="G58142" s="889"/>
    </row>
    <row r="58143" spans="7:7" ht="10.5" customHeight="1" x14ac:dyDescent="0.2">
      <c r="G58143" s="889"/>
    </row>
    <row r="58144" spans="7:7" ht="10.5" customHeight="1" x14ac:dyDescent="0.2">
      <c r="G58144" s="889"/>
    </row>
    <row r="58145" spans="7:7" ht="10.5" customHeight="1" x14ac:dyDescent="0.2">
      <c r="G58145" s="889"/>
    </row>
    <row r="58146" spans="7:7" ht="10.5" customHeight="1" x14ac:dyDescent="0.2">
      <c r="G58146" s="889"/>
    </row>
    <row r="58147" spans="7:7" ht="10.5" customHeight="1" x14ac:dyDescent="0.2">
      <c r="G58147" s="889"/>
    </row>
    <row r="58148" spans="7:7" ht="10.5" customHeight="1" x14ac:dyDescent="0.2">
      <c r="G58148" s="889"/>
    </row>
    <row r="58149" spans="7:7" ht="10.5" customHeight="1" x14ac:dyDescent="0.2">
      <c r="G58149" s="889"/>
    </row>
    <row r="58150" spans="7:7" ht="10.5" customHeight="1" x14ac:dyDescent="0.2">
      <c r="G58150" s="889"/>
    </row>
    <row r="58151" spans="7:7" ht="10.5" customHeight="1" x14ac:dyDescent="0.2">
      <c r="G58151" s="889"/>
    </row>
    <row r="58152" spans="7:7" ht="10.5" customHeight="1" x14ac:dyDescent="0.2">
      <c r="G58152" s="889"/>
    </row>
    <row r="58153" spans="7:7" ht="10.5" customHeight="1" x14ac:dyDescent="0.2">
      <c r="G58153" s="889"/>
    </row>
    <row r="58154" spans="7:7" ht="10.5" customHeight="1" x14ac:dyDescent="0.2">
      <c r="G58154" s="889"/>
    </row>
    <row r="58155" spans="7:7" ht="10.5" customHeight="1" x14ac:dyDescent="0.2">
      <c r="G58155" s="889"/>
    </row>
    <row r="58156" spans="7:7" ht="10.5" customHeight="1" x14ac:dyDescent="0.2">
      <c r="G58156" s="889"/>
    </row>
    <row r="58157" spans="7:7" ht="10.5" customHeight="1" x14ac:dyDescent="0.2">
      <c r="G58157" s="889"/>
    </row>
    <row r="58158" spans="7:7" ht="10.5" customHeight="1" x14ac:dyDescent="0.2">
      <c r="G58158" s="889"/>
    </row>
    <row r="58159" spans="7:7" ht="10.5" customHeight="1" x14ac:dyDescent="0.2">
      <c r="G58159" s="889"/>
    </row>
    <row r="58160" spans="7:7" ht="10.5" customHeight="1" x14ac:dyDescent="0.2">
      <c r="G58160" s="889"/>
    </row>
    <row r="58161" spans="7:7" ht="10.5" customHeight="1" x14ac:dyDescent="0.2">
      <c r="G58161" s="889"/>
    </row>
    <row r="58162" spans="7:7" ht="10.5" customHeight="1" x14ac:dyDescent="0.2">
      <c r="G58162" s="889"/>
    </row>
    <row r="58163" spans="7:7" ht="10.5" customHeight="1" x14ac:dyDescent="0.2">
      <c r="G58163" s="889"/>
    </row>
    <row r="58164" spans="7:7" ht="10.5" customHeight="1" x14ac:dyDescent="0.2">
      <c r="G58164" s="889"/>
    </row>
    <row r="58165" spans="7:7" ht="10.5" customHeight="1" x14ac:dyDescent="0.2">
      <c r="G58165" s="889"/>
    </row>
    <row r="58166" spans="7:7" ht="10.5" customHeight="1" x14ac:dyDescent="0.2">
      <c r="G58166" s="889"/>
    </row>
    <row r="58167" spans="7:7" ht="10.5" customHeight="1" x14ac:dyDescent="0.2">
      <c r="G58167" s="889"/>
    </row>
    <row r="58168" spans="7:7" ht="10.5" customHeight="1" x14ac:dyDescent="0.2">
      <c r="G58168" s="889"/>
    </row>
    <row r="58169" spans="7:7" ht="10.5" customHeight="1" x14ac:dyDescent="0.2">
      <c r="G58169" s="889"/>
    </row>
    <row r="58170" spans="7:7" ht="10.5" customHeight="1" x14ac:dyDescent="0.2">
      <c r="G58170" s="889"/>
    </row>
    <row r="58171" spans="7:7" ht="10.5" customHeight="1" x14ac:dyDescent="0.2">
      <c r="G58171" s="889"/>
    </row>
    <row r="58172" spans="7:7" ht="10.5" customHeight="1" x14ac:dyDescent="0.2">
      <c r="G58172" s="889"/>
    </row>
    <row r="58173" spans="7:7" ht="10.5" customHeight="1" x14ac:dyDescent="0.2">
      <c r="G58173" s="889"/>
    </row>
    <row r="58174" spans="7:7" ht="10.5" customHeight="1" x14ac:dyDescent="0.2">
      <c r="G58174" s="889"/>
    </row>
    <row r="58175" spans="7:7" ht="10.5" customHeight="1" x14ac:dyDescent="0.2">
      <c r="G58175" s="889"/>
    </row>
    <row r="58176" spans="7:7" ht="10.5" customHeight="1" x14ac:dyDescent="0.2">
      <c r="G58176" s="889"/>
    </row>
    <row r="58177" spans="7:7" ht="10.5" customHeight="1" x14ac:dyDescent="0.2">
      <c r="G58177" s="889"/>
    </row>
    <row r="58178" spans="7:7" ht="10.5" customHeight="1" x14ac:dyDescent="0.2">
      <c r="G58178" s="889"/>
    </row>
    <row r="58179" spans="7:7" ht="10.5" customHeight="1" x14ac:dyDescent="0.2">
      <c r="G58179" s="889"/>
    </row>
    <row r="58180" spans="7:7" ht="10.5" customHeight="1" x14ac:dyDescent="0.2">
      <c r="G58180" s="889"/>
    </row>
    <row r="58181" spans="7:7" ht="10.5" customHeight="1" x14ac:dyDescent="0.2">
      <c r="G58181" s="889"/>
    </row>
    <row r="58182" spans="7:7" ht="10.5" customHeight="1" x14ac:dyDescent="0.2">
      <c r="G58182" s="889"/>
    </row>
    <row r="58183" spans="7:7" ht="10.5" customHeight="1" x14ac:dyDescent="0.2">
      <c r="G58183" s="889"/>
    </row>
    <row r="58184" spans="7:7" ht="10.5" customHeight="1" x14ac:dyDescent="0.2">
      <c r="G58184" s="889"/>
    </row>
    <row r="58185" spans="7:7" ht="10.5" customHeight="1" x14ac:dyDescent="0.2">
      <c r="G58185" s="889"/>
    </row>
    <row r="58186" spans="7:7" ht="10.5" customHeight="1" x14ac:dyDescent="0.2">
      <c r="G58186" s="889"/>
    </row>
    <row r="58187" spans="7:7" ht="10.5" customHeight="1" x14ac:dyDescent="0.2">
      <c r="G58187" s="889"/>
    </row>
    <row r="58188" spans="7:7" ht="10.5" customHeight="1" x14ac:dyDescent="0.2">
      <c r="G58188" s="889"/>
    </row>
    <row r="58189" spans="7:7" ht="10.5" customHeight="1" x14ac:dyDescent="0.2">
      <c r="G58189" s="889"/>
    </row>
    <row r="58190" spans="7:7" ht="10.5" customHeight="1" x14ac:dyDescent="0.2">
      <c r="G58190" s="889"/>
    </row>
    <row r="58191" spans="7:7" ht="10.5" customHeight="1" x14ac:dyDescent="0.2">
      <c r="G58191" s="889"/>
    </row>
    <row r="58192" spans="7:7" ht="10.5" customHeight="1" x14ac:dyDescent="0.2">
      <c r="G58192" s="889"/>
    </row>
    <row r="58193" spans="7:7" ht="10.5" customHeight="1" x14ac:dyDescent="0.2">
      <c r="G58193" s="889"/>
    </row>
    <row r="58194" spans="7:7" ht="10.5" customHeight="1" x14ac:dyDescent="0.2">
      <c r="G58194" s="889"/>
    </row>
    <row r="58195" spans="7:7" ht="10.5" customHeight="1" x14ac:dyDescent="0.2">
      <c r="G58195" s="889"/>
    </row>
    <row r="58196" spans="7:7" ht="10.5" customHeight="1" x14ac:dyDescent="0.2">
      <c r="G58196" s="889"/>
    </row>
    <row r="58197" spans="7:7" ht="10.5" customHeight="1" x14ac:dyDescent="0.2">
      <c r="G58197" s="889"/>
    </row>
    <row r="58198" spans="7:7" ht="10.5" customHeight="1" x14ac:dyDescent="0.2">
      <c r="G58198" s="889"/>
    </row>
    <row r="58199" spans="7:7" ht="10.5" customHeight="1" x14ac:dyDescent="0.2">
      <c r="G58199" s="889"/>
    </row>
    <row r="58200" spans="7:7" ht="10.5" customHeight="1" x14ac:dyDescent="0.2">
      <c r="G58200" s="889"/>
    </row>
    <row r="58201" spans="7:7" ht="10.5" customHeight="1" x14ac:dyDescent="0.2">
      <c r="G58201" s="889"/>
    </row>
    <row r="58202" spans="7:7" ht="10.5" customHeight="1" x14ac:dyDescent="0.2">
      <c r="G58202" s="889"/>
    </row>
    <row r="58203" spans="7:7" ht="10.5" customHeight="1" x14ac:dyDescent="0.2">
      <c r="G58203" s="889"/>
    </row>
    <row r="58204" spans="7:7" ht="10.5" customHeight="1" x14ac:dyDescent="0.2">
      <c r="G58204" s="889"/>
    </row>
    <row r="58205" spans="7:7" ht="10.5" customHeight="1" x14ac:dyDescent="0.2">
      <c r="G58205" s="889"/>
    </row>
    <row r="58206" spans="7:7" ht="10.5" customHeight="1" x14ac:dyDescent="0.2">
      <c r="G58206" s="889"/>
    </row>
    <row r="58207" spans="7:7" ht="10.5" customHeight="1" x14ac:dyDescent="0.2">
      <c r="G58207" s="889"/>
    </row>
    <row r="58208" spans="7:7" ht="10.5" customHeight="1" x14ac:dyDescent="0.2">
      <c r="G58208" s="889"/>
    </row>
    <row r="58209" spans="7:7" ht="10.5" customHeight="1" x14ac:dyDescent="0.2">
      <c r="G58209" s="889"/>
    </row>
    <row r="58210" spans="7:7" ht="10.5" customHeight="1" x14ac:dyDescent="0.2">
      <c r="G58210" s="889"/>
    </row>
    <row r="58211" spans="7:7" ht="10.5" customHeight="1" x14ac:dyDescent="0.2">
      <c r="G58211" s="889"/>
    </row>
    <row r="58212" spans="7:7" ht="10.5" customHeight="1" x14ac:dyDescent="0.2">
      <c r="G58212" s="889"/>
    </row>
    <row r="58213" spans="7:7" ht="10.5" customHeight="1" x14ac:dyDescent="0.2">
      <c r="G58213" s="889"/>
    </row>
    <row r="58214" spans="7:7" ht="10.5" customHeight="1" x14ac:dyDescent="0.2">
      <c r="G58214" s="889"/>
    </row>
    <row r="58215" spans="7:7" ht="10.5" customHeight="1" x14ac:dyDescent="0.2">
      <c r="G58215" s="889"/>
    </row>
    <row r="58216" spans="7:7" ht="10.5" customHeight="1" x14ac:dyDescent="0.2">
      <c r="G58216" s="889"/>
    </row>
    <row r="58217" spans="7:7" ht="10.5" customHeight="1" x14ac:dyDescent="0.2">
      <c r="G58217" s="889"/>
    </row>
    <row r="58218" spans="7:7" ht="10.5" customHeight="1" x14ac:dyDescent="0.2">
      <c r="G58218" s="889"/>
    </row>
    <row r="58219" spans="7:7" ht="10.5" customHeight="1" x14ac:dyDescent="0.2">
      <c r="G58219" s="889"/>
    </row>
    <row r="58220" spans="7:7" ht="10.5" customHeight="1" x14ac:dyDescent="0.2">
      <c r="G58220" s="889"/>
    </row>
    <row r="58221" spans="7:7" ht="10.5" customHeight="1" x14ac:dyDescent="0.2">
      <c r="G58221" s="889"/>
    </row>
    <row r="58222" spans="7:7" ht="10.5" customHeight="1" x14ac:dyDescent="0.2">
      <c r="G58222" s="889"/>
    </row>
    <row r="58223" spans="7:7" ht="10.5" customHeight="1" x14ac:dyDescent="0.2">
      <c r="G58223" s="889"/>
    </row>
    <row r="58224" spans="7:7" ht="10.5" customHeight="1" x14ac:dyDescent="0.2">
      <c r="G58224" s="889"/>
    </row>
    <row r="58225" spans="7:7" ht="10.5" customHeight="1" x14ac:dyDescent="0.2">
      <c r="G58225" s="889"/>
    </row>
    <row r="58226" spans="7:7" ht="10.5" customHeight="1" x14ac:dyDescent="0.2">
      <c r="G58226" s="889"/>
    </row>
    <row r="58227" spans="7:7" ht="10.5" customHeight="1" x14ac:dyDescent="0.2">
      <c r="G58227" s="889"/>
    </row>
    <row r="58228" spans="7:7" ht="10.5" customHeight="1" x14ac:dyDescent="0.2">
      <c r="G58228" s="889"/>
    </row>
    <row r="58229" spans="7:7" ht="10.5" customHeight="1" x14ac:dyDescent="0.2">
      <c r="G58229" s="889"/>
    </row>
    <row r="58230" spans="7:7" ht="10.5" customHeight="1" x14ac:dyDescent="0.2">
      <c r="G58230" s="889"/>
    </row>
    <row r="58231" spans="7:7" ht="10.5" customHeight="1" x14ac:dyDescent="0.2">
      <c r="G58231" s="889"/>
    </row>
    <row r="58232" spans="7:7" ht="10.5" customHeight="1" x14ac:dyDescent="0.2">
      <c r="G58232" s="889"/>
    </row>
    <row r="58233" spans="7:7" ht="10.5" customHeight="1" x14ac:dyDescent="0.2">
      <c r="G58233" s="889"/>
    </row>
    <row r="58234" spans="7:7" ht="10.5" customHeight="1" x14ac:dyDescent="0.2">
      <c r="G58234" s="889"/>
    </row>
    <row r="58235" spans="7:7" ht="10.5" customHeight="1" x14ac:dyDescent="0.2">
      <c r="G58235" s="889"/>
    </row>
    <row r="58236" spans="7:7" ht="10.5" customHeight="1" x14ac:dyDescent="0.2">
      <c r="G58236" s="889"/>
    </row>
    <row r="58237" spans="7:7" ht="10.5" customHeight="1" x14ac:dyDescent="0.2">
      <c r="G58237" s="889"/>
    </row>
    <row r="58238" spans="7:7" ht="10.5" customHeight="1" x14ac:dyDescent="0.2">
      <c r="G58238" s="889"/>
    </row>
    <row r="58239" spans="7:7" ht="10.5" customHeight="1" x14ac:dyDescent="0.2">
      <c r="G58239" s="889"/>
    </row>
    <row r="58240" spans="7:7" ht="10.5" customHeight="1" x14ac:dyDescent="0.2">
      <c r="G58240" s="889"/>
    </row>
    <row r="58241" spans="7:7" ht="10.5" customHeight="1" x14ac:dyDescent="0.2">
      <c r="G58241" s="889"/>
    </row>
    <row r="58242" spans="7:7" ht="10.5" customHeight="1" x14ac:dyDescent="0.2">
      <c r="G58242" s="889"/>
    </row>
    <row r="58243" spans="7:7" ht="10.5" customHeight="1" x14ac:dyDescent="0.2">
      <c r="G58243" s="889"/>
    </row>
    <row r="58244" spans="7:7" ht="10.5" customHeight="1" x14ac:dyDescent="0.2">
      <c r="G58244" s="889"/>
    </row>
    <row r="58245" spans="7:7" ht="10.5" customHeight="1" x14ac:dyDescent="0.2">
      <c r="G58245" s="889"/>
    </row>
    <row r="58246" spans="7:7" ht="10.5" customHeight="1" x14ac:dyDescent="0.2">
      <c r="G58246" s="889"/>
    </row>
    <row r="58247" spans="7:7" ht="10.5" customHeight="1" x14ac:dyDescent="0.2">
      <c r="G58247" s="889"/>
    </row>
    <row r="58248" spans="7:7" ht="10.5" customHeight="1" x14ac:dyDescent="0.2">
      <c r="G58248" s="889"/>
    </row>
    <row r="58249" spans="7:7" ht="10.5" customHeight="1" x14ac:dyDescent="0.2">
      <c r="G58249" s="889"/>
    </row>
    <row r="58250" spans="7:7" ht="10.5" customHeight="1" x14ac:dyDescent="0.2">
      <c r="G58250" s="889"/>
    </row>
    <row r="58251" spans="7:7" ht="10.5" customHeight="1" x14ac:dyDescent="0.2">
      <c r="G58251" s="889"/>
    </row>
    <row r="58252" spans="7:7" ht="10.5" customHeight="1" x14ac:dyDescent="0.2">
      <c r="G58252" s="889"/>
    </row>
    <row r="58253" spans="7:7" ht="10.5" customHeight="1" x14ac:dyDescent="0.2">
      <c r="G58253" s="889"/>
    </row>
    <row r="58254" spans="7:7" ht="10.5" customHeight="1" x14ac:dyDescent="0.2">
      <c r="G58254" s="889"/>
    </row>
    <row r="58255" spans="7:7" ht="10.5" customHeight="1" x14ac:dyDescent="0.2">
      <c r="G58255" s="889"/>
    </row>
    <row r="58256" spans="7:7" ht="10.5" customHeight="1" x14ac:dyDescent="0.2">
      <c r="G58256" s="889"/>
    </row>
    <row r="58257" spans="7:7" ht="10.5" customHeight="1" x14ac:dyDescent="0.2">
      <c r="G58257" s="889"/>
    </row>
    <row r="58258" spans="7:7" ht="10.5" customHeight="1" x14ac:dyDescent="0.2">
      <c r="G58258" s="889"/>
    </row>
    <row r="58259" spans="7:7" ht="10.5" customHeight="1" x14ac:dyDescent="0.2">
      <c r="G58259" s="889"/>
    </row>
    <row r="58260" spans="7:7" ht="10.5" customHeight="1" x14ac:dyDescent="0.2">
      <c r="G58260" s="889"/>
    </row>
    <row r="58261" spans="7:7" ht="10.5" customHeight="1" x14ac:dyDescent="0.2">
      <c r="G58261" s="889"/>
    </row>
    <row r="58262" spans="7:7" ht="10.5" customHeight="1" x14ac:dyDescent="0.2">
      <c r="G58262" s="889"/>
    </row>
    <row r="58263" spans="7:7" ht="10.5" customHeight="1" x14ac:dyDescent="0.2">
      <c r="G58263" s="889"/>
    </row>
    <row r="58264" spans="7:7" ht="10.5" customHeight="1" x14ac:dyDescent="0.2">
      <c r="G58264" s="889"/>
    </row>
    <row r="58265" spans="7:7" ht="10.5" customHeight="1" x14ac:dyDescent="0.2">
      <c r="G58265" s="889"/>
    </row>
    <row r="58266" spans="7:7" ht="10.5" customHeight="1" x14ac:dyDescent="0.2">
      <c r="G58266" s="889"/>
    </row>
    <row r="58267" spans="7:7" ht="10.5" customHeight="1" x14ac:dyDescent="0.2">
      <c r="G58267" s="889"/>
    </row>
    <row r="58268" spans="7:7" ht="10.5" customHeight="1" x14ac:dyDescent="0.2">
      <c r="G58268" s="889"/>
    </row>
    <row r="58269" spans="7:7" ht="10.5" customHeight="1" x14ac:dyDescent="0.2">
      <c r="G58269" s="889"/>
    </row>
    <row r="58270" spans="7:7" ht="10.5" customHeight="1" x14ac:dyDescent="0.2">
      <c r="G58270" s="889"/>
    </row>
    <row r="58271" spans="7:7" ht="10.5" customHeight="1" x14ac:dyDescent="0.2">
      <c r="G58271" s="889"/>
    </row>
    <row r="58272" spans="7:7" ht="10.5" customHeight="1" x14ac:dyDescent="0.2">
      <c r="G58272" s="889"/>
    </row>
    <row r="58273" spans="7:7" ht="10.5" customHeight="1" x14ac:dyDescent="0.2">
      <c r="G58273" s="889"/>
    </row>
    <row r="58274" spans="7:7" ht="10.5" customHeight="1" x14ac:dyDescent="0.2">
      <c r="G58274" s="889"/>
    </row>
    <row r="58275" spans="7:7" ht="10.5" customHeight="1" x14ac:dyDescent="0.2">
      <c r="G58275" s="889"/>
    </row>
    <row r="58276" spans="7:7" ht="10.5" customHeight="1" x14ac:dyDescent="0.2">
      <c r="G58276" s="889"/>
    </row>
    <row r="58277" spans="7:7" ht="10.5" customHeight="1" x14ac:dyDescent="0.2">
      <c r="G58277" s="889"/>
    </row>
    <row r="58278" spans="7:7" ht="10.5" customHeight="1" x14ac:dyDescent="0.2">
      <c r="G58278" s="889"/>
    </row>
    <row r="58279" spans="7:7" ht="10.5" customHeight="1" x14ac:dyDescent="0.2">
      <c r="G58279" s="889"/>
    </row>
    <row r="58280" spans="7:7" ht="10.5" customHeight="1" x14ac:dyDescent="0.2">
      <c r="G58280" s="889"/>
    </row>
    <row r="58281" spans="7:7" ht="10.5" customHeight="1" x14ac:dyDescent="0.2">
      <c r="G58281" s="889"/>
    </row>
    <row r="58282" spans="7:7" ht="10.5" customHeight="1" x14ac:dyDescent="0.2">
      <c r="G58282" s="889"/>
    </row>
    <row r="58283" spans="7:7" ht="10.5" customHeight="1" x14ac:dyDescent="0.2">
      <c r="G58283" s="889"/>
    </row>
    <row r="58284" spans="7:7" ht="10.5" customHeight="1" x14ac:dyDescent="0.2">
      <c r="G58284" s="889"/>
    </row>
    <row r="58285" spans="7:7" ht="10.5" customHeight="1" x14ac:dyDescent="0.2">
      <c r="G58285" s="889"/>
    </row>
    <row r="58286" spans="7:7" ht="10.5" customHeight="1" x14ac:dyDescent="0.2">
      <c r="G58286" s="889"/>
    </row>
    <row r="58287" spans="7:7" ht="10.5" customHeight="1" x14ac:dyDescent="0.2">
      <c r="G58287" s="889"/>
    </row>
    <row r="58288" spans="7:7" ht="10.5" customHeight="1" x14ac:dyDescent="0.2">
      <c r="G58288" s="889"/>
    </row>
    <row r="58289" spans="7:7" ht="10.5" customHeight="1" x14ac:dyDescent="0.2">
      <c r="G58289" s="889"/>
    </row>
    <row r="58290" spans="7:7" ht="10.5" customHeight="1" x14ac:dyDescent="0.2">
      <c r="G58290" s="889"/>
    </row>
    <row r="58291" spans="7:7" ht="10.5" customHeight="1" x14ac:dyDescent="0.2">
      <c r="G58291" s="889"/>
    </row>
    <row r="58292" spans="7:7" ht="10.5" customHeight="1" x14ac:dyDescent="0.2">
      <c r="G58292" s="889"/>
    </row>
    <row r="58293" spans="7:7" ht="10.5" customHeight="1" x14ac:dyDescent="0.2">
      <c r="G58293" s="889"/>
    </row>
    <row r="58294" spans="7:7" ht="10.5" customHeight="1" x14ac:dyDescent="0.2">
      <c r="G58294" s="889"/>
    </row>
    <row r="58295" spans="7:7" ht="10.5" customHeight="1" x14ac:dyDescent="0.2">
      <c r="G58295" s="889"/>
    </row>
    <row r="58296" spans="7:7" ht="10.5" customHeight="1" x14ac:dyDescent="0.2">
      <c r="G58296" s="889"/>
    </row>
    <row r="58297" spans="7:7" ht="10.5" customHeight="1" x14ac:dyDescent="0.2">
      <c r="G58297" s="889"/>
    </row>
    <row r="58298" spans="7:7" ht="10.5" customHeight="1" x14ac:dyDescent="0.2">
      <c r="G58298" s="889"/>
    </row>
    <row r="58299" spans="7:7" ht="10.5" customHeight="1" x14ac:dyDescent="0.2">
      <c r="G58299" s="889"/>
    </row>
    <row r="58300" spans="7:7" ht="10.5" customHeight="1" x14ac:dyDescent="0.2">
      <c r="G58300" s="889"/>
    </row>
    <row r="58301" spans="7:7" ht="10.5" customHeight="1" x14ac:dyDescent="0.2">
      <c r="G58301" s="889"/>
    </row>
    <row r="58302" spans="7:7" ht="10.5" customHeight="1" x14ac:dyDescent="0.2">
      <c r="G58302" s="889"/>
    </row>
    <row r="58303" spans="7:7" ht="10.5" customHeight="1" x14ac:dyDescent="0.2">
      <c r="G58303" s="889"/>
    </row>
    <row r="58304" spans="7:7" ht="10.5" customHeight="1" x14ac:dyDescent="0.2">
      <c r="G58304" s="889"/>
    </row>
    <row r="58305" spans="7:7" ht="10.5" customHeight="1" x14ac:dyDescent="0.2">
      <c r="G58305" s="889"/>
    </row>
    <row r="58306" spans="7:7" ht="10.5" customHeight="1" x14ac:dyDescent="0.2">
      <c r="G58306" s="889"/>
    </row>
    <row r="58307" spans="7:7" ht="10.5" customHeight="1" x14ac:dyDescent="0.2">
      <c r="G58307" s="889"/>
    </row>
    <row r="58308" spans="7:7" ht="10.5" customHeight="1" x14ac:dyDescent="0.2">
      <c r="G58308" s="889"/>
    </row>
    <row r="58309" spans="7:7" ht="10.5" customHeight="1" x14ac:dyDescent="0.2">
      <c r="G58309" s="889"/>
    </row>
    <row r="58310" spans="7:7" ht="10.5" customHeight="1" x14ac:dyDescent="0.2">
      <c r="G58310" s="889"/>
    </row>
    <row r="58311" spans="7:7" ht="10.5" customHeight="1" x14ac:dyDescent="0.2">
      <c r="G58311" s="889"/>
    </row>
    <row r="58312" spans="7:7" ht="10.5" customHeight="1" x14ac:dyDescent="0.2">
      <c r="G58312" s="889"/>
    </row>
    <row r="58313" spans="7:7" ht="10.5" customHeight="1" x14ac:dyDescent="0.2">
      <c r="G58313" s="889"/>
    </row>
    <row r="58314" spans="7:7" ht="10.5" customHeight="1" x14ac:dyDescent="0.2">
      <c r="G58314" s="889"/>
    </row>
    <row r="58315" spans="7:7" ht="10.5" customHeight="1" x14ac:dyDescent="0.2">
      <c r="G58315" s="889"/>
    </row>
    <row r="58316" spans="7:7" ht="10.5" customHeight="1" x14ac:dyDescent="0.2">
      <c r="G58316" s="889"/>
    </row>
    <row r="58317" spans="7:7" ht="10.5" customHeight="1" x14ac:dyDescent="0.2">
      <c r="G58317" s="889"/>
    </row>
    <row r="58318" spans="7:7" ht="10.5" customHeight="1" x14ac:dyDescent="0.2">
      <c r="G58318" s="889"/>
    </row>
    <row r="58319" spans="7:7" ht="10.5" customHeight="1" x14ac:dyDescent="0.2">
      <c r="G58319" s="889"/>
    </row>
    <row r="58320" spans="7:7" ht="10.5" customHeight="1" x14ac:dyDescent="0.2">
      <c r="G58320" s="889"/>
    </row>
    <row r="58321" spans="7:7" ht="10.5" customHeight="1" x14ac:dyDescent="0.2">
      <c r="G58321" s="889"/>
    </row>
    <row r="58322" spans="7:7" ht="10.5" customHeight="1" x14ac:dyDescent="0.2">
      <c r="G58322" s="889"/>
    </row>
    <row r="58323" spans="7:7" ht="10.5" customHeight="1" x14ac:dyDescent="0.2">
      <c r="G58323" s="889"/>
    </row>
    <row r="58324" spans="7:7" ht="10.5" customHeight="1" x14ac:dyDescent="0.2">
      <c r="G58324" s="889"/>
    </row>
    <row r="58325" spans="7:7" ht="10.5" customHeight="1" x14ac:dyDescent="0.2">
      <c r="G58325" s="889"/>
    </row>
    <row r="58326" spans="7:7" ht="10.5" customHeight="1" x14ac:dyDescent="0.2">
      <c r="G58326" s="889"/>
    </row>
    <row r="58327" spans="7:7" ht="10.5" customHeight="1" x14ac:dyDescent="0.2">
      <c r="G58327" s="889"/>
    </row>
    <row r="58328" spans="7:7" ht="10.5" customHeight="1" x14ac:dyDescent="0.2">
      <c r="G58328" s="889"/>
    </row>
    <row r="58329" spans="7:7" ht="10.5" customHeight="1" x14ac:dyDescent="0.2">
      <c r="G58329" s="889"/>
    </row>
    <row r="58330" spans="7:7" ht="10.5" customHeight="1" x14ac:dyDescent="0.2">
      <c r="G58330" s="889"/>
    </row>
    <row r="58331" spans="7:7" ht="10.5" customHeight="1" x14ac:dyDescent="0.2">
      <c r="G58331" s="889"/>
    </row>
    <row r="58332" spans="7:7" ht="10.5" customHeight="1" x14ac:dyDescent="0.2">
      <c r="G58332" s="889"/>
    </row>
    <row r="58333" spans="7:7" ht="10.5" customHeight="1" x14ac:dyDescent="0.2">
      <c r="G58333" s="889"/>
    </row>
    <row r="58334" spans="7:7" ht="10.5" customHeight="1" x14ac:dyDescent="0.2">
      <c r="G58334" s="889"/>
    </row>
    <row r="58335" spans="7:7" ht="10.5" customHeight="1" x14ac:dyDescent="0.2">
      <c r="G58335" s="889"/>
    </row>
    <row r="58336" spans="7:7" ht="10.5" customHeight="1" x14ac:dyDescent="0.2">
      <c r="G58336" s="889"/>
    </row>
    <row r="58337" spans="7:7" ht="10.5" customHeight="1" x14ac:dyDescent="0.2">
      <c r="G58337" s="889"/>
    </row>
    <row r="58338" spans="7:7" ht="10.5" customHeight="1" x14ac:dyDescent="0.2">
      <c r="G58338" s="889"/>
    </row>
    <row r="58339" spans="7:7" ht="10.5" customHeight="1" x14ac:dyDescent="0.2">
      <c r="G58339" s="889"/>
    </row>
    <row r="58340" spans="7:7" ht="10.5" customHeight="1" x14ac:dyDescent="0.2">
      <c r="G58340" s="889"/>
    </row>
    <row r="58341" spans="7:7" ht="10.5" customHeight="1" x14ac:dyDescent="0.2">
      <c r="G58341" s="889"/>
    </row>
    <row r="58342" spans="7:7" ht="10.5" customHeight="1" x14ac:dyDescent="0.2">
      <c r="G58342" s="889"/>
    </row>
    <row r="58343" spans="7:7" ht="10.5" customHeight="1" x14ac:dyDescent="0.2">
      <c r="G58343" s="889"/>
    </row>
    <row r="58344" spans="7:7" ht="10.5" customHeight="1" x14ac:dyDescent="0.2">
      <c r="G58344" s="889"/>
    </row>
    <row r="58345" spans="7:7" ht="10.5" customHeight="1" x14ac:dyDescent="0.2">
      <c r="G58345" s="889"/>
    </row>
    <row r="58346" spans="7:7" ht="10.5" customHeight="1" x14ac:dyDescent="0.2">
      <c r="G58346" s="889"/>
    </row>
    <row r="58347" spans="7:7" ht="10.5" customHeight="1" x14ac:dyDescent="0.2">
      <c r="G58347" s="889"/>
    </row>
    <row r="58348" spans="7:7" ht="10.5" customHeight="1" x14ac:dyDescent="0.2">
      <c r="G58348" s="889"/>
    </row>
    <row r="58349" spans="7:7" ht="10.5" customHeight="1" x14ac:dyDescent="0.2">
      <c r="G58349" s="889"/>
    </row>
    <row r="58350" spans="7:7" ht="10.5" customHeight="1" x14ac:dyDescent="0.2">
      <c r="G58350" s="889"/>
    </row>
    <row r="58351" spans="7:7" ht="10.5" customHeight="1" x14ac:dyDescent="0.2">
      <c r="G58351" s="889"/>
    </row>
    <row r="58352" spans="7:7" ht="10.5" customHeight="1" x14ac:dyDescent="0.2">
      <c r="G58352" s="889"/>
    </row>
    <row r="58353" spans="7:7" ht="10.5" customHeight="1" x14ac:dyDescent="0.2">
      <c r="G58353" s="889"/>
    </row>
    <row r="58354" spans="7:7" ht="10.5" customHeight="1" x14ac:dyDescent="0.2">
      <c r="G58354" s="889"/>
    </row>
    <row r="58355" spans="7:7" ht="10.5" customHeight="1" x14ac:dyDescent="0.2">
      <c r="G58355" s="889"/>
    </row>
    <row r="58356" spans="7:7" ht="10.5" customHeight="1" x14ac:dyDescent="0.2">
      <c r="G58356" s="889"/>
    </row>
    <row r="58357" spans="7:7" ht="10.5" customHeight="1" x14ac:dyDescent="0.2">
      <c r="G58357" s="889"/>
    </row>
    <row r="58358" spans="7:7" ht="10.5" customHeight="1" x14ac:dyDescent="0.2">
      <c r="G58358" s="889"/>
    </row>
    <row r="58359" spans="7:7" ht="10.5" customHeight="1" x14ac:dyDescent="0.2">
      <c r="G58359" s="889"/>
    </row>
    <row r="58360" spans="7:7" ht="10.5" customHeight="1" x14ac:dyDescent="0.2">
      <c r="G58360" s="889"/>
    </row>
    <row r="58361" spans="7:7" ht="10.5" customHeight="1" x14ac:dyDescent="0.2">
      <c r="G58361" s="889"/>
    </row>
    <row r="58362" spans="7:7" ht="10.5" customHeight="1" x14ac:dyDescent="0.2">
      <c r="G58362" s="889"/>
    </row>
    <row r="58363" spans="7:7" ht="10.5" customHeight="1" x14ac:dyDescent="0.2">
      <c r="G58363" s="889"/>
    </row>
    <row r="58364" spans="7:7" ht="10.5" customHeight="1" x14ac:dyDescent="0.2">
      <c r="G58364" s="889"/>
    </row>
    <row r="58365" spans="7:7" ht="10.5" customHeight="1" x14ac:dyDescent="0.2">
      <c r="G58365" s="889"/>
    </row>
    <row r="58366" spans="7:7" ht="10.5" customHeight="1" x14ac:dyDescent="0.2">
      <c r="G58366" s="889"/>
    </row>
    <row r="58367" spans="7:7" ht="10.5" customHeight="1" x14ac:dyDescent="0.2">
      <c r="G58367" s="889"/>
    </row>
    <row r="58368" spans="7:7" ht="10.5" customHeight="1" x14ac:dyDescent="0.2">
      <c r="G58368" s="889"/>
    </row>
    <row r="58369" spans="7:7" ht="10.5" customHeight="1" x14ac:dyDescent="0.2">
      <c r="G58369" s="889"/>
    </row>
    <row r="58370" spans="7:7" ht="10.5" customHeight="1" x14ac:dyDescent="0.2">
      <c r="G58370" s="889"/>
    </row>
    <row r="58371" spans="7:7" ht="10.5" customHeight="1" x14ac:dyDescent="0.2">
      <c r="G58371" s="889"/>
    </row>
    <row r="58372" spans="7:7" ht="10.5" customHeight="1" x14ac:dyDescent="0.2">
      <c r="G58372" s="889"/>
    </row>
    <row r="58373" spans="7:7" ht="10.5" customHeight="1" x14ac:dyDescent="0.2">
      <c r="G58373" s="889"/>
    </row>
    <row r="58374" spans="7:7" ht="10.5" customHeight="1" x14ac:dyDescent="0.2">
      <c r="G58374" s="889"/>
    </row>
    <row r="58375" spans="7:7" ht="10.5" customHeight="1" x14ac:dyDescent="0.2">
      <c r="G58375" s="889"/>
    </row>
    <row r="58376" spans="7:7" ht="10.5" customHeight="1" x14ac:dyDescent="0.2">
      <c r="G58376" s="889"/>
    </row>
    <row r="58377" spans="7:7" ht="10.5" customHeight="1" x14ac:dyDescent="0.2">
      <c r="G58377" s="889"/>
    </row>
    <row r="58378" spans="7:7" ht="10.5" customHeight="1" x14ac:dyDescent="0.2">
      <c r="G58378" s="889"/>
    </row>
    <row r="58379" spans="7:7" ht="10.5" customHeight="1" x14ac:dyDescent="0.2">
      <c r="G58379" s="889"/>
    </row>
    <row r="58380" spans="7:7" ht="10.5" customHeight="1" x14ac:dyDescent="0.2">
      <c r="G58380" s="889"/>
    </row>
    <row r="58381" spans="7:7" ht="10.5" customHeight="1" x14ac:dyDescent="0.2">
      <c r="G58381" s="889"/>
    </row>
    <row r="58382" spans="7:7" ht="10.5" customHeight="1" x14ac:dyDescent="0.2">
      <c r="G58382" s="889"/>
    </row>
    <row r="58383" spans="7:7" ht="10.5" customHeight="1" x14ac:dyDescent="0.2">
      <c r="G58383" s="889"/>
    </row>
    <row r="58384" spans="7:7" ht="10.5" customHeight="1" x14ac:dyDescent="0.2">
      <c r="G58384" s="889"/>
    </row>
    <row r="58385" spans="7:7" ht="10.5" customHeight="1" x14ac:dyDescent="0.2">
      <c r="G58385" s="889"/>
    </row>
    <row r="58386" spans="7:7" ht="10.5" customHeight="1" x14ac:dyDescent="0.2">
      <c r="G58386" s="889"/>
    </row>
    <row r="58387" spans="7:7" ht="10.5" customHeight="1" x14ac:dyDescent="0.2">
      <c r="G58387" s="889"/>
    </row>
    <row r="58388" spans="7:7" ht="10.5" customHeight="1" x14ac:dyDescent="0.2">
      <c r="G58388" s="889"/>
    </row>
    <row r="58389" spans="7:7" ht="10.5" customHeight="1" x14ac:dyDescent="0.2">
      <c r="G58389" s="889"/>
    </row>
    <row r="58390" spans="7:7" ht="10.5" customHeight="1" x14ac:dyDescent="0.2">
      <c r="G58390" s="889"/>
    </row>
    <row r="58391" spans="7:7" ht="10.5" customHeight="1" x14ac:dyDescent="0.2">
      <c r="G58391" s="889"/>
    </row>
    <row r="58392" spans="7:7" ht="10.5" customHeight="1" x14ac:dyDescent="0.2">
      <c r="G58392" s="889"/>
    </row>
    <row r="58393" spans="7:7" ht="10.5" customHeight="1" x14ac:dyDescent="0.2">
      <c r="G58393" s="889"/>
    </row>
    <row r="58394" spans="7:7" ht="10.5" customHeight="1" x14ac:dyDescent="0.2">
      <c r="G58394" s="889"/>
    </row>
    <row r="58395" spans="7:7" ht="10.5" customHeight="1" x14ac:dyDescent="0.2">
      <c r="G58395" s="889"/>
    </row>
    <row r="58396" spans="7:7" ht="10.5" customHeight="1" x14ac:dyDescent="0.2">
      <c r="G58396" s="889"/>
    </row>
    <row r="58397" spans="7:7" ht="10.5" customHeight="1" x14ac:dyDescent="0.2">
      <c r="G58397" s="889"/>
    </row>
    <row r="58398" spans="7:7" ht="10.5" customHeight="1" x14ac:dyDescent="0.2">
      <c r="G58398" s="889"/>
    </row>
    <row r="58399" spans="7:7" ht="10.5" customHeight="1" x14ac:dyDescent="0.2">
      <c r="G58399" s="889"/>
    </row>
    <row r="58400" spans="7:7" ht="10.5" customHeight="1" x14ac:dyDescent="0.2">
      <c r="G58400" s="889"/>
    </row>
    <row r="58401" spans="7:7" ht="10.5" customHeight="1" x14ac:dyDescent="0.2">
      <c r="G58401" s="889"/>
    </row>
    <row r="58402" spans="7:7" ht="10.5" customHeight="1" x14ac:dyDescent="0.2">
      <c r="G58402" s="889"/>
    </row>
    <row r="58403" spans="7:7" ht="10.5" customHeight="1" x14ac:dyDescent="0.2">
      <c r="G58403" s="889"/>
    </row>
    <row r="58404" spans="7:7" ht="10.5" customHeight="1" x14ac:dyDescent="0.2">
      <c r="G58404" s="889"/>
    </row>
    <row r="58405" spans="7:7" ht="10.5" customHeight="1" x14ac:dyDescent="0.2">
      <c r="G58405" s="889"/>
    </row>
    <row r="58406" spans="7:7" ht="10.5" customHeight="1" x14ac:dyDescent="0.2">
      <c r="G58406" s="889"/>
    </row>
    <row r="58407" spans="7:7" ht="10.5" customHeight="1" x14ac:dyDescent="0.2">
      <c r="G58407" s="889"/>
    </row>
    <row r="58408" spans="7:7" ht="10.5" customHeight="1" x14ac:dyDescent="0.2">
      <c r="G58408" s="889"/>
    </row>
    <row r="58409" spans="7:7" ht="10.5" customHeight="1" x14ac:dyDescent="0.2">
      <c r="G58409" s="889"/>
    </row>
    <row r="58410" spans="7:7" ht="10.5" customHeight="1" x14ac:dyDescent="0.2">
      <c r="G58410" s="889"/>
    </row>
    <row r="58411" spans="7:7" ht="10.5" customHeight="1" x14ac:dyDescent="0.2">
      <c r="G58411" s="889"/>
    </row>
    <row r="58412" spans="7:7" ht="10.5" customHeight="1" x14ac:dyDescent="0.2">
      <c r="G58412" s="889"/>
    </row>
    <row r="58413" spans="7:7" ht="10.5" customHeight="1" x14ac:dyDescent="0.2">
      <c r="G58413" s="889"/>
    </row>
    <row r="58414" spans="7:7" ht="10.5" customHeight="1" x14ac:dyDescent="0.2">
      <c r="G58414" s="889"/>
    </row>
    <row r="58415" spans="7:7" ht="10.5" customHeight="1" x14ac:dyDescent="0.2">
      <c r="G58415" s="889"/>
    </row>
    <row r="58416" spans="7:7" ht="10.5" customHeight="1" x14ac:dyDescent="0.2">
      <c r="G58416" s="889"/>
    </row>
    <row r="58417" spans="7:7" ht="10.5" customHeight="1" x14ac:dyDescent="0.2">
      <c r="G58417" s="889"/>
    </row>
    <row r="58418" spans="7:7" ht="10.5" customHeight="1" x14ac:dyDescent="0.2">
      <c r="G58418" s="889"/>
    </row>
    <row r="58419" spans="7:7" ht="10.5" customHeight="1" x14ac:dyDescent="0.2">
      <c r="G58419" s="889"/>
    </row>
    <row r="58420" spans="7:7" ht="10.5" customHeight="1" x14ac:dyDescent="0.2">
      <c r="G58420" s="889"/>
    </row>
    <row r="58421" spans="7:7" ht="10.5" customHeight="1" x14ac:dyDescent="0.2">
      <c r="G58421" s="889"/>
    </row>
    <row r="58422" spans="7:7" ht="10.5" customHeight="1" x14ac:dyDescent="0.2">
      <c r="G58422" s="889"/>
    </row>
    <row r="58423" spans="7:7" ht="10.5" customHeight="1" x14ac:dyDescent="0.2">
      <c r="G58423" s="889"/>
    </row>
    <row r="58424" spans="7:7" ht="10.5" customHeight="1" x14ac:dyDescent="0.2">
      <c r="G58424" s="889"/>
    </row>
    <row r="58425" spans="7:7" ht="10.5" customHeight="1" x14ac:dyDescent="0.2">
      <c r="G58425" s="889"/>
    </row>
    <row r="58426" spans="7:7" ht="10.5" customHeight="1" x14ac:dyDescent="0.2">
      <c r="G58426" s="889"/>
    </row>
    <row r="58427" spans="7:7" ht="10.5" customHeight="1" x14ac:dyDescent="0.2">
      <c r="G58427" s="889"/>
    </row>
    <row r="58428" spans="7:7" ht="10.5" customHeight="1" x14ac:dyDescent="0.2">
      <c r="G58428" s="889"/>
    </row>
    <row r="58429" spans="7:7" ht="10.5" customHeight="1" x14ac:dyDescent="0.2">
      <c r="G58429" s="889"/>
    </row>
    <row r="58430" spans="7:7" ht="10.5" customHeight="1" x14ac:dyDescent="0.2">
      <c r="G58430" s="889"/>
    </row>
    <row r="58431" spans="7:7" ht="10.5" customHeight="1" x14ac:dyDescent="0.2">
      <c r="G58431" s="889"/>
    </row>
    <row r="58432" spans="7:7" ht="10.5" customHeight="1" x14ac:dyDescent="0.2">
      <c r="G58432" s="889"/>
    </row>
    <row r="58433" spans="7:7" ht="10.5" customHeight="1" x14ac:dyDescent="0.2">
      <c r="G58433" s="889"/>
    </row>
    <row r="58434" spans="7:7" ht="10.5" customHeight="1" x14ac:dyDescent="0.2">
      <c r="G58434" s="889"/>
    </row>
    <row r="58435" spans="7:7" ht="10.5" customHeight="1" x14ac:dyDescent="0.2">
      <c r="G58435" s="889"/>
    </row>
    <row r="58436" spans="7:7" ht="10.5" customHeight="1" x14ac:dyDescent="0.2">
      <c r="G58436" s="889"/>
    </row>
    <row r="58437" spans="7:7" ht="10.5" customHeight="1" x14ac:dyDescent="0.2">
      <c r="G58437" s="889"/>
    </row>
    <row r="58438" spans="7:7" ht="10.5" customHeight="1" x14ac:dyDescent="0.2">
      <c r="G58438" s="889"/>
    </row>
    <row r="58439" spans="7:7" ht="10.5" customHeight="1" x14ac:dyDescent="0.2">
      <c r="G58439" s="889"/>
    </row>
    <row r="58440" spans="7:7" ht="10.5" customHeight="1" x14ac:dyDescent="0.2">
      <c r="G58440" s="889"/>
    </row>
    <row r="58441" spans="7:7" ht="10.5" customHeight="1" x14ac:dyDescent="0.2">
      <c r="G58441" s="889"/>
    </row>
    <row r="58442" spans="7:7" ht="10.5" customHeight="1" x14ac:dyDescent="0.2">
      <c r="G58442" s="889"/>
    </row>
    <row r="58443" spans="7:7" ht="10.5" customHeight="1" x14ac:dyDescent="0.2">
      <c r="G58443" s="889"/>
    </row>
    <row r="58444" spans="7:7" ht="10.5" customHeight="1" x14ac:dyDescent="0.2">
      <c r="G58444" s="889"/>
    </row>
    <row r="58445" spans="7:7" ht="10.5" customHeight="1" x14ac:dyDescent="0.2">
      <c r="G58445" s="889"/>
    </row>
    <row r="58446" spans="7:7" ht="10.5" customHeight="1" x14ac:dyDescent="0.2">
      <c r="G58446" s="889"/>
    </row>
    <row r="58447" spans="7:7" ht="10.5" customHeight="1" x14ac:dyDescent="0.2">
      <c r="G58447" s="889"/>
    </row>
    <row r="58448" spans="7:7" ht="10.5" customHeight="1" x14ac:dyDescent="0.2">
      <c r="G58448" s="889"/>
    </row>
    <row r="58449" spans="7:7" ht="10.5" customHeight="1" x14ac:dyDescent="0.2">
      <c r="G58449" s="889"/>
    </row>
    <row r="58450" spans="7:7" ht="10.5" customHeight="1" x14ac:dyDescent="0.2">
      <c r="G58450" s="889"/>
    </row>
    <row r="58451" spans="7:7" ht="10.5" customHeight="1" x14ac:dyDescent="0.2">
      <c r="G58451" s="889"/>
    </row>
    <row r="58452" spans="7:7" ht="10.5" customHeight="1" x14ac:dyDescent="0.2">
      <c r="G58452" s="889"/>
    </row>
    <row r="58453" spans="7:7" ht="10.5" customHeight="1" x14ac:dyDescent="0.2">
      <c r="G58453" s="889"/>
    </row>
    <row r="58454" spans="7:7" ht="10.5" customHeight="1" x14ac:dyDescent="0.2">
      <c r="G58454" s="889"/>
    </row>
    <row r="58455" spans="7:7" ht="10.5" customHeight="1" x14ac:dyDescent="0.2">
      <c r="G58455" s="889"/>
    </row>
    <row r="58456" spans="7:7" ht="10.5" customHeight="1" x14ac:dyDescent="0.2">
      <c r="G58456" s="889"/>
    </row>
    <row r="58457" spans="7:7" ht="10.5" customHeight="1" x14ac:dyDescent="0.2">
      <c r="G58457" s="889"/>
    </row>
    <row r="58458" spans="7:7" ht="10.5" customHeight="1" x14ac:dyDescent="0.2">
      <c r="G58458" s="889"/>
    </row>
    <row r="58459" spans="7:7" ht="10.5" customHeight="1" x14ac:dyDescent="0.2">
      <c r="G58459" s="889"/>
    </row>
    <row r="58460" spans="7:7" ht="10.5" customHeight="1" x14ac:dyDescent="0.2">
      <c r="G58460" s="889"/>
    </row>
    <row r="58461" spans="7:7" ht="10.5" customHeight="1" x14ac:dyDescent="0.2">
      <c r="G58461" s="889"/>
    </row>
    <row r="58462" spans="7:7" ht="10.5" customHeight="1" x14ac:dyDescent="0.2">
      <c r="G58462" s="889"/>
    </row>
    <row r="58463" spans="7:7" ht="10.5" customHeight="1" x14ac:dyDescent="0.2">
      <c r="G58463" s="889"/>
    </row>
    <row r="58464" spans="7:7" ht="10.5" customHeight="1" x14ac:dyDescent="0.2">
      <c r="G58464" s="889"/>
    </row>
    <row r="58465" spans="7:7" ht="10.5" customHeight="1" x14ac:dyDescent="0.2">
      <c r="G58465" s="889"/>
    </row>
    <row r="58466" spans="7:7" ht="10.5" customHeight="1" x14ac:dyDescent="0.2">
      <c r="G58466" s="889"/>
    </row>
    <row r="58467" spans="7:7" ht="10.5" customHeight="1" x14ac:dyDescent="0.2">
      <c r="G58467" s="889"/>
    </row>
    <row r="58468" spans="7:7" ht="10.5" customHeight="1" x14ac:dyDescent="0.2">
      <c r="G58468" s="889"/>
    </row>
    <row r="58469" spans="7:7" ht="10.5" customHeight="1" x14ac:dyDescent="0.2">
      <c r="G58469" s="889"/>
    </row>
    <row r="58470" spans="7:7" ht="10.5" customHeight="1" x14ac:dyDescent="0.2">
      <c r="G58470" s="889"/>
    </row>
    <row r="58471" spans="7:7" ht="10.5" customHeight="1" x14ac:dyDescent="0.2">
      <c r="G58471" s="889"/>
    </row>
    <row r="58472" spans="7:7" ht="10.5" customHeight="1" x14ac:dyDescent="0.2">
      <c r="G58472" s="889"/>
    </row>
    <row r="58473" spans="7:7" ht="10.5" customHeight="1" x14ac:dyDescent="0.2">
      <c r="G58473" s="889"/>
    </row>
    <row r="58474" spans="7:7" ht="10.5" customHeight="1" x14ac:dyDescent="0.2">
      <c r="G58474" s="889"/>
    </row>
    <row r="58475" spans="7:7" ht="10.5" customHeight="1" x14ac:dyDescent="0.2">
      <c r="G58475" s="889"/>
    </row>
    <row r="58476" spans="7:7" ht="10.5" customHeight="1" x14ac:dyDescent="0.2">
      <c r="G58476" s="889"/>
    </row>
    <row r="58477" spans="7:7" ht="10.5" customHeight="1" x14ac:dyDescent="0.2">
      <c r="G58477" s="889"/>
    </row>
    <row r="58478" spans="7:7" ht="10.5" customHeight="1" x14ac:dyDescent="0.2">
      <c r="G58478" s="889"/>
    </row>
    <row r="58479" spans="7:7" ht="10.5" customHeight="1" x14ac:dyDescent="0.2">
      <c r="G58479" s="889"/>
    </row>
    <row r="58480" spans="7:7" ht="10.5" customHeight="1" x14ac:dyDescent="0.2">
      <c r="G58480" s="889"/>
    </row>
    <row r="58481" spans="7:7" ht="10.5" customHeight="1" x14ac:dyDescent="0.2">
      <c r="G58481" s="889"/>
    </row>
    <row r="58482" spans="7:7" ht="10.5" customHeight="1" x14ac:dyDescent="0.2">
      <c r="G58482" s="889"/>
    </row>
    <row r="58483" spans="7:7" ht="10.5" customHeight="1" x14ac:dyDescent="0.2">
      <c r="G58483" s="889"/>
    </row>
    <row r="58484" spans="7:7" ht="10.5" customHeight="1" x14ac:dyDescent="0.2">
      <c r="G58484" s="889"/>
    </row>
    <row r="58485" spans="7:7" ht="10.5" customHeight="1" x14ac:dyDescent="0.2">
      <c r="G58485" s="889"/>
    </row>
    <row r="58486" spans="7:7" ht="10.5" customHeight="1" x14ac:dyDescent="0.2">
      <c r="G58486" s="889"/>
    </row>
    <row r="58487" spans="7:7" ht="10.5" customHeight="1" x14ac:dyDescent="0.2">
      <c r="G58487" s="889"/>
    </row>
    <row r="58488" spans="7:7" ht="10.5" customHeight="1" x14ac:dyDescent="0.2">
      <c r="G58488" s="889"/>
    </row>
    <row r="58489" spans="7:7" ht="10.5" customHeight="1" x14ac:dyDescent="0.2">
      <c r="G58489" s="889"/>
    </row>
    <row r="58490" spans="7:7" ht="10.5" customHeight="1" x14ac:dyDescent="0.2">
      <c r="G58490" s="889"/>
    </row>
    <row r="58491" spans="7:7" ht="10.5" customHeight="1" x14ac:dyDescent="0.2">
      <c r="G58491" s="889"/>
    </row>
    <row r="58492" spans="7:7" ht="10.5" customHeight="1" x14ac:dyDescent="0.2">
      <c r="G58492" s="889"/>
    </row>
    <row r="58493" spans="7:7" ht="10.5" customHeight="1" x14ac:dyDescent="0.2">
      <c r="G58493" s="889"/>
    </row>
    <row r="58494" spans="7:7" ht="10.5" customHeight="1" x14ac:dyDescent="0.2">
      <c r="G58494" s="889"/>
    </row>
    <row r="58495" spans="7:7" ht="10.5" customHeight="1" x14ac:dyDescent="0.2">
      <c r="G58495" s="889"/>
    </row>
    <row r="58496" spans="7:7" ht="10.5" customHeight="1" x14ac:dyDescent="0.2">
      <c r="G58496" s="889"/>
    </row>
    <row r="58497" spans="7:7" ht="10.5" customHeight="1" x14ac:dyDescent="0.2">
      <c r="G58497" s="889"/>
    </row>
    <row r="58498" spans="7:7" ht="10.5" customHeight="1" x14ac:dyDescent="0.2">
      <c r="G58498" s="889"/>
    </row>
    <row r="58499" spans="7:7" ht="10.5" customHeight="1" x14ac:dyDescent="0.2">
      <c r="G58499" s="889"/>
    </row>
    <row r="58500" spans="7:7" ht="10.5" customHeight="1" x14ac:dyDescent="0.2">
      <c r="G58500" s="889"/>
    </row>
    <row r="58501" spans="7:7" ht="10.5" customHeight="1" x14ac:dyDescent="0.2">
      <c r="G58501" s="889"/>
    </row>
    <row r="58502" spans="7:7" ht="10.5" customHeight="1" x14ac:dyDescent="0.2">
      <c r="G58502" s="889"/>
    </row>
    <row r="58503" spans="7:7" ht="10.5" customHeight="1" x14ac:dyDescent="0.2">
      <c r="G58503" s="889"/>
    </row>
    <row r="58504" spans="7:7" ht="10.5" customHeight="1" x14ac:dyDescent="0.2">
      <c r="G58504" s="889"/>
    </row>
    <row r="58505" spans="7:7" ht="10.5" customHeight="1" x14ac:dyDescent="0.2">
      <c r="G58505" s="889"/>
    </row>
    <row r="58506" spans="7:7" ht="10.5" customHeight="1" x14ac:dyDescent="0.2">
      <c r="G58506" s="889"/>
    </row>
    <row r="58507" spans="7:7" ht="10.5" customHeight="1" x14ac:dyDescent="0.2">
      <c r="G58507" s="889"/>
    </row>
    <row r="58508" spans="7:7" ht="10.5" customHeight="1" x14ac:dyDescent="0.2">
      <c r="G58508" s="889"/>
    </row>
    <row r="58509" spans="7:7" ht="10.5" customHeight="1" x14ac:dyDescent="0.2">
      <c r="G58509" s="889"/>
    </row>
    <row r="58510" spans="7:7" ht="10.5" customHeight="1" x14ac:dyDescent="0.2">
      <c r="G58510" s="889"/>
    </row>
    <row r="58511" spans="7:7" ht="10.5" customHeight="1" x14ac:dyDescent="0.2">
      <c r="G58511" s="889"/>
    </row>
    <row r="58512" spans="7:7" ht="10.5" customHeight="1" x14ac:dyDescent="0.2">
      <c r="G58512" s="889"/>
    </row>
    <row r="58513" spans="7:7" ht="10.5" customHeight="1" x14ac:dyDescent="0.2">
      <c r="G58513" s="889"/>
    </row>
    <row r="58514" spans="7:7" ht="10.5" customHeight="1" x14ac:dyDescent="0.2">
      <c r="G58514" s="889"/>
    </row>
    <row r="58515" spans="7:7" ht="10.5" customHeight="1" x14ac:dyDescent="0.2">
      <c r="G58515" s="889"/>
    </row>
    <row r="58516" spans="7:7" ht="10.5" customHeight="1" x14ac:dyDescent="0.2">
      <c r="G58516" s="889"/>
    </row>
    <row r="58517" spans="7:7" ht="10.5" customHeight="1" x14ac:dyDescent="0.2">
      <c r="G58517" s="889"/>
    </row>
    <row r="58518" spans="7:7" ht="10.5" customHeight="1" x14ac:dyDescent="0.2">
      <c r="G58518" s="889"/>
    </row>
    <row r="58519" spans="7:7" ht="10.5" customHeight="1" x14ac:dyDescent="0.2">
      <c r="G58519" s="889"/>
    </row>
    <row r="58520" spans="7:7" ht="10.5" customHeight="1" x14ac:dyDescent="0.2">
      <c r="G58520" s="889"/>
    </row>
    <row r="58521" spans="7:7" ht="10.5" customHeight="1" x14ac:dyDescent="0.2">
      <c r="G58521" s="889"/>
    </row>
    <row r="58522" spans="7:7" ht="10.5" customHeight="1" x14ac:dyDescent="0.2">
      <c r="G58522" s="889"/>
    </row>
    <row r="58523" spans="7:7" ht="10.5" customHeight="1" x14ac:dyDescent="0.2">
      <c r="G58523" s="889"/>
    </row>
    <row r="58524" spans="7:7" ht="10.5" customHeight="1" x14ac:dyDescent="0.2">
      <c r="G58524" s="889"/>
    </row>
    <row r="58525" spans="7:7" ht="10.5" customHeight="1" x14ac:dyDescent="0.2">
      <c r="G58525" s="889"/>
    </row>
    <row r="58526" spans="7:7" ht="10.5" customHeight="1" x14ac:dyDescent="0.2">
      <c r="G58526" s="889"/>
    </row>
    <row r="58527" spans="7:7" ht="10.5" customHeight="1" x14ac:dyDescent="0.2">
      <c r="G58527" s="889"/>
    </row>
    <row r="58528" spans="7:7" ht="10.5" customHeight="1" x14ac:dyDescent="0.2">
      <c r="G58528" s="889"/>
    </row>
    <row r="58529" spans="7:7" ht="10.5" customHeight="1" x14ac:dyDescent="0.2">
      <c r="G58529" s="889"/>
    </row>
    <row r="58530" spans="7:7" ht="10.5" customHeight="1" x14ac:dyDescent="0.2">
      <c r="G58530" s="889"/>
    </row>
    <row r="58531" spans="7:7" ht="10.5" customHeight="1" x14ac:dyDescent="0.2">
      <c r="G58531" s="889"/>
    </row>
    <row r="58532" spans="7:7" ht="10.5" customHeight="1" x14ac:dyDescent="0.2">
      <c r="G58532" s="889"/>
    </row>
    <row r="58533" spans="7:7" ht="10.5" customHeight="1" x14ac:dyDescent="0.2">
      <c r="G58533" s="889"/>
    </row>
    <row r="58534" spans="7:7" ht="10.5" customHeight="1" x14ac:dyDescent="0.2">
      <c r="G58534" s="889"/>
    </row>
    <row r="58535" spans="7:7" ht="10.5" customHeight="1" x14ac:dyDescent="0.2">
      <c r="G58535" s="889"/>
    </row>
    <row r="58536" spans="7:7" ht="10.5" customHeight="1" x14ac:dyDescent="0.2">
      <c r="G58536" s="889"/>
    </row>
    <row r="58537" spans="7:7" ht="10.5" customHeight="1" x14ac:dyDescent="0.2">
      <c r="G58537" s="889"/>
    </row>
    <row r="58538" spans="7:7" ht="10.5" customHeight="1" x14ac:dyDescent="0.2">
      <c r="G58538" s="889"/>
    </row>
    <row r="58539" spans="7:7" ht="10.5" customHeight="1" x14ac:dyDescent="0.2">
      <c r="G58539" s="889"/>
    </row>
    <row r="58540" spans="7:7" ht="10.5" customHeight="1" x14ac:dyDescent="0.2">
      <c r="G58540" s="889"/>
    </row>
    <row r="58541" spans="7:7" ht="10.5" customHeight="1" x14ac:dyDescent="0.2">
      <c r="G58541" s="889"/>
    </row>
    <row r="58542" spans="7:7" ht="10.5" customHeight="1" x14ac:dyDescent="0.2">
      <c r="G58542" s="889"/>
    </row>
    <row r="58543" spans="7:7" ht="10.5" customHeight="1" x14ac:dyDescent="0.2">
      <c r="G58543" s="889"/>
    </row>
    <row r="58544" spans="7:7" ht="10.5" customHeight="1" x14ac:dyDescent="0.2">
      <c r="G58544" s="889"/>
    </row>
    <row r="58545" spans="7:7" ht="10.5" customHeight="1" x14ac:dyDescent="0.2">
      <c r="G58545" s="889"/>
    </row>
    <row r="58546" spans="7:7" ht="10.5" customHeight="1" x14ac:dyDescent="0.2">
      <c r="G58546" s="889"/>
    </row>
    <row r="58547" spans="7:7" ht="10.5" customHeight="1" x14ac:dyDescent="0.2">
      <c r="G58547" s="889"/>
    </row>
    <row r="58548" spans="7:7" ht="10.5" customHeight="1" x14ac:dyDescent="0.2">
      <c r="G58548" s="889"/>
    </row>
    <row r="58549" spans="7:7" ht="10.5" customHeight="1" x14ac:dyDescent="0.2">
      <c r="G58549" s="889"/>
    </row>
    <row r="58550" spans="7:7" ht="10.5" customHeight="1" x14ac:dyDescent="0.2">
      <c r="G58550" s="889"/>
    </row>
    <row r="58551" spans="7:7" ht="10.5" customHeight="1" x14ac:dyDescent="0.2">
      <c r="G58551" s="889"/>
    </row>
    <row r="58552" spans="7:7" ht="10.5" customHeight="1" x14ac:dyDescent="0.2">
      <c r="G58552" s="889"/>
    </row>
    <row r="58553" spans="7:7" ht="10.5" customHeight="1" x14ac:dyDescent="0.2">
      <c r="G58553" s="889"/>
    </row>
    <row r="58554" spans="7:7" ht="10.5" customHeight="1" x14ac:dyDescent="0.2">
      <c r="G58554" s="889"/>
    </row>
    <row r="58555" spans="7:7" ht="10.5" customHeight="1" x14ac:dyDescent="0.2">
      <c r="G58555" s="889"/>
    </row>
    <row r="58556" spans="7:7" ht="10.5" customHeight="1" x14ac:dyDescent="0.2">
      <c r="G58556" s="889"/>
    </row>
    <row r="58557" spans="7:7" ht="10.5" customHeight="1" x14ac:dyDescent="0.2">
      <c r="G58557" s="889"/>
    </row>
    <row r="58558" spans="7:7" ht="10.5" customHeight="1" x14ac:dyDescent="0.2">
      <c r="G58558" s="889"/>
    </row>
    <row r="58559" spans="7:7" ht="10.5" customHeight="1" x14ac:dyDescent="0.2">
      <c r="G58559" s="889"/>
    </row>
    <row r="58560" spans="7:7" ht="10.5" customHeight="1" x14ac:dyDescent="0.2">
      <c r="G58560" s="889"/>
    </row>
    <row r="58561" spans="7:7" ht="10.5" customHeight="1" x14ac:dyDescent="0.2">
      <c r="G58561" s="889"/>
    </row>
    <row r="58562" spans="7:7" ht="10.5" customHeight="1" x14ac:dyDescent="0.2">
      <c r="G58562" s="889"/>
    </row>
    <row r="58563" spans="7:7" ht="10.5" customHeight="1" x14ac:dyDescent="0.2">
      <c r="G58563" s="889"/>
    </row>
    <row r="58564" spans="7:7" ht="10.5" customHeight="1" x14ac:dyDescent="0.2">
      <c r="G58564" s="889"/>
    </row>
    <row r="58565" spans="7:7" ht="10.5" customHeight="1" x14ac:dyDescent="0.2">
      <c r="G58565" s="889"/>
    </row>
    <row r="58566" spans="7:7" ht="10.5" customHeight="1" x14ac:dyDescent="0.2">
      <c r="G58566" s="889"/>
    </row>
    <row r="58567" spans="7:7" ht="10.5" customHeight="1" x14ac:dyDescent="0.2">
      <c r="G58567" s="889"/>
    </row>
    <row r="58568" spans="7:7" ht="10.5" customHeight="1" x14ac:dyDescent="0.2">
      <c r="G58568" s="889"/>
    </row>
    <row r="58569" spans="7:7" ht="10.5" customHeight="1" x14ac:dyDescent="0.2">
      <c r="G58569" s="889"/>
    </row>
    <row r="58570" spans="7:7" ht="10.5" customHeight="1" x14ac:dyDescent="0.2">
      <c r="G58570" s="889"/>
    </row>
    <row r="58571" spans="7:7" ht="10.5" customHeight="1" x14ac:dyDescent="0.2">
      <c r="G58571" s="889"/>
    </row>
    <row r="58572" spans="7:7" ht="10.5" customHeight="1" x14ac:dyDescent="0.2">
      <c r="G58572" s="889"/>
    </row>
    <row r="58573" spans="7:7" ht="10.5" customHeight="1" x14ac:dyDescent="0.2">
      <c r="G58573" s="889"/>
    </row>
    <row r="58574" spans="7:7" ht="10.5" customHeight="1" x14ac:dyDescent="0.2">
      <c r="G58574" s="889"/>
    </row>
    <row r="58575" spans="7:7" ht="10.5" customHeight="1" x14ac:dyDescent="0.2">
      <c r="G58575" s="889"/>
    </row>
    <row r="58576" spans="7:7" ht="10.5" customHeight="1" x14ac:dyDescent="0.2">
      <c r="G58576" s="889"/>
    </row>
    <row r="58577" spans="7:7" ht="10.5" customHeight="1" x14ac:dyDescent="0.2">
      <c r="G58577" s="889"/>
    </row>
    <row r="58578" spans="7:7" ht="10.5" customHeight="1" x14ac:dyDescent="0.2">
      <c r="G58578" s="889"/>
    </row>
    <row r="58579" spans="7:7" ht="10.5" customHeight="1" x14ac:dyDescent="0.2">
      <c r="G58579" s="889"/>
    </row>
    <row r="58580" spans="7:7" ht="10.5" customHeight="1" x14ac:dyDescent="0.2">
      <c r="G58580" s="889"/>
    </row>
    <row r="58581" spans="7:7" ht="10.5" customHeight="1" x14ac:dyDescent="0.2">
      <c r="G58581" s="889"/>
    </row>
    <row r="58582" spans="7:7" ht="10.5" customHeight="1" x14ac:dyDescent="0.2">
      <c r="G58582" s="889"/>
    </row>
    <row r="58583" spans="7:7" ht="10.5" customHeight="1" x14ac:dyDescent="0.2">
      <c r="G58583" s="889"/>
    </row>
    <row r="58584" spans="7:7" ht="10.5" customHeight="1" x14ac:dyDescent="0.2">
      <c r="G58584" s="889"/>
    </row>
    <row r="58585" spans="7:7" ht="10.5" customHeight="1" x14ac:dyDescent="0.2">
      <c r="G58585" s="889"/>
    </row>
    <row r="58586" spans="7:7" ht="10.5" customHeight="1" x14ac:dyDescent="0.2">
      <c r="G58586" s="889"/>
    </row>
    <row r="58587" spans="7:7" ht="10.5" customHeight="1" x14ac:dyDescent="0.2">
      <c r="G58587" s="889"/>
    </row>
    <row r="58588" spans="7:7" ht="10.5" customHeight="1" x14ac:dyDescent="0.2">
      <c r="G58588" s="889"/>
    </row>
    <row r="58589" spans="7:7" ht="10.5" customHeight="1" x14ac:dyDescent="0.2">
      <c r="G58589" s="889"/>
    </row>
    <row r="58590" spans="7:7" ht="10.5" customHeight="1" x14ac:dyDescent="0.2">
      <c r="G58590" s="889"/>
    </row>
    <row r="58591" spans="7:7" ht="10.5" customHeight="1" x14ac:dyDescent="0.2">
      <c r="G58591" s="889"/>
    </row>
    <row r="58592" spans="7:7" ht="10.5" customHeight="1" x14ac:dyDescent="0.2">
      <c r="G58592" s="889"/>
    </row>
    <row r="58593" spans="7:7" ht="10.5" customHeight="1" x14ac:dyDescent="0.2">
      <c r="G58593" s="889"/>
    </row>
    <row r="58594" spans="7:7" ht="10.5" customHeight="1" x14ac:dyDescent="0.2">
      <c r="G58594" s="889"/>
    </row>
    <row r="58595" spans="7:7" ht="10.5" customHeight="1" x14ac:dyDescent="0.2">
      <c r="G58595" s="889"/>
    </row>
    <row r="58596" spans="7:7" ht="10.5" customHeight="1" x14ac:dyDescent="0.2">
      <c r="G58596" s="889"/>
    </row>
    <row r="58597" spans="7:7" ht="10.5" customHeight="1" x14ac:dyDescent="0.2">
      <c r="G58597" s="889"/>
    </row>
    <row r="58598" spans="7:7" ht="10.5" customHeight="1" x14ac:dyDescent="0.2">
      <c r="G58598" s="889"/>
    </row>
    <row r="58599" spans="7:7" ht="10.5" customHeight="1" x14ac:dyDescent="0.2">
      <c r="G58599" s="889"/>
    </row>
    <row r="58600" spans="7:7" ht="10.5" customHeight="1" x14ac:dyDescent="0.2">
      <c r="G58600" s="889"/>
    </row>
    <row r="58601" spans="7:7" ht="10.5" customHeight="1" x14ac:dyDescent="0.2">
      <c r="G58601" s="889"/>
    </row>
    <row r="58602" spans="7:7" ht="10.5" customHeight="1" x14ac:dyDescent="0.2">
      <c r="G58602" s="889"/>
    </row>
    <row r="58603" spans="7:7" ht="10.5" customHeight="1" x14ac:dyDescent="0.2">
      <c r="G58603" s="889"/>
    </row>
    <row r="58604" spans="7:7" ht="10.5" customHeight="1" x14ac:dyDescent="0.2">
      <c r="G58604" s="889"/>
    </row>
    <row r="58605" spans="7:7" ht="10.5" customHeight="1" x14ac:dyDescent="0.2">
      <c r="G58605" s="889"/>
    </row>
    <row r="58606" spans="7:7" ht="10.5" customHeight="1" x14ac:dyDescent="0.2">
      <c r="G58606" s="889"/>
    </row>
    <row r="58607" spans="7:7" ht="10.5" customHeight="1" x14ac:dyDescent="0.2">
      <c r="G58607" s="889"/>
    </row>
    <row r="58608" spans="7:7" ht="10.5" customHeight="1" x14ac:dyDescent="0.2">
      <c r="G58608" s="889"/>
    </row>
    <row r="58609" spans="7:7" ht="10.5" customHeight="1" x14ac:dyDescent="0.2">
      <c r="G58609" s="889"/>
    </row>
    <row r="58610" spans="7:7" ht="10.5" customHeight="1" x14ac:dyDescent="0.2">
      <c r="G58610" s="889"/>
    </row>
    <row r="58611" spans="7:7" ht="10.5" customHeight="1" x14ac:dyDescent="0.2">
      <c r="G58611" s="889"/>
    </row>
    <row r="58612" spans="7:7" ht="10.5" customHeight="1" x14ac:dyDescent="0.2">
      <c r="G58612" s="889"/>
    </row>
    <row r="58613" spans="7:7" ht="10.5" customHeight="1" x14ac:dyDescent="0.2">
      <c r="G58613" s="889"/>
    </row>
    <row r="58614" spans="7:7" ht="10.5" customHeight="1" x14ac:dyDescent="0.2">
      <c r="G58614" s="889"/>
    </row>
    <row r="58615" spans="7:7" ht="10.5" customHeight="1" x14ac:dyDescent="0.2">
      <c r="G58615" s="889"/>
    </row>
    <row r="58616" spans="7:7" ht="10.5" customHeight="1" x14ac:dyDescent="0.2">
      <c r="G58616" s="889"/>
    </row>
    <row r="58617" spans="7:7" ht="10.5" customHeight="1" x14ac:dyDescent="0.2">
      <c r="G58617" s="889"/>
    </row>
    <row r="58618" spans="7:7" ht="10.5" customHeight="1" x14ac:dyDescent="0.2">
      <c r="G58618" s="889"/>
    </row>
    <row r="58619" spans="7:7" ht="10.5" customHeight="1" x14ac:dyDescent="0.2">
      <c r="G58619" s="889"/>
    </row>
    <row r="58620" spans="7:7" ht="10.5" customHeight="1" x14ac:dyDescent="0.2">
      <c r="G58620" s="889"/>
    </row>
    <row r="58621" spans="7:7" ht="10.5" customHeight="1" x14ac:dyDescent="0.2">
      <c r="G58621" s="889"/>
    </row>
    <row r="58622" spans="7:7" ht="10.5" customHeight="1" x14ac:dyDescent="0.2">
      <c r="G58622" s="889"/>
    </row>
    <row r="58623" spans="7:7" ht="10.5" customHeight="1" x14ac:dyDescent="0.2">
      <c r="G58623" s="889"/>
    </row>
    <row r="58624" spans="7:7" ht="10.5" customHeight="1" x14ac:dyDescent="0.2">
      <c r="G58624" s="889"/>
    </row>
    <row r="58625" spans="7:7" ht="10.5" customHeight="1" x14ac:dyDescent="0.2">
      <c r="G58625" s="889"/>
    </row>
    <row r="58626" spans="7:7" ht="10.5" customHeight="1" x14ac:dyDescent="0.2">
      <c r="G58626" s="889"/>
    </row>
    <row r="58627" spans="7:7" ht="10.5" customHeight="1" x14ac:dyDescent="0.2">
      <c r="G58627" s="889"/>
    </row>
    <row r="58628" spans="7:7" ht="10.5" customHeight="1" x14ac:dyDescent="0.2">
      <c r="G58628" s="889"/>
    </row>
    <row r="58629" spans="7:7" ht="10.5" customHeight="1" x14ac:dyDescent="0.2">
      <c r="G58629" s="889"/>
    </row>
    <row r="58630" spans="7:7" ht="10.5" customHeight="1" x14ac:dyDescent="0.2">
      <c r="G58630" s="889"/>
    </row>
    <row r="58631" spans="7:7" ht="10.5" customHeight="1" x14ac:dyDescent="0.2">
      <c r="G58631" s="889"/>
    </row>
    <row r="58632" spans="7:7" ht="10.5" customHeight="1" x14ac:dyDescent="0.2">
      <c r="G58632" s="889"/>
    </row>
    <row r="58633" spans="7:7" ht="10.5" customHeight="1" x14ac:dyDescent="0.2">
      <c r="G58633" s="889"/>
    </row>
    <row r="58634" spans="7:7" ht="10.5" customHeight="1" x14ac:dyDescent="0.2">
      <c r="G58634" s="889"/>
    </row>
    <row r="58635" spans="7:7" ht="10.5" customHeight="1" x14ac:dyDescent="0.2">
      <c r="G58635" s="889"/>
    </row>
    <row r="58636" spans="7:7" ht="10.5" customHeight="1" x14ac:dyDescent="0.2">
      <c r="G58636" s="889"/>
    </row>
    <row r="58637" spans="7:7" ht="10.5" customHeight="1" x14ac:dyDescent="0.2">
      <c r="G58637" s="889"/>
    </row>
    <row r="58638" spans="7:7" ht="10.5" customHeight="1" x14ac:dyDescent="0.2">
      <c r="G58638" s="889"/>
    </row>
    <row r="58639" spans="7:7" ht="10.5" customHeight="1" x14ac:dyDescent="0.2">
      <c r="G58639" s="889"/>
    </row>
    <row r="58640" spans="7:7" ht="10.5" customHeight="1" x14ac:dyDescent="0.2">
      <c r="G58640" s="889"/>
    </row>
    <row r="58641" spans="7:7" ht="10.5" customHeight="1" x14ac:dyDescent="0.2">
      <c r="G58641" s="889"/>
    </row>
    <row r="58642" spans="7:7" ht="10.5" customHeight="1" x14ac:dyDescent="0.2">
      <c r="G58642" s="889"/>
    </row>
    <row r="58643" spans="7:7" ht="10.5" customHeight="1" x14ac:dyDescent="0.2">
      <c r="G58643" s="889"/>
    </row>
    <row r="58644" spans="7:7" ht="10.5" customHeight="1" x14ac:dyDescent="0.2">
      <c r="G58644" s="889"/>
    </row>
    <row r="58645" spans="7:7" ht="10.5" customHeight="1" x14ac:dyDescent="0.2">
      <c r="G58645" s="889"/>
    </row>
    <row r="58646" spans="7:7" ht="10.5" customHeight="1" x14ac:dyDescent="0.2">
      <c r="G58646" s="889"/>
    </row>
    <row r="58647" spans="7:7" ht="10.5" customHeight="1" x14ac:dyDescent="0.2">
      <c r="G58647" s="889"/>
    </row>
    <row r="58648" spans="7:7" ht="10.5" customHeight="1" x14ac:dyDescent="0.2">
      <c r="G58648" s="889"/>
    </row>
    <row r="58649" spans="7:7" ht="10.5" customHeight="1" x14ac:dyDescent="0.2">
      <c r="G58649" s="889"/>
    </row>
    <row r="58650" spans="7:7" ht="10.5" customHeight="1" x14ac:dyDescent="0.2">
      <c r="G58650" s="889"/>
    </row>
    <row r="58651" spans="7:7" ht="10.5" customHeight="1" x14ac:dyDescent="0.2">
      <c r="G58651" s="889"/>
    </row>
    <row r="58652" spans="7:7" ht="10.5" customHeight="1" x14ac:dyDescent="0.2">
      <c r="G58652" s="889"/>
    </row>
    <row r="58653" spans="7:7" ht="10.5" customHeight="1" x14ac:dyDescent="0.2">
      <c r="G58653" s="889"/>
    </row>
    <row r="58654" spans="7:7" ht="10.5" customHeight="1" x14ac:dyDescent="0.2">
      <c r="G58654" s="889"/>
    </row>
    <row r="58655" spans="7:7" ht="10.5" customHeight="1" x14ac:dyDescent="0.2">
      <c r="G58655" s="889"/>
    </row>
    <row r="58656" spans="7:7" ht="10.5" customHeight="1" x14ac:dyDescent="0.2">
      <c r="G58656" s="889"/>
    </row>
    <row r="58657" spans="7:7" ht="10.5" customHeight="1" x14ac:dyDescent="0.2">
      <c r="G58657" s="889"/>
    </row>
    <row r="58658" spans="7:7" ht="10.5" customHeight="1" x14ac:dyDescent="0.2">
      <c r="G58658" s="889"/>
    </row>
    <row r="58659" spans="7:7" ht="10.5" customHeight="1" x14ac:dyDescent="0.2">
      <c r="G58659" s="889"/>
    </row>
    <row r="58660" spans="7:7" ht="10.5" customHeight="1" x14ac:dyDescent="0.2">
      <c r="G58660" s="889"/>
    </row>
    <row r="58661" spans="7:7" ht="10.5" customHeight="1" x14ac:dyDescent="0.2">
      <c r="G58661" s="889"/>
    </row>
    <row r="58662" spans="7:7" ht="10.5" customHeight="1" x14ac:dyDescent="0.2">
      <c r="G58662" s="889"/>
    </row>
    <row r="58663" spans="7:7" ht="10.5" customHeight="1" x14ac:dyDescent="0.2">
      <c r="G58663" s="889"/>
    </row>
    <row r="58664" spans="7:7" ht="10.5" customHeight="1" x14ac:dyDescent="0.2">
      <c r="G58664" s="889"/>
    </row>
    <row r="58665" spans="7:7" ht="10.5" customHeight="1" x14ac:dyDescent="0.2">
      <c r="G58665" s="889"/>
    </row>
    <row r="58666" spans="7:7" ht="10.5" customHeight="1" x14ac:dyDescent="0.2">
      <c r="G58666" s="889"/>
    </row>
    <row r="58667" spans="7:7" ht="10.5" customHeight="1" x14ac:dyDescent="0.2">
      <c r="G58667" s="889"/>
    </row>
    <row r="58668" spans="7:7" ht="10.5" customHeight="1" x14ac:dyDescent="0.2">
      <c r="G58668" s="889"/>
    </row>
    <row r="58669" spans="7:7" ht="10.5" customHeight="1" x14ac:dyDescent="0.2">
      <c r="G58669" s="889"/>
    </row>
    <row r="58670" spans="7:7" ht="10.5" customHeight="1" x14ac:dyDescent="0.2">
      <c r="G58670" s="889"/>
    </row>
    <row r="58671" spans="7:7" ht="10.5" customHeight="1" x14ac:dyDescent="0.2">
      <c r="G58671" s="889"/>
    </row>
    <row r="58672" spans="7:7" ht="10.5" customHeight="1" x14ac:dyDescent="0.2">
      <c r="G58672" s="889"/>
    </row>
    <row r="58673" spans="7:7" ht="10.5" customHeight="1" x14ac:dyDescent="0.2">
      <c r="G58673" s="889"/>
    </row>
    <row r="58674" spans="7:7" ht="10.5" customHeight="1" x14ac:dyDescent="0.2">
      <c r="G58674" s="889"/>
    </row>
    <row r="58675" spans="7:7" ht="10.5" customHeight="1" x14ac:dyDescent="0.2">
      <c r="G58675" s="889"/>
    </row>
    <row r="58676" spans="7:7" ht="10.5" customHeight="1" x14ac:dyDescent="0.2">
      <c r="G58676" s="889"/>
    </row>
    <row r="58677" spans="7:7" ht="10.5" customHeight="1" x14ac:dyDescent="0.2">
      <c r="G58677" s="889"/>
    </row>
    <row r="58678" spans="7:7" ht="10.5" customHeight="1" x14ac:dyDescent="0.2">
      <c r="G58678" s="889"/>
    </row>
    <row r="58679" spans="7:7" ht="10.5" customHeight="1" x14ac:dyDescent="0.2">
      <c r="G58679" s="889"/>
    </row>
    <row r="58680" spans="7:7" ht="10.5" customHeight="1" x14ac:dyDescent="0.2">
      <c r="G58680" s="889"/>
    </row>
    <row r="58681" spans="7:7" ht="10.5" customHeight="1" x14ac:dyDescent="0.2">
      <c r="G58681" s="889"/>
    </row>
    <row r="58682" spans="7:7" ht="10.5" customHeight="1" x14ac:dyDescent="0.2">
      <c r="G58682" s="889"/>
    </row>
    <row r="58683" spans="7:7" ht="10.5" customHeight="1" x14ac:dyDescent="0.2">
      <c r="G58683" s="889"/>
    </row>
    <row r="58684" spans="7:7" ht="10.5" customHeight="1" x14ac:dyDescent="0.2">
      <c r="G58684" s="889"/>
    </row>
    <row r="58685" spans="7:7" ht="10.5" customHeight="1" x14ac:dyDescent="0.2">
      <c r="G58685" s="889"/>
    </row>
    <row r="58686" spans="7:7" ht="10.5" customHeight="1" x14ac:dyDescent="0.2">
      <c r="G58686" s="889"/>
    </row>
    <row r="58687" spans="7:7" ht="10.5" customHeight="1" x14ac:dyDescent="0.2">
      <c r="G58687" s="889"/>
    </row>
    <row r="58688" spans="7:7" ht="10.5" customHeight="1" x14ac:dyDescent="0.2">
      <c r="G58688" s="889"/>
    </row>
    <row r="58689" spans="7:7" ht="10.5" customHeight="1" x14ac:dyDescent="0.2">
      <c r="G58689" s="889"/>
    </row>
    <row r="58690" spans="7:7" ht="10.5" customHeight="1" x14ac:dyDescent="0.2">
      <c r="G58690" s="889"/>
    </row>
    <row r="58691" spans="7:7" ht="10.5" customHeight="1" x14ac:dyDescent="0.2">
      <c r="G58691" s="889"/>
    </row>
    <row r="58692" spans="7:7" ht="10.5" customHeight="1" x14ac:dyDescent="0.2">
      <c r="G58692" s="889"/>
    </row>
    <row r="58693" spans="7:7" ht="10.5" customHeight="1" x14ac:dyDescent="0.2">
      <c r="G58693" s="889"/>
    </row>
    <row r="58694" spans="7:7" ht="10.5" customHeight="1" x14ac:dyDescent="0.2">
      <c r="G58694" s="889"/>
    </row>
    <row r="58695" spans="7:7" ht="10.5" customHeight="1" x14ac:dyDescent="0.2">
      <c r="G58695" s="889"/>
    </row>
    <row r="58696" spans="7:7" ht="10.5" customHeight="1" x14ac:dyDescent="0.2">
      <c r="G58696" s="889"/>
    </row>
    <row r="58697" spans="7:7" ht="10.5" customHeight="1" x14ac:dyDescent="0.2">
      <c r="G58697" s="889"/>
    </row>
    <row r="58698" spans="7:7" ht="10.5" customHeight="1" x14ac:dyDescent="0.2">
      <c r="G58698" s="889"/>
    </row>
    <row r="58699" spans="7:7" ht="10.5" customHeight="1" x14ac:dyDescent="0.2">
      <c r="G58699" s="889"/>
    </row>
    <row r="58700" spans="7:7" ht="10.5" customHeight="1" x14ac:dyDescent="0.2">
      <c r="G58700" s="889"/>
    </row>
    <row r="58701" spans="7:7" ht="10.5" customHeight="1" x14ac:dyDescent="0.2">
      <c r="G58701" s="889"/>
    </row>
    <row r="58702" spans="7:7" ht="10.5" customHeight="1" x14ac:dyDescent="0.2">
      <c r="G58702" s="889"/>
    </row>
    <row r="58703" spans="7:7" ht="10.5" customHeight="1" x14ac:dyDescent="0.2">
      <c r="G58703" s="889"/>
    </row>
    <row r="58704" spans="7:7" ht="10.5" customHeight="1" x14ac:dyDescent="0.2">
      <c r="G58704" s="889"/>
    </row>
    <row r="58705" spans="7:7" ht="10.5" customHeight="1" x14ac:dyDescent="0.2">
      <c r="G58705" s="889"/>
    </row>
    <row r="58706" spans="7:7" ht="10.5" customHeight="1" x14ac:dyDescent="0.2">
      <c r="G58706" s="889"/>
    </row>
    <row r="58707" spans="7:7" ht="10.5" customHeight="1" x14ac:dyDescent="0.2">
      <c r="G58707" s="889"/>
    </row>
    <row r="58708" spans="7:7" ht="10.5" customHeight="1" x14ac:dyDescent="0.2">
      <c r="G58708" s="889"/>
    </row>
    <row r="58709" spans="7:7" ht="10.5" customHeight="1" x14ac:dyDescent="0.2">
      <c r="G58709" s="889"/>
    </row>
    <row r="58710" spans="7:7" ht="10.5" customHeight="1" x14ac:dyDescent="0.2">
      <c r="G58710" s="889"/>
    </row>
    <row r="58711" spans="7:7" ht="10.5" customHeight="1" x14ac:dyDescent="0.2">
      <c r="G58711" s="889"/>
    </row>
    <row r="58712" spans="7:7" ht="10.5" customHeight="1" x14ac:dyDescent="0.2">
      <c r="G58712" s="889"/>
    </row>
    <row r="58713" spans="7:7" ht="10.5" customHeight="1" x14ac:dyDescent="0.2">
      <c r="G58713" s="889"/>
    </row>
    <row r="58714" spans="7:7" ht="10.5" customHeight="1" x14ac:dyDescent="0.2">
      <c r="G58714" s="889"/>
    </row>
    <row r="58715" spans="7:7" ht="10.5" customHeight="1" x14ac:dyDescent="0.2">
      <c r="G58715" s="889"/>
    </row>
    <row r="58716" spans="7:7" ht="10.5" customHeight="1" x14ac:dyDescent="0.2">
      <c r="G58716" s="889"/>
    </row>
    <row r="58717" spans="7:7" ht="10.5" customHeight="1" x14ac:dyDescent="0.2">
      <c r="G58717" s="889"/>
    </row>
    <row r="58718" spans="7:7" ht="10.5" customHeight="1" x14ac:dyDescent="0.2">
      <c r="G58718" s="889"/>
    </row>
    <row r="58719" spans="7:7" ht="10.5" customHeight="1" x14ac:dyDescent="0.2">
      <c r="G58719" s="889"/>
    </row>
    <row r="58720" spans="7:7" ht="10.5" customHeight="1" x14ac:dyDescent="0.2">
      <c r="G58720" s="889"/>
    </row>
    <row r="58721" spans="7:7" ht="10.5" customHeight="1" x14ac:dyDescent="0.2">
      <c r="G58721" s="889"/>
    </row>
    <row r="58722" spans="7:7" ht="10.5" customHeight="1" x14ac:dyDescent="0.2">
      <c r="G58722" s="889"/>
    </row>
    <row r="58723" spans="7:7" ht="10.5" customHeight="1" x14ac:dyDescent="0.2">
      <c r="G58723" s="889"/>
    </row>
    <row r="58724" spans="7:7" ht="10.5" customHeight="1" x14ac:dyDescent="0.2">
      <c r="G58724" s="889"/>
    </row>
    <row r="58725" spans="7:7" ht="10.5" customHeight="1" x14ac:dyDescent="0.2">
      <c r="G58725" s="889"/>
    </row>
    <row r="58726" spans="7:7" ht="10.5" customHeight="1" x14ac:dyDescent="0.2">
      <c r="G58726" s="889"/>
    </row>
    <row r="58727" spans="7:7" ht="10.5" customHeight="1" x14ac:dyDescent="0.2">
      <c r="G58727" s="889"/>
    </row>
    <row r="58728" spans="7:7" ht="10.5" customHeight="1" x14ac:dyDescent="0.2">
      <c r="G58728" s="889"/>
    </row>
    <row r="58729" spans="7:7" ht="10.5" customHeight="1" x14ac:dyDescent="0.2">
      <c r="G58729" s="889"/>
    </row>
    <row r="58730" spans="7:7" ht="10.5" customHeight="1" x14ac:dyDescent="0.2">
      <c r="G58730" s="889"/>
    </row>
    <row r="58731" spans="7:7" ht="10.5" customHeight="1" x14ac:dyDescent="0.2">
      <c r="G58731" s="889"/>
    </row>
    <row r="58732" spans="7:7" ht="10.5" customHeight="1" x14ac:dyDescent="0.2">
      <c r="G58732" s="889"/>
    </row>
    <row r="58733" spans="7:7" ht="10.5" customHeight="1" x14ac:dyDescent="0.2">
      <c r="G58733" s="889"/>
    </row>
    <row r="58734" spans="7:7" ht="10.5" customHeight="1" x14ac:dyDescent="0.2">
      <c r="G58734" s="889"/>
    </row>
    <row r="58735" spans="7:7" ht="10.5" customHeight="1" x14ac:dyDescent="0.2">
      <c r="G58735" s="889"/>
    </row>
    <row r="58736" spans="7:7" ht="10.5" customHeight="1" x14ac:dyDescent="0.2">
      <c r="G58736" s="889"/>
    </row>
    <row r="58737" spans="7:7" ht="10.5" customHeight="1" x14ac:dyDescent="0.2">
      <c r="G58737" s="889"/>
    </row>
    <row r="58738" spans="7:7" ht="10.5" customHeight="1" x14ac:dyDescent="0.2">
      <c r="G58738" s="889"/>
    </row>
    <row r="58739" spans="7:7" ht="10.5" customHeight="1" x14ac:dyDescent="0.2">
      <c r="G58739" s="889"/>
    </row>
    <row r="58740" spans="7:7" ht="10.5" customHeight="1" x14ac:dyDescent="0.2">
      <c r="G58740" s="889"/>
    </row>
    <row r="58741" spans="7:7" ht="10.5" customHeight="1" x14ac:dyDescent="0.2">
      <c r="G58741" s="889"/>
    </row>
    <row r="58742" spans="7:7" ht="10.5" customHeight="1" x14ac:dyDescent="0.2">
      <c r="G58742" s="889"/>
    </row>
    <row r="58743" spans="7:7" ht="10.5" customHeight="1" x14ac:dyDescent="0.2">
      <c r="G58743" s="889"/>
    </row>
    <row r="58744" spans="7:7" ht="10.5" customHeight="1" x14ac:dyDescent="0.2">
      <c r="G58744" s="889"/>
    </row>
    <row r="58745" spans="7:7" ht="10.5" customHeight="1" x14ac:dyDescent="0.2">
      <c r="G58745" s="889"/>
    </row>
    <row r="58746" spans="7:7" ht="10.5" customHeight="1" x14ac:dyDescent="0.2">
      <c r="G58746" s="889"/>
    </row>
    <row r="58747" spans="7:7" ht="10.5" customHeight="1" x14ac:dyDescent="0.2">
      <c r="G58747" s="889"/>
    </row>
    <row r="58748" spans="7:7" ht="10.5" customHeight="1" x14ac:dyDescent="0.2">
      <c r="G58748" s="889"/>
    </row>
    <row r="58749" spans="7:7" ht="10.5" customHeight="1" x14ac:dyDescent="0.2">
      <c r="G58749" s="889"/>
    </row>
    <row r="58750" spans="7:7" ht="10.5" customHeight="1" x14ac:dyDescent="0.2">
      <c r="G58750" s="889"/>
    </row>
    <row r="58751" spans="7:7" ht="10.5" customHeight="1" x14ac:dyDescent="0.2">
      <c r="G58751" s="889"/>
    </row>
    <row r="58752" spans="7:7" ht="10.5" customHeight="1" x14ac:dyDescent="0.2">
      <c r="G58752" s="889"/>
    </row>
    <row r="58753" spans="7:7" ht="10.5" customHeight="1" x14ac:dyDescent="0.2">
      <c r="G58753" s="889"/>
    </row>
    <row r="58754" spans="7:7" ht="10.5" customHeight="1" x14ac:dyDescent="0.2">
      <c r="G58754" s="889"/>
    </row>
    <row r="58755" spans="7:7" ht="10.5" customHeight="1" x14ac:dyDescent="0.2">
      <c r="G58755" s="889"/>
    </row>
    <row r="58756" spans="7:7" ht="10.5" customHeight="1" x14ac:dyDescent="0.2">
      <c r="G58756" s="889"/>
    </row>
    <row r="58757" spans="7:7" ht="10.5" customHeight="1" x14ac:dyDescent="0.2">
      <c r="G58757" s="889"/>
    </row>
    <row r="58758" spans="7:7" ht="10.5" customHeight="1" x14ac:dyDescent="0.2">
      <c r="G58758" s="889"/>
    </row>
    <row r="58759" spans="7:7" ht="10.5" customHeight="1" x14ac:dyDescent="0.2">
      <c r="G58759" s="889"/>
    </row>
    <row r="58760" spans="7:7" ht="10.5" customHeight="1" x14ac:dyDescent="0.2">
      <c r="G58760" s="889"/>
    </row>
    <row r="58761" spans="7:7" ht="10.5" customHeight="1" x14ac:dyDescent="0.2">
      <c r="G58761" s="889"/>
    </row>
    <row r="58762" spans="7:7" ht="10.5" customHeight="1" x14ac:dyDescent="0.2">
      <c r="G58762" s="889"/>
    </row>
    <row r="58763" spans="7:7" ht="10.5" customHeight="1" x14ac:dyDescent="0.2">
      <c r="G58763" s="889"/>
    </row>
    <row r="58764" spans="7:7" ht="10.5" customHeight="1" x14ac:dyDescent="0.2">
      <c r="G58764" s="889"/>
    </row>
    <row r="58765" spans="7:7" ht="10.5" customHeight="1" x14ac:dyDescent="0.2">
      <c r="G58765" s="889"/>
    </row>
    <row r="58766" spans="7:7" ht="10.5" customHeight="1" x14ac:dyDescent="0.2">
      <c r="G58766" s="889"/>
    </row>
    <row r="58767" spans="7:7" ht="10.5" customHeight="1" x14ac:dyDescent="0.2">
      <c r="G58767" s="889"/>
    </row>
    <row r="58768" spans="7:7" ht="10.5" customHeight="1" x14ac:dyDescent="0.2">
      <c r="G58768" s="889"/>
    </row>
    <row r="58769" spans="7:7" ht="10.5" customHeight="1" x14ac:dyDescent="0.2">
      <c r="G58769" s="889"/>
    </row>
    <row r="58770" spans="7:7" ht="10.5" customHeight="1" x14ac:dyDescent="0.2">
      <c r="G58770" s="889"/>
    </row>
    <row r="58771" spans="7:7" ht="10.5" customHeight="1" x14ac:dyDescent="0.2">
      <c r="G58771" s="889"/>
    </row>
    <row r="58772" spans="7:7" ht="10.5" customHeight="1" x14ac:dyDescent="0.2">
      <c r="G58772" s="889"/>
    </row>
    <row r="58773" spans="7:7" ht="10.5" customHeight="1" x14ac:dyDescent="0.2">
      <c r="G58773" s="889"/>
    </row>
    <row r="58774" spans="7:7" ht="10.5" customHeight="1" x14ac:dyDescent="0.2">
      <c r="G58774" s="889"/>
    </row>
    <row r="58775" spans="7:7" ht="10.5" customHeight="1" x14ac:dyDescent="0.2">
      <c r="G58775" s="889"/>
    </row>
    <row r="58776" spans="7:7" ht="10.5" customHeight="1" x14ac:dyDescent="0.2">
      <c r="G58776" s="889"/>
    </row>
    <row r="58777" spans="7:7" ht="10.5" customHeight="1" x14ac:dyDescent="0.2">
      <c r="G58777" s="889"/>
    </row>
    <row r="58778" spans="7:7" ht="10.5" customHeight="1" x14ac:dyDescent="0.2">
      <c r="G58778" s="889"/>
    </row>
    <row r="58779" spans="7:7" ht="10.5" customHeight="1" x14ac:dyDescent="0.2">
      <c r="G58779" s="889"/>
    </row>
    <row r="58780" spans="7:7" ht="10.5" customHeight="1" x14ac:dyDescent="0.2">
      <c r="G58780" s="889"/>
    </row>
    <row r="58781" spans="7:7" ht="10.5" customHeight="1" x14ac:dyDescent="0.2">
      <c r="G58781" s="889"/>
    </row>
    <row r="58782" spans="7:7" ht="10.5" customHeight="1" x14ac:dyDescent="0.2">
      <c r="G58782" s="889"/>
    </row>
    <row r="58783" spans="7:7" ht="10.5" customHeight="1" x14ac:dyDescent="0.2">
      <c r="G58783" s="889"/>
    </row>
    <row r="58784" spans="7:7" ht="10.5" customHeight="1" x14ac:dyDescent="0.2">
      <c r="G58784" s="889"/>
    </row>
    <row r="58785" spans="7:7" ht="10.5" customHeight="1" x14ac:dyDescent="0.2">
      <c r="G58785" s="889"/>
    </row>
    <row r="58786" spans="7:7" ht="10.5" customHeight="1" x14ac:dyDescent="0.2">
      <c r="G58786" s="889"/>
    </row>
    <row r="58787" spans="7:7" ht="10.5" customHeight="1" x14ac:dyDescent="0.2">
      <c r="G58787" s="889"/>
    </row>
    <row r="58788" spans="7:7" ht="10.5" customHeight="1" x14ac:dyDescent="0.2">
      <c r="G58788" s="889"/>
    </row>
    <row r="58789" spans="7:7" ht="10.5" customHeight="1" x14ac:dyDescent="0.2">
      <c r="G58789" s="889"/>
    </row>
    <row r="58790" spans="7:7" ht="10.5" customHeight="1" x14ac:dyDescent="0.2">
      <c r="G58790" s="889"/>
    </row>
    <row r="58791" spans="7:7" ht="10.5" customHeight="1" x14ac:dyDescent="0.2">
      <c r="G58791" s="889"/>
    </row>
    <row r="58792" spans="7:7" ht="10.5" customHeight="1" x14ac:dyDescent="0.2">
      <c r="G58792" s="889"/>
    </row>
    <row r="58793" spans="7:7" ht="10.5" customHeight="1" x14ac:dyDescent="0.2">
      <c r="G58793" s="889"/>
    </row>
    <row r="58794" spans="7:7" ht="10.5" customHeight="1" x14ac:dyDescent="0.2">
      <c r="G58794" s="889"/>
    </row>
    <row r="58795" spans="7:7" ht="10.5" customHeight="1" x14ac:dyDescent="0.2">
      <c r="G58795" s="889"/>
    </row>
    <row r="58796" spans="7:7" ht="10.5" customHeight="1" x14ac:dyDescent="0.2">
      <c r="G58796" s="889"/>
    </row>
    <row r="58797" spans="7:7" ht="10.5" customHeight="1" x14ac:dyDescent="0.2">
      <c r="G58797" s="889"/>
    </row>
    <row r="58798" spans="7:7" ht="10.5" customHeight="1" x14ac:dyDescent="0.2">
      <c r="G58798" s="889"/>
    </row>
    <row r="58799" spans="7:7" ht="10.5" customHeight="1" x14ac:dyDescent="0.2">
      <c r="G58799" s="889"/>
    </row>
    <row r="58800" spans="7:7" ht="10.5" customHeight="1" x14ac:dyDescent="0.2">
      <c r="G58800" s="889"/>
    </row>
    <row r="58801" spans="7:7" ht="10.5" customHeight="1" x14ac:dyDescent="0.2">
      <c r="G58801" s="889"/>
    </row>
    <row r="58802" spans="7:7" ht="10.5" customHeight="1" x14ac:dyDescent="0.2">
      <c r="G58802" s="889"/>
    </row>
    <row r="58803" spans="7:7" ht="10.5" customHeight="1" x14ac:dyDescent="0.2">
      <c r="G58803" s="889"/>
    </row>
    <row r="58804" spans="7:7" ht="10.5" customHeight="1" x14ac:dyDescent="0.2">
      <c r="G58804" s="889"/>
    </row>
    <row r="58805" spans="7:7" ht="10.5" customHeight="1" x14ac:dyDescent="0.2">
      <c r="G58805" s="889"/>
    </row>
    <row r="58806" spans="7:7" ht="10.5" customHeight="1" x14ac:dyDescent="0.2">
      <c r="G58806" s="889"/>
    </row>
    <row r="58807" spans="7:7" ht="10.5" customHeight="1" x14ac:dyDescent="0.2">
      <c r="G58807" s="889"/>
    </row>
    <row r="58808" spans="7:7" ht="10.5" customHeight="1" x14ac:dyDescent="0.2">
      <c r="G58808" s="889"/>
    </row>
    <row r="58809" spans="7:7" ht="10.5" customHeight="1" x14ac:dyDescent="0.2">
      <c r="G58809" s="889"/>
    </row>
    <row r="58810" spans="7:7" ht="10.5" customHeight="1" x14ac:dyDescent="0.2">
      <c r="G58810" s="889"/>
    </row>
    <row r="58811" spans="7:7" ht="10.5" customHeight="1" x14ac:dyDescent="0.2">
      <c r="G58811" s="889"/>
    </row>
    <row r="58812" spans="7:7" ht="10.5" customHeight="1" x14ac:dyDescent="0.2">
      <c r="G58812" s="889"/>
    </row>
    <row r="58813" spans="7:7" ht="10.5" customHeight="1" x14ac:dyDescent="0.2">
      <c r="G58813" s="889"/>
    </row>
    <row r="58814" spans="7:7" ht="10.5" customHeight="1" x14ac:dyDescent="0.2">
      <c r="G58814" s="889"/>
    </row>
    <row r="58815" spans="7:7" ht="10.5" customHeight="1" x14ac:dyDescent="0.2">
      <c r="G58815" s="889"/>
    </row>
    <row r="58816" spans="7:7" ht="10.5" customHeight="1" x14ac:dyDescent="0.2">
      <c r="G58816" s="889"/>
    </row>
    <row r="58817" spans="7:7" ht="10.5" customHeight="1" x14ac:dyDescent="0.2">
      <c r="G58817" s="889"/>
    </row>
    <row r="58818" spans="7:7" ht="10.5" customHeight="1" x14ac:dyDescent="0.2">
      <c r="G58818" s="889"/>
    </row>
    <row r="58819" spans="7:7" ht="10.5" customHeight="1" x14ac:dyDescent="0.2">
      <c r="G58819" s="889"/>
    </row>
    <row r="58820" spans="7:7" ht="10.5" customHeight="1" x14ac:dyDescent="0.2">
      <c r="G58820" s="889"/>
    </row>
    <row r="58821" spans="7:7" ht="10.5" customHeight="1" x14ac:dyDescent="0.2">
      <c r="G58821" s="889"/>
    </row>
    <row r="58822" spans="7:7" ht="10.5" customHeight="1" x14ac:dyDescent="0.2">
      <c r="G58822" s="889"/>
    </row>
    <row r="58823" spans="7:7" ht="10.5" customHeight="1" x14ac:dyDescent="0.2">
      <c r="G58823" s="889"/>
    </row>
    <row r="58824" spans="7:7" ht="10.5" customHeight="1" x14ac:dyDescent="0.2">
      <c r="G58824" s="889"/>
    </row>
    <row r="58825" spans="7:7" ht="10.5" customHeight="1" x14ac:dyDescent="0.2">
      <c r="G58825" s="889"/>
    </row>
    <row r="58826" spans="7:7" ht="10.5" customHeight="1" x14ac:dyDescent="0.2">
      <c r="G58826" s="889"/>
    </row>
    <row r="58827" spans="7:7" ht="10.5" customHeight="1" x14ac:dyDescent="0.2">
      <c r="G58827" s="889"/>
    </row>
    <row r="58828" spans="7:7" ht="10.5" customHeight="1" x14ac:dyDescent="0.2">
      <c r="G58828" s="889"/>
    </row>
    <row r="58829" spans="7:7" ht="10.5" customHeight="1" x14ac:dyDescent="0.2">
      <c r="G58829" s="889"/>
    </row>
    <row r="58830" spans="7:7" ht="10.5" customHeight="1" x14ac:dyDescent="0.2">
      <c r="G58830" s="889"/>
    </row>
    <row r="58831" spans="7:7" ht="10.5" customHeight="1" x14ac:dyDescent="0.2">
      <c r="G58831" s="889"/>
    </row>
    <row r="58832" spans="7:7" ht="10.5" customHeight="1" x14ac:dyDescent="0.2">
      <c r="G58832" s="889"/>
    </row>
    <row r="58833" spans="7:7" ht="10.5" customHeight="1" x14ac:dyDescent="0.2">
      <c r="G58833" s="889"/>
    </row>
    <row r="58834" spans="7:7" ht="10.5" customHeight="1" x14ac:dyDescent="0.2">
      <c r="G58834" s="889"/>
    </row>
    <row r="58835" spans="7:7" ht="10.5" customHeight="1" x14ac:dyDescent="0.2">
      <c r="G58835" s="889"/>
    </row>
    <row r="58836" spans="7:7" ht="10.5" customHeight="1" x14ac:dyDescent="0.2">
      <c r="G58836" s="889"/>
    </row>
    <row r="58837" spans="7:7" ht="10.5" customHeight="1" x14ac:dyDescent="0.2">
      <c r="G58837" s="889"/>
    </row>
    <row r="58838" spans="7:7" ht="10.5" customHeight="1" x14ac:dyDescent="0.2">
      <c r="G58838" s="889"/>
    </row>
    <row r="58839" spans="7:7" ht="10.5" customHeight="1" x14ac:dyDescent="0.2">
      <c r="G58839" s="889"/>
    </row>
    <row r="58840" spans="7:7" ht="10.5" customHeight="1" x14ac:dyDescent="0.2">
      <c r="G58840" s="889"/>
    </row>
    <row r="58841" spans="7:7" ht="10.5" customHeight="1" x14ac:dyDescent="0.2">
      <c r="G58841" s="889"/>
    </row>
    <row r="58842" spans="7:7" ht="10.5" customHeight="1" x14ac:dyDescent="0.2">
      <c r="G58842" s="889"/>
    </row>
    <row r="58843" spans="7:7" ht="10.5" customHeight="1" x14ac:dyDescent="0.2">
      <c r="G58843" s="889"/>
    </row>
    <row r="58844" spans="7:7" ht="10.5" customHeight="1" x14ac:dyDescent="0.2">
      <c r="G58844" s="889"/>
    </row>
    <row r="58845" spans="7:7" ht="10.5" customHeight="1" x14ac:dyDescent="0.2">
      <c r="G58845" s="889"/>
    </row>
    <row r="58846" spans="7:7" ht="10.5" customHeight="1" x14ac:dyDescent="0.2">
      <c r="G58846" s="889"/>
    </row>
    <row r="58847" spans="7:7" ht="10.5" customHeight="1" x14ac:dyDescent="0.2">
      <c r="G58847" s="889"/>
    </row>
    <row r="58848" spans="7:7" ht="10.5" customHeight="1" x14ac:dyDescent="0.2">
      <c r="G58848" s="889"/>
    </row>
    <row r="58849" spans="7:7" ht="10.5" customHeight="1" x14ac:dyDescent="0.2">
      <c r="G58849" s="889"/>
    </row>
    <row r="58850" spans="7:7" ht="10.5" customHeight="1" x14ac:dyDescent="0.2">
      <c r="G58850" s="889"/>
    </row>
    <row r="58851" spans="7:7" ht="10.5" customHeight="1" x14ac:dyDescent="0.2">
      <c r="G58851" s="889"/>
    </row>
    <row r="58852" spans="7:7" ht="10.5" customHeight="1" x14ac:dyDescent="0.2">
      <c r="G58852" s="889"/>
    </row>
    <row r="58853" spans="7:7" ht="10.5" customHeight="1" x14ac:dyDescent="0.2">
      <c r="G58853" s="889"/>
    </row>
    <row r="58854" spans="7:7" ht="10.5" customHeight="1" x14ac:dyDescent="0.2">
      <c r="G58854" s="889"/>
    </row>
    <row r="58855" spans="7:7" ht="10.5" customHeight="1" x14ac:dyDescent="0.2">
      <c r="G58855" s="889"/>
    </row>
    <row r="58856" spans="7:7" ht="10.5" customHeight="1" x14ac:dyDescent="0.2">
      <c r="G58856" s="889"/>
    </row>
    <row r="58857" spans="7:7" ht="10.5" customHeight="1" x14ac:dyDescent="0.2">
      <c r="G58857" s="889"/>
    </row>
    <row r="58858" spans="7:7" ht="10.5" customHeight="1" x14ac:dyDescent="0.2">
      <c r="G58858" s="889"/>
    </row>
    <row r="58859" spans="7:7" ht="10.5" customHeight="1" x14ac:dyDescent="0.2">
      <c r="G58859" s="889"/>
    </row>
    <row r="58860" spans="7:7" ht="10.5" customHeight="1" x14ac:dyDescent="0.2">
      <c r="G58860" s="889"/>
    </row>
    <row r="58861" spans="7:7" ht="10.5" customHeight="1" x14ac:dyDescent="0.2">
      <c r="G58861" s="889"/>
    </row>
    <row r="58862" spans="7:7" ht="10.5" customHeight="1" x14ac:dyDescent="0.2">
      <c r="G58862" s="889"/>
    </row>
    <row r="58863" spans="7:7" ht="10.5" customHeight="1" x14ac:dyDescent="0.2">
      <c r="G58863" s="889"/>
    </row>
    <row r="58864" spans="7:7" ht="10.5" customHeight="1" x14ac:dyDescent="0.2">
      <c r="G58864" s="889"/>
    </row>
    <row r="58865" spans="7:7" ht="10.5" customHeight="1" x14ac:dyDescent="0.2">
      <c r="G58865" s="889"/>
    </row>
    <row r="58866" spans="7:7" ht="10.5" customHeight="1" x14ac:dyDescent="0.2">
      <c r="G58866" s="889"/>
    </row>
    <row r="58867" spans="7:7" ht="10.5" customHeight="1" x14ac:dyDescent="0.2">
      <c r="G58867" s="889"/>
    </row>
    <row r="58868" spans="7:7" ht="10.5" customHeight="1" x14ac:dyDescent="0.2">
      <c r="G58868" s="889"/>
    </row>
    <row r="58869" spans="7:7" ht="10.5" customHeight="1" x14ac:dyDescent="0.2">
      <c r="G58869" s="889"/>
    </row>
    <row r="58870" spans="7:7" ht="10.5" customHeight="1" x14ac:dyDescent="0.2">
      <c r="G58870" s="889"/>
    </row>
    <row r="58871" spans="7:7" ht="10.5" customHeight="1" x14ac:dyDescent="0.2">
      <c r="G58871" s="889"/>
    </row>
    <row r="58872" spans="7:7" ht="10.5" customHeight="1" x14ac:dyDescent="0.2">
      <c r="G58872" s="889"/>
    </row>
    <row r="58873" spans="7:7" ht="10.5" customHeight="1" x14ac:dyDescent="0.2">
      <c r="G58873" s="889"/>
    </row>
    <row r="58874" spans="7:7" ht="10.5" customHeight="1" x14ac:dyDescent="0.2">
      <c r="G58874" s="889"/>
    </row>
    <row r="58875" spans="7:7" ht="10.5" customHeight="1" x14ac:dyDescent="0.2">
      <c r="G58875" s="889"/>
    </row>
    <row r="58876" spans="7:7" ht="10.5" customHeight="1" x14ac:dyDescent="0.2">
      <c r="G58876" s="889"/>
    </row>
    <row r="58877" spans="7:7" ht="10.5" customHeight="1" x14ac:dyDescent="0.2">
      <c r="G58877" s="889"/>
    </row>
    <row r="58878" spans="7:7" ht="10.5" customHeight="1" x14ac:dyDescent="0.2">
      <c r="G58878" s="889"/>
    </row>
    <row r="58879" spans="7:7" ht="10.5" customHeight="1" x14ac:dyDescent="0.2">
      <c r="G58879" s="889"/>
    </row>
    <row r="58880" spans="7:7" ht="10.5" customHeight="1" x14ac:dyDescent="0.2">
      <c r="G58880" s="889"/>
    </row>
    <row r="58881" spans="7:7" ht="10.5" customHeight="1" x14ac:dyDescent="0.2">
      <c r="G58881" s="889"/>
    </row>
    <row r="58882" spans="7:7" ht="10.5" customHeight="1" x14ac:dyDescent="0.2">
      <c r="G58882" s="889"/>
    </row>
    <row r="58883" spans="7:7" ht="10.5" customHeight="1" x14ac:dyDescent="0.2">
      <c r="G58883" s="889"/>
    </row>
    <row r="58884" spans="7:7" ht="10.5" customHeight="1" x14ac:dyDescent="0.2">
      <c r="G58884" s="889"/>
    </row>
    <row r="58885" spans="7:7" ht="10.5" customHeight="1" x14ac:dyDescent="0.2">
      <c r="G58885" s="889"/>
    </row>
    <row r="58886" spans="7:7" ht="10.5" customHeight="1" x14ac:dyDescent="0.2">
      <c r="G58886" s="889"/>
    </row>
    <row r="58887" spans="7:7" ht="10.5" customHeight="1" x14ac:dyDescent="0.2">
      <c r="G58887" s="889"/>
    </row>
    <row r="58888" spans="7:7" ht="10.5" customHeight="1" x14ac:dyDescent="0.2">
      <c r="G58888" s="889"/>
    </row>
    <row r="58889" spans="7:7" ht="10.5" customHeight="1" x14ac:dyDescent="0.2">
      <c r="G58889" s="889"/>
    </row>
    <row r="58890" spans="7:7" ht="10.5" customHeight="1" x14ac:dyDescent="0.2">
      <c r="G58890" s="889"/>
    </row>
    <row r="58891" spans="7:7" ht="10.5" customHeight="1" x14ac:dyDescent="0.2">
      <c r="G58891" s="889"/>
    </row>
    <row r="58892" spans="7:7" ht="10.5" customHeight="1" x14ac:dyDescent="0.2">
      <c r="G58892" s="889"/>
    </row>
    <row r="58893" spans="7:7" ht="10.5" customHeight="1" x14ac:dyDescent="0.2">
      <c r="G58893" s="889"/>
    </row>
    <row r="58894" spans="7:7" ht="10.5" customHeight="1" x14ac:dyDescent="0.2">
      <c r="G58894" s="889"/>
    </row>
    <row r="58895" spans="7:7" ht="10.5" customHeight="1" x14ac:dyDescent="0.2">
      <c r="G58895" s="889"/>
    </row>
    <row r="58896" spans="7:7" ht="10.5" customHeight="1" x14ac:dyDescent="0.2">
      <c r="G58896" s="889"/>
    </row>
    <row r="58897" spans="7:7" ht="10.5" customHeight="1" x14ac:dyDescent="0.2">
      <c r="G58897" s="889"/>
    </row>
    <row r="58898" spans="7:7" ht="10.5" customHeight="1" x14ac:dyDescent="0.2">
      <c r="G58898" s="889"/>
    </row>
    <row r="58899" spans="7:7" ht="10.5" customHeight="1" x14ac:dyDescent="0.2">
      <c r="G58899" s="889"/>
    </row>
    <row r="58900" spans="7:7" ht="10.5" customHeight="1" x14ac:dyDescent="0.2">
      <c r="G58900" s="889"/>
    </row>
    <row r="58901" spans="7:7" ht="10.5" customHeight="1" x14ac:dyDescent="0.2">
      <c r="G58901" s="889"/>
    </row>
    <row r="58902" spans="7:7" ht="10.5" customHeight="1" x14ac:dyDescent="0.2">
      <c r="G58902" s="889"/>
    </row>
    <row r="58903" spans="7:7" ht="10.5" customHeight="1" x14ac:dyDescent="0.2">
      <c r="G58903" s="889"/>
    </row>
    <row r="58904" spans="7:7" ht="10.5" customHeight="1" x14ac:dyDescent="0.2">
      <c r="G58904" s="889"/>
    </row>
    <row r="58905" spans="7:7" ht="10.5" customHeight="1" x14ac:dyDescent="0.2">
      <c r="G58905" s="889"/>
    </row>
    <row r="58906" spans="7:7" ht="10.5" customHeight="1" x14ac:dyDescent="0.2">
      <c r="G58906" s="889"/>
    </row>
    <row r="58907" spans="7:7" ht="10.5" customHeight="1" x14ac:dyDescent="0.2">
      <c r="G58907" s="889"/>
    </row>
    <row r="58908" spans="7:7" ht="10.5" customHeight="1" x14ac:dyDescent="0.2">
      <c r="G58908" s="889"/>
    </row>
    <row r="58909" spans="7:7" ht="10.5" customHeight="1" x14ac:dyDescent="0.2">
      <c r="G58909" s="889"/>
    </row>
    <row r="58910" spans="7:7" ht="10.5" customHeight="1" x14ac:dyDescent="0.2">
      <c r="G58910" s="889"/>
    </row>
    <row r="58911" spans="7:7" ht="10.5" customHeight="1" x14ac:dyDescent="0.2">
      <c r="G58911" s="889"/>
    </row>
    <row r="58912" spans="7:7" ht="10.5" customHeight="1" x14ac:dyDescent="0.2">
      <c r="G58912" s="889"/>
    </row>
    <row r="58913" spans="7:7" ht="10.5" customHeight="1" x14ac:dyDescent="0.2">
      <c r="G58913" s="889"/>
    </row>
    <row r="58914" spans="7:7" ht="10.5" customHeight="1" x14ac:dyDescent="0.2">
      <c r="G58914" s="889"/>
    </row>
    <row r="58915" spans="7:7" ht="10.5" customHeight="1" x14ac:dyDescent="0.2">
      <c r="G58915" s="889"/>
    </row>
    <row r="58916" spans="7:7" ht="10.5" customHeight="1" x14ac:dyDescent="0.2">
      <c r="G58916" s="889"/>
    </row>
    <row r="58917" spans="7:7" ht="10.5" customHeight="1" x14ac:dyDescent="0.2">
      <c r="G58917" s="889"/>
    </row>
    <row r="58918" spans="7:7" ht="10.5" customHeight="1" x14ac:dyDescent="0.2">
      <c r="G58918" s="889"/>
    </row>
    <row r="58919" spans="7:7" ht="10.5" customHeight="1" x14ac:dyDescent="0.2">
      <c r="G58919" s="889"/>
    </row>
    <row r="58920" spans="7:7" ht="10.5" customHeight="1" x14ac:dyDescent="0.2">
      <c r="G58920" s="889"/>
    </row>
    <row r="58921" spans="7:7" ht="10.5" customHeight="1" x14ac:dyDescent="0.2">
      <c r="G58921" s="889"/>
    </row>
    <row r="58922" spans="7:7" ht="10.5" customHeight="1" x14ac:dyDescent="0.2">
      <c r="G58922" s="889"/>
    </row>
    <row r="58923" spans="7:7" ht="10.5" customHeight="1" x14ac:dyDescent="0.2">
      <c r="G58923" s="889"/>
    </row>
    <row r="58924" spans="7:7" ht="10.5" customHeight="1" x14ac:dyDescent="0.2">
      <c r="G58924" s="889"/>
    </row>
    <row r="58925" spans="7:7" ht="10.5" customHeight="1" x14ac:dyDescent="0.2">
      <c r="G58925" s="889"/>
    </row>
    <row r="58926" spans="7:7" ht="10.5" customHeight="1" x14ac:dyDescent="0.2">
      <c r="G58926" s="889"/>
    </row>
    <row r="58927" spans="7:7" ht="10.5" customHeight="1" x14ac:dyDescent="0.2">
      <c r="G58927" s="889"/>
    </row>
    <row r="58928" spans="7:7" ht="10.5" customHeight="1" x14ac:dyDescent="0.2">
      <c r="G58928" s="889"/>
    </row>
    <row r="58929" spans="7:7" ht="10.5" customHeight="1" x14ac:dyDescent="0.2">
      <c r="G58929" s="889"/>
    </row>
    <row r="58930" spans="7:7" ht="10.5" customHeight="1" x14ac:dyDescent="0.2">
      <c r="G58930" s="889"/>
    </row>
    <row r="58931" spans="7:7" ht="10.5" customHeight="1" x14ac:dyDescent="0.2">
      <c r="G58931" s="889"/>
    </row>
    <row r="58932" spans="7:7" ht="10.5" customHeight="1" x14ac:dyDescent="0.2">
      <c r="G58932" s="889"/>
    </row>
    <row r="58933" spans="7:7" ht="10.5" customHeight="1" x14ac:dyDescent="0.2">
      <c r="G58933" s="889"/>
    </row>
    <row r="58934" spans="7:7" ht="10.5" customHeight="1" x14ac:dyDescent="0.2">
      <c r="G58934" s="889"/>
    </row>
    <row r="58935" spans="7:7" ht="10.5" customHeight="1" x14ac:dyDescent="0.2">
      <c r="G58935" s="889"/>
    </row>
    <row r="58936" spans="7:7" ht="10.5" customHeight="1" x14ac:dyDescent="0.2">
      <c r="G58936" s="889"/>
    </row>
    <row r="58937" spans="7:7" ht="10.5" customHeight="1" x14ac:dyDescent="0.2">
      <c r="G58937" s="889"/>
    </row>
    <row r="58938" spans="7:7" ht="10.5" customHeight="1" x14ac:dyDescent="0.2">
      <c r="G58938" s="889"/>
    </row>
    <row r="58939" spans="7:7" ht="10.5" customHeight="1" x14ac:dyDescent="0.2">
      <c r="G58939" s="889"/>
    </row>
    <row r="58940" spans="7:7" ht="10.5" customHeight="1" x14ac:dyDescent="0.2">
      <c r="G58940" s="889"/>
    </row>
    <row r="58941" spans="7:7" ht="10.5" customHeight="1" x14ac:dyDescent="0.2">
      <c r="G58941" s="889"/>
    </row>
    <row r="58942" spans="7:7" ht="10.5" customHeight="1" x14ac:dyDescent="0.2">
      <c r="G58942" s="889"/>
    </row>
    <row r="58943" spans="7:7" ht="10.5" customHeight="1" x14ac:dyDescent="0.2">
      <c r="G58943" s="889"/>
    </row>
    <row r="58944" spans="7:7" ht="10.5" customHeight="1" x14ac:dyDescent="0.2">
      <c r="G58944" s="889"/>
    </row>
    <row r="58945" spans="7:7" ht="10.5" customHeight="1" x14ac:dyDescent="0.2">
      <c r="G58945" s="889"/>
    </row>
    <row r="58946" spans="7:7" ht="10.5" customHeight="1" x14ac:dyDescent="0.2">
      <c r="G58946" s="889"/>
    </row>
    <row r="58947" spans="7:7" ht="10.5" customHeight="1" x14ac:dyDescent="0.2">
      <c r="G58947" s="889"/>
    </row>
    <row r="58948" spans="7:7" ht="10.5" customHeight="1" x14ac:dyDescent="0.2">
      <c r="G58948" s="889"/>
    </row>
    <row r="58949" spans="7:7" ht="10.5" customHeight="1" x14ac:dyDescent="0.2">
      <c r="G58949" s="889"/>
    </row>
    <row r="58950" spans="7:7" ht="10.5" customHeight="1" x14ac:dyDescent="0.2">
      <c r="G58950" s="889"/>
    </row>
    <row r="58951" spans="7:7" ht="10.5" customHeight="1" x14ac:dyDescent="0.2">
      <c r="G58951" s="889"/>
    </row>
    <row r="58952" spans="7:7" ht="10.5" customHeight="1" x14ac:dyDescent="0.2">
      <c r="G58952" s="889"/>
    </row>
    <row r="58953" spans="7:7" ht="10.5" customHeight="1" x14ac:dyDescent="0.2">
      <c r="G58953" s="889"/>
    </row>
    <row r="58954" spans="7:7" ht="10.5" customHeight="1" x14ac:dyDescent="0.2">
      <c r="G58954" s="889"/>
    </row>
    <row r="58955" spans="7:7" ht="10.5" customHeight="1" x14ac:dyDescent="0.2">
      <c r="G58955" s="889"/>
    </row>
    <row r="58956" spans="7:7" ht="10.5" customHeight="1" x14ac:dyDescent="0.2">
      <c r="G58956" s="889"/>
    </row>
    <row r="58957" spans="7:7" ht="10.5" customHeight="1" x14ac:dyDescent="0.2">
      <c r="G58957" s="889"/>
    </row>
    <row r="58958" spans="7:7" ht="10.5" customHeight="1" x14ac:dyDescent="0.2">
      <c r="G58958" s="889"/>
    </row>
    <row r="58959" spans="7:7" ht="10.5" customHeight="1" x14ac:dyDescent="0.2">
      <c r="G58959" s="889"/>
    </row>
    <row r="58960" spans="7:7" ht="10.5" customHeight="1" x14ac:dyDescent="0.2">
      <c r="G58960" s="889"/>
    </row>
    <row r="58961" spans="7:7" ht="10.5" customHeight="1" x14ac:dyDescent="0.2">
      <c r="G58961" s="889"/>
    </row>
    <row r="58962" spans="7:7" ht="10.5" customHeight="1" x14ac:dyDescent="0.2">
      <c r="G58962" s="889"/>
    </row>
    <row r="58963" spans="7:7" ht="10.5" customHeight="1" x14ac:dyDescent="0.2">
      <c r="G58963" s="889"/>
    </row>
    <row r="58964" spans="7:7" ht="10.5" customHeight="1" x14ac:dyDescent="0.2">
      <c r="G58964" s="889"/>
    </row>
    <row r="58965" spans="7:7" ht="10.5" customHeight="1" x14ac:dyDescent="0.2">
      <c r="G58965" s="889"/>
    </row>
    <row r="58966" spans="7:7" ht="10.5" customHeight="1" x14ac:dyDescent="0.2">
      <c r="G58966" s="889"/>
    </row>
    <row r="58967" spans="7:7" ht="10.5" customHeight="1" x14ac:dyDescent="0.2">
      <c r="G58967" s="889"/>
    </row>
    <row r="58968" spans="7:7" ht="10.5" customHeight="1" x14ac:dyDescent="0.2">
      <c r="G58968" s="889"/>
    </row>
    <row r="58969" spans="7:7" ht="10.5" customHeight="1" x14ac:dyDescent="0.2">
      <c r="G58969" s="889"/>
    </row>
    <row r="58970" spans="7:7" ht="10.5" customHeight="1" x14ac:dyDescent="0.2">
      <c r="G58970" s="889"/>
    </row>
    <row r="58971" spans="7:7" ht="10.5" customHeight="1" x14ac:dyDescent="0.2">
      <c r="G58971" s="889"/>
    </row>
    <row r="58972" spans="7:7" ht="10.5" customHeight="1" x14ac:dyDescent="0.2">
      <c r="G58972" s="889"/>
    </row>
    <row r="58973" spans="7:7" ht="10.5" customHeight="1" x14ac:dyDescent="0.2">
      <c r="G58973" s="889"/>
    </row>
    <row r="58974" spans="7:7" ht="10.5" customHeight="1" x14ac:dyDescent="0.2">
      <c r="G58974" s="889"/>
    </row>
    <row r="58975" spans="7:7" ht="10.5" customHeight="1" x14ac:dyDescent="0.2">
      <c r="G58975" s="889"/>
    </row>
    <row r="58976" spans="7:7" ht="10.5" customHeight="1" x14ac:dyDescent="0.2">
      <c r="G58976" s="889"/>
    </row>
    <row r="58977" spans="7:7" ht="10.5" customHeight="1" x14ac:dyDescent="0.2">
      <c r="G58977" s="889"/>
    </row>
    <row r="58978" spans="7:7" ht="10.5" customHeight="1" x14ac:dyDescent="0.2">
      <c r="G58978" s="889"/>
    </row>
    <row r="58979" spans="7:7" ht="10.5" customHeight="1" x14ac:dyDescent="0.2">
      <c r="G58979" s="889"/>
    </row>
    <row r="58980" spans="7:7" ht="10.5" customHeight="1" x14ac:dyDescent="0.2">
      <c r="G58980" s="889"/>
    </row>
    <row r="58981" spans="7:7" ht="10.5" customHeight="1" x14ac:dyDescent="0.2">
      <c r="G58981" s="889"/>
    </row>
    <row r="58982" spans="7:7" ht="10.5" customHeight="1" x14ac:dyDescent="0.2">
      <c r="G58982" s="889"/>
    </row>
    <row r="58983" spans="7:7" ht="10.5" customHeight="1" x14ac:dyDescent="0.2">
      <c r="G58983" s="889"/>
    </row>
    <row r="58984" spans="7:7" ht="10.5" customHeight="1" x14ac:dyDescent="0.2">
      <c r="G58984" s="889"/>
    </row>
    <row r="58985" spans="7:7" ht="10.5" customHeight="1" x14ac:dyDescent="0.2">
      <c r="G58985" s="889"/>
    </row>
    <row r="58986" spans="7:7" ht="10.5" customHeight="1" x14ac:dyDescent="0.2">
      <c r="G58986" s="889"/>
    </row>
    <row r="58987" spans="7:7" ht="10.5" customHeight="1" x14ac:dyDescent="0.2">
      <c r="G58987" s="889"/>
    </row>
    <row r="58988" spans="7:7" ht="10.5" customHeight="1" x14ac:dyDescent="0.2">
      <c r="G58988" s="889"/>
    </row>
    <row r="58989" spans="7:7" ht="10.5" customHeight="1" x14ac:dyDescent="0.2">
      <c r="G58989" s="889"/>
    </row>
    <row r="58990" spans="7:7" ht="10.5" customHeight="1" x14ac:dyDescent="0.2">
      <c r="G58990" s="889"/>
    </row>
    <row r="58991" spans="7:7" ht="10.5" customHeight="1" x14ac:dyDescent="0.2">
      <c r="G58991" s="889"/>
    </row>
    <row r="58992" spans="7:7" ht="10.5" customHeight="1" x14ac:dyDescent="0.2">
      <c r="G58992" s="889"/>
    </row>
    <row r="58993" spans="7:7" ht="10.5" customHeight="1" x14ac:dyDescent="0.2">
      <c r="G58993" s="889"/>
    </row>
    <row r="58994" spans="7:7" ht="10.5" customHeight="1" x14ac:dyDescent="0.2">
      <c r="G58994" s="889"/>
    </row>
    <row r="58995" spans="7:7" ht="10.5" customHeight="1" x14ac:dyDescent="0.2">
      <c r="G58995" s="889"/>
    </row>
    <row r="58996" spans="7:7" ht="10.5" customHeight="1" x14ac:dyDescent="0.2">
      <c r="G58996" s="889"/>
    </row>
    <row r="58997" spans="7:7" ht="10.5" customHeight="1" x14ac:dyDescent="0.2">
      <c r="G58997" s="889"/>
    </row>
    <row r="58998" spans="7:7" ht="10.5" customHeight="1" x14ac:dyDescent="0.2">
      <c r="G58998" s="889"/>
    </row>
    <row r="58999" spans="7:7" ht="10.5" customHeight="1" x14ac:dyDescent="0.2">
      <c r="G58999" s="889"/>
    </row>
    <row r="59000" spans="7:7" ht="10.5" customHeight="1" x14ac:dyDescent="0.2">
      <c r="G59000" s="889"/>
    </row>
    <row r="59001" spans="7:7" ht="10.5" customHeight="1" x14ac:dyDescent="0.2">
      <c r="G59001" s="889"/>
    </row>
    <row r="59002" spans="7:7" ht="10.5" customHeight="1" x14ac:dyDescent="0.2">
      <c r="G59002" s="889"/>
    </row>
    <row r="59003" spans="7:7" ht="10.5" customHeight="1" x14ac:dyDescent="0.2">
      <c r="G59003" s="889"/>
    </row>
    <row r="59004" spans="7:7" ht="10.5" customHeight="1" x14ac:dyDescent="0.2">
      <c r="G59004" s="889"/>
    </row>
    <row r="59005" spans="7:7" ht="10.5" customHeight="1" x14ac:dyDescent="0.2">
      <c r="G59005" s="889"/>
    </row>
    <row r="59006" spans="7:7" ht="10.5" customHeight="1" x14ac:dyDescent="0.2">
      <c r="G59006" s="889"/>
    </row>
    <row r="59007" spans="7:7" ht="10.5" customHeight="1" x14ac:dyDescent="0.2">
      <c r="G59007" s="889"/>
    </row>
    <row r="59008" spans="7:7" ht="10.5" customHeight="1" x14ac:dyDescent="0.2">
      <c r="G59008" s="889"/>
    </row>
    <row r="59009" spans="7:7" ht="10.5" customHeight="1" x14ac:dyDescent="0.2">
      <c r="G59009" s="889"/>
    </row>
    <row r="59010" spans="7:7" ht="10.5" customHeight="1" x14ac:dyDescent="0.2">
      <c r="G59010" s="889"/>
    </row>
    <row r="59011" spans="7:7" ht="10.5" customHeight="1" x14ac:dyDescent="0.2">
      <c r="G59011" s="889"/>
    </row>
    <row r="59012" spans="7:7" ht="10.5" customHeight="1" x14ac:dyDescent="0.2">
      <c r="G59012" s="889"/>
    </row>
    <row r="59013" spans="7:7" ht="10.5" customHeight="1" x14ac:dyDescent="0.2">
      <c r="G59013" s="889"/>
    </row>
    <row r="59014" spans="7:7" ht="10.5" customHeight="1" x14ac:dyDescent="0.2">
      <c r="G59014" s="889"/>
    </row>
    <row r="59015" spans="7:7" ht="10.5" customHeight="1" x14ac:dyDescent="0.2">
      <c r="G59015" s="889"/>
    </row>
    <row r="59016" spans="7:7" ht="10.5" customHeight="1" x14ac:dyDescent="0.2">
      <c r="G59016" s="889"/>
    </row>
    <row r="59017" spans="7:7" ht="10.5" customHeight="1" x14ac:dyDescent="0.2">
      <c r="G59017" s="889"/>
    </row>
    <row r="59018" spans="7:7" ht="10.5" customHeight="1" x14ac:dyDescent="0.2">
      <c r="G59018" s="889"/>
    </row>
    <row r="59019" spans="7:7" ht="10.5" customHeight="1" x14ac:dyDescent="0.2">
      <c r="G59019" s="889"/>
    </row>
    <row r="59020" spans="7:7" ht="10.5" customHeight="1" x14ac:dyDescent="0.2">
      <c r="G59020" s="889"/>
    </row>
    <row r="59021" spans="7:7" ht="10.5" customHeight="1" x14ac:dyDescent="0.2">
      <c r="G59021" s="889"/>
    </row>
    <row r="59022" spans="7:7" ht="10.5" customHeight="1" x14ac:dyDescent="0.2">
      <c r="G59022" s="889"/>
    </row>
    <row r="59023" spans="7:7" ht="10.5" customHeight="1" x14ac:dyDescent="0.2">
      <c r="G59023" s="889"/>
    </row>
    <row r="59024" spans="7:7" ht="10.5" customHeight="1" x14ac:dyDescent="0.2">
      <c r="G59024" s="889"/>
    </row>
    <row r="59025" spans="7:7" ht="10.5" customHeight="1" x14ac:dyDescent="0.2">
      <c r="G59025" s="889"/>
    </row>
    <row r="59026" spans="7:7" ht="10.5" customHeight="1" x14ac:dyDescent="0.2">
      <c r="G59026" s="889"/>
    </row>
    <row r="59027" spans="7:7" ht="10.5" customHeight="1" x14ac:dyDescent="0.2">
      <c r="G59027" s="889"/>
    </row>
    <row r="59028" spans="7:7" ht="10.5" customHeight="1" x14ac:dyDescent="0.2">
      <c r="G59028" s="889"/>
    </row>
    <row r="59029" spans="7:7" ht="10.5" customHeight="1" x14ac:dyDescent="0.2">
      <c r="G59029" s="889"/>
    </row>
    <row r="59030" spans="7:7" ht="10.5" customHeight="1" x14ac:dyDescent="0.2">
      <c r="G59030" s="889"/>
    </row>
    <row r="59031" spans="7:7" ht="10.5" customHeight="1" x14ac:dyDescent="0.2">
      <c r="G59031" s="889"/>
    </row>
    <row r="59032" spans="7:7" ht="10.5" customHeight="1" x14ac:dyDescent="0.2">
      <c r="G59032" s="889"/>
    </row>
    <row r="59033" spans="7:7" ht="10.5" customHeight="1" x14ac:dyDescent="0.2">
      <c r="G59033" s="889"/>
    </row>
    <row r="59034" spans="7:7" ht="10.5" customHeight="1" x14ac:dyDescent="0.2">
      <c r="G59034" s="889"/>
    </row>
    <row r="59035" spans="7:7" ht="10.5" customHeight="1" x14ac:dyDescent="0.2">
      <c r="G59035" s="889"/>
    </row>
    <row r="59036" spans="7:7" ht="10.5" customHeight="1" x14ac:dyDescent="0.2">
      <c r="G59036" s="889"/>
    </row>
    <row r="59037" spans="7:7" ht="10.5" customHeight="1" x14ac:dyDescent="0.2">
      <c r="G59037" s="889"/>
    </row>
    <row r="59038" spans="7:7" ht="10.5" customHeight="1" x14ac:dyDescent="0.2">
      <c r="G59038" s="889"/>
    </row>
    <row r="59039" spans="7:7" ht="10.5" customHeight="1" x14ac:dyDescent="0.2">
      <c r="G59039" s="889"/>
    </row>
    <row r="59040" spans="7:7" ht="10.5" customHeight="1" x14ac:dyDescent="0.2">
      <c r="G59040" s="889"/>
    </row>
    <row r="59041" spans="7:7" ht="10.5" customHeight="1" x14ac:dyDescent="0.2">
      <c r="G59041" s="889"/>
    </row>
    <row r="59042" spans="7:7" ht="10.5" customHeight="1" x14ac:dyDescent="0.2">
      <c r="G59042" s="889"/>
    </row>
    <row r="59043" spans="7:7" ht="10.5" customHeight="1" x14ac:dyDescent="0.2">
      <c r="G59043" s="889"/>
    </row>
    <row r="59044" spans="7:7" ht="10.5" customHeight="1" x14ac:dyDescent="0.2">
      <c r="G59044" s="889"/>
    </row>
    <row r="59045" spans="7:7" ht="10.5" customHeight="1" x14ac:dyDescent="0.2">
      <c r="G59045" s="889"/>
    </row>
    <row r="59046" spans="7:7" ht="10.5" customHeight="1" x14ac:dyDescent="0.2">
      <c r="G59046" s="889"/>
    </row>
    <row r="59047" spans="7:7" ht="10.5" customHeight="1" x14ac:dyDescent="0.2">
      <c r="G59047" s="889"/>
    </row>
    <row r="59048" spans="7:7" ht="10.5" customHeight="1" x14ac:dyDescent="0.2">
      <c r="G59048" s="889"/>
    </row>
    <row r="59049" spans="7:7" ht="10.5" customHeight="1" x14ac:dyDescent="0.2">
      <c r="G59049" s="889"/>
    </row>
    <row r="59050" spans="7:7" ht="10.5" customHeight="1" x14ac:dyDescent="0.2">
      <c r="G59050" s="889"/>
    </row>
    <row r="59051" spans="7:7" ht="10.5" customHeight="1" x14ac:dyDescent="0.2">
      <c r="G59051" s="889"/>
    </row>
    <row r="59052" spans="7:7" ht="10.5" customHeight="1" x14ac:dyDescent="0.2">
      <c r="G59052" s="889"/>
    </row>
    <row r="59053" spans="7:7" ht="10.5" customHeight="1" x14ac:dyDescent="0.2">
      <c r="G59053" s="889"/>
    </row>
    <row r="59054" spans="7:7" ht="10.5" customHeight="1" x14ac:dyDescent="0.2">
      <c r="G59054" s="889"/>
    </row>
    <row r="59055" spans="7:7" ht="10.5" customHeight="1" x14ac:dyDescent="0.2">
      <c r="G59055" s="889"/>
    </row>
    <row r="59056" spans="7:7" ht="10.5" customHeight="1" x14ac:dyDescent="0.2">
      <c r="G59056" s="889"/>
    </row>
    <row r="59057" spans="7:7" ht="10.5" customHeight="1" x14ac:dyDescent="0.2">
      <c r="G59057" s="889"/>
    </row>
    <row r="59058" spans="7:7" ht="10.5" customHeight="1" x14ac:dyDescent="0.2">
      <c r="G59058" s="889"/>
    </row>
    <row r="59059" spans="7:7" ht="10.5" customHeight="1" x14ac:dyDescent="0.2">
      <c r="G59059" s="889"/>
    </row>
    <row r="59060" spans="7:7" ht="10.5" customHeight="1" x14ac:dyDescent="0.2">
      <c r="G59060" s="889"/>
    </row>
    <row r="59061" spans="7:7" ht="10.5" customHeight="1" x14ac:dyDescent="0.2">
      <c r="G59061" s="889"/>
    </row>
    <row r="59062" spans="7:7" ht="10.5" customHeight="1" x14ac:dyDescent="0.2">
      <c r="G59062" s="889"/>
    </row>
    <row r="59063" spans="7:7" ht="10.5" customHeight="1" x14ac:dyDescent="0.2">
      <c r="G59063" s="889"/>
    </row>
    <row r="59064" spans="7:7" ht="10.5" customHeight="1" x14ac:dyDescent="0.2">
      <c r="G59064" s="889"/>
    </row>
    <row r="59065" spans="7:7" ht="10.5" customHeight="1" x14ac:dyDescent="0.2">
      <c r="G59065" s="889"/>
    </row>
    <row r="59066" spans="7:7" ht="10.5" customHeight="1" x14ac:dyDescent="0.2">
      <c r="G59066" s="889"/>
    </row>
    <row r="59067" spans="7:7" ht="10.5" customHeight="1" x14ac:dyDescent="0.2">
      <c r="G59067" s="889"/>
    </row>
    <row r="59068" spans="7:7" ht="10.5" customHeight="1" x14ac:dyDescent="0.2">
      <c r="G59068" s="889"/>
    </row>
    <row r="59069" spans="7:7" ht="10.5" customHeight="1" x14ac:dyDescent="0.2">
      <c r="G59069" s="889"/>
    </row>
    <row r="59070" spans="7:7" ht="10.5" customHeight="1" x14ac:dyDescent="0.2">
      <c r="G59070" s="889"/>
    </row>
    <row r="59071" spans="7:7" ht="10.5" customHeight="1" x14ac:dyDescent="0.2">
      <c r="G59071" s="889"/>
    </row>
    <row r="59072" spans="7:7" ht="10.5" customHeight="1" x14ac:dyDescent="0.2">
      <c r="G59072" s="889"/>
    </row>
    <row r="59073" spans="7:7" ht="10.5" customHeight="1" x14ac:dyDescent="0.2">
      <c r="G59073" s="889"/>
    </row>
    <row r="59074" spans="7:7" ht="10.5" customHeight="1" x14ac:dyDescent="0.2">
      <c r="G59074" s="889"/>
    </row>
    <row r="59075" spans="7:7" ht="10.5" customHeight="1" x14ac:dyDescent="0.2">
      <c r="G59075" s="889"/>
    </row>
    <row r="59076" spans="7:7" ht="10.5" customHeight="1" x14ac:dyDescent="0.2">
      <c r="G59076" s="889"/>
    </row>
    <row r="59077" spans="7:7" ht="10.5" customHeight="1" x14ac:dyDescent="0.2">
      <c r="G59077" s="889"/>
    </row>
    <row r="59078" spans="7:7" ht="10.5" customHeight="1" x14ac:dyDescent="0.2">
      <c r="G59078" s="889"/>
    </row>
    <row r="59079" spans="7:7" ht="10.5" customHeight="1" x14ac:dyDescent="0.2">
      <c r="G59079" s="889"/>
    </row>
    <row r="59080" spans="7:7" ht="10.5" customHeight="1" x14ac:dyDescent="0.2">
      <c r="G59080" s="889"/>
    </row>
    <row r="59081" spans="7:7" ht="10.5" customHeight="1" x14ac:dyDescent="0.2">
      <c r="G59081" s="889"/>
    </row>
    <row r="59082" spans="7:7" ht="10.5" customHeight="1" x14ac:dyDescent="0.2">
      <c r="G59082" s="889"/>
    </row>
    <row r="59083" spans="7:7" ht="10.5" customHeight="1" x14ac:dyDescent="0.2">
      <c r="G59083" s="889"/>
    </row>
    <row r="59084" spans="7:7" ht="10.5" customHeight="1" x14ac:dyDescent="0.2">
      <c r="G59084" s="889"/>
    </row>
    <row r="59085" spans="7:7" ht="10.5" customHeight="1" x14ac:dyDescent="0.2">
      <c r="G59085" s="889"/>
    </row>
    <row r="59086" spans="7:7" ht="10.5" customHeight="1" x14ac:dyDescent="0.2">
      <c r="G59086" s="889"/>
    </row>
    <row r="59087" spans="7:7" ht="10.5" customHeight="1" x14ac:dyDescent="0.2">
      <c r="G59087" s="889"/>
    </row>
    <row r="59088" spans="7:7" ht="10.5" customHeight="1" x14ac:dyDescent="0.2">
      <c r="G59088" s="889"/>
    </row>
    <row r="59089" spans="7:7" ht="10.5" customHeight="1" x14ac:dyDescent="0.2">
      <c r="G59089" s="889"/>
    </row>
    <row r="59090" spans="7:7" ht="10.5" customHeight="1" x14ac:dyDescent="0.2">
      <c r="G59090" s="889"/>
    </row>
    <row r="59091" spans="7:7" ht="10.5" customHeight="1" x14ac:dyDescent="0.2">
      <c r="G59091" s="889"/>
    </row>
    <row r="59092" spans="7:7" ht="10.5" customHeight="1" x14ac:dyDescent="0.2">
      <c r="G59092" s="889"/>
    </row>
    <row r="59093" spans="7:7" ht="10.5" customHeight="1" x14ac:dyDescent="0.2">
      <c r="G59093" s="889"/>
    </row>
    <row r="59094" spans="7:7" ht="10.5" customHeight="1" x14ac:dyDescent="0.2">
      <c r="G59094" s="889"/>
    </row>
    <row r="59095" spans="7:7" ht="10.5" customHeight="1" x14ac:dyDescent="0.2">
      <c r="G59095" s="889"/>
    </row>
    <row r="59096" spans="7:7" ht="10.5" customHeight="1" x14ac:dyDescent="0.2">
      <c r="G59096" s="889"/>
    </row>
    <row r="59097" spans="7:7" ht="10.5" customHeight="1" x14ac:dyDescent="0.2">
      <c r="G59097" s="889"/>
    </row>
    <row r="59098" spans="7:7" ht="10.5" customHeight="1" x14ac:dyDescent="0.2">
      <c r="G59098" s="889"/>
    </row>
    <row r="59099" spans="7:7" ht="10.5" customHeight="1" x14ac:dyDescent="0.2">
      <c r="G59099" s="889"/>
    </row>
    <row r="59100" spans="7:7" ht="10.5" customHeight="1" x14ac:dyDescent="0.2">
      <c r="G59100" s="889"/>
    </row>
    <row r="59101" spans="7:7" ht="10.5" customHeight="1" x14ac:dyDescent="0.2">
      <c r="G59101" s="889"/>
    </row>
    <row r="59102" spans="7:7" ht="10.5" customHeight="1" x14ac:dyDescent="0.2">
      <c r="G59102" s="889"/>
    </row>
    <row r="59103" spans="7:7" ht="10.5" customHeight="1" x14ac:dyDescent="0.2">
      <c r="G59103" s="889"/>
    </row>
    <row r="59104" spans="7:7" ht="10.5" customHeight="1" x14ac:dyDescent="0.2">
      <c r="G59104" s="889"/>
    </row>
    <row r="59105" spans="7:7" ht="10.5" customHeight="1" x14ac:dyDescent="0.2">
      <c r="G59105" s="889"/>
    </row>
    <row r="59106" spans="7:7" ht="10.5" customHeight="1" x14ac:dyDescent="0.2">
      <c r="G59106" s="889"/>
    </row>
    <row r="59107" spans="7:7" ht="10.5" customHeight="1" x14ac:dyDescent="0.2">
      <c r="G59107" s="889"/>
    </row>
    <row r="59108" spans="7:7" ht="10.5" customHeight="1" x14ac:dyDescent="0.2">
      <c r="G59108" s="889"/>
    </row>
    <row r="59109" spans="7:7" ht="10.5" customHeight="1" x14ac:dyDescent="0.2">
      <c r="G59109" s="889"/>
    </row>
    <row r="59110" spans="7:7" ht="10.5" customHeight="1" x14ac:dyDescent="0.2">
      <c r="G59110" s="889"/>
    </row>
    <row r="59111" spans="7:7" ht="10.5" customHeight="1" x14ac:dyDescent="0.2">
      <c r="G59111" s="889"/>
    </row>
    <row r="59112" spans="7:7" ht="10.5" customHeight="1" x14ac:dyDescent="0.2">
      <c r="G59112" s="889"/>
    </row>
    <row r="59113" spans="7:7" ht="10.5" customHeight="1" x14ac:dyDescent="0.2">
      <c r="G59113" s="889"/>
    </row>
    <row r="59114" spans="7:7" ht="10.5" customHeight="1" x14ac:dyDescent="0.2">
      <c r="G59114" s="889"/>
    </row>
    <row r="59115" spans="7:7" ht="10.5" customHeight="1" x14ac:dyDescent="0.2">
      <c r="G59115" s="889"/>
    </row>
    <row r="59116" spans="7:7" ht="10.5" customHeight="1" x14ac:dyDescent="0.2">
      <c r="G59116" s="889"/>
    </row>
    <row r="59117" spans="7:7" ht="10.5" customHeight="1" x14ac:dyDescent="0.2">
      <c r="G59117" s="889"/>
    </row>
    <row r="59118" spans="7:7" ht="10.5" customHeight="1" x14ac:dyDescent="0.2">
      <c r="G59118" s="889"/>
    </row>
    <row r="59119" spans="7:7" ht="10.5" customHeight="1" x14ac:dyDescent="0.2">
      <c r="G59119" s="889"/>
    </row>
    <row r="59120" spans="7:7" ht="10.5" customHeight="1" x14ac:dyDescent="0.2">
      <c r="G59120" s="889"/>
    </row>
    <row r="59121" spans="7:7" ht="10.5" customHeight="1" x14ac:dyDescent="0.2">
      <c r="G59121" s="889"/>
    </row>
    <row r="59122" spans="7:7" ht="10.5" customHeight="1" x14ac:dyDescent="0.2">
      <c r="G59122" s="889"/>
    </row>
    <row r="59123" spans="7:7" ht="10.5" customHeight="1" x14ac:dyDescent="0.2">
      <c r="G59123" s="889"/>
    </row>
    <row r="59124" spans="7:7" ht="10.5" customHeight="1" x14ac:dyDescent="0.2">
      <c r="G59124" s="889"/>
    </row>
    <row r="59125" spans="7:7" ht="10.5" customHeight="1" x14ac:dyDescent="0.2">
      <c r="G59125" s="889"/>
    </row>
    <row r="59126" spans="7:7" ht="10.5" customHeight="1" x14ac:dyDescent="0.2">
      <c r="G59126" s="889"/>
    </row>
    <row r="59127" spans="7:7" ht="10.5" customHeight="1" x14ac:dyDescent="0.2">
      <c r="G59127" s="889"/>
    </row>
    <row r="59128" spans="7:7" ht="10.5" customHeight="1" x14ac:dyDescent="0.2">
      <c r="G59128" s="889"/>
    </row>
    <row r="59129" spans="7:7" ht="10.5" customHeight="1" x14ac:dyDescent="0.2">
      <c r="G59129" s="889"/>
    </row>
    <row r="59130" spans="7:7" ht="10.5" customHeight="1" x14ac:dyDescent="0.2">
      <c r="G59130" s="889"/>
    </row>
    <row r="59131" spans="7:7" ht="10.5" customHeight="1" x14ac:dyDescent="0.2">
      <c r="G59131" s="889"/>
    </row>
    <row r="59132" spans="7:7" ht="10.5" customHeight="1" x14ac:dyDescent="0.2">
      <c r="G59132" s="889"/>
    </row>
    <row r="59133" spans="7:7" ht="10.5" customHeight="1" x14ac:dyDescent="0.2">
      <c r="G59133" s="889"/>
    </row>
    <row r="59134" spans="7:7" ht="10.5" customHeight="1" x14ac:dyDescent="0.2">
      <c r="G59134" s="889"/>
    </row>
    <row r="59135" spans="7:7" ht="10.5" customHeight="1" x14ac:dyDescent="0.2">
      <c r="G59135" s="889"/>
    </row>
    <row r="59136" spans="7:7" ht="10.5" customHeight="1" x14ac:dyDescent="0.2">
      <c r="G59136" s="889"/>
    </row>
    <row r="59137" spans="7:7" ht="10.5" customHeight="1" x14ac:dyDescent="0.2">
      <c r="G59137" s="889"/>
    </row>
    <row r="59138" spans="7:7" ht="10.5" customHeight="1" x14ac:dyDescent="0.2">
      <c r="G59138" s="889"/>
    </row>
    <row r="59139" spans="7:7" ht="10.5" customHeight="1" x14ac:dyDescent="0.2">
      <c r="G59139" s="889"/>
    </row>
    <row r="59140" spans="7:7" ht="10.5" customHeight="1" x14ac:dyDescent="0.2">
      <c r="G59140" s="889"/>
    </row>
    <row r="59141" spans="7:7" ht="10.5" customHeight="1" x14ac:dyDescent="0.2">
      <c r="G59141" s="889"/>
    </row>
    <row r="59142" spans="7:7" ht="10.5" customHeight="1" x14ac:dyDescent="0.2">
      <c r="G59142" s="889"/>
    </row>
    <row r="59143" spans="7:7" ht="10.5" customHeight="1" x14ac:dyDescent="0.2">
      <c r="G59143" s="889"/>
    </row>
    <row r="59144" spans="7:7" ht="10.5" customHeight="1" x14ac:dyDescent="0.2">
      <c r="G59144" s="889"/>
    </row>
    <row r="59145" spans="7:7" ht="10.5" customHeight="1" x14ac:dyDescent="0.2">
      <c r="G59145" s="889"/>
    </row>
    <row r="59146" spans="7:7" ht="10.5" customHeight="1" x14ac:dyDescent="0.2">
      <c r="G59146" s="889"/>
    </row>
    <row r="59147" spans="7:7" ht="10.5" customHeight="1" x14ac:dyDescent="0.2">
      <c r="G59147" s="889"/>
    </row>
    <row r="59148" spans="7:7" ht="10.5" customHeight="1" x14ac:dyDescent="0.2">
      <c r="G59148" s="889"/>
    </row>
    <row r="59149" spans="7:7" ht="10.5" customHeight="1" x14ac:dyDescent="0.2">
      <c r="G59149" s="889"/>
    </row>
    <row r="59150" spans="7:7" ht="10.5" customHeight="1" x14ac:dyDescent="0.2">
      <c r="G59150" s="889"/>
    </row>
    <row r="59151" spans="7:7" ht="10.5" customHeight="1" x14ac:dyDescent="0.2">
      <c r="G59151" s="889"/>
    </row>
    <row r="59152" spans="7:7" ht="10.5" customHeight="1" x14ac:dyDescent="0.2">
      <c r="G59152" s="889"/>
    </row>
    <row r="59153" spans="7:7" ht="10.5" customHeight="1" x14ac:dyDescent="0.2">
      <c r="G59153" s="889"/>
    </row>
    <row r="59154" spans="7:7" ht="10.5" customHeight="1" x14ac:dyDescent="0.2">
      <c r="G59154" s="889"/>
    </row>
    <row r="59155" spans="7:7" ht="10.5" customHeight="1" x14ac:dyDescent="0.2">
      <c r="G59155" s="889"/>
    </row>
    <row r="59156" spans="7:7" ht="10.5" customHeight="1" x14ac:dyDescent="0.2">
      <c r="G59156" s="889"/>
    </row>
    <row r="59157" spans="7:7" ht="10.5" customHeight="1" x14ac:dyDescent="0.2">
      <c r="G59157" s="889"/>
    </row>
    <row r="59158" spans="7:7" ht="10.5" customHeight="1" x14ac:dyDescent="0.2">
      <c r="G59158" s="889"/>
    </row>
    <row r="59159" spans="7:7" ht="10.5" customHeight="1" x14ac:dyDescent="0.2">
      <c r="G59159" s="889"/>
    </row>
    <row r="59160" spans="7:7" ht="10.5" customHeight="1" x14ac:dyDescent="0.2">
      <c r="G59160" s="889"/>
    </row>
    <row r="59161" spans="7:7" ht="10.5" customHeight="1" x14ac:dyDescent="0.2">
      <c r="G59161" s="889"/>
    </row>
    <row r="59162" spans="7:7" ht="10.5" customHeight="1" x14ac:dyDescent="0.2">
      <c r="G59162" s="889"/>
    </row>
    <row r="59163" spans="7:7" ht="10.5" customHeight="1" x14ac:dyDescent="0.2">
      <c r="G59163" s="889"/>
    </row>
    <row r="59164" spans="7:7" ht="10.5" customHeight="1" x14ac:dyDescent="0.2">
      <c r="G59164" s="889"/>
    </row>
    <row r="59165" spans="7:7" ht="10.5" customHeight="1" x14ac:dyDescent="0.2">
      <c r="G59165" s="889"/>
    </row>
    <row r="59166" spans="7:7" ht="10.5" customHeight="1" x14ac:dyDescent="0.2">
      <c r="G59166" s="889"/>
    </row>
    <row r="59167" spans="7:7" ht="10.5" customHeight="1" x14ac:dyDescent="0.2">
      <c r="G59167" s="889"/>
    </row>
    <row r="59168" spans="7:7" ht="10.5" customHeight="1" x14ac:dyDescent="0.2">
      <c r="G59168" s="889"/>
    </row>
    <row r="59169" spans="7:7" ht="10.5" customHeight="1" x14ac:dyDescent="0.2">
      <c r="G59169" s="889"/>
    </row>
    <row r="59170" spans="7:7" ht="10.5" customHeight="1" x14ac:dyDescent="0.2">
      <c r="G59170" s="889"/>
    </row>
    <row r="59171" spans="7:7" ht="10.5" customHeight="1" x14ac:dyDescent="0.2">
      <c r="G59171" s="889"/>
    </row>
    <row r="59172" spans="7:7" ht="10.5" customHeight="1" x14ac:dyDescent="0.2">
      <c r="G59172" s="889"/>
    </row>
    <row r="59173" spans="7:7" ht="10.5" customHeight="1" x14ac:dyDescent="0.2">
      <c r="G59173" s="889"/>
    </row>
    <row r="59174" spans="7:7" ht="10.5" customHeight="1" x14ac:dyDescent="0.2">
      <c r="G59174" s="889"/>
    </row>
    <row r="59175" spans="7:7" ht="10.5" customHeight="1" x14ac:dyDescent="0.2">
      <c r="G59175" s="889"/>
    </row>
    <row r="59176" spans="7:7" ht="10.5" customHeight="1" x14ac:dyDescent="0.2">
      <c r="G59176" s="889"/>
    </row>
    <row r="59177" spans="7:7" ht="10.5" customHeight="1" x14ac:dyDescent="0.2">
      <c r="G59177" s="889"/>
    </row>
    <row r="59178" spans="7:7" ht="10.5" customHeight="1" x14ac:dyDescent="0.2">
      <c r="G59178" s="889"/>
    </row>
    <row r="59179" spans="7:7" ht="10.5" customHeight="1" x14ac:dyDescent="0.2">
      <c r="G59179" s="889"/>
    </row>
    <row r="59180" spans="7:7" ht="10.5" customHeight="1" x14ac:dyDescent="0.2">
      <c r="G59180" s="889"/>
    </row>
    <row r="59181" spans="7:7" ht="10.5" customHeight="1" x14ac:dyDescent="0.2">
      <c r="G59181" s="889"/>
    </row>
    <row r="59182" spans="7:7" ht="10.5" customHeight="1" x14ac:dyDescent="0.2">
      <c r="G59182" s="889"/>
    </row>
    <row r="59183" spans="7:7" ht="10.5" customHeight="1" x14ac:dyDescent="0.2">
      <c r="G59183" s="889"/>
    </row>
    <row r="59184" spans="7:7" ht="10.5" customHeight="1" x14ac:dyDescent="0.2">
      <c r="G59184" s="889"/>
    </row>
    <row r="59185" spans="7:7" ht="10.5" customHeight="1" x14ac:dyDescent="0.2">
      <c r="G59185" s="889"/>
    </row>
    <row r="59186" spans="7:7" ht="10.5" customHeight="1" x14ac:dyDescent="0.2">
      <c r="G59186" s="889"/>
    </row>
    <row r="59187" spans="7:7" ht="10.5" customHeight="1" x14ac:dyDescent="0.2">
      <c r="G59187" s="889"/>
    </row>
    <row r="59188" spans="7:7" ht="10.5" customHeight="1" x14ac:dyDescent="0.2">
      <c r="G59188" s="889"/>
    </row>
    <row r="59189" spans="7:7" ht="10.5" customHeight="1" x14ac:dyDescent="0.2">
      <c r="G59189" s="889"/>
    </row>
    <row r="59190" spans="7:7" ht="10.5" customHeight="1" x14ac:dyDescent="0.2">
      <c r="G59190" s="889"/>
    </row>
    <row r="59191" spans="7:7" ht="10.5" customHeight="1" x14ac:dyDescent="0.2">
      <c r="G59191" s="889"/>
    </row>
    <row r="59192" spans="7:7" ht="10.5" customHeight="1" x14ac:dyDescent="0.2">
      <c r="G59192" s="889"/>
    </row>
    <row r="59193" spans="7:7" ht="10.5" customHeight="1" x14ac:dyDescent="0.2">
      <c r="G59193" s="889"/>
    </row>
    <row r="59194" spans="7:7" ht="10.5" customHeight="1" x14ac:dyDescent="0.2">
      <c r="G59194" s="889"/>
    </row>
    <row r="59195" spans="7:7" ht="10.5" customHeight="1" x14ac:dyDescent="0.2">
      <c r="G59195" s="889"/>
    </row>
    <row r="59196" spans="7:7" ht="10.5" customHeight="1" x14ac:dyDescent="0.2">
      <c r="G59196" s="889"/>
    </row>
    <row r="59197" spans="7:7" ht="10.5" customHeight="1" x14ac:dyDescent="0.2">
      <c r="G59197" s="889"/>
    </row>
    <row r="59198" spans="7:7" ht="10.5" customHeight="1" x14ac:dyDescent="0.2">
      <c r="G59198" s="889"/>
    </row>
    <row r="59199" spans="7:7" ht="10.5" customHeight="1" x14ac:dyDescent="0.2">
      <c r="G59199" s="889"/>
    </row>
    <row r="59200" spans="7:7" ht="10.5" customHeight="1" x14ac:dyDescent="0.2">
      <c r="G59200" s="889"/>
    </row>
    <row r="59201" spans="7:7" ht="10.5" customHeight="1" x14ac:dyDescent="0.2">
      <c r="G59201" s="889"/>
    </row>
    <row r="59202" spans="7:7" ht="10.5" customHeight="1" x14ac:dyDescent="0.2">
      <c r="G59202" s="889"/>
    </row>
    <row r="59203" spans="7:7" ht="10.5" customHeight="1" x14ac:dyDescent="0.2">
      <c r="G59203" s="889"/>
    </row>
    <row r="59204" spans="7:7" ht="10.5" customHeight="1" x14ac:dyDescent="0.2">
      <c r="G59204" s="889"/>
    </row>
    <row r="59205" spans="7:7" ht="10.5" customHeight="1" x14ac:dyDescent="0.2">
      <c r="G59205" s="889"/>
    </row>
    <row r="59206" spans="7:7" ht="10.5" customHeight="1" x14ac:dyDescent="0.2">
      <c r="G59206" s="889"/>
    </row>
    <row r="59207" spans="7:7" ht="10.5" customHeight="1" x14ac:dyDescent="0.2">
      <c r="G59207" s="889"/>
    </row>
    <row r="59208" spans="7:7" ht="10.5" customHeight="1" x14ac:dyDescent="0.2">
      <c r="G59208" s="889"/>
    </row>
    <row r="59209" spans="7:7" ht="10.5" customHeight="1" x14ac:dyDescent="0.2">
      <c r="G59209" s="889"/>
    </row>
    <row r="59210" spans="7:7" ht="10.5" customHeight="1" x14ac:dyDescent="0.2">
      <c r="G59210" s="889"/>
    </row>
    <row r="59211" spans="7:7" ht="10.5" customHeight="1" x14ac:dyDescent="0.2">
      <c r="G59211" s="889"/>
    </row>
    <row r="59212" spans="7:7" ht="10.5" customHeight="1" x14ac:dyDescent="0.2">
      <c r="G59212" s="889"/>
    </row>
    <row r="59213" spans="7:7" ht="10.5" customHeight="1" x14ac:dyDescent="0.2">
      <c r="G59213" s="889"/>
    </row>
    <row r="59214" spans="7:7" ht="10.5" customHeight="1" x14ac:dyDescent="0.2">
      <c r="G59214" s="889"/>
    </row>
    <row r="59215" spans="7:7" ht="10.5" customHeight="1" x14ac:dyDescent="0.2">
      <c r="G59215" s="889"/>
    </row>
    <row r="59216" spans="7:7" ht="10.5" customHeight="1" x14ac:dyDescent="0.2">
      <c r="G59216" s="889"/>
    </row>
    <row r="59217" spans="7:7" ht="10.5" customHeight="1" x14ac:dyDescent="0.2">
      <c r="G59217" s="889"/>
    </row>
    <row r="59218" spans="7:7" ht="10.5" customHeight="1" x14ac:dyDescent="0.2">
      <c r="G59218" s="889"/>
    </row>
    <row r="59219" spans="7:7" ht="10.5" customHeight="1" x14ac:dyDescent="0.2">
      <c r="G59219" s="889"/>
    </row>
    <row r="59220" spans="7:7" ht="10.5" customHeight="1" x14ac:dyDescent="0.2">
      <c r="G59220" s="889"/>
    </row>
    <row r="59221" spans="7:7" ht="10.5" customHeight="1" x14ac:dyDescent="0.2">
      <c r="G59221" s="889"/>
    </row>
    <row r="59222" spans="7:7" ht="10.5" customHeight="1" x14ac:dyDescent="0.2">
      <c r="G59222" s="889"/>
    </row>
    <row r="59223" spans="7:7" ht="10.5" customHeight="1" x14ac:dyDescent="0.2">
      <c r="G59223" s="889"/>
    </row>
    <row r="59224" spans="7:7" ht="10.5" customHeight="1" x14ac:dyDescent="0.2">
      <c r="G59224" s="889"/>
    </row>
    <row r="59225" spans="7:7" ht="10.5" customHeight="1" x14ac:dyDescent="0.2">
      <c r="G59225" s="889"/>
    </row>
    <row r="59226" spans="7:7" ht="10.5" customHeight="1" x14ac:dyDescent="0.2">
      <c r="G59226" s="889"/>
    </row>
    <row r="59227" spans="7:7" ht="10.5" customHeight="1" x14ac:dyDescent="0.2">
      <c r="G59227" s="889"/>
    </row>
    <row r="59228" spans="7:7" ht="10.5" customHeight="1" x14ac:dyDescent="0.2">
      <c r="G59228" s="889"/>
    </row>
    <row r="59229" spans="7:7" ht="10.5" customHeight="1" x14ac:dyDescent="0.2">
      <c r="G59229" s="889"/>
    </row>
    <row r="59230" spans="7:7" ht="10.5" customHeight="1" x14ac:dyDescent="0.2">
      <c r="G59230" s="889"/>
    </row>
    <row r="59231" spans="7:7" ht="10.5" customHeight="1" x14ac:dyDescent="0.2">
      <c r="G59231" s="889"/>
    </row>
    <row r="59232" spans="7:7" ht="10.5" customHeight="1" x14ac:dyDescent="0.2">
      <c r="G59232" s="889"/>
    </row>
    <row r="59233" spans="7:7" ht="10.5" customHeight="1" x14ac:dyDescent="0.2">
      <c r="G59233" s="889"/>
    </row>
    <row r="59234" spans="7:7" ht="10.5" customHeight="1" x14ac:dyDescent="0.2">
      <c r="G59234" s="889"/>
    </row>
    <row r="59235" spans="7:7" ht="10.5" customHeight="1" x14ac:dyDescent="0.2">
      <c r="G59235" s="889"/>
    </row>
    <row r="59236" spans="7:7" ht="10.5" customHeight="1" x14ac:dyDescent="0.2">
      <c r="G59236" s="889"/>
    </row>
    <row r="59237" spans="7:7" ht="10.5" customHeight="1" x14ac:dyDescent="0.2">
      <c r="G59237" s="889"/>
    </row>
    <row r="59238" spans="7:7" ht="10.5" customHeight="1" x14ac:dyDescent="0.2">
      <c r="G59238" s="889"/>
    </row>
    <row r="59239" spans="7:7" ht="10.5" customHeight="1" x14ac:dyDescent="0.2">
      <c r="G59239" s="889"/>
    </row>
    <row r="59240" spans="7:7" ht="10.5" customHeight="1" x14ac:dyDescent="0.2">
      <c r="G59240" s="889"/>
    </row>
    <row r="59241" spans="7:7" ht="10.5" customHeight="1" x14ac:dyDescent="0.2">
      <c r="G59241" s="889"/>
    </row>
    <row r="59242" spans="7:7" ht="10.5" customHeight="1" x14ac:dyDescent="0.2">
      <c r="G59242" s="889"/>
    </row>
    <row r="59243" spans="7:7" ht="10.5" customHeight="1" x14ac:dyDescent="0.2">
      <c r="G59243" s="889"/>
    </row>
    <row r="59244" spans="7:7" ht="10.5" customHeight="1" x14ac:dyDescent="0.2">
      <c r="G59244" s="889"/>
    </row>
    <row r="59245" spans="7:7" ht="10.5" customHeight="1" x14ac:dyDescent="0.2">
      <c r="G59245" s="889"/>
    </row>
    <row r="59246" spans="7:7" ht="10.5" customHeight="1" x14ac:dyDescent="0.2">
      <c r="G59246" s="889"/>
    </row>
    <row r="59247" spans="7:7" ht="10.5" customHeight="1" x14ac:dyDescent="0.2">
      <c r="G59247" s="889"/>
    </row>
    <row r="59248" spans="7:7" ht="10.5" customHeight="1" x14ac:dyDescent="0.2">
      <c r="G59248" s="889"/>
    </row>
    <row r="59249" spans="7:7" ht="10.5" customHeight="1" x14ac:dyDescent="0.2">
      <c r="G59249" s="889"/>
    </row>
    <row r="59250" spans="7:7" ht="10.5" customHeight="1" x14ac:dyDescent="0.2">
      <c r="G59250" s="889"/>
    </row>
    <row r="59251" spans="7:7" ht="10.5" customHeight="1" x14ac:dyDescent="0.2">
      <c r="G59251" s="889"/>
    </row>
    <row r="59252" spans="7:7" ht="10.5" customHeight="1" x14ac:dyDescent="0.2">
      <c r="G59252" s="889"/>
    </row>
    <row r="59253" spans="7:7" ht="10.5" customHeight="1" x14ac:dyDescent="0.2">
      <c r="G59253" s="889"/>
    </row>
    <row r="59254" spans="7:7" ht="10.5" customHeight="1" x14ac:dyDescent="0.2">
      <c r="G59254" s="889"/>
    </row>
    <row r="59255" spans="7:7" ht="10.5" customHeight="1" x14ac:dyDescent="0.2">
      <c r="G59255" s="889"/>
    </row>
    <row r="59256" spans="7:7" ht="10.5" customHeight="1" x14ac:dyDescent="0.2">
      <c r="G59256" s="889"/>
    </row>
    <row r="59257" spans="7:7" ht="10.5" customHeight="1" x14ac:dyDescent="0.2">
      <c r="G59257" s="889"/>
    </row>
    <row r="59258" spans="7:7" ht="10.5" customHeight="1" x14ac:dyDescent="0.2">
      <c r="G59258" s="889"/>
    </row>
    <row r="59259" spans="7:7" ht="10.5" customHeight="1" x14ac:dyDescent="0.2">
      <c r="G59259" s="889"/>
    </row>
    <row r="59260" spans="7:7" ht="10.5" customHeight="1" x14ac:dyDescent="0.2">
      <c r="G59260" s="889"/>
    </row>
    <row r="59261" spans="7:7" ht="10.5" customHeight="1" x14ac:dyDescent="0.2">
      <c r="G59261" s="889"/>
    </row>
    <row r="59262" spans="7:7" ht="10.5" customHeight="1" x14ac:dyDescent="0.2">
      <c r="G59262" s="889"/>
    </row>
    <row r="59263" spans="7:7" ht="10.5" customHeight="1" x14ac:dyDescent="0.2">
      <c r="G59263" s="889"/>
    </row>
    <row r="59264" spans="7:7" ht="10.5" customHeight="1" x14ac:dyDescent="0.2">
      <c r="G59264" s="889"/>
    </row>
    <row r="59265" spans="7:7" ht="10.5" customHeight="1" x14ac:dyDescent="0.2">
      <c r="G59265" s="889"/>
    </row>
    <row r="59266" spans="7:7" ht="10.5" customHeight="1" x14ac:dyDescent="0.2">
      <c r="G59266" s="889"/>
    </row>
    <row r="59267" spans="7:7" ht="10.5" customHeight="1" x14ac:dyDescent="0.2">
      <c r="G59267" s="889"/>
    </row>
    <row r="59268" spans="7:7" ht="10.5" customHeight="1" x14ac:dyDescent="0.2">
      <c r="G59268" s="889"/>
    </row>
    <row r="59269" spans="7:7" ht="10.5" customHeight="1" x14ac:dyDescent="0.2">
      <c r="G59269" s="889"/>
    </row>
    <row r="59270" spans="7:7" ht="10.5" customHeight="1" x14ac:dyDescent="0.2">
      <c r="G59270" s="889"/>
    </row>
    <row r="59271" spans="7:7" ht="10.5" customHeight="1" x14ac:dyDescent="0.2">
      <c r="G59271" s="889"/>
    </row>
    <row r="59272" spans="7:7" ht="10.5" customHeight="1" x14ac:dyDescent="0.2">
      <c r="G59272" s="889"/>
    </row>
    <row r="59273" spans="7:7" ht="10.5" customHeight="1" x14ac:dyDescent="0.2">
      <c r="G59273" s="889"/>
    </row>
    <row r="59274" spans="7:7" ht="10.5" customHeight="1" x14ac:dyDescent="0.2">
      <c r="G59274" s="889"/>
    </row>
    <row r="59275" spans="7:7" ht="10.5" customHeight="1" x14ac:dyDescent="0.2">
      <c r="G59275" s="889"/>
    </row>
    <row r="59276" spans="7:7" ht="10.5" customHeight="1" x14ac:dyDescent="0.2">
      <c r="G59276" s="889"/>
    </row>
    <row r="59277" spans="7:7" ht="10.5" customHeight="1" x14ac:dyDescent="0.2">
      <c r="G59277" s="889"/>
    </row>
    <row r="59278" spans="7:7" ht="10.5" customHeight="1" x14ac:dyDescent="0.2">
      <c r="G59278" s="889"/>
    </row>
    <row r="59279" spans="7:7" ht="10.5" customHeight="1" x14ac:dyDescent="0.2">
      <c r="G59279" s="889"/>
    </row>
    <row r="59280" spans="7:7" ht="10.5" customHeight="1" x14ac:dyDescent="0.2">
      <c r="G59280" s="889"/>
    </row>
    <row r="59281" spans="7:7" ht="10.5" customHeight="1" x14ac:dyDescent="0.2">
      <c r="G59281" s="889"/>
    </row>
    <row r="59282" spans="7:7" ht="10.5" customHeight="1" x14ac:dyDescent="0.2">
      <c r="G59282" s="889"/>
    </row>
    <row r="59283" spans="7:7" ht="10.5" customHeight="1" x14ac:dyDescent="0.2">
      <c r="G59283" s="889"/>
    </row>
    <row r="59284" spans="7:7" ht="10.5" customHeight="1" x14ac:dyDescent="0.2">
      <c r="G59284" s="889"/>
    </row>
    <row r="59285" spans="7:7" ht="10.5" customHeight="1" x14ac:dyDescent="0.2">
      <c r="G59285" s="889"/>
    </row>
    <row r="59286" spans="7:7" ht="10.5" customHeight="1" x14ac:dyDescent="0.2">
      <c r="G59286" s="889"/>
    </row>
    <row r="59287" spans="7:7" ht="10.5" customHeight="1" x14ac:dyDescent="0.2">
      <c r="G59287" s="889"/>
    </row>
    <row r="59288" spans="7:7" ht="10.5" customHeight="1" x14ac:dyDescent="0.2">
      <c r="G59288" s="889"/>
    </row>
    <row r="59289" spans="7:7" ht="10.5" customHeight="1" x14ac:dyDescent="0.2">
      <c r="G59289" s="889"/>
    </row>
    <row r="59290" spans="7:7" ht="10.5" customHeight="1" x14ac:dyDescent="0.2">
      <c r="G59290" s="889"/>
    </row>
    <row r="59291" spans="7:7" ht="10.5" customHeight="1" x14ac:dyDescent="0.2">
      <c r="G59291" s="889"/>
    </row>
    <row r="59292" spans="7:7" ht="10.5" customHeight="1" x14ac:dyDescent="0.2">
      <c r="G59292" s="889"/>
    </row>
    <row r="59293" spans="7:7" ht="10.5" customHeight="1" x14ac:dyDescent="0.2">
      <c r="G59293" s="889"/>
    </row>
    <row r="59294" spans="7:7" ht="10.5" customHeight="1" x14ac:dyDescent="0.2">
      <c r="G59294" s="889"/>
    </row>
    <row r="59295" spans="7:7" ht="10.5" customHeight="1" x14ac:dyDescent="0.2">
      <c r="G59295" s="889"/>
    </row>
    <row r="59296" spans="7:7" ht="10.5" customHeight="1" x14ac:dyDescent="0.2">
      <c r="G59296" s="889"/>
    </row>
    <row r="59297" spans="7:7" ht="10.5" customHeight="1" x14ac:dyDescent="0.2">
      <c r="G59297" s="889"/>
    </row>
    <row r="59298" spans="7:7" ht="10.5" customHeight="1" x14ac:dyDescent="0.2">
      <c r="G59298" s="889"/>
    </row>
    <row r="59299" spans="7:7" ht="10.5" customHeight="1" x14ac:dyDescent="0.2">
      <c r="G59299" s="889"/>
    </row>
    <row r="59300" spans="7:7" ht="10.5" customHeight="1" x14ac:dyDescent="0.2">
      <c r="G59300" s="889"/>
    </row>
    <row r="59301" spans="7:7" ht="10.5" customHeight="1" x14ac:dyDescent="0.2">
      <c r="G59301" s="889"/>
    </row>
    <row r="59302" spans="7:7" ht="10.5" customHeight="1" x14ac:dyDescent="0.2">
      <c r="G59302" s="889"/>
    </row>
    <row r="59303" spans="7:7" ht="10.5" customHeight="1" x14ac:dyDescent="0.2">
      <c r="G59303" s="889"/>
    </row>
    <row r="59304" spans="7:7" ht="10.5" customHeight="1" x14ac:dyDescent="0.2">
      <c r="G59304" s="889"/>
    </row>
    <row r="59305" spans="7:7" ht="10.5" customHeight="1" x14ac:dyDescent="0.2">
      <c r="G59305" s="889"/>
    </row>
    <row r="59306" spans="7:7" ht="10.5" customHeight="1" x14ac:dyDescent="0.2">
      <c r="G59306" s="889"/>
    </row>
    <row r="59307" spans="7:7" ht="10.5" customHeight="1" x14ac:dyDescent="0.2">
      <c r="G59307" s="889"/>
    </row>
    <row r="59308" spans="7:7" ht="10.5" customHeight="1" x14ac:dyDescent="0.2">
      <c r="G59308" s="889"/>
    </row>
    <row r="59309" spans="7:7" ht="10.5" customHeight="1" x14ac:dyDescent="0.2">
      <c r="G59309" s="889"/>
    </row>
    <row r="59310" spans="7:7" ht="10.5" customHeight="1" x14ac:dyDescent="0.2">
      <c r="G59310" s="889"/>
    </row>
    <row r="59311" spans="7:7" ht="10.5" customHeight="1" x14ac:dyDescent="0.2">
      <c r="G59311" s="889"/>
    </row>
    <row r="59312" spans="7:7" ht="10.5" customHeight="1" x14ac:dyDescent="0.2">
      <c r="G59312" s="889"/>
    </row>
    <row r="59313" spans="7:7" ht="10.5" customHeight="1" x14ac:dyDescent="0.2">
      <c r="G59313" s="889"/>
    </row>
    <row r="59314" spans="7:7" ht="10.5" customHeight="1" x14ac:dyDescent="0.2">
      <c r="G59314" s="889"/>
    </row>
    <row r="59315" spans="7:7" ht="10.5" customHeight="1" x14ac:dyDescent="0.2">
      <c r="G59315" s="889"/>
    </row>
    <row r="59316" spans="7:7" ht="10.5" customHeight="1" x14ac:dyDescent="0.2">
      <c r="G59316" s="889"/>
    </row>
    <row r="59317" spans="7:7" ht="10.5" customHeight="1" x14ac:dyDescent="0.2">
      <c r="G59317" s="889"/>
    </row>
    <row r="59318" spans="7:7" ht="10.5" customHeight="1" x14ac:dyDescent="0.2">
      <c r="G59318" s="889"/>
    </row>
    <row r="59319" spans="7:7" ht="10.5" customHeight="1" x14ac:dyDescent="0.2">
      <c r="G59319" s="889"/>
    </row>
    <row r="59320" spans="7:7" ht="10.5" customHeight="1" x14ac:dyDescent="0.2">
      <c r="G59320" s="889"/>
    </row>
    <row r="59321" spans="7:7" ht="10.5" customHeight="1" x14ac:dyDescent="0.2">
      <c r="G59321" s="889"/>
    </row>
    <row r="59322" spans="7:7" ht="10.5" customHeight="1" x14ac:dyDescent="0.2">
      <c r="G59322" s="889"/>
    </row>
    <row r="59323" spans="7:7" ht="10.5" customHeight="1" x14ac:dyDescent="0.2">
      <c r="G59323" s="889"/>
    </row>
    <row r="59324" spans="7:7" ht="10.5" customHeight="1" x14ac:dyDescent="0.2">
      <c r="G59324" s="889"/>
    </row>
    <row r="59325" spans="7:7" ht="10.5" customHeight="1" x14ac:dyDescent="0.2">
      <c r="G59325" s="889"/>
    </row>
    <row r="59326" spans="7:7" ht="10.5" customHeight="1" x14ac:dyDescent="0.2">
      <c r="G59326" s="889"/>
    </row>
    <row r="59327" spans="7:7" ht="10.5" customHeight="1" x14ac:dyDescent="0.2">
      <c r="G59327" s="889"/>
    </row>
    <row r="59328" spans="7:7" ht="10.5" customHeight="1" x14ac:dyDescent="0.2">
      <c r="G59328" s="889"/>
    </row>
    <row r="59329" spans="7:7" ht="10.5" customHeight="1" x14ac:dyDescent="0.2">
      <c r="G59329" s="889"/>
    </row>
    <row r="59330" spans="7:7" ht="10.5" customHeight="1" x14ac:dyDescent="0.2">
      <c r="G59330" s="889"/>
    </row>
    <row r="59331" spans="7:7" ht="10.5" customHeight="1" x14ac:dyDescent="0.2">
      <c r="G59331" s="889"/>
    </row>
    <row r="59332" spans="7:7" ht="10.5" customHeight="1" x14ac:dyDescent="0.2">
      <c r="G59332" s="889"/>
    </row>
    <row r="59333" spans="7:7" ht="10.5" customHeight="1" x14ac:dyDescent="0.2">
      <c r="G59333" s="889"/>
    </row>
    <row r="59334" spans="7:7" ht="10.5" customHeight="1" x14ac:dyDescent="0.2">
      <c r="G59334" s="889"/>
    </row>
    <row r="59335" spans="7:7" ht="10.5" customHeight="1" x14ac:dyDescent="0.2">
      <c r="G59335" s="889"/>
    </row>
    <row r="59336" spans="7:7" ht="10.5" customHeight="1" x14ac:dyDescent="0.2">
      <c r="G59336" s="889"/>
    </row>
    <row r="59337" spans="7:7" ht="10.5" customHeight="1" x14ac:dyDescent="0.2">
      <c r="G59337" s="889"/>
    </row>
    <row r="59338" spans="7:7" ht="10.5" customHeight="1" x14ac:dyDescent="0.2">
      <c r="G59338" s="889"/>
    </row>
    <row r="59339" spans="7:7" ht="10.5" customHeight="1" x14ac:dyDescent="0.2">
      <c r="G59339" s="889"/>
    </row>
    <row r="59340" spans="7:7" ht="10.5" customHeight="1" x14ac:dyDescent="0.2">
      <c r="G59340" s="889"/>
    </row>
    <row r="59341" spans="7:7" ht="10.5" customHeight="1" x14ac:dyDescent="0.2">
      <c r="G59341" s="889"/>
    </row>
    <row r="59342" spans="7:7" ht="10.5" customHeight="1" x14ac:dyDescent="0.2">
      <c r="G59342" s="889"/>
    </row>
    <row r="59343" spans="7:7" ht="10.5" customHeight="1" x14ac:dyDescent="0.2">
      <c r="G59343" s="889"/>
    </row>
    <row r="59344" spans="7:7" ht="10.5" customHeight="1" x14ac:dyDescent="0.2">
      <c r="G59344" s="889"/>
    </row>
    <row r="59345" spans="7:7" ht="10.5" customHeight="1" x14ac:dyDescent="0.2">
      <c r="G59345" s="889"/>
    </row>
    <row r="59346" spans="7:7" ht="10.5" customHeight="1" x14ac:dyDescent="0.2">
      <c r="G59346" s="889"/>
    </row>
    <row r="59347" spans="7:7" ht="10.5" customHeight="1" x14ac:dyDescent="0.2">
      <c r="G59347" s="889"/>
    </row>
    <row r="59348" spans="7:7" ht="10.5" customHeight="1" x14ac:dyDescent="0.2">
      <c r="G59348" s="889"/>
    </row>
    <row r="59349" spans="7:7" ht="10.5" customHeight="1" x14ac:dyDescent="0.2">
      <c r="G59349" s="889"/>
    </row>
    <row r="59350" spans="7:7" ht="10.5" customHeight="1" x14ac:dyDescent="0.2">
      <c r="G59350" s="889"/>
    </row>
    <row r="59351" spans="7:7" ht="10.5" customHeight="1" x14ac:dyDescent="0.2">
      <c r="G59351" s="889"/>
    </row>
    <row r="59352" spans="7:7" ht="10.5" customHeight="1" x14ac:dyDescent="0.2">
      <c r="G59352" s="889"/>
    </row>
    <row r="59353" spans="7:7" ht="10.5" customHeight="1" x14ac:dyDescent="0.2">
      <c r="G59353" s="889"/>
    </row>
    <row r="59354" spans="7:7" ht="10.5" customHeight="1" x14ac:dyDescent="0.2">
      <c r="G59354" s="889"/>
    </row>
    <row r="59355" spans="7:7" ht="10.5" customHeight="1" x14ac:dyDescent="0.2">
      <c r="G59355" s="889"/>
    </row>
    <row r="59356" spans="7:7" ht="10.5" customHeight="1" x14ac:dyDescent="0.2">
      <c r="G59356" s="889"/>
    </row>
    <row r="59357" spans="7:7" ht="10.5" customHeight="1" x14ac:dyDescent="0.2">
      <c r="G59357" s="889"/>
    </row>
    <row r="59358" spans="7:7" ht="10.5" customHeight="1" x14ac:dyDescent="0.2">
      <c r="G59358" s="889"/>
    </row>
    <row r="59359" spans="7:7" ht="10.5" customHeight="1" x14ac:dyDescent="0.2">
      <c r="G59359" s="889"/>
    </row>
    <row r="59360" spans="7:7" ht="10.5" customHeight="1" x14ac:dyDescent="0.2">
      <c r="G59360" s="889"/>
    </row>
    <row r="59361" spans="7:7" ht="10.5" customHeight="1" x14ac:dyDescent="0.2">
      <c r="G59361" s="889"/>
    </row>
    <row r="59362" spans="7:7" ht="10.5" customHeight="1" x14ac:dyDescent="0.2">
      <c r="G59362" s="889"/>
    </row>
    <row r="59363" spans="7:7" ht="10.5" customHeight="1" x14ac:dyDescent="0.2">
      <c r="G59363" s="889"/>
    </row>
    <row r="59364" spans="7:7" ht="10.5" customHeight="1" x14ac:dyDescent="0.2">
      <c r="G59364" s="889"/>
    </row>
    <row r="59365" spans="7:7" ht="10.5" customHeight="1" x14ac:dyDescent="0.2">
      <c r="G59365" s="889"/>
    </row>
    <row r="59366" spans="7:7" ht="10.5" customHeight="1" x14ac:dyDescent="0.2">
      <c r="G59366" s="889"/>
    </row>
    <row r="59367" spans="7:7" ht="10.5" customHeight="1" x14ac:dyDescent="0.2">
      <c r="G59367" s="889"/>
    </row>
    <row r="59368" spans="7:7" ht="10.5" customHeight="1" x14ac:dyDescent="0.2">
      <c r="G59368" s="889"/>
    </row>
    <row r="59369" spans="7:7" ht="10.5" customHeight="1" x14ac:dyDescent="0.2">
      <c r="G59369" s="889"/>
    </row>
    <row r="59370" spans="7:7" ht="10.5" customHeight="1" x14ac:dyDescent="0.2">
      <c r="G59370" s="889"/>
    </row>
    <row r="59371" spans="7:7" ht="10.5" customHeight="1" x14ac:dyDescent="0.2">
      <c r="G59371" s="889"/>
    </row>
    <row r="59372" spans="7:7" ht="10.5" customHeight="1" x14ac:dyDescent="0.2">
      <c r="G59372" s="889"/>
    </row>
    <row r="59373" spans="7:7" ht="10.5" customHeight="1" x14ac:dyDescent="0.2">
      <c r="G59373" s="889"/>
    </row>
    <row r="59374" spans="7:7" ht="10.5" customHeight="1" x14ac:dyDescent="0.2">
      <c r="G59374" s="889"/>
    </row>
    <row r="59375" spans="7:7" ht="10.5" customHeight="1" x14ac:dyDescent="0.2">
      <c r="G59375" s="889"/>
    </row>
    <row r="59376" spans="7:7" ht="10.5" customHeight="1" x14ac:dyDescent="0.2">
      <c r="G59376" s="889"/>
    </row>
    <row r="59377" spans="7:7" ht="10.5" customHeight="1" x14ac:dyDescent="0.2">
      <c r="G59377" s="889"/>
    </row>
    <row r="59378" spans="7:7" ht="10.5" customHeight="1" x14ac:dyDescent="0.2">
      <c r="G59378" s="889"/>
    </row>
    <row r="59379" spans="7:7" ht="10.5" customHeight="1" x14ac:dyDescent="0.2">
      <c r="G59379" s="889"/>
    </row>
    <row r="59380" spans="7:7" ht="10.5" customHeight="1" x14ac:dyDescent="0.2">
      <c r="G59380" s="889"/>
    </row>
    <row r="59381" spans="7:7" ht="10.5" customHeight="1" x14ac:dyDescent="0.2">
      <c r="G59381" s="889"/>
    </row>
    <row r="59382" spans="7:7" ht="10.5" customHeight="1" x14ac:dyDescent="0.2">
      <c r="G59382" s="889"/>
    </row>
    <row r="59383" spans="7:7" ht="10.5" customHeight="1" x14ac:dyDescent="0.2">
      <c r="G59383" s="889"/>
    </row>
    <row r="59384" spans="7:7" ht="10.5" customHeight="1" x14ac:dyDescent="0.2">
      <c r="G59384" s="889"/>
    </row>
    <row r="59385" spans="7:7" ht="10.5" customHeight="1" x14ac:dyDescent="0.2">
      <c r="G59385" s="889"/>
    </row>
    <row r="59386" spans="7:7" ht="10.5" customHeight="1" x14ac:dyDescent="0.2">
      <c r="G59386" s="889"/>
    </row>
    <row r="59387" spans="7:7" ht="10.5" customHeight="1" x14ac:dyDescent="0.2">
      <c r="G59387" s="889"/>
    </row>
    <row r="59388" spans="7:7" ht="10.5" customHeight="1" x14ac:dyDescent="0.2">
      <c r="G59388" s="889"/>
    </row>
    <row r="59389" spans="7:7" ht="10.5" customHeight="1" x14ac:dyDescent="0.2">
      <c r="G59389" s="889"/>
    </row>
    <row r="59390" spans="7:7" ht="10.5" customHeight="1" x14ac:dyDescent="0.2">
      <c r="G59390" s="889"/>
    </row>
    <row r="59391" spans="7:7" ht="10.5" customHeight="1" x14ac:dyDescent="0.2">
      <c r="G59391" s="889"/>
    </row>
    <row r="59392" spans="7:7" ht="10.5" customHeight="1" x14ac:dyDescent="0.2">
      <c r="G59392" s="889"/>
    </row>
    <row r="59393" spans="7:7" ht="10.5" customHeight="1" x14ac:dyDescent="0.2">
      <c r="G59393" s="889"/>
    </row>
    <row r="59394" spans="7:7" ht="10.5" customHeight="1" x14ac:dyDescent="0.2">
      <c r="G59394" s="889"/>
    </row>
    <row r="59395" spans="7:7" ht="10.5" customHeight="1" x14ac:dyDescent="0.2">
      <c r="G59395" s="889"/>
    </row>
    <row r="59396" spans="7:7" ht="10.5" customHeight="1" x14ac:dyDescent="0.2">
      <c r="G59396" s="889"/>
    </row>
    <row r="59397" spans="7:7" ht="10.5" customHeight="1" x14ac:dyDescent="0.2">
      <c r="G59397" s="889"/>
    </row>
    <row r="59398" spans="7:7" ht="10.5" customHeight="1" x14ac:dyDescent="0.2">
      <c r="G59398" s="889"/>
    </row>
    <row r="59399" spans="7:7" ht="10.5" customHeight="1" x14ac:dyDescent="0.2">
      <c r="G59399" s="889"/>
    </row>
    <row r="59400" spans="7:7" ht="10.5" customHeight="1" x14ac:dyDescent="0.2">
      <c r="G59400" s="889"/>
    </row>
    <row r="59401" spans="7:7" ht="10.5" customHeight="1" x14ac:dyDescent="0.2">
      <c r="G59401" s="889"/>
    </row>
    <row r="59402" spans="7:7" ht="10.5" customHeight="1" x14ac:dyDescent="0.2">
      <c r="G59402" s="889"/>
    </row>
    <row r="59403" spans="7:7" ht="10.5" customHeight="1" x14ac:dyDescent="0.2">
      <c r="G59403" s="889"/>
    </row>
    <row r="59404" spans="7:7" ht="10.5" customHeight="1" x14ac:dyDescent="0.2">
      <c r="G59404" s="889"/>
    </row>
    <row r="59405" spans="7:7" ht="10.5" customHeight="1" x14ac:dyDescent="0.2">
      <c r="G59405" s="889"/>
    </row>
    <row r="59406" spans="7:7" ht="10.5" customHeight="1" x14ac:dyDescent="0.2">
      <c r="G59406" s="889"/>
    </row>
    <row r="59407" spans="7:7" ht="10.5" customHeight="1" x14ac:dyDescent="0.2">
      <c r="G59407" s="889"/>
    </row>
    <row r="59408" spans="7:7" ht="10.5" customHeight="1" x14ac:dyDescent="0.2">
      <c r="G59408" s="889"/>
    </row>
    <row r="59409" spans="7:7" ht="10.5" customHeight="1" x14ac:dyDescent="0.2">
      <c r="G59409" s="889"/>
    </row>
    <row r="59410" spans="7:7" ht="10.5" customHeight="1" x14ac:dyDescent="0.2">
      <c r="G59410" s="889"/>
    </row>
    <row r="59411" spans="7:7" ht="10.5" customHeight="1" x14ac:dyDescent="0.2">
      <c r="G59411" s="889"/>
    </row>
    <row r="59412" spans="7:7" ht="10.5" customHeight="1" x14ac:dyDescent="0.2">
      <c r="G59412" s="889"/>
    </row>
    <row r="59413" spans="7:7" ht="10.5" customHeight="1" x14ac:dyDescent="0.2">
      <c r="G59413" s="889"/>
    </row>
    <row r="59414" spans="7:7" ht="10.5" customHeight="1" x14ac:dyDescent="0.2">
      <c r="G59414" s="889"/>
    </row>
    <row r="59415" spans="7:7" ht="10.5" customHeight="1" x14ac:dyDescent="0.2">
      <c r="G59415" s="889"/>
    </row>
    <row r="59416" spans="7:7" ht="10.5" customHeight="1" x14ac:dyDescent="0.2">
      <c r="G59416" s="889"/>
    </row>
    <row r="59417" spans="7:7" ht="10.5" customHeight="1" x14ac:dyDescent="0.2">
      <c r="G59417" s="889"/>
    </row>
    <row r="59418" spans="7:7" ht="10.5" customHeight="1" x14ac:dyDescent="0.2">
      <c r="G59418" s="889"/>
    </row>
    <row r="59419" spans="7:7" ht="10.5" customHeight="1" x14ac:dyDescent="0.2">
      <c r="G59419" s="889"/>
    </row>
    <row r="59420" spans="7:7" ht="10.5" customHeight="1" x14ac:dyDescent="0.2">
      <c r="G59420" s="889"/>
    </row>
    <row r="59421" spans="7:7" ht="10.5" customHeight="1" x14ac:dyDescent="0.2">
      <c r="G59421" s="889"/>
    </row>
    <row r="59422" spans="7:7" ht="10.5" customHeight="1" x14ac:dyDescent="0.2">
      <c r="G59422" s="889"/>
    </row>
    <row r="59423" spans="7:7" ht="10.5" customHeight="1" x14ac:dyDescent="0.2">
      <c r="G59423" s="889"/>
    </row>
    <row r="59424" spans="7:7" ht="10.5" customHeight="1" x14ac:dyDescent="0.2">
      <c r="G59424" s="889"/>
    </row>
    <row r="59425" spans="7:7" ht="10.5" customHeight="1" x14ac:dyDescent="0.2">
      <c r="G59425" s="889"/>
    </row>
    <row r="59426" spans="7:7" ht="10.5" customHeight="1" x14ac:dyDescent="0.2">
      <c r="G59426" s="889"/>
    </row>
    <row r="59427" spans="7:7" ht="10.5" customHeight="1" x14ac:dyDescent="0.2">
      <c r="G59427" s="889"/>
    </row>
    <row r="59428" spans="7:7" ht="10.5" customHeight="1" x14ac:dyDescent="0.2">
      <c r="G59428" s="889"/>
    </row>
    <row r="59429" spans="7:7" ht="10.5" customHeight="1" x14ac:dyDescent="0.2">
      <c r="G59429" s="889"/>
    </row>
    <row r="59430" spans="7:7" ht="10.5" customHeight="1" x14ac:dyDescent="0.2">
      <c r="G59430" s="889"/>
    </row>
    <row r="59431" spans="7:7" ht="10.5" customHeight="1" x14ac:dyDescent="0.2">
      <c r="G59431" s="889"/>
    </row>
    <row r="59432" spans="7:7" ht="10.5" customHeight="1" x14ac:dyDescent="0.2">
      <c r="G59432" s="889"/>
    </row>
    <row r="59433" spans="7:7" ht="10.5" customHeight="1" x14ac:dyDescent="0.2">
      <c r="G59433" s="889"/>
    </row>
    <row r="59434" spans="7:7" ht="10.5" customHeight="1" x14ac:dyDescent="0.2">
      <c r="G59434" s="889"/>
    </row>
    <row r="59435" spans="7:7" ht="10.5" customHeight="1" x14ac:dyDescent="0.2">
      <c r="G59435" s="889"/>
    </row>
    <row r="59436" spans="7:7" ht="10.5" customHeight="1" x14ac:dyDescent="0.2">
      <c r="G59436" s="889"/>
    </row>
    <row r="59437" spans="7:7" ht="10.5" customHeight="1" x14ac:dyDescent="0.2">
      <c r="G59437" s="889"/>
    </row>
    <row r="59438" spans="7:7" ht="10.5" customHeight="1" x14ac:dyDescent="0.2">
      <c r="G59438" s="889"/>
    </row>
    <row r="59439" spans="7:7" ht="10.5" customHeight="1" x14ac:dyDescent="0.2">
      <c r="G59439" s="889"/>
    </row>
    <row r="59440" spans="7:7" ht="10.5" customHeight="1" x14ac:dyDescent="0.2">
      <c r="G59440" s="889"/>
    </row>
    <row r="59441" spans="7:7" ht="10.5" customHeight="1" x14ac:dyDescent="0.2">
      <c r="G59441" s="889"/>
    </row>
    <row r="59442" spans="7:7" ht="10.5" customHeight="1" x14ac:dyDescent="0.2">
      <c r="G59442" s="889"/>
    </row>
    <row r="59443" spans="7:7" ht="10.5" customHeight="1" x14ac:dyDescent="0.2">
      <c r="G59443" s="889"/>
    </row>
    <row r="59444" spans="7:7" ht="10.5" customHeight="1" x14ac:dyDescent="0.2">
      <c r="G59444" s="889"/>
    </row>
    <row r="59445" spans="7:7" ht="10.5" customHeight="1" x14ac:dyDescent="0.2">
      <c r="G59445" s="889"/>
    </row>
    <row r="59446" spans="7:7" ht="10.5" customHeight="1" x14ac:dyDescent="0.2">
      <c r="G59446" s="889"/>
    </row>
    <row r="59447" spans="7:7" ht="10.5" customHeight="1" x14ac:dyDescent="0.2">
      <c r="G59447" s="889"/>
    </row>
    <row r="59448" spans="7:7" ht="10.5" customHeight="1" x14ac:dyDescent="0.2">
      <c r="G59448" s="889"/>
    </row>
    <row r="59449" spans="7:7" ht="10.5" customHeight="1" x14ac:dyDescent="0.2">
      <c r="G59449" s="889"/>
    </row>
    <row r="59450" spans="7:7" ht="10.5" customHeight="1" x14ac:dyDescent="0.2">
      <c r="G59450" s="889"/>
    </row>
    <row r="59451" spans="7:7" ht="10.5" customHeight="1" x14ac:dyDescent="0.2">
      <c r="G59451" s="889"/>
    </row>
    <row r="59452" spans="7:7" ht="10.5" customHeight="1" x14ac:dyDescent="0.2">
      <c r="G59452" s="889"/>
    </row>
    <row r="59453" spans="7:7" ht="10.5" customHeight="1" x14ac:dyDescent="0.2">
      <c r="G59453" s="889"/>
    </row>
    <row r="59454" spans="7:7" ht="10.5" customHeight="1" x14ac:dyDescent="0.2">
      <c r="G59454" s="889"/>
    </row>
    <row r="59455" spans="7:7" ht="10.5" customHeight="1" x14ac:dyDescent="0.2">
      <c r="G59455" s="889"/>
    </row>
    <row r="59456" spans="7:7" ht="10.5" customHeight="1" x14ac:dyDescent="0.2">
      <c r="G59456" s="889"/>
    </row>
    <row r="59457" spans="7:7" ht="10.5" customHeight="1" x14ac:dyDescent="0.2">
      <c r="G59457" s="889"/>
    </row>
    <row r="59458" spans="7:7" ht="10.5" customHeight="1" x14ac:dyDescent="0.2">
      <c r="G59458" s="889"/>
    </row>
    <row r="59459" spans="7:7" ht="10.5" customHeight="1" x14ac:dyDescent="0.2">
      <c r="G59459" s="889"/>
    </row>
    <row r="59460" spans="7:7" ht="10.5" customHeight="1" x14ac:dyDescent="0.2">
      <c r="G59460" s="889"/>
    </row>
    <row r="59461" spans="7:7" ht="10.5" customHeight="1" x14ac:dyDescent="0.2">
      <c r="G59461" s="889"/>
    </row>
    <row r="59462" spans="7:7" ht="10.5" customHeight="1" x14ac:dyDescent="0.2">
      <c r="G59462" s="889"/>
    </row>
    <row r="59463" spans="7:7" ht="10.5" customHeight="1" x14ac:dyDescent="0.2">
      <c r="G59463" s="889"/>
    </row>
    <row r="59464" spans="7:7" ht="10.5" customHeight="1" x14ac:dyDescent="0.2">
      <c r="G59464" s="889"/>
    </row>
    <row r="59465" spans="7:7" ht="10.5" customHeight="1" x14ac:dyDescent="0.2">
      <c r="G59465" s="889"/>
    </row>
    <row r="59466" spans="7:7" ht="10.5" customHeight="1" x14ac:dyDescent="0.2">
      <c r="G59466" s="889"/>
    </row>
    <row r="59467" spans="7:7" ht="10.5" customHeight="1" x14ac:dyDescent="0.2">
      <c r="G59467" s="889"/>
    </row>
    <row r="59468" spans="7:7" ht="10.5" customHeight="1" x14ac:dyDescent="0.2">
      <c r="G59468" s="889"/>
    </row>
    <row r="59469" spans="7:7" ht="10.5" customHeight="1" x14ac:dyDescent="0.2">
      <c r="G59469" s="889"/>
    </row>
    <row r="59470" spans="7:7" ht="10.5" customHeight="1" x14ac:dyDescent="0.2">
      <c r="G59470" s="889"/>
    </row>
    <row r="59471" spans="7:7" ht="10.5" customHeight="1" x14ac:dyDescent="0.2">
      <c r="G59471" s="889"/>
    </row>
    <row r="59472" spans="7:7" ht="10.5" customHeight="1" x14ac:dyDescent="0.2">
      <c r="G59472" s="889"/>
    </row>
    <row r="59473" spans="7:7" ht="10.5" customHeight="1" x14ac:dyDescent="0.2">
      <c r="G59473" s="889"/>
    </row>
    <row r="59474" spans="7:7" ht="10.5" customHeight="1" x14ac:dyDescent="0.2">
      <c r="G59474" s="889"/>
    </row>
    <row r="59475" spans="7:7" ht="10.5" customHeight="1" x14ac:dyDescent="0.2">
      <c r="G59475" s="889"/>
    </row>
    <row r="59476" spans="7:7" ht="10.5" customHeight="1" x14ac:dyDescent="0.2">
      <c r="G59476" s="889"/>
    </row>
    <row r="59477" spans="7:7" ht="10.5" customHeight="1" x14ac:dyDescent="0.2">
      <c r="G59477" s="889"/>
    </row>
    <row r="59478" spans="7:7" ht="10.5" customHeight="1" x14ac:dyDescent="0.2">
      <c r="G59478" s="889"/>
    </row>
    <row r="59479" spans="7:7" ht="10.5" customHeight="1" x14ac:dyDescent="0.2">
      <c r="G59479" s="889"/>
    </row>
    <row r="59480" spans="7:7" ht="10.5" customHeight="1" x14ac:dyDescent="0.2">
      <c r="G59480" s="889"/>
    </row>
    <row r="59481" spans="7:7" ht="10.5" customHeight="1" x14ac:dyDescent="0.2">
      <c r="G59481" s="889"/>
    </row>
    <row r="59482" spans="7:7" ht="10.5" customHeight="1" x14ac:dyDescent="0.2">
      <c r="G59482" s="889"/>
    </row>
    <row r="59483" spans="7:7" ht="10.5" customHeight="1" x14ac:dyDescent="0.2">
      <c r="G59483" s="889"/>
    </row>
    <row r="59484" spans="7:7" ht="10.5" customHeight="1" x14ac:dyDescent="0.2">
      <c r="G59484" s="889"/>
    </row>
    <row r="59485" spans="7:7" ht="10.5" customHeight="1" x14ac:dyDescent="0.2">
      <c r="G59485" s="889"/>
    </row>
    <row r="59486" spans="7:7" ht="10.5" customHeight="1" x14ac:dyDescent="0.2">
      <c r="G59486" s="889"/>
    </row>
    <row r="59487" spans="7:7" ht="10.5" customHeight="1" x14ac:dyDescent="0.2">
      <c r="G59487" s="889"/>
    </row>
    <row r="59488" spans="7:7" ht="10.5" customHeight="1" x14ac:dyDescent="0.2">
      <c r="G59488" s="889"/>
    </row>
    <row r="59489" spans="7:7" ht="10.5" customHeight="1" x14ac:dyDescent="0.2">
      <c r="G59489" s="889"/>
    </row>
    <row r="59490" spans="7:7" ht="10.5" customHeight="1" x14ac:dyDescent="0.2">
      <c r="G59490" s="889"/>
    </row>
    <row r="59491" spans="7:7" ht="10.5" customHeight="1" x14ac:dyDescent="0.2">
      <c r="G59491" s="889"/>
    </row>
    <row r="59492" spans="7:7" ht="10.5" customHeight="1" x14ac:dyDescent="0.2">
      <c r="G59492" s="889"/>
    </row>
    <row r="59493" spans="7:7" ht="10.5" customHeight="1" x14ac:dyDescent="0.2">
      <c r="G59493" s="889"/>
    </row>
    <row r="59494" spans="7:7" ht="10.5" customHeight="1" x14ac:dyDescent="0.2">
      <c r="G59494" s="889"/>
    </row>
    <row r="59495" spans="7:7" ht="10.5" customHeight="1" x14ac:dyDescent="0.2">
      <c r="G59495" s="889"/>
    </row>
    <row r="59496" spans="7:7" ht="10.5" customHeight="1" x14ac:dyDescent="0.2">
      <c r="G59496" s="889"/>
    </row>
    <row r="59497" spans="7:7" ht="10.5" customHeight="1" x14ac:dyDescent="0.2">
      <c r="G59497" s="889"/>
    </row>
    <row r="59498" spans="7:7" ht="10.5" customHeight="1" x14ac:dyDescent="0.2">
      <c r="G59498" s="889"/>
    </row>
    <row r="59499" spans="7:7" ht="10.5" customHeight="1" x14ac:dyDescent="0.2">
      <c r="G59499" s="889"/>
    </row>
    <row r="59500" spans="7:7" ht="10.5" customHeight="1" x14ac:dyDescent="0.2">
      <c r="G59500" s="889"/>
    </row>
    <row r="59501" spans="7:7" ht="10.5" customHeight="1" x14ac:dyDescent="0.2">
      <c r="G59501" s="889"/>
    </row>
    <row r="59502" spans="7:7" ht="10.5" customHeight="1" x14ac:dyDescent="0.2">
      <c r="G59502" s="889"/>
    </row>
    <row r="59503" spans="7:7" ht="10.5" customHeight="1" x14ac:dyDescent="0.2">
      <c r="G59503" s="889"/>
    </row>
    <row r="59504" spans="7:7" ht="10.5" customHeight="1" x14ac:dyDescent="0.2">
      <c r="G59504" s="889"/>
    </row>
    <row r="59505" spans="7:7" ht="10.5" customHeight="1" x14ac:dyDescent="0.2">
      <c r="G59505" s="889"/>
    </row>
    <row r="59506" spans="7:7" ht="10.5" customHeight="1" x14ac:dyDescent="0.2">
      <c r="G59506" s="889"/>
    </row>
    <row r="59507" spans="7:7" ht="10.5" customHeight="1" x14ac:dyDescent="0.2">
      <c r="G59507" s="889"/>
    </row>
    <row r="59508" spans="7:7" ht="10.5" customHeight="1" x14ac:dyDescent="0.2">
      <c r="G59508" s="889"/>
    </row>
    <row r="59509" spans="7:7" ht="10.5" customHeight="1" x14ac:dyDescent="0.2">
      <c r="G59509" s="889"/>
    </row>
    <row r="59510" spans="7:7" ht="10.5" customHeight="1" x14ac:dyDescent="0.2">
      <c r="G59510" s="889"/>
    </row>
    <row r="59511" spans="7:7" ht="10.5" customHeight="1" x14ac:dyDescent="0.2">
      <c r="G59511" s="889"/>
    </row>
    <row r="59512" spans="7:7" ht="10.5" customHeight="1" x14ac:dyDescent="0.2">
      <c r="G59512" s="889"/>
    </row>
    <row r="59513" spans="7:7" ht="10.5" customHeight="1" x14ac:dyDescent="0.2">
      <c r="G59513" s="889"/>
    </row>
    <row r="59514" spans="7:7" ht="10.5" customHeight="1" x14ac:dyDescent="0.2">
      <c r="G59514" s="889"/>
    </row>
    <row r="59515" spans="7:7" ht="10.5" customHeight="1" x14ac:dyDescent="0.2">
      <c r="G59515" s="889"/>
    </row>
    <row r="59516" spans="7:7" ht="10.5" customHeight="1" x14ac:dyDescent="0.2">
      <c r="G59516" s="889"/>
    </row>
    <row r="59517" spans="7:7" ht="10.5" customHeight="1" x14ac:dyDescent="0.2">
      <c r="G59517" s="889"/>
    </row>
    <row r="59518" spans="7:7" ht="10.5" customHeight="1" x14ac:dyDescent="0.2">
      <c r="G59518" s="889"/>
    </row>
    <row r="59519" spans="7:7" ht="10.5" customHeight="1" x14ac:dyDescent="0.2">
      <c r="G59519" s="889"/>
    </row>
    <row r="59520" spans="7:7" ht="10.5" customHeight="1" x14ac:dyDescent="0.2">
      <c r="G59520" s="889"/>
    </row>
    <row r="59521" spans="7:7" ht="10.5" customHeight="1" x14ac:dyDescent="0.2">
      <c r="G59521" s="889"/>
    </row>
    <row r="59522" spans="7:7" ht="10.5" customHeight="1" x14ac:dyDescent="0.2">
      <c r="G59522" s="889"/>
    </row>
    <row r="59523" spans="7:7" ht="10.5" customHeight="1" x14ac:dyDescent="0.2">
      <c r="G59523" s="889"/>
    </row>
    <row r="59524" spans="7:7" ht="10.5" customHeight="1" x14ac:dyDescent="0.2">
      <c r="G59524" s="889"/>
    </row>
    <row r="59525" spans="7:7" ht="10.5" customHeight="1" x14ac:dyDescent="0.2">
      <c r="G59525" s="889"/>
    </row>
    <row r="59526" spans="7:7" ht="10.5" customHeight="1" x14ac:dyDescent="0.2">
      <c r="G59526" s="889"/>
    </row>
    <row r="59527" spans="7:7" ht="10.5" customHeight="1" x14ac:dyDescent="0.2">
      <c r="G59527" s="889"/>
    </row>
    <row r="59528" spans="7:7" ht="10.5" customHeight="1" x14ac:dyDescent="0.2">
      <c r="G59528" s="889"/>
    </row>
    <row r="59529" spans="7:7" ht="10.5" customHeight="1" x14ac:dyDescent="0.2">
      <c r="G59529" s="889"/>
    </row>
    <row r="59530" spans="7:7" ht="10.5" customHeight="1" x14ac:dyDescent="0.2">
      <c r="G59530" s="889"/>
    </row>
    <row r="59531" spans="7:7" ht="10.5" customHeight="1" x14ac:dyDescent="0.2">
      <c r="G59531" s="889"/>
    </row>
    <row r="59532" spans="7:7" ht="10.5" customHeight="1" x14ac:dyDescent="0.2">
      <c r="G59532" s="889"/>
    </row>
    <row r="59533" spans="7:7" ht="10.5" customHeight="1" x14ac:dyDescent="0.2">
      <c r="G59533" s="889"/>
    </row>
    <row r="59534" spans="7:7" ht="10.5" customHeight="1" x14ac:dyDescent="0.2">
      <c r="G59534" s="889"/>
    </row>
    <row r="59535" spans="7:7" ht="10.5" customHeight="1" x14ac:dyDescent="0.2">
      <c r="G59535" s="889"/>
    </row>
    <row r="59536" spans="7:7" ht="10.5" customHeight="1" x14ac:dyDescent="0.2">
      <c r="G59536" s="889"/>
    </row>
    <row r="59537" spans="7:7" ht="10.5" customHeight="1" x14ac:dyDescent="0.2">
      <c r="G59537" s="889"/>
    </row>
    <row r="59538" spans="7:7" ht="10.5" customHeight="1" x14ac:dyDescent="0.2">
      <c r="G59538" s="889"/>
    </row>
    <row r="59539" spans="7:7" ht="10.5" customHeight="1" x14ac:dyDescent="0.2">
      <c r="G59539" s="889"/>
    </row>
    <row r="59540" spans="7:7" ht="10.5" customHeight="1" x14ac:dyDescent="0.2">
      <c r="G59540" s="889"/>
    </row>
    <row r="59541" spans="7:7" ht="10.5" customHeight="1" x14ac:dyDescent="0.2">
      <c r="G59541" s="889"/>
    </row>
    <row r="59542" spans="7:7" ht="10.5" customHeight="1" x14ac:dyDescent="0.2">
      <c r="G59542" s="889"/>
    </row>
    <row r="59543" spans="7:7" ht="10.5" customHeight="1" x14ac:dyDescent="0.2">
      <c r="G59543" s="889"/>
    </row>
    <row r="59544" spans="7:7" ht="10.5" customHeight="1" x14ac:dyDescent="0.2">
      <c r="G59544" s="889"/>
    </row>
    <row r="59545" spans="7:7" ht="10.5" customHeight="1" x14ac:dyDescent="0.2">
      <c r="G59545" s="889"/>
    </row>
    <row r="59546" spans="7:7" ht="10.5" customHeight="1" x14ac:dyDescent="0.2">
      <c r="G59546" s="889"/>
    </row>
    <row r="59547" spans="7:7" ht="10.5" customHeight="1" x14ac:dyDescent="0.2">
      <c r="G59547" s="889"/>
    </row>
    <row r="59548" spans="7:7" ht="10.5" customHeight="1" x14ac:dyDescent="0.2">
      <c r="G59548" s="889"/>
    </row>
    <row r="59549" spans="7:7" ht="10.5" customHeight="1" x14ac:dyDescent="0.2">
      <c r="G59549" s="889"/>
    </row>
    <row r="59550" spans="7:7" ht="10.5" customHeight="1" x14ac:dyDescent="0.2">
      <c r="G59550" s="889"/>
    </row>
    <row r="59551" spans="7:7" ht="10.5" customHeight="1" x14ac:dyDescent="0.2">
      <c r="G59551" s="889"/>
    </row>
    <row r="59552" spans="7:7" ht="10.5" customHeight="1" x14ac:dyDescent="0.2">
      <c r="G59552" s="889"/>
    </row>
    <row r="59553" spans="7:7" ht="10.5" customHeight="1" x14ac:dyDescent="0.2">
      <c r="G59553" s="889"/>
    </row>
    <row r="59554" spans="7:7" ht="10.5" customHeight="1" x14ac:dyDescent="0.2">
      <c r="G59554" s="889"/>
    </row>
    <row r="59555" spans="7:7" ht="10.5" customHeight="1" x14ac:dyDescent="0.2">
      <c r="G59555" s="889"/>
    </row>
    <row r="59556" spans="7:7" ht="10.5" customHeight="1" x14ac:dyDescent="0.2">
      <c r="G59556" s="889"/>
    </row>
    <row r="59557" spans="7:7" ht="10.5" customHeight="1" x14ac:dyDescent="0.2">
      <c r="G59557" s="889"/>
    </row>
    <row r="59558" spans="7:7" ht="10.5" customHeight="1" x14ac:dyDescent="0.2">
      <c r="G59558" s="889"/>
    </row>
    <row r="59559" spans="7:7" ht="10.5" customHeight="1" x14ac:dyDescent="0.2">
      <c r="G59559" s="889"/>
    </row>
    <row r="59560" spans="7:7" ht="10.5" customHeight="1" x14ac:dyDescent="0.2">
      <c r="G59560" s="889"/>
    </row>
    <row r="59561" spans="7:7" ht="10.5" customHeight="1" x14ac:dyDescent="0.2">
      <c r="G59561" s="889"/>
    </row>
    <row r="59562" spans="7:7" ht="10.5" customHeight="1" x14ac:dyDescent="0.2">
      <c r="G59562" s="889"/>
    </row>
    <row r="59563" spans="7:7" ht="10.5" customHeight="1" x14ac:dyDescent="0.2">
      <c r="G59563" s="889"/>
    </row>
    <row r="59564" spans="7:7" ht="10.5" customHeight="1" x14ac:dyDescent="0.2">
      <c r="G59564" s="889"/>
    </row>
    <row r="59565" spans="7:7" ht="10.5" customHeight="1" x14ac:dyDescent="0.2">
      <c r="G59565" s="889"/>
    </row>
    <row r="59566" spans="7:7" ht="10.5" customHeight="1" x14ac:dyDescent="0.2">
      <c r="G59566" s="889"/>
    </row>
    <row r="59567" spans="7:7" ht="10.5" customHeight="1" x14ac:dyDescent="0.2">
      <c r="G59567" s="889"/>
    </row>
    <row r="59568" spans="7:7" ht="10.5" customHeight="1" x14ac:dyDescent="0.2">
      <c r="G59568" s="889"/>
    </row>
    <row r="59569" spans="7:7" ht="10.5" customHeight="1" x14ac:dyDescent="0.2">
      <c r="G59569" s="889"/>
    </row>
    <row r="59570" spans="7:7" ht="10.5" customHeight="1" x14ac:dyDescent="0.2">
      <c r="G59570" s="889"/>
    </row>
    <row r="59571" spans="7:7" ht="10.5" customHeight="1" x14ac:dyDescent="0.2">
      <c r="G59571" s="889"/>
    </row>
    <row r="59572" spans="7:7" ht="10.5" customHeight="1" x14ac:dyDescent="0.2">
      <c r="G59572" s="889"/>
    </row>
    <row r="59573" spans="7:7" ht="10.5" customHeight="1" x14ac:dyDescent="0.2">
      <c r="G59573" s="889"/>
    </row>
    <row r="59574" spans="7:7" ht="10.5" customHeight="1" x14ac:dyDescent="0.2">
      <c r="G59574" s="889"/>
    </row>
    <row r="59575" spans="7:7" ht="10.5" customHeight="1" x14ac:dyDescent="0.2">
      <c r="G59575" s="889"/>
    </row>
    <row r="59576" spans="7:7" ht="10.5" customHeight="1" x14ac:dyDescent="0.2">
      <c r="G59576" s="889"/>
    </row>
    <row r="59577" spans="7:7" ht="10.5" customHeight="1" x14ac:dyDescent="0.2">
      <c r="G59577" s="889"/>
    </row>
    <row r="59578" spans="7:7" ht="10.5" customHeight="1" x14ac:dyDescent="0.2">
      <c r="G59578" s="889"/>
    </row>
    <row r="59579" spans="7:7" ht="10.5" customHeight="1" x14ac:dyDescent="0.2">
      <c r="G59579" s="889"/>
    </row>
    <row r="59580" spans="7:7" ht="10.5" customHeight="1" x14ac:dyDescent="0.2">
      <c r="G59580" s="889"/>
    </row>
    <row r="59581" spans="7:7" ht="10.5" customHeight="1" x14ac:dyDescent="0.2">
      <c r="G59581" s="889"/>
    </row>
    <row r="59582" spans="7:7" ht="10.5" customHeight="1" x14ac:dyDescent="0.2">
      <c r="G59582" s="889"/>
    </row>
    <row r="59583" spans="7:7" ht="10.5" customHeight="1" x14ac:dyDescent="0.2">
      <c r="G59583" s="889"/>
    </row>
    <row r="59584" spans="7:7" ht="10.5" customHeight="1" x14ac:dyDescent="0.2">
      <c r="G59584" s="889"/>
    </row>
    <row r="59585" spans="7:7" ht="10.5" customHeight="1" x14ac:dyDescent="0.2">
      <c r="G59585" s="889"/>
    </row>
    <row r="59586" spans="7:7" ht="10.5" customHeight="1" x14ac:dyDescent="0.2">
      <c r="G59586" s="889"/>
    </row>
    <row r="59587" spans="7:7" ht="10.5" customHeight="1" x14ac:dyDescent="0.2">
      <c r="G59587" s="889"/>
    </row>
    <row r="59588" spans="7:7" ht="10.5" customHeight="1" x14ac:dyDescent="0.2">
      <c r="G59588" s="889"/>
    </row>
    <row r="59589" spans="7:7" ht="10.5" customHeight="1" x14ac:dyDescent="0.2">
      <c r="G59589" s="889"/>
    </row>
    <row r="59590" spans="7:7" ht="10.5" customHeight="1" x14ac:dyDescent="0.2">
      <c r="G59590" s="889"/>
    </row>
    <row r="59591" spans="7:7" ht="10.5" customHeight="1" x14ac:dyDescent="0.2">
      <c r="G59591" s="889"/>
    </row>
    <row r="59592" spans="7:7" ht="10.5" customHeight="1" x14ac:dyDescent="0.2">
      <c r="G59592" s="889"/>
    </row>
    <row r="59593" spans="7:7" ht="10.5" customHeight="1" x14ac:dyDescent="0.2">
      <c r="G59593" s="889"/>
    </row>
    <row r="59594" spans="7:7" ht="10.5" customHeight="1" x14ac:dyDescent="0.2">
      <c r="G59594" s="889"/>
    </row>
    <row r="59595" spans="7:7" ht="10.5" customHeight="1" x14ac:dyDescent="0.2">
      <c r="G59595" s="889"/>
    </row>
    <row r="59596" spans="7:7" ht="10.5" customHeight="1" x14ac:dyDescent="0.2">
      <c r="G59596" s="889"/>
    </row>
    <row r="59597" spans="7:7" ht="10.5" customHeight="1" x14ac:dyDescent="0.2">
      <c r="G59597" s="889"/>
    </row>
    <row r="59598" spans="7:7" ht="10.5" customHeight="1" x14ac:dyDescent="0.2">
      <c r="G59598" s="889"/>
    </row>
    <row r="59599" spans="7:7" ht="10.5" customHeight="1" x14ac:dyDescent="0.2">
      <c r="G59599" s="889"/>
    </row>
    <row r="59600" spans="7:7" ht="10.5" customHeight="1" x14ac:dyDescent="0.2">
      <c r="G59600" s="889"/>
    </row>
    <row r="59601" spans="7:7" ht="10.5" customHeight="1" x14ac:dyDescent="0.2">
      <c r="G59601" s="889"/>
    </row>
    <row r="59602" spans="7:7" ht="10.5" customHeight="1" x14ac:dyDescent="0.2">
      <c r="G59602" s="889"/>
    </row>
    <row r="59603" spans="7:7" ht="10.5" customHeight="1" x14ac:dyDescent="0.2">
      <c r="G59603" s="889"/>
    </row>
    <row r="59604" spans="7:7" ht="10.5" customHeight="1" x14ac:dyDescent="0.2">
      <c r="G59604" s="889"/>
    </row>
    <row r="59605" spans="7:7" ht="10.5" customHeight="1" x14ac:dyDescent="0.2">
      <c r="G59605" s="889"/>
    </row>
    <row r="59606" spans="7:7" ht="10.5" customHeight="1" x14ac:dyDescent="0.2">
      <c r="G59606" s="889"/>
    </row>
    <row r="59607" spans="7:7" ht="10.5" customHeight="1" x14ac:dyDescent="0.2">
      <c r="G59607" s="889"/>
    </row>
    <row r="59608" spans="7:7" ht="10.5" customHeight="1" x14ac:dyDescent="0.2">
      <c r="G59608" s="889"/>
    </row>
    <row r="59609" spans="7:7" ht="10.5" customHeight="1" x14ac:dyDescent="0.2">
      <c r="G59609" s="889"/>
    </row>
    <row r="59610" spans="7:7" ht="10.5" customHeight="1" x14ac:dyDescent="0.2">
      <c r="G59610" s="889"/>
    </row>
    <row r="59611" spans="7:7" ht="10.5" customHeight="1" x14ac:dyDescent="0.2">
      <c r="G59611" s="889"/>
    </row>
    <row r="59612" spans="7:7" ht="10.5" customHeight="1" x14ac:dyDescent="0.2">
      <c r="G59612" s="889"/>
    </row>
    <row r="59613" spans="7:7" ht="10.5" customHeight="1" x14ac:dyDescent="0.2">
      <c r="G59613" s="889"/>
    </row>
    <row r="59614" spans="7:7" ht="10.5" customHeight="1" x14ac:dyDescent="0.2">
      <c r="G59614" s="889"/>
    </row>
    <row r="59615" spans="7:7" ht="10.5" customHeight="1" x14ac:dyDescent="0.2">
      <c r="G59615" s="889"/>
    </row>
    <row r="59616" spans="7:7" ht="10.5" customHeight="1" x14ac:dyDescent="0.2">
      <c r="G59616" s="889"/>
    </row>
    <row r="59617" spans="7:7" ht="10.5" customHeight="1" x14ac:dyDescent="0.2">
      <c r="G59617" s="889"/>
    </row>
    <row r="59618" spans="7:7" ht="10.5" customHeight="1" x14ac:dyDescent="0.2">
      <c r="G59618" s="889"/>
    </row>
    <row r="59619" spans="7:7" ht="10.5" customHeight="1" x14ac:dyDescent="0.2">
      <c r="G59619" s="889"/>
    </row>
    <row r="59620" spans="7:7" ht="10.5" customHeight="1" x14ac:dyDescent="0.2">
      <c r="G59620" s="889"/>
    </row>
    <row r="59621" spans="7:7" ht="10.5" customHeight="1" x14ac:dyDescent="0.2">
      <c r="G59621" s="889"/>
    </row>
    <row r="59622" spans="7:7" ht="10.5" customHeight="1" x14ac:dyDescent="0.2">
      <c r="G59622" s="889"/>
    </row>
    <row r="59623" spans="7:7" ht="10.5" customHeight="1" x14ac:dyDescent="0.2">
      <c r="G59623" s="889"/>
    </row>
    <row r="59624" spans="7:7" ht="10.5" customHeight="1" x14ac:dyDescent="0.2">
      <c r="G59624" s="889"/>
    </row>
    <row r="59625" spans="7:7" ht="10.5" customHeight="1" x14ac:dyDescent="0.2">
      <c r="G59625" s="889"/>
    </row>
    <row r="59626" spans="7:7" ht="10.5" customHeight="1" x14ac:dyDescent="0.2">
      <c r="G59626" s="889"/>
    </row>
    <row r="59627" spans="7:7" ht="10.5" customHeight="1" x14ac:dyDescent="0.2">
      <c r="G59627" s="889"/>
    </row>
    <row r="59628" spans="7:7" ht="10.5" customHeight="1" x14ac:dyDescent="0.2">
      <c r="G59628" s="889"/>
    </row>
    <row r="59629" spans="7:7" ht="10.5" customHeight="1" x14ac:dyDescent="0.2">
      <c r="G59629" s="889"/>
    </row>
    <row r="59630" spans="7:7" ht="10.5" customHeight="1" x14ac:dyDescent="0.2">
      <c r="G59630" s="889"/>
    </row>
    <row r="59631" spans="7:7" ht="10.5" customHeight="1" x14ac:dyDescent="0.2">
      <c r="G59631" s="889"/>
    </row>
    <row r="59632" spans="7:7" ht="10.5" customHeight="1" x14ac:dyDescent="0.2">
      <c r="G59632" s="889"/>
    </row>
    <row r="59633" spans="7:7" ht="10.5" customHeight="1" x14ac:dyDescent="0.2">
      <c r="G59633" s="889"/>
    </row>
    <row r="59634" spans="7:7" ht="10.5" customHeight="1" x14ac:dyDescent="0.2">
      <c r="G59634" s="889"/>
    </row>
    <row r="59635" spans="7:7" ht="10.5" customHeight="1" x14ac:dyDescent="0.2">
      <c r="G59635" s="889"/>
    </row>
    <row r="59636" spans="7:7" ht="10.5" customHeight="1" x14ac:dyDescent="0.2">
      <c r="G59636" s="889"/>
    </row>
    <row r="59637" spans="7:7" ht="10.5" customHeight="1" x14ac:dyDescent="0.2">
      <c r="G59637" s="889"/>
    </row>
    <row r="59638" spans="7:7" ht="10.5" customHeight="1" x14ac:dyDescent="0.2">
      <c r="G59638" s="889"/>
    </row>
    <row r="59639" spans="7:7" ht="10.5" customHeight="1" x14ac:dyDescent="0.2">
      <c r="G59639" s="889"/>
    </row>
    <row r="59640" spans="7:7" ht="10.5" customHeight="1" x14ac:dyDescent="0.2">
      <c r="G59640" s="889"/>
    </row>
    <row r="59641" spans="7:7" ht="10.5" customHeight="1" x14ac:dyDescent="0.2">
      <c r="G59641" s="889"/>
    </row>
    <row r="59642" spans="7:7" ht="10.5" customHeight="1" x14ac:dyDescent="0.2">
      <c r="G59642" s="889"/>
    </row>
    <row r="59643" spans="7:7" ht="10.5" customHeight="1" x14ac:dyDescent="0.2">
      <c r="G59643" s="889"/>
    </row>
    <row r="59644" spans="7:7" ht="10.5" customHeight="1" x14ac:dyDescent="0.2">
      <c r="G59644" s="889"/>
    </row>
    <row r="59645" spans="7:7" ht="10.5" customHeight="1" x14ac:dyDescent="0.2">
      <c r="G59645" s="889"/>
    </row>
    <row r="59646" spans="7:7" ht="10.5" customHeight="1" x14ac:dyDescent="0.2">
      <c r="G59646" s="889"/>
    </row>
    <row r="59647" spans="7:7" ht="10.5" customHeight="1" x14ac:dyDescent="0.2">
      <c r="G59647" s="889"/>
    </row>
    <row r="59648" spans="7:7" ht="10.5" customHeight="1" x14ac:dyDescent="0.2">
      <c r="G59648" s="889"/>
    </row>
    <row r="59649" spans="7:7" ht="10.5" customHeight="1" x14ac:dyDescent="0.2">
      <c r="G59649" s="889"/>
    </row>
    <row r="59650" spans="7:7" ht="10.5" customHeight="1" x14ac:dyDescent="0.2">
      <c r="G59650" s="889"/>
    </row>
    <row r="59651" spans="7:7" ht="10.5" customHeight="1" x14ac:dyDescent="0.2">
      <c r="G59651" s="889"/>
    </row>
    <row r="59652" spans="7:7" ht="10.5" customHeight="1" x14ac:dyDescent="0.2">
      <c r="G59652" s="889"/>
    </row>
    <row r="59653" spans="7:7" ht="10.5" customHeight="1" x14ac:dyDescent="0.2">
      <c r="G59653" s="889"/>
    </row>
    <row r="59654" spans="7:7" ht="10.5" customHeight="1" x14ac:dyDescent="0.2">
      <c r="G59654" s="889"/>
    </row>
    <row r="59655" spans="7:7" ht="10.5" customHeight="1" x14ac:dyDescent="0.2">
      <c r="G59655" s="889"/>
    </row>
    <row r="59656" spans="7:7" ht="10.5" customHeight="1" x14ac:dyDescent="0.2">
      <c r="G59656" s="889"/>
    </row>
    <row r="59657" spans="7:7" ht="10.5" customHeight="1" x14ac:dyDescent="0.2">
      <c r="G59657" s="889"/>
    </row>
    <row r="59658" spans="7:7" ht="10.5" customHeight="1" x14ac:dyDescent="0.2">
      <c r="G59658" s="889"/>
    </row>
    <row r="59659" spans="7:7" ht="10.5" customHeight="1" x14ac:dyDescent="0.2">
      <c r="G59659" s="889"/>
    </row>
    <row r="59660" spans="7:7" ht="10.5" customHeight="1" x14ac:dyDescent="0.2">
      <c r="G59660" s="889"/>
    </row>
    <row r="59661" spans="7:7" ht="10.5" customHeight="1" x14ac:dyDescent="0.2">
      <c r="G59661" s="889"/>
    </row>
    <row r="59662" spans="7:7" ht="10.5" customHeight="1" x14ac:dyDescent="0.2">
      <c r="G59662" s="889"/>
    </row>
    <row r="59663" spans="7:7" ht="10.5" customHeight="1" x14ac:dyDescent="0.2">
      <c r="G59663" s="889"/>
    </row>
    <row r="59664" spans="7:7" ht="10.5" customHeight="1" x14ac:dyDescent="0.2">
      <c r="G59664" s="889"/>
    </row>
    <row r="59665" spans="7:7" ht="10.5" customHeight="1" x14ac:dyDescent="0.2">
      <c r="G59665" s="889"/>
    </row>
    <row r="59666" spans="7:7" ht="10.5" customHeight="1" x14ac:dyDescent="0.2">
      <c r="G59666" s="889"/>
    </row>
    <row r="59667" spans="7:7" ht="10.5" customHeight="1" x14ac:dyDescent="0.2">
      <c r="G59667" s="889"/>
    </row>
    <row r="59668" spans="7:7" ht="10.5" customHeight="1" x14ac:dyDescent="0.2">
      <c r="G59668" s="889"/>
    </row>
    <row r="59669" spans="7:7" ht="10.5" customHeight="1" x14ac:dyDescent="0.2">
      <c r="G59669" s="889"/>
    </row>
    <row r="59670" spans="7:7" ht="10.5" customHeight="1" x14ac:dyDescent="0.2">
      <c r="G59670" s="889"/>
    </row>
    <row r="59671" spans="7:7" ht="10.5" customHeight="1" x14ac:dyDescent="0.2">
      <c r="G59671" s="889"/>
    </row>
    <row r="59672" spans="7:7" ht="10.5" customHeight="1" x14ac:dyDescent="0.2">
      <c r="G59672" s="889"/>
    </row>
    <row r="59673" spans="7:7" ht="10.5" customHeight="1" x14ac:dyDescent="0.2">
      <c r="G59673" s="889"/>
    </row>
    <row r="59674" spans="7:7" ht="10.5" customHeight="1" x14ac:dyDescent="0.2">
      <c r="G59674" s="889"/>
    </row>
    <row r="59675" spans="7:7" ht="10.5" customHeight="1" x14ac:dyDescent="0.2">
      <c r="G59675" s="889"/>
    </row>
    <row r="59676" spans="7:7" ht="10.5" customHeight="1" x14ac:dyDescent="0.2">
      <c r="G59676" s="889"/>
    </row>
    <row r="59677" spans="7:7" ht="10.5" customHeight="1" x14ac:dyDescent="0.2">
      <c r="G59677" s="889"/>
    </row>
    <row r="59678" spans="7:7" ht="10.5" customHeight="1" x14ac:dyDescent="0.2">
      <c r="G59678" s="889"/>
    </row>
    <row r="59679" spans="7:7" ht="10.5" customHeight="1" x14ac:dyDescent="0.2">
      <c r="G59679" s="889"/>
    </row>
    <row r="59680" spans="7:7" ht="10.5" customHeight="1" x14ac:dyDescent="0.2">
      <c r="G59680" s="889"/>
    </row>
    <row r="59681" spans="7:7" ht="10.5" customHeight="1" x14ac:dyDescent="0.2">
      <c r="G59681" s="889"/>
    </row>
    <row r="59682" spans="7:7" ht="10.5" customHeight="1" x14ac:dyDescent="0.2">
      <c r="G59682" s="889"/>
    </row>
    <row r="59683" spans="7:7" ht="10.5" customHeight="1" x14ac:dyDescent="0.2">
      <c r="G59683" s="889"/>
    </row>
    <row r="59684" spans="7:7" ht="10.5" customHeight="1" x14ac:dyDescent="0.2">
      <c r="G59684" s="889"/>
    </row>
    <row r="59685" spans="7:7" ht="10.5" customHeight="1" x14ac:dyDescent="0.2">
      <c r="G59685" s="889"/>
    </row>
    <row r="59686" spans="7:7" ht="10.5" customHeight="1" x14ac:dyDescent="0.2">
      <c r="G59686" s="889"/>
    </row>
    <row r="59687" spans="7:7" ht="10.5" customHeight="1" x14ac:dyDescent="0.2">
      <c r="G59687" s="889"/>
    </row>
    <row r="59688" spans="7:7" ht="10.5" customHeight="1" x14ac:dyDescent="0.2">
      <c r="G59688" s="889"/>
    </row>
    <row r="59689" spans="7:7" ht="10.5" customHeight="1" x14ac:dyDescent="0.2">
      <c r="G59689" s="889"/>
    </row>
    <row r="59690" spans="7:7" ht="10.5" customHeight="1" x14ac:dyDescent="0.2">
      <c r="G59690" s="889"/>
    </row>
    <row r="59691" spans="7:7" ht="10.5" customHeight="1" x14ac:dyDescent="0.2">
      <c r="G59691" s="889"/>
    </row>
    <row r="59692" spans="7:7" ht="10.5" customHeight="1" x14ac:dyDescent="0.2">
      <c r="G59692" s="889"/>
    </row>
    <row r="59693" spans="7:7" ht="10.5" customHeight="1" x14ac:dyDescent="0.2">
      <c r="G59693" s="889"/>
    </row>
    <row r="59694" spans="7:7" ht="10.5" customHeight="1" x14ac:dyDescent="0.2">
      <c r="G59694" s="889"/>
    </row>
    <row r="59695" spans="7:7" ht="10.5" customHeight="1" x14ac:dyDescent="0.2">
      <c r="G59695" s="889"/>
    </row>
    <row r="59696" spans="7:7" ht="10.5" customHeight="1" x14ac:dyDescent="0.2">
      <c r="G59696" s="889"/>
    </row>
    <row r="59697" spans="7:7" ht="10.5" customHeight="1" x14ac:dyDescent="0.2">
      <c r="G59697" s="889"/>
    </row>
    <row r="59698" spans="7:7" ht="10.5" customHeight="1" x14ac:dyDescent="0.2">
      <c r="G59698" s="889"/>
    </row>
    <row r="59699" spans="7:7" ht="10.5" customHeight="1" x14ac:dyDescent="0.2">
      <c r="G59699" s="889"/>
    </row>
    <row r="59700" spans="7:7" ht="10.5" customHeight="1" x14ac:dyDescent="0.2">
      <c r="G59700" s="889"/>
    </row>
    <row r="59701" spans="7:7" ht="10.5" customHeight="1" x14ac:dyDescent="0.2">
      <c r="G59701" s="889"/>
    </row>
    <row r="59702" spans="7:7" ht="10.5" customHeight="1" x14ac:dyDescent="0.2">
      <c r="G59702" s="889"/>
    </row>
    <row r="59703" spans="7:7" ht="10.5" customHeight="1" x14ac:dyDescent="0.2">
      <c r="G59703" s="889"/>
    </row>
    <row r="59704" spans="7:7" ht="10.5" customHeight="1" x14ac:dyDescent="0.2">
      <c r="G59704" s="889"/>
    </row>
    <row r="59705" spans="7:7" ht="10.5" customHeight="1" x14ac:dyDescent="0.2">
      <c r="G59705" s="889"/>
    </row>
    <row r="59706" spans="7:7" ht="10.5" customHeight="1" x14ac:dyDescent="0.2">
      <c r="G59706" s="889"/>
    </row>
    <row r="59707" spans="7:7" ht="10.5" customHeight="1" x14ac:dyDescent="0.2">
      <c r="G59707" s="889"/>
    </row>
    <row r="59708" spans="7:7" ht="10.5" customHeight="1" x14ac:dyDescent="0.2">
      <c r="G59708" s="889"/>
    </row>
    <row r="59709" spans="7:7" ht="10.5" customHeight="1" x14ac:dyDescent="0.2">
      <c r="G59709" s="889"/>
    </row>
    <row r="59710" spans="7:7" ht="10.5" customHeight="1" x14ac:dyDescent="0.2">
      <c r="G59710" s="889"/>
    </row>
    <row r="59711" spans="7:7" ht="10.5" customHeight="1" x14ac:dyDescent="0.2">
      <c r="G59711" s="889"/>
    </row>
    <row r="59712" spans="7:7" ht="10.5" customHeight="1" x14ac:dyDescent="0.2">
      <c r="G59712" s="889"/>
    </row>
    <row r="59713" spans="7:7" ht="10.5" customHeight="1" x14ac:dyDescent="0.2">
      <c r="G59713" s="889"/>
    </row>
    <row r="59714" spans="7:7" ht="10.5" customHeight="1" x14ac:dyDescent="0.2">
      <c r="G59714" s="889"/>
    </row>
    <row r="59715" spans="7:7" ht="10.5" customHeight="1" x14ac:dyDescent="0.2">
      <c r="G59715" s="889"/>
    </row>
    <row r="59716" spans="7:7" ht="10.5" customHeight="1" x14ac:dyDescent="0.2">
      <c r="G59716" s="889"/>
    </row>
    <row r="59717" spans="7:7" ht="10.5" customHeight="1" x14ac:dyDescent="0.2">
      <c r="G59717" s="889"/>
    </row>
    <row r="59718" spans="7:7" ht="10.5" customHeight="1" x14ac:dyDescent="0.2">
      <c r="G59718" s="889"/>
    </row>
    <row r="59719" spans="7:7" ht="10.5" customHeight="1" x14ac:dyDescent="0.2">
      <c r="G59719" s="889"/>
    </row>
    <row r="59720" spans="7:7" ht="10.5" customHeight="1" x14ac:dyDescent="0.2">
      <c r="G59720" s="889"/>
    </row>
    <row r="59721" spans="7:7" ht="10.5" customHeight="1" x14ac:dyDescent="0.2">
      <c r="G59721" s="889"/>
    </row>
    <row r="59722" spans="7:7" ht="10.5" customHeight="1" x14ac:dyDescent="0.2">
      <c r="G59722" s="889"/>
    </row>
    <row r="59723" spans="7:7" ht="10.5" customHeight="1" x14ac:dyDescent="0.2">
      <c r="G59723" s="889"/>
    </row>
    <row r="59724" spans="7:7" ht="10.5" customHeight="1" x14ac:dyDescent="0.2">
      <c r="G59724" s="889"/>
    </row>
    <row r="59725" spans="7:7" ht="10.5" customHeight="1" x14ac:dyDescent="0.2">
      <c r="G59725" s="889"/>
    </row>
    <row r="59726" spans="7:7" ht="10.5" customHeight="1" x14ac:dyDescent="0.2">
      <c r="G59726" s="889"/>
    </row>
    <row r="59727" spans="7:7" ht="10.5" customHeight="1" x14ac:dyDescent="0.2">
      <c r="G59727" s="889"/>
    </row>
    <row r="59728" spans="7:7" ht="10.5" customHeight="1" x14ac:dyDescent="0.2">
      <c r="G59728" s="889"/>
    </row>
    <row r="59729" spans="7:7" ht="10.5" customHeight="1" x14ac:dyDescent="0.2">
      <c r="G59729" s="889"/>
    </row>
    <row r="59730" spans="7:7" ht="10.5" customHeight="1" x14ac:dyDescent="0.2">
      <c r="G59730" s="889"/>
    </row>
    <row r="59731" spans="7:7" ht="10.5" customHeight="1" x14ac:dyDescent="0.2">
      <c r="G59731" s="889"/>
    </row>
    <row r="59732" spans="7:7" ht="10.5" customHeight="1" x14ac:dyDescent="0.2">
      <c r="G59732" s="889"/>
    </row>
    <row r="59733" spans="7:7" ht="10.5" customHeight="1" x14ac:dyDescent="0.2">
      <c r="G59733" s="889"/>
    </row>
    <row r="59734" spans="7:7" ht="10.5" customHeight="1" x14ac:dyDescent="0.2">
      <c r="G59734" s="889"/>
    </row>
    <row r="59735" spans="7:7" ht="10.5" customHeight="1" x14ac:dyDescent="0.2">
      <c r="G59735" s="889"/>
    </row>
    <row r="59736" spans="7:7" ht="10.5" customHeight="1" x14ac:dyDescent="0.2">
      <c r="G59736" s="889"/>
    </row>
    <row r="59737" spans="7:7" ht="10.5" customHeight="1" x14ac:dyDescent="0.2">
      <c r="G59737" s="889"/>
    </row>
    <row r="59738" spans="7:7" ht="10.5" customHeight="1" x14ac:dyDescent="0.2">
      <c r="G59738" s="889"/>
    </row>
    <row r="59739" spans="7:7" ht="10.5" customHeight="1" x14ac:dyDescent="0.2">
      <c r="G59739" s="889"/>
    </row>
    <row r="59740" spans="7:7" ht="10.5" customHeight="1" x14ac:dyDescent="0.2">
      <c r="G59740" s="889"/>
    </row>
    <row r="59741" spans="7:7" ht="10.5" customHeight="1" x14ac:dyDescent="0.2">
      <c r="G59741" s="889"/>
    </row>
    <row r="59742" spans="7:7" ht="10.5" customHeight="1" x14ac:dyDescent="0.2">
      <c r="G59742" s="889"/>
    </row>
    <row r="59743" spans="7:7" ht="10.5" customHeight="1" x14ac:dyDescent="0.2">
      <c r="G59743" s="889"/>
    </row>
    <row r="59744" spans="7:7" ht="10.5" customHeight="1" x14ac:dyDescent="0.2">
      <c r="G59744" s="889"/>
    </row>
    <row r="59745" spans="7:7" ht="10.5" customHeight="1" x14ac:dyDescent="0.2">
      <c r="G59745" s="889"/>
    </row>
    <row r="59746" spans="7:7" ht="10.5" customHeight="1" x14ac:dyDescent="0.2">
      <c r="G59746" s="889"/>
    </row>
    <row r="59747" spans="7:7" ht="10.5" customHeight="1" x14ac:dyDescent="0.2">
      <c r="G59747" s="889"/>
    </row>
    <row r="59748" spans="7:7" ht="10.5" customHeight="1" x14ac:dyDescent="0.2">
      <c r="G59748" s="889"/>
    </row>
    <row r="59749" spans="7:7" ht="10.5" customHeight="1" x14ac:dyDescent="0.2">
      <c r="G59749" s="889"/>
    </row>
    <row r="59750" spans="7:7" ht="10.5" customHeight="1" x14ac:dyDescent="0.2">
      <c r="G59750" s="889"/>
    </row>
    <row r="59751" spans="7:7" ht="10.5" customHeight="1" x14ac:dyDescent="0.2">
      <c r="G59751" s="889"/>
    </row>
    <row r="59752" spans="7:7" ht="10.5" customHeight="1" x14ac:dyDescent="0.2">
      <c r="G59752" s="889"/>
    </row>
    <row r="59753" spans="7:7" ht="10.5" customHeight="1" x14ac:dyDescent="0.2">
      <c r="G59753" s="889"/>
    </row>
    <row r="59754" spans="7:7" ht="10.5" customHeight="1" x14ac:dyDescent="0.2">
      <c r="G59754" s="889"/>
    </row>
    <row r="59755" spans="7:7" ht="10.5" customHeight="1" x14ac:dyDescent="0.2">
      <c r="G59755" s="889"/>
    </row>
    <row r="59756" spans="7:7" ht="10.5" customHeight="1" x14ac:dyDescent="0.2">
      <c r="G59756" s="889"/>
    </row>
    <row r="59757" spans="7:7" ht="10.5" customHeight="1" x14ac:dyDescent="0.2">
      <c r="G59757" s="889"/>
    </row>
    <row r="59758" spans="7:7" ht="10.5" customHeight="1" x14ac:dyDescent="0.2">
      <c r="G59758" s="889"/>
    </row>
    <row r="59759" spans="7:7" ht="10.5" customHeight="1" x14ac:dyDescent="0.2">
      <c r="G59759" s="889"/>
    </row>
    <row r="59760" spans="7:7" ht="10.5" customHeight="1" x14ac:dyDescent="0.2">
      <c r="G59760" s="889"/>
    </row>
    <row r="59761" spans="7:7" ht="10.5" customHeight="1" x14ac:dyDescent="0.2">
      <c r="G59761" s="889"/>
    </row>
    <row r="59762" spans="7:7" ht="10.5" customHeight="1" x14ac:dyDescent="0.2">
      <c r="G59762" s="889"/>
    </row>
    <row r="59763" spans="7:7" ht="10.5" customHeight="1" x14ac:dyDescent="0.2">
      <c r="G59763" s="889"/>
    </row>
    <row r="59764" spans="7:7" ht="10.5" customHeight="1" x14ac:dyDescent="0.2">
      <c r="G59764" s="889"/>
    </row>
    <row r="59765" spans="7:7" ht="10.5" customHeight="1" x14ac:dyDescent="0.2">
      <c r="G59765" s="889"/>
    </row>
    <row r="59766" spans="7:7" ht="10.5" customHeight="1" x14ac:dyDescent="0.2">
      <c r="G59766" s="889"/>
    </row>
    <row r="59767" spans="7:7" ht="10.5" customHeight="1" x14ac:dyDescent="0.2">
      <c r="G59767" s="889"/>
    </row>
    <row r="59768" spans="7:7" ht="10.5" customHeight="1" x14ac:dyDescent="0.2">
      <c r="G59768" s="889"/>
    </row>
    <row r="59769" spans="7:7" ht="10.5" customHeight="1" x14ac:dyDescent="0.2">
      <c r="G59769" s="889"/>
    </row>
    <row r="59770" spans="7:7" ht="10.5" customHeight="1" x14ac:dyDescent="0.2">
      <c r="G59770" s="889"/>
    </row>
    <row r="59771" spans="7:7" ht="10.5" customHeight="1" x14ac:dyDescent="0.2">
      <c r="G59771" s="889"/>
    </row>
    <row r="59772" spans="7:7" ht="10.5" customHeight="1" x14ac:dyDescent="0.2">
      <c r="G59772" s="889"/>
    </row>
    <row r="59773" spans="7:7" ht="10.5" customHeight="1" x14ac:dyDescent="0.2">
      <c r="G59773" s="889"/>
    </row>
    <row r="59774" spans="7:7" ht="10.5" customHeight="1" x14ac:dyDescent="0.2">
      <c r="G59774" s="889"/>
    </row>
    <row r="59775" spans="7:7" ht="10.5" customHeight="1" x14ac:dyDescent="0.2">
      <c r="G59775" s="889"/>
    </row>
    <row r="59776" spans="7:7" ht="10.5" customHeight="1" x14ac:dyDescent="0.2">
      <c r="G59776" s="889"/>
    </row>
    <row r="59777" spans="7:7" ht="10.5" customHeight="1" x14ac:dyDescent="0.2">
      <c r="G59777" s="889"/>
    </row>
    <row r="59778" spans="7:7" ht="10.5" customHeight="1" x14ac:dyDescent="0.2">
      <c r="G59778" s="889"/>
    </row>
    <row r="59779" spans="7:7" ht="10.5" customHeight="1" x14ac:dyDescent="0.2">
      <c r="G59779" s="889"/>
    </row>
    <row r="59780" spans="7:7" ht="10.5" customHeight="1" x14ac:dyDescent="0.2">
      <c r="G59780" s="889"/>
    </row>
    <row r="59781" spans="7:7" ht="10.5" customHeight="1" x14ac:dyDescent="0.2">
      <c r="G59781" s="889"/>
    </row>
    <row r="59782" spans="7:7" ht="10.5" customHeight="1" x14ac:dyDescent="0.2">
      <c r="G59782" s="889"/>
    </row>
    <row r="59783" spans="7:7" ht="10.5" customHeight="1" x14ac:dyDescent="0.2">
      <c r="G59783" s="889"/>
    </row>
    <row r="59784" spans="7:7" ht="10.5" customHeight="1" x14ac:dyDescent="0.2">
      <c r="G59784" s="889"/>
    </row>
    <row r="59785" spans="7:7" ht="10.5" customHeight="1" x14ac:dyDescent="0.2">
      <c r="G59785" s="889"/>
    </row>
    <row r="59786" spans="7:7" ht="10.5" customHeight="1" x14ac:dyDescent="0.2">
      <c r="G59786" s="889"/>
    </row>
    <row r="59787" spans="7:7" ht="10.5" customHeight="1" x14ac:dyDescent="0.2">
      <c r="G59787" s="889"/>
    </row>
    <row r="59788" spans="7:7" ht="10.5" customHeight="1" x14ac:dyDescent="0.2">
      <c r="G59788" s="889"/>
    </row>
    <row r="59789" spans="7:7" ht="10.5" customHeight="1" x14ac:dyDescent="0.2">
      <c r="G59789" s="889"/>
    </row>
    <row r="59790" spans="7:7" ht="10.5" customHeight="1" x14ac:dyDescent="0.2">
      <c r="G59790" s="889"/>
    </row>
    <row r="59791" spans="7:7" ht="10.5" customHeight="1" x14ac:dyDescent="0.2">
      <c r="G59791" s="889"/>
    </row>
    <row r="59792" spans="7:7" ht="10.5" customHeight="1" x14ac:dyDescent="0.2">
      <c r="G59792" s="889"/>
    </row>
    <row r="59793" spans="7:7" ht="10.5" customHeight="1" x14ac:dyDescent="0.2">
      <c r="G59793" s="889"/>
    </row>
    <row r="59794" spans="7:7" ht="10.5" customHeight="1" x14ac:dyDescent="0.2">
      <c r="G59794" s="889"/>
    </row>
    <row r="59795" spans="7:7" ht="10.5" customHeight="1" x14ac:dyDescent="0.2">
      <c r="G59795" s="889"/>
    </row>
    <row r="59796" spans="7:7" ht="10.5" customHeight="1" x14ac:dyDescent="0.2">
      <c r="G59796" s="889"/>
    </row>
    <row r="59797" spans="7:7" ht="10.5" customHeight="1" x14ac:dyDescent="0.2">
      <c r="G59797" s="889"/>
    </row>
    <row r="59798" spans="7:7" ht="10.5" customHeight="1" x14ac:dyDescent="0.2">
      <c r="G59798" s="889"/>
    </row>
    <row r="59799" spans="7:7" ht="10.5" customHeight="1" x14ac:dyDescent="0.2">
      <c r="G59799" s="889"/>
    </row>
    <row r="59800" spans="7:7" ht="10.5" customHeight="1" x14ac:dyDescent="0.2">
      <c r="G59800" s="889"/>
    </row>
    <row r="59801" spans="7:7" ht="10.5" customHeight="1" x14ac:dyDescent="0.2">
      <c r="G59801" s="889"/>
    </row>
    <row r="59802" spans="7:7" ht="10.5" customHeight="1" x14ac:dyDescent="0.2">
      <c r="G59802" s="889"/>
    </row>
    <row r="59803" spans="7:7" ht="10.5" customHeight="1" x14ac:dyDescent="0.2">
      <c r="G59803" s="889"/>
    </row>
    <row r="59804" spans="7:7" ht="10.5" customHeight="1" x14ac:dyDescent="0.2">
      <c r="G59804" s="889"/>
    </row>
    <row r="59805" spans="7:7" ht="10.5" customHeight="1" x14ac:dyDescent="0.2">
      <c r="G59805" s="889"/>
    </row>
    <row r="59806" spans="7:7" ht="10.5" customHeight="1" x14ac:dyDescent="0.2">
      <c r="G59806" s="889"/>
    </row>
    <row r="59807" spans="7:7" ht="10.5" customHeight="1" x14ac:dyDescent="0.2">
      <c r="G59807" s="889"/>
    </row>
    <row r="59808" spans="7:7" ht="10.5" customHeight="1" x14ac:dyDescent="0.2">
      <c r="G59808" s="889"/>
    </row>
    <row r="59809" spans="7:7" ht="10.5" customHeight="1" x14ac:dyDescent="0.2">
      <c r="G59809" s="889"/>
    </row>
    <row r="59810" spans="7:7" ht="10.5" customHeight="1" x14ac:dyDescent="0.2">
      <c r="G59810" s="889"/>
    </row>
    <row r="59811" spans="7:7" ht="10.5" customHeight="1" x14ac:dyDescent="0.2">
      <c r="G59811" s="889"/>
    </row>
    <row r="59812" spans="7:7" ht="10.5" customHeight="1" x14ac:dyDescent="0.2">
      <c r="G59812" s="889"/>
    </row>
    <row r="59813" spans="7:7" ht="10.5" customHeight="1" x14ac:dyDescent="0.2">
      <c r="G59813" s="889"/>
    </row>
    <row r="59814" spans="7:7" ht="10.5" customHeight="1" x14ac:dyDescent="0.2">
      <c r="G59814" s="889"/>
    </row>
    <row r="59815" spans="7:7" ht="10.5" customHeight="1" x14ac:dyDescent="0.2">
      <c r="G59815" s="889"/>
    </row>
    <row r="59816" spans="7:7" ht="10.5" customHeight="1" x14ac:dyDescent="0.2">
      <c r="G59816" s="889"/>
    </row>
    <row r="59817" spans="7:7" ht="10.5" customHeight="1" x14ac:dyDescent="0.2">
      <c r="G59817" s="889"/>
    </row>
    <row r="59818" spans="7:7" ht="10.5" customHeight="1" x14ac:dyDescent="0.2">
      <c r="G59818" s="889"/>
    </row>
    <row r="59819" spans="7:7" ht="10.5" customHeight="1" x14ac:dyDescent="0.2">
      <c r="G59819" s="889"/>
    </row>
    <row r="59820" spans="7:7" ht="10.5" customHeight="1" x14ac:dyDescent="0.2">
      <c r="G59820" s="889"/>
    </row>
    <row r="59821" spans="7:7" ht="10.5" customHeight="1" x14ac:dyDescent="0.2">
      <c r="G59821" s="889"/>
    </row>
    <row r="59822" spans="7:7" ht="10.5" customHeight="1" x14ac:dyDescent="0.2">
      <c r="G59822" s="889"/>
    </row>
    <row r="59823" spans="7:7" ht="10.5" customHeight="1" x14ac:dyDescent="0.2">
      <c r="G59823" s="889"/>
    </row>
    <row r="59824" spans="7:7" ht="10.5" customHeight="1" x14ac:dyDescent="0.2">
      <c r="G59824" s="889"/>
    </row>
    <row r="59825" spans="7:7" ht="10.5" customHeight="1" x14ac:dyDescent="0.2">
      <c r="G59825" s="889"/>
    </row>
    <row r="59826" spans="7:7" ht="10.5" customHeight="1" x14ac:dyDescent="0.2">
      <c r="G59826" s="889"/>
    </row>
    <row r="59827" spans="7:7" ht="10.5" customHeight="1" x14ac:dyDescent="0.2">
      <c r="G59827" s="889"/>
    </row>
    <row r="59828" spans="7:7" ht="10.5" customHeight="1" x14ac:dyDescent="0.2">
      <c r="G59828" s="889"/>
    </row>
    <row r="59829" spans="7:7" ht="10.5" customHeight="1" x14ac:dyDescent="0.2">
      <c r="G59829" s="889"/>
    </row>
    <row r="59830" spans="7:7" ht="10.5" customHeight="1" x14ac:dyDescent="0.2">
      <c r="G59830" s="889"/>
    </row>
    <row r="59831" spans="7:7" ht="10.5" customHeight="1" x14ac:dyDescent="0.2">
      <c r="G59831" s="889"/>
    </row>
    <row r="59832" spans="7:7" ht="10.5" customHeight="1" x14ac:dyDescent="0.2">
      <c r="G59832" s="889"/>
    </row>
    <row r="59833" spans="7:7" ht="10.5" customHeight="1" x14ac:dyDescent="0.2">
      <c r="G59833" s="889"/>
    </row>
    <row r="59834" spans="7:7" ht="10.5" customHeight="1" x14ac:dyDescent="0.2">
      <c r="G59834" s="889"/>
    </row>
    <row r="59835" spans="7:7" ht="10.5" customHeight="1" x14ac:dyDescent="0.2">
      <c r="G59835" s="889"/>
    </row>
    <row r="59836" spans="7:7" ht="10.5" customHeight="1" x14ac:dyDescent="0.2">
      <c r="G59836" s="889"/>
    </row>
    <row r="59837" spans="7:7" ht="10.5" customHeight="1" x14ac:dyDescent="0.2">
      <c r="G59837" s="889"/>
    </row>
    <row r="59838" spans="7:7" ht="10.5" customHeight="1" x14ac:dyDescent="0.2">
      <c r="G59838" s="889"/>
    </row>
    <row r="59839" spans="7:7" ht="10.5" customHeight="1" x14ac:dyDescent="0.2">
      <c r="G59839" s="889"/>
    </row>
    <row r="59840" spans="7:7" ht="10.5" customHeight="1" x14ac:dyDescent="0.2">
      <c r="G59840" s="889"/>
    </row>
    <row r="59841" spans="7:7" ht="10.5" customHeight="1" x14ac:dyDescent="0.2">
      <c r="G59841" s="889"/>
    </row>
    <row r="59842" spans="7:7" ht="10.5" customHeight="1" x14ac:dyDescent="0.2">
      <c r="G59842" s="889"/>
    </row>
    <row r="59843" spans="7:7" ht="10.5" customHeight="1" x14ac:dyDescent="0.2">
      <c r="G59843" s="889"/>
    </row>
    <row r="59844" spans="7:7" ht="10.5" customHeight="1" x14ac:dyDescent="0.2">
      <c r="G59844" s="889"/>
    </row>
    <row r="59845" spans="7:7" ht="10.5" customHeight="1" x14ac:dyDescent="0.2">
      <c r="G59845" s="889"/>
    </row>
    <row r="59846" spans="7:7" ht="10.5" customHeight="1" x14ac:dyDescent="0.2">
      <c r="G59846" s="889"/>
    </row>
    <row r="59847" spans="7:7" ht="10.5" customHeight="1" x14ac:dyDescent="0.2">
      <c r="G59847" s="889"/>
    </row>
    <row r="59848" spans="7:7" ht="10.5" customHeight="1" x14ac:dyDescent="0.2">
      <c r="G59848" s="889"/>
    </row>
    <row r="59849" spans="7:7" ht="10.5" customHeight="1" x14ac:dyDescent="0.2">
      <c r="G59849" s="889"/>
    </row>
    <row r="59850" spans="7:7" ht="10.5" customHeight="1" x14ac:dyDescent="0.2">
      <c r="G59850" s="889"/>
    </row>
    <row r="59851" spans="7:7" ht="10.5" customHeight="1" x14ac:dyDescent="0.2">
      <c r="G59851" s="889"/>
    </row>
    <row r="59852" spans="7:7" ht="10.5" customHeight="1" x14ac:dyDescent="0.2">
      <c r="G59852" s="889"/>
    </row>
    <row r="59853" spans="7:7" ht="10.5" customHeight="1" x14ac:dyDescent="0.2">
      <c r="G59853" s="889"/>
    </row>
    <row r="59854" spans="7:7" ht="10.5" customHeight="1" x14ac:dyDescent="0.2">
      <c r="G59854" s="889"/>
    </row>
    <row r="59855" spans="7:7" ht="10.5" customHeight="1" x14ac:dyDescent="0.2">
      <c r="G59855" s="889"/>
    </row>
    <row r="59856" spans="7:7" ht="10.5" customHeight="1" x14ac:dyDescent="0.2">
      <c r="G59856" s="889"/>
    </row>
    <row r="59857" spans="7:7" ht="10.5" customHeight="1" x14ac:dyDescent="0.2">
      <c r="G59857" s="889"/>
    </row>
    <row r="59858" spans="7:7" ht="10.5" customHeight="1" x14ac:dyDescent="0.2">
      <c r="G59858" s="889"/>
    </row>
    <row r="59859" spans="7:7" ht="10.5" customHeight="1" x14ac:dyDescent="0.2">
      <c r="G59859" s="889"/>
    </row>
    <row r="59860" spans="7:7" ht="10.5" customHeight="1" x14ac:dyDescent="0.2">
      <c r="G59860" s="889"/>
    </row>
    <row r="59861" spans="7:7" ht="10.5" customHeight="1" x14ac:dyDescent="0.2">
      <c r="G59861" s="889"/>
    </row>
    <row r="59862" spans="7:7" ht="10.5" customHeight="1" x14ac:dyDescent="0.2">
      <c r="G59862" s="889"/>
    </row>
    <row r="59863" spans="7:7" ht="10.5" customHeight="1" x14ac:dyDescent="0.2">
      <c r="G59863" s="889"/>
    </row>
    <row r="59864" spans="7:7" ht="10.5" customHeight="1" x14ac:dyDescent="0.2">
      <c r="G59864" s="889"/>
    </row>
    <row r="59865" spans="7:7" ht="10.5" customHeight="1" x14ac:dyDescent="0.2">
      <c r="G59865" s="889"/>
    </row>
    <row r="59866" spans="7:7" ht="10.5" customHeight="1" x14ac:dyDescent="0.2">
      <c r="G59866" s="889"/>
    </row>
    <row r="59867" spans="7:7" ht="10.5" customHeight="1" x14ac:dyDescent="0.2">
      <c r="G59867" s="889"/>
    </row>
    <row r="59868" spans="7:7" ht="10.5" customHeight="1" x14ac:dyDescent="0.2">
      <c r="G59868" s="889"/>
    </row>
    <row r="59869" spans="7:7" ht="10.5" customHeight="1" x14ac:dyDescent="0.2">
      <c r="G59869" s="889"/>
    </row>
    <row r="59870" spans="7:7" ht="10.5" customHeight="1" x14ac:dyDescent="0.2">
      <c r="G59870" s="889"/>
    </row>
    <row r="59871" spans="7:7" ht="10.5" customHeight="1" x14ac:dyDescent="0.2">
      <c r="G59871" s="889"/>
    </row>
    <row r="59872" spans="7:7" ht="10.5" customHeight="1" x14ac:dyDescent="0.2">
      <c r="G59872" s="889"/>
    </row>
    <row r="59873" spans="7:7" ht="10.5" customHeight="1" x14ac:dyDescent="0.2">
      <c r="G59873" s="889"/>
    </row>
    <row r="59874" spans="7:7" ht="10.5" customHeight="1" x14ac:dyDescent="0.2">
      <c r="G59874" s="889"/>
    </row>
    <row r="59875" spans="7:7" ht="10.5" customHeight="1" x14ac:dyDescent="0.2">
      <c r="G59875" s="889"/>
    </row>
    <row r="59876" spans="7:7" ht="10.5" customHeight="1" x14ac:dyDescent="0.2">
      <c r="G59876" s="889"/>
    </row>
    <row r="59877" spans="7:7" ht="10.5" customHeight="1" x14ac:dyDescent="0.2">
      <c r="G59877" s="889"/>
    </row>
    <row r="59878" spans="7:7" ht="10.5" customHeight="1" x14ac:dyDescent="0.2">
      <c r="G59878" s="889"/>
    </row>
    <row r="59879" spans="7:7" ht="10.5" customHeight="1" x14ac:dyDescent="0.2">
      <c r="G59879" s="889"/>
    </row>
    <row r="59880" spans="7:7" ht="10.5" customHeight="1" x14ac:dyDescent="0.2">
      <c r="G59880" s="889"/>
    </row>
    <row r="59881" spans="7:7" ht="10.5" customHeight="1" x14ac:dyDescent="0.2">
      <c r="G59881" s="889"/>
    </row>
    <row r="59882" spans="7:7" ht="10.5" customHeight="1" x14ac:dyDescent="0.2">
      <c r="G59882" s="889"/>
    </row>
    <row r="59883" spans="7:7" ht="10.5" customHeight="1" x14ac:dyDescent="0.2">
      <c r="G59883" s="889"/>
    </row>
    <row r="59884" spans="7:7" ht="10.5" customHeight="1" x14ac:dyDescent="0.2">
      <c r="G59884" s="889"/>
    </row>
    <row r="59885" spans="7:7" ht="10.5" customHeight="1" x14ac:dyDescent="0.2">
      <c r="G59885" s="889"/>
    </row>
    <row r="59886" spans="7:7" ht="10.5" customHeight="1" x14ac:dyDescent="0.2">
      <c r="G59886" s="889"/>
    </row>
    <row r="59887" spans="7:7" ht="10.5" customHeight="1" x14ac:dyDescent="0.2">
      <c r="G59887" s="889"/>
    </row>
    <row r="59888" spans="7:7" ht="10.5" customHeight="1" x14ac:dyDescent="0.2">
      <c r="G59888" s="889"/>
    </row>
    <row r="59889" spans="7:7" ht="10.5" customHeight="1" x14ac:dyDescent="0.2">
      <c r="G59889" s="889"/>
    </row>
    <row r="59890" spans="7:7" ht="10.5" customHeight="1" x14ac:dyDescent="0.2">
      <c r="G59890" s="889"/>
    </row>
    <row r="59891" spans="7:7" ht="10.5" customHeight="1" x14ac:dyDescent="0.2">
      <c r="G59891" s="889"/>
    </row>
    <row r="59892" spans="7:7" ht="10.5" customHeight="1" x14ac:dyDescent="0.2">
      <c r="G59892" s="889"/>
    </row>
    <row r="59893" spans="7:7" ht="10.5" customHeight="1" x14ac:dyDescent="0.2">
      <c r="G59893" s="889"/>
    </row>
    <row r="59894" spans="7:7" ht="10.5" customHeight="1" x14ac:dyDescent="0.2">
      <c r="G59894" s="889"/>
    </row>
    <row r="59895" spans="7:7" ht="10.5" customHeight="1" x14ac:dyDescent="0.2">
      <c r="G59895" s="889"/>
    </row>
    <row r="59896" spans="7:7" ht="10.5" customHeight="1" x14ac:dyDescent="0.2">
      <c r="G59896" s="889"/>
    </row>
    <row r="59897" spans="7:7" ht="10.5" customHeight="1" x14ac:dyDescent="0.2">
      <c r="G59897" s="889"/>
    </row>
    <row r="59898" spans="7:7" ht="10.5" customHeight="1" x14ac:dyDescent="0.2">
      <c r="G59898" s="889"/>
    </row>
    <row r="59899" spans="7:7" ht="10.5" customHeight="1" x14ac:dyDescent="0.2">
      <c r="G59899" s="889"/>
    </row>
    <row r="59900" spans="7:7" ht="10.5" customHeight="1" x14ac:dyDescent="0.2">
      <c r="G59900" s="889"/>
    </row>
    <row r="59901" spans="7:7" ht="10.5" customHeight="1" x14ac:dyDescent="0.2">
      <c r="G59901" s="889"/>
    </row>
    <row r="59902" spans="7:7" ht="10.5" customHeight="1" x14ac:dyDescent="0.2">
      <c r="G59902" s="889"/>
    </row>
    <row r="59903" spans="7:7" ht="10.5" customHeight="1" x14ac:dyDescent="0.2">
      <c r="G59903" s="889"/>
    </row>
    <row r="59904" spans="7:7" ht="10.5" customHeight="1" x14ac:dyDescent="0.2">
      <c r="G59904" s="889"/>
    </row>
    <row r="59905" spans="7:7" ht="10.5" customHeight="1" x14ac:dyDescent="0.2">
      <c r="G59905" s="889"/>
    </row>
    <row r="59906" spans="7:7" ht="10.5" customHeight="1" x14ac:dyDescent="0.2">
      <c r="G59906" s="889"/>
    </row>
    <row r="59907" spans="7:7" ht="10.5" customHeight="1" x14ac:dyDescent="0.2">
      <c r="G59907" s="889"/>
    </row>
    <row r="59908" spans="7:7" ht="10.5" customHeight="1" x14ac:dyDescent="0.2">
      <c r="G59908" s="889"/>
    </row>
    <row r="59909" spans="7:7" ht="10.5" customHeight="1" x14ac:dyDescent="0.2">
      <c r="G59909" s="889"/>
    </row>
    <row r="59910" spans="7:7" ht="10.5" customHeight="1" x14ac:dyDescent="0.2">
      <c r="G59910" s="889"/>
    </row>
    <row r="59911" spans="7:7" ht="10.5" customHeight="1" x14ac:dyDescent="0.2">
      <c r="G59911" s="889"/>
    </row>
    <row r="59912" spans="7:7" ht="10.5" customHeight="1" x14ac:dyDescent="0.2">
      <c r="G59912" s="889"/>
    </row>
    <row r="59913" spans="7:7" ht="10.5" customHeight="1" x14ac:dyDescent="0.2">
      <c r="G59913" s="889"/>
    </row>
    <row r="59914" spans="7:7" ht="10.5" customHeight="1" x14ac:dyDescent="0.2">
      <c r="G59914" s="889"/>
    </row>
    <row r="59915" spans="7:7" ht="10.5" customHeight="1" x14ac:dyDescent="0.2">
      <c r="G59915" s="889"/>
    </row>
    <row r="59916" spans="7:7" ht="10.5" customHeight="1" x14ac:dyDescent="0.2">
      <c r="G59916" s="889"/>
    </row>
    <row r="59917" spans="7:7" ht="10.5" customHeight="1" x14ac:dyDescent="0.2">
      <c r="G59917" s="889"/>
    </row>
    <row r="59918" spans="7:7" ht="10.5" customHeight="1" x14ac:dyDescent="0.2">
      <c r="G59918" s="889"/>
    </row>
    <row r="59919" spans="7:7" ht="10.5" customHeight="1" x14ac:dyDescent="0.2">
      <c r="G59919" s="889"/>
    </row>
    <row r="59920" spans="7:7" ht="10.5" customHeight="1" x14ac:dyDescent="0.2">
      <c r="G59920" s="889"/>
    </row>
    <row r="59921" spans="7:7" ht="10.5" customHeight="1" x14ac:dyDescent="0.2">
      <c r="G59921" s="889"/>
    </row>
    <row r="59922" spans="7:7" ht="10.5" customHeight="1" x14ac:dyDescent="0.2">
      <c r="G59922" s="889"/>
    </row>
    <row r="59923" spans="7:7" ht="10.5" customHeight="1" x14ac:dyDescent="0.2">
      <c r="G59923" s="889"/>
    </row>
    <row r="59924" spans="7:7" ht="10.5" customHeight="1" x14ac:dyDescent="0.2">
      <c r="G59924" s="889"/>
    </row>
    <row r="59925" spans="7:7" ht="10.5" customHeight="1" x14ac:dyDescent="0.2">
      <c r="G59925" s="889"/>
    </row>
    <row r="59926" spans="7:7" ht="10.5" customHeight="1" x14ac:dyDescent="0.2">
      <c r="G59926" s="889"/>
    </row>
    <row r="59927" spans="7:7" ht="10.5" customHeight="1" x14ac:dyDescent="0.2">
      <c r="G59927" s="889"/>
    </row>
    <row r="59928" spans="7:7" ht="10.5" customHeight="1" x14ac:dyDescent="0.2">
      <c r="G59928" s="889"/>
    </row>
    <row r="59929" spans="7:7" ht="10.5" customHeight="1" x14ac:dyDescent="0.2">
      <c r="G59929" s="889"/>
    </row>
    <row r="59930" spans="7:7" ht="10.5" customHeight="1" x14ac:dyDescent="0.2">
      <c r="G59930" s="889"/>
    </row>
    <row r="59931" spans="7:7" ht="10.5" customHeight="1" x14ac:dyDescent="0.2">
      <c r="G59931" s="889"/>
    </row>
    <row r="59932" spans="7:7" ht="10.5" customHeight="1" x14ac:dyDescent="0.2">
      <c r="G59932" s="889"/>
    </row>
    <row r="59933" spans="7:7" ht="10.5" customHeight="1" x14ac:dyDescent="0.2">
      <c r="G59933" s="889"/>
    </row>
    <row r="59934" spans="7:7" ht="10.5" customHeight="1" x14ac:dyDescent="0.2">
      <c r="G59934" s="889"/>
    </row>
    <row r="59935" spans="7:7" ht="10.5" customHeight="1" x14ac:dyDescent="0.2">
      <c r="G59935" s="889"/>
    </row>
    <row r="59936" spans="7:7" ht="10.5" customHeight="1" x14ac:dyDescent="0.2">
      <c r="G59936" s="889"/>
    </row>
    <row r="59937" spans="7:7" ht="10.5" customHeight="1" x14ac:dyDescent="0.2">
      <c r="G59937" s="889"/>
    </row>
    <row r="59938" spans="7:7" ht="10.5" customHeight="1" x14ac:dyDescent="0.2">
      <c r="G59938" s="889"/>
    </row>
    <row r="59939" spans="7:7" ht="10.5" customHeight="1" x14ac:dyDescent="0.2">
      <c r="G59939" s="889"/>
    </row>
    <row r="59940" spans="7:7" ht="10.5" customHeight="1" x14ac:dyDescent="0.2">
      <c r="G59940" s="889"/>
    </row>
    <row r="59941" spans="7:7" ht="10.5" customHeight="1" x14ac:dyDescent="0.2">
      <c r="G59941" s="889"/>
    </row>
    <row r="59942" spans="7:7" ht="10.5" customHeight="1" x14ac:dyDescent="0.2">
      <c r="G59942" s="889"/>
    </row>
    <row r="59943" spans="7:7" ht="10.5" customHeight="1" x14ac:dyDescent="0.2">
      <c r="G59943" s="889"/>
    </row>
    <row r="59944" spans="7:7" ht="10.5" customHeight="1" x14ac:dyDescent="0.2">
      <c r="G59944" s="889"/>
    </row>
    <row r="59945" spans="7:7" ht="10.5" customHeight="1" x14ac:dyDescent="0.2">
      <c r="G59945" s="889"/>
    </row>
    <row r="59946" spans="7:7" ht="10.5" customHeight="1" x14ac:dyDescent="0.2">
      <c r="G59946" s="889"/>
    </row>
    <row r="59947" spans="7:7" ht="10.5" customHeight="1" x14ac:dyDescent="0.2">
      <c r="G59947" s="889"/>
    </row>
    <row r="59948" spans="7:7" ht="10.5" customHeight="1" x14ac:dyDescent="0.2">
      <c r="G59948" s="889"/>
    </row>
    <row r="59949" spans="7:7" ht="10.5" customHeight="1" x14ac:dyDescent="0.2">
      <c r="G59949" s="889"/>
    </row>
    <row r="59950" spans="7:7" ht="10.5" customHeight="1" x14ac:dyDescent="0.2">
      <c r="G59950" s="889"/>
    </row>
    <row r="59951" spans="7:7" ht="10.5" customHeight="1" x14ac:dyDescent="0.2">
      <c r="G59951" s="889"/>
    </row>
    <row r="59952" spans="7:7" ht="10.5" customHeight="1" x14ac:dyDescent="0.2">
      <c r="G59952" s="889"/>
    </row>
    <row r="59953" spans="7:7" ht="10.5" customHeight="1" x14ac:dyDescent="0.2">
      <c r="G59953" s="889"/>
    </row>
    <row r="59954" spans="7:7" ht="10.5" customHeight="1" x14ac:dyDescent="0.2">
      <c r="G59954" s="889"/>
    </row>
    <row r="59955" spans="7:7" ht="10.5" customHeight="1" x14ac:dyDescent="0.2">
      <c r="G59955" s="889"/>
    </row>
    <row r="59956" spans="7:7" ht="10.5" customHeight="1" x14ac:dyDescent="0.2">
      <c r="G59956" s="889"/>
    </row>
    <row r="59957" spans="7:7" ht="10.5" customHeight="1" x14ac:dyDescent="0.2">
      <c r="G59957" s="889"/>
    </row>
    <row r="59958" spans="7:7" ht="10.5" customHeight="1" x14ac:dyDescent="0.2">
      <c r="G59958" s="889"/>
    </row>
    <row r="59959" spans="7:7" ht="10.5" customHeight="1" x14ac:dyDescent="0.2">
      <c r="G59959" s="889"/>
    </row>
    <row r="59960" spans="7:7" ht="10.5" customHeight="1" x14ac:dyDescent="0.2">
      <c r="G59960" s="889"/>
    </row>
    <row r="59961" spans="7:7" ht="10.5" customHeight="1" x14ac:dyDescent="0.2">
      <c r="G59961" s="889"/>
    </row>
    <row r="59962" spans="7:7" ht="10.5" customHeight="1" x14ac:dyDescent="0.2">
      <c r="G59962" s="889"/>
    </row>
    <row r="59963" spans="7:7" ht="10.5" customHeight="1" x14ac:dyDescent="0.2">
      <c r="G59963" s="889"/>
    </row>
    <row r="59964" spans="7:7" ht="10.5" customHeight="1" x14ac:dyDescent="0.2">
      <c r="G59964" s="889"/>
    </row>
    <row r="59965" spans="7:7" ht="10.5" customHeight="1" x14ac:dyDescent="0.2">
      <c r="G59965" s="889"/>
    </row>
    <row r="59966" spans="7:7" ht="10.5" customHeight="1" x14ac:dyDescent="0.2">
      <c r="G59966" s="889"/>
    </row>
    <row r="59967" spans="7:7" ht="10.5" customHeight="1" x14ac:dyDescent="0.2">
      <c r="G59967" s="889"/>
    </row>
    <row r="59968" spans="7:7" ht="10.5" customHeight="1" x14ac:dyDescent="0.2">
      <c r="G59968" s="889"/>
    </row>
    <row r="59969" spans="7:7" ht="10.5" customHeight="1" x14ac:dyDescent="0.2">
      <c r="G59969" s="889"/>
    </row>
    <row r="59970" spans="7:7" ht="10.5" customHeight="1" x14ac:dyDescent="0.2">
      <c r="G59970" s="889"/>
    </row>
    <row r="59971" spans="7:7" ht="10.5" customHeight="1" x14ac:dyDescent="0.2">
      <c r="G59971" s="889"/>
    </row>
    <row r="59972" spans="7:7" ht="10.5" customHeight="1" x14ac:dyDescent="0.2">
      <c r="G59972" s="889"/>
    </row>
    <row r="59973" spans="7:7" ht="10.5" customHeight="1" x14ac:dyDescent="0.2">
      <c r="G59973" s="889"/>
    </row>
    <row r="59974" spans="7:7" ht="10.5" customHeight="1" x14ac:dyDescent="0.2">
      <c r="G59974" s="889"/>
    </row>
    <row r="59975" spans="7:7" ht="10.5" customHeight="1" x14ac:dyDescent="0.2">
      <c r="G59975" s="889"/>
    </row>
    <row r="59976" spans="7:7" ht="10.5" customHeight="1" x14ac:dyDescent="0.2">
      <c r="G59976" s="889"/>
    </row>
    <row r="59977" spans="7:7" ht="10.5" customHeight="1" x14ac:dyDescent="0.2">
      <c r="G59977" s="889"/>
    </row>
    <row r="59978" spans="7:7" ht="10.5" customHeight="1" x14ac:dyDescent="0.2">
      <c r="G59978" s="889"/>
    </row>
    <row r="59979" spans="7:7" ht="10.5" customHeight="1" x14ac:dyDescent="0.2">
      <c r="G59979" s="889"/>
    </row>
    <row r="59980" spans="7:7" ht="10.5" customHeight="1" x14ac:dyDescent="0.2">
      <c r="G59980" s="889"/>
    </row>
    <row r="59981" spans="7:7" ht="10.5" customHeight="1" x14ac:dyDescent="0.2">
      <c r="G59981" s="889"/>
    </row>
    <row r="59982" spans="7:7" ht="10.5" customHeight="1" x14ac:dyDescent="0.2">
      <c r="G59982" s="889"/>
    </row>
    <row r="59983" spans="7:7" ht="10.5" customHeight="1" x14ac:dyDescent="0.2">
      <c r="G59983" s="889"/>
    </row>
    <row r="59984" spans="7:7" ht="10.5" customHeight="1" x14ac:dyDescent="0.2">
      <c r="G59984" s="889"/>
    </row>
    <row r="59985" spans="7:7" ht="10.5" customHeight="1" x14ac:dyDescent="0.2">
      <c r="G59985" s="889"/>
    </row>
    <row r="59986" spans="7:7" ht="10.5" customHeight="1" x14ac:dyDescent="0.2">
      <c r="G59986" s="889"/>
    </row>
    <row r="59987" spans="7:7" ht="10.5" customHeight="1" x14ac:dyDescent="0.2">
      <c r="G59987" s="889"/>
    </row>
    <row r="59988" spans="7:7" ht="10.5" customHeight="1" x14ac:dyDescent="0.2">
      <c r="G59988" s="889"/>
    </row>
    <row r="59989" spans="7:7" ht="10.5" customHeight="1" x14ac:dyDescent="0.2">
      <c r="G59989" s="889"/>
    </row>
    <row r="59990" spans="7:7" ht="10.5" customHeight="1" x14ac:dyDescent="0.2">
      <c r="G59990" s="889"/>
    </row>
    <row r="59991" spans="7:7" ht="10.5" customHeight="1" x14ac:dyDescent="0.2">
      <c r="G59991" s="889"/>
    </row>
    <row r="59992" spans="7:7" ht="10.5" customHeight="1" x14ac:dyDescent="0.2">
      <c r="G59992" s="889"/>
    </row>
    <row r="59993" spans="7:7" ht="10.5" customHeight="1" x14ac:dyDescent="0.2">
      <c r="G59993" s="889"/>
    </row>
    <row r="59994" spans="7:7" ht="10.5" customHeight="1" x14ac:dyDescent="0.2">
      <c r="G59994" s="889"/>
    </row>
    <row r="59995" spans="7:7" ht="10.5" customHeight="1" x14ac:dyDescent="0.2">
      <c r="G59995" s="889"/>
    </row>
    <row r="59996" spans="7:7" ht="10.5" customHeight="1" x14ac:dyDescent="0.2">
      <c r="G59996" s="889"/>
    </row>
    <row r="59997" spans="7:7" ht="10.5" customHeight="1" x14ac:dyDescent="0.2">
      <c r="G59997" s="889"/>
    </row>
    <row r="59998" spans="7:7" ht="10.5" customHeight="1" x14ac:dyDescent="0.2">
      <c r="G59998" s="889"/>
    </row>
    <row r="59999" spans="7:7" ht="10.5" customHeight="1" x14ac:dyDescent="0.2">
      <c r="G59999" s="889"/>
    </row>
    <row r="60000" spans="7:7" ht="10.5" customHeight="1" x14ac:dyDescent="0.2">
      <c r="G60000" s="889"/>
    </row>
    <row r="60001" spans="7:7" ht="10.5" customHeight="1" x14ac:dyDescent="0.2">
      <c r="G60001" s="889"/>
    </row>
    <row r="60002" spans="7:7" ht="10.5" customHeight="1" x14ac:dyDescent="0.2">
      <c r="G60002" s="889"/>
    </row>
    <row r="60003" spans="7:7" ht="10.5" customHeight="1" x14ac:dyDescent="0.2">
      <c r="G60003" s="889"/>
    </row>
    <row r="60004" spans="7:7" ht="10.5" customHeight="1" x14ac:dyDescent="0.2">
      <c r="G60004" s="889"/>
    </row>
    <row r="60005" spans="7:7" ht="10.5" customHeight="1" x14ac:dyDescent="0.2">
      <c r="G60005" s="889"/>
    </row>
    <row r="60006" spans="7:7" ht="10.5" customHeight="1" x14ac:dyDescent="0.2">
      <c r="G60006" s="889"/>
    </row>
    <row r="60007" spans="7:7" ht="10.5" customHeight="1" x14ac:dyDescent="0.2">
      <c r="G60007" s="889"/>
    </row>
    <row r="60008" spans="7:7" ht="10.5" customHeight="1" x14ac:dyDescent="0.2">
      <c r="G60008" s="889"/>
    </row>
    <row r="60009" spans="7:7" ht="10.5" customHeight="1" x14ac:dyDescent="0.2">
      <c r="G60009" s="889"/>
    </row>
    <row r="60010" spans="7:7" ht="10.5" customHeight="1" x14ac:dyDescent="0.2">
      <c r="G60010" s="889"/>
    </row>
    <row r="60011" spans="7:7" ht="10.5" customHeight="1" x14ac:dyDescent="0.2">
      <c r="G60011" s="889"/>
    </row>
    <row r="60012" spans="7:7" ht="10.5" customHeight="1" x14ac:dyDescent="0.2">
      <c r="G60012" s="889"/>
    </row>
    <row r="60013" spans="7:7" ht="10.5" customHeight="1" x14ac:dyDescent="0.2">
      <c r="G60013" s="889"/>
    </row>
    <row r="60014" spans="7:7" ht="10.5" customHeight="1" x14ac:dyDescent="0.2">
      <c r="G60014" s="889"/>
    </row>
    <row r="60015" spans="7:7" ht="10.5" customHeight="1" x14ac:dyDescent="0.2">
      <c r="G60015" s="889"/>
    </row>
    <row r="60016" spans="7:7" ht="10.5" customHeight="1" x14ac:dyDescent="0.2">
      <c r="G60016" s="889"/>
    </row>
    <row r="60017" spans="7:7" ht="10.5" customHeight="1" x14ac:dyDescent="0.2">
      <c r="G60017" s="889"/>
    </row>
    <row r="60018" spans="7:7" ht="10.5" customHeight="1" x14ac:dyDescent="0.2">
      <c r="G60018" s="889"/>
    </row>
    <row r="60019" spans="7:7" ht="10.5" customHeight="1" x14ac:dyDescent="0.2">
      <c r="G60019" s="889"/>
    </row>
    <row r="60020" spans="7:7" ht="10.5" customHeight="1" x14ac:dyDescent="0.2">
      <c r="G60020" s="889"/>
    </row>
    <row r="60021" spans="7:7" ht="10.5" customHeight="1" x14ac:dyDescent="0.2">
      <c r="G60021" s="889"/>
    </row>
    <row r="60022" spans="7:7" ht="10.5" customHeight="1" x14ac:dyDescent="0.2">
      <c r="G60022" s="889"/>
    </row>
    <row r="60023" spans="7:7" ht="10.5" customHeight="1" x14ac:dyDescent="0.2">
      <c r="G60023" s="889"/>
    </row>
    <row r="60024" spans="7:7" ht="10.5" customHeight="1" x14ac:dyDescent="0.2">
      <c r="G60024" s="889"/>
    </row>
    <row r="60025" spans="7:7" ht="10.5" customHeight="1" x14ac:dyDescent="0.2">
      <c r="G60025" s="889"/>
    </row>
    <row r="60026" spans="7:7" ht="10.5" customHeight="1" x14ac:dyDescent="0.2">
      <c r="G60026" s="889"/>
    </row>
    <row r="60027" spans="7:7" ht="10.5" customHeight="1" x14ac:dyDescent="0.2">
      <c r="G60027" s="889"/>
    </row>
    <row r="60028" spans="7:7" ht="10.5" customHeight="1" x14ac:dyDescent="0.2">
      <c r="G60028" s="889"/>
    </row>
    <row r="60029" spans="7:7" ht="10.5" customHeight="1" x14ac:dyDescent="0.2">
      <c r="G60029" s="889"/>
    </row>
    <row r="60030" spans="7:7" ht="10.5" customHeight="1" x14ac:dyDescent="0.2">
      <c r="G60030" s="889"/>
    </row>
    <row r="60031" spans="7:7" ht="10.5" customHeight="1" x14ac:dyDescent="0.2">
      <c r="G60031" s="889"/>
    </row>
    <row r="60032" spans="7:7" ht="10.5" customHeight="1" x14ac:dyDescent="0.2">
      <c r="G60032" s="889"/>
    </row>
    <row r="60033" spans="7:7" ht="10.5" customHeight="1" x14ac:dyDescent="0.2">
      <c r="G60033" s="889"/>
    </row>
    <row r="60034" spans="7:7" ht="10.5" customHeight="1" x14ac:dyDescent="0.2">
      <c r="G60034" s="889"/>
    </row>
    <row r="60035" spans="7:7" ht="10.5" customHeight="1" x14ac:dyDescent="0.2">
      <c r="G60035" s="889"/>
    </row>
    <row r="60036" spans="7:7" ht="10.5" customHeight="1" x14ac:dyDescent="0.2">
      <c r="G60036" s="889"/>
    </row>
    <row r="60037" spans="7:7" ht="10.5" customHeight="1" x14ac:dyDescent="0.2">
      <c r="G60037" s="889"/>
    </row>
    <row r="60038" spans="7:7" ht="10.5" customHeight="1" x14ac:dyDescent="0.2">
      <c r="G60038" s="889"/>
    </row>
    <row r="60039" spans="7:7" ht="10.5" customHeight="1" x14ac:dyDescent="0.2">
      <c r="G60039" s="889"/>
    </row>
    <row r="60040" spans="7:7" ht="10.5" customHeight="1" x14ac:dyDescent="0.2">
      <c r="G60040" s="889"/>
    </row>
    <row r="60041" spans="7:7" ht="10.5" customHeight="1" x14ac:dyDescent="0.2">
      <c r="G60041" s="889"/>
    </row>
    <row r="60042" spans="7:7" ht="10.5" customHeight="1" x14ac:dyDescent="0.2">
      <c r="G60042" s="889"/>
    </row>
    <row r="60043" spans="7:7" ht="10.5" customHeight="1" x14ac:dyDescent="0.2">
      <c r="G60043" s="889"/>
    </row>
    <row r="60044" spans="7:7" ht="10.5" customHeight="1" x14ac:dyDescent="0.2">
      <c r="G60044" s="889"/>
    </row>
    <row r="60045" spans="7:7" ht="10.5" customHeight="1" x14ac:dyDescent="0.2">
      <c r="G60045" s="889"/>
    </row>
    <row r="60046" spans="7:7" ht="10.5" customHeight="1" x14ac:dyDescent="0.2">
      <c r="G60046" s="889"/>
    </row>
    <row r="60047" spans="7:7" ht="10.5" customHeight="1" x14ac:dyDescent="0.2">
      <c r="G60047" s="889"/>
    </row>
    <row r="60048" spans="7:7" ht="10.5" customHeight="1" x14ac:dyDescent="0.2">
      <c r="G60048" s="889"/>
    </row>
    <row r="60049" spans="7:7" ht="10.5" customHeight="1" x14ac:dyDescent="0.2">
      <c r="G60049" s="889"/>
    </row>
    <row r="60050" spans="7:7" ht="10.5" customHeight="1" x14ac:dyDescent="0.2">
      <c r="G60050" s="889"/>
    </row>
    <row r="60051" spans="7:7" ht="10.5" customHeight="1" x14ac:dyDescent="0.2">
      <c r="G60051" s="889"/>
    </row>
    <row r="60052" spans="7:7" ht="10.5" customHeight="1" x14ac:dyDescent="0.2">
      <c r="G60052" s="889"/>
    </row>
    <row r="60053" spans="7:7" ht="10.5" customHeight="1" x14ac:dyDescent="0.2">
      <c r="G60053" s="889"/>
    </row>
    <row r="60054" spans="7:7" ht="10.5" customHeight="1" x14ac:dyDescent="0.2">
      <c r="G60054" s="889"/>
    </row>
    <row r="60055" spans="7:7" ht="10.5" customHeight="1" x14ac:dyDescent="0.2">
      <c r="G60055" s="889"/>
    </row>
    <row r="60056" spans="7:7" ht="10.5" customHeight="1" x14ac:dyDescent="0.2">
      <c r="G60056" s="889"/>
    </row>
    <row r="60057" spans="7:7" ht="10.5" customHeight="1" x14ac:dyDescent="0.2">
      <c r="G60057" s="889"/>
    </row>
    <row r="60058" spans="7:7" ht="10.5" customHeight="1" x14ac:dyDescent="0.2">
      <c r="G60058" s="889"/>
    </row>
    <row r="60059" spans="7:7" ht="10.5" customHeight="1" x14ac:dyDescent="0.2">
      <c r="G60059" s="889"/>
    </row>
    <row r="60060" spans="7:7" ht="10.5" customHeight="1" x14ac:dyDescent="0.2">
      <c r="G60060" s="889"/>
    </row>
    <row r="60061" spans="7:7" ht="10.5" customHeight="1" x14ac:dyDescent="0.2">
      <c r="G60061" s="889"/>
    </row>
    <row r="60062" spans="7:7" ht="10.5" customHeight="1" x14ac:dyDescent="0.2">
      <c r="G60062" s="889"/>
    </row>
    <row r="60063" spans="7:7" ht="10.5" customHeight="1" x14ac:dyDescent="0.2">
      <c r="G60063" s="889"/>
    </row>
    <row r="60064" spans="7:7" ht="10.5" customHeight="1" x14ac:dyDescent="0.2">
      <c r="G60064" s="889"/>
    </row>
    <row r="60065" spans="7:7" ht="10.5" customHeight="1" x14ac:dyDescent="0.2">
      <c r="G60065" s="889"/>
    </row>
    <row r="60066" spans="7:7" ht="10.5" customHeight="1" x14ac:dyDescent="0.2">
      <c r="G60066" s="889"/>
    </row>
    <row r="60067" spans="7:7" ht="10.5" customHeight="1" x14ac:dyDescent="0.2">
      <c r="G60067" s="889"/>
    </row>
    <row r="60068" spans="7:7" ht="10.5" customHeight="1" x14ac:dyDescent="0.2">
      <c r="G60068" s="889"/>
    </row>
    <row r="60069" spans="7:7" ht="10.5" customHeight="1" x14ac:dyDescent="0.2">
      <c r="G60069" s="889"/>
    </row>
    <row r="60070" spans="7:7" ht="10.5" customHeight="1" x14ac:dyDescent="0.2">
      <c r="G60070" s="889"/>
    </row>
    <row r="60071" spans="7:7" ht="10.5" customHeight="1" x14ac:dyDescent="0.2">
      <c r="G60071" s="889"/>
    </row>
    <row r="60072" spans="7:7" ht="10.5" customHeight="1" x14ac:dyDescent="0.2">
      <c r="G60072" s="889"/>
    </row>
    <row r="60073" spans="7:7" ht="10.5" customHeight="1" x14ac:dyDescent="0.2">
      <c r="G60073" s="889"/>
    </row>
    <row r="60074" spans="7:7" ht="10.5" customHeight="1" x14ac:dyDescent="0.2">
      <c r="G60074" s="889"/>
    </row>
    <row r="60075" spans="7:7" ht="10.5" customHeight="1" x14ac:dyDescent="0.2">
      <c r="G60075" s="889"/>
    </row>
    <row r="60076" spans="7:7" ht="10.5" customHeight="1" x14ac:dyDescent="0.2">
      <c r="G60076" s="889"/>
    </row>
    <row r="60077" spans="7:7" ht="10.5" customHeight="1" x14ac:dyDescent="0.2">
      <c r="G60077" s="889"/>
    </row>
    <row r="60078" spans="7:7" ht="10.5" customHeight="1" x14ac:dyDescent="0.2">
      <c r="G60078" s="889"/>
    </row>
    <row r="60079" spans="7:7" ht="10.5" customHeight="1" x14ac:dyDescent="0.2">
      <c r="G60079" s="889"/>
    </row>
    <row r="60080" spans="7:7" ht="10.5" customHeight="1" x14ac:dyDescent="0.2">
      <c r="G60080" s="889"/>
    </row>
    <row r="60081" spans="7:7" ht="10.5" customHeight="1" x14ac:dyDescent="0.2">
      <c r="G60081" s="889"/>
    </row>
    <row r="60082" spans="7:7" ht="10.5" customHeight="1" x14ac:dyDescent="0.2">
      <c r="G60082" s="889"/>
    </row>
    <row r="60083" spans="7:7" ht="10.5" customHeight="1" x14ac:dyDescent="0.2">
      <c r="G60083" s="889"/>
    </row>
    <row r="60084" spans="7:7" ht="10.5" customHeight="1" x14ac:dyDescent="0.2">
      <c r="G60084" s="889"/>
    </row>
    <row r="60085" spans="7:7" ht="10.5" customHeight="1" x14ac:dyDescent="0.2">
      <c r="G60085" s="889"/>
    </row>
    <row r="60086" spans="7:7" ht="10.5" customHeight="1" x14ac:dyDescent="0.2">
      <c r="G60086" s="889"/>
    </row>
    <row r="60087" spans="7:7" ht="10.5" customHeight="1" x14ac:dyDescent="0.2">
      <c r="G60087" s="889"/>
    </row>
    <row r="60088" spans="7:7" ht="10.5" customHeight="1" x14ac:dyDescent="0.2">
      <c r="G60088" s="889"/>
    </row>
    <row r="60089" spans="7:7" ht="10.5" customHeight="1" x14ac:dyDescent="0.2">
      <c r="G60089" s="889"/>
    </row>
    <row r="60090" spans="7:7" ht="10.5" customHeight="1" x14ac:dyDescent="0.2">
      <c r="G60090" s="889"/>
    </row>
    <row r="60091" spans="7:7" ht="10.5" customHeight="1" x14ac:dyDescent="0.2">
      <c r="G60091" s="889"/>
    </row>
    <row r="60092" spans="7:7" ht="10.5" customHeight="1" x14ac:dyDescent="0.2">
      <c r="G60092" s="889"/>
    </row>
    <row r="60093" spans="7:7" ht="10.5" customHeight="1" x14ac:dyDescent="0.2">
      <c r="G60093" s="889"/>
    </row>
    <row r="60094" spans="7:7" ht="10.5" customHeight="1" x14ac:dyDescent="0.2">
      <c r="G60094" s="889"/>
    </row>
    <row r="60095" spans="7:7" ht="10.5" customHeight="1" x14ac:dyDescent="0.2">
      <c r="G60095" s="889"/>
    </row>
    <row r="60096" spans="7:7" ht="10.5" customHeight="1" x14ac:dyDescent="0.2">
      <c r="G60096" s="889"/>
    </row>
    <row r="60097" spans="7:7" ht="10.5" customHeight="1" x14ac:dyDescent="0.2">
      <c r="G60097" s="889"/>
    </row>
    <row r="60098" spans="7:7" ht="10.5" customHeight="1" x14ac:dyDescent="0.2">
      <c r="G60098" s="889"/>
    </row>
    <row r="60099" spans="7:7" ht="10.5" customHeight="1" x14ac:dyDescent="0.2">
      <c r="G60099" s="889"/>
    </row>
    <row r="60100" spans="7:7" ht="10.5" customHeight="1" x14ac:dyDescent="0.2">
      <c r="G60100" s="889"/>
    </row>
    <row r="60101" spans="7:7" ht="10.5" customHeight="1" x14ac:dyDescent="0.2">
      <c r="G60101" s="889"/>
    </row>
    <row r="60102" spans="7:7" ht="10.5" customHeight="1" x14ac:dyDescent="0.2">
      <c r="G60102" s="889"/>
    </row>
    <row r="60103" spans="7:7" ht="10.5" customHeight="1" x14ac:dyDescent="0.2">
      <c r="G60103" s="889"/>
    </row>
    <row r="60104" spans="7:7" ht="10.5" customHeight="1" x14ac:dyDescent="0.2">
      <c r="G60104" s="889"/>
    </row>
    <row r="60105" spans="7:7" ht="10.5" customHeight="1" x14ac:dyDescent="0.2">
      <c r="G60105" s="889"/>
    </row>
    <row r="60106" spans="7:7" ht="10.5" customHeight="1" x14ac:dyDescent="0.2">
      <c r="G60106" s="889"/>
    </row>
    <row r="60107" spans="7:7" ht="10.5" customHeight="1" x14ac:dyDescent="0.2">
      <c r="G60107" s="889"/>
    </row>
    <row r="60108" spans="7:7" ht="10.5" customHeight="1" x14ac:dyDescent="0.2">
      <c r="G60108" s="889"/>
    </row>
    <row r="60109" spans="7:7" ht="10.5" customHeight="1" x14ac:dyDescent="0.2">
      <c r="G60109" s="889"/>
    </row>
    <row r="60110" spans="7:7" ht="10.5" customHeight="1" x14ac:dyDescent="0.2">
      <c r="G60110" s="889"/>
    </row>
    <row r="60111" spans="7:7" ht="10.5" customHeight="1" x14ac:dyDescent="0.2">
      <c r="G60111" s="889"/>
    </row>
    <row r="60112" spans="7:7" ht="10.5" customHeight="1" x14ac:dyDescent="0.2">
      <c r="G60112" s="889"/>
    </row>
    <row r="60113" spans="7:7" ht="10.5" customHeight="1" x14ac:dyDescent="0.2">
      <c r="G60113" s="889"/>
    </row>
    <row r="60114" spans="7:7" ht="10.5" customHeight="1" x14ac:dyDescent="0.2">
      <c r="G60114" s="889"/>
    </row>
    <row r="60115" spans="7:7" ht="10.5" customHeight="1" x14ac:dyDescent="0.2">
      <c r="G60115" s="889"/>
    </row>
    <row r="60116" spans="7:7" ht="10.5" customHeight="1" x14ac:dyDescent="0.2">
      <c r="G60116" s="889"/>
    </row>
    <row r="60117" spans="7:7" ht="10.5" customHeight="1" x14ac:dyDescent="0.2">
      <c r="G60117" s="889"/>
    </row>
    <row r="60118" spans="7:7" ht="10.5" customHeight="1" x14ac:dyDescent="0.2">
      <c r="G60118" s="889"/>
    </row>
    <row r="60119" spans="7:7" ht="10.5" customHeight="1" x14ac:dyDescent="0.2">
      <c r="G60119" s="889"/>
    </row>
    <row r="60120" spans="7:7" ht="10.5" customHeight="1" x14ac:dyDescent="0.2">
      <c r="G60120" s="889"/>
    </row>
    <row r="60121" spans="7:7" ht="10.5" customHeight="1" x14ac:dyDescent="0.2">
      <c r="G60121" s="889"/>
    </row>
    <row r="60122" spans="7:7" ht="10.5" customHeight="1" x14ac:dyDescent="0.2">
      <c r="G60122" s="889"/>
    </row>
    <row r="60123" spans="7:7" ht="10.5" customHeight="1" x14ac:dyDescent="0.2">
      <c r="G60123" s="889"/>
    </row>
    <row r="60124" spans="7:7" ht="10.5" customHeight="1" x14ac:dyDescent="0.2">
      <c r="G60124" s="889"/>
    </row>
    <row r="60125" spans="7:7" ht="10.5" customHeight="1" x14ac:dyDescent="0.2">
      <c r="G60125" s="889"/>
    </row>
    <row r="60126" spans="7:7" ht="10.5" customHeight="1" x14ac:dyDescent="0.2">
      <c r="G60126" s="889"/>
    </row>
    <row r="60127" spans="7:7" ht="10.5" customHeight="1" x14ac:dyDescent="0.2">
      <c r="G60127" s="889"/>
    </row>
    <row r="60128" spans="7:7" ht="10.5" customHeight="1" x14ac:dyDescent="0.2">
      <c r="G60128" s="889"/>
    </row>
    <row r="60129" spans="7:7" ht="10.5" customHeight="1" x14ac:dyDescent="0.2">
      <c r="G60129" s="889"/>
    </row>
    <row r="60130" spans="7:7" ht="10.5" customHeight="1" x14ac:dyDescent="0.2">
      <c r="G60130" s="889"/>
    </row>
    <row r="60131" spans="7:7" ht="10.5" customHeight="1" x14ac:dyDescent="0.2">
      <c r="G60131" s="889"/>
    </row>
    <row r="60132" spans="7:7" ht="10.5" customHeight="1" x14ac:dyDescent="0.2">
      <c r="G60132" s="889"/>
    </row>
    <row r="60133" spans="7:7" ht="10.5" customHeight="1" x14ac:dyDescent="0.2">
      <c r="G60133" s="889"/>
    </row>
    <row r="60134" spans="7:7" ht="10.5" customHeight="1" x14ac:dyDescent="0.2">
      <c r="G60134" s="889"/>
    </row>
    <row r="60135" spans="7:7" ht="10.5" customHeight="1" x14ac:dyDescent="0.2">
      <c r="G60135" s="889"/>
    </row>
    <row r="60136" spans="7:7" ht="10.5" customHeight="1" x14ac:dyDescent="0.2">
      <c r="G60136" s="889"/>
    </row>
    <row r="60137" spans="7:7" ht="10.5" customHeight="1" x14ac:dyDescent="0.2">
      <c r="G60137" s="889"/>
    </row>
    <row r="60138" spans="7:7" ht="10.5" customHeight="1" x14ac:dyDescent="0.2">
      <c r="G60138" s="889"/>
    </row>
    <row r="60139" spans="7:7" ht="10.5" customHeight="1" x14ac:dyDescent="0.2">
      <c r="G60139" s="889"/>
    </row>
    <row r="60140" spans="7:7" ht="10.5" customHeight="1" x14ac:dyDescent="0.2">
      <c r="G60140" s="889"/>
    </row>
    <row r="60141" spans="7:7" ht="10.5" customHeight="1" x14ac:dyDescent="0.2">
      <c r="G60141" s="889"/>
    </row>
    <row r="60142" spans="7:7" ht="10.5" customHeight="1" x14ac:dyDescent="0.2">
      <c r="G60142" s="889"/>
    </row>
    <row r="60143" spans="7:7" ht="10.5" customHeight="1" x14ac:dyDescent="0.2">
      <c r="G60143" s="889"/>
    </row>
    <row r="60144" spans="7:7" ht="10.5" customHeight="1" x14ac:dyDescent="0.2">
      <c r="G60144" s="889"/>
    </row>
    <row r="60145" spans="7:7" ht="10.5" customHeight="1" x14ac:dyDescent="0.2">
      <c r="G60145" s="889"/>
    </row>
    <row r="60146" spans="7:7" ht="10.5" customHeight="1" x14ac:dyDescent="0.2">
      <c r="G60146" s="889"/>
    </row>
    <row r="60147" spans="7:7" ht="10.5" customHeight="1" x14ac:dyDescent="0.2">
      <c r="G60147" s="889"/>
    </row>
    <row r="60148" spans="7:7" ht="10.5" customHeight="1" x14ac:dyDescent="0.2">
      <c r="G60148" s="889"/>
    </row>
    <row r="60149" spans="7:7" ht="10.5" customHeight="1" x14ac:dyDescent="0.2">
      <c r="G60149" s="889"/>
    </row>
    <row r="60150" spans="7:7" ht="10.5" customHeight="1" x14ac:dyDescent="0.2">
      <c r="G60150" s="889"/>
    </row>
    <row r="60151" spans="7:7" ht="10.5" customHeight="1" x14ac:dyDescent="0.2">
      <c r="G60151" s="889"/>
    </row>
    <row r="60152" spans="7:7" ht="10.5" customHeight="1" x14ac:dyDescent="0.2">
      <c r="G60152" s="889"/>
    </row>
    <row r="60153" spans="7:7" ht="10.5" customHeight="1" x14ac:dyDescent="0.2">
      <c r="G60153" s="889"/>
    </row>
    <row r="60154" spans="7:7" ht="10.5" customHeight="1" x14ac:dyDescent="0.2">
      <c r="G60154" s="889"/>
    </row>
    <row r="60155" spans="7:7" ht="10.5" customHeight="1" x14ac:dyDescent="0.2">
      <c r="G60155" s="889"/>
    </row>
    <row r="60156" spans="7:7" ht="10.5" customHeight="1" x14ac:dyDescent="0.2">
      <c r="G60156" s="889"/>
    </row>
    <row r="60157" spans="7:7" ht="10.5" customHeight="1" x14ac:dyDescent="0.2">
      <c r="G60157" s="889"/>
    </row>
    <row r="60158" spans="7:7" ht="10.5" customHeight="1" x14ac:dyDescent="0.2">
      <c r="G60158" s="889"/>
    </row>
    <row r="60159" spans="7:7" ht="10.5" customHeight="1" x14ac:dyDescent="0.2">
      <c r="G60159" s="889"/>
    </row>
    <row r="60160" spans="7:7" ht="10.5" customHeight="1" x14ac:dyDescent="0.2">
      <c r="G60160" s="889"/>
    </row>
    <row r="60161" spans="7:7" ht="10.5" customHeight="1" x14ac:dyDescent="0.2">
      <c r="G60161" s="889"/>
    </row>
    <row r="60162" spans="7:7" ht="10.5" customHeight="1" x14ac:dyDescent="0.2">
      <c r="G60162" s="889"/>
    </row>
    <row r="60163" spans="7:7" ht="10.5" customHeight="1" x14ac:dyDescent="0.2">
      <c r="G60163" s="889"/>
    </row>
    <row r="60164" spans="7:7" ht="10.5" customHeight="1" x14ac:dyDescent="0.2">
      <c r="G60164" s="889"/>
    </row>
    <row r="60165" spans="7:7" ht="10.5" customHeight="1" x14ac:dyDescent="0.2">
      <c r="G60165" s="889"/>
    </row>
    <row r="60166" spans="7:7" ht="10.5" customHeight="1" x14ac:dyDescent="0.2">
      <c r="G60166" s="889"/>
    </row>
    <row r="60167" spans="7:7" ht="10.5" customHeight="1" x14ac:dyDescent="0.2">
      <c r="G60167" s="889"/>
    </row>
    <row r="60168" spans="7:7" ht="10.5" customHeight="1" x14ac:dyDescent="0.2">
      <c r="G60168" s="889"/>
    </row>
    <row r="60169" spans="7:7" ht="10.5" customHeight="1" x14ac:dyDescent="0.2">
      <c r="G60169" s="889"/>
    </row>
    <row r="60170" spans="7:7" ht="10.5" customHeight="1" x14ac:dyDescent="0.2">
      <c r="G60170" s="889"/>
    </row>
    <row r="60171" spans="7:7" ht="10.5" customHeight="1" x14ac:dyDescent="0.2">
      <c r="G60171" s="889"/>
    </row>
    <row r="60172" spans="7:7" ht="10.5" customHeight="1" x14ac:dyDescent="0.2">
      <c r="G60172" s="889"/>
    </row>
    <row r="60173" spans="7:7" ht="10.5" customHeight="1" x14ac:dyDescent="0.2">
      <c r="G60173" s="889"/>
    </row>
    <row r="60174" spans="7:7" ht="10.5" customHeight="1" x14ac:dyDescent="0.2">
      <c r="G60174" s="889"/>
    </row>
    <row r="60175" spans="7:7" ht="10.5" customHeight="1" x14ac:dyDescent="0.2">
      <c r="G60175" s="889"/>
    </row>
    <row r="60176" spans="7:7" ht="10.5" customHeight="1" x14ac:dyDescent="0.2">
      <c r="G60176" s="889"/>
    </row>
    <row r="60177" spans="7:7" ht="10.5" customHeight="1" x14ac:dyDescent="0.2">
      <c r="G60177" s="889"/>
    </row>
    <row r="60178" spans="7:7" ht="10.5" customHeight="1" x14ac:dyDescent="0.2">
      <c r="G60178" s="889"/>
    </row>
    <row r="60179" spans="7:7" ht="10.5" customHeight="1" x14ac:dyDescent="0.2">
      <c r="G60179" s="889"/>
    </row>
    <row r="60180" spans="7:7" ht="10.5" customHeight="1" x14ac:dyDescent="0.2">
      <c r="G60180" s="889"/>
    </row>
    <row r="60181" spans="7:7" ht="10.5" customHeight="1" x14ac:dyDescent="0.2">
      <c r="G60181" s="889"/>
    </row>
    <row r="60182" spans="7:7" ht="10.5" customHeight="1" x14ac:dyDescent="0.2">
      <c r="G60182" s="889"/>
    </row>
    <row r="60183" spans="7:7" ht="10.5" customHeight="1" x14ac:dyDescent="0.2">
      <c r="G60183" s="889"/>
    </row>
    <row r="60184" spans="7:7" ht="10.5" customHeight="1" x14ac:dyDescent="0.2">
      <c r="G60184" s="889"/>
    </row>
    <row r="60185" spans="7:7" ht="10.5" customHeight="1" x14ac:dyDescent="0.2">
      <c r="G60185" s="889"/>
    </row>
    <row r="60186" spans="7:7" ht="10.5" customHeight="1" x14ac:dyDescent="0.2">
      <c r="G60186" s="889"/>
    </row>
    <row r="60187" spans="7:7" ht="10.5" customHeight="1" x14ac:dyDescent="0.2">
      <c r="G60187" s="889"/>
    </row>
    <row r="60188" spans="7:7" ht="10.5" customHeight="1" x14ac:dyDescent="0.2">
      <c r="G60188" s="889"/>
    </row>
    <row r="60189" spans="7:7" ht="10.5" customHeight="1" x14ac:dyDescent="0.2">
      <c r="G60189" s="889"/>
    </row>
    <row r="60190" spans="7:7" ht="10.5" customHeight="1" x14ac:dyDescent="0.2">
      <c r="G60190" s="889"/>
    </row>
    <row r="60191" spans="7:7" ht="10.5" customHeight="1" x14ac:dyDescent="0.2">
      <c r="G60191" s="889"/>
    </row>
    <row r="60192" spans="7:7" ht="10.5" customHeight="1" x14ac:dyDescent="0.2">
      <c r="G60192" s="889"/>
    </row>
    <row r="60193" spans="7:7" ht="10.5" customHeight="1" x14ac:dyDescent="0.2">
      <c r="G60193" s="889"/>
    </row>
    <row r="60194" spans="7:7" ht="10.5" customHeight="1" x14ac:dyDescent="0.2">
      <c r="G60194" s="889"/>
    </row>
    <row r="60195" spans="7:7" ht="10.5" customHeight="1" x14ac:dyDescent="0.2">
      <c r="G60195" s="889"/>
    </row>
    <row r="60196" spans="7:7" ht="10.5" customHeight="1" x14ac:dyDescent="0.2">
      <c r="G60196" s="889"/>
    </row>
    <row r="60197" spans="7:7" ht="10.5" customHeight="1" x14ac:dyDescent="0.2">
      <c r="G60197" s="889"/>
    </row>
    <row r="60198" spans="7:7" ht="10.5" customHeight="1" x14ac:dyDescent="0.2">
      <c r="G60198" s="889"/>
    </row>
    <row r="60199" spans="7:7" ht="10.5" customHeight="1" x14ac:dyDescent="0.2">
      <c r="G60199" s="889"/>
    </row>
    <row r="60200" spans="7:7" ht="10.5" customHeight="1" x14ac:dyDescent="0.2">
      <c r="G60200" s="889"/>
    </row>
    <row r="60201" spans="7:7" ht="10.5" customHeight="1" x14ac:dyDescent="0.2">
      <c r="G60201" s="889"/>
    </row>
    <row r="60202" spans="7:7" ht="10.5" customHeight="1" x14ac:dyDescent="0.2">
      <c r="G60202" s="889"/>
    </row>
    <row r="60203" spans="7:7" ht="10.5" customHeight="1" x14ac:dyDescent="0.2">
      <c r="G60203" s="889"/>
    </row>
    <row r="60204" spans="7:7" ht="10.5" customHeight="1" x14ac:dyDescent="0.2">
      <c r="G60204" s="889"/>
    </row>
    <row r="60205" spans="7:7" ht="10.5" customHeight="1" x14ac:dyDescent="0.2">
      <c r="G60205" s="889"/>
    </row>
    <row r="60206" spans="7:7" ht="10.5" customHeight="1" x14ac:dyDescent="0.2">
      <c r="G60206" s="889"/>
    </row>
    <row r="60207" spans="7:7" ht="10.5" customHeight="1" x14ac:dyDescent="0.2">
      <c r="G60207" s="889"/>
    </row>
    <row r="60208" spans="7:7" ht="10.5" customHeight="1" x14ac:dyDescent="0.2">
      <c r="G60208" s="889"/>
    </row>
    <row r="60209" spans="7:7" ht="10.5" customHeight="1" x14ac:dyDescent="0.2">
      <c r="G60209" s="889"/>
    </row>
    <row r="60210" spans="7:7" ht="10.5" customHeight="1" x14ac:dyDescent="0.2">
      <c r="G60210" s="889"/>
    </row>
    <row r="60211" spans="7:7" ht="10.5" customHeight="1" x14ac:dyDescent="0.2">
      <c r="G60211" s="889"/>
    </row>
    <row r="60212" spans="7:7" ht="10.5" customHeight="1" x14ac:dyDescent="0.2">
      <c r="G60212" s="889"/>
    </row>
    <row r="60213" spans="7:7" ht="10.5" customHeight="1" x14ac:dyDescent="0.2">
      <c r="G60213" s="889"/>
    </row>
    <row r="60214" spans="7:7" ht="10.5" customHeight="1" x14ac:dyDescent="0.2">
      <c r="G60214" s="889"/>
    </row>
    <row r="60215" spans="7:7" ht="10.5" customHeight="1" x14ac:dyDescent="0.2">
      <c r="G60215" s="889"/>
    </row>
    <row r="60216" spans="7:7" ht="10.5" customHeight="1" x14ac:dyDescent="0.2">
      <c r="G60216" s="889"/>
    </row>
    <row r="60217" spans="7:7" ht="10.5" customHeight="1" x14ac:dyDescent="0.2">
      <c r="G60217" s="889"/>
    </row>
    <row r="60218" spans="7:7" ht="10.5" customHeight="1" x14ac:dyDescent="0.2">
      <c r="G60218" s="889"/>
    </row>
    <row r="60219" spans="7:7" ht="10.5" customHeight="1" x14ac:dyDescent="0.2">
      <c r="G60219" s="889"/>
    </row>
    <row r="60220" spans="7:7" ht="10.5" customHeight="1" x14ac:dyDescent="0.2">
      <c r="G60220" s="889"/>
    </row>
    <row r="60221" spans="7:7" ht="10.5" customHeight="1" x14ac:dyDescent="0.2">
      <c r="G60221" s="889"/>
    </row>
    <row r="60222" spans="7:7" ht="10.5" customHeight="1" x14ac:dyDescent="0.2">
      <c r="G60222" s="889"/>
    </row>
    <row r="60223" spans="7:7" ht="10.5" customHeight="1" x14ac:dyDescent="0.2">
      <c r="G60223" s="889"/>
    </row>
    <row r="60224" spans="7:7" ht="10.5" customHeight="1" x14ac:dyDescent="0.2">
      <c r="G60224" s="889"/>
    </row>
    <row r="60225" spans="7:7" ht="10.5" customHeight="1" x14ac:dyDescent="0.2">
      <c r="G60225" s="889"/>
    </row>
    <row r="60226" spans="7:7" ht="10.5" customHeight="1" x14ac:dyDescent="0.2">
      <c r="G60226" s="889"/>
    </row>
    <row r="60227" spans="7:7" ht="10.5" customHeight="1" x14ac:dyDescent="0.2">
      <c r="G60227" s="889"/>
    </row>
    <row r="60228" spans="7:7" ht="10.5" customHeight="1" x14ac:dyDescent="0.2">
      <c r="G60228" s="889"/>
    </row>
    <row r="60229" spans="7:7" ht="10.5" customHeight="1" x14ac:dyDescent="0.2">
      <c r="G60229" s="889"/>
    </row>
    <row r="60230" spans="7:7" ht="10.5" customHeight="1" x14ac:dyDescent="0.2">
      <c r="G60230" s="889"/>
    </row>
    <row r="60231" spans="7:7" ht="10.5" customHeight="1" x14ac:dyDescent="0.2">
      <c r="G60231" s="889"/>
    </row>
    <row r="60232" spans="7:7" ht="10.5" customHeight="1" x14ac:dyDescent="0.2">
      <c r="G60232" s="889"/>
    </row>
    <row r="60233" spans="7:7" ht="10.5" customHeight="1" x14ac:dyDescent="0.2">
      <c r="G60233" s="889"/>
    </row>
    <row r="60234" spans="7:7" ht="10.5" customHeight="1" x14ac:dyDescent="0.2">
      <c r="G60234" s="889"/>
    </row>
    <row r="60235" spans="7:7" ht="10.5" customHeight="1" x14ac:dyDescent="0.2">
      <c r="G60235" s="889"/>
    </row>
    <row r="60236" spans="7:7" ht="10.5" customHeight="1" x14ac:dyDescent="0.2">
      <c r="G60236" s="889"/>
    </row>
    <row r="60237" spans="7:7" ht="10.5" customHeight="1" x14ac:dyDescent="0.2">
      <c r="G60237" s="889"/>
    </row>
    <row r="60238" spans="7:7" ht="10.5" customHeight="1" x14ac:dyDescent="0.2">
      <c r="G60238" s="889"/>
    </row>
    <row r="60239" spans="7:7" ht="10.5" customHeight="1" x14ac:dyDescent="0.2">
      <c r="G60239" s="889"/>
    </row>
    <row r="60240" spans="7:7" ht="10.5" customHeight="1" x14ac:dyDescent="0.2">
      <c r="G60240" s="889"/>
    </row>
    <row r="60241" spans="7:7" ht="10.5" customHeight="1" x14ac:dyDescent="0.2">
      <c r="G60241" s="889"/>
    </row>
    <row r="60242" spans="7:7" ht="10.5" customHeight="1" x14ac:dyDescent="0.2">
      <c r="G60242" s="889"/>
    </row>
    <row r="60243" spans="7:7" ht="10.5" customHeight="1" x14ac:dyDescent="0.2">
      <c r="G60243" s="889"/>
    </row>
    <row r="60244" spans="7:7" ht="10.5" customHeight="1" x14ac:dyDescent="0.2">
      <c r="G60244" s="889"/>
    </row>
    <row r="60245" spans="7:7" ht="10.5" customHeight="1" x14ac:dyDescent="0.2">
      <c r="G60245" s="889"/>
    </row>
    <row r="60246" spans="7:7" ht="10.5" customHeight="1" x14ac:dyDescent="0.2">
      <c r="G60246" s="889"/>
    </row>
    <row r="60247" spans="7:7" ht="10.5" customHeight="1" x14ac:dyDescent="0.2">
      <c r="G60247" s="889"/>
    </row>
    <row r="60248" spans="7:7" ht="10.5" customHeight="1" x14ac:dyDescent="0.2">
      <c r="G60248" s="889"/>
    </row>
    <row r="60249" spans="7:7" ht="10.5" customHeight="1" x14ac:dyDescent="0.2">
      <c r="G60249" s="889"/>
    </row>
    <row r="60250" spans="7:7" ht="10.5" customHeight="1" x14ac:dyDescent="0.2">
      <c r="G60250" s="889"/>
    </row>
    <row r="60251" spans="7:7" ht="10.5" customHeight="1" x14ac:dyDescent="0.2">
      <c r="G60251" s="889"/>
    </row>
    <row r="60252" spans="7:7" ht="10.5" customHeight="1" x14ac:dyDescent="0.2">
      <c r="G60252" s="889"/>
    </row>
    <row r="60253" spans="7:7" ht="10.5" customHeight="1" x14ac:dyDescent="0.2">
      <c r="G60253" s="889"/>
    </row>
    <row r="60254" spans="7:7" ht="10.5" customHeight="1" x14ac:dyDescent="0.2">
      <c r="G60254" s="889"/>
    </row>
    <row r="60255" spans="7:7" ht="10.5" customHeight="1" x14ac:dyDescent="0.2">
      <c r="G60255" s="889"/>
    </row>
    <row r="60256" spans="7:7" ht="10.5" customHeight="1" x14ac:dyDescent="0.2">
      <c r="G60256" s="889"/>
    </row>
    <row r="60257" spans="7:7" ht="10.5" customHeight="1" x14ac:dyDescent="0.2">
      <c r="G60257" s="889"/>
    </row>
    <row r="60258" spans="7:7" ht="10.5" customHeight="1" x14ac:dyDescent="0.2">
      <c r="G60258" s="889"/>
    </row>
    <row r="60259" spans="7:7" ht="10.5" customHeight="1" x14ac:dyDescent="0.2">
      <c r="G60259" s="889"/>
    </row>
    <row r="60260" spans="7:7" ht="10.5" customHeight="1" x14ac:dyDescent="0.2">
      <c r="G60260" s="889"/>
    </row>
    <row r="60261" spans="7:7" ht="10.5" customHeight="1" x14ac:dyDescent="0.2">
      <c r="G60261" s="889"/>
    </row>
    <row r="60262" spans="7:7" ht="10.5" customHeight="1" x14ac:dyDescent="0.2">
      <c r="G60262" s="889"/>
    </row>
    <row r="60263" spans="7:7" ht="10.5" customHeight="1" x14ac:dyDescent="0.2">
      <c r="G60263" s="889"/>
    </row>
    <row r="60264" spans="7:7" ht="10.5" customHeight="1" x14ac:dyDescent="0.2">
      <c r="G60264" s="889"/>
    </row>
    <row r="60265" spans="7:7" ht="10.5" customHeight="1" x14ac:dyDescent="0.2">
      <c r="G60265" s="889"/>
    </row>
    <row r="60266" spans="7:7" ht="10.5" customHeight="1" x14ac:dyDescent="0.2">
      <c r="G60266" s="889"/>
    </row>
    <row r="60267" spans="7:7" ht="10.5" customHeight="1" x14ac:dyDescent="0.2">
      <c r="G60267" s="889"/>
    </row>
    <row r="60268" spans="7:7" ht="10.5" customHeight="1" x14ac:dyDescent="0.2">
      <c r="G60268" s="889"/>
    </row>
    <row r="60269" spans="7:7" ht="10.5" customHeight="1" x14ac:dyDescent="0.2">
      <c r="G60269" s="889"/>
    </row>
    <row r="60270" spans="7:7" ht="10.5" customHeight="1" x14ac:dyDescent="0.2">
      <c r="G60270" s="889"/>
    </row>
    <row r="60271" spans="7:7" ht="10.5" customHeight="1" x14ac:dyDescent="0.2">
      <c r="G60271" s="889"/>
    </row>
    <row r="60272" spans="7:7" ht="10.5" customHeight="1" x14ac:dyDescent="0.2">
      <c r="G60272" s="889"/>
    </row>
    <row r="60273" spans="7:7" ht="10.5" customHeight="1" x14ac:dyDescent="0.2">
      <c r="G60273" s="889"/>
    </row>
    <row r="60274" spans="7:7" ht="10.5" customHeight="1" x14ac:dyDescent="0.2">
      <c r="G60274" s="889"/>
    </row>
    <row r="60275" spans="7:7" ht="10.5" customHeight="1" x14ac:dyDescent="0.2">
      <c r="G60275" s="889"/>
    </row>
    <row r="60276" spans="7:7" ht="10.5" customHeight="1" x14ac:dyDescent="0.2">
      <c r="G60276" s="889"/>
    </row>
    <row r="60277" spans="7:7" ht="10.5" customHeight="1" x14ac:dyDescent="0.2">
      <c r="G60277" s="889"/>
    </row>
    <row r="60278" spans="7:7" ht="10.5" customHeight="1" x14ac:dyDescent="0.2">
      <c r="G60278" s="889"/>
    </row>
    <row r="60279" spans="7:7" ht="10.5" customHeight="1" x14ac:dyDescent="0.2">
      <c r="G60279" s="889"/>
    </row>
    <row r="60280" spans="7:7" ht="10.5" customHeight="1" x14ac:dyDescent="0.2">
      <c r="G60280" s="889"/>
    </row>
    <row r="60281" spans="7:7" ht="10.5" customHeight="1" x14ac:dyDescent="0.2">
      <c r="G60281" s="889"/>
    </row>
    <row r="60282" spans="7:7" ht="10.5" customHeight="1" x14ac:dyDescent="0.2">
      <c r="G60282" s="889"/>
    </row>
    <row r="60283" spans="7:7" ht="10.5" customHeight="1" x14ac:dyDescent="0.2">
      <c r="G60283" s="889"/>
    </row>
    <row r="60284" spans="7:7" ht="10.5" customHeight="1" x14ac:dyDescent="0.2">
      <c r="G60284" s="889"/>
    </row>
    <row r="60285" spans="7:7" ht="10.5" customHeight="1" x14ac:dyDescent="0.2">
      <c r="G60285" s="889"/>
    </row>
    <row r="60286" spans="7:7" ht="10.5" customHeight="1" x14ac:dyDescent="0.2">
      <c r="G60286" s="889"/>
    </row>
    <row r="60287" spans="7:7" ht="10.5" customHeight="1" x14ac:dyDescent="0.2">
      <c r="G60287" s="889"/>
    </row>
    <row r="60288" spans="7:7" ht="10.5" customHeight="1" x14ac:dyDescent="0.2">
      <c r="G60288" s="889"/>
    </row>
    <row r="60289" spans="7:7" ht="10.5" customHeight="1" x14ac:dyDescent="0.2">
      <c r="G60289" s="889"/>
    </row>
    <row r="60290" spans="7:7" ht="10.5" customHeight="1" x14ac:dyDescent="0.2">
      <c r="G60290" s="889"/>
    </row>
    <row r="60291" spans="7:7" ht="10.5" customHeight="1" x14ac:dyDescent="0.2">
      <c r="G60291" s="889"/>
    </row>
    <row r="60292" spans="7:7" ht="10.5" customHeight="1" x14ac:dyDescent="0.2">
      <c r="G60292" s="889"/>
    </row>
    <row r="60293" spans="7:7" ht="10.5" customHeight="1" x14ac:dyDescent="0.2">
      <c r="G60293" s="889"/>
    </row>
    <row r="60294" spans="7:7" ht="10.5" customHeight="1" x14ac:dyDescent="0.2">
      <c r="G60294" s="889"/>
    </row>
    <row r="60295" spans="7:7" ht="10.5" customHeight="1" x14ac:dyDescent="0.2">
      <c r="G60295" s="889"/>
    </row>
    <row r="60296" spans="7:7" ht="10.5" customHeight="1" x14ac:dyDescent="0.2">
      <c r="G60296" s="889"/>
    </row>
    <row r="60297" spans="7:7" ht="10.5" customHeight="1" x14ac:dyDescent="0.2">
      <c r="G60297" s="889"/>
    </row>
    <row r="60298" spans="7:7" ht="10.5" customHeight="1" x14ac:dyDescent="0.2">
      <c r="G60298" s="889"/>
    </row>
    <row r="60299" spans="7:7" ht="10.5" customHeight="1" x14ac:dyDescent="0.2">
      <c r="G60299" s="889"/>
    </row>
    <row r="60300" spans="7:7" ht="10.5" customHeight="1" x14ac:dyDescent="0.2">
      <c r="G60300" s="889"/>
    </row>
    <row r="60301" spans="7:7" ht="10.5" customHeight="1" x14ac:dyDescent="0.2">
      <c r="G60301" s="889"/>
    </row>
    <row r="60302" spans="7:7" ht="10.5" customHeight="1" x14ac:dyDescent="0.2">
      <c r="G60302" s="889"/>
    </row>
    <row r="60303" spans="7:7" ht="10.5" customHeight="1" x14ac:dyDescent="0.2">
      <c r="G60303" s="889"/>
    </row>
    <row r="60304" spans="7:7" ht="10.5" customHeight="1" x14ac:dyDescent="0.2">
      <c r="G60304" s="889"/>
    </row>
    <row r="60305" spans="7:7" ht="10.5" customHeight="1" x14ac:dyDescent="0.2">
      <c r="G60305" s="889"/>
    </row>
    <row r="60306" spans="7:7" ht="10.5" customHeight="1" x14ac:dyDescent="0.2">
      <c r="G60306" s="889"/>
    </row>
    <row r="60307" spans="7:7" ht="10.5" customHeight="1" x14ac:dyDescent="0.2">
      <c r="G60307" s="889"/>
    </row>
    <row r="60308" spans="7:7" ht="10.5" customHeight="1" x14ac:dyDescent="0.2">
      <c r="G60308" s="889"/>
    </row>
    <row r="60309" spans="7:7" ht="10.5" customHeight="1" x14ac:dyDescent="0.2">
      <c r="G60309" s="889"/>
    </row>
    <row r="60310" spans="7:7" ht="10.5" customHeight="1" x14ac:dyDescent="0.2">
      <c r="G60310" s="889"/>
    </row>
    <row r="60311" spans="7:7" ht="10.5" customHeight="1" x14ac:dyDescent="0.2">
      <c r="G60311" s="889"/>
    </row>
    <row r="60312" spans="7:7" ht="10.5" customHeight="1" x14ac:dyDescent="0.2">
      <c r="G60312" s="889"/>
    </row>
    <row r="60313" spans="7:7" ht="10.5" customHeight="1" x14ac:dyDescent="0.2">
      <c r="G60313" s="889"/>
    </row>
    <row r="60314" spans="7:7" ht="10.5" customHeight="1" x14ac:dyDescent="0.2">
      <c r="G60314" s="889"/>
    </row>
    <row r="60315" spans="7:7" ht="10.5" customHeight="1" x14ac:dyDescent="0.2">
      <c r="G60315" s="889"/>
    </row>
    <row r="60316" spans="7:7" ht="10.5" customHeight="1" x14ac:dyDescent="0.2">
      <c r="G60316" s="889"/>
    </row>
    <row r="60317" spans="7:7" ht="10.5" customHeight="1" x14ac:dyDescent="0.2">
      <c r="G60317" s="889"/>
    </row>
    <row r="60318" spans="7:7" ht="10.5" customHeight="1" x14ac:dyDescent="0.2">
      <c r="G60318" s="889"/>
    </row>
    <row r="60319" spans="7:7" ht="10.5" customHeight="1" x14ac:dyDescent="0.2">
      <c r="G60319" s="889"/>
    </row>
    <row r="60320" spans="7:7" ht="10.5" customHeight="1" x14ac:dyDescent="0.2">
      <c r="G60320" s="889"/>
    </row>
    <row r="60321" spans="7:7" ht="10.5" customHeight="1" x14ac:dyDescent="0.2">
      <c r="G60321" s="889"/>
    </row>
    <row r="60322" spans="7:7" ht="10.5" customHeight="1" x14ac:dyDescent="0.2">
      <c r="G60322" s="889"/>
    </row>
    <row r="60323" spans="7:7" ht="10.5" customHeight="1" x14ac:dyDescent="0.2">
      <c r="G60323" s="889"/>
    </row>
    <row r="60324" spans="7:7" ht="10.5" customHeight="1" x14ac:dyDescent="0.2">
      <c r="G60324" s="889"/>
    </row>
    <row r="60325" spans="7:7" ht="10.5" customHeight="1" x14ac:dyDescent="0.2">
      <c r="G60325" s="889"/>
    </row>
    <row r="60326" spans="7:7" ht="10.5" customHeight="1" x14ac:dyDescent="0.2">
      <c r="G60326" s="889"/>
    </row>
    <row r="60327" spans="7:7" ht="10.5" customHeight="1" x14ac:dyDescent="0.2">
      <c r="G60327" s="889"/>
    </row>
    <row r="60328" spans="7:7" ht="10.5" customHeight="1" x14ac:dyDescent="0.2">
      <c r="G60328" s="889"/>
    </row>
    <row r="60329" spans="7:7" ht="10.5" customHeight="1" x14ac:dyDescent="0.2">
      <c r="G60329" s="889"/>
    </row>
    <row r="60330" spans="7:7" ht="10.5" customHeight="1" x14ac:dyDescent="0.2">
      <c r="G60330" s="889"/>
    </row>
    <row r="60331" spans="7:7" ht="10.5" customHeight="1" x14ac:dyDescent="0.2">
      <c r="G60331" s="889"/>
    </row>
    <row r="60332" spans="7:7" ht="10.5" customHeight="1" x14ac:dyDescent="0.2">
      <c r="G60332" s="889"/>
    </row>
    <row r="60333" spans="7:7" ht="10.5" customHeight="1" x14ac:dyDescent="0.2">
      <c r="G60333" s="889"/>
    </row>
    <row r="60334" spans="7:7" ht="10.5" customHeight="1" x14ac:dyDescent="0.2">
      <c r="G60334" s="889"/>
    </row>
    <row r="60335" spans="7:7" ht="10.5" customHeight="1" x14ac:dyDescent="0.2">
      <c r="G60335" s="889"/>
    </row>
    <row r="60336" spans="7:7" ht="10.5" customHeight="1" x14ac:dyDescent="0.2">
      <c r="G60336" s="889"/>
    </row>
    <row r="60337" spans="7:7" ht="10.5" customHeight="1" x14ac:dyDescent="0.2">
      <c r="G60337" s="889"/>
    </row>
    <row r="60338" spans="7:7" ht="10.5" customHeight="1" x14ac:dyDescent="0.2">
      <c r="G60338" s="889"/>
    </row>
    <row r="60339" spans="7:7" ht="10.5" customHeight="1" x14ac:dyDescent="0.2">
      <c r="G60339" s="889"/>
    </row>
    <row r="60340" spans="7:7" ht="10.5" customHeight="1" x14ac:dyDescent="0.2">
      <c r="G60340" s="889"/>
    </row>
    <row r="60341" spans="7:7" ht="10.5" customHeight="1" x14ac:dyDescent="0.2">
      <c r="G60341" s="889"/>
    </row>
    <row r="60342" spans="7:7" ht="10.5" customHeight="1" x14ac:dyDescent="0.2">
      <c r="G60342" s="889"/>
    </row>
    <row r="60343" spans="7:7" ht="10.5" customHeight="1" x14ac:dyDescent="0.2">
      <c r="G60343" s="889"/>
    </row>
    <row r="60344" spans="7:7" ht="10.5" customHeight="1" x14ac:dyDescent="0.2">
      <c r="G60344" s="889"/>
    </row>
    <row r="60345" spans="7:7" ht="10.5" customHeight="1" x14ac:dyDescent="0.2">
      <c r="G60345" s="889"/>
    </row>
    <row r="60346" spans="7:7" ht="10.5" customHeight="1" x14ac:dyDescent="0.2">
      <c r="G60346" s="889"/>
    </row>
    <row r="60347" spans="7:7" ht="10.5" customHeight="1" x14ac:dyDescent="0.2">
      <c r="G60347" s="889"/>
    </row>
    <row r="60348" spans="7:7" ht="10.5" customHeight="1" x14ac:dyDescent="0.2">
      <c r="G60348" s="889"/>
    </row>
    <row r="60349" spans="7:7" ht="10.5" customHeight="1" x14ac:dyDescent="0.2">
      <c r="G60349" s="889"/>
    </row>
    <row r="60350" spans="7:7" ht="10.5" customHeight="1" x14ac:dyDescent="0.2">
      <c r="G60350" s="889"/>
    </row>
    <row r="60351" spans="7:7" ht="10.5" customHeight="1" x14ac:dyDescent="0.2">
      <c r="G60351" s="889"/>
    </row>
    <row r="60352" spans="7:7" ht="10.5" customHeight="1" x14ac:dyDescent="0.2">
      <c r="G60352" s="889"/>
    </row>
    <row r="60353" spans="7:7" ht="10.5" customHeight="1" x14ac:dyDescent="0.2">
      <c r="G60353" s="889"/>
    </row>
    <row r="60354" spans="7:7" ht="10.5" customHeight="1" x14ac:dyDescent="0.2">
      <c r="G60354" s="889"/>
    </row>
    <row r="60355" spans="7:7" ht="10.5" customHeight="1" x14ac:dyDescent="0.2">
      <c r="G60355" s="889"/>
    </row>
    <row r="60356" spans="7:7" ht="10.5" customHeight="1" x14ac:dyDescent="0.2">
      <c r="G60356" s="889"/>
    </row>
    <row r="60357" spans="7:7" ht="10.5" customHeight="1" x14ac:dyDescent="0.2">
      <c r="G60357" s="889"/>
    </row>
    <row r="60358" spans="7:7" ht="10.5" customHeight="1" x14ac:dyDescent="0.2">
      <c r="G60358" s="889"/>
    </row>
    <row r="60359" spans="7:7" ht="10.5" customHeight="1" x14ac:dyDescent="0.2">
      <c r="G60359" s="889"/>
    </row>
    <row r="60360" spans="7:7" ht="10.5" customHeight="1" x14ac:dyDescent="0.2">
      <c r="G60360" s="889"/>
    </row>
    <row r="60361" spans="7:7" ht="10.5" customHeight="1" x14ac:dyDescent="0.2">
      <c r="G60361" s="889"/>
    </row>
    <row r="60362" spans="7:7" ht="10.5" customHeight="1" x14ac:dyDescent="0.2">
      <c r="G60362" s="889"/>
    </row>
    <row r="60363" spans="7:7" ht="10.5" customHeight="1" x14ac:dyDescent="0.2">
      <c r="G60363" s="889"/>
    </row>
    <row r="60364" spans="7:7" ht="10.5" customHeight="1" x14ac:dyDescent="0.2">
      <c r="G60364" s="889"/>
    </row>
    <row r="60365" spans="7:7" ht="10.5" customHeight="1" x14ac:dyDescent="0.2">
      <c r="G60365" s="889"/>
    </row>
    <row r="60366" spans="7:7" ht="10.5" customHeight="1" x14ac:dyDescent="0.2">
      <c r="G60366" s="889"/>
    </row>
    <row r="60367" spans="7:7" ht="10.5" customHeight="1" x14ac:dyDescent="0.2">
      <c r="G60367" s="889"/>
    </row>
    <row r="60368" spans="7:7" ht="10.5" customHeight="1" x14ac:dyDescent="0.2">
      <c r="G60368" s="889"/>
    </row>
    <row r="60369" spans="7:7" ht="10.5" customHeight="1" x14ac:dyDescent="0.2">
      <c r="G60369" s="889"/>
    </row>
    <row r="60370" spans="7:7" ht="10.5" customHeight="1" x14ac:dyDescent="0.2">
      <c r="G60370" s="889"/>
    </row>
    <row r="60371" spans="7:7" ht="10.5" customHeight="1" x14ac:dyDescent="0.2">
      <c r="G60371" s="889"/>
    </row>
    <row r="60372" spans="7:7" ht="10.5" customHeight="1" x14ac:dyDescent="0.2">
      <c r="G60372" s="889"/>
    </row>
    <row r="60373" spans="7:7" ht="10.5" customHeight="1" x14ac:dyDescent="0.2">
      <c r="G60373" s="889"/>
    </row>
    <row r="60374" spans="7:7" ht="10.5" customHeight="1" x14ac:dyDescent="0.2">
      <c r="G60374" s="889"/>
    </row>
    <row r="60375" spans="7:7" ht="10.5" customHeight="1" x14ac:dyDescent="0.2">
      <c r="G60375" s="889"/>
    </row>
    <row r="60376" spans="7:7" ht="10.5" customHeight="1" x14ac:dyDescent="0.2">
      <c r="G60376" s="889"/>
    </row>
    <row r="60377" spans="7:7" ht="10.5" customHeight="1" x14ac:dyDescent="0.2">
      <c r="G60377" s="889"/>
    </row>
    <row r="60378" spans="7:7" ht="10.5" customHeight="1" x14ac:dyDescent="0.2">
      <c r="G60378" s="889"/>
    </row>
    <row r="60379" spans="7:7" ht="10.5" customHeight="1" x14ac:dyDescent="0.2">
      <c r="G60379" s="889"/>
    </row>
    <row r="60380" spans="7:7" ht="10.5" customHeight="1" x14ac:dyDescent="0.2">
      <c r="G60380" s="889"/>
    </row>
    <row r="60381" spans="7:7" ht="10.5" customHeight="1" x14ac:dyDescent="0.2">
      <c r="G60381" s="889"/>
    </row>
    <row r="60382" spans="7:7" ht="10.5" customHeight="1" x14ac:dyDescent="0.2">
      <c r="G60382" s="889"/>
    </row>
    <row r="60383" spans="7:7" ht="10.5" customHeight="1" x14ac:dyDescent="0.2">
      <c r="G60383" s="889"/>
    </row>
    <row r="60384" spans="7:7" ht="10.5" customHeight="1" x14ac:dyDescent="0.2">
      <c r="G60384" s="889"/>
    </row>
    <row r="60385" spans="7:7" ht="10.5" customHeight="1" x14ac:dyDescent="0.2">
      <c r="G60385" s="889"/>
    </row>
    <row r="60386" spans="7:7" ht="10.5" customHeight="1" x14ac:dyDescent="0.2">
      <c r="G60386" s="889"/>
    </row>
    <row r="60387" spans="7:7" ht="10.5" customHeight="1" x14ac:dyDescent="0.2">
      <c r="G60387" s="889"/>
    </row>
    <row r="60388" spans="7:7" ht="10.5" customHeight="1" x14ac:dyDescent="0.2">
      <c r="G60388" s="889"/>
    </row>
    <row r="60389" spans="7:7" ht="10.5" customHeight="1" x14ac:dyDescent="0.2">
      <c r="G60389" s="889"/>
    </row>
    <row r="60390" spans="7:7" ht="10.5" customHeight="1" x14ac:dyDescent="0.2">
      <c r="G60390" s="889"/>
    </row>
    <row r="60391" spans="7:7" ht="10.5" customHeight="1" x14ac:dyDescent="0.2">
      <c r="G60391" s="889"/>
    </row>
    <row r="60392" spans="7:7" ht="10.5" customHeight="1" x14ac:dyDescent="0.2">
      <c r="G60392" s="889"/>
    </row>
    <row r="60393" spans="7:7" ht="10.5" customHeight="1" x14ac:dyDescent="0.2">
      <c r="G60393" s="889"/>
    </row>
    <row r="60394" spans="7:7" ht="10.5" customHeight="1" x14ac:dyDescent="0.2">
      <c r="G60394" s="889"/>
    </row>
    <row r="60395" spans="7:7" ht="10.5" customHeight="1" x14ac:dyDescent="0.2">
      <c r="G60395" s="889"/>
    </row>
    <row r="60396" spans="7:7" ht="10.5" customHeight="1" x14ac:dyDescent="0.2">
      <c r="G60396" s="889"/>
    </row>
    <row r="60397" spans="7:7" ht="10.5" customHeight="1" x14ac:dyDescent="0.2">
      <c r="G60397" s="889"/>
    </row>
    <row r="60398" spans="7:7" ht="10.5" customHeight="1" x14ac:dyDescent="0.2">
      <c r="G60398" s="889"/>
    </row>
    <row r="60399" spans="7:7" ht="10.5" customHeight="1" x14ac:dyDescent="0.2">
      <c r="G60399" s="889"/>
    </row>
    <row r="60400" spans="7:7" ht="10.5" customHeight="1" x14ac:dyDescent="0.2">
      <c r="G60400" s="889"/>
    </row>
    <row r="60401" spans="7:7" ht="10.5" customHeight="1" x14ac:dyDescent="0.2">
      <c r="G60401" s="889"/>
    </row>
    <row r="60402" spans="7:7" ht="10.5" customHeight="1" x14ac:dyDescent="0.2">
      <c r="G60402" s="889"/>
    </row>
    <row r="60403" spans="7:7" ht="10.5" customHeight="1" x14ac:dyDescent="0.2">
      <c r="G60403" s="889"/>
    </row>
    <row r="60404" spans="7:7" ht="10.5" customHeight="1" x14ac:dyDescent="0.2">
      <c r="G60404" s="889"/>
    </row>
    <row r="60405" spans="7:7" ht="10.5" customHeight="1" x14ac:dyDescent="0.2">
      <c r="G60405" s="889"/>
    </row>
    <row r="60406" spans="7:7" ht="10.5" customHeight="1" x14ac:dyDescent="0.2">
      <c r="G60406" s="889"/>
    </row>
    <row r="60407" spans="7:7" ht="10.5" customHeight="1" x14ac:dyDescent="0.2">
      <c r="G60407" s="889"/>
    </row>
    <row r="60408" spans="7:7" ht="10.5" customHeight="1" x14ac:dyDescent="0.2">
      <c r="G60408" s="889"/>
    </row>
    <row r="60409" spans="7:7" ht="10.5" customHeight="1" x14ac:dyDescent="0.2">
      <c r="G60409" s="889"/>
    </row>
    <row r="60410" spans="7:7" ht="10.5" customHeight="1" x14ac:dyDescent="0.2">
      <c r="G60410" s="889"/>
    </row>
    <row r="60411" spans="7:7" ht="10.5" customHeight="1" x14ac:dyDescent="0.2">
      <c r="G60411" s="889"/>
    </row>
    <row r="60412" spans="7:7" ht="10.5" customHeight="1" x14ac:dyDescent="0.2">
      <c r="G60412" s="889"/>
    </row>
    <row r="60413" spans="7:7" ht="10.5" customHeight="1" x14ac:dyDescent="0.2">
      <c r="G60413" s="889"/>
    </row>
    <row r="60414" spans="7:7" ht="10.5" customHeight="1" x14ac:dyDescent="0.2">
      <c r="G60414" s="889"/>
    </row>
    <row r="60415" spans="7:7" ht="10.5" customHeight="1" x14ac:dyDescent="0.2">
      <c r="G60415" s="889"/>
    </row>
    <row r="60416" spans="7:7" ht="10.5" customHeight="1" x14ac:dyDescent="0.2">
      <c r="G60416" s="889"/>
    </row>
    <row r="60417" spans="7:7" ht="10.5" customHeight="1" x14ac:dyDescent="0.2">
      <c r="G60417" s="889"/>
    </row>
    <row r="60418" spans="7:7" ht="10.5" customHeight="1" x14ac:dyDescent="0.2">
      <c r="G60418" s="889"/>
    </row>
    <row r="60419" spans="7:7" ht="10.5" customHeight="1" x14ac:dyDescent="0.2">
      <c r="G60419" s="889"/>
    </row>
    <row r="60420" spans="7:7" ht="10.5" customHeight="1" x14ac:dyDescent="0.2">
      <c r="G60420" s="889"/>
    </row>
    <row r="60421" spans="7:7" ht="10.5" customHeight="1" x14ac:dyDescent="0.2">
      <c r="G60421" s="889"/>
    </row>
    <row r="60422" spans="7:7" ht="10.5" customHeight="1" x14ac:dyDescent="0.2">
      <c r="G60422" s="889"/>
    </row>
    <row r="60423" spans="7:7" ht="10.5" customHeight="1" x14ac:dyDescent="0.2">
      <c r="G60423" s="889"/>
    </row>
    <row r="60424" spans="7:7" ht="10.5" customHeight="1" x14ac:dyDescent="0.2">
      <c r="G60424" s="889"/>
    </row>
    <row r="60425" spans="7:7" ht="10.5" customHeight="1" x14ac:dyDescent="0.2">
      <c r="G60425" s="889"/>
    </row>
    <row r="60426" spans="7:7" ht="10.5" customHeight="1" x14ac:dyDescent="0.2">
      <c r="G60426" s="889"/>
    </row>
    <row r="60427" spans="7:7" ht="10.5" customHeight="1" x14ac:dyDescent="0.2">
      <c r="G60427" s="889"/>
    </row>
    <row r="60428" spans="7:7" ht="10.5" customHeight="1" x14ac:dyDescent="0.2">
      <c r="G60428" s="889"/>
    </row>
    <row r="60429" spans="7:7" ht="10.5" customHeight="1" x14ac:dyDescent="0.2">
      <c r="G60429" s="889"/>
    </row>
    <row r="60430" spans="7:7" ht="10.5" customHeight="1" x14ac:dyDescent="0.2">
      <c r="G60430" s="889"/>
    </row>
    <row r="60431" spans="7:7" ht="10.5" customHeight="1" x14ac:dyDescent="0.2">
      <c r="G60431" s="889"/>
    </row>
    <row r="60432" spans="7:7" ht="10.5" customHeight="1" x14ac:dyDescent="0.2">
      <c r="G60432" s="889"/>
    </row>
    <row r="60433" spans="7:7" ht="10.5" customHeight="1" x14ac:dyDescent="0.2">
      <c r="G60433" s="889"/>
    </row>
    <row r="60434" spans="7:7" ht="10.5" customHeight="1" x14ac:dyDescent="0.2">
      <c r="G60434" s="889"/>
    </row>
    <row r="60435" spans="7:7" ht="10.5" customHeight="1" x14ac:dyDescent="0.2">
      <c r="G60435" s="889"/>
    </row>
    <row r="60436" spans="7:7" ht="10.5" customHeight="1" x14ac:dyDescent="0.2">
      <c r="G60436" s="889"/>
    </row>
    <row r="60437" spans="7:7" ht="10.5" customHeight="1" x14ac:dyDescent="0.2">
      <c r="G60437" s="889"/>
    </row>
    <row r="60438" spans="7:7" ht="10.5" customHeight="1" x14ac:dyDescent="0.2">
      <c r="G60438" s="889"/>
    </row>
    <row r="60439" spans="7:7" ht="10.5" customHeight="1" x14ac:dyDescent="0.2">
      <c r="G60439" s="889"/>
    </row>
    <row r="60440" spans="7:7" ht="10.5" customHeight="1" x14ac:dyDescent="0.2">
      <c r="G60440" s="889"/>
    </row>
    <row r="60441" spans="7:7" ht="10.5" customHeight="1" x14ac:dyDescent="0.2">
      <c r="G60441" s="889"/>
    </row>
    <row r="60442" spans="7:7" ht="10.5" customHeight="1" x14ac:dyDescent="0.2">
      <c r="G60442" s="889"/>
    </row>
    <row r="60443" spans="7:7" ht="10.5" customHeight="1" x14ac:dyDescent="0.2">
      <c r="G60443" s="889"/>
    </row>
    <row r="60444" spans="7:7" ht="10.5" customHeight="1" x14ac:dyDescent="0.2">
      <c r="G60444" s="889"/>
    </row>
    <row r="60445" spans="7:7" ht="10.5" customHeight="1" x14ac:dyDescent="0.2">
      <c r="G60445" s="889"/>
    </row>
    <row r="60446" spans="7:7" ht="10.5" customHeight="1" x14ac:dyDescent="0.2">
      <c r="G60446" s="889"/>
    </row>
    <row r="60447" spans="7:7" ht="10.5" customHeight="1" x14ac:dyDescent="0.2">
      <c r="G60447" s="889"/>
    </row>
    <row r="60448" spans="7:7" ht="10.5" customHeight="1" x14ac:dyDescent="0.2">
      <c r="G60448" s="889"/>
    </row>
    <row r="60449" spans="7:7" ht="10.5" customHeight="1" x14ac:dyDescent="0.2">
      <c r="G60449" s="889"/>
    </row>
    <row r="60450" spans="7:7" ht="10.5" customHeight="1" x14ac:dyDescent="0.2">
      <c r="G60450" s="889"/>
    </row>
    <row r="60451" spans="7:7" ht="10.5" customHeight="1" x14ac:dyDescent="0.2">
      <c r="G60451" s="889"/>
    </row>
    <row r="60452" spans="7:7" ht="10.5" customHeight="1" x14ac:dyDescent="0.2">
      <c r="G60452" s="889"/>
    </row>
    <row r="60453" spans="7:7" ht="10.5" customHeight="1" x14ac:dyDescent="0.2">
      <c r="G60453" s="889"/>
    </row>
    <row r="60454" spans="7:7" ht="10.5" customHeight="1" x14ac:dyDescent="0.2">
      <c r="G60454" s="889"/>
    </row>
    <row r="60455" spans="7:7" ht="10.5" customHeight="1" x14ac:dyDescent="0.2">
      <c r="G60455" s="889"/>
    </row>
    <row r="60456" spans="7:7" ht="10.5" customHeight="1" x14ac:dyDescent="0.2">
      <c r="G60456" s="889"/>
    </row>
    <row r="60457" spans="7:7" ht="10.5" customHeight="1" x14ac:dyDescent="0.2">
      <c r="G60457" s="889"/>
    </row>
    <row r="60458" spans="7:7" ht="10.5" customHeight="1" x14ac:dyDescent="0.2">
      <c r="G60458" s="889"/>
    </row>
    <row r="60459" spans="7:7" ht="10.5" customHeight="1" x14ac:dyDescent="0.2">
      <c r="G60459" s="889"/>
    </row>
    <row r="60460" spans="7:7" ht="10.5" customHeight="1" x14ac:dyDescent="0.2">
      <c r="G60460" s="889"/>
    </row>
    <row r="60461" spans="7:7" ht="10.5" customHeight="1" x14ac:dyDescent="0.2">
      <c r="G60461" s="889"/>
    </row>
    <row r="60462" spans="7:7" ht="10.5" customHeight="1" x14ac:dyDescent="0.2">
      <c r="G60462" s="889"/>
    </row>
    <row r="60463" spans="7:7" ht="10.5" customHeight="1" x14ac:dyDescent="0.2">
      <c r="G60463" s="889"/>
    </row>
    <row r="60464" spans="7:7" ht="10.5" customHeight="1" x14ac:dyDescent="0.2">
      <c r="G60464" s="889"/>
    </row>
    <row r="60465" spans="7:7" ht="10.5" customHeight="1" x14ac:dyDescent="0.2">
      <c r="G60465" s="889"/>
    </row>
    <row r="60466" spans="7:7" ht="10.5" customHeight="1" x14ac:dyDescent="0.2">
      <c r="G60466" s="889"/>
    </row>
    <row r="60467" spans="7:7" ht="10.5" customHeight="1" x14ac:dyDescent="0.2">
      <c r="G60467" s="889"/>
    </row>
    <row r="60468" spans="7:7" ht="10.5" customHeight="1" x14ac:dyDescent="0.2">
      <c r="G60468" s="889"/>
    </row>
    <row r="60469" spans="7:7" ht="10.5" customHeight="1" x14ac:dyDescent="0.2">
      <c r="G60469" s="889"/>
    </row>
    <row r="60470" spans="7:7" ht="10.5" customHeight="1" x14ac:dyDescent="0.2">
      <c r="G60470" s="889"/>
    </row>
    <row r="60471" spans="7:7" ht="10.5" customHeight="1" x14ac:dyDescent="0.2">
      <c r="G60471" s="889"/>
    </row>
    <row r="60472" spans="7:7" ht="10.5" customHeight="1" x14ac:dyDescent="0.2">
      <c r="G60472" s="889"/>
    </row>
    <row r="60473" spans="7:7" ht="10.5" customHeight="1" x14ac:dyDescent="0.2">
      <c r="G60473" s="889"/>
    </row>
    <row r="60474" spans="7:7" ht="10.5" customHeight="1" x14ac:dyDescent="0.2">
      <c r="G60474" s="889"/>
    </row>
    <row r="60475" spans="7:7" ht="10.5" customHeight="1" x14ac:dyDescent="0.2">
      <c r="G60475" s="889"/>
    </row>
    <row r="60476" spans="7:7" ht="10.5" customHeight="1" x14ac:dyDescent="0.2">
      <c r="G60476" s="889"/>
    </row>
    <row r="60477" spans="7:7" ht="10.5" customHeight="1" x14ac:dyDescent="0.2">
      <c r="G60477" s="889"/>
    </row>
    <row r="60478" spans="7:7" ht="10.5" customHeight="1" x14ac:dyDescent="0.2">
      <c r="G60478" s="889"/>
    </row>
    <row r="60479" spans="7:7" ht="10.5" customHeight="1" x14ac:dyDescent="0.2">
      <c r="G60479" s="889"/>
    </row>
    <row r="60480" spans="7:7" ht="10.5" customHeight="1" x14ac:dyDescent="0.2">
      <c r="G60480" s="889"/>
    </row>
    <row r="60481" spans="7:7" ht="10.5" customHeight="1" x14ac:dyDescent="0.2">
      <c r="G60481" s="889"/>
    </row>
    <row r="60482" spans="7:7" ht="10.5" customHeight="1" x14ac:dyDescent="0.2">
      <c r="G60482" s="889"/>
    </row>
    <row r="60483" spans="7:7" ht="10.5" customHeight="1" x14ac:dyDescent="0.2">
      <c r="G60483" s="889"/>
    </row>
    <row r="60484" spans="7:7" ht="10.5" customHeight="1" x14ac:dyDescent="0.2">
      <c r="G60484" s="889"/>
    </row>
    <row r="60485" spans="7:7" ht="10.5" customHeight="1" x14ac:dyDescent="0.2">
      <c r="G60485" s="889"/>
    </row>
    <row r="60486" spans="7:7" ht="10.5" customHeight="1" x14ac:dyDescent="0.2">
      <c r="G60486" s="889"/>
    </row>
    <row r="60487" spans="7:7" ht="10.5" customHeight="1" x14ac:dyDescent="0.2">
      <c r="G60487" s="889"/>
    </row>
    <row r="60488" spans="7:7" ht="10.5" customHeight="1" x14ac:dyDescent="0.2">
      <c r="G60488" s="889"/>
    </row>
    <row r="60489" spans="7:7" ht="10.5" customHeight="1" x14ac:dyDescent="0.2">
      <c r="G60489" s="889"/>
    </row>
    <row r="60490" spans="7:7" ht="10.5" customHeight="1" x14ac:dyDescent="0.2">
      <c r="G60490" s="889"/>
    </row>
    <row r="60491" spans="7:7" ht="10.5" customHeight="1" x14ac:dyDescent="0.2">
      <c r="G60491" s="889"/>
    </row>
    <row r="60492" spans="7:7" ht="10.5" customHeight="1" x14ac:dyDescent="0.2">
      <c r="G60492" s="889"/>
    </row>
    <row r="60493" spans="7:7" ht="10.5" customHeight="1" x14ac:dyDescent="0.2">
      <c r="G60493" s="889"/>
    </row>
    <row r="60494" spans="7:7" ht="10.5" customHeight="1" x14ac:dyDescent="0.2">
      <c r="G60494" s="889"/>
    </row>
    <row r="60495" spans="7:7" ht="10.5" customHeight="1" x14ac:dyDescent="0.2">
      <c r="G60495" s="889"/>
    </row>
    <row r="60496" spans="7:7" ht="10.5" customHeight="1" x14ac:dyDescent="0.2">
      <c r="G60496" s="889"/>
    </row>
    <row r="60497" spans="7:7" ht="10.5" customHeight="1" x14ac:dyDescent="0.2">
      <c r="G60497" s="889"/>
    </row>
    <row r="60498" spans="7:7" ht="10.5" customHeight="1" x14ac:dyDescent="0.2">
      <c r="G60498" s="889"/>
    </row>
    <row r="60499" spans="7:7" ht="10.5" customHeight="1" x14ac:dyDescent="0.2">
      <c r="G60499" s="889"/>
    </row>
    <row r="60500" spans="7:7" ht="10.5" customHeight="1" x14ac:dyDescent="0.2">
      <c r="G60500" s="889"/>
    </row>
    <row r="60501" spans="7:7" ht="10.5" customHeight="1" x14ac:dyDescent="0.2">
      <c r="G60501" s="889"/>
    </row>
    <row r="60502" spans="7:7" ht="10.5" customHeight="1" x14ac:dyDescent="0.2">
      <c r="G60502" s="889"/>
    </row>
    <row r="60503" spans="7:7" ht="10.5" customHeight="1" x14ac:dyDescent="0.2">
      <c r="G60503" s="889"/>
    </row>
    <row r="60504" spans="7:7" ht="10.5" customHeight="1" x14ac:dyDescent="0.2">
      <c r="G60504" s="889"/>
    </row>
    <row r="60505" spans="7:7" ht="10.5" customHeight="1" x14ac:dyDescent="0.2">
      <c r="G60505" s="889"/>
    </row>
    <row r="60506" spans="7:7" ht="10.5" customHeight="1" x14ac:dyDescent="0.2">
      <c r="G60506" s="889"/>
    </row>
    <row r="60507" spans="7:7" ht="10.5" customHeight="1" x14ac:dyDescent="0.2">
      <c r="G60507" s="889"/>
    </row>
    <row r="60508" spans="7:7" ht="10.5" customHeight="1" x14ac:dyDescent="0.2">
      <c r="G60508" s="889"/>
    </row>
    <row r="60509" spans="7:7" ht="10.5" customHeight="1" x14ac:dyDescent="0.2">
      <c r="G60509" s="889"/>
    </row>
    <row r="60510" spans="7:7" ht="10.5" customHeight="1" x14ac:dyDescent="0.2">
      <c r="G60510" s="889"/>
    </row>
    <row r="60511" spans="7:7" ht="10.5" customHeight="1" x14ac:dyDescent="0.2">
      <c r="G60511" s="889"/>
    </row>
    <row r="60512" spans="7:7" ht="10.5" customHeight="1" x14ac:dyDescent="0.2">
      <c r="G60512" s="889"/>
    </row>
    <row r="60513" spans="7:7" ht="10.5" customHeight="1" x14ac:dyDescent="0.2">
      <c r="G60513" s="889"/>
    </row>
    <row r="60514" spans="7:7" ht="10.5" customHeight="1" x14ac:dyDescent="0.2">
      <c r="G60514" s="889"/>
    </row>
    <row r="60515" spans="7:7" ht="10.5" customHeight="1" x14ac:dyDescent="0.2">
      <c r="G60515" s="889"/>
    </row>
    <row r="60516" spans="7:7" ht="10.5" customHeight="1" x14ac:dyDescent="0.2">
      <c r="G60516" s="889"/>
    </row>
    <row r="60517" spans="7:7" ht="10.5" customHeight="1" x14ac:dyDescent="0.2">
      <c r="G60517" s="889"/>
    </row>
    <row r="60518" spans="7:7" ht="10.5" customHeight="1" x14ac:dyDescent="0.2">
      <c r="G60518" s="889"/>
    </row>
    <row r="60519" spans="7:7" ht="10.5" customHeight="1" x14ac:dyDescent="0.2">
      <c r="G60519" s="889"/>
    </row>
    <row r="60520" spans="7:7" ht="10.5" customHeight="1" x14ac:dyDescent="0.2">
      <c r="G60520" s="889"/>
    </row>
    <row r="60521" spans="7:7" ht="10.5" customHeight="1" x14ac:dyDescent="0.2">
      <c r="G60521" s="889"/>
    </row>
    <row r="60522" spans="7:7" ht="10.5" customHeight="1" x14ac:dyDescent="0.2">
      <c r="G60522" s="889"/>
    </row>
    <row r="60523" spans="7:7" ht="10.5" customHeight="1" x14ac:dyDescent="0.2">
      <c r="G60523" s="889"/>
    </row>
    <row r="60524" spans="7:7" ht="10.5" customHeight="1" x14ac:dyDescent="0.2">
      <c r="G60524" s="889"/>
    </row>
    <row r="60525" spans="7:7" ht="10.5" customHeight="1" x14ac:dyDescent="0.2">
      <c r="G60525" s="889"/>
    </row>
    <row r="60526" spans="7:7" ht="10.5" customHeight="1" x14ac:dyDescent="0.2">
      <c r="G60526" s="889"/>
    </row>
    <row r="60527" spans="7:7" ht="10.5" customHeight="1" x14ac:dyDescent="0.2">
      <c r="G60527" s="889"/>
    </row>
    <row r="60528" spans="7:7" ht="10.5" customHeight="1" x14ac:dyDescent="0.2">
      <c r="G60528" s="889"/>
    </row>
    <row r="60529" spans="7:7" ht="10.5" customHeight="1" x14ac:dyDescent="0.2">
      <c r="G60529" s="889"/>
    </row>
    <row r="60530" spans="7:7" ht="10.5" customHeight="1" x14ac:dyDescent="0.2">
      <c r="G60530" s="889"/>
    </row>
    <row r="60531" spans="7:7" ht="10.5" customHeight="1" x14ac:dyDescent="0.2">
      <c r="G60531" s="889"/>
    </row>
    <row r="60532" spans="7:7" ht="10.5" customHeight="1" x14ac:dyDescent="0.2">
      <c r="G60532" s="889"/>
    </row>
    <row r="60533" spans="7:7" ht="10.5" customHeight="1" x14ac:dyDescent="0.2">
      <c r="G60533" s="889"/>
    </row>
    <row r="60534" spans="7:7" ht="10.5" customHeight="1" x14ac:dyDescent="0.2">
      <c r="G60534" s="889"/>
    </row>
    <row r="60535" spans="7:7" ht="10.5" customHeight="1" x14ac:dyDescent="0.2">
      <c r="G60535" s="889"/>
    </row>
    <row r="60536" spans="7:7" ht="10.5" customHeight="1" x14ac:dyDescent="0.2">
      <c r="G60536" s="889"/>
    </row>
    <row r="60537" spans="7:7" ht="10.5" customHeight="1" x14ac:dyDescent="0.2">
      <c r="G60537" s="889"/>
    </row>
    <row r="60538" spans="7:7" ht="10.5" customHeight="1" x14ac:dyDescent="0.2">
      <c r="G60538" s="889"/>
    </row>
    <row r="60539" spans="7:7" ht="10.5" customHeight="1" x14ac:dyDescent="0.2">
      <c r="G60539" s="889"/>
    </row>
    <row r="60540" spans="7:7" ht="10.5" customHeight="1" x14ac:dyDescent="0.2">
      <c r="G60540" s="889"/>
    </row>
    <row r="60541" spans="7:7" ht="10.5" customHeight="1" x14ac:dyDescent="0.2">
      <c r="G60541" s="889"/>
    </row>
    <row r="60542" spans="7:7" ht="10.5" customHeight="1" x14ac:dyDescent="0.2">
      <c r="G60542" s="889"/>
    </row>
    <row r="60543" spans="7:7" ht="10.5" customHeight="1" x14ac:dyDescent="0.2">
      <c r="G60543" s="889"/>
    </row>
    <row r="60544" spans="7:7" ht="10.5" customHeight="1" x14ac:dyDescent="0.2">
      <c r="G60544" s="889"/>
    </row>
    <row r="60545" spans="7:7" ht="10.5" customHeight="1" x14ac:dyDescent="0.2">
      <c r="G60545" s="889"/>
    </row>
    <row r="60546" spans="7:7" ht="10.5" customHeight="1" x14ac:dyDescent="0.2">
      <c r="G60546" s="889"/>
    </row>
    <row r="60547" spans="7:7" ht="10.5" customHeight="1" x14ac:dyDescent="0.2">
      <c r="G60547" s="889"/>
    </row>
    <row r="60548" spans="7:7" ht="10.5" customHeight="1" x14ac:dyDescent="0.2">
      <c r="G60548" s="889"/>
    </row>
    <row r="60549" spans="7:7" ht="10.5" customHeight="1" x14ac:dyDescent="0.2">
      <c r="G60549" s="889"/>
    </row>
    <row r="60550" spans="7:7" ht="10.5" customHeight="1" x14ac:dyDescent="0.2">
      <c r="G60550" s="889"/>
    </row>
    <row r="60551" spans="7:7" ht="10.5" customHeight="1" x14ac:dyDescent="0.2">
      <c r="G60551" s="889"/>
    </row>
    <row r="60552" spans="7:7" ht="10.5" customHeight="1" x14ac:dyDescent="0.2">
      <c r="G60552" s="889"/>
    </row>
    <row r="60553" spans="7:7" ht="10.5" customHeight="1" x14ac:dyDescent="0.2">
      <c r="G60553" s="889"/>
    </row>
    <row r="60554" spans="7:7" ht="10.5" customHeight="1" x14ac:dyDescent="0.2">
      <c r="G60554" s="889"/>
    </row>
    <row r="60555" spans="7:7" ht="10.5" customHeight="1" x14ac:dyDescent="0.2">
      <c r="G60555" s="889"/>
    </row>
    <row r="60556" spans="7:7" ht="10.5" customHeight="1" x14ac:dyDescent="0.2">
      <c r="G60556" s="889"/>
    </row>
    <row r="60557" spans="7:7" ht="10.5" customHeight="1" x14ac:dyDescent="0.2">
      <c r="G60557" s="889"/>
    </row>
    <row r="60558" spans="7:7" ht="10.5" customHeight="1" x14ac:dyDescent="0.2">
      <c r="G60558" s="889"/>
    </row>
    <row r="60559" spans="7:7" ht="10.5" customHeight="1" x14ac:dyDescent="0.2">
      <c r="G60559" s="889"/>
    </row>
    <row r="60560" spans="7:7" ht="10.5" customHeight="1" x14ac:dyDescent="0.2">
      <c r="G60560" s="889"/>
    </row>
    <row r="60561" spans="7:7" ht="10.5" customHeight="1" x14ac:dyDescent="0.2">
      <c r="G60561" s="889"/>
    </row>
    <row r="60562" spans="7:7" ht="10.5" customHeight="1" x14ac:dyDescent="0.2">
      <c r="G60562" s="889"/>
    </row>
    <row r="60563" spans="7:7" ht="10.5" customHeight="1" x14ac:dyDescent="0.2">
      <c r="G60563" s="889"/>
    </row>
    <row r="60564" spans="7:7" ht="10.5" customHeight="1" x14ac:dyDescent="0.2">
      <c r="G60564" s="889"/>
    </row>
    <row r="60565" spans="7:7" ht="10.5" customHeight="1" x14ac:dyDescent="0.2">
      <c r="G60565" s="889"/>
    </row>
    <row r="60566" spans="7:7" ht="10.5" customHeight="1" x14ac:dyDescent="0.2">
      <c r="G60566" s="889"/>
    </row>
    <row r="60567" spans="7:7" ht="10.5" customHeight="1" x14ac:dyDescent="0.2">
      <c r="G60567" s="889"/>
    </row>
    <row r="60568" spans="7:7" ht="10.5" customHeight="1" x14ac:dyDescent="0.2">
      <c r="G60568" s="889"/>
    </row>
    <row r="60569" spans="7:7" ht="10.5" customHeight="1" x14ac:dyDescent="0.2">
      <c r="G60569" s="889"/>
    </row>
    <row r="60570" spans="7:7" ht="10.5" customHeight="1" x14ac:dyDescent="0.2">
      <c r="G60570" s="889"/>
    </row>
    <row r="60571" spans="7:7" ht="10.5" customHeight="1" x14ac:dyDescent="0.2">
      <c r="G60571" s="889"/>
    </row>
    <row r="60572" spans="7:7" ht="10.5" customHeight="1" x14ac:dyDescent="0.2">
      <c r="G60572" s="889"/>
    </row>
    <row r="60573" spans="7:7" ht="10.5" customHeight="1" x14ac:dyDescent="0.2">
      <c r="G60573" s="889"/>
    </row>
    <row r="60574" spans="7:7" ht="10.5" customHeight="1" x14ac:dyDescent="0.2">
      <c r="G60574" s="889"/>
    </row>
    <row r="60575" spans="7:7" ht="10.5" customHeight="1" x14ac:dyDescent="0.2">
      <c r="G60575" s="889"/>
    </row>
    <row r="60576" spans="7:7" ht="10.5" customHeight="1" x14ac:dyDescent="0.2">
      <c r="G60576" s="889"/>
    </row>
    <row r="60577" spans="7:7" ht="10.5" customHeight="1" x14ac:dyDescent="0.2">
      <c r="G60577" s="889"/>
    </row>
    <row r="60578" spans="7:7" ht="10.5" customHeight="1" x14ac:dyDescent="0.2">
      <c r="G60578" s="889"/>
    </row>
    <row r="60579" spans="7:7" ht="10.5" customHeight="1" x14ac:dyDescent="0.2">
      <c r="G60579" s="889"/>
    </row>
    <row r="60580" spans="7:7" ht="10.5" customHeight="1" x14ac:dyDescent="0.2">
      <c r="G60580" s="889"/>
    </row>
    <row r="60581" spans="7:7" ht="10.5" customHeight="1" x14ac:dyDescent="0.2">
      <c r="G60581" s="889"/>
    </row>
    <row r="60582" spans="7:7" ht="10.5" customHeight="1" x14ac:dyDescent="0.2">
      <c r="G60582" s="889"/>
    </row>
    <row r="60583" spans="7:7" ht="10.5" customHeight="1" x14ac:dyDescent="0.2">
      <c r="G60583" s="889"/>
    </row>
    <row r="60584" spans="7:7" ht="10.5" customHeight="1" x14ac:dyDescent="0.2">
      <c r="G60584" s="889"/>
    </row>
    <row r="60585" spans="7:7" ht="10.5" customHeight="1" x14ac:dyDescent="0.2">
      <c r="G60585" s="889"/>
    </row>
    <row r="60586" spans="7:7" ht="10.5" customHeight="1" x14ac:dyDescent="0.2">
      <c r="G60586" s="889"/>
    </row>
    <row r="60587" spans="7:7" ht="10.5" customHeight="1" x14ac:dyDescent="0.2">
      <c r="G60587" s="889"/>
    </row>
    <row r="60588" spans="7:7" ht="10.5" customHeight="1" x14ac:dyDescent="0.2">
      <c r="G60588" s="889"/>
    </row>
    <row r="60589" spans="7:7" ht="10.5" customHeight="1" x14ac:dyDescent="0.2">
      <c r="G60589" s="889"/>
    </row>
    <row r="60590" spans="7:7" ht="10.5" customHeight="1" x14ac:dyDescent="0.2">
      <c r="G60590" s="889"/>
    </row>
    <row r="60591" spans="7:7" ht="10.5" customHeight="1" x14ac:dyDescent="0.2">
      <c r="G60591" s="889"/>
    </row>
    <row r="60592" spans="7:7" ht="10.5" customHeight="1" x14ac:dyDescent="0.2">
      <c r="G60592" s="889"/>
    </row>
    <row r="60593" spans="7:7" ht="10.5" customHeight="1" x14ac:dyDescent="0.2">
      <c r="G60593" s="889"/>
    </row>
    <row r="60594" spans="7:7" ht="10.5" customHeight="1" x14ac:dyDescent="0.2">
      <c r="G60594" s="889"/>
    </row>
    <row r="60595" spans="7:7" ht="10.5" customHeight="1" x14ac:dyDescent="0.2">
      <c r="G60595" s="889"/>
    </row>
    <row r="60596" spans="7:7" ht="10.5" customHeight="1" x14ac:dyDescent="0.2">
      <c r="G60596" s="889"/>
    </row>
    <row r="60597" spans="7:7" ht="10.5" customHeight="1" x14ac:dyDescent="0.2">
      <c r="G60597" s="889"/>
    </row>
    <row r="60598" spans="7:7" ht="10.5" customHeight="1" x14ac:dyDescent="0.2">
      <c r="G60598" s="889"/>
    </row>
    <row r="60599" spans="7:7" ht="10.5" customHeight="1" x14ac:dyDescent="0.2">
      <c r="G60599" s="889"/>
    </row>
    <row r="60600" spans="7:7" ht="10.5" customHeight="1" x14ac:dyDescent="0.2">
      <c r="G60600" s="889"/>
    </row>
    <row r="60601" spans="7:7" ht="10.5" customHeight="1" x14ac:dyDescent="0.2">
      <c r="G60601" s="889"/>
    </row>
    <row r="60602" spans="7:7" ht="10.5" customHeight="1" x14ac:dyDescent="0.2">
      <c r="G60602" s="889"/>
    </row>
    <row r="60603" spans="7:7" ht="10.5" customHeight="1" x14ac:dyDescent="0.2">
      <c r="G60603" s="889"/>
    </row>
    <row r="60604" spans="7:7" ht="10.5" customHeight="1" x14ac:dyDescent="0.2">
      <c r="G60604" s="889"/>
    </row>
    <row r="60605" spans="7:7" ht="10.5" customHeight="1" x14ac:dyDescent="0.2">
      <c r="G60605" s="889"/>
    </row>
    <row r="60606" spans="7:7" ht="10.5" customHeight="1" x14ac:dyDescent="0.2">
      <c r="G60606" s="889"/>
    </row>
    <row r="60607" spans="7:7" ht="10.5" customHeight="1" x14ac:dyDescent="0.2">
      <c r="G60607" s="889"/>
    </row>
    <row r="60608" spans="7:7" ht="10.5" customHeight="1" x14ac:dyDescent="0.2">
      <c r="G60608" s="889"/>
    </row>
    <row r="60609" spans="7:7" ht="10.5" customHeight="1" x14ac:dyDescent="0.2">
      <c r="G60609" s="889"/>
    </row>
    <row r="60610" spans="7:7" ht="10.5" customHeight="1" x14ac:dyDescent="0.2">
      <c r="G60610" s="889"/>
    </row>
    <row r="60611" spans="7:7" ht="10.5" customHeight="1" x14ac:dyDescent="0.2">
      <c r="G60611" s="889"/>
    </row>
    <row r="60612" spans="7:7" ht="10.5" customHeight="1" x14ac:dyDescent="0.2">
      <c r="G60612" s="889"/>
    </row>
    <row r="60613" spans="7:7" ht="10.5" customHeight="1" x14ac:dyDescent="0.2">
      <c r="G60613" s="889"/>
    </row>
    <row r="60614" spans="7:7" ht="10.5" customHeight="1" x14ac:dyDescent="0.2">
      <c r="G60614" s="889"/>
    </row>
    <row r="60615" spans="7:7" ht="10.5" customHeight="1" x14ac:dyDescent="0.2">
      <c r="G60615" s="889"/>
    </row>
    <row r="60616" spans="7:7" ht="10.5" customHeight="1" x14ac:dyDescent="0.2">
      <c r="G60616" s="889"/>
    </row>
    <row r="60617" spans="7:7" ht="10.5" customHeight="1" x14ac:dyDescent="0.2">
      <c r="G60617" s="889"/>
    </row>
    <row r="60618" spans="7:7" ht="10.5" customHeight="1" x14ac:dyDescent="0.2">
      <c r="G60618" s="889"/>
    </row>
    <row r="60619" spans="7:7" ht="10.5" customHeight="1" x14ac:dyDescent="0.2">
      <c r="G60619" s="889"/>
    </row>
    <row r="60620" spans="7:7" ht="10.5" customHeight="1" x14ac:dyDescent="0.2">
      <c r="G60620" s="889"/>
    </row>
    <row r="60621" spans="7:7" ht="10.5" customHeight="1" x14ac:dyDescent="0.2">
      <c r="G60621" s="889"/>
    </row>
    <row r="60622" spans="7:7" ht="10.5" customHeight="1" x14ac:dyDescent="0.2">
      <c r="G60622" s="889"/>
    </row>
    <row r="60623" spans="7:7" ht="10.5" customHeight="1" x14ac:dyDescent="0.2">
      <c r="G60623" s="889"/>
    </row>
    <row r="60624" spans="7:7" ht="10.5" customHeight="1" x14ac:dyDescent="0.2">
      <c r="G60624" s="889"/>
    </row>
    <row r="60625" spans="7:7" ht="10.5" customHeight="1" x14ac:dyDescent="0.2">
      <c r="G60625" s="889"/>
    </row>
    <row r="60626" spans="7:7" ht="10.5" customHeight="1" x14ac:dyDescent="0.2">
      <c r="G60626" s="889"/>
    </row>
    <row r="60627" spans="7:7" ht="10.5" customHeight="1" x14ac:dyDescent="0.2">
      <c r="G60627" s="889"/>
    </row>
    <row r="60628" spans="7:7" ht="10.5" customHeight="1" x14ac:dyDescent="0.2">
      <c r="G60628" s="889"/>
    </row>
    <row r="60629" spans="7:7" ht="10.5" customHeight="1" x14ac:dyDescent="0.2">
      <c r="G60629" s="889"/>
    </row>
    <row r="60630" spans="7:7" ht="10.5" customHeight="1" x14ac:dyDescent="0.2">
      <c r="G60630" s="889"/>
    </row>
    <row r="60631" spans="7:7" ht="10.5" customHeight="1" x14ac:dyDescent="0.2">
      <c r="G60631" s="889"/>
    </row>
    <row r="60632" spans="7:7" ht="10.5" customHeight="1" x14ac:dyDescent="0.2">
      <c r="G60632" s="889"/>
    </row>
    <row r="60633" spans="7:7" ht="10.5" customHeight="1" x14ac:dyDescent="0.2">
      <c r="G60633" s="889"/>
    </row>
    <row r="60634" spans="7:7" ht="10.5" customHeight="1" x14ac:dyDescent="0.2">
      <c r="G60634" s="889"/>
    </row>
    <row r="60635" spans="7:7" ht="10.5" customHeight="1" x14ac:dyDescent="0.2">
      <c r="G60635" s="889"/>
    </row>
    <row r="60636" spans="7:7" ht="10.5" customHeight="1" x14ac:dyDescent="0.2">
      <c r="G60636" s="889"/>
    </row>
    <row r="60637" spans="7:7" ht="10.5" customHeight="1" x14ac:dyDescent="0.2">
      <c r="G60637" s="889"/>
    </row>
    <row r="60638" spans="7:7" ht="10.5" customHeight="1" x14ac:dyDescent="0.2">
      <c r="G60638" s="889"/>
    </row>
    <row r="60639" spans="7:7" ht="10.5" customHeight="1" x14ac:dyDescent="0.2">
      <c r="G60639" s="889"/>
    </row>
    <row r="60640" spans="7:7" ht="10.5" customHeight="1" x14ac:dyDescent="0.2">
      <c r="G60640" s="889"/>
    </row>
    <row r="60641" spans="7:7" ht="10.5" customHeight="1" x14ac:dyDescent="0.2">
      <c r="G60641" s="889"/>
    </row>
    <row r="60642" spans="7:7" ht="10.5" customHeight="1" x14ac:dyDescent="0.2">
      <c r="G60642" s="889"/>
    </row>
    <row r="60643" spans="7:7" ht="10.5" customHeight="1" x14ac:dyDescent="0.2">
      <c r="G60643" s="889"/>
    </row>
    <row r="60644" spans="7:7" ht="10.5" customHeight="1" x14ac:dyDescent="0.2">
      <c r="G60644" s="889"/>
    </row>
    <row r="60645" spans="7:7" ht="10.5" customHeight="1" x14ac:dyDescent="0.2">
      <c r="G60645" s="889"/>
    </row>
    <row r="60646" spans="7:7" ht="10.5" customHeight="1" x14ac:dyDescent="0.2">
      <c r="G60646" s="889"/>
    </row>
    <row r="60647" spans="7:7" ht="10.5" customHeight="1" x14ac:dyDescent="0.2">
      <c r="G60647" s="889"/>
    </row>
    <row r="60648" spans="7:7" ht="10.5" customHeight="1" x14ac:dyDescent="0.2">
      <c r="G60648" s="889"/>
    </row>
    <row r="60649" spans="7:7" ht="10.5" customHeight="1" x14ac:dyDescent="0.2">
      <c r="G60649" s="889"/>
    </row>
    <row r="60650" spans="7:7" ht="10.5" customHeight="1" x14ac:dyDescent="0.2">
      <c r="G60650" s="889"/>
    </row>
    <row r="60651" spans="7:7" ht="10.5" customHeight="1" x14ac:dyDescent="0.2">
      <c r="G60651" s="889"/>
    </row>
    <row r="60652" spans="7:7" ht="10.5" customHeight="1" x14ac:dyDescent="0.2">
      <c r="G60652" s="889"/>
    </row>
    <row r="60653" spans="7:7" ht="10.5" customHeight="1" x14ac:dyDescent="0.2">
      <c r="G60653" s="889"/>
    </row>
    <row r="60654" spans="7:7" ht="10.5" customHeight="1" x14ac:dyDescent="0.2">
      <c r="G60654" s="889"/>
    </row>
    <row r="60655" spans="7:7" ht="10.5" customHeight="1" x14ac:dyDescent="0.2">
      <c r="G60655" s="889"/>
    </row>
    <row r="60656" spans="7:7" ht="10.5" customHeight="1" x14ac:dyDescent="0.2">
      <c r="G60656" s="889"/>
    </row>
    <row r="60657" spans="7:7" ht="10.5" customHeight="1" x14ac:dyDescent="0.2">
      <c r="G60657" s="889"/>
    </row>
    <row r="60658" spans="7:7" ht="10.5" customHeight="1" x14ac:dyDescent="0.2">
      <c r="G60658" s="889"/>
    </row>
    <row r="60659" spans="7:7" ht="10.5" customHeight="1" x14ac:dyDescent="0.2">
      <c r="G60659" s="889"/>
    </row>
    <row r="60660" spans="7:7" ht="10.5" customHeight="1" x14ac:dyDescent="0.2">
      <c r="G60660" s="889"/>
    </row>
    <row r="60661" spans="7:7" ht="10.5" customHeight="1" x14ac:dyDescent="0.2">
      <c r="G60661" s="889"/>
    </row>
    <row r="60662" spans="7:7" ht="10.5" customHeight="1" x14ac:dyDescent="0.2">
      <c r="G60662" s="889"/>
    </row>
    <row r="60663" spans="7:7" ht="10.5" customHeight="1" x14ac:dyDescent="0.2">
      <c r="G60663" s="889"/>
    </row>
    <row r="60664" spans="7:7" ht="10.5" customHeight="1" x14ac:dyDescent="0.2">
      <c r="G60664" s="889"/>
    </row>
    <row r="60665" spans="7:7" ht="10.5" customHeight="1" x14ac:dyDescent="0.2">
      <c r="G60665" s="889"/>
    </row>
    <row r="60666" spans="7:7" ht="10.5" customHeight="1" x14ac:dyDescent="0.2">
      <c r="G60666" s="889"/>
    </row>
    <row r="60667" spans="7:7" ht="10.5" customHeight="1" x14ac:dyDescent="0.2">
      <c r="G60667" s="889"/>
    </row>
    <row r="60668" spans="7:7" ht="10.5" customHeight="1" x14ac:dyDescent="0.2">
      <c r="G60668" s="889"/>
    </row>
    <row r="60669" spans="7:7" ht="10.5" customHeight="1" x14ac:dyDescent="0.2">
      <c r="G60669" s="889"/>
    </row>
    <row r="60670" spans="7:7" ht="10.5" customHeight="1" x14ac:dyDescent="0.2">
      <c r="G60670" s="889"/>
    </row>
    <row r="60671" spans="7:7" ht="10.5" customHeight="1" x14ac:dyDescent="0.2">
      <c r="G60671" s="889"/>
    </row>
    <row r="60672" spans="7:7" ht="10.5" customHeight="1" x14ac:dyDescent="0.2">
      <c r="G60672" s="889"/>
    </row>
    <row r="60673" spans="7:7" ht="10.5" customHeight="1" x14ac:dyDescent="0.2">
      <c r="G60673" s="889"/>
    </row>
    <row r="60674" spans="7:7" ht="10.5" customHeight="1" x14ac:dyDescent="0.2">
      <c r="G60674" s="889"/>
    </row>
    <row r="60675" spans="7:7" ht="10.5" customHeight="1" x14ac:dyDescent="0.2">
      <c r="G60675" s="889"/>
    </row>
    <row r="60676" spans="7:7" ht="10.5" customHeight="1" x14ac:dyDescent="0.2">
      <c r="G60676" s="889"/>
    </row>
    <row r="60677" spans="7:7" ht="10.5" customHeight="1" x14ac:dyDescent="0.2">
      <c r="G60677" s="889"/>
    </row>
    <row r="60678" spans="7:7" ht="10.5" customHeight="1" x14ac:dyDescent="0.2">
      <c r="G60678" s="889"/>
    </row>
    <row r="60679" spans="7:7" ht="10.5" customHeight="1" x14ac:dyDescent="0.2">
      <c r="G60679" s="889"/>
    </row>
    <row r="60680" spans="7:7" ht="10.5" customHeight="1" x14ac:dyDescent="0.2">
      <c r="G60680" s="889"/>
    </row>
    <row r="60681" spans="7:7" ht="10.5" customHeight="1" x14ac:dyDescent="0.2">
      <c r="G60681" s="889"/>
    </row>
    <row r="60682" spans="7:7" ht="10.5" customHeight="1" x14ac:dyDescent="0.2">
      <c r="G60682" s="889"/>
    </row>
    <row r="60683" spans="7:7" ht="10.5" customHeight="1" x14ac:dyDescent="0.2">
      <c r="G60683" s="889"/>
    </row>
    <row r="60684" spans="7:7" ht="10.5" customHeight="1" x14ac:dyDescent="0.2">
      <c r="G60684" s="889"/>
    </row>
    <row r="60685" spans="7:7" ht="10.5" customHeight="1" x14ac:dyDescent="0.2">
      <c r="G60685" s="889"/>
    </row>
    <row r="60686" spans="7:7" ht="10.5" customHeight="1" x14ac:dyDescent="0.2">
      <c r="G60686" s="889"/>
    </row>
    <row r="60687" spans="7:7" ht="10.5" customHeight="1" x14ac:dyDescent="0.2">
      <c r="G60687" s="889"/>
    </row>
    <row r="60688" spans="7:7" ht="10.5" customHeight="1" x14ac:dyDescent="0.2">
      <c r="G60688" s="889"/>
    </row>
    <row r="60689" spans="7:7" ht="10.5" customHeight="1" x14ac:dyDescent="0.2">
      <c r="G60689" s="889"/>
    </row>
    <row r="60690" spans="7:7" ht="10.5" customHeight="1" x14ac:dyDescent="0.2">
      <c r="G60690" s="889"/>
    </row>
    <row r="60691" spans="7:7" ht="10.5" customHeight="1" x14ac:dyDescent="0.2">
      <c r="G60691" s="889"/>
    </row>
    <row r="60692" spans="7:7" ht="10.5" customHeight="1" x14ac:dyDescent="0.2">
      <c r="G60692" s="889"/>
    </row>
    <row r="60693" spans="7:7" ht="10.5" customHeight="1" x14ac:dyDescent="0.2">
      <c r="G60693" s="889"/>
    </row>
    <row r="60694" spans="7:7" ht="10.5" customHeight="1" x14ac:dyDescent="0.2">
      <c r="G60694" s="889"/>
    </row>
    <row r="60695" spans="7:7" ht="10.5" customHeight="1" x14ac:dyDescent="0.2">
      <c r="G60695" s="889"/>
    </row>
    <row r="60696" spans="7:7" ht="10.5" customHeight="1" x14ac:dyDescent="0.2">
      <c r="G60696" s="889"/>
    </row>
    <row r="60697" spans="7:7" ht="10.5" customHeight="1" x14ac:dyDescent="0.2">
      <c r="G60697" s="889"/>
    </row>
    <row r="60698" spans="7:7" ht="10.5" customHeight="1" x14ac:dyDescent="0.2">
      <c r="G60698" s="889"/>
    </row>
    <row r="60699" spans="7:7" ht="10.5" customHeight="1" x14ac:dyDescent="0.2">
      <c r="G60699" s="889"/>
    </row>
    <row r="60700" spans="7:7" ht="10.5" customHeight="1" x14ac:dyDescent="0.2">
      <c r="G60700" s="889"/>
    </row>
    <row r="60701" spans="7:7" ht="10.5" customHeight="1" x14ac:dyDescent="0.2">
      <c r="G60701" s="889"/>
    </row>
    <row r="60702" spans="7:7" ht="10.5" customHeight="1" x14ac:dyDescent="0.2">
      <c r="G60702" s="889"/>
    </row>
    <row r="60703" spans="7:7" ht="10.5" customHeight="1" x14ac:dyDescent="0.2">
      <c r="G60703" s="889"/>
    </row>
    <row r="60704" spans="7:7" ht="10.5" customHeight="1" x14ac:dyDescent="0.2">
      <c r="G60704" s="889"/>
    </row>
    <row r="60705" spans="7:7" ht="10.5" customHeight="1" x14ac:dyDescent="0.2">
      <c r="G60705" s="889"/>
    </row>
    <row r="60706" spans="7:7" ht="10.5" customHeight="1" x14ac:dyDescent="0.2">
      <c r="G60706" s="889"/>
    </row>
    <row r="60707" spans="7:7" ht="10.5" customHeight="1" x14ac:dyDescent="0.2">
      <c r="G60707" s="889"/>
    </row>
    <row r="60708" spans="7:7" ht="10.5" customHeight="1" x14ac:dyDescent="0.2">
      <c r="G60708" s="889"/>
    </row>
    <row r="60709" spans="7:7" ht="10.5" customHeight="1" x14ac:dyDescent="0.2">
      <c r="G60709" s="889"/>
    </row>
    <row r="60710" spans="7:7" ht="10.5" customHeight="1" x14ac:dyDescent="0.2">
      <c r="G60710" s="889"/>
    </row>
    <row r="60711" spans="7:7" ht="10.5" customHeight="1" x14ac:dyDescent="0.2">
      <c r="G60711" s="889"/>
    </row>
    <row r="60712" spans="7:7" ht="10.5" customHeight="1" x14ac:dyDescent="0.2">
      <c r="G60712" s="889"/>
    </row>
    <row r="60713" spans="7:7" ht="10.5" customHeight="1" x14ac:dyDescent="0.2">
      <c r="G60713" s="889"/>
    </row>
    <row r="60714" spans="7:7" ht="10.5" customHeight="1" x14ac:dyDescent="0.2">
      <c r="G60714" s="889"/>
    </row>
    <row r="60715" spans="7:7" ht="10.5" customHeight="1" x14ac:dyDescent="0.2">
      <c r="G60715" s="889"/>
    </row>
    <row r="60716" spans="7:7" ht="10.5" customHeight="1" x14ac:dyDescent="0.2">
      <c r="G60716" s="889"/>
    </row>
    <row r="60717" spans="7:7" ht="10.5" customHeight="1" x14ac:dyDescent="0.2">
      <c r="G60717" s="889"/>
    </row>
    <row r="60718" spans="7:7" ht="10.5" customHeight="1" x14ac:dyDescent="0.2">
      <c r="G60718" s="889"/>
    </row>
    <row r="60719" spans="7:7" ht="10.5" customHeight="1" x14ac:dyDescent="0.2">
      <c r="G60719" s="889"/>
    </row>
    <row r="60720" spans="7:7" ht="10.5" customHeight="1" x14ac:dyDescent="0.2">
      <c r="G60720" s="889"/>
    </row>
    <row r="60721" spans="7:7" ht="10.5" customHeight="1" x14ac:dyDescent="0.2">
      <c r="G60721" s="889"/>
    </row>
    <row r="60722" spans="7:7" ht="10.5" customHeight="1" x14ac:dyDescent="0.2">
      <c r="G60722" s="889"/>
    </row>
    <row r="60723" spans="7:7" ht="10.5" customHeight="1" x14ac:dyDescent="0.2">
      <c r="G60723" s="889"/>
    </row>
    <row r="60724" spans="7:7" ht="10.5" customHeight="1" x14ac:dyDescent="0.2">
      <c r="G60724" s="889"/>
    </row>
    <row r="60725" spans="7:7" ht="10.5" customHeight="1" x14ac:dyDescent="0.2">
      <c r="G60725" s="889"/>
    </row>
    <row r="60726" spans="7:7" ht="10.5" customHeight="1" x14ac:dyDescent="0.2">
      <c r="G60726" s="889"/>
    </row>
    <row r="60727" spans="7:7" ht="10.5" customHeight="1" x14ac:dyDescent="0.2">
      <c r="G60727" s="889"/>
    </row>
    <row r="60728" spans="7:7" ht="10.5" customHeight="1" x14ac:dyDescent="0.2">
      <c r="G60728" s="889"/>
    </row>
    <row r="60729" spans="7:7" ht="10.5" customHeight="1" x14ac:dyDescent="0.2">
      <c r="G60729" s="889"/>
    </row>
    <row r="60730" spans="7:7" ht="10.5" customHeight="1" x14ac:dyDescent="0.2">
      <c r="G60730" s="889"/>
    </row>
    <row r="60731" spans="7:7" ht="10.5" customHeight="1" x14ac:dyDescent="0.2">
      <c r="G60731" s="889"/>
    </row>
    <row r="60732" spans="7:7" ht="10.5" customHeight="1" x14ac:dyDescent="0.2">
      <c r="G60732" s="889"/>
    </row>
    <row r="60733" spans="7:7" ht="10.5" customHeight="1" x14ac:dyDescent="0.2">
      <c r="G60733" s="889"/>
    </row>
    <row r="60734" spans="7:7" ht="10.5" customHeight="1" x14ac:dyDescent="0.2">
      <c r="G60734" s="889"/>
    </row>
    <row r="60735" spans="7:7" ht="10.5" customHeight="1" x14ac:dyDescent="0.2">
      <c r="G60735" s="889"/>
    </row>
    <row r="60736" spans="7:7" ht="10.5" customHeight="1" x14ac:dyDescent="0.2">
      <c r="G60736" s="889"/>
    </row>
    <row r="60737" spans="7:7" ht="10.5" customHeight="1" x14ac:dyDescent="0.2">
      <c r="G60737" s="889"/>
    </row>
    <row r="60738" spans="7:7" ht="10.5" customHeight="1" x14ac:dyDescent="0.2">
      <c r="G60738" s="889"/>
    </row>
    <row r="60739" spans="7:7" ht="10.5" customHeight="1" x14ac:dyDescent="0.2">
      <c r="G60739" s="889"/>
    </row>
    <row r="60740" spans="7:7" ht="10.5" customHeight="1" x14ac:dyDescent="0.2">
      <c r="G60740" s="889"/>
    </row>
    <row r="60741" spans="7:7" ht="10.5" customHeight="1" x14ac:dyDescent="0.2">
      <c r="G60741" s="889"/>
    </row>
    <row r="60742" spans="7:7" ht="10.5" customHeight="1" x14ac:dyDescent="0.2">
      <c r="G60742" s="889"/>
    </row>
    <row r="60743" spans="7:7" ht="10.5" customHeight="1" x14ac:dyDescent="0.2">
      <c r="G60743" s="889"/>
    </row>
    <row r="60744" spans="7:7" ht="10.5" customHeight="1" x14ac:dyDescent="0.2">
      <c r="G60744" s="889"/>
    </row>
    <row r="60745" spans="7:7" ht="10.5" customHeight="1" x14ac:dyDescent="0.2">
      <c r="G60745" s="889"/>
    </row>
    <row r="60746" spans="7:7" ht="10.5" customHeight="1" x14ac:dyDescent="0.2">
      <c r="G60746" s="889"/>
    </row>
    <row r="60747" spans="7:7" ht="10.5" customHeight="1" x14ac:dyDescent="0.2">
      <c r="G60747" s="889"/>
    </row>
    <row r="60748" spans="7:7" ht="10.5" customHeight="1" x14ac:dyDescent="0.2">
      <c r="G60748" s="889"/>
    </row>
    <row r="60749" spans="7:7" ht="10.5" customHeight="1" x14ac:dyDescent="0.2">
      <c r="G60749" s="889"/>
    </row>
    <row r="60750" spans="7:7" ht="10.5" customHeight="1" x14ac:dyDescent="0.2">
      <c r="G60750" s="889"/>
    </row>
    <row r="60751" spans="7:7" ht="10.5" customHeight="1" x14ac:dyDescent="0.2">
      <c r="G60751" s="889"/>
    </row>
    <row r="60752" spans="7:7" ht="10.5" customHeight="1" x14ac:dyDescent="0.2">
      <c r="G60752" s="889"/>
    </row>
    <row r="60753" spans="7:7" ht="10.5" customHeight="1" x14ac:dyDescent="0.2">
      <c r="G60753" s="889"/>
    </row>
    <row r="60754" spans="7:7" ht="10.5" customHeight="1" x14ac:dyDescent="0.2">
      <c r="G60754" s="889"/>
    </row>
    <row r="60755" spans="7:7" ht="10.5" customHeight="1" x14ac:dyDescent="0.2">
      <c r="G60755" s="889"/>
    </row>
    <row r="60756" spans="7:7" ht="10.5" customHeight="1" x14ac:dyDescent="0.2">
      <c r="G60756" s="889"/>
    </row>
    <row r="60757" spans="7:7" ht="10.5" customHeight="1" x14ac:dyDescent="0.2">
      <c r="G60757" s="889"/>
    </row>
    <row r="60758" spans="7:7" ht="10.5" customHeight="1" x14ac:dyDescent="0.2">
      <c r="G60758" s="889"/>
    </row>
    <row r="60759" spans="7:7" ht="10.5" customHeight="1" x14ac:dyDescent="0.2">
      <c r="G60759" s="889"/>
    </row>
    <row r="60760" spans="7:7" ht="10.5" customHeight="1" x14ac:dyDescent="0.2">
      <c r="G60760" s="889"/>
    </row>
    <row r="60761" spans="7:7" ht="10.5" customHeight="1" x14ac:dyDescent="0.2">
      <c r="G60761" s="889"/>
    </row>
    <row r="60762" spans="7:7" ht="10.5" customHeight="1" x14ac:dyDescent="0.2">
      <c r="G60762" s="889"/>
    </row>
    <row r="60763" spans="7:7" ht="10.5" customHeight="1" x14ac:dyDescent="0.2">
      <c r="G60763" s="889"/>
    </row>
    <row r="60764" spans="7:7" ht="10.5" customHeight="1" x14ac:dyDescent="0.2">
      <c r="G60764" s="889"/>
    </row>
    <row r="60765" spans="7:7" ht="10.5" customHeight="1" x14ac:dyDescent="0.2">
      <c r="G60765" s="889"/>
    </row>
    <row r="60766" spans="7:7" ht="10.5" customHeight="1" x14ac:dyDescent="0.2">
      <c r="G60766" s="889"/>
    </row>
    <row r="60767" spans="7:7" ht="10.5" customHeight="1" x14ac:dyDescent="0.2">
      <c r="G60767" s="889"/>
    </row>
    <row r="60768" spans="7:7" ht="10.5" customHeight="1" x14ac:dyDescent="0.2">
      <c r="G60768" s="889"/>
    </row>
    <row r="60769" spans="7:7" ht="10.5" customHeight="1" x14ac:dyDescent="0.2">
      <c r="G60769" s="889"/>
    </row>
    <row r="60770" spans="7:7" ht="10.5" customHeight="1" x14ac:dyDescent="0.2">
      <c r="G60770" s="889"/>
    </row>
    <row r="60771" spans="7:7" ht="10.5" customHeight="1" x14ac:dyDescent="0.2">
      <c r="G60771" s="889"/>
    </row>
    <row r="60772" spans="7:7" ht="10.5" customHeight="1" x14ac:dyDescent="0.2">
      <c r="G60772" s="889"/>
    </row>
    <row r="60773" spans="7:7" ht="10.5" customHeight="1" x14ac:dyDescent="0.2">
      <c r="G60773" s="889"/>
    </row>
    <row r="60774" spans="7:7" ht="10.5" customHeight="1" x14ac:dyDescent="0.2">
      <c r="G60774" s="889"/>
    </row>
    <row r="60775" spans="7:7" ht="10.5" customHeight="1" x14ac:dyDescent="0.2">
      <c r="G60775" s="889"/>
    </row>
    <row r="60776" spans="7:7" ht="10.5" customHeight="1" x14ac:dyDescent="0.2">
      <c r="G60776" s="889"/>
    </row>
    <row r="60777" spans="7:7" ht="10.5" customHeight="1" x14ac:dyDescent="0.2">
      <c r="G60777" s="889"/>
    </row>
    <row r="60778" spans="7:7" ht="10.5" customHeight="1" x14ac:dyDescent="0.2">
      <c r="G60778" s="889"/>
    </row>
    <row r="60779" spans="7:7" ht="10.5" customHeight="1" x14ac:dyDescent="0.2">
      <c r="G60779" s="889"/>
    </row>
    <row r="60780" spans="7:7" ht="10.5" customHeight="1" x14ac:dyDescent="0.2">
      <c r="G60780" s="889"/>
    </row>
    <row r="60781" spans="7:7" ht="10.5" customHeight="1" x14ac:dyDescent="0.2">
      <c r="G60781" s="889"/>
    </row>
    <row r="60782" spans="7:7" ht="10.5" customHeight="1" x14ac:dyDescent="0.2">
      <c r="G60782" s="889"/>
    </row>
    <row r="60783" spans="7:7" ht="10.5" customHeight="1" x14ac:dyDescent="0.2">
      <c r="G60783" s="889"/>
    </row>
    <row r="60784" spans="7:7" ht="10.5" customHeight="1" x14ac:dyDescent="0.2">
      <c r="G60784" s="889"/>
    </row>
    <row r="60785" spans="7:7" ht="10.5" customHeight="1" x14ac:dyDescent="0.2">
      <c r="G60785" s="889"/>
    </row>
    <row r="60786" spans="7:7" ht="10.5" customHeight="1" x14ac:dyDescent="0.2">
      <c r="G60786" s="889"/>
    </row>
    <row r="60787" spans="7:7" ht="10.5" customHeight="1" x14ac:dyDescent="0.2">
      <c r="G60787" s="889"/>
    </row>
    <row r="60788" spans="7:7" ht="10.5" customHeight="1" x14ac:dyDescent="0.2">
      <c r="G60788" s="889"/>
    </row>
    <row r="60789" spans="7:7" ht="10.5" customHeight="1" x14ac:dyDescent="0.2">
      <c r="G60789" s="889"/>
    </row>
    <row r="60790" spans="7:7" ht="10.5" customHeight="1" x14ac:dyDescent="0.2">
      <c r="G60790" s="889"/>
    </row>
    <row r="60791" spans="7:7" ht="10.5" customHeight="1" x14ac:dyDescent="0.2">
      <c r="G60791" s="889"/>
    </row>
    <row r="60792" spans="7:7" ht="10.5" customHeight="1" x14ac:dyDescent="0.2">
      <c r="G60792" s="889"/>
    </row>
    <row r="60793" spans="7:7" ht="10.5" customHeight="1" x14ac:dyDescent="0.2">
      <c r="G60793" s="889"/>
    </row>
    <row r="60794" spans="7:7" ht="10.5" customHeight="1" x14ac:dyDescent="0.2">
      <c r="G60794" s="889"/>
    </row>
    <row r="60795" spans="7:7" ht="10.5" customHeight="1" x14ac:dyDescent="0.2">
      <c r="G60795" s="889"/>
    </row>
    <row r="60796" spans="7:7" ht="10.5" customHeight="1" x14ac:dyDescent="0.2">
      <c r="G60796" s="889"/>
    </row>
    <row r="60797" spans="7:7" ht="10.5" customHeight="1" x14ac:dyDescent="0.2">
      <c r="G60797" s="889"/>
    </row>
    <row r="60798" spans="7:7" ht="10.5" customHeight="1" x14ac:dyDescent="0.2">
      <c r="G60798" s="889"/>
    </row>
    <row r="60799" spans="7:7" ht="10.5" customHeight="1" x14ac:dyDescent="0.2">
      <c r="G60799" s="889"/>
    </row>
    <row r="60800" spans="7:7" ht="10.5" customHeight="1" x14ac:dyDescent="0.2">
      <c r="G60800" s="889"/>
    </row>
    <row r="60801" spans="7:7" ht="10.5" customHeight="1" x14ac:dyDescent="0.2">
      <c r="G60801" s="889"/>
    </row>
    <row r="60802" spans="7:7" ht="10.5" customHeight="1" x14ac:dyDescent="0.2">
      <c r="G60802" s="889"/>
    </row>
    <row r="60803" spans="7:7" ht="10.5" customHeight="1" x14ac:dyDescent="0.2">
      <c r="G60803" s="889"/>
    </row>
    <row r="60804" spans="7:7" ht="10.5" customHeight="1" x14ac:dyDescent="0.2">
      <c r="G60804" s="889"/>
    </row>
    <row r="60805" spans="7:7" ht="10.5" customHeight="1" x14ac:dyDescent="0.2">
      <c r="G60805" s="889"/>
    </row>
    <row r="60806" spans="7:7" ht="10.5" customHeight="1" x14ac:dyDescent="0.2">
      <c r="G60806" s="889"/>
    </row>
    <row r="60807" spans="7:7" ht="10.5" customHeight="1" x14ac:dyDescent="0.2">
      <c r="G60807" s="889"/>
    </row>
    <row r="60808" spans="7:7" ht="10.5" customHeight="1" x14ac:dyDescent="0.2">
      <c r="G60808" s="889"/>
    </row>
    <row r="60809" spans="7:7" ht="10.5" customHeight="1" x14ac:dyDescent="0.2">
      <c r="G60809" s="889"/>
    </row>
    <row r="60810" spans="7:7" ht="10.5" customHeight="1" x14ac:dyDescent="0.2">
      <c r="G60810" s="889"/>
    </row>
    <row r="60811" spans="7:7" ht="10.5" customHeight="1" x14ac:dyDescent="0.2">
      <c r="G60811" s="889"/>
    </row>
    <row r="60812" spans="7:7" ht="10.5" customHeight="1" x14ac:dyDescent="0.2">
      <c r="G60812" s="889"/>
    </row>
    <row r="60813" spans="7:7" ht="10.5" customHeight="1" x14ac:dyDescent="0.2">
      <c r="G60813" s="889"/>
    </row>
    <row r="60814" spans="7:7" ht="10.5" customHeight="1" x14ac:dyDescent="0.2">
      <c r="G60814" s="889"/>
    </row>
    <row r="60815" spans="7:7" ht="10.5" customHeight="1" x14ac:dyDescent="0.2">
      <c r="G60815" s="889"/>
    </row>
    <row r="60816" spans="7:7" ht="10.5" customHeight="1" x14ac:dyDescent="0.2">
      <c r="G60816" s="889"/>
    </row>
    <row r="60817" spans="7:7" ht="10.5" customHeight="1" x14ac:dyDescent="0.2">
      <c r="G60817" s="889"/>
    </row>
    <row r="60818" spans="7:7" ht="10.5" customHeight="1" x14ac:dyDescent="0.2">
      <c r="G60818" s="889"/>
    </row>
    <row r="60819" spans="7:7" ht="10.5" customHeight="1" x14ac:dyDescent="0.2">
      <c r="G60819" s="889"/>
    </row>
    <row r="60820" spans="7:7" ht="10.5" customHeight="1" x14ac:dyDescent="0.2">
      <c r="G60820" s="889"/>
    </row>
    <row r="60821" spans="7:7" ht="10.5" customHeight="1" x14ac:dyDescent="0.2">
      <c r="G60821" s="889"/>
    </row>
    <row r="60822" spans="7:7" ht="10.5" customHeight="1" x14ac:dyDescent="0.2">
      <c r="G60822" s="889"/>
    </row>
    <row r="60823" spans="7:7" ht="10.5" customHeight="1" x14ac:dyDescent="0.2">
      <c r="G60823" s="889"/>
    </row>
    <row r="60824" spans="7:7" ht="10.5" customHeight="1" x14ac:dyDescent="0.2">
      <c r="G60824" s="889"/>
    </row>
    <row r="60825" spans="7:7" ht="10.5" customHeight="1" x14ac:dyDescent="0.2">
      <c r="G60825" s="889"/>
    </row>
    <row r="60826" spans="7:7" ht="10.5" customHeight="1" x14ac:dyDescent="0.2">
      <c r="G60826" s="889"/>
    </row>
    <row r="60827" spans="7:7" ht="10.5" customHeight="1" x14ac:dyDescent="0.2">
      <c r="G60827" s="889"/>
    </row>
    <row r="60828" spans="7:7" ht="10.5" customHeight="1" x14ac:dyDescent="0.2">
      <c r="G60828" s="889"/>
    </row>
    <row r="60829" spans="7:7" ht="10.5" customHeight="1" x14ac:dyDescent="0.2">
      <c r="G60829" s="889"/>
    </row>
    <row r="60830" spans="7:7" ht="10.5" customHeight="1" x14ac:dyDescent="0.2">
      <c r="G60830" s="889"/>
    </row>
    <row r="60831" spans="7:7" ht="10.5" customHeight="1" x14ac:dyDescent="0.2">
      <c r="G60831" s="889"/>
    </row>
    <row r="60832" spans="7:7" ht="10.5" customHeight="1" x14ac:dyDescent="0.2">
      <c r="G60832" s="889"/>
    </row>
    <row r="60833" spans="7:7" ht="10.5" customHeight="1" x14ac:dyDescent="0.2">
      <c r="G60833" s="889"/>
    </row>
    <row r="60834" spans="7:7" ht="10.5" customHeight="1" x14ac:dyDescent="0.2">
      <c r="G60834" s="889"/>
    </row>
    <row r="60835" spans="7:7" ht="10.5" customHeight="1" x14ac:dyDescent="0.2">
      <c r="G60835" s="889"/>
    </row>
    <row r="60836" spans="7:7" ht="10.5" customHeight="1" x14ac:dyDescent="0.2">
      <c r="G60836" s="889"/>
    </row>
    <row r="60837" spans="7:7" ht="10.5" customHeight="1" x14ac:dyDescent="0.2">
      <c r="G60837" s="889"/>
    </row>
    <row r="60838" spans="7:7" ht="10.5" customHeight="1" x14ac:dyDescent="0.2">
      <c r="G60838" s="889"/>
    </row>
    <row r="60839" spans="7:7" ht="10.5" customHeight="1" x14ac:dyDescent="0.2">
      <c r="G60839" s="889"/>
    </row>
    <row r="60840" spans="7:7" ht="10.5" customHeight="1" x14ac:dyDescent="0.2">
      <c r="G60840" s="889"/>
    </row>
    <row r="60841" spans="7:7" ht="10.5" customHeight="1" x14ac:dyDescent="0.2">
      <c r="G60841" s="889"/>
    </row>
    <row r="60842" spans="7:7" ht="10.5" customHeight="1" x14ac:dyDescent="0.2">
      <c r="G60842" s="889"/>
    </row>
    <row r="60843" spans="7:7" ht="10.5" customHeight="1" x14ac:dyDescent="0.2">
      <c r="G60843" s="889"/>
    </row>
    <row r="60844" spans="7:7" ht="10.5" customHeight="1" x14ac:dyDescent="0.2">
      <c r="G60844" s="889"/>
    </row>
    <row r="60845" spans="7:7" ht="10.5" customHeight="1" x14ac:dyDescent="0.2">
      <c r="G60845" s="889"/>
    </row>
    <row r="60846" spans="7:7" ht="10.5" customHeight="1" x14ac:dyDescent="0.2">
      <c r="G60846" s="889"/>
    </row>
    <row r="60847" spans="7:7" ht="10.5" customHeight="1" x14ac:dyDescent="0.2">
      <c r="G60847" s="889"/>
    </row>
    <row r="60848" spans="7:7" ht="10.5" customHeight="1" x14ac:dyDescent="0.2">
      <c r="G60848" s="889"/>
    </row>
    <row r="60849" spans="7:7" ht="10.5" customHeight="1" x14ac:dyDescent="0.2">
      <c r="G60849" s="889"/>
    </row>
    <row r="60850" spans="7:7" ht="10.5" customHeight="1" x14ac:dyDescent="0.2">
      <c r="G60850" s="889"/>
    </row>
    <row r="60851" spans="7:7" ht="10.5" customHeight="1" x14ac:dyDescent="0.2">
      <c r="G60851" s="889"/>
    </row>
    <row r="60852" spans="7:7" ht="10.5" customHeight="1" x14ac:dyDescent="0.2">
      <c r="G60852" s="889"/>
    </row>
    <row r="60853" spans="7:7" ht="10.5" customHeight="1" x14ac:dyDescent="0.2">
      <c r="G60853" s="889"/>
    </row>
    <row r="60854" spans="7:7" ht="10.5" customHeight="1" x14ac:dyDescent="0.2">
      <c r="G60854" s="889"/>
    </row>
    <row r="60855" spans="7:7" ht="10.5" customHeight="1" x14ac:dyDescent="0.2">
      <c r="G60855" s="889"/>
    </row>
    <row r="60856" spans="7:7" ht="10.5" customHeight="1" x14ac:dyDescent="0.2">
      <c r="G60856" s="889"/>
    </row>
    <row r="60857" spans="7:7" ht="10.5" customHeight="1" x14ac:dyDescent="0.2">
      <c r="G60857" s="889"/>
    </row>
    <row r="60858" spans="7:7" ht="10.5" customHeight="1" x14ac:dyDescent="0.2">
      <c r="G60858" s="889"/>
    </row>
    <row r="60859" spans="7:7" ht="10.5" customHeight="1" x14ac:dyDescent="0.2">
      <c r="G60859" s="889"/>
    </row>
    <row r="60860" spans="7:7" ht="10.5" customHeight="1" x14ac:dyDescent="0.2">
      <c r="G60860" s="889"/>
    </row>
    <row r="60861" spans="7:7" ht="10.5" customHeight="1" x14ac:dyDescent="0.2">
      <c r="G60861" s="889"/>
    </row>
    <row r="60862" spans="7:7" ht="10.5" customHeight="1" x14ac:dyDescent="0.2">
      <c r="G60862" s="889"/>
    </row>
    <row r="60863" spans="7:7" ht="10.5" customHeight="1" x14ac:dyDescent="0.2">
      <c r="G60863" s="889"/>
    </row>
    <row r="60864" spans="7:7" ht="10.5" customHeight="1" x14ac:dyDescent="0.2">
      <c r="G60864" s="889"/>
    </row>
    <row r="60865" spans="7:7" ht="10.5" customHeight="1" x14ac:dyDescent="0.2">
      <c r="G60865" s="889"/>
    </row>
    <row r="60866" spans="7:7" ht="10.5" customHeight="1" x14ac:dyDescent="0.2">
      <c r="G60866" s="889"/>
    </row>
    <row r="60867" spans="7:7" ht="10.5" customHeight="1" x14ac:dyDescent="0.2">
      <c r="G60867" s="889"/>
    </row>
    <row r="60868" spans="7:7" ht="10.5" customHeight="1" x14ac:dyDescent="0.2">
      <c r="G60868" s="889"/>
    </row>
    <row r="60869" spans="7:7" ht="10.5" customHeight="1" x14ac:dyDescent="0.2">
      <c r="G60869" s="889"/>
    </row>
    <row r="60870" spans="7:7" ht="10.5" customHeight="1" x14ac:dyDescent="0.2">
      <c r="G60870" s="889"/>
    </row>
    <row r="60871" spans="7:7" ht="10.5" customHeight="1" x14ac:dyDescent="0.2">
      <c r="G60871" s="889"/>
    </row>
    <row r="60872" spans="7:7" ht="10.5" customHeight="1" x14ac:dyDescent="0.2">
      <c r="G60872" s="889"/>
    </row>
    <row r="60873" spans="7:7" ht="10.5" customHeight="1" x14ac:dyDescent="0.2">
      <c r="G60873" s="889"/>
    </row>
    <row r="60874" spans="7:7" ht="10.5" customHeight="1" x14ac:dyDescent="0.2">
      <c r="G60874" s="889"/>
    </row>
    <row r="60875" spans="7:7" ht="10.5" customHeight="1" x14ac:dyDescent="0.2">
      <c r="G60875" s="889"/>
    </row>
    <row r="60876" spans="7:7" ht="10.5" customHeight="1" x14ac:dyDescent="0.2">
      <c r="G60876" s="889"/>
    </row>
    <row r="60877" spans="7:7" ht="10.5" customHeight="1" x14ac:dyDescent="0.2">
      <c r="G60877" s="889"/>
    </row>
    <row r="60878" spans="7:7" ht="10.5" customHeight="1" x14ac:dyDescent="0.2">
      <c r="G60878" s="889"/>
    </row>
    <row r="60879" spans="7:7" ht="10.5" customHeight="1" x14ac:dyDescent="0.2">
      <c r="G60879" s="889"/>
    </row>
    <row r="60880" spans="7:7" ht="10.5" customHeight="1" x14ac:dyDescent="0.2">
      <c r="G60880" s="889"/>
    </row>
    <row r="60881" spans="7:7" ht="10.5" customHeight="1" x14ac:dyDescent="0.2">
      <c r="G60881" s="889"/>
    </row>
    <row r="60882" spans="7:7" ht="10.5" customHeight="1" x14ac:dyDescent="0.2">
      <c r="G60882" s="889"/>
    </row>
    <row r="60883" spans="7:7" ht="10.5" customHeight="1" x14ac:dyDescent="0.2">
      <c r="G60883" s="889"/>
    </row>
    <row r="60884" spans="7:7" ht="10.5" customHeight="1" x14ac:dyDescent="0.2">
      <c r="G60884" s="889"/>
    </row>
    <row r="60885" spans="7:7" ht="10.5" customHeight="1" x14ac:dyDescent="0.2">
      <c r="G60885" s="889"/>
    </row>
    <row r="60886" spans="7:7" ht="10.5" customHeight="1" x14ac:dyDescent="0.2">
      <c r="G60886" s="889"/>
    </row>
    <row r="60887" spans="7:7" ht="10.5" customHeight="1" x14ac:dyDescent="0.2">
      <c r="G60887" s="889"/>
    </row>
    <row r="60888" spans="7:7" ht="10.5" customHeight="1" x14ac:dyDescent="0.2">
      <c r="G60888" s="889"/>
    </row>
    <row r="60889" spans="7:7" ht="10.5" customHeight="1" x14ac:dyDescent="0.2">
      <c r="G60889" s="889"/>
    </row>
    <row r="60890" spans="7:7" ht="10.5" customHeight="1" x14ac:dyDescent="0.2">
      <c r="G60890" s="889"/>
    </row>
    <row r="60891" spans="7:7" ht="10.5" customHeight="1" x14ac:dyDescent="0.2">
      <c r="G60891" s="889"/>
    </row>
    <row r="60892" spans="7:7" ht="10.5" customHeight="1" x14ac:dyDescent="0.2">
      <c r="G60892" s="889"/>
    </row>
    <row r="60893" spans="7:7" ht="10.5" customHeight="1" x14ac:dyDescent="0.2">
      <c r="G60893" s="889"/>
    </row>
    <row r="60894" spans="7:7" ht="10.5" customHeight="1" x14ac:dyDescent="0.2">
      <c r="G60894" s="889"/>
    </row>
    <row r="60895" spans="7:7" ht="10.5" customHeight="1" x14ac:dyDescent="0.2">
      <c r="G60895" s="889"/>
    </row>
    <row r="60896" spans="7:7" ht="10.5" customHeight="1" x14ac:dyDescent="0.2">
      <c r="G60896" s="889"/>
    </row>
    <row r="60897" spans="7:7" ht="10.5" customHeight="1" x14ac:dyDescent="0.2">
      <c r="G60897" s="889"/>
    </row>
    <row r="60898" spans="7:7" ht="10.5" customHeight="1" x14ac:dyDescent="0.2">
      <c r="G60898" s="889"/>
    </row>
    <row r="60899" spans="7:7" ht="10.5" customHeight="1" x14ac:dyDescent="0.2">
      <c r="G60899" s="889"/>
    </row>
    <row r="60900" spans="7:7" ht="10.5" customHeight="1" x14ac:dyDescent="0.2">
      <c r="G60900" s="889"/>
    </row>
    <row r="60901" spans="7:7" ht="10.5" customHeight="1" x14ac:dyDescent="0.2">
      <c r="G60901" s="889"/>
    </row>
    <row r="60902" spans="7:7" ht="10.5" customHeight="1" x14ac:dyDescent="0.2">
      <c r="G60902" s="889"/>
    </row>
    <row r="60903" spans="7:7" ht="10.5" customHeight="1" x14ac:dyDescent="0.2">
      <c r="G60903" s="889"/>
    </row>
    <row r="60904" spans="7:7" ht="10.5" customHeight="1" x14ac:dyDescent="0.2">
      <c r="G60904" s="889"/>
    </row>
    <row r="60905" spans="7:7" ht="10.5" customHeight="1" x14ac:dyDescent="0.2">
      <c r="G60905" s="889"/>
    </row>
    <row r="60906" spans="7:7" ht="10.5" customHeight="1" x14ac:dyDescent="0.2">
      <c r="G60906" s="889"/>
    </row>
    <row r="60907" spans="7:7" ht="10.5" customHeight="1" x14ac:dyDescent="0.2">
      <c r="G60907" s="889"/>
    </row>
    <row r="60908" spans="7:7" ht="10.5" customHeight="1" x14ac:dyDescent="0.2">
      <c r="G60908" s="889"/>
    </row>
    <row r="60909" spans="7:7" ht="10.5" customHeight="1" x14ac:dyDescent="0.2">
      <c r="G60909" s="889"/>
    </row>
    <row r="60910" spans="7:7" ht="10.5" customHeight="1" x14ac:dyDescent="0.2">
      <c r="G60910" s="889"/>
    </row>
    <row r="60911" spans="7:7" ht="10.5" customHeight="1" x14ac:dyDescent="0.2">
      <c r="G60911" s="889"/>
    </row>
    <row r="60912" spans="7:7" ht="10.5" customHeight="1" x14ac:dyDescent="0.2">
      <c r="G60912" s="889"/>
    </row>
    <row r="60913" spans="7:7" ht="10.5" customHeight="1" x14ac:dyDescent="0.2">
      <c r="G60913" s="889"/>
    </row>
    <row r="60914" spans="7:7" ht="10.5" customHeight="1" x14ac:dyDescent="0.2">
      <c r="G60914" s="889"/>
    </row>
    <row r="60915" spans="7:7" ht="10.5" customHeight="1" x14ac:dyDescent="0.2">
      <c r="G60915" s="889"/>
    </row>
    <row r="60916" spans="7:7" ht="10.5" customHeight="1" x14ac:dyDescent="0.2">
      <c r="G60916" s="889"/>
    </row>
    <row r="60917" spans="7:7" ht="10.5" customHeight="1" x14ac:dyDescent="0.2">
      <c r="G60917" s="889"/>
    </row>
    <row r="60918" spans="7:7" ht="10.5" customHeight="1" x14ac:dyDescent="0.2">
      <c r="G60918" s="889"/>
    </row>
    <row r="60919" spans="7:7" ht="10.5" customHeight="1" x14ac:dyDescent="0.2">
      <c r="G60919" s="889"/>
    </row>
    <row r="60920" spans="7:7" ht="10.5" customHeight="1" x14ac:dyDescent="0.2">
      <c r="G60920" s="889"/>
    </row>
    <row r="60921" spans="7:7" ht="10.5" customHeight="1" x14ac:dyDescent="0.2">
      <c r="G60921" s="889"/>
    </row>
    <row r="60922" spans="7:7" ht="10.5" customHeight="1" x14ac:dyDescent="0.2">
      <c r="G60922" s="889"/>
    </row>
    <row r="60923" spans="7:7" ht="10.5" customHeight="1" x14ac:dyDescent="0.2">
      <c r="G60923" s="889"/>
    </row>
    <row r="60924" spans="7:7" ht="10.5" customHeight="1" x14ac:dyDescent="0.2">
      <c r="G60924" s="889"/>
    </row>
    <row r="60925" spans="7:7" ht="10.5" customHeight="1" x14ac:dyDescent="0.2">
      <c r="G60925" s="889"/>
    </row>
    <row r="60926" spans="7:7" ht="10.5" customHeight="1" x14ac:dyDescent="0.2">
      <c r="G60926" s="889"/>
    </row>
    <row r="60927" spans="7:7" ht="10.5" customHeight="1" x14ac:dyDescent="0.2">
      <c r="G60927" s="889"/>
    </row>
    <row r="60928" spans="7:7" ht="10.5" customHeight="1" x14ac:dyDescent="0.2">
      <c r="G60928" s="889"/>
    </row>
    <row r="60929" spans="7:7" ht="10.5" customHeight="1" x14ac:dyDescent="0.2">
      <c r="G60929" s="889"/>
    </row>
    <row r="60930" spans="7:7" ht="10.5" customHeight="1" x14ac:dyDescent="0.2">
      <c r="G60930" s="889"/>
    </row>
    <row r="60931" spans="7:7" ht="10.5" customHeight="1" x14ac:dyDescent="0.2">
      <c r="G60931" s="889"/>
    </row>
    <row r="60932" spans="7:7" ht="10.5" customHeight="1" x14ac:dyDescent="0.2">
      <c r="G60932" s="889"/>
    </row>
    <row r="60933" spans="7:7" ht="10.5" customHeight="1" x14ac:dyDescent="0.2">
      <c r="G60933" s="889"/>
    </row>
    <row r="60934" spans="7:7" ht="10.5" customHeight="1" x14ac:dyDescent="0.2">
      <c r="G60934" s="889"/>
    </row>
    <row r="60935" spans="7:7" ht="10.5" customHeight="1" x14ac:dyDescent="0.2">
      <c r="G60935" s="889"/>
    </row>
    <row r="60936" spans="7:7" ht="10.5" customHeight="1" x14ac:dyDescent="0.2">
      <c r="G60936" s="889"/>
    </row>
    <row r="60937" spans="7:7" ht="10.5" customHeight="1" x14ac:dyDescent="0.2">
      <c r="G60937" s="889"/>
    </row>
    <row r="60938" spans="7:7" ht="10.5" customHeight="1" x14ac:dyDescent="0.2">
      <c r="G60938" s="889"/>
    </row>
    <row r="60939" spans="7:7" ht="10.5" customHeight="1" x14ac:dyDescent="0.2">
      <c r="G60939" s="889"/>
    </row>
    <row r="60940" spans="7:7" ht="10.5" customHeight="1" x14ac:dyDescent="0.2">
      <c r="G60940" s="889"/>
    </row>
    <row r="60941" spans="7:7" ht="10.5" customHeight="1" x14ac:dyDescent="0.2">
      <c r="G60941" s="889"/>
    </row>
    <row r="60942" spans="7:7" ht="10.5" customHeight="1" x14ac:dyDescent="0.2">
      <c r="G60942" s="889"/>
    </row>
    <row r="60943" spans="7:7" ht="10.5" customHeight="1" x14ac:dyDescent="0.2">
      <c r="G60943" s="889"/>
    </row>
    <row r="60944" spans="7:7" ht="10.5" customHeight="1" x14ac:dyDescent="0.2">
      <c r="G60944" s="889"/>
    </row>
    <row r="60945" spans="7:7" ht="10.5" customHeight="1" x14ac:dyDescent="0.2">
      <c r="G60945" s="889"/>
    </row>
    <row r="60946" spans="7:7" ht="10.5" customHeight="1" x14ac:dyDescent="0.2">
      <c r="G60946" s="889"/>
    </row>
    <row r="60947" spans="7:7" ht="10.5" customHeight="1" x14ac:dyDescent="0.2">
      <c r="G60947" s="889"/>
    </row>
    <row r="60948" spans="7:7" ht="10.5" customHeight="1" x14ac:dyDescent="0.2">
      <c r="G60948" s="889"/>
    </row>
    <row r="60949" spans="7:7" ht="10.5" customHeight="1" x14ac:dyDescent="0.2">
      <c r="G60949" s="889"/>
    </row>
    <row r="60950" spans="7:7" ht="10.5" customHeight="1" x14ac:dyDescent="0.2">
      <c r="G60950" s="889"/>
    </row>
    <row r="60951" spans="7:7" ht="10.5" customHeight="1" x14ac:dyDescent="0.2">
      <c r="G60951" s="889"/>
    </row>
    <row r="60952" spans="7:7" ht="10.5" customHeight="1" x14ac:dyDescent="0.2">
      <c r="G60952" s="889"/>
    </row>
    <row r="60953" spans="7:7" ht="10.5" customHeight="1" x14ac:dyDescent="0.2">
      <c r="G60953" s="889"/>
    </row>
    <row r="60954" spans="7:7" ht="10.5" customHeight="1" x14ac:dyDescent="0.2">
      <c r="G60954" s="889"/>
    </row>
    <row r="60955" spans="7:7" ht="10.5" customHeight="1" x14ac:dyDescent="0.2">
      <c r="G60955" s="889"/>
    </row>
    <row r="60956" spans="7:7" ht="10.5" customHeight="1" x14ac:dyDescent="0.2">
      <c r="G60956" s="889"/>
    </row>
    <row r="60957" spans="7:7" ht="10.5" customHeight="1" x14ac:dyDescent="0.2">
      <c r="G60957" s="889"/>
    </row>
    <row r="60958" spans="7:7" ht="10.5" customHeight="1" x14ac:dyDescent="0.2">
      <c r="G60958" s="889"/>
    </row>
    <row r="60959" spans="7:7" ht="10.5" customHeight="1" x14ac:dyDescent="0.2">
      <c r="G60959" s="889"/>
    </row>
    <row r="60960" spans="7:7" ht="10.5" customHeight="1" x14ac:dyDescent="0.2">
      <c r="G60960" s="889"/>
    </row>
    <row r="60961" spans="7:7" ht="10.5" customHeight="1" x14ac:dyDescent="0.2">
      <c r="G60961" s="889"/>
    </row>
    <row r="60962" spans="7:7" ht="10.5" customHeight="1" x14ac:dyDescent="0.2">
      <c r="G60962" s="889"/>
    </row>
    <row r="60963" spans="7:7" ht="10.5" customHeight="1" x14ac:dyDescent="0.2">
      <c r="G60963" s="889"/>
    </row>
    <row r="60964" spans="7:7" ht="10.5" customHeight="1" x14ac:dyDescent="0.2">
      <c r="G60964" s="889"/>
    </row>
    <row r="60965" spans="7:7" ht="10.5" customHeight="1" x14ac:dyDescent="0.2">
      <c r="G60965" s="889"/>
    </row>
    <row r="60966" spans="7:7" ht="10.5" customHeight="1" x14ac:dyDescent="0.2">
      <c r="G60966" s="889"/>
    </row>
    <row r="60967" spans="7:7" ht="10.5" customHeight="1" x14ac:dyDescent="0.2">
      <c r="G60967" s="889"/>
    </row>
    <row r="60968" spans="7:7" ht="10.5" customHeight="1" x14ac:dyDescent="0.2">
      <c r="G60968" s="889"/>
    </row>
    <row r="60969" spans="7:7" ht="10.5" customHeight="1" x14ac:dyDescent="0.2">
      <c r="G60969" s="889"/>
    </row>
    <row r="60970" spans="7:7" ht="10.5" customHeight="1" x14ac:dyDescent="0.2">
      <c r="G60970" s="889"/>
    </row>
    <row r="60971" spans="7:7" ht="10.5" customHeight="1" x14ac:dyDescent="0.2">
      <c r="G60971" s="889"/>
    </row>
    <row r="60972" spans="7:7" ht="10.5" customHeight="1" x14ac:dyDescent="0.2">
      <c r="G60972" s="889"/>
    </row>
    <row r="60973" spans="7:7" ht="10.5" customHeight="1" x14ac:dyDescent="0.2">
      <c r="G60973" s="889"/>
    </row>
    <row r="60974" spans="7:7" ht="10.5" customHeight="1" x14ac:dyDescent="0.2">
      <c r="G60974" s="889"/>
    </row>
    <row r="60975" spans="7:7" ht="10.5" customHeight="1" x14ac:dyDescent="0.2">
      <c r="G60975" s="889"/>
    </row>
    <row r="60976" spans="7:7" ht="10.5" customHeight="1" x14ac:dyDescent="0.2">
      <c r="G60976" s="889"/>
    </row>
    <row r="60977" spans="7:7" ht="10.5" customHeight="1" x14ac:dyDescent="0.2">
      <c r="G60977" s="889"/>
    </row>
    <row r="60978" spans="7:7" ht="10.5" customHeight="1" x14ac:dyDescent="0.2">
      <c r="G60978" s="889"/>
    </row>
    <row r="60979" spans="7:7" ht="10.5" customHeight="1" x14ac:dyDescent="0.2">
      <c r="G60979" s="889"/>
    </row>
    <row r="60980" spans="7:7" ht="10.5" customHeight="1" x14ac:dyDescent="0.2">
      <c r="G60980" s="889"/>
    </row>
    <row r="60981" spans="7:7" ht="10.5" customHeight="1" x14ac:dyDescent="0.2">
      <c r="G60981" s="889"/>
    </row>
    <row r="60982" spans="7:7" ht="10.5" customHeight="1" x14ac:dyDescent="0.2">
      <c r="G60982" s="889"/>
    </row>
    <row r="60983" spans="7:7" ht="10.5" customHeight="1" x14ac:dyDescent="0.2">
      <c r="G60983" s="889"/>
    </row>
    <row r="60984" spans="7:7" ht="10.5" customHeight="1" x14ac:dyDescent="0.2">
      <c r="G60984" s="889"/>
    </row>
    <row r="60985" spans="7:7" ht="10.5" customHeight="1" x14ac:dyDescent="0.2">
      <c r="G60985" s="889"/>
    </row>
    <row r="60986" spans="7:7" ht="10.5" customHeight="1" x14ac:dyDescent="0.2">
      <c r="G60986" s="889"/>
    </row>
    <row r="60987" spans="7:7" ht="10.5" customHeight="1" x14ac:dyDescent="0.2">
      <c r="G60987" s="889"/>
    </row>
    <row r="60988" spans="7:7" ht="10.5" customHeight="1" x14ac:dyDescent="0.2">
      <c r="G60988" s="889"/>
    </row>
    <row r="60989" spans="7:7" ht="10.5" customHeight="1" x14ac:dyDescent="0.2">
      <c r="G60989" s="889"/>
    </row>
    <row r="60990" spans="7:7" ht="10.5" customHeight="1" x14ac:dyDescent="0.2">
      <c r="G60990" s="889"/>
    </row>
    <row r="60991" spans="7:7" ht="10.5" customHeight="1" x14ac:dyDescent="0.2">
      <c r="G60991" s="889"/>
    </row>
    <row r="60992" spans="7:7" ht="10.5" customHeight="1" x14ac:dyDescent="0.2">
      <c r="G60992" s="889"/>
    </row>
    <row r="60993" spans="7:7" ht="10.5" customHeight="1" x14ac:dyDescent="0.2">
      <c r="G60993" s="889"/>
    </row>
    <row r="60994" spans="7:7" ht="10.5" customHeight="1" x14ac:dyDescent="0.2">
      <c r="G60994" s="889"/>
    </row>
    <row r="60995" spans="7:7" ht="10.5" customHeight="1" x14ac:dyDescent="0.2">
      <c r="G60995" s="889"/>
    </row>
    <row r="60996" spans="7:7" ht="10.5" customHeight="1" x14ac:dyDescent="0.2">
      <c r="G60996" s="889"/>
    </row>
    <row r="60997" spans="7:7" ht="10.5" customHeight="1" x14ac:dyDescent="0.2">
      <c r="G60997" s="889"/>
    </row>
    <row r="60998" spans="7:7" ht="10.5" customHeight="1" x14ac:dyDescent="0.2">
      <c r="G60998" s="889"/>
    </row>
    <row r="60999" spans="7:7" ht="10.5" customHeight="1" x14ac:dyDescent="0.2">
      <c r="G60999" s="889"/>
    </row>
    <row r="61000" spans="7:7" ht="10.5" customHeight="1" x14ac:dyDescent="0.2">
      <c r="G61000" s="889"/>
    </row>
    <row r="61001" spans="7:7" ht="10.5" customHeight="1" x14ac:dyDescent="0.2">
      <c r="G61001" s="889"/>
    </row>
    <row r="61002" spans="7:7" ht="10.5" customHeight="1" x14ac:dyDescent="0.2">
      <c r="G61002" s="889"/>
    </row>
    <row r="61003" spans="7:7" ht="10.5" customHeight="1" x14ac:dyDescent="0.2">
      <c r="G61003" s="889"/>
    </row>
    <row r="61004" spans="7:7" ht="10.5" customHeight="1" x14ac:dyDescent="0.2">
      <c r="G61004" s="889"/>
    </row>
    <row r="61005" spans="7:7" ht="10.5" customHeight="1" x14ac:dyDescent="0.2">
      <c r="G61005" s="889"/>
    </row>
    <row r="61006" spans="7:7" ht="10.5" customHeight="1" x14ac:dyDescent="0.2">
      <c r="G61006" s="889"/>
    </row>
    <row r="61007" spans="7:7" ht="10.5" customHeight="1" x14ac:dyDescent="0.2">
      <c r="G61007" s="889"/>
    </row>
    <row r="61008" spans="7:7" ht="10.5" customHeight="1" x14ac:dyDescent="0.2">
      <c r="G61008" s="889"/>
    </row>
    <row r="61009" spans="7:7" ht="10.5" customHeight="1" x14ac:dyDescent="0.2">
      <c r="G61009" s="889"/>
    </row>
    <row r="61010" spans="7:7" ht="10.5" customHeight="1" x14ac:dyDescent="0.2">
      <c r="G61010" s="889"/>
    </row>
    <row r="61011" spans="7:7" ht="10.5" customHeight="1" x14ac:dyDescent="0.2">
      <c r="G61011" s="889"/>
    </row>
    <row r="61012" spans="7:7" ht="10.5" customHeight="1" x14ac:dyDescent="0.2">
      <c r="G61012" s="889"/>
    </row>
    <row r="61013" spans="7:7" ht="10.5" customHeight="1" x14ac:dyDescent="0.2">
      <c r="G61013" s="889"/>
    </row>
    <row r="61014" spans="7:7" ht="10.5" customHeight="1" x14ac:dyDescent="0.2">
      <c r="G61014" s="889"/>
    </row>
    <row r="61015" spans="7:7" ht="10.5" customHeight="1" x14ac:dyDescent="0.2">
      <c r="G61015" s="889"/>
    </row>
    <row r="61016" spans="7:7" ht="10.5" customHeight="1" x14ac:dyDescent="0.2">
      <c r="G61016" s="889"/>
    </row>
    <row r="61017" spans="7:7" ht="10.5" customHeight="1" x14ac:dyDescent="0.2">
      <c r="G61017" s="889"/>
    </row>
    <row r="61018" spans="7:7" ht="10.5" customHeight="1" x14ac:dyDescent="0.2">
      <c r="G61018" s="889"/>
    </row>
    <row r="61019" spans="7:7" ht="10.5" customHeight="1" x14ac:dyDescent="0.2">
      <c r="G61019" s="889"/>
    </row>
    <row r="61020" spans="7:7" ht="10.5" customHeight="1" x14ac:dyDescent="0.2">
      <c r="G61020" s="889"/>
    </row>
    <row r="61021" spans="7:7" ht="10.5" customHeight="1" x14ac:dyDescent="0.2">
      <c r="G61021" s="889"/>
    </row>
    <row r="61022" spans="7:7" ht="10.5" customHeight="1" x14ac:dyDescent="0.2">
      <c r="G61022" s="889"/>
    </row>
    <row r="61023" spans="7:7" ht="10.5" customHeight="1" x14ac:dyDescent="0.2">
      <c r="G61023" s="889"/>
    </row>
    <row r="61024" spans="7:7" ht="10.5" customHeight="1" x14ac:dyDescent="0.2">
      <c r="G61024" s="889"/>
    </row>
    <row r="61025" spans="7:7" ht="10.5" customHeight="1" x14ac:dyDescent="0.2">
      <c r="G61025" s="889"/>
    </row>
    <row r="61026" spans="7:7" ht="10.5" customHeight="1" x14ac:dyDescent="0.2">
      <c r="G61026" s="889"/>
    </row>
    <row r="61027" spans="7:7" ht="10.5" customHeight="1" x14ac:dyDescent="0.2">
      <c r="G61027" s="889"/>
    </row>
    <row r="61028" spans="7:7" ht="10.5" customHeight="1" x14ac:dyDescent="0.2">
      <c r="G61028" s="889"/>
    </row>
    <row r="61029" spans="7:7" ht="10.5" customHeight="1" x14ac:dyDescent="0.2">
      <c r="G61029" s="889"/>
    </row>
    <row r="61030" spans="7:7" ht="10.5" customHeight="1" x14ac:dyDescent="0.2">
      <c r="G61030" s="889"/>
    </row>
    <row r="61031" spans="7:7" ht="10.5" customHeight="1" x14ac:dyDescent="0.2">
      <c r="G61031" s="889"/>
    </row>
    <row r="61032" spans="7:7" ht="10.5" customHeight="1" x14ac:dyDescent="0.2">
      <c r="G61032" s="889"/>
    </row>
    <row r="61033" spans="7:7" ht="10.5" customHeight="1" x14ac:dyDescent="0.2">
      <c r="G61033" s="889"/>
    </row>
    <row r="61034" spans="7:7" ht="10.5" customHeight="1" x14ac:dyDescent="0.2">
      <c r="G61034" s="889"/>
    </row>
    <row r="61035" spans="7:7" ht="10.5" customHeight="1" x14ac:dyDescent="0.2">
      <c r="G61035" s="889"/>
    </row>
    <row r="61036" spans="7:7" ht="10.5" customHeight="1" x14ac:dyDescent="0.2">
      <c r="G61036" s="889"/>
    </row>
    <row r="61037" spans="7:7" ht="10.5" customHeight="1" x14ac:dyDescent="0.2">
      <c r="G61037" s="889"/>
    </row>
    <row r="61038" spans="7:7" ht="10.5" customHeight="1" x14ac:dyDescent="0.2">
      <c r="G61038" s="889"/>
    </row>
    <row r="61039" spans="7:7" ht="10.5" customHeight="1" x14ac:dyDescent="0.2">
      <c r="G61039" s="889"/>
    </row>
    <row r="61040" spans="7:7" ht="10.5" customHeight="1" x14ac:dyDescent="0.2">
      <c r="G61040" s="889"/>
    </row>
    <row r="61041" spans="7:7" ht="10.5" customHeight="1" x14ac:dyDescent="0.2">
      <c r="G61041" s="889"/>
    </row>
    <row r="61042" spans="7:7" ht="10.5" customHeight="1" x14ac:dyDescent="0.2">
      <c r="G61042" s="889"/>
    </row>
    <row r="61043" spans="7:7" ht="10.5" customHeight="1" x14ac:dyDescent="0.2">
      <c r="G61043" s="889"/>
    </row>
    <row r="61044" spans="7:7" ht="10.5" customHeight="1" x14ac:dyDescent="0.2">
      <c r="G61044" s="889"/>
    </row>
    <row r="61045" spans="7:7" ht="10.5" customHeight="1" x14ac:dyDescent="0.2">
      <c r="G61045" s="889"/>
    </row>
    <row r="61046" spans="7:7" ht="10.5" customHeight="1" x14ac:dyDescent="0.2">
      <c r="G61046" s="889"/>
    </row>
    <row r="61047" spans="7:7" ht="10.5" customHeight="1" x14ac:dyDescent="0.2">
      <c r="G61047" s="889"/>
    </row>
    <row r="61048" spans="7:7" ht="10.5" customHeight="1" x14ac:dyDescent="0.2">
      <c r="G61048" s="889"/>
    </row>
    <row r="61049" spans="7:7" ht="10.5" customHeight="1" x14ac:dyDescent="0.2">
      <c r="G61049" s="889"/>
    </row>
    <row r="61050" spans="7:7" ht="10.5" customHeight="1" x14ac:dyDescent="0.2">
      <c r="G61050" s="889"/>
    </row>
    <row r="61051" spans="7:7" ht="10.5" customHeight="1" x14ac:dyDescent="0.2">
      <c r="G61051" s="889"/>
    </row>
    <row r="61052" spans="7:7" ht="10.5" customHeight="1" x14ac:dyDescent="0.2">
      <c r="G61052" s="889"/>
    </row>
    <row r="61053" spans="7:7" ht="10.5" customHeight="1" x14ac:dyDescent="0.2">
      <c r="G61053" s="889"/>
    </row>
    <row r="61054" spans="7:7" ht="10.5" customHeight="1" x14ac:dyDescent="0.2">
      <c r="G61054" s="889"/>
    </row>
    <row r="61055" spans="7:7" ht="10.5" customHeight="1" x14ac:dyDescent="0.2">
      <c r="G61055" s="889"/>
    </row>
    <row r="61056" spans="7:7" ht="10.5" customHeight="1" x14ac:dyDescent="0.2">
      <c r="G61056" s="889"/>
    </row>
    <row r="61057" spans="7:7" ht="10.5" customHeight="1" x14ac:dyDescent="0.2">
      <c r="G61057" s="889"/>
    </row>
    <row r="61058" spans="7:7" ht="10.5" customHeight="1" x14ac:dyDescent="0.2">
      <c r="G61058" s="889"/>
    </row>
    <row r="61059" spans="7:7" ht="10.5" customHeight="1" x14ac:dyDescent="0.2">
      <c r="G61059" s="889"/>
    </row>
    <row r="61060" spans="7:7" ht="10.5" customHeight="1" x14ac:dyDescent="0.2">
      <c r="G61060" s="889"/>
    </row>
    <row r="61061" spans="7:7" ht="10.5" customHeight="1" x14ac:dyDescent="0.2">
      <c r="G61061" s="889"/>
    </row>
    <row r="61062" spans="7:7" ht="10.5" customHeight="1" x14ac:dyDescent="0.2">
      <c r="G61062" s="889"/>
    </row>
    <row r="61063" spans="7:7" ht="10.5" customHeight="1" x14ac:dyDescent="0.2">
      <c r="G61063" s="889"/>
    </row>
    <row r="61064" spans="7:7" ht="10.5" customHeight="1" x14ac:dyDescent="0.2">
      <c r="G61064" s="889"/>
    </row>
    <row r="61065" spans="7:7" ht="10.5" customHeight="1" x14ac:dyDescent="0.2">
      <c r="G61065" s="889"/>
    </row>
    <row r="61066" spans="7:7" ht="10.5" customHeight="1" x14ac:dyDescent="0.2">
      <c r="G61066" s="889"/>
    </row>
    <row r="61067" spans="7:7" ht="10.5" customHeight="1" x14ac:dyDescent="0.2">
      <c r="G61067" s="889"/>
    </row>
    <row r="61068" spans="7:7" ht="10.5" customHeight="1" x14ac:dyDescent="0.2">
      <c r="G61068" s="889"/>
    </row>
    <row r="61069" spans="7:7" ht="10.5" customHeight="1" x14ac:dyDescent="0.2">
      <c r="G61069" s="889"/>
    </row>
    <row r="61070" spans="7:7" ht="10.5" customHeight="1" x14ac:dyDescent="0.2">
      <c r="G61070" s="889"/>
    </row>
    <row r="61071" spans="7:7" ht="10.5" customHeight="1" x14ac:dyDescent="0.2">
      <c r="G61071" s="889"/>
    </row>
    <row r="61072" spans="7:7" ht="10.5" customHeight="1" x14ac:dyDescent="0.2">
      <c r="G61072" s="889"/>
    </row>
    <row r="61073" spans="7:7" ht="10.5" customHeight="1" x14ac:dyDescent="0.2">
      <c r="G61073" s="889"/>
    </row>
    <row r="61074" spans="7:7" ht="10.5" customHeight="1" x14ac:dyDescent="0.2">
      <c r="G61074" s="889"/>
    </row>
    <row r="61075" spans="7:7" ht="10.5" customHeight="1" x14ac:dyDescent="0.2">
      <c r="G61075" s="889"/>
    </row>
    <row r="61076" spans="7:7" ht="10.5" customHeight="1" x14ac:dyDescent="0.2">
      <c r="G61076" s="889"/>
    </row>
    <row r="61077" spans="7:7" ht="10.5" customHeight="1" x14ac:dyDescent="0.2">
      <c r="G61077" s="889"/>
    </row>
    <row r="61078" spans="7:7" ht="10.5" customHeight="1" x14ac:dyDescent="0.2">
      <c r="G61078" s="889"/>
    </row>
    <row r="61079" spans="7:7" ht="10.5" customHeight="1" x14ac:dyDescent="0.2">
      <c r="G61079" s="889"/>
    </row>
    <row r="61080" spans="7:7" ht="10.5" customHeight="1" x14ac:dyDescent="0.2">
      <c r="G61080" s="889"/>
    </row>
    <row r="61081" spans="7:7" ht="10.5" customHeight="1" x14ac:dyDescent="0.2">
      <c r="G61081" s="889"/>
    </row>
    <row r="61082" spans="7:7" ht="10.5" customHeight="1" x14ac:dyDescent="0.2">
      <c r="G61082" s="889"/>
    </row>
    <row r="61083" spans="7:7" ht="10.5" customHeight="1" x14ac:dyDescent="0.2">
      <c r="G61083" s="889"/>
    </row>
    <row r="61084" spans="7:7" ht="10.5" customHeight="1" x14ac:dyDescent="0.2">
      <c r="G61084" s="889"/>
    </row>
    <row r="61085" spans="7:7" ht="10.5" customHeight="1" x14ac:dyDescent="0.2">
      <c r="G61085" s="889"/>
    </row>
    <row r="61086" spans="7:7" ht="10.5" customHeight="1" x14ac:dyDescent="0.2">
      <c r="G61086" s="889"/>
    </row>
    <row r="61087" spans="7:7" ht="10.5" customHeight="1" x14ac:dyDescent="0.2">
      <c r="G61087" s="889"/>
    </row>
    <row r="61088" spans="7:7" ht="10.5" customHeight="1" x14ac:dyDescent="0.2">
      <c r="G61088" s="889"/>
    </row>
    <row r="61089" spans="7:7" ht="10.5" customHeight="1" x14ac:dyDescent="0.2">
      <c r="G61089" s="889"/>
    </row>
    <row r="61090" spans="7:7" ht="10.5" customHeight="1" x14ac:dyDescent="0.2">
      <c r="G61090" s="889"/>
    </row>
    <row r="61091" spans="7:7" ht="10.5" customHeight="1" x14ac:dyDescent="0.2">
      <c r="G61091" s="889"/>
    </row>
    <row r="61092" spans="7:7" ht="10.5" customHeight="1" x14ac:dyDescent="0.2">
      <c r="G61092" s="889"/>
    </row>
    <row r="61093" spans="7:7" ht="10.5" customHeight="1" x14ac:dyDescent="0.2">
      <c r="G61093" s="889"/>
    </row>
    <row r="61094" spans="7:7" ht="10.5" customHeight="1" x14ac:dyDescent="0.2">
      <c r="G61094" s="889"/>
    </row>
    <row r="61095" spans="7:7" ht="10.5" customHeight="1" x14ac:dyDescent="0.2">
      <c r="G61095" s="889"/>
    </row>
    <row r="61096" spans="7:7" ht="10.5" customHeight="1" x14ac:dyDescent="0.2">
      <c r="G61096" s="889"/>
    </row>
    <row r="61097" spans="7:7" ht="10.5" customHeight="1" x14ac:dyDescent="0.2">
      <c r="G61097" s="889"/>
    </row>
    <row r="61098" spans="7:7" ht="10.5" customHeight="1" x14ac:dyDescent="0.2">
      <c r="G61098" s="889"/>
    </row>
    <row r="61099" spans="7:7" ht="10.5" customHeight="1" x14ac:dyDescent="0.2">
      <c r="G61099" s="889"/>
    </row>
    <row r="61100" spans="7:7" ht="10.5" customHeight="1" x14ac:dyDescent="0.2">
      <c r="G61100" s="889"/>
    </row>
    <row r="61101" spans="7:7" ht="10.5" customHeight="1" x14ac:dyDescent="0.2">
      <c r="G61101" s="889"/>
    </row>
    <row r="61102" spans="7:7" ht="10.5" customHeight="1" x14ac:dyDescent="0.2">
      <c r="G61102" s="889"/>
    </row>
    <row r="61103" spans="7:7" ht="10.5" customHeight="1" x14ac:dyDescent="0.2">
      <c r="G61103" s="889"/>
    </row>
    <row r="61104" spans="7:7" ht="10.5" customHeight="1" x14ac:dyDescent="0.2">
      <c r="G61104" s="889"/>
    </row>
    <row r="61105" spans="7:7" ht="10.5" customHeight="1" x14ac:dyDescent="0.2">
      <c r="G61105" s="889"/>
    </row>
    <row r="61106" spans="7:7" ht="10.5" customHeight="1" x14ac:dyDescent="0.2">
      <c r="G61106" s="889"/>
    </row>
    <row r="61107" spans="7:7" ht="10.5" customHeight="1" x14ac:dyDescent="0.2">
      <c r="G61107" s="889"/>
    </row>
    <row r="61108" spans="7:7" ht="10.5" customHeight="1" x14ac:dyDescent="0.2">
      <c r="G61108" s="889"/>
    </row>
    <row r="61109" spans="7:7" ht="10.5" customHeight="1" x14ac:dyDescent="0.2">
      <c r="G61109" s="889"/>
    </row>
    <row r="61110" spans="7:7" ht="10.5" customHeight="1" x14ac:dyDescent="0.2">
      <c r="G61110" s="889"/>
    </row>
    <row r="61111" spans="7:7" ht="10.5" customHeight="1" x14ac:dyDescent="0.2">
      <c r="G61111" s="889"/>
    </row>
    <row r="61112" spans="7:7" ht="10.5" customHeight="1" x14ac:dyDescent="0.2">
      <c r="G61112" s="889"/>
    </row>
    <row r="61113" spans="7:7" ht="10.5" customHeight="1" x14ac:dyDescent="0.2">
      <c r="G61113" s="889"/>
    </row>
    <row r="61114" spans="7:7" ht="10.5" customHeight="1" x14ac:dyDescent="0.2">
      <c r="G61114" s="889"/>
    </row>
    <row r="61115" spans="7:7" ht="10.5" customHeight="1" x14ac:dyDescent="0.2">
      <c r="G61115" s="889"/>
    </row>
    <row r="61116" spans="7:7" ht="10.5" customHeight="1" x14ac:dyDescent="0.2">
      <c r="G61116" s="889"/>
    </row>
    <row r="61117" spans="7:7" ht="10.5" customHeight="1" x14ac:dyDescent="0.2">
      <c r="G61117" s="889"/>
    </row>
    <row r="61118" spans="7:7" ht="10.5" customHeight="1" x14ac:dyDescent="0.2">
      <c r="G61118" s="889"/>
    </row>
    <row r="61119" spans="7:7" ht="10.5" customHeight="1" x14ac:dyDescent="0.2">
      <c r="G61119" s="889"/>
    </row>
    <row r="61120" spans="7:7" ht="10.5" customHeight="1" x14ac:dyDescent="0.2">
      <c r="G61120" s="889"/>
    </row>
    <row r="61121" spans="7:7" ht="10.5" customHeight="1" x14ac:dyDescent="0.2">
      <c r="G61121" s="889"/>
    </row>
    <row r="61122" spans="7:7" ht="10.5" customHeight="1" x14ac:dyDescent="0.2">
      <c r="G61122" s="889"/>
    </row>
    <row r="61123" spans="7:7" ht="10.5" customHeight="1" x14ac:dyDescent="0.2">
      <c r="G61123" s="889"/>
    </row>
    <row r="61124" spans="7:7" ht="10.5" customHeight="1" x14ac:dyDescent="0.2">
      <c r="G61124" s="889"/>
    </row>
    <row r="61125" spans="7:7" ht="10.5" customHeight="1" x14ac:dyDescent="0.2">
      <c r="G61125" s="889"/>
    </row>
    <row r="61126" spans="7:7" ht="10.5" customHeight="1" x14ac:dyDescent="0.2">
      <c r="G61126" s="889"/>
    </row>
    <row r="61127" spans="7:7" ht="10.5" customHeight="1" x14ac:dyDescent="0.2">
      <c r="G61127" s="889"/>
    </row>
    <row r="61128" spans="7:7" ht="10.5" customHeight="1" x14ac:dyDescent="0.2">
      <c r="G61128" s="889"/>
    </row>
    <row r="61129" spans="7:7" ht="10.5" customHeight="1" x14ac:dyDescent="0.2">
      <c r="G61129" s="889"/>
    </row>
    <row r="61130" spans="7:7" ht="10.5" customHeight="1" x14ac:dyDescent="0.2">
      <c r="G61130" s="889"/>
    </row>
    <row r="61131" spans="7:7" ht="10.5" customHeight="1" x14ac:dyDescent="0.2">
      <c r="G61131" s="889"/>
    </row>
    <row r="61132" spans="7:7" ht="10.5" customHeight="1" x14ac:dyDescent="0.2">
      <c r="G61132" s="889"/>
    </row>
    <row r="61133" spans="7:7" ht="10.5" customHeight="1" x14ac:dyDescent="0.2">
      <c r="G61133" s="889"/>
    </row>
    <row r="61134" spans="7:7" ht="10.5" customHeight="1" x14ac:dyDescent="0.2">
      <c r="G61134" s="889"/>
    </row>
    <row r="61135" spans="7:7" ht="10.5" customHeight="1" x14ac:dyDescent="0.2">
      <c r="G61135" s="889"/>
    </row>
    <row r="61136" spans="7:7" ht="10.5" customHeight="1" x14ac:dyDescent="0.2">
      <c r="G61136" s="889"/>
    </row>
    <row r="61137" spans="7:7" ht="10.5" customHeight="1" x14ac:dyDescent="0.2">
      <c r="G61137" s="889"/>
    </row>
    <row r="61138" spans="7:7" ht="10.5" customHeight="1" x14ac:dyDescent="0.2">
      <c r="G61138" s="889"/>
    </row>
    <row r="61139" spans="7:7" ht="10.5" customHeight="1" x14ac:dyDescent="0.2">
      <c r="G61139" s="889"/>
    </row>
    <row r="61140" spans="7:7" ht="10.5" customHeight="1" x14ac:dyDescent="0.2">
      <c r="G61140" s="889"/>
    </row>
    <row r="61141" spans="7:7" ht="10.5" customHeight="1" x14ac:dyDescent="0.2">
      <c r="G61141" s="889"/>
    </row>
    <row r="61142" spans="7:7" ht="10.5" customHeight="1" x14ac:dyDescent="0.2">
      <c r="G61142" s="889"/>
    </row>
    <row r="61143" spans="7:7" ht="10.5" customHeight="1" x14ac:dyDescent="0.2">
      <c r="G61143" s="889"/>
    </row>
    <row r="61144" spans="7:7" ht="10.5" customHeight="1" x14ac:dyDescent="0.2">
      <c r="G61144" s="889"/>
    </row>
    <row r="61145" spans="7:7" ht="10.5" customHeight="1" x14ac:dyDescent="0.2">
      <c r="G61145" s="889"/>
    </row>
    <row r="61146" spans="7:7" ht="10.5" customHeight="1" x14ac:dyDescent="0.2">
      <c r="G61146" s="889"/>
    </row>
    <row r="61147" spans="7:7" ht="10.5" customHeight="1" x14ac:dyDescent="0.2">
      <c r="G61147" s="889"/>
    </row>
    <row r="61148" spans="7:7" ht="10.5" customHeight="1" x14ac:dyDescent="0.2">
      <c r="G61148" s="889"/>
    </row>
    <row r="61149" spans="7:7" ht="10.5" customHeight="1" x14ac:dyDescent="0.2">
      <c r="G61149" s="889"/>
    </row>
    <row r="61150" spans="7:7" ht="10.5" customHeight="1" x14ac:dyDescent="0.2">
      <c r="G61150" s="889"/>
    </row>
    <row r="61151" spans="7:7" ht="10.5" customHeight="1" x14ac:dyDescent="0.2">
      <c r="G61151" s="889"/>
    </row>
    <row r="61152" spans="7:7" ht="10.5" customHeight="1" x14ac:dyDescent="0.2">
      <c r="G61152" s="889"/>
    </row>
    <row r="61153" spans="7:7" ht="10.5" customHeight="1" x14ac:dyDescent="0.2">
      <c r="G61153" s="889"/>
    </row>
    <row r="61154" spans="7:7" ht="10.5" customHeight="1" x14ac:dyDescent="0.2">
      <c r="G61154" s="889"/>
    </row>
    <row r="61155" spans="7:7" ht="10.5" customHeight="1" x14ac:dyDescent="0.2">
      <c r="G61155" s="889"/>
    </row>
    <row r="61156" spans="7:7" ht="10.5" customHeight="1" x14ac:dyDescent="0.2">
      <c r="G61156" s="889"/>
    </row>
    <row r="61157" spans="7:7" ht="10.5" customHeight="1" x14ac:dyDescent="0.2">
      <c r="G61157" s="889"/>
    </row>
    <row r="61158" spans="7:7" ht="10.5" customHeight="1" x14ac:dyDescent="0.2">
      <c r="G61158" s="889"/>
    </row>
    <row r="61159" spans="7:7" ht="10.5" customHeight="1" x14ac:dyDescent="0.2">
      <c r="G61159" s="889"/>
    </row>
    <row r="61160" spans="7:7" ht="10.5" customHeight="1" x14ac:dyDescent="0.2">
      <c r="G61160" s="889"/>
    </row>
    <row r="61161" spans="7:7" ht="10.5" customHeight="1" x14ac:dyDescent="0.2">
      <c r="G61161" s="889"/>
    </row>
    <row r="61162" spans="7:7" ht="10.5" customHeight="1" x14ac:dyDescent="0.2">
      <c r="G61162" s="889"/>
    </row>
    <row r="61163" spans="7:7" ht="10.5" customHeight="1" x14ac:dyDescent="0.2">
      <c r="G61163" s="889"/>
    </row>
    <row r="61164" spans="7:7" ht="10.5" customHeight="1" x14ac:dyDescent="0.2">
      <c r="G61164" s="889"/>
    </row>
    <row r="61165" spans="7:7" ht="10.5" customHeight="1" x14ac:dyDescent="0.2">
      <c r="G61165" s="889"/>
    </row>
    <row r="61166" spans="7:7" ht="10.5" customHeight="1" x14ac:dyDescent="0.2">
      <c r="G61166" s="889"/>
    </row>
    <row r="61167" spans="7:7" ht="10.5" customHeight="1" x14ac:dyDescent="0.2">
      <c r="G61167" s="889"/>
    </row>
    <row r="61168" spans="7:7" ht="10.5" customHeight="1" x14ac:dyDescent="0.2">
      <c r="G61168" s="889"/>
    </row>
    <row r="61169" spans="7:7" ht="10.5" customHeight="1" x14ac:dyDescent="0.2">
      <c r="G61169" s="889"/>
    </row>
    <row r="61170" spans="7:7" ht="10.5" customHeight="1" x14ac:dyDescent="0.2">
      <c r="G61170" s="889"/>
    </row>
    <row r="61171" spans="7:7" ht="10.5" customHeight="1" x14ac:dyDescent="0.2">
      <c r="G61171" s="889"/>
    </row>
    <row r="61172" spans="7:7" ht="10.5" customHeight="1" x14ac:dyDescent="0.2">
      <c r="G61172" s="889"/>
    </row>
    <row r="61173" spans="7:7" ht="10.5" customHeight="1" x14ac:dyDescent="0.2">
      <c r="G61173" s="889"/>
    </row>
    <row r="61174" spans="7:7" ht="10.5" customHeight="1" x14ac:dyDescent="0.2">
      <c r="G61174" s="889"/>
    </row>
    <row r="61175" spans="7:7" ht="10.5" customHeight="1" x14ac:dyDescent="0.2">
      <c r="G61175" s="889"/>
    </row>
    <row r="61176" spans="7:7" ht="10.5" customHeight="1" x14ac:dyDescent="0.2">
      <c r="G61176" s="889"/>
    </row>
    <row r="61177" spans="7:7" ht="10.5" customHeight="1" x14ac:dyDescent="0.2">
      <c r="G61177" s="889"/>
    </row>
    <row r="61178" spans="7:7" ht="10.5" customHeight="1" x14ac:dyDescent="0.2">
      <c r="G61178" s="889"/>
    </row>
    <row r="61179" spans="7:7" ht="10.5" customHeight="1" x14ac:dyDescent="0.2">
      <c r="G61179" s="889"/>
    </row>
    <row r="61180" spans="7:7" ht="10.5" customHeight="1" x14ac:dyDescent="0.2">
      <c r="G61180" s="889"/>
    </row>
    <row r="61181" spans="7:7" ht="10.5" customHeight="1" x14ac:dyDescent="0.2">
      <c r="G61181" s="889"/>
    </row>
    <row r="61182" spans="7:7" ht="10.5" customHeight="1" x14ac:dyDescent="0.2">
      <c r="G61182" s="889"/>
    </row>
    <row r="61183" spans="7:7" ht="10.5" customHeight="1" x14ac:dyDescent="0.2">
      <c r="G61183" s="889"/>
    </row>
    <row r="61184" spans="7:7" ht="10.5" customHeight="1" x14ac:dyDescent="0.2">
      <c r="G61184" s="889"/>
    </row>
    <row r="61185" spans="7:7" ht="10.5" customHeight="1" x14ac:dyDescent="0.2">
      <c r="G61185" s="889"/>
    </row>
    <row r="61186" spans="7:7" ht="10.5" customHeight="1" x14ac:dyDescent="0.2">
      <c r="G61186" s="889"/>
    </row>
    <row r="61187" spans="7:7" ht="10.5" customHeight="1" x14ac:dyDescent="0.2">
      <c r="G61187" s="889"/>
    </row>
    <row r="61188" spans="7:7" ht="10.5" customHeight="1" x14ac:dyDescent="0.2">
      <c r="G61188" s="889"/>
    </row>
    <row r="61189" spans="7:7" ht="10.5" customHeight="1" x14ac:dyDescent="0.2">
      <c r="G61189" s="889"/>
    </row>
    <row r="61190" spans="7:7" ht="10.5" customHeight="1" x14ac:dyDescent="0.2">
      <c r="G61190" s="889"/>
    </row>
    <row r="61191" spans="7:7" ht="10.5" customHeight="1" x14ac:dyDescent="0.2">
      <c r="G61191" s="889"/>
    </row>
    <row r="61192" spans="7:7" ht="10.5" customHeight="1" x14ac:dyDescent="0.2">
      <c r="G61192" s="889"/>
    </row>
    <row r="61193" spans="7:7" ht="10.5" customHeight="1" x14ac:dyDescent="0.2">
      <c r="G61193" s="889"/>
    </row>
    <row r="61194" spans="7:7" ht="10.5" customHeight="1" x14ac:dyDescent="0.2">
      <c r="G61194" s="889"/>
    </row>
    <row r="61195" spans="7:7" ht="10.5" customHeight="1" x14ac:dyDescent="0.2">
      <c r="G61195" s="889"/>
    </row>
    <row r="61196" spans="7:7" ht="10.5" customHeight="1" x14ac:dyDescent="0.2">
      <c r="G61196" s="889"/>
    </row>
    <row r="61197" spans="7:7" ht="10.5" customHeight="1" x14ac:dyDescent="0.2">
      <c r="G61197" s="889"/>
    </row>
    <row r="61198" spans="7:7" ht="10.5" customHeight="1" x14ac:dyDescent="0.2">
      <c r="G61198" s="889"/>
    </row>
    <row r="61199" spans="7:7" ht="10.5" customHeight="1" x14ac:dyDescent="0.2">
      <c r="G61199" s="889"/>
    </row>
    <row r="61200" spans="7:7" ht="10.5" customHeight="1" x14ac:dyDescent="0.2">
      <c r="G61200" s="889"/>
    </row>
    <row r="61201" spans="7:7" ht="10.5" customHeight="1" x14ac:dyDescent="0.2">
      <c r="G61201" s="889"/>
    </row>
    <row r="61202" spans="7:7" ht="10.5" customHeight="1" x14ac:dyDescent="0.2">
      <c r="G61202" s="889"/>
    </row>
    <row r="61203" spans="7:7" ht="10.5" customHeight="1" x14ac:dyDescent="0.2">
      <c r="G61203" s="889"/>
    </row>
    <row r="61204" spans="7:7" ht="10.5" customHeight="1" x14ac:dyDescent="0.2">
      <c r="G61204" s="889"/>
    </row>
    <row r="61205" spans="7:7" ht="10.5" customHeight="1" x14ac:dyDescent="0.2">
      <c r="G61205" s="889"/>
    </row>
    <row r="61206" spans="7:7" ht="10.5" customHeight="1" x14ac:dyDescent="0.2">
      <c r="G61206" s="889"/>
    </row>
    <row r="61207" spans="7:7" ht="10.5" customHeight="1" x14ac:dyDescent="0.2">
      <c r="G61207" s="889"/>
    </row>
    <row r="61208" spans="7:7" ht="10.5" customHeight="1" x14ac:dyDescent="0.2">
      <c r="G61208" s="889"/>
    </row>
    <row r="61209" spans="7:7" ht="10.5" customHeight="1" x14ac:dyDescent="0.2">
      <c r="G61209" s="889"/>
    </row>
    <row r="61210" spans="7:7" ht="10.5" customHeight="1" x14ac:dyDescent="0.2">
      <c r="G61210" s="889"/>
    </row>
    <row r="61211" spans="7:7" ht="10.5" customHeight="1" x14ac:dyDescent="0.2">
      <c r="G61211" s="889"/>
    </row>
    <row r="61212" spans="7:7" ht="10.5" customHeight="1" x14ac:dyDescent="0.2">
      <c r="G61212" s="889"/>
    </row>
    <row r="61213" spans="7:7" ht="10.5" customHeight="1" x14ac:dyDescent="0.2">
      <c r="G61213" s="889"/>
    </row>
    <row r="61214" spans="7:7" ht="10.5" customHeight="1" x14ac:dyDescent="0.2">
      <c r="G61214" s="889"/>
    </row>
    <row r="61215" spans="7:7" ht="10.5" customHeight="1" x14ac:dyDescent="0.2">
      <c r="G61215" s="889"/>
    </row>
    <row r="61216" spans="7:7" ht="10.5" customHeight="1" x14ac:dyDescent="0.2">
      <c r="G61216" s="889"/>
    </row>
    <row r="61217" spans="7:7" ht="10.5" customHeight="1" x14ac:dyDescent="0.2">
      <c r="G61217" s="889"/>
    </row>
    <row r="61218" spans="7:7" ht="10.5" customHeight="1" x14ac:dyDescent="0.2">
      <c r="G61218" s="889"/>
    </row>
    <row r="61219" spans="7:7" ht="10.5" customHeight="1" x14ac:dyDescent="0.2">
      <c r="G61219" s="889"/>
    </row>
    <row r="61220" spans="7:7" ht="10.5" customHeight="1" x14ac:dyDescent="0.2">
      <c r="G61220" s="889"/>
    </row>
    <row r="61221" spans="7:7" ht="10.5" customHeight="1" x14ac:dyDescent="0.2">
      <c r="G61221" s="889"/>
    </row>
    <row r="61222" spans="7:7" ht="10.5" customHeight="1" x14ac:dyDescent="0.2">
      <c r="G61222" s="889"/>
    </row>
    <row r="61223" spans="7:7" ht="10.5" customHeight="1" x14ac:dyDescent="0.2">
      <c r="G61223" s="889"/>
    </row>
    <row r="61224" spans="7:7" ht="10.5" customHeight="1" x14ac:dyDescent="0.2">
      <c r="G61224" s="889"/>
    </row>
    <row r="61225" spans="7:7" ht="10.5" customHeight="1" x14ac:dyDescent="0.2">
      <c r="G61225" s="889"/>
    </row>
    <row r="61226" spans="7:7" ht="10.5" customHeight="1" x14ac:dyDescent="0.2">
      <c r="G61226" s="889"/>
    </row>
    <row r="61227" spans="7:7" ht="10.5" customHeight="1" x14ac:dyDescent="0.2">
      <c r="G61227" s="889"/>
    </row>
    <row r="61228" spans="7:7" ht="10.5" customHeight="1" x14ac:dyDescent="0.2">
      <c r="G61228" s="889"/>
    </row>
    <row r="61229" spans="7:7" ht="10.5" customHeight="1" x14ac:dyDescent="0.2">
      <c r="G61229" s="889"/>
    </row>
    <row r="61230" spans="7:7" ht="10.5" customHeight="1" x14ac:dyDescent="0.2">
      <c r="G61230" s="889"/>
    </row>
    <row r="61231" spans="7:7" ht="10.5" customHeight="1" x14ac:dyDescent="0.2">
      <c r="G61231" s="889"/>
    </row>
    <row r="61232" spans="7:7" ht="10.5" customHeight="1" x14ac:dyDescent="0.2">
      <c r="G61232" s="889"/>
    </row>
    <row r="61233" spans="7:7" ht="10.5" customHeight="1" x14ac:dyDescent="0.2">
      <c r="G61233" s="889"/>
    </row>
    <row r="61234" spans="7:7" ht="10.5" customHeight="1" x14ac:dyDescent="0.2">
      <c r="G61234" s="889"/>
    </row>
    <row r="61235" spans="7:7" ht="10.5" customHeight="1" x14ac:dyDescent="0.2">
      <c r="G61235" s="889"/>
    </row>
    <row r="61236" spans="7:7" ht="10.5" customHeight="1" x14ac:dyDescent="0.2">
      <c r="G61236" s="889"/>
    </row>
    <row r="61237" spans="7:7" ht="10.5" customHeight="1" x14ac:dyDescent="0.2">
      <c r="G61237" s="889"/>
    </row>
    <row r="61238" spans="7:7" ht="10.5" customHeight="1" x14ac:dyDescent="0.2">
      <c r="G61238" s="889"/>
    </row>
    <row r="61239" spans="7:7" ht="10.5" customHeight="1" x14ac:dyDescent="0.2">
      <c r="G61239" s="889"/>
    </row>
    <row r="61240" spans="7:7" ht="10.5" customHeight="1" x14ac:dyDescent="0.2">
      <c r="G61240" s="889"/>
    </row>
    <row r="61241" spans="7:7" ht="10.5" customHeight="1" x14ac:dyDescent="0.2">
      <c r="G61241" s="889"/>
    </row>
    <row r="61242" spans="7:7" ht="10.5" customHeight="1" x14ac:dyDescent="0.2">
      <c r="G61242" s="889"/>
    </row>
    <row r="61243" spans="7:7" ht="10.5" customHeight="1" x14ac:dyDescent="0.2">
      <c r="G61243" s="889"/>
    </row>
    <row r="61244" spans="7:7" ht="10.5" customHeight="1" x14ac:dyDescent="0.2">
      <c r="G61244" s="889"/>
    </row>
    <row r="61245" spans="7:7" ht="10.5" customHeight="1" x14ac:dyDescent="0.2">
      <c r="G61245" s="889"/>
    </row>
    <row r="61246" spans="7:7" ht="10.5" customHeight="1" x14ac:dyDescent="0.2">
      <c r="G61246" s="889"/>
    </row>
    <row r="61247" spans="7:7" ht="10.5" customHeight="1" x14ac:dyDescent="0.2">
      <c r="G61247" s="889"/>
    </row>
    <row r="61248" spans="7:7" ht="10.5" customHeight="1" x14ac:dyDescent="0.2">
      <c r="G61248" s="889"/>
    </row>
    <row r="61249" spans="7:7" ht="10.5" customHeight="1" x14ac:dyDescent="0.2">
      <c r="G61249" s="889"/>
    </row>
    <row r="61250" spans="7:7" ht="10.5" customHeight="1" x14ac:dyDescent="0.2">
      <c r="G61250" s="889"/>
    </row>
    <row r="61251" spans="7:7" ht="10.5" customHeight="1" x14ac:dyDescent="0.2">
      <c r="G61251" s="889"/>
    </row>
    <row r="61252" spans="7:7" ht="10.5" customHeight="1" x14ac:dyDescent="0.2">
      <c r="G61252" s="889"/>
    </row>
    <row r="61253" spans="7:7" ht="10.5" customHeight="1" x14ac:dyDescent="0.2">
      <c r="G61253" s="889"/>
    </row>
    <row r="61254" spans="7:7" ht="10.5" customHeight="1" x14ac:dyDescent="0.2">
      <c r="G61254" s="889"/>
    </row>
    <row r="61255" spans="7:7" ht="10.5" customHeight="1" x14ac:dyDescent="0.2">
      <c r="G61255" s="889"/>
    </row>
    <row r="61256" spans="7:7" ht="10.5" customHeight="1" x14ac:dyDescent="0.2">
      <c r="G61256" s="889"/>
    </row>
    <row r="61257" spans="7:7" ht="10.5" customHeight="1" x14ac:dyDescent="0.2">
      <c r="G61257" s="889"/>
    </row>
    <row r="61258" spans="7:7" ht="10.5" customHeight="1" x14ac:dyDescent="0.2">
      <c r="G61258" s="889"/>
    </row>
    <row r="61259" spans="7:7" ht="10.5" customHeight="1" x14ac:dyDescent="0.2">
      <c r="G61259" s="889"/>
    </row>
    <row r="61260" spans="7:7" ht="10.5" customHeight="1" x14ac:dyDescent="0.2">
      <c r="G61260" s="889"/>
    </row>
    <row r="61261" spans="7:7" ht="10.5" customHeight="1" x14ac:dyDescent="0.2">
      <c r="G61261" s="889"/>
    </row>
    <row r="61262" spans="7:7" ht="10.5" customHeight="1" x14ac:dyDescent="0.2">
      <c r="G61262" s="889"/>
    </row>
    <row r="61263" spans="7:7" ht="10.5" customHeight="1" x14ac:dyDescent="0.2">
      <c r="G61263" s="889"/>
    </row>
    <row r="61264" spans="7:7" ht="10.5" customHeight="1" x14ac:dyDescent="0.2">
      <c r="G61264" s="889"/>
    </row>
    <row r="61265" spans="7:7" ht="10.5" customHeight="1" x14ac:dyDescent="0.2">
      <c r="G61265" s="889"/>
    </row>
    <row r="61266" spans="7:7" ht="10.5" customHeight="1" x14ac:dyDescent="0.2">
      <c r="G61266" s="889"/>
    </row>
    <row r="61267" spans="7:7" ht="10.5" customHeight="1" x14ac:dyDescent="0.2">
      <c r="G61267" s="889"/>
    </row>
    <row r="61268" spans="7:7" ht="10.5" customHeight="1" x14ac:dyDescent="0.2">
      <c r="G61268" s="889"/>
    </row>
    <row r="61269" spans="7:7" ht="10.5" customHeight="1" x14ac:dyDescent="0.2">
      <c r="G61269" s="889"/>
    </row>
    <row r="61270" spans="7:7" ht="10.5" customHeight="1" x14ac:dyDescent="0.2">
      <c r="G61270" s="889"/>
    </row>
    <row r="61271" spans="7:7" ht="10.5" customHeight="1" x14ac:dyDescent="0.2">
      <c r="G61271" s="889"/>
    </row>
    <row r="61272" spans="7:7" ht="10.5" customHeight="1" x14ac:dyDescent="0.2">
      <c r="G61272" s="889"/>
    </row>
    <row r="61273" spans="7:7" ht="10.5" customHeight="1" x14ac:dyDescent="0.2">
      <c r="G61273" s="889"/>
    </row>
    <row r="61274" spans="7:7" ht="10.5" customHeight="1" x14ac:dyDescent="0.2">
      <c r="G61274" s="889"/>
    </row>
    <row r="61275" spans="7:7" ht="10.5" customHeight="1" x14ac:dyDescent="0.2">
      <c r="G61275" s="889"/>
    </row>
    <row r="61276" spans="7:7" ht="10.5" customHeight="1" x14ac:dyDescent="0.2">
      <c r="G61276" s="889"/>
    </row>
    <row r="61277" spans="7:7" ht="10.5" customHeight="1" x14ac:dyDescent="0.2">
      <c r="G61277" s="889"/>
    </row>
    <row r="61278" spans="7:7" ht="10.5" customHeight="1" x14ac:dyDescent="0.2">
      <c r="G61278" s="889"/>
    </row>
    <row r="61279" spans="7:7" ht="10.5" customHeight="1" x14ac:dyDescent="0.2">
      <c r="G61279" s="889"/>
    </row>
    <row r="61280" spans="7:7" ht="10.5" customHeight="1" x14ac:dyDescent="0.2">
      <c r="G61280" s="889"/>
    </row>
    <row r="61281" spans="7:7" ht="10.5" customHeight="1" x14ac:dyDescent="0.2">
      <c r="G61281" s="889"/>
    </row>
    <row r="61282" spans="7:7" ht="10.5" customHeight="1" x14ac:dyDescent="0.2">
      <c r="G61282" s="889"/>
    </row>
    <row r="61283" spans="7:7" ht="10.5" customHeight="1" x14ac:dyDescent="0.2">
      <c r="G61283" s="889"/>
    </row>
    <row r="61284" spans="7:7" ht="10.5" customHeight="1" x14ac:dyDescent="0.2">
      <c r="G61284" s="889"/>
    </row>
    <row r="61285" spans="7:7" ht="10.5" customHeight="1" x14ac:dyDescent="0.2">
      <c r="G61285" s="889"/>
    </row>
    <row r="61286" spans="7:7" ht="10.5" customHeight="1" x14ac:dyDescent="0.2">
      <c r="G61286" s="889"/>
    </row>
    <row r="61287" spans="7:7" ht="10.5" customHeight="1" x14ac:dyDescent="0.2">
      <c r="G61287" s="889"/>
    </row>
    <row r="61288" spans="7:7" ht="10.5" customHeight="1" x14ac:dyDescent="0.2">
      <c r="G61288" s="889"/>
    </row>
    <row r="61289" spans="7:7" ht="10.5" customHeight="1" x14ac:dyDescent="0.2">
      <c r="G61289" s="889"/>
    </row>
    <row r="61290" spans="7:7" ht="10.5" customHeight="1" x14ac:dyDescent="0.2">
      <c r="G61290" s="889"/>
    </row>
    <row r="61291" spans="7:7" ht="10.5" customHeight="1" x14ac:dyDescent="0.2">
      <c r="G61291" s="889"/>
    </row>
    <row r="61292" spans="7:7" ht="10.5" customHeight="1" x14ac:dyDescent="0.2">
      <c r="G61292" s="889"/>
    </row>
    <row r="61293" spans="7:7" ht="10.5" customHeight="1" x14ac:dyDescent="0.2">
      <c r="G61293" s="889"/>
    </row>
    <row r="61294" spans="7:7" ht="10.5" customHeight="1" x14ac:dyDescent="0.2">
      <c r="G61294" s="889"/>
    </row>
    <row r="61295" spans="7:7" ht="10.5" customHeight="1" x14ac:dyDescent="0.2">
      <c r="G61295" s="889"/>
    </row>
    <row r="61296" spans="7:7" ht="10.5" customHeight="1" x14ac:dyDescent="0.2">
      <c r="G61296" s="889"/>
    </row>
    <row r="61297" spans="7:7" ht="10.5" customHeight="1" x14ac:dyDescent="0.2">
      <c r="G61297" s="889"/>
    </row>
    <row r="61298" spans="7:7" ht="10.5" customHeight="1" x14ac:dyDescent="0.2">
      <c r="G61298" s="889"/>
    </row>
    <row r="61299" spans="7:7" ht="10.5" customHeight="1" x14ac:dyDescent="0.2">
      <c r="G61299" s="889"/>
    </row>
    <row r="61300" spans="7:7" ht="10.5" customHeight="1" x14ac:dyDescent="0.2">
      <c r="G61300" s="889"/>
    </row>
    <row r="61301" spans="7:7" ht="10.5" customHeight="1" x14ac:dyDescent="0.2">
      <c r="G61301" s="889"/>
    </row>
    <row r="61302" spans="7:7" ht="10.5" customHeight="1" x14ac:dyDescent="0.2">
      <c r="G61302" s="889"/>
    </row>
    <row r="61303" spans="7:7" ht="10.5" customHeight="1" x14ac:dyDescent="0.2">
      <c r="G61303" s="889"/>
    </row>
    <row r="61304" spans="7:7" ht="10.5" customHeight="1" x14ac:dyDescent="0.2">
      <c r="G61304" s="889"/>
    </row>
    <row r="61305" spans="7:7" ht="10.5" customHeight="1" x14ac:dyDescent="0.2">
      <c r="G61305" s="889"/>
    </row>
    <row r="61306" spans="7:7" ht="10.5" customHeight="1" x14ac:dyDescent="0.2">
      <c r="G61306" s="889"/>
    </row>
    <row r="61307" spans="7:7" ht="10.5" customHeight="1" x14ac:dyDescent="0.2">
      <c r="G61307" s="889"/>
    </row>
    <row r="61308" spans="7:7" ht="10.5" customHeight="1" x14ac:dyDescent="0.2">
      <c r="G61308" s="889"/>
    </row>
    <row r="61309" spans="7:7" ht="10.5" customHeight="1" x14ac:dyDescent="0.2">
      <c r="G61309" s="889"/>
    </row>
    <row r="61310" spans="7:7" ht="10.5" customHeight="1" x14ac:dyDescent="0.2">
      <c r="G61310" s="889"/>
    </row>
    <row r="61311" spans="7:7" ht="10.5" customHeight="1" x14ac:dyDescent="0.2">
      <c r="G61311" s="889"/>
    </row>
    <row r="61312" spans="7:7" ht="10.5" customHeight="1" x14ac:dyDescent="0.2">
      <c r="G61312" s="889"/>
    </row>
    <row r="61313" spans="7:7" ht="10.5" customHeight="1" x14ac:dyDescent="0.2">
      <c r="G61313" s="889"/>
    </row>
    <row r="61314" spans="7:7" ht="10.5" customHeight="1" x14ac:dyDescent="0.2">
      <c r="G61314" s="889"/>
    </row>
    <row r="61315" spans="7:7" ht="10.5" customHeight="1" x14ac:dyDescent="0.2">
      <c r="G61315" s="889"/>
    </row>
    <row r="61316" spans="7:7" ht="10.5" customHeight="1" x14ac:dyDescent="0.2">
      <c r="G61316" s="889"/>
    </row>
    <row r="61317" spans="7:7" ht="10.5" customHeight="1" x14ac:dyDescent="0.2">
      <c r="G61317" s="889"/>
    </row>
    <row r="61318" spans="7:7" ht="10.5" customHeight="1" x14ac:dyDescent="0.2">
      <c r="G61318" s="889"/>
    </row>
    <row r="61319" spans="7:7" ht="10.5" customHeight="1" x14ac:dyDescent="0.2">
      <c r="G61319" s="889"/>
    </row>
    <row r="61320" spans="7:7" ht="10.5" customHeight="1" x14ac:dyDescent="0.2">
      <c r="G61320" s="889"/>
    </row>
    <row r="61321" spans="7:7" ht="10.5" customHeight="1" x14ac:dyDescent="0.2">
      <c r="G61321" s="889"/>
    </row>
    <row r="61322" spans="7:7" ht="10.5" customHeight="1" x14ac:dyDescent="0.2">
      <c r="G61322" s="889"/>
    </row>
    <row r="61323" spans="7:7" ht="10.5" customHeight="1" x14ac:dyDescent="0.2">
      <c r="G61323" s="889"/>
    </row>
    <row r="61324" spans="7:7" ht="10.5" customHeight="1" x14ac:dyDescent="0.2">
      <c r="G61324" s="889"/>
    </row>
    <row r="61325" spans="7:7" ht="10.5" customHeight="1" x14ac:dyDescent="0.2">
      <c r="G61325" s="889"/>
    </row>
    <row r="61326" spans="7:7" ht="10.5" customHeight="1" x14ac:dyDescent="0.2">
      <c r="G61326" s="889"/>
    </row>
    <row r="61327" spans="7:7" ht="10.5" customHeight="1" x14ac:dyDescent="0.2">
      <c r="G61327" s="889"/>
    </row>
    <row r="61328" spans="7:7" ht="10.5" customHeight="1" x14ac:dyDescent="0.2">
      <c r="G61328" s="889"/>
    </row>
    <row r="61329" spans="7:7" ht="10.5" customHeight="1" x14ac:dyDescent="0.2">
      <c r="G61329" s="889"/>
    </row>
    <row r="61330" spans="7:7" ht="10.5" customHeight="1" x14ac:dyDescent="0.2">
      <c r="G61330" s="889"/>
    </row>
    <row r="61331" spans="7:7" ht="10.5" customHeight="1" x14ac:dyDescent="0.2">
      <c r="G61331" s="889"/>
    </row>
    <row r="61332" spans="7:7" ht="10.5" customHeight="1" x14ac:dyDescent="0.2">
      <c r="G61332" s="889"/>
    </row>
    <row r="61333" spans="7:7" ht="10.5" customHeight="1" x14ac:dyDescent="0.2">
      <c r="G61333" s="889"/>
    </row>
    <row r="61334" spans="7:7" ht="10.5" customHeight="1" x14ac:dyDescent="0.2">
      <c r="G61334" s="889"/>
    </row>
    <row r="61335" spans="7:7" ht="10.5" customHeight="1" x14ac:dyDescent="0.2">
      <c r="G61335" s="889"/>
    </row>
    <row r="61336" spans="7:7" ht="10.5" customHeight="1" x14ac:dyDescent="0.2">
      <c r="G61336" s="889"/>
    </row>
    <row r="61337" spans="7:7" ht="10.5" customHeight="1" x14ac:dyDescent="0.2">
      <c r="G61337" s="889"/>
    </row>
    <row r="61338" spans="7:7" ht="10.5" customHeight="1" x14ac:dyDescent="0.2">
      <c r="G61338" s="889"/>
    </row>
    <row r="61339" spans="7:7" ht="10.5" customHeight="1" x14ac:dyDescent="0.2">
      <c r="G61339" s="889"/>
    </row>
    <row r="61340" spans="7:7" ht="10.5" customHeight="1" x14ac:dyDescent="0.2">
      <c r="G61340" s="889"/>
    </row>
    <row r="61341" spans="7:7" ht="10.5" customHeight="1" x14ac:dyDescent="0.2">
      <c r="G61341" s="889"/>
    </row>
    <row r="61342" spans="7:7" ht="10.5" customHeight="1" x14ac:dyDescent="0.2">
      <c r="G61342" s="889"/>
    </row>
    <row r="61343" spans="7:7" ht="10.5" customHeight="1" x14ac:dyDescent="0.2">
      <c r="G61343" s="889"/>
    </row>
    <row r="61344" spans="7:7" ht="10.5" customHeight="1" x14ac:dyDescent="0.2">
      <c r="G61344" s="889"/>
    </row>
    <row r="61345" spans="7:7" ht="10.5" customHeight="1" x14ac:dyDescent="0.2">
      <c r="G61345" s="889"/>
    </row>
    <row r="61346" spans="7:7" ht="10.5" customHeight="1" x14ac:dyDescent="0.2">
      <c r="G61346" s="889"/>
    </row>
    <row r="61347" spans="7:7" ht="10.5" customHeight="1" x14ac:dyDescent="0.2">
      <c r="G61347" s="889"/>
    </row>
    <row r="61348" spans="7:7" ht="10.5" customHeight="1" x14ac:dyDescent="0.2">
      <c r="G61348" s="889"/>
    </row>
    <row r="61349" spans="7:7" ht="10.5" customHeight="1" x14ac:dyDescent="0.2">
      <c r="G61349" s="889"/>
    </row>
    <row r="61350" spans="7:7" ht="10.5" customHeight="1" x14ac:dyDescent="0.2">
      <c r="G61350" s="889"/>
    </row>
    <row r="61351" spans="7:7" ht="10.5" customHeight="1" x14ac:dyDescent="0.2">
      <c r="G61351" s="889"/>
    </row>
    <row r="61352" spans="7:7" ht="10.5" customHeight="1" x14ac:dyDescent="0.2">
      <c r="G61352" s="889"/>
    </row>
    <row r="61353" spans="7:7" ht="10.5" customHeight="1" x14ac:dyDescent="0.2">
      <c r="G61353" s="889"/>
    </row>
    <row r="61354" spans="7:7" ht="10.5" customHeight="1" x14ac:dyDescent="0.2">
      <c r="G61354" s="889"/>
    </row>
    <row r="61355" spans="7:7" ht="10.5" customHeight="1" x14ac:dyDescent="0.2">
      <c r="G61355" s="889"/>
    </row>
    <row r="61356" spans="7:7" ht="10.5" customHeight="1" x14ac:dyDescent="0.2">
      <c r="G61356" s="889"/>
    </row>
    <row r="61357" spans="7:7" ht="10.5" customHeight="1" x14ac:dyDescent="0.2">
      <c r="G61357" s="889"/>
    </row>
    <row r="61358" spans="7:7" ht="10.5" customHeight="1" x14ac:dyDescent="0.2">
      <c r="G61358" s="889"/>
    </row>
    <row r="61359" spans="7:7" ht="10.5" customHeight="1" x14ac:dyDescent="0.2">
      <c r="G61359" s="889"/>
    </row>
    <row r="61360" spans="7:7" ht="10.5" customHeight="1" x14ac:dyDescent="0.2">
      <c r="G61360" s="889"/>
    </row>
    <row r="61361" spans="7:7" ht="10.5" customHeight="1" x14ac:dyDescent="0.2">
      <c r="G61361" s="889"/>
    </row>
    <row r="61362" spans="7:7" ht="10.5" customHeight="1" x14ac:dyDescent="0.2">
      <c r="G61362" s="889"/>
    </row>
    <row r="61363" spans="7:7" ht="10.5" customHeight="1" x14ac:dyDescent="0.2">
      <c r="G61363" s="889"/>
    </row>
    <row r="61364" spans="7:7" ht="10.5" customHeight="1" x14ac:dyDescent="0.2">
      <c r="G61364" s="889"/>
    </row>
    <row r="61365" spans="7:7" ht="10.5" customHeight="1" x14ac:dyDescent="0.2">
      <c r="G61365" s="889"/>
    </row>
    <row r="61366" spans="7:7" ht="10.5" customHeight="1" x14ac:dyDescent="0.2">
      <c r="G61366" s="889"/>
    </row>
    <row r="61367" spans="7:7" ht="10.5" customHeight="1" x14ac:dyDescent="0.2">
      <c r="G61367" s="889"/>
    </row>
    <row r="61368" spans="7:7" ht="10.5" customHeight="1" x14ac:dyDescent="0.2">
      <c r="G61368" s="889"/>
    </row>
    <row r="61369" spans="7:7" ht="10.5" customHeight="1" x14ac:dyDescent="0.2">
      <c r="G61369" s="889"/>
    </row>
    <row r="61370" spans="7:7" ht="10.5" customHeight="1" x14ac:dyDescent="0.2">
      <c r="G61370" s="889"/>
    </row>
    <row r="61371" spans="7:7" ht="10.5" customHeight="1" x14ac:dyDescent="0.2">
      <c r="G61371" s="889"/>
    </row>
    <row r="61372" spans="7:7" ht="10.5" customHeight="1" x14ac:dyDescent="0.2">
      <c r="G61372" s="889"/>
    </row>
    <row r="61373" spans="7:7" ht="10.5" customHeight="1" x14ac:dyDescent="0.2">
      <c r="G61373" s="889"/>
    </row>
    <row r="61374" spans="7:7" ht="10.5" customHeight="1" x14ac:dyDescent="0.2">
      <c r="G61374" s="889"/>
    </row>
    <row r="61375" spans="7:7" ht="10.5" customHeight="1" x14ac:dyDescent="0.2">
      <c r="G61375" s="889"/>
    </row>
    <row r="61376" spans="7:7" ht="10.5" customHeight="1" x14ac:dyDescent="0.2">
      <c r="G61376" s="889"/>
    </row>
    <row r="61377" spans="7:7" ht="10.5" customHeight="1" x14ac:dyDescent="0.2">
      <c r="G61377" s="889"/>
    </row>
    <row r="61378" spans="7:7" ht="10.5" customHeight="1" x14ac:dyDescent="0.2">
      <c r="G61378" s="889"/>
    </row>
    <row r="61379" spans="7:7" ht="10.5" customHeight="1" x14ac:dyDescent="0.2">
      <c r="G61379" s="889"/>
    </row>
    <row r="61380" spans="7:7" ht="10.5" customHeight="1" x14ac:dyDescent="0.2">
      <c r="G61380" s="889"/>
    </row>
    <row r="61381" spans="7:7" ht="10.5" customHeight="1" x14ac:dyDescent="0.2">
      <c r="G61381" s="889"/>
    </row>
    <row r="61382" spans="7:7" ht="10.5" customHeight="1" x14ac:dyDescent="0.2">
      <c r="G61382" s="889"/>
    </row>
    <row r="61383" spans="7:7" ht="10.5" customHeight="1" x14ac:dyDescent="0.2">
      <c r="G61383" s="889"/>
    </row>
    <row r="61384" spans="7:7" ht="10.5" customHeight="1" x14ac:dyDescent="0.2">
      <c r="G61384" s="889"/>
    </row>
    <row r="61385" spans="7:7" ht="10.5" customHeight="1" x14ac:dyDescent="0.2">
      <c r="G61385" s="889"/>
    </row>
    <row r="61386" spans="7:7" ht="10.5" customHeight="1" x14ac:dyDescent="0.2">
      <c r="G61386" s="889"/>
    </row>
    <row r="61387" spans="7:7" ht="10.5" customHeight="1" x14ac:dyDescent="0.2">
      <c r="G61387" s="889"/>
    </row>
    <row r="61388" spans="7:7" ht="10.5" customHeight="1" x14ac:dyDescent="0.2">
      <c r="G61388" s="889"/>
    </row>
    <row r="61389" spans="7:7" ht="10.5" customHeight="1" x14ac:dyDescent="0.2">
      <c r="G61389" s="889"/>
    </row>
    <row r="61390" spans="7:7" ht="10.5" customHeight="1" x14ac:dyDescent="0.2">
      <c r="G61390" s="889"/>
    </row>
    <row r="61391" spans="7:7" ht="10.5" customHeight="1" x14ac:dyDescent="0.2">
      <c r="G61391" s="889"/>
    </row>
    <row r="61392" spans="7:7" ht="10.5" customHeight="1" x14ac:dyDescent="0.2">
      <c r="G61392" s="889"/>
    </row>
    <row r="61393" spans="7:7" ht="10.5" customHeight="1" x14ac:dyDescent="0.2">
      <c r="G61393" s="889"/>
    </row>
    <row r="61394" spans="7:7" ht="10.5" customHeight="1" x14ac:dyDescent="0.2">
      <c r="G61394" s="889"/>
    </row>
    <row r="61395" spans="7:7" ht="10.5" customHeight="1" x14ac:dyDescent="0.2">
      <c r="G61395" s="889"/>
    </row>
    <row r="61396" spans="7:7" ht="10.5" customHeight="1" x14ac:dyDescent="0.2">
      <c r="G61396" s="889"/>
    </row>
    <row r="61397" spans="7:7" ht="10.5" customHeight="1" x14ac:dyDescent="0.2">
      <c r="G61397" s="889"/>
    </row>
    <row r="61398" spans="7:7" ht="10.5" customHeight="1" x14ac:dyDescent="0.2">
      <c r="G61398" s="889"/>
    </row>
    <row r="61399" spans="7:7" ht="10.5" customHeight="1" x14ac:dyDescent="0.2">
      <c r="G61399" s="889"/>
    </row>
    <row r="61400" spans="7:7" ht="10.5" customHeight="1" x14ac:dyDescent="0.2">
      <c r="G61400" s="889"/>
    </row>
    <row r="61401" spans="7:7" ht="10.5" customHeight="1" x14ac:dyDescent="0.2">
      <c r="G61401" s="889"/>
    </row>
    <row r="61402" spans="7:7" ht="10.5" customHeight="1" x14ac:dyDescent="0.2">
      <c r="G61402" s="889"/>
    </row>
    <row r="61403" spans="7:7" ht="10.5" customHeight="1" x14ac:dyDescent="0.2">
      <c r="G61403" s="889"/>
    </row>
    <row r="61404" spans="7:7" ht="10.5" customHeight="1" x14ac:dyDescent="0.2">
      <c r="G61404" s="889"/>
    </row>
    <row r="61405" spans="7:7" ht="10.5" customHeight="1" x14ac:dyDescent="0.2">
      <c r="G61405" s="889"/>
    </row>
    <row r="61406" spans="7:7" ht="10.5" customHeight="1" x14ac:dyDescent="0.2">
      <c r="G61406" s="889"/>
    </row>
    <row r="61407" spans="7:7" ht="10.5" customHeight="1" x14ac:dyDescent="0.2">
      <c r="G61407" s="889"/>
    </row>
    <row r="61408" spans="7:7" ht="10.5" customHeight="1" x14ac:dyDescent="0.2">
      <c r="G61408" s="889"/>
    </row>
    <row r="61409" spans="7:7" ht="10.5" customHeight="1" x14ac:dyDescent="0.2">
      <c r="G61409" s="889"/>
    </row>
    <row r="61410" spans="7:7" ht="10.5" customHeight="1" x14ac:dyDescent="0.2">
      <c r="G61410" s="889"/>
    </row>
    <row r="61411" spans="7:7" ht="10.5" customHeight="1" x14ac:dyDescent="0.2">
      <c r="G61411" s="889"/>
    </row>
    <row r="61412" spans="7:7" ht="10.5" customHeight="1" x14ac:dyDescent="0.2">
      <c r="G61412" s="889"/>
    </row>
    <row r="61413" spans="7:7" ht="10.5" customHeight="1" x14ac:dyDescent="0.2">
      <c r="G61413" s="889"/>
    </row>
    <row r="61414" spans="7:7" ht="10.5" customHeight="1" x14ac:dyDescent="0.2">
      <c r="G61414" s="889"/>
    </row>
    <row r="61415" spans="7:7" ht="10.5" customHeight="1" x14ac:dyDescent="0.2">
      <c r="G61415" s="889"/>
    </row>
    <row r="61416" spans="7:7" ht="10.5" customHeight="1" x14ac:dyDescent="0.2">
      <c r="G61416" s="889"/>
    </row>
    <row r="61417" spans="7:7" ht="10.5" customHeight="1" x14ac:dyDescent="0.2">
      <c r="G61417" s="889"/>
    </row>
    <row r="61418" spans="7:7" ht="10.5" customHeight="1" x14ac:dyDescent="0.2">
      <c r="G61418" s="889"/>
    </row>
    <row r="61419" spans="7:7" ht="10.5" customHeight="1" x14ac:dyDescent="0.2">
      <c r="G61419" s="889"/>
    </row>
    <row r="61420" spans="7:7" ht="10.5" customHeight="1" x14ac:dyDescent="0.2">
      <c r="G61420" s="889"/>
    </row>
    <row r="61421" spans="7:7" ht="10.5" customHeight="1" x14ac:dyDescent="0.2">
      <c r="G61421" s="889"/>
    </row>
    <row r="61422" spans="7:7" ht="10.5" customHeight="1" x14ac:dyDescent="0.2">
      <c r="G61422" s="889"/>
    </row>
    <row r="61423" spans="7:7" ht="10.5" customHeight="1" x14ac:dyDescent="0.2">
      <c r="G61423" s="889"/>
    </row>
    <row r="61424" spans="7:7" ht="10.5" customHeight="1" x14ac:dyDescent="0.2">
      <c r="G61424" s="889"/>
    </row>
    <row r="61425" spans="7:7" ht="10.5" customHeight="1" x14ac:dyDescent="0.2">
      <c r="G61425" s="889"/>
    </row>
    <row r="61426" spans="7:7" ht="10.5" customHeight="1" x14ac:dyDescent="0.2">
      <c r="G61426" s="889"/>
    </row>
    <row r="61427" spans="7:7" ht="10.5" customHeight="1" x14ac:dyDescent="0.2">
      <c r="G61427" s="889"/>
    </row>
    <row r="61428" spans="7:7" ht="10.5" customHeight="1" x14ac:dyDescent="0.2">
      <c r="G61428" s="889"/>
    </row>
    <row r="61429" spans="7:7" ht="10.5" customHeight="1" x14ac:dyDescent="0.2">
      <c r="G61429" s="889"/>
    </row>
    <row r="61430" spans="7:7" ht="10.5" customHeight="1" x14ac:dyDescent="0.2">
      <c r="G61430" s="889"/>
    </row>
    <row r="61431" spans="7:7" ht="10.5" customHeight="1" x14ac:dyDescent="0.2">
      <c r="G61431" s="889"/>
    </row>
    <row r="61432" spans="7:7" ht="10.5" customHeight="1" x14ac:dyDescent="0.2">
      <c r="G61432" s="889"/>
    </row>
    <row r="61433" spans="7:7" ht="10.5" customHeight="1" x14ac:dyDescent="0.2">
      <c r="G61433" s="889"/>
    </row>
    <row r="61434" spans="7:7" ht="10.5" customHeight="1" x14ac:dyDescent="0.2">
      <c r="G61434" s="889"/>
    </row>
    <row r="61435" spans="7:7" ht="10.5" customHeight="1" x14ac:dyDescent="0.2">
      <c r="G61435" s="889"/>
    </row>
    <row r="61436" spans="7:7" ht="10.5" customHeight="1" x14ac:dyDescent="0.2">
      <c r="G61436" s="889"/>
    </row>
    <row r="61437" spans="7:7" ht="10.5" customHeight="1" x14ac:dyDescent="0.2">
      <c r="G61437" s="889"/>
    </row>
    <row r="61438" spans="7:7" ht="10.5" customHeight="1" x14ac:dyDescent="0.2">
      <c r="G61438" s="889"/>
    </row>
    <row r="61439" spans="7:7" ht="10.5" customHeight="1" x14ac:dyDescent="0.2">
      <c r="G61439" s="889"/>
    </row>
    <row r="61440" spans="7:7" ht="10.5" customHeight="1" x14ac:dyDescent="0.2">
      <c r="G61440" s="889"/>
    </row>
    <row r="61441" spans="7:7" ht="10.5" customHeight="1" x14ac:dyDescent="0.2">
      <c r="G61441" s="889"/>
    </row>
    <row r="61442" spans="7:7" ht="10.5" customHeight="1" x14ac:dyDescent="0.2">
      <c r="G61442" s="889"/>
    </row>
    <row r="61443" spans="7:7" ht="10.5" customHeight="1" x14ac:dyDescent="0.2">
      <c r="G61443" s="889"/>
    </row>
    <row r="61444" spans="7:7" ht="10.5" customHeight="1" x14ac:dyDescent="0.2">
      <c r="G61444" s="889"/>
    </row>
    <row r="61445" spans="7:7" ht="10.5" customHeight="1" x14ac:dyDescent="0.2">
      <c r="G61445" s="889"/>
    </row>
    <row r="61446" spans="7:7" ht="10.5" customHeight="1" x14ac:dyDescent="0.2">
      <c r="G61446" s="889"/>
    </row>
    <row r="61447" spans="7:7" ht="10.5" customHeight="1" x14ac:dyDescent="0.2">
      <c r="G61447" s="889"/>
    </row>
    <row r="61448" spans="7:7" ht="10.5" customHeight="1" x14ac:dyDescent="0.2">
      <c r="G61448" s="889"/>
    </row>
    <row r="61449" spans="7:7" ht="10.5" customHeight="1" x14ac:dyDescent="0.2">
      <c r="G61449" s="889"/>
    </row>
    <row r="61450" spans="7:7" ht="10.5" customHeight="1" x14ac:dyDescent="0.2">
      <c r="G61450" s="889"/>
    </row>
    <row r="61451" spans="7:7" ht="10.5" customHeight="1" x14ac:dyDescent="0.2">
      <c r="G61451" s="889"/>
    </row>
    <row r="61452" spans="7:7" ht="10.5" customHeight="1" x14ac:dyDescent="0.2">
      <c r="G61452" s="889"/>
    </row>
    <row r="61453" spans="7:7" ht="10.5" customHeight="1" x14ac:dyDescent="0.2">
      <c r="G61453" s="889"/>
    </row>
    <row r="61454" spans="7:7" ht="10.5" customHeight="1" x14ac:dyDescent="0.2">
      <c r="G61454" s="889"/>
    </row>
    <row r="61455" spans="7:7" ht="10.5" customHeight="1" x14ac:dyDescent="0.2">
      <c r="G61455" s="889"/>
    </row>
    <row r="61456" spans="7:7" ht="10.5" customHeight="1" x14ac:dyDescent="0.2">
      <c r="G61456" s="889"/>
    </row>
    <row r="61457" spans="7:7" ht="10.5" customHeight="1" x14ac:dyDescent="0.2">
      <c r="G61457" s="889"/>
    </row>
    <row r="61458" spans="7:7" ht="10.5" customHeight="1" x14ac:dyDescent="0.2">
      <c r="G61458" s="889"/>
    </row>
    <row r="61459" spans="7:7" ht="10.5" customHeight="1" x14ac:dyDescent="0.2">
      <c r="G61459" s="889"/>
    </row>
    <row r="61460" spans="7:7" ht="10.5" customHeight="1" x14ac:dyDescent="0.2">
      <c r="G61460" s="889"/>
    </row>
    <row r="61461" spans="7:7" ht="10.5" customHeight="1" x14ac:dyDescent="0.2">
      <c r="G61461" s="889"/>
    </row>
    <row r="61462" spans="7:7" ht="10.5" customHeight="1" x14ac:dyDescent="0.2">
      <c r="G61462" s="889"/>
    </row>
    <row r="61463" spans="7:7" ht="10.5" customHeight="1" x14ac:dyDescent="0.2">
      <c r="G61463" s="889"/>
    </row>
    <row r="61464" spans="7:7" ht="10.5" customHeight="1" x14ac:dyDescent="0.2">
      <c r="G61464" s="889"/>
    </row>
    <row r="61465" spans="7:7" ht="10.5" customHeight="1" x14ac:dyDescent="0.2">
      <c r="G61465" s="889"/>
    </row>
    <row r="61466" spans="7:7" ht="10.5" customHeight="1" x14ac:dyDescent="0.2">
      <c r="G61466" s="889"/>
    </row>
    <row r="61467" spans="7:7" ht="10.5" customHeight="1" x14ac:dyDescent="0.2">
      <c r="G61467" s="889"/>
    </row>
    <row r="61468" spans="7:7" ht="10.5" customHeight="1" x14ac:dyDescent="0.2">
      <c r="G61468" s="889"/>
    </row>
    <row r="61469" spans="7:7" ht="10.5" customHeight="1" x14ac:dyDescent="0.2">
      <c r="G61469" s="889"/>
    </row>
    <row r="61470" spans="7:7" ht="10.5" customHeight="1" x14ac:dyDescent="0.2">
      <c r="G61470" s="889"/>
    </row>
    <row r="61471" spans="7:7" ht="10.5" customHeight="1" x14ac:dyDescent="0.2">
      <c r="G61471" s="889"/>
    </row>
    <row r="61472" spans="7:7" ht="10.5" customHeight="1" x14ac:dyDescent="0.2">
      <c r="G61472" s="889"/>
    </row>
    <row r="61473" spans="7:7" ht="10.5" customHeight="1" x14ac:dyDescent="0.2">
      <c r="G61473" s="889"/>
    </row>
    <row r="61474" spans="7:7" ht="10.5" customHeight="1" x14ac:dyDescent="0.2">
      <c r="G61474" s="889"/>
    </row>
    <row r="61475" spans="7:7" ht="10.5" customHeight="1" x14ac:dyDescent="0.2">
      <c r="G61475" s="889"/>
    </row>
    <row r="61476" spans="7:7" ht="10.5" customHeight="1" x14ac:dyDescent="0.2">
      <c r="G61476" s="889"/>
    </row>
    <row r="61477" spans="7:7" ht="10.5" customHeight="1" x14ac:dyDescent="0.2">
      <c r="G61477" s="889"/>
    </row>
    <row r="61478" spans="7:7" ht="10.5" customHeight="1" x14ac:dyDescent="0.2">
      <c r="G61478" s="889"/>
    </row>
    <row r="61479" spans="7:7" ht="10.5" customHeight="1" x14ac:dyDescent="0.2">
      <c r="G61479" s="889"/>
    </row>
    <row r="61480" spans="7:7" ht="10.5" customHeight="1" x14ac:dyDescent="0.2">
      <c r="G61480" s="889"/>
    </row>
    <row r="61481" spans="7:7" ht="10.5" customHeight="1" x14ac:dyDescent="0.2">
      <c r="G61481" s="889"/>
    </row>
    <row r="61482" spans="7:7" ht="10.5" customHeight="1" x14ac:dyDescent="0.2">
      <c r="G61482" s="889"/>
    </row>
    <row r="61483" spans="7:7" ht="10.5" customHeight="1" x14ac:dyDescent="0.2">
      <c r="G61483" s="889"/>
    </row>
    <row r="61484" spans="7:7" ht="10.5" customHeight="1" x14ac:dyDescent="0.2">
      <c r="G61484" s="889"/>
    </row>
    <row r="61485" spans="7:7" ht="10.5" customHeight="1" x14ac:dyDescent="0.2">
      <c r="G61485" s="889"/>
    </row>
    <row r="61486" spans="7:7" ht="10.5" customHeight="1" x14ac:dyDescent="0.2">
      <c r="G61486" s="889"/>
    </row>
    <row r="61487" spans="7:7" ht="10.5" customHeight="1" x14ac:dyDescent="0.2">
      <c r="G61487" s="889"/>
    </row>
    <row r="61488" spans="7:7" ht="10.5" customHeight="1" x14ac:dyDescent="0.2">
      <c r="G61488" s="889"/>
    </row>
    <row r="61489" spans="7:7" ht="10.5" customHeight="1" x14ac:dyDescent="0.2">
      <c r="G61489" s="889"/>
    </row>
    <row r="61490" spans="7:7" ht="10.5" customHeight="1" x14ac:dyDescent="0.2">
      <c r="G61490" s="889"/>
    </row>
    <row r="61491" spans="7:7" ht="10.5" customHeight="1" x14ac:dyDescent="0.2">
      <c r="G61491" s="889"/>
    </row>
    <row r="61492" spans="7:7" ht="10.5" customHeight="1" x14ac:dyDescent="0.2">
      <c r="G61492" s="889"/>
    </row>
    <row r="61493" spans="7:7" ht="10.5" customHeight="1" x14ac:dyDescent="0.2">
      <c r="G61493" s="889"/>
    </row>
    <row r="61494" spans="7:7" ht="10.5" customHeight="1" x14ac:dyDescent="0.2">
      <c r="G61494" s="889"/>
    </row>
    <row r="61495" spans="7:7" ht="10.5" customHeight="1" x14ac:dyDescent="0.2">
      <c r="G61495" s="889"/>
    </row>
    <row r="61496" spans="7:7" ht="10.5" customHeight="1" x14ac:dyDescent="0.2">
      <c r="G61496" s="889"/>
    </row>
    <row r="61497" spans="7:7" ht="10.5" customHeight="1" x14ac:dyDescent="0.2">
      <c r="G61497" s="889"/>
    </row>
    <row r="61498" spans="7:7" ht="10.5" customHeight="1" x14ac:dyDescent="0.2">
      <c r="G61498" s="889"/>
    </row>
    <row r="61499" spans="7:7" ht="10.5" customHeight="1" x14ac:dyDescent="0.2">
      <c r="G61499" s="889"/>
    </row>
    <row r="61500" spans="7:7" ht="10.5" customHeight="1" x14ac:dyDescent="0.2">
      <c r="G61500" s="889"/>
    </row>
    <row r="61501" spans="7:7" ht="10.5" customHeight="1" x14ac:dyDescent="0.2">
      <c r="G61501" s="889"/>
    </row>
    <row r="61502" spans="7:7" ht="10.5" customHeight="1" x14ac:dyDescent="0.2">
      <c r="G61502" s="889"/>
    </row>
    <row r="61503" spans="7:7" ht="10.5" customHeight="1" x14ac:dyDescent="0.2">
      <c r="G61503" s="889"/>
    </row>
    <row r="61504" spans="7:7" ht="10.5" customHeight="1" x14ac:dyDescent="0.2">
      <c r="G61504" s="889"/>
    </row>
    <row r="61505" spans="7:7" ht="10.5" customHeight="1" x14ac:dyDescent="0.2">
      <c r="G61505" s="889"/>
    </row>
    <row r="61506" spans="7:7" ht="10.5" customHeight="1" x14ac:dyDescent="0.2">
      <c r="G61506" s="889"/>
    </row>
    <row r="61507" spans="7:7" ht="10.5" customHeight="1" x14ac:dyDescent="0.2">
      <c r="G61507" s="889"/>
    </row>
    <row r="61508" spans="7:7" ht="10.5" customHeight="1" x14ac:dyDescent="0.2">
      <c r="G61508" s="889"/>
    </row>
    <row r="61509" spans="7:7" ht="10.5" customHeight="1" x14ac:dyDescent="0.2">
      <c r="G61509" s="889"/>
    </row>
    <row r="61510" spans="7:7" ht="10.5" customHeight="1" x14ac:dyDescent="0.2">
      <c r="G61510" s="889"/>
    </row>
    <row r="61511" spans="7:7" ht="10.5" customHeight="1" x14ac:dyDescent="0.2">
      <c r="G61511" s="889"/>
    </row>
    <row r="61512" spans="7:7" ht="10.5" customHeight="1" x14ac:dyDescent="0.2">
      <c r="G61512" s="889"/>
    </row>
    <row r="61513" spans="7:7" ht="10.5" customHeight="1" x14ac:dyDescent="0.2">
      <c r="G61513" s="889"/>
    </row>
    <row r="61514" spans="7:7" ht="10.5" customHeight="1" x14ac:dyDescent="0.2">
      <c r="G61514" s="889"/>
    </row>
    <row r="61515" spans="7:7" ht="10.5" customHeight="1" x14ac:dyDescent="0.2">
      <c r="G61515" s="889"/>
    </row>
    <row r="61516" spans="7:7" ht="10.5" customHeight="1" x14ac:dyDescent="0.2">
      <c r="G61516" s="889"/>
    </row>
    <row r="61517" spans="7:7" ht="10.5" customHeight="1" x14ac:dyDescent="0.2">
      <c r="G61517" s="889"/>
    </row>
    <row r="61518" spans="7:7" ht="10.5" customHeight="1" x14ac:dyDescent="0.2">
      <c r="G61518" s="889"/>
    </row>
    <row r="61519" spans="7:7" ht="10.5" customHeight="1" x14ac:dyDescent="0.2">
      <c r="G61519" s="889"/>
    </row>
    <row r="61520" spans="7:7" ht="10.5" customHeight="1" x14ac:dyDescent="0.2">
      <c r="G61520" s="889"/>
    </row>
    <row r="61521" spans="7:7" ht="10.5" customHeight="1" x14ac:dyDescent="0.2">
      <c r="G61521" s="889"/>
    </row>
    <row r="61522" spans="7:7" ht="10.5" customHeight="1" x14ac:dyDescent="0.2">
      <c r="G61522" s="889"/>
    </row>
    <row r="61523" spans="7:7" ht="10.5" customHeight="1" x14ac:dyDescent="0.2">
      <c r="G61523" s="889"/>
    </row>
    <row r="61524" spans="7:7" ht="10.5" customHeight="1" x14ac:dyDescent="0.2">
      <c r="G61524" s="889"/>
    </row>
    <row r="61525" spans="7:7" ht="10.5" customHeight="1" x14ac:dyDescent="0.2">
      <c r="G61525" s="889"/>
    </row>
    <row r="61526" spans="7:7" ht="10.5" customHeight="1" x14ac:dyDescent="0.2">
      <c r="G61526" s="889"/>
    </row>
    <row r="61527" spans="7:7" ht="10.5" customHeight="1" x14ac:dyDescent="0.2">
      <c r="G61527" s="889"/>
    </row>
    <row r="61528" spans="7:7" ht="10.5" customHeight="1" x14ac:dyDescent="0.2">
      <c r="G61528" s="889"/>
    </row>
    <row r="61529" spans="7:7" ht="10.5" customHeight="1" x14ac:dyDescent="0.2">
      <c r="G61529" s="889"/>
    </row>
    <row r="61530" spans="7:7" ht="10.5" customHeight="1" x14ac:dyDescent="0.2">
      <c r="G61530" s="889"/>
    </row>
    <row r="61531" spans="7:7" ht="10.5" customHeight="1" x14ac:dyDescent="0.2">
      <c r="G61531" s="889"/>
    </row>
    <row r="61532" spans="7:7" ht="10.5" customHeight="1" x14ac:dyDescent="0.2">
      <c r="G61532" s="889"/>
    </row>
    <row r="61533" spans="7:7" ht="10.5" customHeight="1" x14ac:dyDescent="0.2">
      <c r="G61533" s="889"/>
    </row>
    <row r="61534" spans="7:7" ht="10.5" customHeight="1" x14ac:dyDescent="0.2">
      <c r="G61534" s="889"/>
    </row>
    <row r="61535" spans="7:7" ht="10.5" customHeight="1" x14ac:dyDescent="0.2">
      <c r="G61535" s="889"/>
    </row>
    <row r="61536" spans="7:7" ht="10.5" customHeight="1" x14ac:dyDescent="0.2">
      <c r="G61536" s="889"/>
    </row>
    <row r="61537" spans="7:7" ht="10.5" customHeight="1" x14ac:dyDescent="0.2">
      <c r="G61537" s="889"/>
    </row>
    <row r="61538" spans="7:7" ht="10.5" customHeight="1" x14ac:dyDescent="0.2">
      <c r="G61538" s="889"/>
    </row>
    <row r="61539" spans="7:7" ht="10.5" customHeight="1" x14ac:dyDescent="0.2">
      <c r="G61539" s="889"/>
    </row>
    <row r="61540" spans="7:7" ht="10.5" customHeight="1" x14ac:dyDescent="0.2">
      <c r="G61540" s="889"/>
    </row>
    <row r="61541" spans="7:7" ht="10.5" customHeight="1" x14ac:dyDescent="0.2">
      <c r="G61541" s="889"/>
    </row>
    <row r="61542" spans="7:7" ht="10.5" customHeight="1" x14ac:dyDescent="0.2">
      <c r="G61542" s="889"/>
    </row>
    <row r="61543" spans="7:7" ht="10.5" customHeight="1" x14ac:dyDescent="0.2">
      <c r="G61543" s="889"/>
    </row>
    <row r="61544" spans="7:7" ht="10.5" customHeight="1" x14ac:dyDescent="0.2">
      <c r="G61544" s="889"/>
    </row>
    <row r="61545" spans="7:7" ht="10.5" customHeight="1" x14ac:dyDescent="0.2">
      <c r="G61545" s="889"/>
    </row>
    <row r="61546" spans="7:7" ht="10.5" customHeight="1" x14ac:dyDescent="0.2">
      <c r="G61546" s="889"/>
    </row>
    <row r="61547" spans="7:7" ht="10.5" customHeight="1" x14ac:dyDescent="0.2">
      <c r="G61547" s="889"/>
    </row>
    <row r="61548" spans="7:7" ht="10.5" customHeight="1" x14ac:dyDescent="0.2">
      <c r="G61548" s="889"/>
    </row>
    <row r="61549" spans="7:7" ht="10.5" customHeight="1" x14ac:dyDescent="0.2">
      <c r="G61549" s="889"/>
    </row>
    <row r="61550" spans="7:7" ht="10.5" customHeight="1" x14ac:dyDescent="0.2">
      <c r="G61550" s="889"/>
    </row>
    <row r="61551" spans="7:7" ht="10.5" customHeight="1" x14ac:dyDescent="0.2">
      <c r="G61551" s="889"/>
    </row>
    <row r="61552" spans="7:7" ht="10.5" customHeight="1" x14ac:dyDescent="0.2">
      <c r="G61552" s="889"/>
    </row>
    <row r="61553" spans="7:7" ht="10.5" customHeight="1" x14ac:dyDescent="0.2">
      <c r="G61553" s="889"/>
    </row>
    <row r="61554" spans="7:7" ht="10.5" customHeight="1" x14ac:dyDescent="0.2">
      <c r="G61554" s="889"/>
    </row>
    <row r="61555" spans="7:7" ht="10.5" customHeight="1" x14ac:dyDescent="0.2">
      <c r="G61555" s="889"/>
    </row>
    <row r="61556" spans="7:7" ht="10.5" customHeight="1" x14ac:dyDescent="0.2">
      <c r="G61556" s="889"/>
    </row>
    <row r="61557" spans="7:7" ht="10.5" customHeight="1" x14ac:dyDescent="0.2">
      <c r="G61557" s="889"/>
    </row>
    <row r="61558" spans="7:7" ht="10.5" customHeight="1" x14ac:dyDescent="0.2">
      <c r="G61558" s="889"/>
    </row>
    <row r="61559" spans="7:7" ht="10.5" customHeight="1" x14ac:dyDescent="0.2">
      <c r="G61559" s="889"/>
    </row>
    <row r="61560" spans="7:7" ht="10.5" customHeight="1" x14ac:dyDescent="0.2">
      <c r="G61560" s="889"/>
    </row>
    <row r="61561" spans="7:7" ht="10.5" customHeight="1" x14ac:dyDescent="0.2">
      <c r="G61561" s="889"/>
    </row>
    <row r="61562" spans="7:7" ht="10.5" customHeight="1" x14ac:dyDescent="0.2">
      <c r="G61562" s="889"/>
    </row>
    <row r="61563" spans="7:7" ht="10.5" customHeight="1" x14ac:dyDescent="0.2">
      <c r="G61563" s="889"/>
    </row>
    <row r="61564" spans="7:7" ht="10.5" customHeight="1" x14ac:dyDescent="0.2">
      <c r="G61564" s="889"/>
    </row>
    <row r="61565" spans="7:7" ht="10.5" customHeight="1" x14ac:dyDescent="0.2">
      <c r="G61565" s="889"/>
    </row>
    <row r="61566" spans="7:7" ht="10.5" customHeight="1" x14ac:dyDescent="0.2">
      <c r="G61566" s="889"/>
    </row>
    <row r="61567" spans="7:7" ht="10.5" customHeight="1" x14ac:dyDescent="0.2">
      <c r="G61567" s="889"/>
    </row>
    <row r="61568" spans="7:7" ht="10.5" customHeight="1" x14ac:dyDescent="0.2">
      <c r="G61568" s="889"/>
    </row>
    <row r="61569" spans="7:7" ht="10.5" customHeight="1" x14ac:dyDescent="0.2">
      <c r="G61569" s="889"/>
    </row>
    <row r="61570" spans="7:7" ht="10.5" customHeight="1" x14ac:dyDescent="0.2">
      <c r="G61570" s="889"/>
    </row>
    <row r="61571" spans="7:7" ht="10.5" customHeight="1" x14ac:dyDescent="0.2">
      <c r="G61571" s="889"/>
    </row>
    <row r="61572" spans="7:7" ht="10.5" customHeight="1" x14ac:dyDescent="0.2">
      <c r="G61572" s="889"/>
    </row>
    <row r="61573" spans="7:7" ht="10.5" customHeight="1" x14ac:dyDescent="0.2">
      <c r="G61573" s="889"/>
    </row>
    <row r="61574" spans="7:7" ht="10.5" customHeight="1" x14ac:dyDescent="0.2">
      <c r="G61574" s="889"/>
    </row>
    <row r="61575" spans="7:7" ht="10.5" customHeight="1" x14ac:dyDescent="0.2">
      <c r="G61575" s="889"/>
    </row>
    <row r="61576" spans="7:7" ht="10.5" customHeight="1" x14ac:dyDescent="0.2">
      <c r="G61576" s="889"/>
    </row>
    <row r="61577" spans="7:7" ht="10.5" customHeight="1" x14ac:dyDescent="0.2">
      <c r="G61577" s="889"/>
    </row>
    <row r="61578" spans="7:7" ht="10.5" customHeight="1" x14ac:dyDescent="0.2">
      <c r="G61578" s="889"/>
    </row>
    <row r="61579" spans="7:7" ht="10.5" customHeight="1" x14ac:dyDescent="0.2">
      <c r="G61579" s="889"/>
    </row>
    <row r="61580" spans="7:7" ht="10.5" customHeight="1" x14ac:dyDescent="0.2">
      <c r="G61580" s="889"/>
    </row>
    <row r="61581" spans="7:7" ht="10.5" customHeight="1" x14ac:dyDescent="0.2">
      <c r="G61581" s="889"/>
    </row>
    <row r="61582" spans="7:7" ht="10.5" customHeight="1" x14ac:dyDescent="0.2">
      <c r="G61582" s="889"/>
    </row>
    <row r="61583" spans="7:7" ht="10.5" customHeight="1" x14ac:dyDescent="0.2">
      <c r="G61583" s="889"/>
    </row>
    <row r="61584" spans="7:7" ht="10.5" customHeight="1" x14ac:dyDescent="0.2">
      <c r="G61584" s="889"/>
    </row>
    <row r="61585" spans="7:7" ht="10.5" customHeight="1" x14ac:dyDescent="0.2">
      <c r="G61585" s="889"/>
    </row>
    <row r="61586" spans="7:7" ht="10.5" customHeight="1" x14ac:dyDescent="0.2">
      <c r="G61586" s="889"/>
    </row>
    <row r="61587" spans="7:7" ht="10.5" customHeight="1" x14ac:dyDescent="0.2">
      <c r="G61587" s="889"/>
    </row>
    <row r="61588" spans="7:7" ht="10.5" customHeight="1" x14ac:dyDescent="0.2">
      <c r="G61588" s="889"/>
    </row>
    <row r="61589" spans="7:7" ht="10.5" customHeight="1" x14ac:dyDescent="0.2">
      <c r="G61589" s="889"/>
    </row>
    <row r="61590" spans="7:7" ht="10.5" customHeight="1" x14ac:dyDescent="0.2">
      <c r="G61590" s="889"/>
    </row>
    <row r="61591" spans="7:7" ht="10.5" customHeight="1" x14ac:dyDescent="0.2">
      <c r="G61591" s="889"/>
    </row>
    <row r="61592" spans="7:7" ht="10.5" customHeight="1" x14ac:dyDescent="0.2">
      <c r="G61592" s="889"/>
    </row>
    <row r="61593" spans="7:7" ht="10.5" customHeight="1" x14ac:dyDescent="0.2">
      <c r="G61593" s="889"/>
    </row>
    <row r="61594" spans="7:7" ht="10.5" customHeight="1" x14ac:dyDescent="0.2">
      <c r="G61594" s="889"/>
    </row>
    <row r="61595" spans="7:7" ht="10.5" customHeight="1" x14ac:dyDescent="0.2">
      <c r="G61595" s="889"/>
    </row>
    <row r="61596" spans="7:7" ht="10.5" customHeight="1" x14ac:dyDescent="0.2">
      <c r="G61596" s="889"/>
    </row>
    <row r="61597" spans="7:7" ht="10.5" customHeight="1" x14ac:dyDescent="0.2">
      <c r="G61597" s="889"/>
    </row>
    <row r="61598" spans="7:7" ht="10.5" customHeight="1" x14ac:dyDescent="0.2">
      <c r="G61598" s="889"/>
    </row>
    <row r="61599" spans="7:7" ht="10.5" customHeight="1" x14ac:dyDescent="0.2">
      <c r="G61599" s="889"/>
    </row>
    <row r="61600" spans="7:7" ht="10.5" customHeight="1" x14ac:dyDescent="0.2">
      <c r="G61600" s="889"/>
    </row>
    <row r="61601" spans="7:7" ht="10.5" customHeight="1" x14ac:dyDescent="0.2">
      <c r="G61601" s="889"/>
    </row>
    <row r="61602" spans="7:7" ht="10.5" customHeight="1" x14ac:dyDescent="0.2">
      <c r="G61602" s="889"/>
    </row>
    <row r="61603" spans="7:7" ht="10.5" customHeight="1" x14ac:dyDescent="0.2">
      <c r="G61603" s="889"/>
    </row>
    <row r="61604" spans="7:7" ht="10.5" customHeight="1" x14ac:dyDescent="0.2">
      <c r="G61604" s="889"/>
    </row>
    <row r="61605" spans="7:7" ht="10.5" customHeight="1" x14ac:dyDescent="0.2">
      <c r="G61605" s="889"/>
    </row>
    <row r="61606" spans="7:7" ht="10.5" customHeight="1" x14ac:dyDescent="0.2">
      <c r="G61606" s="889"/>
    </row>
    <row r="61607" spans="7:7" ht="10.5" customHeight="1" x14ac:dyDescent="0.2">
      <c r="G61607" s="889"/>
    </row>
    <row r="61608" spans="7:7" ht="10.5" customHeight="1" x14ac:dyDescent="0.2">
      <c r="G61608" s="889"/>
    </row>
    <row r="61609" spans="7:7" ht="10.5" customHeight="1" x14ac:dyDescent="0.2">
      <c r="G61609" s="889"/>
    </row>
    <row r="61610" spans="7:7" ht="10.5" customHeight="1" x14ac:dyDescent="0.2">
      <c r="G61610" s="889"/>
    </row>
    <row r="61611" spans="7:7" ht="10.5" customHeight="1" x14ac:dyDescent="0.2">
      <c r="G61611" s="889"/>
    </row>
    <row r="61612" spans="7:7" ht="10.5" customHeight="1" x14ac:dyDescent="0.2">
      <c r="G61612" s="889"/>
    </row>
    <row r="61613" spans="7:7" ht="10.5" customHeight="1" x14ac:dyDescent="0.2">
      <c r="G61613" s="889"/>
    </row>
    <row r="61614" spans="7:7" ht="10.5" customHeight="1" x14ac:dyDescent="0.2">
      <c r="G61614" s="889"/>
    </row>
    <row r="61615" spans="7:7" ht="10.5" customHeight="1" x14ac:dyDescent="0.2">
      <c r="G61615" s="889"/>
    </row>
    <row r="61616" spans="7:7" ht="10.5" customHeight="1" x14ac:dyDescent="0.2">
      <c r="G61616" s="889"/>
    </row>
    <row r="61617" spans="7:7" ht="10.5" customHeight="1" x14ac:dyDescent="0.2">
      <c r="G61617" s="889"/>
    </row>
    <row r="61618" spans="7:7" ht="10.5" customHeight="1" x14ac:dyDescent="0.2">
      <c r="G61618" s="889"/>
    </row>
    <row r="61619" spans="7:7" ht="10.5" customHeight="1" x14ac:dyDescent="0.2">
      <c r="G61619" s="889"/>
    </row>
    <row r="61620" spans="7:7" ht="10.5" customHeight="1" x14ac:dyDescent="0.2">
      <c r="G61620" s="889"/>
    </row>
    <row r="61621" spans="7:7" ht="10.5" customHeight="1" x14ac:dyDescent="0.2">
      <c r="G61621" s="889"/>
    </row>
    <row r="61622" spans="7:7" ht="10.5" customHeight="1" x14ac:dyDescent="0.2">
      <c r="G61622" s="889"/>
    </row>
    <row r="61623" spans="7:7" ht="10.5" customHeight="1" x14ac:dyDescent="0.2">
      <c r="G61623" s="889"/>
    </row>
    <row r="61624" spans="7:7" ht="10.5" customHeight="1" x14ac:dyDescent="0.2">
      <c r="G61624" s="889"/>
    </row>
    <row r="61625" spans="7:7" ht="10.5" customHeight="1" x14ac:dyDescent="0.2">
      <c r="G61625" s="889"/>
    </row>
    <row r="61626" spans="7:7" ht="10.5" customHeight="1" x14ac:dyDescent="0.2">
      <c r="G61626" s="889"/>
    </row>
    <row r="61627" spans="7:7" ht="10.5" customHeight="1" x14ac:dyDescent="0.2">
      <c r="G61627" s="889"/>
    </row>
    <row r="61628" spans="7:7" ht="10.5" customHeight="1" x14ac:dyDescent="0.2">
      <c r="G61628" s="889"/>
    </row>
    <row r="61629" spans="7:7" ht="10.5" customHeight="1" x14ac:dyDescent="0.2">
      <c r="G61629" s="889"/>
    </row>
    <row r="61630" spans="7:7" ht="10.5" customHeight="1" x14ac:dyDescent="0.2">
      <c r="G61630" s="889"/>
    </row>
    <row r="61631" spans="7:7" ht="10.5" customHeight="1" x14ac:dyDescent="0.2">
      <c r="G61631" s="889"/>
    </row>
    <row r="61632" spans="7:7" ht="10.5" customHeight="1" x14ac:dyDescent="0.2">
      <c r="G61632" s="889"/>
    </row>
    <row r="61633" spans="7:7" ht="10.5" customHeight="1" x14ac:dyDescent="0.2">
      <c r="G61633" s="889"/>
    </row>
    <row r="61634" spans="7:7" ht="10.5" customHeight="1" x14ac:dyDescent="0.2">
      <c r="G61634" s="889"/>
    </row>
    <row r="61635" spans="7:7" ht="10.5" customHeight="1" x14ac:dyDescent="0.2">
      <c r="G61635" s="889"/>
    </row>
    <row r="61636" spans="7:7" ht="10.5" customHeight="1" x14ac:dyDescent="0.2">
      <c r="G61636" s="889"/>
    </row>
    <row r="61637" spans="7:7" ht="10.5" customHeight="1" x14ac:dyDescent="0.2">
      <c r="G61637" s="889"/>
    </row>
    <row r="61638" spans="7:7" ht="10.5" customHeight="1" x14ac:dyDescent="0.2">
      <c r="G61638" s="889"/>
    </row>
    <row r="61639" spans="7:7" ht="10.5" customHeight="1" x14ac:dyDescent="0.2">
      <c r="G61639" s="889"/>
    </row>
    <row r="61640" spans="7:7" ht="10.5" customHeight="1" x14ac:dyDescent="0.2">
      <c r="G61640" s="889"/>
    </row>
    <row r="61641" spans="7:7" ht="10.5" customHeight="1" x14ac:dyDescent="0.2">
      <c r="G61641" s="889"/>
    </row>
    <row r="61642" spans="7:7" ht="10.5" customHeight="1" x14ac:dyDescent="0.2">
      <c r="G61642" s="889"/>
    </row>
    <row r="61643" spans="7:7" ht="10.5" customHeight="1" x14ac:dyDescent="0.2">
      <c r="G61643" s="889"/>
    </row>
    <row r="61644" spans="7:7" ht="10.5" customHeight="1" x14ac:dyDescent="0.2">
      <c r="G61644" s="889"/>
    </row>
    <row r="61645" spans="7:7" ht="10.5" customHeight="1" x14ac:dyDescent="0.2">
      <c r="G61645" s="889"/>
    </row>
    <row r="61646" spans="7:7" ht="10.5" customHeight="1" x14ac:dyDescent="0.2">
      <c r="G61646" s="889"/>
    </row>
    <row r="61647" spans="7:7" ht="10.5" customHeight="1" x14ac:dyDescent="0.2">
      <c r="G61647" s="889"/>
    </row>
    <row r="61648" spans="7:7" ht="10.5" customHeight="1" x14ac:dyDescent="0.2">
      <c r="G61648" s="889"/>
    </row>
    <row r="61649" spans="7:7" ht="10.5" customHeight="1" x14ac:dyDescent="0.2">
      <c r="G61649" s="889"/>
    </row>
    <row r="61650" spans="7:7" ht="10.5" customHeight="1" x14ac:dyDescent="0.2">
      <c r="G61650" s="889"/>
    </row>
    <row r="61651" spans="7:7" ht="10.5" customHeight="1" x14ac:dyDescent="0.2">
      <c r="G61651" s="889"/>
    </row>
    <row r="61652" spans="7:7" ht="10.5" customHeight="1" x14ac:dyDescent="0.2">
      <c r="G61652" s="889"/>
    </row>
    <row r="61653" spans="7:7" ht="10.5" customHeight="1" x14ac:dyDescent="0.2">
      <c r="G61653" s="889"/>
    </row>
    <row r="61654" spans="7:7" ht="10.5" customHeight="1" x14ac:dyDescent="0.2">
      <c r="G61654" s="889"/>
    </row>
    <row r="61655" spans="7:7" ht="10.5" customHeight="1" x14ac:dyDescent="0.2">
      <c r="G61655" s="889"/>
    </row>
    <row r="61656" spans="7:7" ht="10.5" customHeight="1" x14ac:dyDescent="0.2">
      <c r="G61656" s="889"/>
    </row>
    <row r="61657" spans="7:7" ht="10.5" customHeight="1" x14ac:dyDescent="0.2">
      <c r="G61657" s="889"/>
    </row>
    <row r="61658" spans="7:7" ht="10.5" customHeight="1" x14ac:dyDescent="0.2">
      <c r="G61658" s="889"/>
    </row>
    <row r="61659" spans="7:7" ht="10.5" customHeight="1" x14ac:dyDescent="0.2">
      <c r="G61659" s="889"/>
    </row>
    <row r="61660" spans="7:7" ht="10.5" customHeight="1" x14ac:dyDescent="0.2">
      <c r="G61660" s="889"/>
    </row>
    <row r="61661" spans="7:7" ht="10.5" customHeight="1" x14ac:dyDescent="0.2">
      <c r="G61661" s="889"/>
    </row>
    <row r="61662" spans="7:7" ht="10.5" customHeight="1" x14ac:dyDescent="0.2">
      <c r="G61662" s="889"/>
    </row>
    <row r="61663" spans="7:7" ht="10.5" customHeight="1" x14ac:dyDescent="0.2">
      <c r="G61663" s="889"/>
    </row>
    <row r="61664" spans="7:7" ht="10.5" customHeight="1" x14ac:dyDescent="0.2">
      <c r="G61664" s="889"/>
    </row>
    <row r="61665" spans="7:7" ht="10.5" customHeight="1" x14ac:dyDescent="0.2">
      <c r="G61665" s="889"/>
    </row>
    <row r="61666" spans="7:7" ht="10.5" customHeight="1" x14ac:dyDescent="0.2">
      <c r="G61666" s="889"/>
    </row>
    <row r="61667" spans="7:7" ht="10.5" customHeight="1" x14ac:dyDescent="0.2">
      <c r="G61667" s="889"/>
    </row>
    <row r="61668" spans="7:7" ht="10.5" customHeight="1" x14ac:dyDescent="0.2">
      <c r="G61668" s="889"/>
    </row>
    <row r="61669" spans="7:7" ht="10.5" customHeight="1" x14ac:dyDescent="0.2">
      <c r="G61669" s="889"/>
    </row>
    <row r="61670" spans="7:7" ht="10.5" customHeight="1" x14ac:dyDescent="0.2">
      <c r="G61670" s="889"/>
    </row>
    <row r="61671" spans="7:7" ht="10.5" customHeight="1" x14ac:dyDescent="0.2">
      <c r="G61671" s="889"/>
    </row>
    <row r="61672" spans="7:7" ht="10.5" customHeight="1" x14ac:dyDescent="0.2">
      <c r="G61672" s="889"/>
    </row>
    <row r="61673" spans="7:7" ht="10.5" customHeight="1" x14ac:dyDescent="0.2">
      <c r="G61673" s="889"/>
    </row>
    <row r="61674" spans="7:7" ht="10.5" customHeight="1" x14ac:dyDescent="0.2">
      <c r="G61674" s="889"/>
    </row>
    <row r="61675" spans="7:7" ht="10.5" customHeight="1" x14ac:dyDescent="0.2">
      <c r="G61675" s="889"/>
    </row>
    <row r="61676" spans="7:7" ht="10.5" customHeight="1" x14ac:dyDescent="0.2">
      <c r="G61676" s="889"/>
    </row>
    <row r="61677" spans="7:7" ht="10.5" customHeight="1" x14ac:dyDescent="0.2">
      <c r="G61677" s="889"/>
    </row>
    <row r="61678" spans="7:7" ht="10.5" customHeight="1" x14ac:dyDescent="0.2">
      <c r="G61678" s="889"/>
    </row>
    <row r="61679" spans="7:7" ht="10.5" customHeight="1" x14ac:dyDescent="0.2">
      <c r="G61679" s="889"/>
    </row>
    <row r="61680" spans="7:7" ht="10.5" customHeight="1" x14ac:dyDescent="0.2">
      <c r="G61680" s="889"/>
    </row>
    <row r="61681" spans="7:7" ht="10.5" customHeight="1" x14ac:dyDescent="0.2">
      <c r="G61681" s="889"/>
    </row>
    <row r="61682" spans="7:7" ht="10.5" customHeight="1" x14ac:dyDescent="0.2">
      <c r="G61682" s="889"/>
    </row>
    <row r="61683" spans="7:7" ht="10.5" customHeight="1" x14ac:dyDescent="0.2">
      <c r="G61683" s="889"/>
    </row>
    <row r="61684" spans="7:7" ht="10.5" customHeight="1" x14ac:dyDescent="0.2">
      <c r="G61684" s="889"/>
    </row>
    <row r="61685" spans="7:7" ht="10.5" customHeight="1" x14ac:dyDescent="0.2">
      <c r="G61685" s="889"/>
    </row>
    <row r="61686" spans="7:7" ht="10.5" customHeight="1" x14ac:dyDescent="0.2">
      <c r="G61686" s="889"/>
    </row>
    <row r="61687" spans="7:7" ht="10.5" customHeight="1" x14ac:dyDescent="0.2">
      <c r="G61687" s="889"/>
    </row>
    <row r="61688" spans="7:7" ht="10.5" customHeight="1" x14ac:dyDescent="0.2">
      <c r="G61688" s="889"/>
    </row>
    <row r="61689" spans="7:7" ht="10.5" customHeight="1" x14ac:dyDescent="0.2">
      <c r="G61689" s="889"/>
    </row>
    <row r="61690" spans="7:7" ht="10.5" customHeight="1" x14ac:dyDescent="0.2">
      <c r="G61690" s="889"/>
    </row>
    <row r="61691" spans="7:7" ht="10.5" customHeight="1" x14ac:dyDescent="0.2">
      <c r="G61691" s="889"/>
    </row>
    <row r="61692" spans="7:7" ht="10.5" customHeight="1" x14ac:dyDescent="0.2">
      <c r="G61692" s="889"/>
    </row>
    <row r="61693" spans="7:7" ht="10.5" customHeight="1" x14ac:dyDescent="0.2">
      <c r="G61693" s="889"/>
    </row>
    <row r="61694" spans="7:7" ht="10.5" customHeight="1" x14ac:dyDescent="0.2">
      <c r="G61694" s="889"/>
    </row>
    <row r="61695" spans="7:7" ht="10.5" customHeight="1" x14ac:dyDescent="0.2">
      <c r="G61695" s="889"/>
    </row>
    <row r="61696" spans="7:7" ht="10.5" customHeight="1" x14ac:dyDescent="0.2">
      <c r="G61696" s="889"/>
    </row>
    <row r="61697" spans="7:7" ht="10.5" customHeight="1" x14ac:dyDescent="0.2">
      <c r="G61697" s="889"/>
    </row>
    <row r="61698" spans="7:7" ht="10.5" customHeight="1" x14ac:dyDescent="0.2">
      <c r="G61698" s="889"/>
    </row>
    <row r="61699" spans="7:7" ht="10.5" customHeight="1" x14ac:dyDescent="0.2">
      <c r="G61699" s="889"/>
    </row>
    <row r="61700" spans="7:7" ht="10.5" customHeight="1" x14ac:dyDescent="0.2">
      <c r="G61700" s="889"/>
    </row>
    <row r="61701" spans="7:7" ht="10.5" customHeight="1" x14ac:dyDescent="0.2">
      <c r="G61701" s="889"/>
    </row>
    <row r="61702" spans="7:7" ht="10.5" customHeight="1" x14ac:dyDescent="0.2">
      <c r="G61702" s="889"/>
    </row>
    <row r="61703" spans="7:7" ht="10.5" customHeight="1" x14ac:dyDescent="0.2">
      <c r="G61703" s="889"/>
    </row>
    <row r="61704" spans="7:7" ht="10.5" customHeight="1" x14ac:dyDescent="0.2">
      <c r="G61704" s="889"/>
    </row>
    <row r="61705" spans="7:7" ht="10.5" customHeight="1" x14ac:dyDescent="0.2">
      <c r="G61705" s="889"/>
    </row>
    <row r="61706" spans="7:7" ht="10.5" customHeight="1" x14ac:dyDescent="0.2">
      <c r="G61706" s="889"/>
    </row>
    <row r="61707" spans="7:7" ht="10.5" customHeight="1" x14ac:dyDescent="0.2">
      <c r="G61707" s="889"/>
    </row>
    <row r="61708" spans="7:7" ht="10.5" customHeight="1" x14ac:dyDescent="0.2">
      <c r="G61708" s="889"/>
    </row>
    <row r="61709" spans="7:7" ht="10.5" customHeight="1" x14ac:dyDescent="0.2">
      <c r="G61709" s="889"/>
    </row>
    <row r="61710" spans="7:7" ht="10.5" customHeight="1" x14ac:dyDescent="0.2">
      <c r="G61710" s="889"/>
    </row>
    <row r="61711" spans="7:7" ht="10.5" customHeight="1" x14ac:dyDescent="0.2">
      <c r="G61711" s="889"/>
    </row>
    <row r="61712" spans="7:7" ht="10.5" customHeight="1" x14ac:dyDescent="0.2">
      <c r="G61712" s="889"/>
    </row>
    <row r="61713" spans="7:7" ht="10.5" customHeight="1" x14ac:dyDescent="0.2">
      <c r="G61713" s="889"/>
    </row>
    <row r="61714" spans="7:7" ht="10.5" customHeight="1" x14ac:dyDescent="0.2">
      <c r="G61714" s="889"/>
    </row>
    <row r="61715" spans="7:7" ht="10.5" customHeight="1" x14ac:dyDescent="0.2">
      <c r="G61715" s="889"/>
    </row>
    <row r="61716" spans="7:7" ht="10.5" customHeight="1" x14ac:dyDescent="0.2">
      <c r="G61716" s="889"/>
    </row>
    <row r="61717" spans="7:7" ht="10.5" customHeight="1" x14ac:dyDescent="0.2">
      <c r="G61717" s="889"/>
    </row>
    <row r="61718" spans="7:7" ht="10.5" customHeight="1" x14ac:dyDescent="0.2">
      <c r="G61718" s="889"/>
    </row>
    <row r="61719" spans="7:7" ht="10.5" customHeight="1" x14ac:dyDescent="0.2">
      <c r="G61719" s="889"/>
    </row>
    <row r="61720" spans="7:7" ht="10.5" customHeight="1" x14ac:dyDescent="0.2">
      <c r="G61720" s="889"/>
    </row>
    <row r="61721" spans="7:7" ht="10.5" customHeight="1" x14ac:dyDescent="0.2">
      <c r="G61721" s="889"/>
    </row>
    <row r="61722" spans="7:7" ht="10.5" customHeight="1" x14ac:dyDescent="0.2">
      <c r="G61722" s="889"/>
    </row>
    <row r="61723" spans="7:7" ht="10.5" customHeight="1" x14ac:dyDescent="0.2">
      <c r="G61723" s="889"/>
    </row>
    <row r="61724" spans="7:7" ht="10.5" customHeight="1" x14ac:dyDescent="0.2">
      <c r="G61724" s="889"/>
    </row>
    <row r="61725" spans="7:7" ht="10.5" customHeight="1" x14ac:dyDescent="0.2">
      <c r="G61725" s="889"/>
    </row>
    <row r="61726" spans="7:7" ht="10.5" customHeight="1" x14ac:dyDescent="0.2">
      <c r="G61726" s="889"/>
    </row>
    <row r="61727" spans="7:7" ht="10.5" customHeight="1" x14ac:dyDescent="0.2">
      <c r="G61727" s="889"/>
    </row>
    <row r="61728" spans="7:7" ht="10.5" customHeight="1" x14ac:dyDescent="0.2">
      <c r="G61728" s="889"/>
    </row>
    <row r="61729" spans="7:7" ht="10.5" customHeight="1" x14ac:dyDescent="0.2">
      <c r="G61729" s="889"/>
    </row>
    <row r="61730" spans="7:7" ht="10.5" customHeight="1" x14ac:dyDescent="0.2">
      <c r="G61730" s="889"/>
    </row>
    <row r="61731" spans="7:7" ht="10.5" customHeight="1" x14ac:dyDescent="0.2">
      <c r="G61731" s="889"/>
    </row>
    <row r="61732" spans="7:7" ht="10.5" customHeight="1" x14ac:dyDescent="0.2">
      <c r="G61732" s="889"/>
    </row>
    <row r="61733" spans="7:7" ht="10.5" customHeight="1" x14ac:dyDescent="0.2">
      <c r="G61733" s="889"/>
    </row>
    <row r="61734" spans="7:7" ht="10.5" customHeight="1" x14ac:dyDescent="0.2">
      <c r="G61734" s="889"/>
    </row>
    <row r="61735" spans="7:7" ht="10.5" customHeight="1" x14ac:dyDescent="0.2">
      <c r="G61735" s="889"/>
    </row>
    <row r="61736" spans="7:7" ht="10.5" customHeight="1" x14ac:dyDescent="0.2">
      <c r="G61736" s="889"/>
    </row>
    <row r="61737" spans="7:7" ht="10.5" customHeight="1" x14ac:dyDescent="0.2">
      <c r="G61737" s="889"/>
    </row>
    <row r="61738" spans="7:7" ht="10.5" customHeight="1" x14ac:dyDescent="0.2">
      <c r="G61738" s="889"/>
    </row>
    <row r="61739" spans="7:7" ht="10.5" customHeight="1" x14ac:dyDescent="0.2">
      <c r="G61739" s="889"/>
    </row>
    <row r="61740" spans="7:7" ht="10.5" customHeight="1" x14ac:dyDescent="0.2">
      <c r="G61740" s="889"/>
    </row>
    <row r="61741" spans="7:7" ht="10.5" customHeight="1" x14ac:dyDescent="0.2">
      <c r="G61741" s="889"/>
    </row>
    <row r="61742" spans="7:7" ht="10.5" customHeight="1" x14ac:dyDescent="0.2">
      <c r="G61742" s="889"/>
    </row>
    <row r="61743" spans="7:7" ht="10.5" customHeight="1" x14ac:dyDescent="0.2">
      <c r="G61743" s="889"/>
    </row>
    <row r="61744" spans="7:7" ht="10.5" customHeight="1" x14ac:dyDescent="0.2">
      <c r="G61744" s="889"/>
    </row>
    <row r="61745" spans="7:7" ht="10.5" customHeight="1" x14ac:dyDescent="0.2">
      <c r="G61745" s="889"/>
    </row>
    <row r="61746" spans="7:7" ht="10.5" customHeight="1" x14ac:dyDescent="0.2">
      <c r="G61746" s="889"/>
    </row>
    <row r="61747" spans="7:7" ht="10.5" customHeight="1" x14ac:dyDescent="0.2">
      <c r="G61747" s="889"/>
    </row>
    <row r="61748" spans="7:7" ht="10.5" customHeight="1" x14ac:dyDescent="0.2">
      <c r="G61748" s="889"/>
    </row>
    <row r="61749" spans="7:7" ht="10.5" customHeight="1" x14ac:dyDescent="0.2">
      <c r="G61749" s="889"/>
    </row>
    <row r="61750" spans="7:7" ht="10.5" customHeight="1" x14ac:dyDescent="0.2">
      <c r="G61750" s="889"/>
    </row>
    <row r="61751" spans="7:7" ht="10.5" customHeight="1" x14ac:dyDescent="0.2">
      <c r="G61751" s="889"/>
    </row>
    <row r="61752" spans="7:7" ht="10.5" customHeight="1" x14ac:dyDescent="0.2">
      <c r="G61752" s="889"/>
    </row>
    <row r="61753" spans="7:7" ht="10.5" customHeight="1" x14ac:dyDescent="0.2">
      <c r="G61753" s="889"/>
    </row>
    <row r="61754" spans="7:7" ht="10.5" customHeight="1" x14ac:dyDescent="0.2">
      <c r="G61754" s="889"/>
    </row>
    <row r="61755" spans="7:7" ht="10.5" customHeight="1" x14ac:dyDescent="0.2">
      <c r="G61755" s="889"/>
    </row>
    <row r="61756" spans="7:7" ht="10.5" customHeight="1" x14ac:dyDescent="0.2">
      <c r="G61756" s="889"/>
    </row>
    <row r="61757" spans="7:7" ht="10.5" customHeight="1" x14ac:dyDescent="0.2">
      <c r="G61757" s="889"/>
    </row>
    <row r="61758" spans="7:7" ht="10.5" customHeight="1" x14ac:dyDescent="0.2">
      <c r="G61758" s="889"/>
    </row>
    <row r="61759" spans="7:7" ht="10.5" customHeight="1" x14ac:dyDescent="0.2">
      <c r="G61759" s="889"/>
    </row>
    <row r="61760" spans="7:7" ht="10.5" customHeight="1" x14ac:dyDescent="0.2">
      <c r="G61760" s="889"/>
    </row>
    <row r="61761" spans="7:7" ht="10.5" customHeight="1" x14ac:dyDescent="0.2">
      <c r="G61761" s="889"/>
    </row>
    <row r="61762" spans="7:7" ht="10.5" customHeight="1" x14ac:dyDescent="0.2">
      <c r="G61762" s="889"/>
    </row>
    <row r="61763" spans="7:7" ht="10.5" customHeight="1" x14ac:dyDescent="0.2">
      <c r="G61763" s="889"/>
    </row>
    <row r="61764" spans="7:7" ht="10.5" customHeight="1" x14ac:dyDescent="0.2">
      <c r="G61764" s="889"/>
    </row>
    <row r="61765" spans="7:7" ht="10.5" customHeight="1" x14ac:dyDescent="0.2">
      <c r="G61765" s="889"/>
    </row>
    <row r="61766" spans="7:7" ht="10.5" customHeight="1" x14ac:dyDescent="0.2">
      <c r="G61766" s="889"/>
    </row>
    <row r="61767" spans="7:7" ht="10.5" customHeight="1" x14ac:dyDescent="0.2">
      <c r="G61767" s="889"/>
    </row>
    <row r="61768" spans="7:7" ht="10.5" customHeight="1" x14ac:dyDescent="0.2">
      <c r="G61768" s="889"/>
    </row>
    <row r="61769" spans="7:7" ht="10.5" customHeight="1" x14ac:dyDescent="0.2">
      <c r="G61769" s="889"/>
    </row>
    <row r="61770" spans="7:7" ht="10.5" customHeight="1" x14ac:dyDescent="0.2">
      <c r="G61770" s="889"/>
    </row>
    <row r="61771" spans="7:7" ht="10.5" customHeight="1" x14ac:dyDescent="0.2">
      <c r="G61771" s="889"/>
    </row>
    <row r="61772" spans="7:7" ht="10.5" customHeight="1" x14ac:dyDescent="0.2">
      <c r="G61772" s="889"/>
    </row>
    <row r="61773" spans="7:7" ht="10.5" customHeight="1" x14ac:dyDescent="0.2">
      <c r="G61773" s="889"/>
    </row>
    <row r="61774" spans="7:7" ht="10.5" customHeight="1" x14ac:dyDescent="0.2">
      <c r="G61774" s="889"/>
    </row>
    <row r="61775" spans="7:7" ht="10.5" customHeight="1" x14ac:dyDescent="0.2">
      <c r="G61775" s="889"/>
    </row>
    <row r="61776" spans="7:7" ht="10.5" customHeight="1" x14ac:dyDescent="0.2">
      <c r="G61776" s="889"/>
    </row>
    <row r="61777" spans="7:7" ht="10.5" customHeight="1" x14ac:dyDescent="0.2">
      <c r="G61777" s="889"/>
    </row>
    <row r="61778" spans="7:7" ht="10.5" customHeight="1" x14ac:dyDescent="0.2">
      <c r="G61778" s="889"/>
    </row>
    <row r="61779" spans="7:7" ht="10.5" customHeight="1" x14ac:dyDescent="0.2">
      <c r="G61779" s="889"/>
    </row>
    <row r="61780" spans="7:7" ht="10.5" customHeight="1" x14ac:dyDescent="0.2">
      <c r="G61780" s="889"/>
    </row>
    <row r="61781" spans="7:7" ht="10.5" customHeight="1" x14ac:dyDescent="0.2">
      <c r="G61781" s="889"/>
    </row>
    <row r="61782" spans="7:7" ht="10.5" customHeight="1" x14ac:dyDescent="0.2">
      <c r="G61782" s="889"/>
    </row>
    <row r="61783" spans="7:7" ht="10.5" customHeight="1" x14ac:dyDescent="0.2">
      <c r="G61783" s="889"/>
    </row>
    <row r="61784" spans="7:7" ht="10.5" customHeight="1" x14ac:dyDescent="0.2">
      <c r="G61784" s="889"/>
    </row>
    <row r="61785" spans="7:7" ht="10.5" customHeight="1" x14ac:dyDescent="0.2">
      <c r="G61785" s="889"/>
    </row>
    <row r="61786" spans="7:7" ht="10.5" customHeight="1" x14ac:dyDescent="0.2">
      <c r="G61786" s="889"/>
    </row>
    <row r="61787" spans="7:7" ht="10.5" customHeight="1" x14ac:dyDescent="0.2">
      <c r="G61787" s="889"/>
    </row>
    <row r="61788" spans="7:7" ht="10.5" customHeight="1" x14ac:dyDescent="0.2">
      <c r="G61788" s="889"/>
    </row>
    <row r="61789" spans="7:7" ht="10.5" customHeight="1" x14ac:dyDescent="0.2">
      <c r="G61789" s="889"/>
    </row>
    <row r="61790" spans="7:7" ht="10.5" customHeight="1" x14ac:dyDescent="0.2">
      <c r="G61790" s="889"/>
    </row>
    <row r="61791" spans="7:7" ht="10.5" customHeight="1" x14ac:dyDescent="0.2">
      <c r="G61791" s="889"/>
    </row>
    <row r="61792" spans="7:7" ht="10.5" customHeight="1" x14ac:dyDescent="0.2">
      <c r="G61792" s="889"/>
    </row>
    <row r="61793" spans="7:7" ht="10.5" customHeight="1" x14ac:dyDescent="0.2">
      <c r="G61793" s="889"/>
    </row>
    <row r="61794" spans="7:7" ht="10.5" customHeight="1" x14ac:dyDescent="0.2">
      <c r="G61794" s="889"/>
    </row>
    <row r="61795" spans="7:7" ht="10.5" customHeight="1" x14ac:dyDescent="0.2">
      <c r="G61795" s="889"/>
    </row>
    <row r="61796" spans="7:7" ht="10.5" customHeight="1" x14ac:dyDescent="0.2">
      <c r="G61796" s="889"/>
    </row>
    <row r="61797" spans="7:7" ht="10.5" customHeight="1" x14ac:dyDescent="0.2">
      <c r="G61797" s="889"/>
    </row>
    <row r="61798" spans="7:7" ht="10.5" customHeight="1" x14ac:dyDescent="0.2">
      <c r="G61798" s="889"/>
    </row>
    <row r="61799" spans="7:7" ht="10.5" customHeight="1" x14ac:dyDescent="0.2">
      <c r="G61799" s="889"/>
    </row>
    <row r="61800" spans="7:7" ht="10.5" customHeight="1" x14ac:dyDescent="0.2">
      <c r="G61800" s="889"/>
    </row>
    <row r="61801" spans="7:7" ht="10.5" customHeight="1" x14ac:dyDescent="0.2">
      <c r="G61801" s="889"/>
    </row>
    <row r="61802" spans="7:7" ht="10.5" customHeight="1" x14ac:dyDescent="0.2">
      <c r="G61802" s="889"/>
    </row>
    <row r="61803" spans="7:7" ht="10.5" customHeight="1" x14ac:dyDescent="0.2">
      <c r="G61803" s="889"/>
    </row>
    <row r="61804" spans="7:7" ht="10.5" customHeight="1" x14ac:dyDescent="0.2">
      <c r="G61804" s="889"/>
    </row>
    <row r="61805" spans="7:7" ht="10.5" customHeight="1" x14ac:dyDescent="0.2">
      <c r="G61805" s="889"/>
    </row>
    <row r="61806" spans="7:7" ht="10.5" customHeight="1" x14ac:dyDescent="0.2">
      <c r="G61806" s="889"/>
    </row>
    <row r="61807" spans="7:7" ht="10.5" customHeight="1" x14ac:dyDescent="0.2">
      <c r="G61807" s="889"/>
    </row>
    <row r="61808" spans="7:7" ht="10.5" customHeight="1" x14ac:dyDescent="0.2">
      <c r="G61808" s="889"/>
    </row>
    <row r="61809" spans="7:7" ht="10.5" customHeight="1" x14ac:dyDescent="0.2">
      <c r="G61809" s="889"/>
    </row>
    <row r="61810" spans="7:7" ht="10.5" customHeight="1" x14ac:dyDescent="0.2">
      <c r="G61810" s="889"/>
    </row>
    <row r="61811" spans="7:7" ht="10.5" customHeight="1" x14ac:dyDescent="0.2">
      <c r="G61811" s="889"/>
    </row>
    <row r="61812" spans="7:7" ht="10.5" customHeight="1" x14ac:dyDescent="0.2">
      <c r="G61812" s="889"/>
    </row>
    <row r="61813" spans="7:7" ht="10.5" customHeight="1" x14ac:dyDescent="0.2">
      <c r="G61813" s="889"/>
    </row>
    <row r="61814" spans="7:7" ht="10.5" customHeight="1" x14ac:dyDescent="0.2">
      <c r="G61814" s="889"/>
    </row>
    <row r="61815" spans="7:7" ht="10.5" customHeight="1" x14ac:dyDescent="0.2">
      <c r="G61815" s="889"/>
    </row>
    <row r="61816" spans="7:7" ht="10.5" customHeight="1" x14ac:dyDescent="0.2">
      <c r="G61816" s="889"/>
    </row>
    <row r="61817" spans="7:7" ht="10.5" customHeight="1" x14ac:dyDescent="0.2">
      <c r="G61817" s="889"/>
    </row>
    <row r="61818" spans="7:7" ht="10.5" customHeight="1" x14ac:dyDescent="0.2">
      <c r="G61818" s="889"/>
    </row>
    <row r="61819" spans="7:7" ht="10.5" customHeight="1" x14ac:dyDescent="0.2">
      <c r="G61819" s="889"/>
    </row>
    <row r="61820" spans="7:7" ht="10.5" customHeight="1" x14ac:dyDescent="0.2">
      <c r="G61820" s="889"/>
    </row>
    <row r="61821" spans="7:7" ht="10.5" customHeight="1" x14ac:dyDescent="0.2">
      <c r="G61821" s="889"/>
    </row>
    <row r="61822" spans="7:7" ht="10.5" customHeight="1" x14ac:dyDescent="0.2">
      <c r="G61822" s="889"/>
    </row>
    <row r="61823" spans="7:7" ht="10.5" customHeight="1" x14ac:dyDescent="0.2">
      <c r="G61823" s="889"/>
    </row>
    <row r="61824" spans="7:7" ht="10.5" customHeight="1" x14ac:dyDescent="0.2">
      <c r="G61824" s="889"/>
    </row>
    <row r="61825" spans="7:7" ht="10.5" customHeight="1" x14ac:dyDescent="0.2">
      <c r="G61825" s="889"/>
    </row>
    <row r="61826" spans="7:7" ht="10.5" customHeight="1" x14ac:dyDescent="0.2">
      <c r="G61826" s="889"/>
    </row>
    <row r="61827" spans="7:7" ht="10.5" customHeight="1" x14ac:dyDescent="0.2">
      <c r="G61827" s="889"/>
    </row>
    <row r="61828" spans="7:7" ht="10.5" customHeight="1" x14ac:dyDescent="0.2">
      <c r="G61828" s="889"/>
    </row>
    <row r="61829" spans="7:7" ht="10.5" customHeight="1" x14ac:dyDescent="0.2">
      <c r="G61829" s="889"/>
    </row>
    <row r="61830" spans="7:7" ht="10.5" customHeight="1" x14ac:dyDescent="0.2">
      <c r="G61830" s="889"/>
    </row>
    <row r="61831" spans="7:7" ht="10.5" customHeight="1" x14ac:dyDescent="0.2">
      <c r="G61831" s="889"/>
    </row>
    <row r="61832" spans="7:7" ht="10.5" customHeight="1" x14ac:dyDescent="0.2">
      <c r="G61832" s="889"/>
    </row>
    <row r="61833" spans="7:7" ht="10.5" customHeight="1" x14ac:dyDescent="0.2">
      <c r="G61833" s="889"/>
    </row>
    <row r="61834" spans="7:7" ht="10.5" customHeight="1" x14ac:dyDescent="0.2">
      <c r="G61834" s="889"/>
    </row>
    <row r="61835" spans="7:7" ht="10.5" customHeight="1" x14ac:dyDescent="0.2">
      <c r="G61835" s="889"/>
    </row>
    <row r="61836" spans="7:7" ht="10.5" customHeight="1" x14ac:dyDescent="0.2">
      <c r="G61836" s="889"/>
    </row>
    <row r="61837" spans="7:7" ht="10.5" customHeight="1" x14ac:dyDescent="0.2">
      <c r="G61837" s="889"/>
    </row>
    <row r="61838" spans="7:7" ht="10.5" customHeight="1" x14ac:dyDescent="0.2">
      <c r="G61838" s="889"/>
    </row>
    <row r="61839" spans="7:7" ht="10.5" customHeight="1" x14ac:dyDescent="0.2">
      <c r="G61839" s="889"/>
    </row>
    <row r="61840" spans="7:7" ht="10.5" customHeight="1" x14ac:dyDescent="0.2">
      <c r="G61840" s="889"/>
    </row>
    <row r="61841" spans="7:7" ht="10.5" customHeight="1" x14ac:dyDescent="0.2">
      <c r="G61841" s="889"/>
    </row>
    <row r="61842" spans="7:7" ht="10.5" customHeight="1" x14ac:dyDescent="0.2">
      <c r="G61842" s="889"/>
    </row>
    <row r="61843" spans="7:7" ht="10.5" customHeight="1" x14ac:dyDescent="0.2">
      <c r="G61843" s="889"/>
    </row>
    <row r="61844" spans="7:7" ht="10.5" customHeight="1" x14ac:dyDescent="0.2">
      <c r="G61844" s="889"/>
    </row>
    <row r="61845" spans="7:7" ht="10.5" customHeight="1" x14ac:dyDescent="0.2">
      <c r="G61845" s="889"/>
    </row>
    <row r="61846" spans="7:7" ht="10.5" customHeight="1" x14ac:dyDescent="0.2">
      <c r="G61846" s="889"/>
    </row>
    <row r="61847" spans="7:7" ht="10.5" customHeight="1" x14ac:dyDescent="0.2">
      <c r="G61847" s="889"/>
    </row>
    <row r="61848" spans="7:7" ht="10.5" customHeight="1" x14ac:dyDescent="0.2">
      <c r="G61848" s="889"/>
    </row>
    <row r="61849" spans="7:7" ht="10.5" customHeight="1" x14ac:dyDescent="0.2">
      <c r="G61849" s="889"/>
    </row>
    <row r="61850" spans="7:7" ht="10.5" customHeight="1" x14ac:dyDescent="0.2">
      <c r="G61850" s="889"/>
    </row>
    <row r="61851" spans="7:7" ht="10.5" customHeight="1" x14ac:dyDescent="0.2">
      <c r="G61851" s="889"/>
    </row>
    <row r="61852" spans="7:7" ht="10.5" customHeight="1" x14ac:dyDescent="0.2">
      <c r="G61852" s="889"/>
    </row>
    <row r="61853" spans="7:7" ht="10.5" customHeight="1" x14ac:dyDescent="0.2">
      <c r="G61853" s="889"/>
    </row>
    <row r="61854" spans="7:7" ht="10.5" customHeight="1" x14ac:dyDescent="0.2">
      <c r="G61854" s="889"/>
    </row>
    <row r="61855" spans="7:7" ht="10.5" customHeight="1" x14ac:dyDescent="0.2">
      <c r="G61855" s="889"/>
    </row>
    <row r="61856" spans="7:7" ht="10.5" customHeight="1" x14ac:dyDescent="0.2">
      <c r="G61856" s="889"/>
    </row>
    <row r="61857" spans="7:7" ht="10.5" customHeight="1" x14ac:dyDescent="0.2">
      <c r="G61857" s="889"/>
    </row>
    <row r="61858" spans="7:7" ht="10.5" customHeight="1" x14ac:dyDescent="0.2">
      <c r="G61858" s="889"/>
    </row>
    <row r="61859" spans="7:7" ht="10.5" customHeight="1" x14ac:dyDescent="0.2">
      <c r="G61859" s="889"/>
    </row>
    <row r="61860" spans="7:7" ht="10.5" customHeight="1" x14ac:dyDescent="0.2">
      <c r="G61860" s="889"/>
    </row>
    <row r="61861" spans="7:7" ht="10.5" customHeight="1" x14ac:dyDescent="0.2">
      <c r="G61861" s="889"/>
    </row>
    <row r="61862" spans="7:7" ht="10.5" customHeight="1" x14ac:dyDescent="0.2">
      <c r="G61862" s="889"/>
    </row>
    <row r="61863" spans="7:7" ht="10.5" customHeight="1" x14ac:dyDescent="0.2">
      <c r="G61863" s="889"/>
    </row>
    <row r="61864" spans="7:7" ht="10.5" customHeight="1" x14ac:dyDescent="0.2">
      <c r="G61864" s="889"/>
    </row>
    <row r="61865" spans="7:7" ht="10.5" customHeight="1" x14ac:dyDescent="0.2">
      <c r="G61865" s="889"/>
    </row>
    <row r="61866" spans="7:7" ht="10.5" customHeight="1" x14ac:dyDescent="0.2">
      <c r="G61866" s="889"/>
    </row>
    <row r="61867" spans="7:7" ht="10.5" customHeight="1" x14ac:dyDescent="0.2">
      <c r="G61867" s="889"/>
    </row>
    <row r="61868" spans="7:7" ht="10.5" customHeight="1" x14ac:dyDescent="0.2">
      <c r="G61868" s="889"/>
    </row>
    <row r="61869" spans="7:7" ht="10.5" customHeight="1" x14ac:dyDescent="0.2">
      <c r="G61869" s="889"/>
    </row>
    <row r="61870" spans="7:7" ht="10.5" customHeight="1" x14ac:dyDescent="0.2">
      <c r="G61870" s="889"/>
    </row>
    <row r="61871" spans="7:7" ht="10.5" customHeight="1" x14ac:dyDescent="0.2">
      <c r="G61871" s="889"/>
    </row>
    <row r="61872" spans="7:7" ht="10.5" customHeight="1" x14ac:dyDescent="0.2">
      <c r="G61872" s="889"/>
    </row>
    <row r="61873" spans="7:7" ht="10.5" customHeight="1" x14ac:dyDescent="0.2">
      <c r="G61873" s="889"/>
    </row>
    <row r="61874" spans="7:7" ht="10.5" customHeight="1" x14ac:dyDescent="0.2">
      <c r="G61874" s="889"/>
    </row>
    <row r="61875" spans="7:7" ht="10.5" customHeight="1" x14ac:dyDescent="0.2">
      <c r="G61875" s="889"/>
    </row>
    <row r="61876" spans="7:7" ht="10.5" customHeight="1" x14ac:dyDescent="0.2">
      <c r="G61876" s="889"/>
    </row>
    <row r="61877" spans="7:7" ht="10.5" customHeight="1" x14ac:dyDescent="0.2">
      <c r="G61877" s="889"/>
    </row>
    <row r="61878" spans="7:7" ht="10.5" customHeight="1" x14ac:dyDescent="0.2">
      <c r="G61878" s="889"/>
    </row>
    <row r="61879" spans="7:7" ht="10.5" customHeight="1" x14ac:dyDescent="0.2">
      <c r="G61879" s="889"/>
    </row>
    <row r="61880" spans="7:7" ht="10.5" customHeight="1" x14ac:dyDescent="0.2">
      <c r="G61880" s="889"/>
    </row>
    <row r="61881" spans="7:7" ht="10.5" customHeight="1" x14ac:dyDescent="0.2">
      <c r="G61881" s="889"/>
    </row>
    <row r="61882" spans="7:7" ht="10.5" customHeight="1" x14ac:dyDescent="0.2">
      <c r="G61882" s="889"/>
    </row>
    <row r="61883" spans="7:7" ht="10.5" customHeight="1" x14ac:dyDescent="0.2">
      <c r="G61883" s="889"/>
    </row>
    <row r="61884" spans="7:7" ht="10.5" customHeight="1" x14ac:dyDescent="0.2">
      <c r="G61884" s="889"/>
    </row>
    <row r="61885" spans="7:7" ht="10.5" customHeight="1" x14ac:dyDescent="0.2">
      <c r="G61885" s="889"/>
    </row>
    <row r="61886" spans="7:7" ht="10.5" customHeight="1" x14ac:dyDescent="0.2">
      <c r="G61886" s="889"/>
    </row>
    <row r="61887" spans="7:7" ht="10.5" customHeight="1" x14ac:dyDescent="0.2">
      <c r="G61887" s="889"/>
    </row>
    <row r="61888" spans="7:7" ht="10.5" customHeight="1" x14ac:dyDescent="0.2">
      <c r="G61888" s="889"/>
    </row>
    <row r="61889" spans="7:7" ht="10.5" customHeight="1" x14ac:dyDescent="0.2">
      <c r="G61889" s="889"/>
    </row>
    <row r="61890" spans="7:7" ht="10.5" customHeight="1" x14ac:dyDescent="0.2">
      <c r="G61890" s="889"/>
    </row>
    <row r="61891" spans="7:7" ht="10.5" customHeight="1" x14ac:dyDescent="0.2">
      <c r="G61891" s="889"/>
    </row>
    <row r="61892" spans="7:7" ht="10.5" customHeight="1" x14ac:dyDescent="0.2">
      <c r="G61892" s="889"/>
    </row>
    <row r="61893" spans="7:7" ht="10.5" customHeight="1" x14ac:dyDescent="0.2">
      <c r="G61893" s="889"/>
    </row>
    <row r="61894" spans="7:7" ht="10.5" customHeight="1" x14ac:dyDescent="0.2">
      <c r="G61894" s="889"/>
    </row>
    <row r="61895" spans="7:7" ht="10.5" customHeight="1" x14ac:dyDescent="0.2">
      <c r="G61895" s="889"/>
    </row>
    <row r="61896" spans="7:7" ht="10.5" customHeight="1" x14ac:dyDescent="0.2">
      <c r="G61896" s="889"/>
    </row>
    <row r="61897" spans="7:7" ht="10.5" customHeight="1" x14ac:dyDescent="0.2">
      <c r="G61897" s="889"/>
    </row>
    <row r="61898" spans="7:7" ht="10.5" customHeight="1" x14ac:dyDescent="0.2">
      <c r="G61898" s="889"/>
    </row>
    <row r="61899" spans="7:7" ht="10.5" customHeight="1" x14ac:dyDescent="0.2">
      <c r="G61899" s="889"/>
    </row>
    <row r="61900" spans="7:7" ht="10.5" customHeight="1" x14ac:dyDescent="0.2">
      <c r="G61900" s="889"/>
    </row>
    <row r="61901" spans="7:7" ht="10.5" customHeight="1" x14ac:dyDescent="0.2">
      <c r="G61901" s="889"/>
    </row>
    <row r="61902" spans="7:7" ht="10.5" customHeight="1" x14ac:dyDescent="0.2">
      <c r="G61902" s="889"/>
    </row>
    <row r="61903" spans="7:7" ht="10.5" customHeight="1" x14ac:dyDescent="0.2">
      <c r="G61903" s="889"/>
    </row>
    <row r="61904" spans="7:7" ht="10.5" customHeight="1" x14ac:dyDescent="0.2">
      <c r="G61904" s="889"/>
    </row>
    <row r="61905" spans="7:7" ht="10.5" customHeight="1" x14ac:dyDescent="0.2">
      <c r="G61905" s="889"/>
    </row>
    <row r="61906" spans="7:7" ht="10.5" customHeight="1" x14ac:dyDescent="0.2">
      <c r="G61906" s="889"/>
    </row>
    <row r="61907" spans="7:7" ht="10.5" customHeight="1" x14ac:dyDescent="0.2">
      <c r="G61907" s="889"/>
    </row>
    <row r="61908" spans="7:7" ht="10.5" customHeight="1" x14ac:dyDescent="0.2">
      <c r="G61908" s="889"/>
    </row>
    <row r="61909" spans="7:7" ht="10.5" customHeight="1" x14ac:dyDescent="0.2">
      <c r="G61909" s="889"/>
    </row>
    <row r="61910" spans="7:7" ht="10.5" customHeight="1" x14ac:dyDescent="0.2">
      <c r="G61910" s="889"/>
    </row>
    <row r="61911" spans="7:7" ht="10.5" customHeight="1" x14ac:dyDescent="0.2">
      <c r="G61911" s="889"/>
    </row>
    <row r="61912" spans="7:7" ht="10.5" customHeight="1" x14ac:dyDescent="0.2">
      <c r="G61912" s="889"/>
    </row>
    <row r="61913" spans="7:7" ht="10.5" customHeight="1" x14ac:dyDescent="0.2">
      <c r="G61913" s="889"/>
    </row>
    <row r="61914" spans="7:7" ht="10.5" customHeight="1" x14ac:dyDescent="0.2">
      <c r="G61914" s="889"/>
    </row>
    <row r="61915" spans="7:7" ht="10.5" customHeight="1" x14ac:dyDescent="0.2">
      <c r="G61915" s="889"/>
    </row>
    <row r="61916" spans="7:7" ht="10.5" customHeight="1" x14ac:dyDescent="0.2">
      <c r="G61916" s="889"/>
    </row>
    <row r="61917" spans="7:7" ht="10.5" customHeight="1" x14ac:dyDescent="0.2">
      <c r="G61917" s="889"/>
    </row>
    <row r="61918" spans="7:7" ht="10.5" customHeight="1" x14ac:dyDescent="0.2">
      <c r="G61918" s="889"/>
    </row>
    <row r="61919" spans="7:7" ht="10.5" customHeight="1" x14ac:dyDescent="0.2">
      <c r="G61919" s="889"/>
    </row>
    <row r="61920" spans="7:7" ht="10.5" customHeight="1" x14ac:dyDescent="0.2">
      <c r="G61920" s="889"/>
    </row>
    <row r="61921" spans="7:7" ht="10.5" customHeight="1" x14ac:dyDescent="0.2">
      <c r="G61921" s="889"/>
    </row>
    <row r="61922" spans="7:7" ht="10.5" customHeight="1" x14ac:dyDescent="0.2">
      <c r="G61922" s="889"/>
    </row>
    <row r="61923" spans="7:7" ht="10.5" customHeight="1" x14ac:dyDescent="0.2">
      <c r="G61923" s="889"/>
    </row>
    <row r="61924" spans="7:7" ht="10.5" customHeight="1" x14ac:dyDescent="0.2">
      <c r="G61924" s="889"/>
    </row>
    <row r="61925" spans="7:7" ht="10.5" customHeight="1" x14ac:dyDescent="0.2">
      <c r="G61925" s="889"/>
    </row>
    <row r="61926" spans="7:7" ht="10.5" customHeight="1" x14ac:dyDescent="0.2">
      <c r="G61926" s="889"/>
    </row>
    <row r="61927" spans="7:7" ht="10.5" customHeight="1" x14ac:dyDescent="0.2">
      <c r="G61927" s="889"/>
    </row>
    <row r="61928" spans="7:7" ht="10.5" customHeight="1" x14ac:dyDescent="0.2">
      <c r="G61928" s="889"/>
    </row>
    <row r="61929" spans="7:7" ht="10.5" customHeight="1" x14ac:dyDescent="0.2">
      <c r="G61929" s="889"/>
    </row>
    <row r="61930" spans="7:7" ht="10.5" customHeight="1" x14ac:dyDescent="0.2">
      <c r="G61930" s="889"/>
    </row>
    <row r="61931" spans="7:7" ht="10.5" customHeight="1" x14ac:dyDescent="0.2">
      <c r="G61931" s="889"/>
    </row>
    <row r="61932" spans="7:7" ht="10.5" customHeight="1" x14ac:dyDescent="0.2">
      <c r="G61932" s="889"/>
    </row>
    <row r="61933" spans="7:7" ht="10.5" customHeight="1" x14ac:dyDescent="0.2">
      <c r="G61933" s="889"/>
    </row>
    <row r="61934" spans="7:7" ht="10.5" customHeight="1" x14ac:dyDescent="0.2">
      <c r="G61934" s="889"/>
    </row>
    <row r="61935" spans="7:7" ht="10.5" customHeight="1" x14ac:dyDescent="0.2">
      <c r="G61935" s="889"/>
    </row>
    <row r="61936" spans="7:7" ht="10.5" customHeight="1" x14ac:dyDescent="0.2">
      <c r="G61936" s="889"/>
    </row>
    <row r="61937" spans="7:7" ht="10.5" customHeight="1" x14ac:dyDescent="0.2">
      <c r="G61937" s="889"/>
    </row>
    <row r="61938" spans="7:7" ht="10.5" customHeight="1" x14ac:dyDescent="0.2">
      <c r="G61938" s="889"/>
    </row>
    <row r="61939" spans="7:7" ht="10.5" customHeight="1" x14ac:dyDescent="0.2">
      <c r="G61939" s="889"/>
    </row>
    <row r="61940" spans="7:7" ht="10.5" customHeight="1" x14ac:dyDescent="0.2">
      <c r="G61940" s="889"/>
    </row>
    <row r="61941" spans="7:7" ht="10.5" customHeight="1" x14ac:dyDescent="0.2">
      <c r="G61941" s="889"/>
    </row>
    <row r="61942" spans="7:7" ht="10.5" customHeight="1" x14ac:dyDescent="0.2">
      <c r="G61942" s="889"/>
    </row>
    <row r="61943" spans="7:7" ht="10.5" customHeight="1" x14ac:dyDescent="0.2">
      <c r="G61943" s="889"/>
    </row>
    <row r="61944" spans="7:7" ht="10.5" customHeight="1" x14ac:dyDescent="0.2">
      <c r="G61944" s="889"/>
    </row>
    <row r="61945" spans="7:7" ht="10.5" customHeight="1" x14ac:dyDescent="0.2">
      <c r="G61945" s="889"/>
    </row>
    <row r="61946" spans="7:7" ht="10.5" customHeight="1" x14ac:dyDescent="0.2">
      <c r="G61946" s="889"/>
    </row>
    <row r="61947" spans="7:7" ht="10.5" customHeight="1" x14ac:dyDescent="0.2">
      <c r="G61947" s="889"/>
    </row>
    <row r="61948" spans="7:7" ht="10.5" customHeight="1" x14ac:dyDescent="0.2">
      <c r="G61948" s="889"/>
    </row>
    <row r="61949" spans="7:7" ht="10.5" customHeight="1" x14ac:dyDescent="0.2">
      <c r="G61949" s="889"/>
    </row>
    <row r="61950" spans="7:7" ht="10.5" customHeight="1" x14ac:dyDescent="0.2">
      <c r="G61950" s="889"/>
    </row>
    <row r="61951" spans="7:7" ht="10.5" customHeight="1" x14ac:dyDescent="0.2">
      <c r="G61951" s="889"/>
    </row>
    <row r="61952" spans="7:7" ht="10.5" customHeight="1" x14ac:dyDescent="0.2">
      <c r="G61952" s="889"/>
    </row>
    <row r="61953" spans="7:7" ht="10.5" customHeight="1" x14ac:dyDescent="0.2">
      <c r="G61953" s="889"/>
    </row>
    <row r="61954" spans="7:7" ht="10.5" customHeight="1" x14ac:dyDescent="0.2">
      <c r="G61954" s="889"/>
    </row>
    <row r="61955" spans="7:7" ht="10.5" customHeight="1" x14ac:dyDescent="0.2">
      <c r="G61955" s="889"/>
    </row>
    <row r="61956" spans="7:7" ht="10.5" customHeight="1" x14ac:dyDescent="0.2">
      <c r="G61956" s="889"/>
    </row>
    <row r="61957" spans="7:7" ht="10.5" customHeight="1" x14ac:dyDescent="0.2">
      <c r="G61957" s="889"/>
    </row>
    <row r="61958" spans="7:7" ht="10.5" customHeight="1" x14ac:dyDescent="0.2">
      <c r="G61958" s="889"/>
    </row>
    <row r="61959" spans="7:7" ht="10.5" customHeight="1" x14ac:dyDescent="0.2">
      <c r="G61959" s="889"/>
    </row>
    <row r="61960" spans="7:7" ht="10.5" customHeight="1" x14ac:dyDescent="0.2">
      <c r="G61960" s="889"/>
    </row>
    <row r="61961" spans="7:7" ht="10.5" customHeight="1" x14ac:dyDescent="0.2">
      <c r="G61961" s="889"/>
    </row>
    <row r="61962" spans="7:7" ht="10.5" customHeight="1" x14ac:dyDescent="0.2">
      <c r="G61962" s="889"/>
    </row>
    <row r="61963" spans="7:7" ht="10.5" customHeight="1" x14ac:dyDescent="0.2">
      <c r="G61963" s="889"/>
    </row>
    <row r="61964" spans="7:7" ht="10.5" customHeight="1" x14ac:dyDescent="0.2">
      <c r="G61964" s="889"/>
    </row>
    <row r="61965" spans="7:7" ht="10.5" customHeight="1" x14ac:dyDescent="0.2">
      <c r="G61965" s="889"/>
    </row>
    <row r="61966" spans="7:7" ht="10.5" customHeight="1" x14ac:dyDescent="0.2">
      <c r="G61966" s="889"/>
    </row>
    <row r="61967" spans="7:7" ht="10.5" customHeight="1" x14ac:dyDescent="0.2">
      <c r="G61967" s="889"/>
    </row>
    <row r="61968" spans="7:7" ht="10.5" customHeight="1" x14ac:dyDescent="0.2">
      <c r="G61968" s="889"/>
    </row>
    <row r="61969" spans="7:7" ht="10.5" customHeight="1" x14ac:dyDescent="0.2">
      <c r="G61969" s="889"/>
    </row>
    <row r="61970" spans="7:7" ht="10.5" customHeight="1" x14ac:dyDescent="0.2">
      <c r="G61970" s="889"/>
    </row>
    <row r="61971" spans="7:7" ht="10.5" customHeight="1" x14ac:dyDescent="0.2">
      <c r="G61971" s="889"/>
    </row>
    <row r="61972" spans="7:7" ht="10.5" customHeight="1" x14ac:dyDescent="0.2">
      <c r="G61972" s="889"/>
    </row>
    <row r="61973" spans="7:7" ht="10.5" customHeight="1" x14ac:dyDescent="0.2">
      <c r="G61973" s="889"/>
    </row>
    <row r="61974" spans="7:7" ht="10.5" customHeight="1" x14ac:dyDescent="0.2">
      <c r="G61974" s="889"/>
    </row>
    <row r="61975" spans="7:7" ht="10.5" customHeight="1" x14ac:dyDescent="0.2">
      <c r="G61975" s="889"/>
    </row>
    <row r="61976" spans="7:7" ht="10.5" customHeight="1" x14ac:dyDescent="0.2">
      <c r="G61976" s="889"/>
    </row>
    <row r="61977" spans="7:7" ht="10.5" customHeight="1" x14ac:dyDescent="0.2">
      <c r="G61977" s="889"/>
    </row>
    <row r="61978" spans="7:7" ht="10.5" customHeight="1" x14ac:dyDescent="0.2">
      <c r="G61978" s="889"/>
    </row>
    <row r="61979" spans="7:7" ht="10.5" customHeight="1" x14ac:dyDescent="0.2">
      <c r="G61979" s="889"/>
    </row>
    <row r="61980" spans="7:7" ht="10.5" customHeight="1" x14ac:dyDescent="0.2">
      <c r="G61980" s="889"/>
    </row>
    <row r="61981" spans="7:7" ht="10.5" customHeight="1" x14ac:dyDescent="0.2">
      <c r="G61981" s="889"/>
    </row>
    <row r="61982" spans="7:7" ht="10.5" customHeight="1" x14ac:dyDescent="0.2">
      <c r="G61982" s="889"/>
    </row>
    <row r="61983" spans="7:7" ht="10.5" customHeight="1" x14ac:dyDescent="0.2">
      <c r="G61983" s="889"/>
    </row>
    <row r="61984" spans="7:7" ht="10.5" customHeight="1" x14ac:dyDescent="0.2">
      <c r="G61984" s="889"/>
    </row>
    <row r="61985" spans="7:7" ht="10.5" customHeight="1" x14ac:dyDescent="0.2">
      <c r="G61985" s="889"/>
    </row>
    <row r="61986" spans="7:7" ht="10.5" customHeight="1" x14ac:dyDescent="0.2">
      <c r="G61986" s="889"/>
    </row>
    <row r="61987" spans="7:7" ht="10.5" customHeight="1" x14ac:dyDescent="0.2">
      <c r="G61987" s="889"/>
    </row>
    <row r="61988" spans="7:7" ht="10.5" customHeight="1" x14ac:dyDescent="0.2">
      <c r="G61988" s="889"/>
    </row>
    <row r="61989" spans="7:7" ht="10.5" customHeight="1" x14ac:dyDescent="0.2">
      <c r="G61989" s="889"/>
    </row>
    <row r="61990" spans="7:7" ht="10.5" customHeight="1" x14ac:dyDescent="0.2">
      <c r="G61990" s="889"/>
    </row>
    <row r="61991" spans="7:7" ht="10.5" customHeight="1" x14ac:dyDescent="0.2">
      <c r="G61991" s="889"/>
    </row>
    <row r="61992" spans="7:7" ht="10.5" customHeight="1" x14ac:dyDescent="0.2">
      <c r="G61992" s="889"/>
    </row>
    <row r="61993" spans="7:7" ht="10.5" customHeight="1" x14ac:dyDescent="0.2">
      <c r="G61993" s="889"/>
    </row>
    <row r="61994" spans="7:7" ht="10.5" customHeight="1" x14ac:dyDescent="0.2">
      <c r="G61994" s="889"/>
    </row>
    <row r="61995" spans="7:7" ht="10.5" customHeight="1" x14ac:dyDescent="0.2">
      <c r="G61995" s="889"/>
    </row>
    <row r="61996" spans="7:7" ht="10.5" customHeight="1" x14ac:dyDescent="0.2">
      <c r="G61996" s="889"/>
    </row>
    <row r="61997" spans="7:7" ht="10.5" customHeight="1" x14ac:dyDescent="0.2">
      <c r="G61997" s="889"/>
    </row>
    <row r="61998" spans="7:7" ht="10.5" customHeight="1" x14ac:dyDescent="0.2">
      <c r="G61998" s="889"/>
    </row>
    <row r="61999" spans="7:7" ht="10.5" customHeight="1" x14ac:dyDescent="0.2">
      <c r="G61999" s="889"/>
    </row>
    <row r="62000" spans="7:7" ht="10.5" customHeight="1" x14ac:dyDescent="0.2">
      <c r="G62000" s="889"/>
    </row>
    <row r="62001" spans="7:7" ht="10.5" customHeight="1" x14ac:dyDescent="0.2">
      <c r="G62001" s="889"/>
    </row>
    <row r="62002" spans="7:7" ht="10.5" customHeight="1" x14ac:dyDescent="0.2">
      <c r="G62002" s="889"/>
    </row>
    <row r="62003" spans="7:7" ht="10.5" customHeight="1" x14ac:dyDescent="0.2">
      <c r="G62003" s="889"/>
    </row>
    <row r="62004" spans="7:7" ht="10.5" customHeight="1" x14ac:dyDescent="0.2">
      <c r="G62004" s="889"/>
    </row>
    <row r="62005" spans="7:7" ht="10.5" customHeight="1" x14ac:dyDescent="0.2">
      <c r="G62005" s="889"/>
    </row>
    <row r="62006" spans="7:7" ht="10.5" customHeight="1" x14ac:dyDescent="0.2">
      <c r="G62006" s="889"/>
    </row>
    <row r="62007" spans="7:7" ht="10.5" customHeight="1" x14ac:dyDescent="0.2">
      <c r="G62007" s="889"/>
    </row>
    <row r="62008" spans="7:7" ht="10.5" customHeight="1" x14ac:dyDescent="0.2">
      <c r="G62008" s="889"/>
    </row>
    <row r="62009" spans="7:7" ht="10.5" customHeight="1" x14ac:dyDescent="0.2">
      <c r="G62009" s="889"/>
    </row>
    <row r="62010" spans="7:7" ht="10.5" customHeight="1" x14ac:dyDescent="0.2">
      <c r="G62010" s="889"/>
    </row>
    <row r="62011" spans="7:7" ht="10.5" customHeight="1" x14ac:dyDescent="0.2">
      <c r="G62011" s="889"/>
    </row>
    <row r="62012" spans="7:7" ht="10.5" customHeight="1" x14ac:dyDescent="0.2">
      <c r="G62012" s="889"/>
    </row>
    <row r="62013" spans="7:7" ht="10.5" customHeight="1" x14ac:dyDescent="0.2">
      <c r="G62013" s="889"/>
    </row>
    <row r="62014" spans="7:7" ht="10.5" customHeight="1" x14ac:dyDescent="0.2">
      <c r="G62014" s="889"/>
    </row>
    <row r="62015" spans="7:7" ht="10.5" customHeight="1" x14ac:dyDescent="0.2">
      <c r="G62015" s="889"/>
    </row>
    <row r="62016" spans="7:7" ht="10.5" customHeight="1" x14ac:dyDescent="0.2">
      <c r="G62016" s="889"/>
    </row>
    <row r="62017" spans="7:7" ht="10.5" customHeight="1" x14ac:dyDescent="0.2">
      <c r="G62017" s="889"/>
    </row>
    <row r="62018" spans="7:7" ht="10.5" customHeight="1" x14ac:dyDescent="0.2">
      <c r="G62018" s="889"/>
    </row>
    <row r="62019" spans="7:7" ht="10.5" customHeight="1" x14ac:dyDescent="0.2">
      <c r="G62019" s="889"/>
    </row>
    <row r="62020" spans="7:7" ht="10.5" customHeight="1" x14ac:dyDescent="0.2">
      <c r="G62020" s="889"/>
    </row>
    <row r="62021" spans="7:7" ht="10.5" customHeight="1" x14ac:dyDescent="0.2">
      <c r="G62021" s="889"/>
    </row>
    <row r="62022" spans="7:7" ht="10.5" customHeight="1" x14ac:dyDescent="0.2">
      <c r="G62022" s="889"/>
    </row>
    <row r="62023" spans="7:7" ht="10.5" customHeight="1" x14ac:dyDescent="0.2">
      <c r="G62023" s="889"/>
    </row>
    <row r="62024" spans="7:7" ht="10.5" customHeight="1" x14ac:dyDescent="0.2">
      <c r="G62024" s="889"/>
    </row>
    <row r="62025" spans="7:7" ht="10.5" customHeight="1" x14ac:dyDescent="0.2">
      <c r="G62025" s="889"/>
    </row>
    <row r="62026" spans="7:7" ht="10.5" customHeight="1" x14ac:dyDescent="0.2">
      <c r="G62026" s="889"/>
    </row>
    <row r="62027" spans="7:7" ht="10.5" customHeight="1" x14ac:dyDescent="0.2">
      <c r="G62027" s="889"/>
    </row>
    <row r="62028" spans="7:7" ht="10.5" customHeight="1" x14ac:dyDescent="0.2">
      <c r="G62028" s="889"/>
    </row>
    <row r="62029" spans="7:7" ht="10.5" customHeight="1" x14ac:dyDescent="0.2">
      <c r="G62029" s="889"/>
    </row>
    <row r="62030" spans="7:7" ht="10.5" customHeight="1" x14ac:dyDescent="0.2">
      <c r="G62030" s="889"/>
    </row>
    <row r="62031" spans="7:7" ht="10.5" customHeight="1" x14ac:dyDescent="0.2">
      <c r="G62031" s="889"/>
    </row>
    <row r="62032" spans="7:7" ht="10.5" customHeight="1" x14ac:dyDescent="0.2">
      <c r="G62032" s="889"/>
    </row>
    <row r="62033" spans="7:7" ht="10.5" customHeight="1" x14ac:dyDescent="0.2">
      <c r="G62033" s="889"/>
    </row>
    <row r="62034" spans="7:7" ht="10.5" customHeight="1" x14ac:dyDescent="0.2">
      <c r="G62034" s="889"/>
    </row>
    <row r="62035" spans="7:7" ht="10.5" customHeight="1" x14ac:dyDescent="0.2">
      <c r="G62035" s="889"/>
    </row>
    <row r="62036" spans="7:7" ht="10.5" customHeight="1" x14ac:dyDescent="0.2">
      <c r="G62036" s="889"/>
    </row>
    <row r="62037" spans="7:7" ht="10.5" customHeight="1" x14ac:dyDescent="0.2">
      <c r="G62037" s="889"/>
    </row>
    <row r="62038" spans="7:7" ht="10.5" customHeight="1" x14ac:dyDescent="0.2">
      <c r="G62038" s="889"/>
    </row>
    <row r="62039" spans="7:7" ht="10.5" customHeight="1" x14ac:dyDescent="0.2">
      <c r="G62039" s="889"/>
    </row>
    <row r="62040" spans="7:7" ht="10.5" customHeight="1" x14ac:dyDescent="0.2">
      <c r="G62040" s="889"/>
    </row>
    <row r="62041" spans="7:7" ht="10.5" customHeight="1" x14ac:dyDescent="0.2">
      <c r="G62041" s="889"/>
    </row>
    <row r="62042" spans="7:7" ht="10.5" customHeight="1" x14ac:dyDescent="0.2">
      <c r="G62042" s="889"/>
    </row>
    <row r="62043" spans="7:7" ht="10.5" customHeight="1" x14ac:dyDescent="0.2">
      <c r="G62043" s="889"/>
    </row>
    <row r="62044" spans="7:7" ht="10.5" customHeight="1" x14ac:dyDescent="0.2">
      <c r="G62044" s="889"/>
    </row>
    <row r="62045" spans="7:7" ht="10.5" customHeight="1" x14ac:dyDescent="0.2">
      <c r="G62045" s="889"/>
    </row>
    <row r="62046" spans="7:7" ht="10.5" customHeight="1" x14ac:dyDescent="0.2">
      <c r="G62046" s="889"/>
    </row>
    <row r="62047" spans="7:7" ht="10.5" customHeight="1" x14ac:dyDescent="0.2">
      <c r="G62047" s="889"/>
    </row>
    <row r="62048" spans="7:7" ht="10.5" customHeight="1" x14ac:dyDescent="0.2">
      <c r="G62048" s="889"/>
    </row>
    <row r="62049" spans="7:7" ht="10.5" customHeight="1" x14ac:dyDescent="0.2">
      <c r="G62049" s="889"/>
    </row>
    <row r="62050" spans="7:7" ht="10.5" customHeight="1" x14ac:dyDescent="0.2">
      <c r="G62050" s="889"/>
    </row>
    <row r="62051" spans="7:7" ht="10.5" customHeight="1" x14ac:dyDescent="0.2">
      <c r="G62051" s="889"/>
    </row>
    <row r="62052" spans="7:7" ht="10.5" customHeight="1" x14ac:dyDescent="0.2">
      <c r="G62052" s="889"/>
    </row>
    <row r="62053" spans="7:7" ht="10.5" customHeight="1" x14ac:dyDescent="0.2">
      <c r="G62053" s="889"/>
    </row>
    <row r="62054" spans="7:7" ht="10.5" customHeight="1" x14ac:dyDescent="0.2">
      <c r="G62054" s="889"/>
    </row>
    <row r="62055" spans="7:7" ht="10.5" customHeight="1" x14ac:dyDescent="0.2">
      <c r="G62055" s="889"/>
    </row>
    <row r="62056" spans="7:7" ht="10.5" customHeight="1" x14ac:dyDescent="0.2">
      <c r="G62056" s="889"/>
    </row>
    <row r="62057" spans="7:7" ht="10.5" customHeight="1" x14ac:dyDescent="0.2">
      <c r="G62057" s="889"/>
    </row>
    <row r="62058" spans="7:7" ht="10.5" customHeight="1" x14ac:dyDescent="0.2">
      <c r="G62058" s="889"/>
    </row>
    <row r="62059" spans="7:7" ht="10.5" customHeight="1" x14ac:dyDescent="0.2">
      <c r="G62059" s="889"/>
    </row>
    <row r="62060" spans="7:7" ht="10.5" customHeight="1" x14ac:dyDescent="0.2">
      <c r="G62060" s="889"/>
    </row>
    <row r="62061" spans="7:7" ht="10.5" customHeight="1" x14ac:dyDescent="0.2">
      <c r="G62061" s="889"/>
    </row>
    <row r="62062" spans="7:7" ht="10.5" customHeight="1" x14ac:dyDescent="0.2">
      <c r="G62062" s="889"/>
    </row>
    <row r="62063" spans="7:7" ht="10.5" customHeight="1" x14ac:dyDescent="0.2">
      <c r="G62063" s="889"/>
    </row>
    <row r="62064" spans="7:7" ht="10.5" customHeight="1" x14ac:dyDescent="0.2">
      <c r="G62064" s="889"/>
    </row>
    <row r="62065" spans="7:7" ht="10.5" customHeight="1" x14ac:dyDescent="0.2">
      <c r="G62065" s="889"/>
    </row>
    <row r="62066" spans="7:7" ht="10.5" customHeight="1" x14ac:dyDescent="0.2">
      <c r="G62066" s="889"/>
    </row>
    <row r="62067" spans="7:7" ht="10.5" customHeight="1" x14ac:dyDescent="0.2">
      <c r="G62067" s="889"/>
    </row>
    <row r="62068" spans="7:7" ht="10.5" customHeight="1" x14ac:dyDescent="0.2">
      <c r="G62068" s="889"/>
    </row>
    <row r="62069" spans="7:7" ht="10.5" customHeight="1" x14ac:dyDescent="0.2">
      <c r="G62069" s="889"/>
    </row>
    <row r="62070" spans="7:7" ht="10.5" customHeight="1" x14ac:dyDescent="0.2">
      <c r="G62070" s="889"/>
    </row>
    <row r="62071" spans="7:7" ht="10.5" customHeight="1" x14ac:dyDescent="0.2">
      <c r="G62071" s="889"/>
    </row>
    <row r="62072" spans="7:7" ht="10.5" customHeight="1" x14ac:dyDescent="0.2">
      <c r="G62072" s="889"/>
    </row>
    <row r="62073" spans="7:7" ht="10.5" customHeight="1" x14ac:dyDescent="0.2">
      <c r="G62073" s="889"/>
    </row>
    <row r="62074" spans="7:7" ht="10.5" customHeight="1" x14ac:dyDescent="0.2">
      <c r="G62074" s="889"/>
    </row>
    <row r="62075" spans="7:7" ht="10.5" customHeight="1" x14ac:dyDescent="0.2">
      <c r="G62075" s="889"/>
    </row>
    <row r="62076" spans="7:7" ht="10.5" customHeight="1" x14ac:dyDescent="0.2">
      <c r="G62076" s="889"/>
    </row>
    <row r="62077" spans="7:7" ht="10.5" customHeight="1" x14ac:dyDescent="0.2">
      <c r="G62077" s="889"/>
    </row>
    <row r="62078" spans="7:7" ht="10.5" customHeight="1" x14ac:dyDescent="0.2">
      <c r="G62078" s="889"/>
    </row>
    <row r="62079" spans="7:7" ht="10.5" customHeight="1" x14ac:dyDescent="0.2">
      <c r="G62079" s="889"/>
    </row>
    <row r="62080" spans="7:7" ht="10.5" customHeight="1" x14ac:dyDescent="0.2">
      <c r="G62080" s="889"/>
    </row>
    <row r="62081" spans="7:7" ht="10.5" customHeight="1" x14ac:dyDescent="0.2">
      <c r="G62081" s="889"/>
    </row>
    <row r="62082" spans="7:7" ht="10.5" customHeight="1" x14ac:dyDescent="0.2">
      <c r="G62082" s="889"/>
    </row>
    <row r="62083" spans="7:7" ht="10.5" customHeight="1" x14ac:dyDescent="0.2">
      <c r="G62083" s="889"/>
    </row>
    <row r="62084" spans="7:7" ht="10.5" customHeight="1" x14ac:dyDescent="0.2">
      <c r="G62084" s="889"/>
    </row>
    <row r="62085" spans="7:7" ht="10.5" customHeight="1" x14ac:dyDescent="0.2">
      <c r="G62085" s="889"/>
    </row>
    <row r="62086" spans="7:7" ht="10.5" customHeight="1" x14ac:dyDescent="0.2">
      <c r="G62086" s="889"/>
    </row>
    <row r="62087" spans="7:7" ht="10.5" customHeight="1" x14ac:dyDescent="0.2">
      <c r="G62087" s="889"/>
    </row>
    <row r="62088" spans="7:7" ht="10.5" customHeight="1" x14ac:dyDescent="0.2">
      <c r="G62088" s="889"/>
    </row>
    <row r="62089" spans="7:7" ht="10.5" customHeight="1" x14ac:dyDescent="0.2">
      <c r="G62089" s="889"/>
    </row>
    <row r="62090" spans="7:7" ht="10.5" customHeight="1" x14ac:dyDescent="0.2">
      <c r="G62090" s="889"/>
    </row>
    <row r="62091" spans="7:7" ht="10.5" customHeight="1" x14ac:dyDescent="0.2">
      <c r="G62091" s="889"/>
    </row>
    <row r="62092" spans="7:7" ht="10.5" customHeight="1" x14ac:dyDescent="0.2">
      <c r="G62092" s="889"/>
    </row>
    <row r="62093" spans="7:7" ht="10.5" customHeight="1" x14ac:dyDescent="0.2">
      <c r="G62093" s="889"/>
    </row>
    <row r="62094" spans="7:7" ht="10.5" customHeight="1" x14ac:dyDescent="0.2">
      <c r="G62094" s="889"/>
    </row>
    <row r="62095" spans="7:7" ht="10.5" customHeight="1" x14ac:dyDescent="0.2">
      <c r="G62095" s="889"/>
    </row>
    <row r="62096" spans="7:7" ht="10.5" customHeight="1" x14ac:dyDescent="0.2">
      <c r="G62096" s="889"/>
    </row>
    <row r="62097" spans="7:7" ht="10.5" customHeight="1" x14ac:dyDescent="0.2">
      <c r="G62097" s="889"/>
    </row>
    <row r="62098" spans="7:7" ht="10.5" customHeight="1" x14ac:dyDescent="0.2">
      <c r="G62098" s="889"/>
    </row>
    <row r="62099" spans="7:7" ht="10.5" customHeight="1" x14ac:dyDescent="0.2">
      <c r="G62099" s="889"/>
    </row>
    <row r="62100" spans="7:7" ht="10.5" customHeight="1" x14ac:dyDescent="0.2">
      <c r="G62100" s="889"/>
    </row>
    <row r="62101" spans="7:7" ht="10.5" customHeight="1" x14ac:dyDescent="0.2">
      <c r="G62101" s="889"/>
    </row>
    <row r="62102" spans="7:7" ht="10.5" customHeight="1" x14ac:dyDescent="0.2">
      <c r="G62102" s="889"/>
    </row>
    <row r="62103" spans="7:7" ht="10.5" customHeight="1" x14ac:dyDescent="0.2">
      <c r="G62103" s="889"/>
    </row>
    <row r="62104" spans="7:7" ht="10.5" customHeight="1" x14ac:dyDescent="0.2">
      <c r="G62104" s="889"/>
    </row>
    <row r="62105" spans="7:7" ht="10.5" customHeight="1" x14ac:dyDescent="0.2">
      <c r="G62105" s="889"/>
    </row>
    <row r="62106" spans="7:7" ht="10.5" customHeight="1" x14ac:dyDescent="0.2">
      <c r="G62106" s="889"/>
    </row>
    <row r="62107" spans="7:7" ht="10.5" customHeight="1" x14ac:dyDescent="0.2">
      <c r="G62107" s="889"/>
    </row>
    <row r="62108" spans="7:7" ht="10.5" customHeight="1" x14ac:dyDescent="0.2">
      <c r="G62108" s="889"/>
    </row>
    <row r="62109" spans="7:7" ht="10.5" customHeight="1" x14ac:dyDescent="0.2">
      <c r="G62109" s="889"/>
    </row>
    <row r="62110" spans="7:7" ht="10.5" customHeight="1" x14ac:dyDescent="0.2">
      <c r="G62110" s="889"/>
    </row>
    <row r="62111" spans="7:7" ht="10.5" customHeight="1" x14ac:dyDescent="0.2">
      <c r="G62111" s="889"/>
    </row>
    <row r="62112" spans="7:7" ht="10.5" customHeight="1" x14ac:dyDescent="0.2">
      <c r="G62112" s="889"/>
    </row>
    <row r="62113" spans="7:7" ht="10.5" customHeight="1" x14ac:dyDescent="0.2">
      <c r="G62113" s="889"/>
    </row>
    <row r="62114" spans="7:7" ht="10.5" customHeight="1" x14ac:dyDescent="0.2">
      <c r="G62114" s="889"/>
    </row>
    <row r="62115" spans="7:7" ht="10.5" customHeight="1" x14ac:dyDescent="0.2">
      <c r="G62115" s="889"/>
    </row>
    <row r="62116" spans="7:7" ht="10.5" customHeight="1" x14ac:dyDescent="0.2">
      <c r="G62116" s="889"/>
    </row>
    <row r="62117" spans="7:7" ht="10.5" customHeight="1" x14ac:dyDescent="0.2">
      <c r="G62117" s="889"/>
    </row>
    <row r="62118" spans="7:7" ht="10.5" customHeight="1" x14ac:dyDescent="0.2">
      <c r="G62118" s="889"/>
    </row>
    <row r="62119" spans="7:7" ht="10.5" customHeight="1" x14ac:dyDescent="0.2">
      <c r="G62119" s="889"/>
    </row>
    <row r="62120" spans="7:7" ht="10.5" customHeight="1" x14ac:dyDescent="0.2">
      <c r="G62120" s="889"/>
    </row>
    <row r="62121" spans="7:7" ht="10.5" customHeight="1" x14ac:dyDescent="0.2">
      <c r="G62121" s="889"/>
    </row>
    <row r="62122" spans="7:7" ht="10.5" customHeight="1" x14ac:dyDescent="0.2">
      <c r="G62122" s="889"/>
    </row>
    <row r="62123" spans="7:7" ht="10.5" customHeight="1" x14ac:dyDescent="0.2">
      <c r="G62123" s="889"/>
    </row>
    <row r="62124" spans="7:7" ht="10.5" customHeight="1" x14ac:dyDescent="0.2">
      <c r="G62124" s="889"/>
    </row>
    <row r="62125" spans="7:7" ht="10.5" customHeight="1" x14ac:dyDescent="0.2">
      <c r="G62125" s="889"/>
    </row>
    <row r="62126" spans="7:7" ht="10.5" customHeight="1" x14ac:dyDescent="0.2">
      <c r="G62126" s="889"/>
    </row>
    <row r="62127" spans="7:7" ht="10.5" customHeight="1" x14ac:dyDescent="0.2">
      <c r="G62127" s="889"/>
    </row>
    <row r="62128" spans="7:7" ht="10.5" customHeight="1" x14ac:dyDescent="0.2">
      <c r="G62128" s="889"/>
    </row>
    <row r="62129" spans="7:7" ht="10.5" customHeight="1" x14ac:dyDescent="0.2">
      <c r="G62129" s="889"/>
    </row>
    <row r="62130" spans="7:7" ht="10.5" customHeight="1" x14ac:dyDescent="0.2">
      <c r="G62130" s="889"/>
    </row>
    <row r="62131" spans="7:7" ht="10.5" customHeight="1" x14ac:dyDescent="0.2">
      <c r="G62131" s="889"/>
    </row>
    <row r="62132" spans="7:7" ht="10.5" customHeight="1" x14ac:dyDescent="0.2">
      <c r="G62132" s="889"/>
    </row>
    <row r="62133" spans="7:7" ht="10.5" customHeight="1" x14ac:dyDescent="0.2">
      <c r="G62133" s="889"/>
    </row>
    <row r="62134" spans="7:7" ht="10.5" customHeight="1" x14ac:dyDescent="0.2">
      <c r="G62134" s="889"/>
    </row>
    <row r="62135" spans="7:7" ht="10.5" customHeight="1" x14ac:dyDescent="0.2">
      <c r="G62135" s="889"/>
    </row>
    <row r="62136" spans="7:7" ht="10.5" customHeight="1" x14ac:dyDescent="0.2">
      <c r="G62136" s="889"/>
    </row>
    <row r="62137" spans="7:7" ht="10.5" customHeight="1" x14ac:dyDescent="0.2">
      <c r="G62137" s="889"/>
    </row>
    <row r="62138" spans="7:7" ht="10.5" customHeight="1" x14ac:dyDescent="0.2">
      <c r="G62138" s="889"/>
    </row>
    <row r="62139" spans="7:7" ht="10.5" customHeight="1" x14ac:dyDescent="0.2">
      <c r="G62139" s="889"/>
    </row>
    <row r="62140" spans="7:7" ht="10.5" customHeight="1" x14ac:dyDescent="0.2">
      <c r="G62140" s="889"/>
    </row>
    <row r="62141" spans="7:7" ht="10.5" customHeight="1" x14ac:dyDescent="0.2">
      <c r="G62141" s="889"/>
    </row>
    <row r="62142" spans="7:7" ht="10.5" customHeight="1" x14ac:dyDescent="0.2">
      <c r="G62142" s="889"/>
    </row>
    <row r="62143" spans="7:7" ht="10.5" customHeight="1" x14ac:dyDescent="0.2">
      <c r="G62143" s="889"/>
    </row>
    <row r="62144" spans="7:7" ht="10.5" customHeight="1" x14ac:dyDescent="0.2">
      <c r="G62144" s="889"/>
    </row>
    <row r="62145" spans="7:7" ht="10.5" customHeight="1" x14ac:dyDescent="0.2">
      <c r="G62145" s="889"/>
    </row>
    <row r="62146" spans="7:7" ht="10.5" customHeight="1" x14ac:dyDescent="0.2">
      <c r="G62146" s="889"/>
    </row>
    <row r="62147" spans="7:7" ht="10.5" customHeight="1" x14ac:dyDescent="0.2">
      <c r="G62147" s="889"/>
    </row>
    <row r="62148" spans="7:7" ht="10.5" customHeight="1" x14ac:dyDescent="0.2">
      <c r="G62148" s="889"/>
    </row>
    <row r="62149" spans="7:7" ht="10.5" customHeight="1" x14ac:dyDescent="0.2">
      <c r="G62149" s="889"/>
    </row>
    <row r="62150" spans="7:7" ht="10.5" customHeight="1" x14ac:dyDescent="0.2">
      <c r="G62150" s="889"/>
    </row>
    <row r="62151" spans="7:7" ht="10.5" customHeight="1" x14ac:dyDescent="0.2">
      <c r="G62151" s="889"/>
    </row>
    <row r="62152" spans="7:7" ht="10.5" customHeight="1" x14ac:dyDescent="0.2">
      <c r="G62152" s="889"/>
    </row>
    <row r="62153" spans="7:7" ht="10.5" customHeight="1" x14ac:dyDescent="0.2">
      <c r="G62153" s="889"/>
    </row>
    <row r="62154" spans="7:7" ht="10.5" customHeight="1" x14ac:dyDescent="0.2">
      <c r="G62154" s="889"/>
    </row>
    <row r="62155" spans="7:7" ht="10.5" customHeight="1" x14ac:dyDescent="0.2">
      <c r="G62155" s="889"/>
    </row>
    <row r="62156" spans="7:7" ht="10.5" customHeight="1" x14ac:dyDescent="0.2">
      <c r="G62156" s="889"/>
    </row>
    <row r="62157" spans="7:7" ht="10.5" customHeight="1" x14ac:dyDescent="0.2">
      <c r="G62157" s="889"/>
    </row>
    <row r="62158" spans="7:7" ht="10.5" customHeight="1" x14ac:dyDescent="0.2">
      <c r="G62158" s="889"/>
    </row>
    <row r="62159" spans="7:7" ht="10.5" customHeight="1" x14ac:dyDescent="0.2">
      <c r="G62159" s="889"/>
    </row>
    <row r="62160" spans="7:7" ht="10.5" customHeight="1" x14ac:dyDescent="0.2">
      <c r="G62160" s="889"/>
    </row>
    <row r="62161" spans="7:7" ht="10.5" customHeight="1" x14ac:dyDescent="0.2">
      <c r="G62161" s="889"/>
    </row>
    <row r="62162" spans="7:7" ht="10.5" customHeight="1" x14ac:dyDescent="0.2">
      <c r="G62162" s="889"/>
    </row>
    <row r="62163" spans="7:7" ht="10.5" customHeight="1" x14ac:dyDescent="0.2">
      <c r="G62163" s="889"/>
    </row>
    <row r="62164" spans="7:7" ht="10.5" customHeight="1" x14ac:dyDescent="0.2">
      <c r="G62164" s="889"/>
    </row>
    <row r="62165" spans="7:7" ht="10.5" customHeight="1" x14ac:dyDescent="0.2">
      <c r="G62165" s="889"/>
    </row>
    <row r="62166" spans="7:7" ht="10.5" customHeight="1" x14ac:dyDescent="0.2">
      <c r="G62166" s="889"/>
    </row>
    <row r="62167" spans="7:7" ht="10.5" customHeight="1" x14ac:dyDescent="0.2">
      <c r="G62167" s="889"/>
    </row>
    <row r="62168" spans="7:7" ht="10.5" customHeight="1" x14ac:dyDescent="0.2">
      <c r="G62168" s="889"/>
    </row>
    <row r="62169" spans="7:7" ht="10.5" customHeight="1" x14ac:dyDescent="0.2">
      <c r="G62169" s="889"/>
    </row>
    <row r="62170" spans="7:7" ht="10.5" customHeight="1" x14ac:dyDescent="0.2">
      <c r="G62170" s="889"/>
    </row>
    <row r="62171" spans="7:7" ht="10.5" customHeight="1" x14ac:dyDescent="0.2">
      <c r="G62171" s="889"/>
    </row>
    <row r="62172" spans="7:7" ht="10.5" customHeight="1" x14ac:dyDescent="0.2">
      <c r="G62172" s="889"/>
    </row>
    <row r="62173" spans="7:7" ht="10.5" customHeight="1" x14ac:dyDescent="0.2">
      <c r="G62173" s="889"/>
    </row>
    <row r="62174" spans="7:7" ht="10.5" customHeight="1" x14ac:dyDescent="0.2">
      <c r="G62174" s="889"/>
    </row>
    <row r="62175" spans="7:7" ht="10.5" customHeight="1" x14ac:dyDescent="0.2">
      <c r="G62175" s="889"/>
    </row>
    <row r="62176" spans="7:7" ht="10.5" customHeight="1" x14ac:dyDescent="0.2">
      <c r="G62176" s="889"/>
    </row>
    <row r="62177" spans="7:7" ht="10.5" customHeight="1" x14ac:dyDescent="0.2">
      <c r="G62177" s="889"/>
    </row>
    <row r="62178" spans="7:7" ht="10.5" customHeight="1" x14ac:dyDescent="0.2">
      <c r="G62178" s="889"/>
    </row>
    <row r="62179" spans="7:7" ht="10.5" customHeight="1" x14ac:dyDescent="0.2">
      <c r="G62179" s="889"/>
    </row>
    <row r="62180" spans="7:7" ht="10.5" customHeight="1" x14ac:dyDescent="0.2">
      <c r="G62180" s="889"/>
    </row>
    <row r="62181" spans="7:7" ht="10.5" customHeight="1" x14ac:dyDescent="0.2">
      <c r="G62181" s="889"/>
    </row>
    <row r="62182" spans="7:7" ht="10.5" customHeight="1" x14ac:dyDescent="0.2">
      <c r="G62182" s="889"/>
    </row>
    <row r="62183" spans="7:7" ht="10.5" customHeight="1" x14ac:dyDescent="0.2">
      <c r="G62183" s="889"/>
    </row>
    <row r="62184" spans="7:7" ht="10.5" customHeight="1" x14ac:dyDescent="0.2">
      <c r="G62184" s="889"/>
    </row>
    <row r="62185" spans="7:7" ht="10.5" customHeight="1" x14ac:dyDescent="0.2">
      <c r="G62185" s="889"/>
    </row>
    <row r="62186" spans="7:7" ht="10.5" customHeight="1" x14ac:dyDescent="0.2">
      <c r="G62186" s="889"/>
    </row>
    <row r="62187" spans="7:7" ht="10.5" customHeight="1" x14ac:dyDescent="0.2">
      <c r="G62187" s="889"/>
    </row>
    <row r="62188" spans="7:7" ht="10.5" customHeight="1" x14ac:dyDescent="0.2">
      <c r="G62188" s="889"/>
    </row>
    <row r="62189" spans="7:7" ht="10.5" customHeight="1" x14ac:dyDescent="0.2">
      <c r="G62189" s="889"/>
    </row>
    <row r="62190" spans="7:7" ht="10.5" customHeight="1" x14ac:dyDescent="0.2">
      <c r="G62190" s="889"/>
    </row>
    <row r="62191" spans="7:7" ht="10.5" customHeight="1" x14ac:dyDescent="0.2">
      <c r="G62191" s="889"/>
    </row>
    <row r="62192" spans="7:7" ht="10.5" customHeight="1" x14ac:dyDescent="0.2">
      <c r="G62192" s="889"/>
    </row>
    <row r="62193" spans="7:7" ht="10.5" customHeight="1" x14ac:dyDescent="0.2">
      <c r="G62193" s="889"/>
    </row>
    <row r="62194" spans="7:7" ht="10.5" customHeight="1" x14ac:dyDescent="0.2">
      <c r="G62194" s="889"/>
    </row>
    <row r="62195" spans="7:7" ht="10.5" customHeight="1" x14ac:dyDescent="0.2">
      <c r="G62195" s="889"/>
    </row>
    <row r="62196" spans="7:7" ht="10.5" customHeight="1" x14ac:dyDescent="0.2">
      <c r="G62196" s="889"/>
    </row>
    <row r="62197" spans="7:7" ht="10.5" customHeight="1" x14ac:dyDescent="0.2">
      <c r="G62197" s="889"/>
    </row>
    <row r="62198" spans="7:7" ht="10.5" customHeight="1" x14ac:dyDescent="0.2">
      <c r="G62198" s="889"/>
    </row>
    <row r="62199" spans="7:7" ht="10.5" customHeight="1" x14ac:dyDescent="0.2">
      <c r="G62199" s="889"/>
    </row>
    <row r="62200" spans="7:7" ht="10.5" customHeight="1" x14ac:dyDescent="0.2">
      <c r="G62200" s="889"/>
    </row>
    <row r="62201" spans="7:7" ht="10.5" customHeight="1" x14ac:dyDescent="0.2">
      <c r="G62201" s="889"/>
    </row>
    <row r="62202" spans="7:7" ht="10.5" customHeight="1" x14ac:dyDescent="0.2">
      <c r="G62202" s="889"/>
    </row>
    <row r="62203" spans="7:7" ht="10.5" customHeight="1" x14ac:dyDescent="0.2">
      <c r="G62203" s="889"/>
    </row>
    <row r="62204" spans="7:7" ht="10.5" customHeight="1" x14ac:dyDescent="0.2">
      <c r="G62204" s="889"/>
    </row>
    <row r="62205" spans="7:7" ht="10.5" customHeight="1" x14ac:dyDescent="0.2">
      <c r="G62205" s="889"/>
    </row>
    <row r="62206" spans="7:7" ht="10.5" customHeight="1" x14ac:dyDescent="0.2">
      <c r="G62206" s="889"/>
    </row>
    <row r="62207" spans="7:7" ht="10.5" customHeight="1" x14ac:dyDescent="0.2">
      <c r="G62207" s="889"/>
    </row>
    <row r="62208" spans="7:7" ht="10.5" customHeight="1" x14ac:dyDescent="0.2">
      <c r="G62208" s="889"/>
    </row>
    <row r="62209" spans="7:7" ht="10.5" customHeight="1" x14ac:dyDescent="0.2">
      <c r="G62209" s="889"/>
    </row>
    <row r="62210" spans="7:7" ht="10.5" customHeight="1" x14ac:dyDescent="0.2">
      <c r="G62210" s="889"/>
    </row>
    <row r="62211" spans="7:7" ht="10.5" customHeight="1" x14ac:dyDescent="0.2">
      <c r="G62211" s="889"/>
    </row>
    <row r="62212" spans="7:7" ht="10.5" customHeight="1" x14ac:dyDescent="0.2">
      <c r="G62212" s="889"/>
    </row>
    <row r="62213" spans="7:7" ht="10.5" customHeight="1" x14ac:dyDescent="0.2">
      <c r="G62213" s="889"/>
    </row>
    <row r="62214" spans="7:7" ht="10.5" customHeight="1" x14ac:dyDescent="0.2">
      <c r="G62214" s="889"/>
    </row>
    <row r="62215" spans="7:7" ht="10.5" customHeight="1" x14ac:dyDescent="0.2">
      <c r="G62215" s="889"/>
    </row>
    <row r="62216" spans="7:7" ht="10.5" customHeight="1" x14ac:dyDescent="0.2">
      <c r="G62216" s="889"/>
    </row>
    <row r="62217" spans="7:7" ht="10.5" customHeight="1" x14ac:dyDescent="0.2">
      <c r="G62217" s="889"/>
    </row>
    <row r="62218" spans="7:7" ht="10.5" customHeight="1" x14ac:dyDescent="0.2">
      <c r="G62218" s="889"/>
    </row>
    <row r="62219" spans="7:7" ht="10.5" customHeight="1" x14ac:dyDescent="0.2">
      <c r="G62219" s="889"/>
    </row>
    <row r="62220" spans="7:7" ht="10.5" customHeight="1" x14ac:dyDescent="0.2">
      <c r="G62220" s="889"/>
    </row>
    <row r="62221" spans="7:7" ht="10.5" customHeight="1" x14ac:dyDescent="0.2">
      <c r="G62221" s="889"/>
    </row>
    <row r="62222" spans="7:7" ht="10.5" customHeight="1" x14ac:dyDescent="0.2">
      <c r="G62222" s="889"/>
    </row>
    <row r="62223" spans="7:7" ht="10.5" customHeight="1" x14ac:dyDescent="0.2">
      <c r="G62223" s="889"/>
    </row>
    <row r="62224" spans="7:7" ht="10.5" customHeight="1" x14ac:dyDescent="0.2">
      <c r="G62224" s="889"/>
    </row>
    <row r="62225" spans="7:7" ht="10.5" customHeight="1" x14ac:dyDescent="0.2">
      <c r="G62225" s="889"/>
    </row>
    <row r="62226" spans="7:7" ht="10.5" customHeight="1" x14ac:dyDescent="0.2">
      <c r="G62226" s="889"/>
    </row>
    <row r="62227" spans="7:7" ht="10.5" customHeight="1" x14ac:dyDescent="0.2">
      <c r="G62227" s="889"/>
    </row>
    <row r="62228" spans="7:7" ht="10.5" customHeight="1" x14ac:dyDescent="0.2">
      <c r="G62228" s="889"/>
    </row>
    <row r="62229" spans="7:7" ht="10.5" customHeight="1" x14ac:dyDescent="0.2">
      <c r="G62229" s="889"/>
    </row>
    <row r="62230" spans="7:7" ht="10.5" customHeight="1" x14ac:dyDescent="0.2">
      <c r="G62230" s="889"/>
    </row>
    <row r="62231" spans="7:7" ht="10.5" customHeight="1" x14ac:dyDescent="0.2">
      <c r="G62231" s="889"/>
    </row>
    <row r="62232" spans="7:7" ht="10.5" customHeight="1" x14ac:dyDescent="0.2">
      <c r="G62232" s="889"/>
    </row>
    <row r="62233" spans="7:7" ht="10.5" customHeight="1" x14ac:dyDescent="0.2">
      <c r="G62233" s="889"/>
    </row>
    <row r="62234" spans="7:7" ht="10.5" customHeight="1" x14ac:dyDescent="0.2">
      <c r="G62234" s="889"/>
    </row>
    <row r="62235" spans="7:7" ht="10.5" customHeight="1" x14ac:dyDescent="0.2">
      <c r="G62235" s="889"/>
    </row>
    <row r="62236" spans="7:7" ht="10.5" customHeight="1" x14ac:dyDescent="0.2">
      <c r="G62236" s="889"/>
    </row>
    <row r="62237" spans="7:7" ht="10.5" customHeight="1" x14ac:dyDescent="0.2">
      <c r="G62237" s="889"/>
    </row>
    <row r="62238" spans="7:7" ht="10.5" customHeight="1" x14ac:dyDescent="0.2">
      <c r="G62238" s="889"/>
    </row>
    <row r="62239" spans="7:7" ht="10.5" customHeight="1" x14ac:dyDescent="0.2">
      <c r="G62239" s="889"/>
    </row>
    <row r="62240" spans="7:7" ht="10.5" customHeight="1" x14ac:dyDescent="0.2">
      <c r="G62240" s="889"/>
    </row>
    <row r="62241" spans="7:7" ht="10.5" customHeight="1" x14ac:dyDescent="0.2">
      <c r="G62241" s="889"/>
    </row>
    <row r="62242" spans="7:7" ht="10.5" customHeight="1" x14ac:dyDescent="0.2">
      <c r="G62242" s="889"/>
    </row>
    <row r="62243" spans="7:7" ht="10.5" customHeight="1" x14ac:dyDescent="0.2">
      <c r="G62243" s="889"/>
    </row>
    <row r="62244" spans="7:7" ht="10.5" customHeight="1" x14ac:dyDescent="0.2">
      <c r="G62244" s="889"/>
    </row>
    <row r="62245" spans="7:7" ht="10.5" customHeight="1" x14ac:dyDescent="0.2">
      <c r="G62245" s="889"/>
    </row>
    <row r="62246" spans="7:7" ht="10.5" customHeight="1" x14ac:dyDescent="0.2">
      <c r="G62246" s="889"/>
    </row>
    <row r="62247" spans="7:7" ht="10.5" customHeight="1" x14ac:dyDescent="0.2">
      <c r="G62247" s="889"/>
    </row>
    <row r="62248" spans="7:7" ht="10.5" customHeight="1" x14ac:dyDescent="0.2">
      <c r="G62248" s="889"/>
    </row>
    <row r="62249" spans="7:7" ht="10.5" customHeight="1" x14ac:dyDescent="0.2">
      <c r="G62249" s="889"/>
    </row>
    <row r="62250" spans="7:7" ht="10.5" customHeight="1" x14ac:dyDescent="0.2">
      <c r="G62250" s="889"/>
    </row>
    <row r="62251" spans="7:7" ht="10.5" customHeight="1" x14ac:dyDescent="0.2">
      <c r="G62251" s="889"/>
    </row>
    <row r="62252" spans="7:7" ht="10.5" customHeight="1" x14ac:dyDescent="0.2">
      <c r="G62252" s="889"/>
    </row>
    <row r="62253" spans="7:7" ht="10.5" customHeight="1" x14ac:dyDescent="0.2">
      <c r="G62253" s="889"/>
    </row>
    <row r="62254" spans="7:7" ht="10.5" customHeight="1" x14ac:dyDescent="0.2">
      <c r="G62254" s="889"/>
    </row>
    <row r="62255" spans="7:7" ht="10.5" customHeight="1" x14ac:dyDescent="0.2">
      <c r="G62255" s="889"/>
    </row>
    <row r="62256" spans="7:7" ht="10.5" customHeight="1" x14ac:dyDescent="0.2">
      <c r="G62256" s="889"/>
    </row>
    <row r="62257" spans="7:7" ht="10.5" customHeight="1" x14ac:dyDescent="0.2">
      <c r="G62257" s="889"/>
    </row>
    <row r="62258" spans="7:7" ht="10.5" customHeight="1" x14ac:dyDescent="0.2">
      <c r="G62258" s="889"/>
    </row>
    <row r="62259" spans="7:7" ht="10.5" customHeight="1" x14ac:dyDescent="0.2">
      <c r="G62259" s="889"/>
    </row>
    <row r="62260" spans="7:7" ht="10.5" customHeight="1" x14ac:dyDescent="0.2">
      <c r="G62260" s="889"/>
    </row>
    <row r="62261" spans="7:7" ht="10.5" customHeight="1" x14ac:dyDescent="0.2">
      <c r="G62261" s="889"/>
    </row>
    <row r="62262" spans="7:7" ht="10.5" customHeight="1" x14ac:dyDescent="0.2">
      <c r="G62262" s="889"/>
    </row>
    <row r="62263" spans="7:7" ht="10.5" customHeight="1" x14ac:dyDescent="0.2">
      <c r="G62263" s="889"/>
    </row>
    <row r="62264" spans="7:7" ht="10.5" customHeight="1" x14ac:dyDescent="0.2">
      <c r="G62264" s="889"/>
    </row>
    <row r="62265" spans="7:7" ht="10.5" customHeight="1" x14ac:dyDescent="0.2">
      <c r="G62265" s="889"/>
    </row>
    <row r="62266" spans="7:7" ht="10.5" customHeight="1" x14ac:dyDescent="0.2">
      <c r="G62266" s="889"/>
    </row>
    <row r="62267" spans="7:7" ht="10.5" customHeight="1" x14ac:dyDescent="0.2">
      <c r="G62267" s="889"/>
    </row>
    <row r="62268" spans="7:7" ht="10.5" customHeight="1" x14ac:dyDescent="0.2">
      <c r="G62268" s="889"/>
    </row>
    <row r="62269" spans="7:7" ht="10.5" customHeight="1" x14ac:dyDescent="0.2">
      <c r="G62269" s="889"/>
    </row>
    <row r="62270" spans="7:7" ht="10.5" customHeight="1" x14ac:dyDescent="0.2">
      <c r="G62270" s="889"/>
    </row>
    <row r="62271" spans="7:7" ht="10.5" customHeight="1" x14ac:dyDescent="0.2">
      <c r="G62271" s="889"/>
    </row>
    <row r="62272" spans="7:7" ht="10.5" customHeight="1" x14ac:dyDescent="0.2">
      <c r="G62272" s="889"/>
    </row>
    <row r="62273" spans="7:7" ht="10.5" customHeight="1" x14ac:dyDescent="0.2">
      <c r="G62273" s="889"/>
    </row>
    <row r="62274" spans="7:7" ht="10.5" customHeight="1" x14ac:dyDescent="0.2">
      <c r="G62274" s="889"/>
    </row>
    <row r="62275" spans="7:7" ht="10.5" customHeight="1" x14ac:dyDescent="0.2">
      <c r="G62275" s="889"/>
    </row>
    <row r="62276" spans="7:7" ht="10.5" customHeight="1" x14ac:dyDescent="0.2">
      <c r="G62276" s="889"/>
    </row>
    <row r="62277" spans="7:7" ht="10.5" customHeight="1" x14ac:dyDescent="0.2">
      <c r="G62277" s="889"/>
    </row>
    <row r="62278" spans="7:7" ht="10.5" customHeight="1" x14ac:dyDescent="0.2">
      <c r="G62278" s="889"/>
    </row>
    <row r="62279" spans="7:7" ht="10.5" customHeight="1" x14ac:dyDescent="0.2">
      <c r="G62279" s="889"/>
    </row>
    <row r="62280" spans="7:7" ht="10.5" customHeight="1" x14ac:dyDescent="0.2">
      <c r="G62280" s="889"/>
    </row>
    <row r="62281" spans="7:7" ht="10.5" customHeight="1" x14ac:dyDescent="0.2">
      <c r="G62281" s="889"/>
    </row>
    <row r="62282" spans="7:7" ht="10.5" customHeight="1" x14ac:dyDescent="0.2">
      <c r="G62282" s="889"/>
    </row>
    <row r="62283" spans="7:7" ht="10.5" customHeight="1" x14ac:dyDescent="0.2">
      <c r="G62283" s="889"/>
    </row>
    <row r="62284" spans="7:7" ht="10.5" customHeight="1" x14ac:dyDescent="0.2">
      <c r="G62284" s="889"/>
    </row>
    <row r="62285" spans="7:7" ht="10.5" customHeight="1" x14ac:dyDescent="0.2">
      <c r="G62285" s="889"/>
    </row>
    <row r="62286" spans="7:7" ht="10.5" customHeight="1" x14ac:dyDescent="0.2">
      <c r="G62286" s="889"/>
    </row>
    <row r="62287" spans="7:7" ht="10.5" customHeight="1" x14ac:dyDescent="0.2">
      <c r="G62287" s="889"/>
    </row>
    <row r="62288" spans="7:7" ht="10.5" customHeight="1" x14ac:dyDescent="0.2">
      <c r="G62288" s="889"/>
    </row>
    <row r="62289" spans="7:7" ht="10.5" customHeight="1" x14ac:dyDescent="0.2">
      <c r="G62289" s="889"/>
    </row>
    <row r="62290" spans="7:7" ht="10.5" customHeight="1" x14ac:dyDescent="0.2">
      <c r="G62290" s="889"/>
    </row>
    <row r="62291" spans="7:7" ht="10.5" customHeight="1" x14ac:dyDescent="0.2">
      <c r="G62291" s="889"/>
    </row>
    <row r="62292" spans="7:7" ht="10.5" customHeight="1" x14ac:dyDescent="0.2">
      <c r="G62292" s="889"/>
    </row>
    <row r="62293" spans="7:7" ht="10.5" customHeight="1" x14ac:dyDescent="0.2">
      <c r="G62293" s="889"/>
    </row>
    <row r="62294" spans="7:7" ht="10.5" customHeight="1" x14ac:dyDescent="0.2">
      <c r="G62294" s="889"/>
    </row>
    <row r="62295" spans="7:7" ht="10.5" customHeight="1" x14ac:dyDescent="0.2">
      <c r="G62295" s="889"/>
    </row>
    <row r="62296" spans="7:7" ht="10.5" customHeight="1" x14ac:dyDescent="0.2">
      <c r="G62296" s="889"/>
    </row>
    <row r="62297" spans="7:7" ht="10.5" customHeight="1" x14ac:dyDescent="0.2">
      <c r="G62297" s="889"/>
    </row>
    <row r="62298" spans="7:7" ht="10.5" customHeight="1" x14ac:dyDescent="0.2">
      <c r="G62298" s="889"/>
    </row>
    <row r="62299" spans="7:7" ht="10.5" customHeight="1" x14ac:dyDescent="0.2">
      <c r="G62299" s="889"/>
    </row>
    <row r="62300" spans="7:7" ht="10.5" customHeight="1" x14ac:dyDescent="0.2">
      <c r="G62300" s="889"/>
    </row>
    <row r="62301" spans="7:7" ht="10.5" customHeight="1" x14ac:dyDescent="0.2">
      <c r="G62301" s="889"/>
    </row>
    <row r="62302" spans="7:7" ht="10.5" customHeight="1" x14ac:dyDescent="0.2">
      <c r="G62302" s="889"/>
    </row>
    <row r="62303" spans="7:7" ht="10.5" customHeight="1" x14ac:dyDescent="0.2">
      <c r="G62303" s="889"/>
    </row>
    <row r="62304" spans="7:7" ht="10.5" customHeight="1" x14ac:dyDescent="0.2">
      <c r="G62304" s="889"/>
    </row>
    <row r="62305" spans="7:7" ht="10.5" customHeight="1" x14ac:dyDescent="0.2">
      <c r="G62305" s="889"/>
    </row>
    <row r="62306" spans="7:7" ht="10.5" customHeight="1" x14ac:dyDescent="0.2">
      <c r="G62306" s="889"/>
    </row>
    <row r="62307" spans="7:7" ht="10.5" customHeight="1" x14ac:dyDescent="0.2">
      <c r="G62307" s="889"/>
    </row>
    <row r="62308" spans="7:7" ht="10.5" customHeight="1" x14ac:dyDescent="0.2">
      <c r="G62308" s="889"/>
    </row>
    <row r="62309" spans="7:7" ht="10.5" customHeight="1" x14ac:dyDescent="0.2">
      <c r="G62309" s="889"/>
    </row>
    <row r="62310" spans="7:7" ht="10.5" customHeight="1" x14ac:dyDescent="0.2">
      <c r="G62310" s="889"/>
    </row>
    <row r="62311" spans="7:7" ht="10.5" customHeight="1" x14ac:dyDescent="0.2">
      <c r="G62311" s="889"/>
    </row>
    <row r="62312" spans="7:7" ht="10.5" customHeight="1" x14ac:dyDescent="0.2">
      <c r="G62312" s="889"/>
    </row>
    <row r="62313" spans="7:7" ht="10.5" customHeight="1" x14ac:dyDescent="0.2">
      <c r="G62313" s="889"/>
    </row>
    <row r="62314" spans="7:7" ht="10.5" customHeight="1" x14ac:dyDescent="0.2">
      <c r="G62314" s="889"/>
    </row>
    <row r="62315" spans="7:7" ht="10.5" customHeight="1" x14ac:dyDescent="0.2">
      <c r="G62315" s="889"/>
    </row>
    <row r="62316" spans="7:7" ht="10.5" customHeight="1" x14ac:dyDescent="0.2">
      <c r="G62316" s="889"/>
    </row>
    <row r="62317" spans="7:7" ht="10.5" customHeight="1" x14ac:dyDescent="0.2">
      <c r="G62317" s="889"/>
    </row>
    <row r="62318" spans="7:7" ht="10.5" customHeight="1" x14ac:dyDescent="0.2">
      <c r="G62318" s="889"/>
    </row>
    <row r="62319" spans="7:7" ht="10.5" customHeight="1" x14ac:dyDescent="0.2">
      <c r="G62319" s="889"/>
    </row>
    <row r="62320" spans="7:7" ht="10.5" customHeight="1" x14ac:dyDescent="0.2">
      <c r="G62320" s="889"/>
    </row>
    <row r="62321" spans="7:7" ht="10.5" customHeight="1" x14ac:dyDescent="0.2">
      <c r="G62321" s="889"/>
    </row>
    <row r="62322" spans="7:7" ht="10.5" customHeight="1" x14ac:dyDescent="0.2">
      <c r="G62322" s="889"/>
    </row>
    <row r="62323" spans="7:7" ht="10.5" customHeight="1" x14ac:dyDescent="0.2">
      <c r="G62323" s="889"/>
    </row>
    <row r="62324" spans="7:7" ht="10.5" customHeight="1" x14ac:dyDescent="0.2">
      <c r="G62324" s="889"/>
    </row>
    <row r="62325" spans="7:7" ht="10.5" customHeight="1" x14ac:dyDescent="0.2">
      <c r="G62325" s="889"/>
    </row>
    <row r="62326" spans="7:7" ht="10.5" customHeight="1" x14ac:dyDescent="0.2">
      <c r="G62326" s="889"/>
    </row>
    <row r="62327" spans="7:7" ht="10.5" customHeight="1" x14ac:dyDescent="0.2">
      <c r="G62327" s="889"/>
    </row>
    <row r="62328" spans="7:7" ht="10.5" customHeight="1" x14ac:dyDescent="0.2">
      <c r="G62328" s="889"/>
    </row>
    <row r="62329" spans="7:7" ht="10.5" customHeight="1" x14ac:dyDescent="0.2">
      <c r="G62329" s="889"/>
    </row>
    <row r="62330" spans="7:7" ht="10.5" customHeight="1" x14ac:dyDescent="0.2">
      <c r="G62330" s="889"/>
    </row>
    <row r="62331" spans="7:7" ht="10.5" customHeight="1" x14ac:dyDescent="0.2">
      <c r="G62331" s="889"/>
    </row>
    <row r="62332" spans="7:7" ht="10.5" customHeight="1" x14ac:dyDescent="0.2">
      <c r="G62332" s="889"/>
    </row>
    <row r="62333" spans="7:7" ht="10.5" customHeight="1" x14ac:dyDescent="0.2">
      <c r="G62333" s="889"/>
    </row>
    <row r="62334" spans="7:7" ht="10.5" customHeight="1" x14ac:dyDescent="0.2">
      <c r="G62334" s="889"/>
    </row>
    <row r="62335" spans="7:7" ht="10.5" customHeight="1" x14ac:dyDescent="0.2">
      <c r="G62335" s="889"/>
    </row>
    <row r="62336" spans="7:7" ht="10.5" customHeight="1" x14ac:dyDescent="0.2">
      <c r="G62336" s="889"/>
    </row>
    <row r="62337" spans="7:7" ht="10.5" customHeight="1" x14ac:dyDescent="0.2">
      <c r="G62337" s="889"/>
    </row>
    <row r="62338" spans="7:7" ht="10.5" customHeight="1" x14ac:dyDescent="0.2">
      <c r="G62338" s="889"/>
    </row>
    <row r="62339" spans="7:7" ht="10.5" customHeight="1" x14ac:dyDescent="0.2">
      <c r="G62339" s="889"/>
    </row>
    <row r="62340" spans="7:7" ht="10.5" customHeight="1" x14ac:dyDescent="0.2">
      <c r="G62340" s="889"/>
    </row>
    <row r="62341" spans="7:7" ht="10.5" customHeight="1" x14ac:dyDescent="0.2">
      <c r="G62341" s="889"/>
    </row>
    <row r="62342" spans="7:7" ht="10.5" customHeight="1" x14ac:dyDescent="0.2">
      <c r="G62342" s="889"/>
    </row>
    <row r="62343" spans="7:7" ht="10.5" customHeight="1" x14ac:dyDescent="0.2">
      <c r="G62343" s="889"/>
    </row>
    <row r="62344" spans="7:7" ht="10.5" customHeight="1" x14ac:dyDescent="0.2">
      <c r="G62344" s="889"/>
    </row>
    <row r="62345" spans="7:7" ht="10.5" customHeight="1" x14ac:dyDescent="0.2">
      <c r="G62345" s="889"/>
    </row>
    <row r="62346" spans="7:7" ht="10.5" customHeight="1" x14ac:dyDescent="0.2">
      <c r="G62346" s="889"/>
    </row>
    <row r="62347" spans="7:7" ht="10.5" customHeight="1" x14ac:dyDescent="0.2">
      <c r="G62347" s="889"/>
    </row>
    <row r="62348" spans="7:7" ht="10.5" customHeight="1" x14ac:dyDescent="0.2">
      <c r="G62348" s="889"/>
    </row>
    <row r="62349" spans="7:7" ht="10.5" customHeight="1" x14ac:dyDescent="0.2">
      <c r="G62349" s="889"/>
    </row>
    <row r="62350" spans="7:7" ht="10.5" customHeight="1" x14ac:dyDescent="0.2">
      <c r="G62350" s="889"/>
    </row>
    <row r="62351" spans="7:7" ht="10.5" customHeight="1" x14ac:dyDescent="0.2">
      <c r="G62351" s="889"/>
    </row>
    <row r="62352" spans="7:7" ht="10.5" customHeight="1" x14ac:dyDescent="0.2">
      <c r="G62352" s="889"/>
    </row>
    <row r="62353" spans="7:7" ht="10.5" customHeight="1" x14ac:dyDescent="0.2">
      <c r="G62353" s="889"/>
    </row>
    <row r="62354" spans="7:7" ht="10.5" customHeight="1" x14ac:dyDescent="0.2">
      <c r="G62354" s="889"/>
    </row>
    <row r="62355" spans="7:7" ht="10.5" customHeight="1" x14ac:dyDescent="0.2">
      <c r="G62355" s="889"/>
    </row>
    <row r="62356" spans="7:7" ht="10.5" customHeight="1" x14ac:dyDescent="0.2">
      <c r="G62356" s="889"/>
    </row>
    <row r="62357" spans="7:7" ht="10.5" customHeight="1" x14ac:dyDescent="0.2">
      <c r="G62357" s="889"/>
    </row>
    <row r="62358" spans="7:7" ht="10.5" customHeight="1" x14ac:dyDescent="0.2">
      <c r="G62358" s="889"/>
    </row>
    <row r="62359" spans="7:7" ht="10.5" customHeight="1" x14ac:dyDescent="0.2">
      <c r="G62359" s="889"/>
    </row>
    <row r="62360" spans="7:7" ht="10.5" customHeight="1" x14ac:dyDescent="0.2">
      <c r="G62360" s="889"/>
    </row>
    <row r="62361" spans="7:7" ht="10.5" customHeight="1" x14ac:dyDescent="0.2">
      <c r="G62361" s="889"/>
    </row>
    <row r="62362" spans="7:7" ht="10.5" customHeight="1" x14ac:dyDescent="0.2">
      <c r="G62362" s="889"/>
    </row>
    <row r="62363" spans="7:7" ht="10.5" customHeight="1" x14ac:dyDescent="0.2">
      <c r="G62363" s="889"/>
    </row>
    <row r="62364" spans="7:7" ht="10.5" customHeight="1" x14ac:dyDescent="0.2">
      <c r="G62364" s="889"/>
    </row>
    <row r="62365" spans="7:7" ht="10.5" customHeight="1" x14ac:dyDescent="0.2">
      <c r="G62365" s="889"/>
    </row>
    <row r="62366" spans="7:7" ht="10.5" customHeight="1" x14ac:dyDescent="0.2">
      <c r="G62366" s="889"/>
    </row>
    <row r="62367" spans="7:7" ht="10.5" customHeight="1" x14ac:dyDescent="0.2">
      <c r="G62367" s="889"/>
    </row>
    <row r="62368" spans="7:7" ht="10.5" customHeight="1" x14ac:dyDescent="0.2">
      <c r="G62368" s="889"/>
    </row>
    <row r="62369" spans="7:7" ht="10.5" customHeight="1" x14ac:dyDescent="0.2">
      <c r="G62369" s="889"/>
    </row>
    <row r="62370" spans="7:7" ht="10.5" customHeight="1" x14ac:dyDescent="0.2">
      <c r="G62370" s="889"/>
    </row>
    <row r="62371" spans="7:7" ht="10.5" customHeight="1" x14ac:dyDescent="0.2">
      <c r="G62371" s="889"/>
    </row>
    <row r="62372" spans="7:7" ht="10.5" customHeight="1" x14ac:dyDescent="0.2">
      <c r="G62372" s="889"/>
    </row>
    <row r="62373" spans="7:7" ht="10.5" customHeight="1" x14ac:dyDescent="0.2">
      <c r="G62373" s="889"/>
    </row>
    <row r="62374" spans="7:7" ht="10.5" customHeight="1" x14ac:dyDescent="0.2">
      <c r="G62374" s="889"/>
    </row>
    <row r="62375" spans="7:7" ht="10.5" customHeight="1" x14ac:dyDescent="0.2">
      <c r="G62375" s="889"/>
    </row>
    <row r="62376" spans="7:7" ht="10.5" customHeight="1" x14ac:dyDescent="0.2">
      <c r="G62376" s="889"/>
    </row>
    <row r="62377" spans="7:7" ht="10.5" customHeight="1" x14ac:dyDescent="0.2">
      <c r="G62377" s="889"/>
    </row>
    <row r="62378" spans="7:7" ht="10.5" customHeight="1" x14ac:dyDescent="0.2">
      <c r="G62378" s="889"/>
    </row>
    <row r="62379" spans="7:7" ht="10.5" customHeight="1" x14ac:dyDescent="0.2">
      <c r="G62379" s="889"/>
    </row>
    <row r="62380" spans="7:7" ht="10.5" customHeight="1" x14ac:dyDescent="0.2">
      <c r="G62380" s="889"/>
    </row>
    <row r="62381" spans="7:7" ht="10.5" customHeight="1" x14ac:dyDescent="0.2">
      <c r="G62381" s="889"/>
    </row>
    <row r="62382" spans="7:7" ht="10.5" customHeight="1" x14ac:dyDescent="0.2">
      <c r="G62382" s="889"/>
    </row>
    <row r="62383" spans="7:7" ht="10.5" customHeight="1" x14ac:dyDescent="0.2">
      <c r="G62383" s="889"/>
    </row>
    <row r="62384" spans="7:7" ht="10.5" customHeight="1" x14ac:dyDescent="0.2">
      <c r="G62384" s="889"/>
    </row>
    <row r="62385" spans="7:7" ht="10.5" customHeight="1" x14ac:dyDescent="0.2">
      <c r="G62385" s="889"/>
    </row>
    <row r="62386" spans="7:7" ht="10.5" customHeight="1" x14ac:dyDescent="0.2">
      <c r="G62386" s="889"/>
    </row>
    <row r="62387" spans="7:7" ht="10.5" customHeight="1" x14ac:dyDescent="0.2">
      <c r="G62387" s="889"/>
    </row>
    <row r="62388" spans="7:7" ht="10.5" customHeight="1" x14ac:dyDescent="0.2">
      <c r="G62388" s="889"/>
    </row>
    <row r="62389" spans="7:7" ht="10.5" customHeight="1" x14ac:dyDescent="0.2">
      <c r="G62389" s="889"/>
    </row>
    <row r="62390" spans="7:7" ht="10.5" customHeight="1" x14ac:dyDescent="0.2">
      <c r="G62390" s="889"/>
    </row>
    <row r="62391" spans="7:7" ht="10.5" customHeight="1" x14ac:dyDescent="0.2">
      <c r="G62391" s="889"/>
    </row>
    <row r="62392" spans="7:7" ht="10.5" customHeight="1" x14ac:dyDescent="0.2">
      <c r="G62392" s="889"/>
    </row>
    <row r="62393" spans="7:7" ht="10.5" customHeight="1" x14ac:dyDescent="0.2">
      <c r="G62393" s="889"/>
    </row>
    <row r="62394" spans="7:7" ht="10.5" customHeight="1" x14ac:dyDescent="0.2">
      <c r="G62394" s="889"/>
    </row>
    <row r="62395" spans="7:7" ht="10.5" customHeight="1" x14ac:dyDescent="0.2">
      <c r="G62395" s="889"/>
    </row>
    <row r="62396" spans="7:7" ht="10.5" customHeight="1" x14ac:dyDescent="0.2">
      <c r="G62396" s="889"/>
    </row>
    <row r="62397" spans="7:7" ht="10.5" customHeight="1" x14ac:dyDescent="0.2">
      <c r="G62397" s="889"/>
    </row>
    <row r="62398" spans="7:7" ht="10.5" customHeight="1" x14ac:dyDescent="0.2">
      <c r="G62398" s="889"/>
    </row>
    <row r="62399" spans="7:7" ht="10.5" customHeight="1" x14ac:dyDescent="0.2">
      <c r="G62399" s="889"/>
    </row>
    <row r="62400" spans="7:7" ht="10.5" customHeight="1" x14ac:dyDescent="0.2">
      <c r="G62400" s="889"/>
    </row>
    <row r="62401" spans="7:7" ht="10.5" customHeight="1" x14ac:dyDescent="0.2">
      <c r="G62401" s="889"/>
    </row>
    <row r="62402" spans="7:7" ht="10.5" customHeight="1" x14ac:dyDescent="0.2">
      <c r="G62402" s="889"/>
    </row>
    <row r="62403" spans="7:7" ht="10.5" customHeight="1" x14ac:dyDescent="0.2">
      <c r="G62403" s="889"/>
    </row>
    <row r="62404" spans="7:7" ht="10.5" customHeight="1" x14ac:dyDescent="0.2">
      <c r="G62404" s="889"/>
    </row>
    <row r="62405" spans="7:7" ht="10.5" customHeight="1" x14ac:dyDescent="0.2">
      <c r="G62405" s="889"/>
    </row>
    <row r="62406" spans="7:7" ht="10.5" customHeight="1" x14ac:dyDescent="0.2">
      <c r="G62406" s="889"/>
    </row>
    <row r="62407" spans="7:7" ht="10.5" customHeight="1" x14ac:dyDescent="0.2">
      <c r="G62407" s="889"/>
    </row>
    <row r="62408" spans="7:7" ht="10.5" customHeight="1" x14ac:dyDescent="0.2">
      <c r="G62408" s="889"/>
    </row>
    <row r="62409" spans="7:7" ht="10.5" customHeight="1" x14ac:dyDescent="0.2">
      <c r="G62409" s="889"/>
    </row>
    <row r="62410" spans="7:7" ht="10.5" customHeight="1" x14ac:dyDescent="0.2">
      <c r="G62410" s="889"/>
    </row>
    <row r="62411" spans="7:7" ht="10.5" customHeight="1" x14ac:dyDescent="0.2">
      <c r="G62411" s="889"/>
    </row>
    <row r="62412" spans="7:7" ht="10.5" customHeight="1" x14ac:dyDescent="0.2">
      <c r="G62412" s="889"/>
    </row>
    <row r="62413" spans="7:7" ht="10.5" customHeight="1" x14ac:dyDescent="0.2">
      <c r="G62413" s="889"/>
    </row>
    <row r="62414" spans="7:7" ht="10.5" customHeight="1" x14ac:dyDescent="0.2">
      <c r="G62414" s="889"/>
    </row>
    <row r="62415" spans="7:7" ht="10.5" customHeight="1" x14ac:dyDescent="0.2">
      <c r="G62415" s="889"/>
    </row>
    <row r="62416" spans="7:7" ht="10.5" customHeight="1" x14ac:dyDescent="0.2">
      <c r="G62416" s="889"/>
    </row>
    <row r="62417" spans="7:7" ht="10.5" customHeight="1" x14ac:dyDescent="0.2">
      <c r="G62417" s="889"/>
    </row>
    <row r="62418" spans="7:7" ht="10.5" customHeight="1" x14ac:dyDescent="0.2">
      <c r="G62418" s="889"/>
    </row>
    <row r="62419" spans="7:7" ht="10.5" customHeight="1" x14ac:dyDescent="0.2">
      <c r="G62419" s="889"/>
    </row>
    <row r="62420" spans="7:7" ht="10.5" customHeight="1" x14ac:dyDescent="0.2">
      <c r="G62420" s="889"/>
    </row>
    <row r="62421" spans="7:7" ht="10.5" customHeight="1" x14ac:dyDescent="0.2">
      <c r="G62421" s="889"/>
    </row>
    <row r="62422" spans="7:7" ht="10.5" customHeight="1" x14ac:dyDescent="0.2">
      <c r="G62422" s="889"/>
    </row>
    <row r="62423" spans="7:7" ht="10.5" customHeight="1" x14ac:dyDescent="0.2">
      <c r="G62423" s="889"/>
    </row>
    <row r="62424" spans="7:7" ht="10.5" customHeight="1" x14ac:dyDescent="0.2">
      <c r="G62424" s="889"/>
    </row>
    <row r="62425" spans="7:7" ht="10.5" customHeight="1" x14ac:dyDescent="0.2">
      <c r="G62425" s="889"/>
    </row>
    <row r="62426" spans="7:7" ht="10.5" customHeight="1" x14ac:dyDescent="0.2">
      <c r="G62426" s="889"/>
    </row>
    <row r="62427" spans="7:7" ht="10.5" customHeight="1" x14ac:dyDescent="0.2">
      <c r="G62427" s="889"/>
    </row>
    <row r="62428" spans="7:7" ht="10.5" customHeight="1" x14ac:dyDescent="0.2">
      <c r="G62428" s="889"/>
    </row>
    <row r="62429" spans="7:7" ht="10.5" customHeight="1" x14ac:dyDescent="0.2">
      <c r="G62429" s="889"/>
    </row>
    <row r="62430" spans="7:7" ht="10.5" customHeight="1" x14ac:dyDescent="0.2">
      <c r="G62430" s="889"/>
    </row>
    <row r="62431" spans="7:7" ht="10.5" customHeight="1" x14ac:dyDescent="0.2">
      <c r="G62431" s="889"/>
    </row>
    <row r="62432" spans="7:7" ht="10.5" customHeight="1" x14ac:dyDescent="0.2">
      <c r="G62432" s="889"/>
    </row>
    <row r="62433" spans="7:7" ht="10.5" customHeight="1" x14ac:dyDescent="0.2">
      <c r="G62433" s="889"/>
    </row>
    <row r="62434" spans="7:7" ht="10.5" customHeight="1" x14ac:dyDescent="0.2">
      <c r="G62434" s="889"/>
    </row>
    <row r="62435" spans="7:7" ht="10.5" customHeight="1" x14ac:dyDescent="0.2">
      <c r="G62435" s="889"/>
    </row>
    <row r="62436" spans="7:7" ht="10.5" customHeight="1" x14ac:dyDescent="0.2">
      <c r="G62436" s="889"/>
    </row>
    <row r="62437" spans="7:7" ht="10.5" customHeight="1" x14ac:dyDescent="0.2">
      <c r="G62437" s="889"/>
    </row>
    <row r="62438" spans="7:7" ht="10.5" customHeight="1" x14ac:dyDescent="0.2">
      <c r="G62438" s="889"/>
    </row>
    <row r="62439" spans="7:7" ht="10.5" customHeight="1" x14ac:dyDescent="0.2">
      <c r="G62439" s="889"/>
    </row>
    <row r="62440" spans="7:7" ht="10.5" customHeight="1" x14ac:dyDescent="0.2">
      <c r="G62440" s="889"/>
    </row>
    <row r="62441" spans="7:7" ht="10.5" customHeight="1" x14ac:dyDescent="0.2">
      <c r="G62441" s="889"/>
    </row>
    <row r="62442" spans="7:7" ht="10.5" customHeight="1" x14ac:dyDescent="0.2">
      <c r="G62442" s="889"/>
    </row>
    <row r="62443" spans="7:7" ht="10.5" customHeight="1" x14ac:dyDescent="0.2">
      <c r="G62443" s="889"/>
    </row>
    <row r="62444" spans="7:7" ht="10.5" customHeight="1" x14ac:dyDescent="0.2">
      <c r="G62444" s="889"/>
    </row>
    <row r="62445" spans="7:7" ht="10.5" customHeight="1" x14ac:dyDescent="0.2">
      <c r="G62445" s="889"/>
    </row>
    <row r="62446" spans="7:7" ht="10.5" customHeight="1" x14ac:dyDescent="0.2">
      <c r="G62446" s="889"/>
    </row>
    <row r="62447" spans="7:7" ht="10.5" customHeight="1" x14ac:dyDescent="0.2">
      <c r="G62447" s="889"/>
    </row>
    <row r="62448" spans="7:7" ht="10.5" customHeight="1" x14ac:dyDescent="0.2">
      <c r="G62448" s="889"/>
    </row>
    <row r="62449" spans="7:7" ht="10.5" customHeight="1" x14ac:dyDescent="0.2">
      <c r="G62449" s="889"/>
    </row>
    <row r="62450" spans="7:7" ht="10.5" customHeight="1" x14ac:dyDescent="0.2">
      <c r="G62450" s="889"/>
    </row>
    <row r="62451" spans="7:7" ht="10.5" customHeight="1" x14ac:dyDescent="0.2">
      <c r="G62451" s="889"/>
    </row>
    <row r="62452" spans="7:7" ht="10.5" customHeight="1" x14ac:dyDescent="0.2">
      <c r="G62452" s="889"/>
    </row>
    <row r="62453" spans="7:7" ht="10.5" customHeight="1" x14ac:dyDescent="0.2">
      <c r="G62453" s="889"/>
    </row>
    <row r="62454" spans="7:7" ht="10.5" customHeight="1" x14ac:dyDescent="0.2">
      <c r="G62454" s="889"/>
    </row>
    <row r="62455" spans="7:7" ht="10.5" customHeight="1" x14ac:dyDescent="0.2">
      <c r="G62455" s="889"/>
    </row>
    <row r="62456" spans="7:7" ht="10.5" customHeight="1" x14ac:dyDescent="0.2">
      <c r="G62456" s="889"/>
    </row>
    <row r="62457" spans="7:7" ht="10.5" customHeight="1" x14ac:dyDescent="0.2">
      <c r="G62457" s="889"/>
    </row>
    <row r="62458" spans="7:7" ht="10.5" customHeight="1" x14ac:dyDescent="0.2">
      <c r="G62458" s="889"/>
    </row>
    <row r="62459" spans="7:7" ht="10.5" customHeight="1" x14ac:dyDescent="0.2">
      <c r="G62459" s="889"/>
    </row>
    <row r="62460" spans="7:7" ht="10.5" customHeight="1" x14ac:dyDescent="0.2">
      <c r="G62460" s="889"/>
    </row>
    <row r="62461" spans="7:7" ht="10.5" customHeight="1" x14ac:dyDescent="0.2">
      <c r="G62461" s="889"/>
    </row>
    <row r="62462" spans="7:7" ht="10.5" customHeight="1" x14ac:dyDescent="0.2">
      <c r="G62462" s="889"/>
    </row>
    <row r="62463" spans="7:7" ht="10.5" customHeight="1" x14ac:dyDescent="0.2">
      <c r="G62463" s="889"/>
    </row>
    <row r="62464" spans="7:7" ht="10.5" customHeight="1" x14ac:dyDescent="0.2">
      <c r="G62464" s="889"/>
    </row>
    <row r="62465" spans="7:7" ht="10.5" customHeight="1" x14ac:dyDescent="0.2">
      <c r="G62465" s="889"/>
    </row>
    <row r="62466" spans="7:7" ht="10.5" customHeight="1" x14ac:dyDescent="0.2">
      <c r="G62466" s="889"/>
    </row>
    <row r="62467" spans="7:7" ht="10.5" customHeight="1" x14ac:dyDescent="0.2">
      <c r="G62467" s="889"/>
    </row>
    <row r="62468" spans="7:7" ht="10.5" customHeight="1" x14ac:dyDescent="0.2">
      <c r="G62468" s="889"/>
    </row>
    <row r="62469" spans="7:7" ht="10.5" customHeight="1" x14ac:dyDescent="0.2">
      <c r="G62469" s="889"/>
    </row>
    <row r="62470" spans="7:7" ht="10.5" customHeight="1" x14ac:dyDescent="0.2">
      <c r="G62470" s="889"/>
    </row>
    <row r="62471" spans="7:7" ht="10.5" customHeight="1" x14ac:dyDescent="0.2">
      <c r="G62471" s="889"/>
    </row>
    <row r="62472" spans="7:7" ht="10.5" customHeight="1" x14ac:dyDescent="0.2">
      <c r="G62472" s="889"/>
    </row>
    <row r="62473" spans="7:7" ht="10.5" customHeight="1" x14ac:dyDescent="0.2">
      <c r="G62473" s="889"/>
    </row>
    <row r="62474" spans="7:7" ht="10.5" customHeight="1" x14ac:dyDescent="0.2">
      <c r="G62474" s="889"/>
    </row>
    <row r="62475" spans="7:7" ht="10.5" customHeight="1" x14ac:dyDescent="0.2">
      <c r="G62475" s="889"/>
    </row>
    <row r="62476" spans="7:7" ht="10.5" customHeight="1" x14ac:dyDescent="0.2">
      <c r="G62476" s="889"/>
    </row>
    <row r="62477" spans="7:7" ht="10.5" customHeight="1" x14ac:dyDescent="0.2">
      <c r="G62477" s="889"/>
    </row>
    <row r="62478" spans="7:7" ht="10.5" customHeight="1" x14ac:dyDescent="0.2">
      <c r="G62478" s="889"/>
    </row>
    <row r="62479" spans="7:7" ht="10.5" customHeight="1" x14ac:dyDescent="0.2">
      <c r="G62479" s="889"/>
    </row>
    <row r="62480" spans="7:7" ht="10.5" customHeight="1" x14ac:dyDescent="0.2">
      <c r="G62480" s="889"/>
    </row>
    <row r="62481" spans="7:7" ht="10.5" customHeight="1" x14ac:dyDescent="0.2">
      <c r="G62481" s="889"/>
    </row>
    <row r="62482" spans="7:7" ht="10.5" customHeight="1" x14ac:dyDescent="0.2">
      <c r="G62482" s="889"/>
    </row>
    <row r="62483" spans="7:7" ht="10.5" customHeight="1" x14ac:dyDescent="0.2">
      <c r="G62483" s="889"/>
    </row>
    <row r="62484" spans="7:7" ht="10.5" customHeight="1" x14ac:dyDescent="0.2">
      <c r="G62484" s="889"/>
    </row>
    <row r="62485" spans="7:7" ht="10.5" customHeight="1" x14ac:dyDescent="0.2">
      <c r="G62485" s="889"/>
    </row>
    <row r="62486" spans="7:7" ht="10.5" customHeight="1" x14ac:dyDescent="0.2">
      <c r="G62486" s="889"/>
    </row>
    <row r="62487" spans="7:7" ht="10.5" customHeight="1" x14ac:dyDescent="0.2">
      <c r="G62487" s="889"/>
    </row>
    <row r="62488" spans="7:7" ht="10.5" customHeight="1" x14ac:dyDescent="0.2">
      <c r="G62488" s="889"/>
    </row>
    <row r="62489" spans="7:7" ht="10.5" customHeight="1" x14ac:dyDescent="0.2">
      <c r="G62489" s="889"/>
    </row>
    <row r="62490" spans="7:7" ht="10.5" customHeight="1" x14ac:dyDescent="0.2">
      <c r="G62490" s="889"/>
    </row>
    <row r="62491" spans="7:7" ht="10.5" customHeight="1" x14ac:dyDescent="0.2">
      <c r="G62491" s="889"/>
    </row>
    <row r="62492" spans="7:7" ht="10.5" customHeight="1" x14ac:dyDescent="0.2">
      <c r="G62492" s="889"/>
    </row>
    <row r="62493" spans="7:7" ht="10.5" customHeight="1" x14ac:dyDescent="0.2">
      <c r="G62493" s="889"/>
    </row>
    <row r="62494" spans="7:7" ht="10.5" customHeight="1" x14ac:dyDescent="0.2">
      <c r="G62494" s="889"/>
    </row>
    <row r="62495" spans="7:7" ht="10.5" customHeight="1" x14ac:dyDescent="0.2">
      <c r="G62495" s="889"/>
    </row>
    <row r="62496" spans="7:7" ht="10.5" customHeight="1" x14ac:dyDescent="0.2">
      <c r="G62496" s="889"/>
    </row>
    <row r="62497" spans="7:7" ht="10.5" customHeight="1" x14ac:dyDescent="0.2">
      <c r="G62497" s="889"/>
    </row>
    <row r="62498" spans="7:7" ht="10.5" customHeight="1" x14ac:dyDescent="0.2">
      <c r="G62498" s="889"/>
    </row>
    <row r="62499" spans="7:7" ht="10.5" customHeight="1" x14ac:dyDescent="0.2">
      <c r="G62499" s="889"/>
    </row>
    <row r="62500" spans="7:7" ht="10.5" customHeight="1" x14ac:dyDescent="0.2">
      <c r="G62500" s="889"/>
    </row>
    <row r="62501" spans="7:7" ht="10.5" customHeight="1" x14ac:dyDescent="0.2">
      <c r="G62501" s="889"/>
    </row>
    <row r="62502" spans="7:7" ht="10.5" customHeight="1" x14ac:dyDescent="0.2">
      <c r="G62502" s="889"/>
    </row>
    <row r="62503" spans="7:7" ht="10.5" customHeight="1" x14ac:dyDescent="0.2">
      <c r="G62503" s="889"/>
    </row>
    <row r="62504" spans="7:7" ht="10.5" customHeight="1" x14ac:dyDescent="0.2">
      <c r="G62504" s="889"/>
    </row>
    <row r="62505" spans="7:7" ht="10.5" customHeight="1" x14ac:dyDescent="0.2">
      <c r="G62505" s="889"/>
    </row>
    <row r="62506" spans="7:7" ht="10.5" customHeight="1" x14ac:dyDescent="0.2">
      <c r="G62506" s="889"/>
    </row>
    <row r="62507" spans="7:7" ht="10.5" customHeight="1" x14ac:dyDescent="0.2">
      <c r="G62507" s="889"/>
    </row>
    <row r="62508" spans="7:7" ht="10.5" customHeight="1" x14ac:dyDescent="0.2">
      <c r="G62508" s="889"/>
    </row>
    <row r="62509" spans="7:7" ht="10.5" customHeight="1" x14ac:dyDescent="0.2">
      <c r="G62509" s="889"/>
    </row>
    <row r="62510" spans="7:7" ht="10.5" customHeight="1" x14ac:dyDescent="0.2">
      <c r="G62510" s="889"/>
    </row>
    <row r="62511" spans="7:7" ht="10.5" customHeight="1" x14ac:dyDescent="0.2">
      <c r="G62511" s="889"/>
    </row>
    <row r="62512" spans="7:7" ht="10.5" customHeight="1" x14ac:dyDescent="0.2">
      <c r="G62512" s="889"/>
    </row>
    <row r="62513" spans="7:7" ht="10.5" customHeight="1" x14ac:dyDescent="0.2">
      <c r="G62513" s="889"/>
    </row>
    <row r="62514" spans="7:7" ht="10.5" customHeight="1" x14ac:dyDescent="0.2">
      <c r="G62514" s="889"/>
    </row>
    <row r="62515" spans="7:7" ht="10.5" customHeight="1" x14ac:dyDescent="0.2">
      <c r="G62515" s="889"/>
    </row>
    <row r="62516" spans="7:7" ht="10.5" customHeight="1" x14ac:dyDescent="0.2">
      <c r="G62516" s="889"/>
    </row>
    <row r="62517" spans="7:7" ht="10.5" customHeight="1" x14ac:dyDescent="0.2">
      <c r="G62517" s="889"/>
    </row>
    <row r="62518" spans="7:7" ht="10.5" customHeight="1" x14ac:dyDescent="0.2">
      <c r="G62518" s="889"/>
    </row>
    <row r="62519" spans="7:7" ht="10.5" customHeight="1" x14ac:dyDescent="0.2">
      <c r="G62519" s="889"/>
    </row>
    <row r="62520" spans="7:7" ht="10.5" customHeight="1" x14ac:dyDescent="0.2">
      <c r="G62520" s="889"/>
    </row>
    <row r="62521" spans="7:7" ht="10.5" customHeight="1" x14ac:dyDescent="0.2">
      <c r="G62521" s="889"/>
    </row>
    <row r="62522" spans="7:7" ht="10.5" customHeight="1" x14ac:dyDescent="0.2">
      <c r="G62522" s="889"/>
    </row>
    <row r="62523" spans="7:7" ht="10.5" customHeight="1" x14ac:dyDescent="0.2">
      <c r="G62523" s="889"/>
    </row>
    <row r="62524" spans="7:7" ht="10.5" customHeight="1" x14ac:dyDescent="0.2">
      <c r="G62524" s="889"/>
    </row>
    <row r="62525" spans="7:7" ht="10.5" customHeight="1" x14ac:dyDescent="0.2">
      <c r="G62525" s="889"/>
    </row>
    <row r="62526" spans="7:7" ht="10.5" customHeight="1" x14ac:dyDescent="0.2">
      <c r="G62526" s="889"/>
    </row>
    <row r="62527" spans="7:7" ht="10.5" customHeight="1" x14ac:dyDescent="0.2">
      <c r="G62527" s="889"/>
    </row>
    <row r="62528" spans="7:7" ht="10.5" customHeight="1" x14ac:dyDescent="0.2">
      <c r="G62528" s="889"/>
    </row>
    <row r="62529" spans="7:7" ht="10.5" customHeight="1" x14ac:dyDescent="0.2">
      <c r="G62529" s="889"/>
    </row>
    <row r="62530" spans="7:7" ht="10.5" customHeight="1" x14ac:dyDescent="0.2">
      <c r="G62530" s="889"/>
    </row>
    <row r="62531" spans="7:7" ht="10.5" customHeight="1" x14ac:dyDescent="0.2">
      <c r="G62531" s="889"/>
    </row>
    <row r="62532" spans="7:7" ht="10.5" customHeight="1" x14ac:dyDescent="0.2">
      <c r="G62532" s="889"/>
    </row>
    <row r="62533" spans="7:7" ht="10.5" customHeight="1" x14ac:dyDescent="0.2">
      <c r="G62533" s="889"/>
    </row>
    <row r="62534" spans="7:7" ht="10.5" customHeight="1" x14ac:dyDescent="0.2">
      <c r="G62534" s="889"/>
    </row>
    <row r="62535" spans="7:7" ht="10.5" customHeight="1" x14ac:dyDescent="0.2">
      <c r="G62535" s="889"/>
    </row>
    <row r="62536" spans="7:7" ht="10.5" customHeight="1" x14ac:dyDescent="0.2">
      <c r="G62536" s="889"/>
    </row>
    <row r="62537" spans="7:7" ht="10.5" customHeight="1" x14ac:dyDescent="0.2">
      <c r="G62537" s="889"/>
    </row>
    <row r="62538" spans="7:7" ht="10.5" customHeight="1" x14ac:dyDescent="0.2">
      <c r="G62538" s="889"/>
    </row>
    <row r="62539" spans="7:7" ht="10.5" customHeight="1" x14ac:dyDescent="0.2">
      <c r="G62539" s="889"/>
    </row>
    <row r="62540" spans="7:7" ht="10.5" customHeight="1" x14ac:dyDescent="0.2">
      <c r="G62540" s="889"/>
    </row>
    <row r="62541" spans="7:7" ht="10.5" customHeight="1" x14ac:dyDescent="0.2">
      <c r="G62541" s="889"/>
    </row>
    <row r="62542" spans="7:7" ht="10.5" customHeight="1" x14ac:dyDescent="0.2">
      <c r="G62542" s="889"/>
    </row>
    <row r="62543" spans="7:7" ht="10.5" customHeight="1" x14ac:dyDescent="0.2">
      <c r="G62543" s="889"/>
    </row>
    <row r="62544" spans="7:7" ht="10.5" customHeight="1" x14ac:dyDescent="0.2">
      <c r="G62544" s="889"/>
    </row>
    <row r="62545" spans="7:7" ht="10.5" customHeight="1" x14ac:dyDescent="0.2">
      <c r="G62545" s="889"/>
    </row>
    <row r="62546" spans="7:7" ht="10.5" customHeight="1" x14ac:dyDescent="0.2">
      <c r="G62546" s="889"/>
    </row>
    <row r="62547" spans="7:7" ht="10.5" customHeight="1" x14ac:dyDescent="0.2">
      <c r="G62547" s="889"/>
    </row>
    <row r="62548" spans="7:7" ht="10.5" customHeight="1" x14ac:dyDescent="0.2">
      <c r="G62548" s="889"/>
    </row>
    <row r="62549" spans="7:7" ht="10.5" customHeight="1" x14ac:dyDescent="0.2">
      <c r="G62549" s="889"/>
    </row>
    <row r="62550" spans="7:7" ht="10.5" customHeight="1" x14ac:dyDescent="0.2">
      <c r="G62550" s="889"/>
    </row>
    <row r="62551" spans="7:7" ht="10.5" customHeight="1" x14ac:dyDescent="0.2">
      <c r="G62551" s="889"/>
    </row>
    <row r="62552" spans="7:7" ht="10.5" customHeight="1" x14ac:dyDescent="0.2">
      <c r="G62552" s="889"/>
    </row>
    <row r="62553" spans="7:7" ht="10.5" customHeight="1" x14ac:dyDescent="0.2">
      <c r="G62553" s="889"/>
    </row>
    <row r="62554" spans="7:7" ht="10.5" customHeight="1" x14ac:dyDescent="0.2">
      <c r="G62554" s="889"/>
    </row>
    <row r="62555" spans="7:7" ht="10.5" customHeight="1" x14ac:dyDescent="0.2">
      <c r="G62555" s="889"/>
    </row>
    <row r="62556" spans="7:7" ht="10.5" customHeight="1" x14ac:dyDescent="0.2">
      <c r="G62556" s="889"/>
    </row>
    <row r="62557" spans="7:7" ht="10.5" customHeight="1" x14ac:dyDescent="0.2">
      <c r="G62557" s="889"/>
    </row>
    <row r="62558" spans="7:7" ht="10.5" customHeight="1" x14ac:dyDescent="0.2">
      <c r="G62558" s="889"/>
    </row>
    <row r="62559" spans="7:7" ht="10.5" customHeight="1" x14ac:dyDescent="0.2">
      <c r="G62559" s="889"/>
    </row>
    <row r="62560" spans="7:7" ht="10.5" customHeight="1" x14ac:dyDescent="0.2">
      <c r="G62560" s="889"/>
    </row>
    <row r="62561" spans="7:7" ht="10.5" customHeight="1" x14ac:dyDescent="0.2">
      <c r="G62561" s="889"/>
    </row>
    <row r="62562" spans="7:7" ht="10.5" customHeight="1" x14ac:dyDescent="0.2">
      <c r="G62562" s="889"/>
    </row>
    <row r="62563" spans="7:7" ht="10.5" customHeight="1" x14ac:dyDescent="0.2">
      <c r="G62563" s="889"/>
    </row>
    <row r="62564" spans="7:7" ht="10.5" customHeight="1" x14ac:dyDescent="0.2">
      <c r="G62564" s="889"/>
    </row>
    <row r="62565" spans="7:7" ht="10.5" customHeight="1" x14ac:dyDescent="0.2">
      <c r="G62565" s="889"/>
    </row>
    <row r="62566" spans="7:7" ht="10.5" customHeight="1" x14ac:dyDescent="0.2">
      <c r="G62566" s="889"/>
    </row>
    <row r="62567" spans="7:7" ht="10.5" customHeight="1" x14ac:dyDescent="0.2">
      <c r="G62567" s="889"/>
    </row>
    <row r="62568" spans="7:7" ht="10.5" customHeight="1" x14ac:dyDescent="0.2">
      <c r="G62568" s="889"/>
    </row>
    <row r="62569" spans="7:7" ht="10.5" customHeight="1" x14ac:dyDescent="0.2">
      <c r="G62569" s="889"/>
    </row>
    <row r="62570" spans="7:7" ht="10.5" customHeight="1" x14ac:dyDescent="0.2">
      <c r="G62570" s="889"/>
    </row>
    <row r="62571" spans="7:7" ht="10.5" customHeight="1" x14ac:dyDescent="0.2">
      <c r="G62571" s="889"/>
    </row>
    <row r="62572" spans="7:7" ht="10.5" customHeight="1" x14ac:dyDescent="0.2">
      <c r="G62572" s="889"/>
    </row>
    <row r="62573" spans="7:7" ht="10.5" customHeight="1" x14ac:dyDescent="0.2">
      <c r="G62573" s="889"/>
    </row>
    <row r="62574" spans="7:7" ht="10.5" customHeight="1" x14ac:dyDescent="0.2">
      <c r="G62574" s="889"/>
    </row>
    <row r="62575" spans="7:7" ht="10.5" customHeight="1" x14ac:dyDescent="0.2">
      <c r="G62575" s="889"/>
    </row>
    <row r="62576" spans="7:7" ht="10.5" customHeight="1" x14ac:dyDescent="0.2">
      <c r="G62576" s="889"/>
    </row>
    <row r="62577" spans="7:7" ht="10.5" customHeight="1" x14ac:dyDescent="0.2">
      <c r="G62577" s="889"/>
    </row>
    <row r="62578" spans="7:7" ht="10.5" customHeight="1" x14ac:dyDescent="0.2">
      <c r="G62578" s="889"/>
    </row>
    <row r="62579" spans="7:7" ht="10.5" customHeight="1" x14ac:dyDescent="0.2">
      <c r="G62579" s="889"/>
    </row>
    <row r="62580" spans="7:7" ht="10.5" customHeight="1" x14ac:dyDescent="0.2">
      <c r="G62580" s="889"/>
    </row>
    <row r="62581" spans="7:7" ht="10.5" customHeight="1" x14ac:dyDescent="0.2">
      <c r="G62581" s="889"/>
    </row>
    <row r="62582" spans="7:7" ht="10.5" customHeight="1" x14ac:dyDescent="0.2">
      <c r="G62582" s="889"/>
    </row>
    <row r="62583" spans="7:7" ht="10.5" customHeight="1" x14ac:dyDescent="0.2">
      <c r="G62583" s="889"/>
    </row>
    <row r="62584" spans="7:7" ht="10.5" customHeight="1" x14ac:dyDescent="0.2">
      <c r="G62584" s="889"/>
    </row>
    <row r="62585" spans="7:7" ht="10.5" customHeight="1" x14ac:dyDescent="0.2">
      <c r="G62585" s="889"/>
    </row>
    <row r="62586" spans="7:7" ht="10.5" customHeight="1" x14ac:dyDescent="0.2">
      <c r="G62586" s="889"/>
    </row>
    <row r="62587" spans="7:7" ht="10.5" customHeight="1" x14ac:dyDescent="0.2">
      <c r="G62587" s="889"/>
    </row>
    <row r="62588" spans="7:7" ht="10.5" customHeight="1" x14ac:dyDescent="0.2">
      <c r="G62588" s="889"/>
    </row>
    <row r="62589" spans="7:7" ht="10.5" customHeight="1" x14ac:dyDescent="0.2">
      <c r="G62589" s="889"/>
    </row>
    <row r="62590" spans="7:7" ht="10.5" customHeight="1" x14ac:dyDescent="0.2">
      <c r="G62590" s="889"/>
    </row>
    <row r="62591" spans="7:7" ht="10.5" customHeight="1" x14ac:dyDescent="0.2">
      <c r="G62591" s="889"/>
    </row>
    <row r="62592" spans="7:7" ht="10.5" customHeight="1" x14ac:dyDescent="0.2">
      <c r="G62592" s="889"/>
    </row>
    <row r="62593" spans="7:7" ht="10.5" customHeight="1" x14ac:dyDescent="0.2">
      <c r="G62593" s="889"/>
    </row>
    <row r="62594" spans="7:7" ht="10.5" customHeight="1" x14ac:dyDescent="0.2">
      <c r="G62594" s="889"/>
    </row>
    <row r="62595" spans="7:7" ht="10.5" customHeight="1" x14ac:dyDescent="0.2">
      <c r="G62595" s="889"/>
    </row>
    <row r="62596" spans="7:7" ht="10.5" customHeight="1" x14ac:dyDescent="0.2">
      <c r="G62596" s="889"/>
    </row>
    <row r="62597" spans="7:7" ht="10.5" customHeight="1" x14ac:dyDescent="0.2">
      <c r="G62597" s="889"/>
    </row>
    <row r="62598" spans="7:7" ht="10.5" customHeight="1" x14ac:dyDescent="0.2">
      <c r="G62598" s="889"/>
    </row>
    <row r="62599" spans="7:7" ht="10.5" customHeight="1" x14ac:dyDescent="0.2">
      <c r="G62599" s="889"/>
    </row>
    <row r="62600" spans="7:7" ht="10.5" customHeight="1" x14ac:dyDescent="0.2">
      <c r="G62600" s="889"/>
    </row>
    <row r="62601" spans="7:7" ht="10.5" customHeight="1" x14ac:dyDescent="0.2">
      <c r="G62601" s="889"/>
    </row>
    <row r="62602" spans="7:7" ht="10.5" customHeight="1" x14ac:dyDescent="0.2">
      <c r="G62602" s="889"/>
    </row>
    <row r="62603" spans="7:7" ht="10.5" customHeight="1" x14ac:dyDescent="0.2">
      <c r="G62603" s="889"/>
    </row>
    <row r="62604" spans="7:7" ht="10.5" customHeight="1" x14ac:dyDescent="0.2">
      <c r="G62604" s="889"/>
    </row>
    <row r="62605" spans="7:7" ht="10.5" customHeight="1" x14ac:dyDescent="0.2">
      <c r="G62605" s="889"/>
    </row>
    <row r="62606" spans="7:7" ht="10.5" customHeight="1" x14ac:dyDescent="0.2">
      <c r="G62606" s="889"/>
    </row>
    <row r="62607" spans="7:7" ht="10.5" customHeight="1" x14ac:dyDescent="0.2">
      <c r="G62607" s="889"/>
    </row>
    <row r="62608" spans="7:7" ht="10.5" customHeight="1" x14ac:dyDescent="0.2">
      <c r="G62608" s="889"/>
    </row>
    <row r="62609" spans="7:7" ht="10.5" customHeight="1" x14ac:dyDescent="0.2">
      <c r="G62609" s="889"/>
    </row>
    <row r="62610" spans="7:7" ht="10.5" customHeight="1" x14ac:dyDescent="0.2">
      <c r="G62610" s="889"/>
    </row>
    <row r="62611" spans="7:7" ht="10.5" customHeight="1" x14ac:dyDescent="0.2">
      <c r="G62611" s="889"/>
    </row>
    <row r="62612" spans="7:7" ht="10.5" customHeight="1" x14ac:dyDescent="0.2">
      <c r="G62612" s="889"/>
    </row>
    <row r="62613" spans="7:7" ht="10.5" customHeight="1" x14ac:dyDescent="0.2">
      <c r="G62613" s="889"/>
    </row>
    <row r="62614" spans="7:7" ht="10.5" customHeight="1" x14ac:dyDescent="0.2">
      <c r="G62614" s="889"/>
    </row>
    <row r="62615" spans="7:7" ht="10.5" customHeight="1" x14ac:dyDescent="0.2">
      <c r="G62615" s="889"/>
    </row>
    <row r="62616" spans="7:7" ht="10.5" customHeight="1" x14ac:dyDescent="0.2">
      <c r="G62616" s="889"/>
    </row>
    <row r="62617" spans="7:7" ht="10.5" customHeight="1" x14ac:dyDescent="0.2">
      <c r="G62617" s="889"/>
    </row>
    <row r="62618" spans="7:7" ht="10.5" customHeight="1" x14ac:dyDescent="0.2">
      <c r="G62618" s="889"/>
    </row>
    <row r="62619" spans="7:7" ht="10.5" customHeight="1" x14ac:dyDescent="0.2">
      <c r="G62619" s="889"/>
    </row>
    <row r="62620" spans="7:7" ht="10.5" customHeight="1" x14ac:dyDescent="0.2">
      <c r="G62620" s="889"/>
    </row>
    <row r="62621" spans="7:7" ht="10.5" customHeight="1" x14ac:dyDescent="0.2">
      <c r="G62621" s="889"/>
    </row>
    <row r="62622" spans="7:7" ht="10.5" customHeight="1" x14ac:dyDescent="0.2">
      <c r="G62622" s="889"/>
    </row>
    <row r="62623" spans="7:7" ht="10.5" customHeight="1" x14ac:dyDescent="0.2">
      <c r="G62623" s="889"/>
    </row>
    <row r="62624" spans="7:7" ht="10.5" customHeight="1" x14ac:dyDescent="0.2">
      <c r="G62624" s="889"/>
    </row>
    <row r="62625" spans="7:7" ht="10.5" customHeight="1" x14ac:dyDescent="0.2">
      <c r="G62625" s="889"/>
    </row>
    <row r="62626" spans="7:7" ht="10.5" customHeight="1" x14ac:dyDescent="0.2">
      <c r="G62626" s="889"/>
    </row>
    <row r="62627" spans="7:7" ht="10.5" customHeight="1" x14ac:dyDescent="0.2">
      <c r="G62627" s="889"/>
    </row>
    <row r="62628" spans="7:7" ht="10.5" customHeight="1" x14ac:dyDescent="0.2">
      <c r="G62628" s="889"/>
    </row>
    <row r="62629" spans="7:7" ht="10.5" customHeight="1" x14ac:dyDescent="0.2">
      <c r="G62629" s="889"/>
    </row>
    <row r="62630" spans="7:7" ht="10.5" customHeight="1" x14ac:dyDescent="0.2">
      <c r="G62630" s="889"/>
    </row>
    <row r="62631" spans="7:7" ht="10.5" customHeight="1" x14ac:dyDescent="0.2">
      <c r="G62631" s="889"/>
    </row>
    <row r="62632" spans="7:7" ht="10.5" customHeight="1" x14ac:dyDescent="0.2">
      <c r="G62632" s="889"/>
    </row>
    <row r="62633" spans="7:7" ht="10.5" customHeight="1" x14ac:dyDescent="0.2">
      <c r="G62633" s="889"/>
    </row>
    <row r="62634" spans="7:7" ht="10.5" customHeight="1" x14ac:dyDescent="0.2">
      <c r="G62634" s="889"/>
    </row>
    <row r="62635" spans="7:7" ht="10.5" customHeight="1" x14ac:dyDescent="0.2">
      <c r="G62635" s="889"/>
    </row>
    <row r="62636" spans="7:7" ht="10.5" customHeight="1" x14ac:dyDescent="0.2">
      <c r="G62636" s="889"/>
    </row>
    <row r="62637" spans="7:7" ht="10.5" customHeight="1" x14ac:dyDescent="0.2">
      <c r="G62637" s="889"/>
    </row>
    <row r="62638" spans="7:7" ht="10.5" customHeight="1" x14ac:dyDescent="0.2">
      <c r="G62638" s="889"/>
    </row>
    <row r="62639" spans="7:7" ht="10.5" customHeight="1" x14ac:dyDescent="0.2">
      <c r="G62639" s="889"/>
    </row>
    <row r="62640" spans="7:7" ht="10.5" customHeight="1" x14ac:dyDescent="0.2">
      <c r="G62640" s="889"/>
    </row>
    <row r="62641" spans="7:7" ht="10.5" customHeight="1" x14ac:dyDescent="0.2">
      <c r="G62641" s="889"/>
    </row>
    <row r="62642" spans="7:7" ht="10.5" customHeight="1" x14ac:dyDescent="0.2">
      <c r="G62642" s="889"/>
    </row>
    <row r="62643" spans="7:7" ht="10.5" customHeight="1" x14ac:dyDescent="0.2">
      <c r="G62643" s="889"/>
    </row>
    <row r="62644" spans="7:7" ht="10.5" customHeight="1" x14ac:dyDescent="0.2">
      <c r="G62644" s="889"/>
    </row>
    <row r="62645" spans="7:7" ht="10.5" customHeight="1" x14ac:dyDescent="0.2">
      <c r="G62645" s="889"/>
    </row>
    <row r="62646" spans="7:7" ht="10.5" customHeight="1" x14ac:dyDescent="0.2">
      <c r="G62646" s="889"/>
    </row>
    <row r="62647" spans="7:7" ht="10.5" customHeight="1" x14ac:dyDescent="0.2">
      <c r="G62647" s="889"/>
    </row>
    <row r="62648" spans="7:7" ht="10.5" customHeight="1" x14ac:dyDescent="0.2">
      <c r="G62648" s="889"/>
    </row>
    <row r="62649" spans="7:7" ht="10.5" customHeight="1" x14ac:dyDescent="0.2">
      <c r="G62649" s="889"/>
    </row>
    <row r="62650" spans="7:7" ht="10.5" customHeight="1" x14ac:dyDescent="0.2">
      <c r="G62650" s="889"/>
    </row>
    <row r="62651" spans="7:7" ht="10.5" customHeight="1" x14ac:dyDescent="0.2">
      <c r="G62651" s="889"/>
    </row>
    <row r="62652" spans="7:7" ht="10.5" customHeight="1" x14ac:dyDescent="0.2">
      <c r="G62652" s="889"/>
    </row>
    <row r="62653" spans="7:7" ht="10.5" customHeight="1" x14ac:dyDescent="0.2">
      <c r="G62653" s="889"/>
    </row>
    <row r="62654" spans="7:7" ht="10.5" customHeight="1" x14ac:dyDescent="0.2">
      <c r="G62654" s="889"/>
    </row>
    <row r="62655" spans="7:7" ht="10.5" customHeight="1" x14ac:dyDescent="0.2">
      <c r="G62655" s="889"/>
    </row>
    <row r="62656" spans="7:7" ht="10.5" customHeight="1" x14ac:dyDescent="0.2">
      <c r="G62656" s="889"/>
    </row>
    <row r="62657" spans="7:7" ht="10.5" customHeight="1" x14ac:dyDescent="0.2">
      <c r="G62657" s="889"/>
    </row>
    <row r="62658" spans="7:7" ht="10.5" customHeight="1" x14ac:dyDescent="0.2">
      <c r="G62658" s="889"/>
    </row>
    <row r="62659" spans="7:7" ht="10.5" customHeight="1" x14ac:dyDescent="0.2">
      <c r="G62659" s="889"/>
    </row>
    <row r="62660" spans="7:7" ht="10.5" customHeight="1" x14ac:dyDescent="0.2">
      <c r="G62660" s="889"/>
    </row>
    <row r="62661" spans="7:7" ht="10.5" customHeight="1" x14ac:dyDescent="0.2">
      <c r="G62661" s="889"/>
    </row>
    <row r="62662" spans="7:7" ht="10.5" customHeight="1" x14ac:dyDescent="0.2">
      <c r="G62662" s="889"/>
    </row>
    <row r="62663" spans="7:7" ht="10.5" customHeight="1" x14ac:dyDescent="0.2">
      <c r="G62663" s="889"/>
    </row>
    <row r="62664" spans="7:7" ht="10.5" customHeight="1" x14ac:dyDescent="0.2">
      <c r="G62664" s="889"/>
    </row>
    <row r="62665" spans="7:7" ht="10.5" customHeight="1" x14ac:dyDescent="0.2">
      <c r="G62665" s="889"/>
    </row>
    <row r="62666" spans="7:7" ht="10.5" customHeight="1" x14ac:dyDescent="0.2">
      <c r="G62666" s="889"/>
    </row>
    <row r="62667" spans="7:7" ht="10.5" customHeight="1" x14ac:dyDescent="0.2">
      <c r="G62667" s="889"/>
    </row>
    <row r="62668" spans="7:7" ht="10.5" customHeight="1" x14ac:dyDescent="0.2">
      <c r="G62668" s="889"/>
    </row>
    <row r="62669" spans="7:7" ht="10.5" customHeight="1" x14ac:dyDescent="0.2">
      <c r="G62669" s="889"/>
    </row>
    <row r="62670" spans="7:7" ht="10.5" customHeight="1" x14ac:dyDescent="0.2">
      <c r="G62670" s="889"/>
    </row>
    <row r="62671" spans="7:7" ht="10.5" customHeight="1" x14ac:dyDescent="0.2">
      <c r="G62671" s="889"/>
    </row>
    <row r="62672" spans="7:7" ht="10.5" customHeight="1" x14ac:dyDescent="0.2">
      <c r="G62672" s="889"/>
    </row>
    <row r="62673" spans="7:7" ht="10.5" customHeight="1" x14ac:dyDescent="0.2">
      <c r="G62673" s="889"/>
    </row>
    <row r="62674" spans="7:7" ht="10.5" customHeight="1" x14ac:dyDescent="0.2">
      <c r="G62674" s="889"/>
    </row>
    <row r="62675" spans="7:7" ht="10.5" customHeight="1" x14ac:dyDescent="0.2">
      <c r="G62675" s="889"/>
    </row>
    <row r="62676" spans="7:7" ht="10.5" customHeight="1" x14ac:dyDescent="0.2">
      <c r="G62676" s="889"/>
    </row>
    <row r="62677" spans="7:7" ht="10.5" customHeight="1" x14ac:dyDescent="0.2">
      <c r="G62677" s="889"/>
    </row>
    <row r="62678" spans="7:7" ht="10.5" customHeight="1" x14ac:dyDescent="0.2">
      <c r="G62678" s="889"/>
    </row>
    <row r="62679" spans="7:7" ht="10.5" customHeight="1" x14ac:dyDescent="0.2">
      <c r="G62679" s="889"/>
    </row>
    <row r="62680" spans="7:7" ht="10.5" customHeight="1" x14ac:dyDescent="0.2">
      <c r="G62680" s="889"/>
    </row>
    <row r="62681" spans="7:7" ht="10.5" customHeight="1" x14ac:dyDescent="0.2">
      <c r="G62681" s="889"/>
    </row>
    <row r="62682" spans="7:7" ht="10.5" customHeight="1" x14ac:dyDescent="0.2">
      <c r="G62682" s="889"/>
    </row>
    <row r="62683" spans="7:7" ht="10.5" customHeight="1" x14ac:dyDescent="0.2">
      <c r="G62683" s="889"/>
    </row>
    <row r="62684" spans="7:7" ht="10.5" customHeight="1" x14ac:dyDescent="0.2">
      <c r="G62684" s="889"/>
    </row>
    <row r="62685" spans="7:7" ht="10.5" customHeight="1" x14ac:dyDescent="0.2">
      <c r="G62685" s="889"/>
    </row>
    <row r="62686" spans="7:7" ht="10.5" customHeight="1" x14ac:dyDescent="0.2">
      <c r="G62686" s="889"/>
    </row>
    <row r="62687" spans="7:7" ht="10.5" customHeight="1" x14ac:dyDescent="0.2">
      <c r="G62687" s="889"/>
    </row>
    <row r="62688" spans="7:7" ht="10.5" customHeight="1" x14ac:dyDescent="0.2">
      <c r="G62688" s="889"/>
    </row>
    <row r="62689" spans="7:7" ht="10.5" customHeight="1" x14ac:dyDescent="0.2">
      <c r="G62689" s="889"/>
    </row>
    <row r="62690" spans="7:7" ht="10.5" customHeight="1" x14ac:dyDescent="0.2">
      <c r="G62690" s="889"/>
    </row>
    <row r="62691" spans="7:7" ht="10.5" customHeight="1" x14ac:dyDescent="0.2">
      <c r="G62691" s="889"/>
    </row>
    <row r="62692" spans="7:7" ht="10.5" customHeight="1" x14ac:dyDescent="0.2">
      <c r="G62692" s="889"/>
    </row>
    <row r="62693" spans="7:7" ht="10.5" customHeight="1" x14ac:dyDescent="0.2">
      <c r="G62693" s="889"/>
    </row>
    <row r="62694" spans="7:7" ht="10.5" customHeight="1" x14ac:dyDescent="0.2">
      <c r="G62694" s="889"/>
    </row>
    <row r="62695" spans="7:7" ht="10.5" customHeight="1" x14ac:dyDescent="0.2">
      <c r="G62695" s="889"/>
    </row>
    <row r="62696" spans="7:7" ht="10.5" customHeight="1" x14ac:dyDescent="0.2">
      <c r="G62696" s="889"/>
    </row>
    <row r="62697" spans="7:7" ht="10.5" customHeight="1" x14ac:dyDescent="0.2">
      <c r="G62697" s="889"/>
    </row>
    <row r="62698" spans="7:7" ht="10.5" customHeight="1" x14ac:dyDescent="0.2">
      <c r="G62698" s="889"/>
    </row>
    <row r="62699" spans="7:7" ht="10.5" customHeight="1" x14ac:dyDescent="0.2">
      <c r="G62699" s="889"/>
    </row>
    <row r="62700" spans="7:7" ht="10.5" customHeight="1" x14ac:dyDescent="0.2">
      <c r="G62700" s="889"/>
    </row>
    <row r="62701" spans="7:7" ht="10.5" customHeight="1" x14ac:dyDescent="0.2">
      <c r="G62701" s="889"/>
    </row>
    <row r="62702" spans="7:7" ht="10.5" customHeight="1" x14ac:dyDescent="0.2">
      <c r="G62702" s="889"/>
    </row>
    <row r="62703" spans="7:7" ht="10.5" customHeight="1" x14ac:dyDescent="0.2">
      <c r="G62703" s="889"/>
    </row>
    <row r="62704" spans="7:7" ht="10.5" customHeight="1" x14ac:dyDescent="0.2">
      <c r="G62704" s="889"/>
    </row>
    <row r="62705" spans="7:7" ht="10.5" customHeight="1" x14ac:dyDescent="0.2">
      <c r="G62705" s="889"/>
    </row>
    <row r="62706" spans="7:7" ht="10.5" customHeight="1" x14ac:dyDescent="0.2">
      <c r="G62706" s="889"/>
    </row>
    <row r="62707" spans="7:7" ht="10.5" customHeight="1" x14ac:dyDescent="0.2">
      <c r="G62707" s="889"/>
    </row>
    <row r="62708" spans="7:7" ht="10.5" customHeight="1" x14ac:dyDescent="0.2">
      <c r="G62708" s="889"/>
    </row>
    <row r="62709" spans="7:7" ht="10.5" customHeight="1" x14ac:dyDescent="0.2">
      <c r="G62709" s="889"/>
    </row>
    <row r="62710" spans="7:7" ht="10.5" customHeight="1" x14ac:dyDescent="0.2">
      <c r="G62710" s="889"/>
    </row>
    <row r="62711" spans="7:7" ht="10.5" customHeight="1" x14ac:dyDescent="0.2">
      <c r="G62711" s="889"/>
    </row>
    <row r="62712" spans="7:7" ht="10.5" customHeight="1" x14ac:dyDescent="0.2">
      <c r="G62712" s="889"/>
    </row>
    <row r="62713" spans="7:7" ht="10.5" customHeight="1" x14ac:dyDescent="0.2">
      <c r="G62713" s="889"/>
    </row>
    <row r="62714" spans="7:7" ht="10.5" customHeight="1" x14ac:dyDescent="0.2">
      <c r="G62714" s="889"/>
    </row>
    <row r="62715" spans="7:7" ht="10.5" customHeight="1" x14ac:dyDescent="0.2">
      <c r="G62715" s="889"/>
    </row>
    <row r="62716" spans="7:7" ht="10.5" customHeight="1" x14ac:dyDescent="0.2">
      <c r="G62716" s="889"/>
    </row>
    <row r="62717" spans="7:7" ht="10.5" customHeight="1" x14ac:dyDescent="0.2">
      <c r="G62717" s="889"/>
    </row>
    <row r="62718" spans="7:7" ht="10.5" customHeight="1" x14ac:dyDescent="0.2">
      <c r="G62718" s="889"/>
    </row>
    <row r="62719" spans="7:7" ht="10.5" customHeight="1" x14ac:dyDescent="0.2">
      <c r="G62719" s="889"/>
    </row>
    <row r="62720" spans="7:7" ht="10.5" customHeight="1" x14ac:dyDescent="0.2">
      <c r="G62720" s="889"/>
    </row>
    <row r="62721" spans="7:7" ht="10.5" customHeight="1" x14ac:dyDescent="0.2">
      <c r="G62721" s="889"/>
    </row>
    <row r="62722" spans="7:7" ht="10.5" customHeight="1" x14ac:dyDescent="0.2">
      <c r="G62722" s="889"/>
    </row>
    <row r="62723" spans="7:7" ht="10.5" customHeight="1" x14ac:dyDescent="0.2">
      <c r="G62723" s="889"/>
    </row>
    <row r="62724" spans="7:7" ht="10.5" customHeight="1" x14ac:dyDescent="0.2">
      <c r="G62724" s="889"/>
    </row>
    <row r="62725" spans="7:7" ht="10.5" customHeight="1" x14ac:dyDescent="0.2">
      <c r="G62725" s="889"/>
    </row>
    <row r="62726" spans="7:7" ht="10.5" customHeight="1" x14ac:dyDescent="0.2">
      <c r="G62726" s="889"/>
    </row>
    <row r="62727" spans="7:7" ht="10.5" customHeight="1" x14ac:dyDescent="0.2">
      <c r="G62727" s="889"/>
    </row>
    <row r="62728" spans="7:7" ht="10.5" customHeight="1" x14ac:dyDescent="0.2">
      <c r="G62728" s="889"/>
    </row>
    <row r="62729" spans="7:7" ht="10.5" customHeight="1" x14ac:dyDescent="0.2">
      <c r="G62729" s="889"/>
    </row>
    <row r="62730" spans="7:7" ht="10.5" customHeight="1" x14ac:dyDescent="0.2">
      <c r="G62730" s="889"/>
    </row>
    <row r="62731" spans="7:7" ht="10.5" customHeight="1" x14ac:dyDescent="0.2">
      <c r="G62731" s="889"/>
    </row>
    <row r="62732" spans="7:7" ht="10.5" customHeight="1" x14ac:dyDescent="0.2">
      <c r="G62732" s="889"/>
    </row>
    <row r="62733" spans="7:7" ht="10.5" customHeight="1" x14ac:dyDescent="0.2">
      <c r="G62733" s="889"/>
    </row>
    <row r="62734" spans="7:7" ht="10.5" customHeight="1" x14ac:dyDescent="0.2">
      <c r="G62734" s="889"/>
    </row>
    <row r="62735" spans="7:7" ht="10.5" customHeight="1" x14ac:dyDescent="0.2">
      <c r="G62735" s="889"/>
    </row>
    <row r="62736" spans="7:7" ht="10.5" customHeight="1" x14ac:dyDescent="0.2">
      <c r="G62736" s="889"/>
    </row>
    <row r="62737" spans="7:7" ht="10.5" customHeight="1" x14ac:dyDescent="0.2">
      <c r="G62737" s="889"/>
    </row>
    <row r="62738" spans="7:7" ht="10.5" customHeight="1" x14ac:dyDescent="0.2">
      <c r="G62738" s="889"/>
    </row>
    <row r="62739" spans="7:7" ht="10.5" customHeight="1" x14ac:dyDescent="0.2">
      <c r="G62739" s="889"/>
    </row>
    <row r="62740" spans="7:7" ht="10.5" customHeight="1" x14ac:dyDescent="0.2">
      <c r="G62740" s="889"/>
    </row>
    <row r="62741" spans="7:7" ht="10.5" customHeight="1" x14ac:dyDescent="0.2">
      <c r="G62741" s="889"/>
    </row>
    <row r="62742" spans="7:7" ht="10.5" customHeight="1" x14ac:dyDescent="0.2">
      <c r="G62742" s="889"/>
    </row>
    <row r="62743" spans="7:7" ht="10.5" customHeight="1" x14ac:dyDescent="0.2">
      <c r="G62743" s="889"/>
    </row>
    <row r="62744" spans="7:7" ht="10.5" customHeight="1" x14ac:dyDescent="0.2">
      <c r="G62744" s="889"/>
    </row>
    <row r="62745" spans="7:7" ht="10.5" customHeight="1" x14ac:dyDescent="0.2">
      <c r="G62745" s="889"/>
    </row>
    <row r="62746" spans="7:7" ht="10.5" customHeight="1" x14ac:dyDescent="0.2">
      <c r="G62746" s="889"/>
    </row>
    <row r="62747" spans="7:7" ht="10.5" customHeight="1" x14ac:dyDescent="0.2">
      <c r="G62747" s="889"/>
    </row>
    <row r="62748" spans="7:7" ht="10.5" customHeight="1" x14ac:dyDescent="0.2">
      <c r="G62748" s="889"/>
    </row>
    <row r="62749" spans="7:7" ht="10.5" customHeight="1" x14ac:dyDescent="0.2">
      <c r="G62749" s="889"/>
    </row>
    <row r="62750" spans="7:7" ht="10.5" customHeight="1" x14ac:dyDescent="0.2">
      <c r="G62750" s="889"/>
    </row>
    <row r="62751" spans="7:7" ht="10.5" customHeight="1" x14ac:dyDescent="0.2">
      <c r="G62751" s="889"/>
    </row>
    <row r="62752" spans="7:7" ht="10.5" customHeight="1" x14ac:dyDescent="0.2">
      <c r="G62752" s="889"/>
    </row>
    <row r="62753" spans="7:7" ht="10.5" customHeight="1" x14ac:dyDescent="0.2">
      <c r="G62753" s="889"/>
    </row>
    <row r="62754" spans="7:7" ht="10.5" customHeight="1" x14ac:dyDescent="0.2">
      <c r="G62754" s="889"/>
    </row>
    <row r="62755" spans="7:7" ht="10.5" customHeight="1" x14ac:dyDescent="0.2">
      <c r="G62755" s="889"/>
    </row>
    <row r="62756" spans="7:7" ht="10.5" customHeight="1" x14ac:dyDescent="0.2">
      <c r="G62756" s="889"/>
    </row>
    <row r="62757" spans="7:7" ht="10.5" customHeight="1" x14ac:dyDescent="0.2">
      <c r="G62757" s="889"/>
    </row>
    <row r="62758" spans="7:7" ht="10.5" customHeight="1" x14ac:dyDescent="0.2">
      <c r="G62758" s="889"/>
    </row>
    <row r="62759" spans="7:7" ht="10.5" customHeight="1" x14ac:dyDescent="0.2">
      <c r="G62759" s="889"/>
    </row>
    <row r="62760" spans="7:7" ht="10.5" customHeight="1" x14ac:dyDescent="0.2">
      <c r="G62760" s="889"/>
    </row>
    <row r="62761" spans="7:7" ht="10.5" customHeight="1" x14ac:dyDescent="0.2">
      <c r="G62761" s="889"/>
    </row>
    <row r="62762" spans="7:7" ht="10.5" customHeight="1" x14ac:dyDescent="0.2">
      <c r="G62762" s="889"/>
    </row>
    <row r="62763" spans="7:7" ht="10.5" customHeight="1" x14ac:dyDescent="0.2">
      <c r="G62763" s="889"/>
    </row>
    <row r="62764" spans="7:7" ht="10.5" customHeight="1" x14ac:dyDescent="0.2">
      <c r="G62764" s="889"/>
    </row>
    <row r="62765" spans="7:7" ht="10.5" customHeight="1" x14ac:dyDescent="0.2">
      <c r="G62765" s="889"/>
    </row>
    <row r="62766" spans="7:7" ht="10.5" customHeight="1" x14ac:dyDescent="0.2">
      <c r="G62766" s="889"/>
    </row>
    <row r="62767" spans="7:7" ht="10.5" customHeight="1" x14ac:dyDescent="0.2">
      <c r="G62767" s="889"/>
    </row>
    <row r="62768" spans="7:7" ht="10.5" customHeight="1" x14ac:dyDescent="0.2">
      <c r="G62768" s="889"/>
    </row>
    <row r="62769" spans="7:7" ht="10.5" customHeight="1" x14ac:dyDescent="0.2">
      <c r="G62769" s="889"/>
    </row>
    <row r="62770" spans="7:7" ht="10.5" customHeight="1" x14ac:dyDescent="0.2">
      <c r="G62770" s="889"/>
    </row>
    <row r="62771" spans="7:7" ht="10.5" customHeight="1" x14ac:dyDescent="0.2">
      <c r="G62771" s="889"/>
    </row>
    <row r="62772" spans="7:7" ht="10.5" customHeight="1" x14ac:dyDescent="0.2">
      <c r="G62772" s="889"/>
    </row>
    <row r="62773" spans="7:7" ht="10.5" customHeight="1" x14ac:dyDescent="0.2">
      <c r="G62773" s="889"/>
    </row>
    <row r="62774" spans="7:7" ht="10.5" customHeight="1" x14ac:dyDescent="0.2">
      <c r="G62774" s="889"/>
    </row>
    <row r="62775" spans="7:7" ht="10.5" customHeight="1" x14ac:dyDescent="0.2">
      <c r="G62775" s="889"/>
    </row>
    <row r="62776" spans="7:7" ht="10.5" customHeight="1" x14ac:dyDescent="0.2">
      <c r="G62776" s="889"/>
    </row>
    <row r="62777" spans="7:7" ht="10.5" customHeight="1" x14ac:dyDescent="0.2">
      <c r="G62777" s="889"/>
    </row>
    <row r="62778" spans="7:7" ht="10.5" customHeight="1" x14ac:dyDescent="0.2">
      <c r="G62778" s="889"/>
    </row>
    <row r="62779" spans="7:7" ht="10.5" customHeight="1" x14ac:dyDescent="0.2">
      <c r="G62779" s="889"/>
    </row>
    <row r="62780" spans="7:7" ht="10.5" customHeight="1" x14ac:dyDescent="0.2">
      <c r="G62780" s="889"/>
    </row>
    <row r="62781" spans="7:7" ht="10.5" customHeight="1" x14ac:dyDescent="0.2">
      <c r="G62781" s="889"/>
    </row>
    <row r="62782" spans="7:7" ht="10.5" customHeight="1" x14ac:dyDescent="0.2">
      <c r="G62782" s="889"/>
    </row>
    <row r="62783" spans="7:7" ht="10.5" customHeight="1" x14ac:dyDescent="0.2">
      <c r="G62783" s="889"/>
    </row>
    <row r="62784" spans="7:7" ht="10.5" customHeight="1" x14ac:dyDescent="0.2">
      <c r="G62784" s="889"/>
    </row>
    <row r="62785" spans="7:7" ht="10.5" customHeight="1" x14ac:dyDescent="0.2">
      <c r="G62785" s="889"/>
    </row>
    <row r="62786" spans="7:7" ht="10.5" customHeight="1" x14ac:dyDescent="0.2">
      <c r="G62786" s="889"/>
    </row>
    <row r="62787" spans="7:7" ht="10.5" customHeight="1" x14ac:dyDescent="0.2">
      <c r="G62787" s="889"/>
    </row>
    <row r="62788" spans="7:7" ht="10.5" customHeight="1" x14ac:dyDescent="0.2">
      <c r="G62788" s="889"/>
    </row>
    <row r="62789" spans="7:7" ht="10.5" customHeight="1" x14ac:dyDescent="0.2">
      <c r="G62789" s="889"/>
    </row>
    <row r="62790" spans="7:7" ht="10.5" customHeight="1" x14ac:dyDescent="0.2">
      <c r="G62790" s="889"/>
    </row>
    <row r="62791" spans="7:7" ht="10.5" customHeight="1" x14ac:dyDescent="0.2">
      <c r="G62791" s="889"/>
    </row>
    <row r="62792" spans="7:7" ht="10.5" customHeight="1" x14ac:dyDescent="0.2">
      <c r="G62792" s="889"/>
    </row>
    <row r="62793" spans="7:7" ht="10.5" customHeight="1" x14ac:dyDescent="0.2">
      <c r="G62793" s="889"/>
    </row>
    <row r="62794" spans="7:7" ht="10.5" customHeight="1" x14ac:dyDescent="0.2">
      <c r="G62794" s="889"/>
    </row>
    <row r="62795" spans="7:7" ht="10.5" customHeight="1" x14ac:dyDescent="0.2">
      <c r="G62795" s="889"/>
    </row>
    <row r="62796" spans="7:7" ht="10.5" customHeight="1" x14ac:dyDescent="0.2">
      <c r="G62796" s="889"/>
    </row>
    <row r="62797" spans="7:7" ht="10.5" customHeight="1" x14ac:dyDescent="0.2">
      <c r="G62797" s="889"/>
    </row>
    <row r="62798" spans="7:7" ht="10.5" customHeight="1" x14ac:dyDescent="0.2">
      <c r="G62798" s="889"/>
    </row>
    <row r="62799" spans="7:7" ht="10.5" customHeight="1" x14ac:dyDescent="0.2">
      <c r="G62799" s="889"/>
    </row>
    <row r="62800" spans="7:7" ht="10.5" customHeight="1" x14ac:dyDescent="0.2">
      <c r="G62800" s="889"/>
    </row>
    <row r="62801" spans="7:7" ht="10.5" customHeight="1" x14ac:dyDescent="0.2">
      <c r="G62801" s="889"/>
    </row>
    <row r="62802" spans="7:7" ht="10.5" customHeight="1" x14ac:dyDescent="0.2">
      <c r="G62802" s="889"/>
    </row>
    <row r="62803" spans="7:7" ht="10.5" customHeight="1" x14ac:dyDescent="0.2">
      <c r="G62803" s="889"/>
    </row>
    <row r="62804" spans="7:7" ht="10.5" customHeight="1" x14ac:dyDescent="0.2">
      <c r="G62804" s="889"/>
    </row>
    <row r="62805" spans="7:7" ht="10.5" customHeight="1" x14ac:dyDescent="0.2">
      <c r="G62805" s="889"/>
    </row>
    <row r="62806" spans="7:7" ht="10.5" customHeight="1" x14ac:dyDescent="0.2">
      <c r="G62806" s="889"/>
    </row>
    <row r="62807" spans="7:7" ht="10.5" customHeight="1" x14ac:dyDescent="0.2">
      <c r="G62807" s="889"/>
    </row>
    <row r="62808" spans="7:7" ht="10.5" customHeight="1" x14ac:dyDescent="0.2">
      <c r="G62808" s="889"/>
    </row>
    <row r="62809" spans="7:7" ht="10.5" customHeight="1" x14ac:dyDescent="0.2">
      <c r="G62809" s="889"/>
    </row>
    <row r="62810" spans="7:7" ht="10.5" customHeight="1" x14ac:dyDescent="0.2">
      <c r="G62810" s="889"/>
    </row>
    <row r="62811" spans="7:7" ht="10.5" customHeight="1" x14ac:dyDescent="0.2">
      <c r="G62811" s="889"/>
    </row>
    <row r="62812" spans="7:7" ht="10.5" customHeight="1" x14ac:dyDescent="0.2">
      <c r="G62812" s="889"/>
    </row>
    <row r="62813" spans="7:7" ht="10.5" customHeight="1" x14ac:dyDescent="0.2">
      <c r="G62813" s="889"/>
    </row>
    <row r="62814" spans="7:7" ht="10.5" customHeight="1" x14ac:dyDescent="0.2">
      <c r="G62814" s="889"/>
    </row>
    <row r="62815" spans="7:7" ht="10.5" customHeight="1" x14ac:dyDescent="0.2">
      <c r="G62815" s="889"/>
    </row>
    <row r="62816" spans="7:7" ht="10.5" customHeight="1" x14ac:dyDescent="0.2">
      <c r="G62816" s="889"/>
    </row>
    <row r="62817" spans="7:7" ht="10.5" customHeight="1" x14ac:dyDescent="0.2">
      <c r="G62817" s="889"/>
    </row>
    <row r="62818" spans="7:7" ht="10.5" customHeight="1" x14ac:dyDescent="0.2">
      <c r="G62818" s="889"/>
    </row>
    <row r="62819" spans="7:7" ht="10.5" customHeight="1" x14ac:dyDescent="0.2">
      <c r="G62819" s="889"/>
    </row>
    <row r="62820" spans="7:7" ht="10.5" customHeight="1" x14ac:dyDescent="0.2">
      <c r="G62820" s="889"/>
    </row>
    <row r="62821" spans="7:7" ht="10.5" customHeight="1" x14ac:dyDescent="0.2">
      <c r="G62821" s="889"/>
    </row>
    <row r="62822" spans="7:7" ht="10.5" customHeight="1" x14ac:dyDescent="0.2">
      <c r="G62822" s="889"/>
    </row>
    <row r="62823" spans="7:7" ht="10.5" customHeight="1" x14ac:dyDescent="0.2">
      <c r="G62823" s="889"/>
    </row>
    <row r="62824" spans="7:7" ht="10.5" customHeight="1" x14ac:dyDescent="0.2">
      <c r="G62824" s="889"/>
    </row>
    <row r="62825" spans="7:7" ht="10.5" customHeight="1" x14ac:dyDescent="0.2">
      <c r="G62825" s="889"/>
    </row>
    <row r="62826" spans="7:7" ht="10.5" customHeight="1" x14ac:dyDescent="0.2">
      <c r="G62826" s="889"/>
    </row>
    <row r="62827" spans="7:7" ht="10.5" customHeight="1" x14ac:dyDescent="0.2">
      <c r="G62827" s="889"/>
    </row>
    <row r="62828" spans="7:7" ht="10.5" customHeight="1" x14ac:dyDescent="0.2">
      <c r="G62828" s="889"/>
    </row>
    <row r="62829" spans="7:7" ht="10.5" customHeight="1" x14ac:dyDescent="0.2">
      <c r="G62829" s="889"/>
    </row>
    <row r="62830" spans="7:7" ht="10.5" customHeight="1" x14ac:dyDescent="0.2">
      <c r="G62830" s="889"/>
    </row>
    <row r="62831" spans="7:7" ht="10.5" customHeight="1" x14ac:dyDescent="0.2">
      <c r="G62831" s="889"/>
    </row>
    <row r="62832" spans="7:7" ht="10.5" customHeight="1" x14ac:dyDescent="0.2">
      <c r="G62832" s="889"/>
    </row>
    <row r="62833" spans="7:7" ht="10.5" customHeight="1" x14ac:dyDescent="0.2">
      <c r="G62833" s="889"/>
    </row>
    <row r="62834" spans="7:7" ht="10.5" customHeight="1" x14ac:dyDescent="0.2">
      <c r="G62834" s="889"/>
    </row>
    <row r="62835" spans="7:7" ht="10.5" customHeight="1" x14ac:dyDescent="0.2">
      <c r="G62835" s="889"/>
    </row>
    <row r="62836" spans="7:7" ht="10.5" customHeight="1" x14ac:dyDescent="0.2">
      <c r="G62836" s="889"/>
    </row>
    <row r="62837" spans="7:7" ht="10.5" customHeight="1" x14ac:dyDescent="0.2">
      <c r="G62837" s="889"/>
    </row>
    <row r="62838" spans="7:7" ht="10.5" customHeight="1" x14ac:dyDescent="0.2">
      <c r="G62838" s="889"/>
    </row>
    <row r="62839" spans="7:7" ht="10.5" customHeight="1" x14ac:dyDescent="0.2">
      <c r="G62839" s="889"/>
    </row>
    <row r="62840" spans="7:7" ht="10.5" customHeight="1" x14ac:dyDescent="0.2">
      <c r="G62840" s="889"/>
    </row>
    <row r="62841" spans="7:7" ht="10.5" customHeight="1" x14ac:dyDescent="0.2">
      <c r="G62841" s="889"/>
    </row>
    <row r="62842" spans="7:7" ht="10.5" customHeight="1" x14ac:dyDescent="0.2">
      <c r="G62842" s="889"/>
    </row>
    <row r="62843" spans="7:7" ht="10.5" customHeight="1" x14ac:dyDescent="0.2">
      <c r="G62843" s="889"/>
    </row>
    <row r="62844" spans="7:7" ht="10.5" customHeight="1" x14ac:dyDescent="0.2">
      <c r="G62844" s="889"/>
    </row>
    <row r="62845" spans="7:7" ht="10.5" customHeight="1" x14ac:dyDescent="0.2">
      <c r="G62845" s="889"/>
    </row>
    <row r="62846" spans="7:7" ht="10.5" customHeight="1" x14ac:dyDescent="0.2">
      <c r="G62846" s="889"/>
    </row>
    <row r="62847" spans="7:7" ht="10.5" customHeight="1" x14ac:dyDescent="0.2">
      <c r="G62847" s="889"/>
    </row>
    <row r="62848" spans="7:7" ht="10.5" customHeight="1" x14ac:dyDescent="0.2">
      <c r="G62848" s="889"/>
    </row>
    <row r="62849" spans="7:7" ht="10.5" customHeight="1" x14ac:dyDescent="0.2">
      <c r="G62849" s="889"/>
    </row>
    <row r="62850" spans="7:7" ht="10.5" customHeight="1" x14ac:dyDescent="0.2">
      <c r="G62850" s="889"/>
    </row>
    <row r="62851" spans="7:7" ht="10.5" customHeight="1" x14ac:dyDescent="0.2">
      <c r="G62851" s="889"/>
    </row>
    <row r="62852" spans="7:7" ht="10.5" customHeight="1" x14ac:dyDescent="0.2">
      <c r="G62852" s="889"/>
    </row>
    <row r="62853" spans="7:7" ht="10.5" customHeight="1" x14ac:dyDescent="0.2">
      <c r="G62853" s="889"/>
    </row>
    <row r="62854" spans="7:7" ht="10.5" customHeight="1" x14ac:dyDescent="0.2">
      <c r="G62854" s="889"/>
    </row>
    <row r="62855" spans="7:7" ht="10.5" customHeight="1" x14ac:dyDescent="0.2">
      <c r="G62855" s="889"/>
    </row>
    <row r="62856" spans="7:7" ht="10.5" customHeight="1" x14ac:dyDescent="0.2">
      <c r="G62856" s="889"/>
    </row>
    <row r="62857" spans="7:7" ht="10.5" customHeight="1" x14ac:dyDescent="0.2">
      <c r="G62857" s="889"/>
    </row>
    <row r="62858" spans="7:7" ht="10.5" customHeight="1" x14ac:dyDescent="0.2">
      <c r="G62858" s="889"/>
    </row>
    <row r="62859" spans="7:7" ht="10.5" customHeight="1" x14ac:dyDescent="0.2">
      <c r="G62859" s="889"/>
    </row>
    <row r="62860" spans="7:7" ht="10.5" customHeight="1" x14ac:dyDescent="0.2">
      <c r="G62860" s="889"/>
    </row>
    <row r="62861" spans="7:7" ht="10.5" customHeight="1" x14ac:dyDescent="0.2">
      <c r="G62861" s="889"/>
    </row>
    <row r="62862" spans="7:7" ht="10.5" customHeight="1" x14ac:dyDescent="0.2">
      <c r="G62862" s="889"/>
    </row>
    <row r="62863" spans="7:7" ht="10.5" customHeight="1" x14ac:dyDescent="0.2">
      <c r="G62863" s="889"/>
    </row>
    <row r="62864" spans="7:7" ht="10.5" customHeight="1" x14ac:dyDescent="0.2">
      <c r="G62864" s="889"/>
    </row>
    <row r="62865" spans="7:7" ht="10.5" customHeight="1" x14ac:dyDescent="0.2">
      <c r="G62865" s="889"/>
    </row>
    <row r="62866" spans="7:7" ht="10.5" customHeight="1" x14ac:dyDescent="0.2">
      <c r="G62866" s="889"/>
    </row>
    <row r="62867" spans="7:7" ht="10.5" customHeight="1" x14ac:dyDescent="0.2">
      <c r="G62867" s="889"/>
    </row>
    <row r="62868" spans="7:7" ht="10.5" customHeight="1" x14ac:dyDescent="0.2">
      <c r="G62868" s="889"/>
    </row>
    <row r="62869" spans="7:7" ht="10.5" customHeight="1" x14ac:dyDescent="0.2">
      <c r="G62869" s="889"/>
    </row>
    <row r="62870" spans="7:7" ht="10.5" customHeight="1" x14ac:dyDescent="0.2">
      <c r="G62870" s="889"/>
    </row>
    <row r="62871" spans="7:7" ht="10.5" customHeight="1" x14ac:dyDescent="0.2">
      <c r="G62871" s="889"/>
    </row>
    <row r="62872" spans="7:7" ht="10.5" customHeight="1" x14ac:dyDescent="0.2">
      <c r="G62872" s="889"/>
    </row>
    <row r="62873" spans="7:7" ht="10.5" customHeight="1" x14ac:dyDescent="0.2">
      <c r="G62873" s="889"/>
    </row>
    <row r="62874" spans="7:7" ht="10.5" customHeight="1" x14ac:dyDescent="0.2">
      <c r="G62874" s="889"/>
    </row>
    <row r="62875" spans="7:7" ht="10.5" customHeight="1" x14ac:dyDescent="0.2">
      <c r="G62875" s="889"/>
    </row>
    <row r="62876" spans="7:7" ht="10.5" customHeight="1" x14ac:dyDescent="0.2">
      <c r="G62876" s="889"/>
    </row>
    <row r="62877" spans="7:7" ht="10.5" customHeight="1" x14ac:dyDescent="0.2">
      <c r="G62877" s="889"/>
    </row>
    <row r="62878" spans="7:7" ht="10.5" customHeight="1" x14ac:dyDescent="0.2">
      <c r="G62878" s="889"/>
    </row>
    <row r="62879" spans="7:7" ht="10.5" customHeight="1" x14ac:dyDescent="0.2">
      <c r="G62879" s="889"/>
    </row>
    <row r="62880" spans="7:7" ht="10.5" customHeight="1" x14ac:dyDescent="0.2">
      <c r="G62880" s="889"/>
    </row>
    <row r="62881" spans="7:7" ht="10.5" customHeight="1" x14ac:dyDescent="0.2">
      <c r="G62881" s="889"/>
    </row>
    <row r="62882" spans="7:7" ht="10.5" customHeight="1" x14ac:dyDescent="0.2">
      <c r="G62882" s="889"/>
    </row>
    <row r="62883" spans="7:7" ht="10.5" customHeight="1" x14ac:dyDescent="0.2">
      <c r="G62883" s="889"/>
    </row>
    <row r="62884" spans="7:7" ht="10.5" customHeight="1" x14ac:dyDescent="0.2">
      <c r="G62884" s="889"/>
    </row>
    <row r="62885" spans="7:7" ht="10.5" customHeight="1" x14ac:dyDescent="0.2">
      <c r="G62885" s="889"/>
    </row>
    <row r="62886" spans="7:7" ht="10.5" customHeight="1" x14ac:dyDescent="0.2">
      <c r="G62886" s="889"/>
    </row>
    <row r="62887" spans="7:7" ht="10.5" customHeight="1" x14ac:dyDescent="0.2">
      <c r="G62887" s="889"/>
    </row>
    <row r="62888" spans="7:7" ht="10.5" customHeight="1" x14ac:dyDescent="0.2">
      <c r="G62888" s="889"/>
    </row>
    <row r="62889" spans="7:7" ht="10.5" customHeight="1" x14ac:dyDescent="0.2">
      <c r="G62889" s="889"/>
    </row>
    <row r="62890" spans="7:7" ht="10.5" customHeight="1" x14ac:dyDescent="0.2">
      <c r="G62890" s="889"/>
    </row>
    <row r="62891" spans="7:7" ht="10.5" customHeight="1" x14ac:dyDescent="0.2">
      <c r="G62891" s="889"/>
    </row>
    <row r="62892" spans="7:7" ht="10.5" customHeight="1" x14ac:dyDescent="0.2">
      <c r="G62892" s="889"/>
    </row>
    <row r="62893" spans="7:7" ht="10.5" customHeight="1" x14ac:dyDescent="0.2">
      <c r="G62893" s="889"/>
    </row>
    <row r="62894" spans="7:7" ht="10.5" customHeight="1" x14ac:dyDescent="0.2">
      <c r="G62894" s="889"/>
    </row>
    <row r="62895" spans="7:7" ht="10.5" customHeight="1" x14ac:dyDescent="0.2">
      <c r="G62895" s="889"/>
    </row>
    <row r="62896" spans="7:7" ht="10.5" customHeight="1" x14ac:dyDescent="0.2">
      <c r="G62896" s="889"/>
    </row>
    <row r="62897" spans="7:7" ht="10.5" customHeight="1" x14ac:dyDescent="0.2">
      <c r="G62897" s="889"/>
    </row>
    <row r="62898" spans="7:7" ht="10.5" customHeight="1" x14ac:dyDescent="0.2">
      <c r="G62898" s="889"/>
    </row>
    <row r="62899" spans="7:7" ht="10.5" customHeight="1" x14ac:dyDescent="0.2">
      <c r="G62899" s="889"/>
    </row>
    <row r="62900" spans="7:7" ht="10.5" customHeight="1" x14ac:dyDescent="0.2">
      <c r="G62900" s="889"/>
    </row>
    <row r="62901" spans="7:7" ht="10.5" customHeight="1" x14ac:dyDescent="0.2">
      <c r="G62901" s="889"/>
    </row>
    <row r="62902" spans="7:7" ht="10.5" customHeight="1" x14ac:dyDescent="0.2">
      <c r="G62902" s="889"/>
    </row>
    <row r="62903" spans="7:7" ht="10.5" customHeight="1" x14ac:dyDescent="0.2">
      <c r="G62903" s="889"/>
    </row>
    <row r="62904" spans="7:7" ht="10.5" customHeight="1" x14ac:dyDescent="0.2">
      <c r="G62904" s="889"/>
    </row>
    <row r="62905" spans="7:7" ht="10.5" customHeight="1" x14ac:dyDescent="0.2">
      <c r="G62905" s="889"/>
    </row>
    <row r="62906" spans="7:7" ht="10.5" customHeight="1" x14ac:dyDescent="0.2">
      <c r="G62906" s="889"/>
    </row>
    <row r="62907" spans="7:7" ht="10.5" customHeight="1" x14ac:dyDescent="0.2">
      <c r="G62907" s="889"/>
    </row>
    <row r="62908" spans="7:7" ht="10.5" customHeight="1" x14ac:dyDescent="0.2">
      <c r="G62908" s="889"/>
    </row>
    <row r="62909" spans="7:7" ht="10.5" customHeight="1" x14ac:dyDescent="0.2">
      <c r="G62909" s="889"/>
    </row>
    <row r="62910" spans="7:7" ht="10.5" customHeight="1" x14ac:dyDescent="0.2">
      <c r="G62910" s="889"/>
    </row>
    <row r="62911" spans="7:7" ht="10.5" customHeight="1" x14ac:dyDescent="0.2">
      <c r="G62911" s="889"/>
    </row>
    <row r="62912" spans="7:7" ht="10.5" customHeight="1" x14ac:dyDescent="0.2">
      <c r="G62912" s="889"/>
    </row>
    <row r="62913" spans="7:7" ht="10.5" customHeight="1" x14ac:dyDescent="0.2">
      <c r="G62913" s="889"/>
    </row>
    <row r="62914" spans="7:7" ht="10.5" customHeight="1" x14ac:dyDescent="0.2">
      <c r="G62914" s="889"/>
    </row>
    <row r="62915" spans="7:7" ht="10.5" customHeight="1" x14ac:dyDescent="0.2">
      <c r="G62915" s="889"/>
    </row>
    <row r="62916" spans="7:7" ht="10.5" customHeight="1" x14ac:dyDescent="0.2">
      <c r="G62916" s="889"/>
    </row>
    <row r="62917" spans="7:7" ht="10.5" customHeight="1" x14ac:dyDescent="0.2">
      <c r="G62917" s="889"/>
    </row>
    <row r="62918" spans="7:7" ht="10.5" customHeight="1" x14ac:dyDescent="0.2">
      <c r="G62918" s="889"/>
    </row>
    <row r="62919" spans="7:7" ht="10.5" customHeight="1" x14ac:dyDescent="0.2">
      <c r="G62919" s="889"/>
    </row>
    <row r="62920" spans="7:7" ht="10.5" customHeight="1" x14ac:dyDescent="0.2">
      <c r="G62920" s="889"/>
    </row>
    <row r="62921" spans="7:7" ht="10.5" customHeight="1" x14ac:dyDescent="0.2">
      <c r="G62921" s="889"/>
    </row>
    <row r="62922" spans="7:7" ht="10.5" customHeight="1" x14ac:dyDescent="0.2">
      <c r="G62922" s="889"/>
    </row>
    <row r="62923" spans="7:7" ht="10.5" customHeight="1" x14ac:dyDescent="0.2">
      <c r="G62923" s="889"/>
    </row>
    <row r="62924" spans="7:7" ht="10.5" customHeight="1" x14ac:dyDescent="0.2">
      <c r="G62924" s="889"/>
    </row>
    <row r="62925" spans="7:7" ht="10.5" customHeight="1" x14ac:dyDescent="0.2">
      <c r="G62925" s="889"/>
    </row>
    <row r="62926" spans="7:7" ht="10.5" customHeight="1" x14ac:dyDescent="0.2">
      <c r="G62926" s="889"/>
    </row>
    <row r="62927" spans="7:7" ht="10.5" customHeight="1" x14ac:dyDescent="0.2">
      <c r="G62927" s="889"/>
    </row>
    <row r="62928" spans="7:7" ht="10.5" customHeight="1" x14ac:dyDescent="0.2">
      <c r="G62928" s="889"/>
    </row>
    <row r="62929" spans="7:7" ht="10.5" customHeight="1" x14ac:dyDescent="0.2">
      <c r="G62929" s="889"/>
    </row>
    <row r="62930" spans="7:7" ht="10.5" customHeight="1" x14ac:dyDescent="0.2">
      <c r="G62930" s="889"/>
    </row>
    <row r="62931" spans="7:7" ht="10.5" customHeight="1" x14ac:dyDescent="0.2">
      <c r="G62931" s="889"/>
    </row>
    <row r="62932" spans="7:7" ht="10.5" customHeight="1" x14ac:dyDescent="0.2">
      <c r="G62932" s="889"/>
    </row>
    <row r="62933" spans="7:7" ht="10.5" customHeight="1" x14ac:dyDescent="0.2">
      <c r="G62933" s="889"/>
    </row>
    <row r="62934" spans="7:7" ht="10.5" customHeight="1" x14ac:dyDescent="0.2">
      <c r="G62934" s="889"/>
    </row>
    <row r="62935" spans="7:7" ht="10.5" customHeight="1" x14ac:dyDescent="0.2">
      <c r="G62935" s="889"/>
    </row>
    <row r="62936" spans="7:7" ht="10.5" customHeight="1" x14ac:dyDescent="0.2">
      <c r="G62936" s="889"/>
    </row>
    <row r="62937" spans="7:7" ht="10.5" customHeight="1" x14ac:dyDescent="0.2">
      <c r="G62937" s="889"/>
    </row>
    <row r="62938" spans="7:7" ht="10.5" customHeight="1" x14ac:dyDescent="0.2">
      <c r="G62938" s="889"/>
    </row>
    <row r="62939" spans="7:7" ht="10.5" customHeight="1" x14ac:dyDescent="0.2">
      <c r="G62939" s="889"/>
    </row>
    <row r="62940" spans="7:7" ht="10.5" customHeight="1" x14ac:dyDescent="0.2">
      <c r="G62940" s="889"/>
    </row>
    <row r="62941" spans="7:7" ht="10.5" customHeight="1" x14ac:dyDescent="0.2">
      <c r="G62941" s="889"/>
    </row>
    <row r="62942" spans="7:7" ht="10.5" customHeight="1" x14ac:dyDescent="0.2">
      <c r="G62942" s="889"/>
    </row>
    <row r="62943" spans="7:7" ht="10.5" customHeight="1" x14ac:dyDescent="0.2">
      <c r="G62943" s="889"/>
    </row>
    <row r="62944" spans="7:7" ht="10.5" customHeight="1" x14ac:dyDescent="0.2">
      <c r="G62944" s="889"/>
    </row>
    <row r="62945" spans="7:7" ht="10.5" customHeight="1" x14ac:dyDescent="0.2">
      <c r="G62945" s="889"/>
    </row>
    <row r="62946" spans="7:7" ht="10.5" customHeight="1" x14ac:dyDescent="0.2">
      <c r="G62946" s="889"/>
    </row>
    <row r="62947" spans="7:7" ht="10.5" customHeight="1" x14ac:dyDescent="0.2">
      <c r="G62947" s="889"/>
    </row>
    <row r="62948" spans="7:7" ht="10.5" customHeight="1" x14ac:dyDescent="0.2">
      <c r="G62948" s="889"/>
    </row>
    <row r="62949" spans="7:7" ht="10.5" customHeight="1" x14ac:dyDescent="0.2">
      <c r="G62949" s="889"/>
    </row>
    <row r="62950" spans="7:7" ht="10.5" customHeight="1" x14ac:dyDescent="0.2">
      <c r="G62950" s="889"/>
    </row>
    <row r="62951" spans="7:7" ht="10.5" customHeight="1" x14ac:dyDescent="0.2">
      <c r="G62951" s="889"/>
    </row>
    <row r="62952" spans="7:7" ht="10.5" customHeight="1" x14ac:dyDescent="0.2">
      <c r="G62952" s="889"/>
    </row>
    <row r="62953" spans="7:7" ht="10.5" customHeight="1" x14ac:dyDescent="0.2">
      <c r="G62953" s="889"/>
    </row>
    <row r="62954" spans="7:7" ht="10.5" customHeight="1" x14ac:dyDescent="0.2">
      <c r="G62954" s="889"/>
    </row>
    <row r="62955" spans="7:7" ht="10.5" customHeight="1" x14ac:dyDescent="0.2">
      <c r="G62955" s="889"/>
    </row>
    <row r="62956" spans="7:7" ht="10.5" customHeight="1" x14ac:dyDescent="0.2">
      <c r="G62956" s="889"/>
    </row>
    <row r="62957" spans="7:7" ht="10.5" customHeight="1" x14ac:dyDescent="0.2">
      <c r="G62957" s="889"/>
    </row>
    <row r="62958" spans="7:7" ht="10.5" customHeight="1" x14ac:dyDescent="0.2">
      <c r="G62958" s="889"/>
    </row>
    <row r="62959" spans="7:7" ht="10.5" customHeight="1" x14ac:dyDescent="0.2">
      <c r="G62959" s="889"/>
    </row>
    <row r="62960" spans="7:7" ht="10.5" customHeight="1" x14ac:dyDescent="0.2">
      <c r="G62960" s="889"/>
    </row>
    <row r="62961" spans="7:7" ht="10.5" customHeight="1" x14ac:dyDescent="0.2">
      <c r="G62961" s="889"/>
    </row>
    <row r="62962" spans="7:7" ht="10.5" customHeight="1" x14ac:dyDescent="0.2">
      <c r="G62962" s="889"/>
    </row>
    <row r="62963" spans="7:7" ht="10.5" customHeight="1" x14ac:dyDescent="0.2">
      <c r="G62963" s="889"/>
    </row>
    <row r="62964" spans="7:7" ht="10.5" customHeight="1" x14ac:dyDescent="0.2">
      <c r="G62964" s="889"/>
    </row>
    <row r="62965" spans="7:7" ht="10.5" customHeight="1" x14ac:dyDescent="0.2">
      <c r="G62965" s="889"/>
    </row>
    <row r="62966" spans="7:7" ht="10.5" customHeight="1" x14ac:dyDescent="0.2">
      <c r="G62966" s="889"/>
    </row>
    <row r="62967" spans="7:7" ht="10.5" customHeight="1" x14ac:dyDescent="0.2">
      <c r="G62967" s="889"/>
    </row>
    <row r="62968" spans="7:7" ht="10.5" customHeight="1" x14ac:dyDescent="0.2">
      <c r="G62968" s="889"/>
    </row>
    <row r="62969" spans="7:7" ht="10.5" customHeight="1" x14ac:dyDescent="0.2">
      <c r="G62969" s="889"/>
    </row>
    <row r="62970" spans="7:7" ht="10.5" customHeight="1" x14ac:dyDescent="0.2">
      <c r="G62970" s="889"/>
    </row>
    <row r="62971" spans="7:7" ht="10.5" customHeight="1" x14ac:dyDescent="0.2">
      <c r="G62971" s="889"/>
    </row>
    <row r="62972" spans="7:7" ht="10.5" customHeight="1" x14ac:dyDescent="0.2">
      <c r="G62972" s="889"/>
    </row>
    <row r="62973" spans="7:7" ht="10.5" customHeight="1" x14ac:dyDescent="0.2">
      <c r="G62973" s="889"/>
    </row>
    <row r="62974" spans="7:7" ht="10.5" customHeight="1" x14ac:dyDescent="0.2">
      <c r="G62974" s="889"/>
    </row>
    <row r="62975" spans="7:7" ht="10.5" customHeight="1" x14ac:dyDescent="0.2">
      <c r="G62975" s="889"/>
    </row>
    <row r="62976" spans="7:7" ht="10.5" customHeight="1" x14ac:dyDescent="0.2">
      <c r="G62976" s="889"/>
    </row>
    <row r="62977" spans="7:7" ht="10.5" customHeight="1" x14ac:dyDescent="0.2">
      <c r="G62977" s="889"/>
    </row>
    <row r="62978" spans="7:7" ht="10.5" customHeight="1" x14ac:dyDescent="0.2">
      <c r="G62978" s="889"/>
    </row>
    <row r="62979" spans="7:7" ht="10.5" customHeight="1" x14ac:dyDescent="0.2">
      <c r="G62979" s="889"/>
    </row>
    <row r="62980" spans="7:7" ht="10.5" customHeight="1" x14ac:dyDescent="0.2">
      <c r="G62980" s="889"/>
    </row>
    <row r="62981" spans="7:7" ht="10.5" customHeight="1" x14ac:dyDescent="0.2">
      <c r="G62981" s="889"/>
    </row>
    <row r="62982" spans="7:7" ht="10.5" customHeight="1" x14ac:dyDescent="0.2">
      <c r="G62982" s="889"/>
    </row>
    <row r="62983" spans="7:7" ht="10.5" customHeight="1" x14ac:dyDescent="0.2">
      <c r="G62983" s="889"/>
    </row>
    <row r="62984" spans="7:7" ht="10.5" customHeight="1" x14ac:dyDescent="0.2">
      <c r="G62984" s="889"/>
    </row>
    <row r="62985" spans="7:7" ht="10.5" customHeight="1" x14ac:dyDescent="0.2">
      <c r="G62985" s="889"/>
    </row>
    <row r="62986" spans="7:7" ht="10.5" customHeight="1" x14ac:dyDescent="0.2">
      <c r="G62986" s="889"/>
    </row>
    <row r="62987" spans="7:7" ht="10.5" customHeight="1" x14ac:dyDescent="0.2">
      <c r="G62987" s="889"/>
    </row>
    <row r="62988" spans="7:7" ht="10.5" customHeight="1" x14ac:dyDescent="0.2">
      <c r="G62988" s="889"/>
    </row>
    <row r="62989" spans="7:7" ht="10.5" customHeight="1" x14ac:dyDescent="0.2">
      <c r="G62989" s="889"/>
    </row>
    <row r="62990" spans="7:7" ht="10.5" customHeight="1" x14ac:dyDescent="0.2">
      <c r="G62990" s="889"/>
    </row>
    <row r="62991" spans="7:7" ht="10.5" customHeight="1" x14ac:dyDescent="0.2">
      <c r="G62991" s="889"/>
    </row>
    <row r="62992" spans="7:7" ht="10.5" customHeight="1" x14ac:dyDescent="0.2">
      <c r="G62992" s="889"/>
    </row>
    <row r="62993" spans="7:7" ht="10.5" customHeight="1" x14ac:dyDescent="0.2">
      <c r="G62993" s="889"/>
    </row>
    <row r="62994" spans="7:7" ht="10.5" customHeight="1" x14ac:dyDescent="0.2">
      <c r="G62994" s="889"/>
    </row>
    <row r="62995" spans="7:7" ht="10.5" customHeight="1" x14ac:dyDescent="0.2">
      <c r="G62995" s="889"/>
    </row>
    <row r="62996" spans="7:7" ht="10.5" customHeight="1" x14ac:dyDescent="0.2">
      <c r="G62996" s="889"/>
    </row>
    <row r="62997" spans="7:7" ht="10.5" customHeight="1" x14ac:dyDescent="0.2">
      <c r="G62997" s="889"/>
    </row>
    <row r="62998" spans="7:7" ht="10.5" customHeight="1" x14ac:dyDescent="0.2">
      <c r="G62998" s="889"/>
    </row>
    <row r="62999" spans="7:7" ht="10.5" customHeight="1" x14ac:dyDescent="0.2">
      <c r="G62999" s="889"/>
    </row>
    <row r="63000" spans="7:7" ht="10.5" customHeight="1" x14ac:dyDescent="0.2">
      <c r="G63000" s="889"/>
    </row>
    <row r="63001" spans="7:7" ht="10.5" customHeight="1" x14ac:dyDescent="0.2">
      <c r="G63001" s="889"/>
    </row>
    <row r="63002" spans="7:7" ht="10.5" customHeight="1" x14ac:dyDescent="0.2">
      <c r="G63002" s="889"/>
    </row>
    <row r="63003" spans="7:7" ht="10.5" customHeight="1" x14ac:dyDescent="0.2">
      <c r="G63003" s="889"/>
    </row>
    <row r="63004" spans="7:7" ht="10.5" customHeight="1" x14ac:dyDescent="0.2">
      <c r="G63004" s="889"/>
    </row>
    <row r="63005" spans="7:7" ht="10.5" customHeight="1" x14ac:dyDescent="0.2">
      <c r="G63005" s="889"/>
    </row>
    <row r="63006" spans="7:7" ht="10.5" customHeight="1" x14ac:dyDescent="0.2">
      <c r="G63006" s="889"/>
    </row>
    <row r="63007" spans="7:7" ht="10.5" customHeight="1" x14ac:dyDescent="0.2">
      <c r="G63007" s="889"/>
    </row>
    <row r="63008" spans="7:7" ht="10.5" customHeight="1" x14ac:dyDescent="0.2">
      <c r="G63008" s="889"/>
    </row>
    <row r="63009" spans="7:7" ht="10.5" customHeight="1" x14ac:dyDescent="0.2">
      <c r="G63009" s="889"/>
    </row>
    <row r="63010" spans="7:7" ht="10.5" customHeight="1" x14ac:dyDescent="0.2">
      <c r="G63010" s="889"/>
    </row>
    <row r="63011" spans="7:7" ht="10.5" customHeight="1" x14ac:dyDescent="0.2">
      <c r="G63011" s="889"/>
    </row>
    <row r="63012" spans="7:7" ht="10.5" customHeight="1" x14ac:dyDescent="0.2">
      <c r="G63012" s="889"/>
    </row>
    <row r="63013" spans="7:7" ht="10.5" customHeight="1" x14ac:dyDescent="0.2">
      <c r="G63013" s="889"/>
    </row>
    <row r="63014" spans="7:7" ht="10.5" customHeight="1" x14ac:dyDescent="0.2">
      <c r="G63014" s="889"/>
    </row>
    <row r="63015" spans="7:7" ht="10.5" customHeight="1" x14ac:dyDescent="0.2">
      <c r="G63015" s="889"/>
    </row>
    <row r="63016" spans="7:7" ht="10.5" customHeight="1" x14ac:dyDescent="0.2">
      <c r="G63016" s="889"/>
    </row>
    <row r="63017" spans="7:7" ht="10.5" customHeight="1" x14ac:dyDescent="0.2">
      <c r="G63017" s="889"/>
    </row>
    <row r="63018" spans="7:7" ht="10.5" customHeight="1" x14ac:dyDescent="0.2">
      <c r="G63018" s="889"/>
    </row>
    <row r="63019" spans="7:7" ht="10.5" customHeight="1" x14ac:dyDescent="0.2">
      <c r="G63019" s="889"/>
    </row>
    <row r="63020" spans="7:7" ht="10.5" customHeight="1" x14ac:dyDescent="0.2">
      <c r="G63020" s="889"/>
    </row>
    <row r="63021" spans="7:7" ht="10.5" customHeight="1" x14ac:dyDescent="0.2">
      <c r="G63021" s="889"/>
    </row>
    <row r="63022" spans="7:7" ht="10.5" customHeight="1" x14ac:dyDescent="0.2">
      <c r="G63022" s="889"/>
    </row>
    <row r="63023" spans="7:7" ht="10.5" customHeight="1" x14ac:dyDescent="0.2">
      <c r="G63023" s="889"/>
    </row>
    <row r="63024" spans="7:7" ht="10.5" customHeight="1" x14ac:dyDescent="0.2">
      <c r="G63024" s="889"/>
    </row>
    <row r="63025" spans="7:7" ht="10.5" customHeight="1" x14ac:dyDescent="0.2">
      <c r="G63025" s="889"/>
    </row>
    <row r="63026" spans="7:7" ht="10.5" customHeight="1" x14ac:dyDescent="0.2">
      <c r="G63026" s="889"/>
    </row>
    <row r="63027" spans="7:7" ht="10.5" customHeight="1" x14ac:dyDescent="0.2">
      <c r="G63027" s="889"/>
    </row>
    <row r="63028" spans="7:7" ht="10.5" customHeight="1" x14ac:dyDescent="0.2">
      <c r="G63028" s="889"/>
    </row>
    <row r="63029" spans="7:7" ht="10.5" customHeight="1" x14ac:dyDescent="0.2">
      <c r="G63029" s="889"/>
    </row>
    <row r="63030" spans="7:7" ht="10.5" customHeight="1" x14ac:dyDescent="0.2">
      <c r="G63030" s="889"/>
    </row>
    <row r="63031" spans="7:7" ht="10.5" customHeight="1" x14ac:dyDescent="0.2">
      <c r="G63031" s="889"/>
    </row>
    <row r="63032" spans="7:7" ht="10.5" customHeight="1" x14ac:dyDescent="0.2">
      <c r="G63032" s="889"/>
    </row>
    <row r="63033" spans="7:7" ht="10.5" customHeight="1" x14ac:dyDescent="0.2">
      <c r="G63033" s="889"/>
    </row>
    <row r="63034" spans="7:7" ht="10.5" customHeight="1" x14ac:dyDescent="0.2">
      <c r="G63034" s="889"/>
    </row>
    <row r="63035" spans="7:7" ht="10.5" customHeight="1" x14ac:dyDescent="0.2">
      <c r="G63035" s="889"/>
    </row>
    <row r="63036" spans="7:7" ht="10.5" customHeight="1" x14ac:dyDescent="0.2">
      <c r="G63036" s="889"/>
    </row>
    <row r="63037" spans="7:7" ht="10.5" customHeight="1" x14ac:dyDescent="0.2">
      <c r="G63037" s="889"/>
    </row>
    <row r="63038" spans="7:7" ht="10.5" customHeight="1" x14ac:dyDescent="0.2">
      <c r="G63038" s="889"/>
    </row>
    <row r="63039" spans="7:7" ht="10.5" customHeight="1" x14ac:dyDescent="0.2">
      <c r="G63039" s="889"/>
    </row>
    <row r="63040" spans="7:7" ht="10.5" customHeight="1" x14ac:dyDescent="0.2">
      <c r="G63040" s="889"/>
    </row>
    <row r="63041" spans="7:7" ht="10.5" customHeight="1" x14ac:dyDescent="0.2">
      <c r="G63041" s="889"/>
    </row>
    <row r="63042" spans="7:7" ht="10.5" customHeight="1" x14ac:dyDescent="0.2">
      <c r="G63042" s="889"/>
    </row>
    <row r="63043" spans="7:7" ht="10.5" customHeight="1" x14ac:dyDescent="0.2">
      <c r="G63043" s="889"/>
    </row>
    <row r="63044" spans="7:7" ht="10.5" customHeight="1" x14ac:dyDescent="0.2">
      <c r="G63044" s="889"/>
    </row>
    <row r="63045" spans="7:7" ht="10.5" customHeight="1" x14ac:dyDescent="0.2">
      <c r="G63045" s="889"/>
    </row>
    <row r="63046" spans="7:7" ht="10.5" customHeight="1" x14ac:dyDescent="0.2">
      <c r="G63046" s="889"/>
    </row>
    <row r="63047" spans="7:7" ht="10.5" customHeight="1" x14ac:dyDescent="0.2">
      <c r="G63047" s="889"/>
    </row>
    <row r="63048" spans="7:7" ht="10.5" customHeight="1" x14ac:dyDescent="0.2">
      <c r="G63048" s="889"/>
    </row>
    <row r="63049" spans="7:7" ht="10.5" customHeight="1" x14ac:dyDescent="0.2">
      <c r="G63049" s="889"/>
    </row>
    <row r="63050" spans="7:7" ht="10.5" customHeight="1" x14ac:dyDescent="0.2">
      <c r="G63050" s="889"/>
    </row>
    <row r="63051" spans="7:7" ht="10.5" customHeight="1" x14ac:dyDescent="0.2">
      <c r="G63051" s="889"/>
    </row>
    <row r="63052" spans="7:7" ht="10.5" customHeight="1" x14ac:dyDescent="0.2">
      <c r="G63052" s="889"/>
    </row>
    <row r="63053" spans="7:7" ht="10.5" customHeight="1" x14ac:dyDescent="0.2">
      <c r="G63053" s="889"/>
    </row>
    <row r="63054" spans="7:7" ht="10.5" customHeight="1" x14ac:dyDescent="0.2">
      <c r="G63054" s="889"/>
    </row>
    <row r="63055" spans="7:7" ht="10.5" customHeight="1" x14ac:dyDescent="0.2">
      <c r="G63055" s="889"/>
    </row>
    <row r="63056" spans="7:7" ht="10.5" customHeight="1" x14ac:dyDescent="0.2">
      <c r="G63056" s="889"/>
    </row>
    <row r="63057" spans="7:7" ht="10.5" customHeight="1" x14ac:dyDescent="0.2">
      <c r="G63057" s="889"/>
    </row>
    <row r="63058" spans="7:7" ht="10.5" customHeight="1" x14ac:dyDescent="0.2">
      <c r="G63058" s="889"/>
    </row>
    <row r="63059" spans="7:7" ht="10.5" customHeight="1" x14ac:dyDescent="0.2">
      <c r="G63059" s="889"/>
    </row>
    <row r="63060" spans="7:7" ht="10.5" customHeight="1" x14ac:dyDescent="0.2">
      <c r="G63060" s="889"/>
    </row>
    <row r="63061" spans="7:7" ht="10.5" customHeight="1" x14ac:dyDescent="0.2">
      <c r="G63061" s="889"/>
    </row>
    <row r="63062" spans="7:7" ht="10.5" customHeight="1" x14ac:dyDescent="0.2">
      <c r="G63062" s="889"/>
    </row>
    <row r="63063" spans="7:7" ht="10.5" customHeight="1" x14ac:dyDescent="0.2">
      <c r="G63063" s="889"/>
    </row>
    <row r="63064" spans="7:7" ht="10.5" customHeight="1" x14ac:dyDescent="0.2">
      <c r="G63064" s="889"/>
    </row>
    <row r="63065" spans="7:7" ht="10.5" customHeight="1" x14ac:dyDescent="0.2">
      <c r="G63065" s="889"/>
    </row>
    <row r="63066" spans="7:7" ht="10.5" customHeight="1" x14ac:dyDescent="0.2">
      <c r="G63066" s="889"/>
    </row>
    <row r="63067" spans="7:7" ht="10.5" customHeight="1" x14ac:dyDescent="0.2">
      <c r="G63067" s="889"/>
    </row>
    <row r="63068" spans="7:7" ht="10.5" customHeight="1" x14ac:dyDescent="0.2">
      <c r="G63068" s="889"/>
    </row>
    <row r="63069" spans="7:7" ht="10.5" customHeight="1" x14ac:dyDescent="0.2">
      <c r="G63069" s="889"/>
    </row>
    <row r="63070" spans="7:7" ht="10.5" customHeight="1" x14ac:dyDescent="0.2">
      <c r="G63070" s="889"/>
    </row>
    <row r="63071" spans="7:7" ht="10.5" customHeight="1" x14ac:dyDescent="0.2">
      <c r="G63071" s="889"/>
    </row>
    <row r="63072" spans="7:7" ht="10.5" customHeight="1" x14ac:dyDescent="0.2">
      <c r="G63072" s="889"/>
    </row>
    <row r="63073" spans="7:7" ht="10.5" customHeight="1" x14ac:dyDescent="0.2">
      <c r="G63073" s="889"/>
    </row>
    <row r="63074" spans="7:7" ht="10.5" customHeight="1" x14ac:dyDescent="0.2">
      <c r="G63074" s="889"/>
    </row>
    <row r="63075" spans="7:7" ht="10.5" customHeight="1" x14ac:dyDescent="0.2">
      <c r="G63075" s="889"/>
    </row>
    <row r="63076" spans="7:7" ht="10.5" customHeight="1" x14ac:dyDescent="0.2">
      <c r="G63076" s="889"/>
    </row>
    <row r="63077" spans="7:7" ht="10.5" customHeight="1" x14ac:dyDescent="0.2">
      <c r="G63077" s="889"/>
    </row>
    <row r="63078" spans="7:7" ht="10.5" customHeight="1" x14ac:dyDescent="0.2">
      <c r="G63078" s="889"/>
    </row>
    <row r="63079" spans="7:7" ht="10.5" customHeight="1" x14ac:dyDescent="0.2">
      <c r="G63079" s="889"/>
    </row>
    <row r="63080" spans="7:7" ht="10.5" customHeight="1" x14ac:dyDescent="0.2">
      <c r="G63080" s="889"/>
    </row>
    <row r="63081" spans="7:7" ht="10.5" customHeight="1" x14ac:dyDescent="0.2">
      <c r="G63081" s="889"/>
    </row>
    <row r="63082" spans="7:7" ht="10.5" customHeight="1" x14ac:dyDescent="0.2">
      <c r="G63082" s="889"/>
    </row>
    <row r="63083" spans="7:7" ht="10.5" customHeight="1" x14ac:dyDescent="0.2">
      <c r="G63083" s="889"/>
    </row>
    <row r="63084" spans="7:7" ht="10.5" customHeight="1" x14ac:dyDescent="0.2">
      <c r="G63084" s="889"/>
    </row>
    <row r="63085" spans="7:7" ht="10.5" customHeight="1" x14ac:dyDescent="0.2">
      <c r="G63085" s="889"/>
    </row>
    <row r="63086" spans="7:7" ht="10.5" customHeight="1" x14ac:dyDescent="0.2">
      <c r="G63086" s="889"/>
    </row>
    <row r="63087" spans="7:7" ht="10.5" customHeight="1" x14ac:dyDescent="0.2">
      <c r="G63087" s="889"/>
    </row>
    <row r="63088" spans="7:7" ht="10.5" customHeight="1" x14ac:dyDescent="0.2">
      <c r="G63088" s="889"/>
    </row>
    <row r="63089" spans="7:7" ht="10.5" customHeight="1" x14ac:dyDescent="0.2">
      <c r="G63089" s="889"/>
    </row>
    <row r="63090" spans="7:7" ht="10.5" customHeight="1" x14ac:dyDescent="0.2">
      <c r="G63090" s="889"/>
    </row>
    <row r="63091" spans="7:7" ht="10.5" customHeight="1" x14ac:dyDescent="0.2">
      <c r="G63091" s="889"/>
    </row>
    <row r="63092" spans="7:7" ht="10.5" customHeight="1" x14ac:dyDescent="0.2">
      <c r="G63092" s="889"/>
    </row>
    <row r="63093" spans="7:7" ht="10.5" customHeight="1" x14ac:dyDescent="0.2">
      <c r="G63093" s="889"/>
    </row>
    <row r="63094" spans="7:7" ht="10.5" customHeight="1" x14ac:dyDescent="0.2">
      <c r="G63094" s="889"/>
    </row>
    <row r="63095" spans="7:7" ht="10.5" customHeight="1" x14ac:dyDescent="0.2">
      <c r="G63095" s="889"/>
    </row>
    <row r="63096" spans="7:7" ht="10.5" customHeight="1" x14ac:dyDescent="0.2">
      <c r="G63096" s="889"/>
    </row>
    <row r="63097" spans="7:7" ht="10.5" customHeight="1" x14ac:dyDescent="0.2">
      <c r="G63097" s="889"/>
    </row>
    <row r="63098" spans="7:7" ht="10.5" customHeight="1" x14ac:dyDescent="0.2">
      <c r="G63098" s="889"/>
    </row>
    <row r="63099" spans="7:7" ht="10.5" customHeight="1" x14ac:dyDescent="0.2">
      <c r="G63099" s="889"/>
    </row>
    <row r="63100" spans="7:7" ht="10.5" customHeight="1" x14ac:dyDescent="0.2">
      <c r="G63100" s="889"/>
    </row>
    <row r="63101" spans="7:7" ht="10.5" customHeight="1" x14ac:dyDescent="0.2">
      <c r="G63101" s="889"/>
    </row>
    <row r="63102" spans="7:7" ht="10.5" customHeight="1" x14ac:dyDescent="0.2">
      <c r="G63102" s="889"/>
    </row>
    <row r="63103" spans="7:7" ht="10.5" customHeight="1" x14ac:dyDescent="0.2">
      <c r="G63103" s="889"/>
    </row>
    <row r="63104" spans="7:7" ht="10.5" customHeight="1" x14ac:dyDescent="0.2">
      <c r="G63104" s="889"/>
    </row>
    <row r="63105" spans="7:7" ht="10.5" customHeight="1" x14ac:dyDescent="0.2">
      <c r="G63105" s="889"/>
    </row>
    <row r="63106" spans="7:7" ht="10.5" customHeight="1" x14ac:dyDescent="0.2">
      <c r="G63106" s="889"/>
    </row>
    <row r="63107" spans="7:7" ht="10.5" customHeight="1" x14ac:dyDescent="0.2">
      <c r="G63107" s="889"/>
    </row>
    <row r="63108" spans="7:7" ht="10.5" customHeight="1" x14ac:dyDescent="0.2">
      <c r="G63108" s="889"/>
    </row>
    <row r="63109" spans="7:7" ht="10.5" customHeight="1" x14ac:dyDescent="0.2">
      <c r="G63109" s="889"/>
    </row>
    <row r="63110" spans="7:7" ht="10.5" customHeight="1" x14ac:dyDescent="0.2">
      <c r="G63110" s="889"/>
    </row>
    <row r="63111" spans="7:7" ht="10.5" customHeight="1" x14ac:dyDescent="0.2">
      <c r="G63111" s="889"/>
    </row>
    <row r="63112" spans="7:7" ht="10.5" customHeight="1" x14ac:dyDescent="0.2">
      <c r="G63112" s="889"/>
    </row>
    <row r="63113" spans="7:7" ht="10.5" customHeight="1" x14ac:dyDescent="0.2">
      <c r="G63113" s="889"/>
    </row>
    <row r="63114" spans="7:7" ht="10.5" customHeight="1" x14ac:dyDescent="0.2">
      <c r="G63114" s="889"/>
    </row>
    <row r="63115" spans="7:7" ht="10.5" customHeight="1" x14ac:dyDescent="0.2">
      <c r="G63115" s="889"/>
    </row>
    <row r="63116" spans="7:7" ht="10.5" customHeight="1" x14ac:dyDescent="0.2">
      <c r="G63116" s="889"/>
    </row>
    <row r="63117" spans="7:7" ht="10.5" customHeight="1" x14ac:dyDescent="0.2">
      <c r="G63117" s="889"/>
    </row>
    <row r="63118" spans="7:7" ht="10.5" customHeight="1" x14ac:dyDescent="0.2">
      <c r="G63118" s="889"/>
    </row>
    <row r="63119" spans="7:7" ht="10.5" customHeight="1" x14ac:dyDescent="0.2">
      <c r="G63119" s="889"/>
    </row>
    <row r="63120" spans="7:7" ht="10.5" customHeight="1" x14ac:dyDescent="0.2">
      <c r="G63120" s="889"/>
    </row>
    <row r="63121" spans="7:7" ht="10.5" customHeight="1" x14ac:dyDescent="0.2">
      <c r="G63121" s="889"/>
    </row>
    <row r="63122" spans="7:7" ht="10.5" customHeight="1" x14ac:dyDescent="0.2">
      <c r="G63122" s="889"/>
    </row>
    <row r="63123" spans="7:7" ht="10.5" customHeight="1" x14ac:dyDescent="0.2">
      <c r="G63123" s="889"/>
    </row>
    <row r="63124" spans="7:7" ht="10.5" customHeight="1" x14ac:dyDescent="0.2">
      <c r="G63124" s="889"/>
    </row>
    <row r="63125" spans="7:7" ht="10.5" customHeight="1" x14ac:dyDescent="0.2">
      <c r="G63125" s="889"/>
    </row>
    <row r="63126" spans="7:7" ht="10.5" customHeight="1" x14ac:dyDescent="0.2">
      <c r="G63126" s="889"/>
    </row>
    <row r="63127" spans="7:7" ht="10.5" customHeight="1" x14ac:dyDescent="0.2">
      <c r="G63127" s="889"/>
    </row>
    <row r="63128" spans="7:7" ht="10.5" customHeight="1" x14ac:dyDescent="0.2">
      <c r="G63128" s="889"/>
    </row>
    <row r="63129" spans="7:7" ht="10.5" customHeight="1" x14ac:dyDescent="0.2">
      <c r="G63129" s="889"/>
    </row>
    <row r="63130" spans="7:7" ht="10.5" customHeight="1" x14ac:dyDescent="0.2">
      <c r="G63130" s="889"/>
    </row>
    <row r="63131" spans="7:7" ht="10.5" customHeight="1" x14ac:dyDescent="0.2">
      <c r="G63131" s="889"/>
    </row>
    <row r="63132" spans="7:7" ht="10.5" customHeight="1" x14ac:dyDescent="0.2">
      <c r="G63132" s="889"/>
    </row>
    <row r="63133" spans="7:7" ht="10.5" customHeight="1" x14ac:dyDescent="0.2">
      <c r="G63133" s="889"/>
    </row>
    <row r="63134" spans="7:7" ht="10.5" customHeight="1" x14ac:dyDescent="0.2">
      <c r="G63134" s="889"/>
    </row>
    <row r="63135" spans="7:7" ht="10.5" customHeight="1" x14ac:dyDescent="0.2">
      <c r="G63135" s="889"/>
    </row>
    <row r="63136" spans="7:7" ht="10.5" customHeight="1" x14ac:dyDescent="0.2">
      <c r="G63136" s="889"/>
    </row>
    <row r="63137" spans="7:7" ht="10.5" customHeight="1" x14ac:dyDescent="0.2">
      <c r="G63137" s="889"/>
    </row>
    <row r="63138" spans="7:7" ht="10.5" customHeight="1" x14ac:dyDescent="0.2">
      <c r="G63138" s="889"/>
    </row>
    <row r="63139" spans="7:7" ht="10.5" customHeight="1" x14ac:dyDescent="0.2">
      <c r="G63139" s="889"/>
    </row>
    <row r="63140" spans="7:7" ht="10.5" customHeight="1" x14ac:dyDescent="0.2">
      <c r="G63140" s="889"/>
    </row>
    <row r="63141" spans="7:7" ht="10.5" customHeight="1" x14ac:dyDescent="0.2">
      <c r="G63141" s="889"/>
    </row>
    <row r="63142" spans="7:7" ht="10.5" customHeight="1" x14ac:dyDescent="0.2">
      <c r="G63142" s="889"/>
    </row>
    <row r="63143" spans="7:7" ht="10.5" customHeight="1" x14ac:dyDescent="0.2">
      <c r="G63143" s="889"/>
    </row>
    <row r="63144" spans="7:7" ht="10.5" customHeight="1" x14ac:dyDescent="0.2">
      <c r="G63144" s="889"/>
    </row>
    <row r="63145" spans="7:7" ht="10.5" customHeight="1" x14ac:dyDescent="0.2">
      <c r="G63145" s="889"/>
    </row>
    <row r="63146" spans="7:7" ht="10.5" customHeight="1" x14ac:dyDescent="0.2">
      <c r="G63146" s="889"/>
    </row>
    <row r="63147" spans="7:7" ht="10.5" customHeight="1" x14ac:dyDescent="0.2">
      <c r="G63147" s="889"/>
    </row>
    <row r="63148" spans="7:7" ht="10.5" customHeight="1" x14ac:dyDescent="0.2">
      <c r="G63148" s="889"/>
    </row>
    <row r="63149" spans="7:7" ht="10.5" customHeight="1" x14ac:dyDescent="0.2">
      <c r="G63149" s="889"/>
    </row>
    <row r="63150" spans="7:7" ht="10.5" customHeight="1" x14ac:dyDescent="0.2">
      <c r="G63150" s="889"/>
    </row>
    <row r="63151" spans="7:7" ht="10.5" customHeight="1" x14ac:dyDescent="0.2">
      <c r="G63151" s="889"/>
    </row>
    <row r="63152" spans="7:7" ht="10.5" customHeight="1" x14ac:dyDescent="0.2">
      <c r="G63152" s="889"/>
    </row>
    <row r="63153" spans="7:7" ht="10.5" customHeight="1" x14ac:dyDescent="0.2">
      <c r="G63153" s="889"/>
    </row>
    <row r="63154" spans="7:7" ht="10.5" customHeight="1" x14ac:dyDescent="0.2">
      <c r="G63154" s="889"/>
    </row>
    <row r="63155" spans="7:7" ht="10.5" customHeight="1" x14ac:dyDescent="0.2">
      <c r="G63155" s="889"/>
    </row>
    <row r="63156" spans="7:7" ht="10.5" customHeight="1" x14ac:dyDescent="0.2">
      <c r="G63156" s="889"/>
    </row>
    <row r="63157" spans="7:7" ht="10.5" customHeight="1" x14ac:dyDescent="0.2">
      <c r="G63157" s="889"/>
    </row>
    <row r="63158" spans="7:7" ht="10.5" customHeight="1" x14ac:dyDescent="0.2">
      <c r="G63158" s="889"/>
    </row>
    <row r="63159" spans="7:7" ht="10.5" customHeight="1" x14ac:dyDescent="0.2">
      <c r="G63159" s="889"/>
    </row>
    <row r="63160" spans="7:7" ht="10.5" customHeight="1" x14ac:dyDescent="0.2">
      <c r="G63160" s="889"/>
    </row>
    <row r="63161" spans="7:7" ht="10.5" customHeight="1" x14ac:dyDescent="0.2">
      <c r="G63161" s="889"/>
    </row>
    <row r="63162" spans="7:7" ht="10.5" customHeight="1" x14ac:dyDescent="0.2">
      <c r="G63162" s="889"/>
    </row>
    <row r="63163" spans="7:7" ht="10.5" customHeight="1" x14ac:dyDescent="0.2">
      <c r="G63163" s="889"/>
    </row>
    <row r="63164" spans="7:7" ht="10.5" customHeight="1" x14ac:dyDescent="0.2">
      <c r="G63164" s="889"/>
    </row>
    <row r="63165" spans="7:7" ht="10.5" customHeight="1" x14ac:dyDescent="0.2">
      <c r="G63165" s="889"/>
    </row>
    <row r="63166" spans="7:7" ht="10.5" customHeight="1" x14ac:dyDescent="0.2">
      <c r="G63166" s="889"/>
    </row>
    <row r="63167" spans="7:7" ht="10.5" customHeight="1" x14ac:dyDescent="0.2">
      <c r="G63167" s="889"/>
    </row>
    <row r="63168" spans="7:7" ht="10.5" customHeight="1" x14ac:dyDescent="0.2">
      <c r="G63168" s="889"/>
    </row>
    <row r="63169" spans="7:7" ht="10.5" customHeight="1" x14ac:dyDescent="0.2">
      <c r="G63169" s="889"/>
    </row>
    <row r="63170" spans="7:7" ht="10.5" customHeight="1" x14ac:dyDescent="0.2">
      <c r="G63170" s="889"/>
    </row>
    <row r="63171" spans="7:7" ht="10.5" customHeight="1" x14ac:dyDescent="0.2">
      <c r="G63171" s="889"/>
    </row>
    <row r="63172" spans="7:7" ht="10.5" customHeight="1" x14ac:dyDescent="0.2">
      <c r="G63172" s="889"/>
    </row>
    <row r="63173" spans="7:7" ht="10.5" customHeight="1" x14ac:dyDescent="0.2">
      <c r="G63173" s="889"/>
    </row>
    <row r="63174" spans="7:7" ht="10.5" customHeight="1" x14ac:dyDescent="0.2">
      <c r="G63174" s="889"/>
    </row>
    <row r="63175" spans="7:7" ht="10.5" customHeight="1" x14ac:dyDescent="0.2">
      <c r="G63175" s="889"/>
    </row>
    <row r="63176" spans="7:7" ht="10.5" customHeight="1" x14ac:dyDescent="0.2">
      <c r="G63176" s="889"/>
    </row>
    <row r="63177" spans="7:7" ht="10.5" customHeight="1" x14ac:dyDescent="0.2">
      <c r="G63177" s="889"/>
    </row>
    <row r="63178" spans="7:7" ht="10.5" customHeight="1" x14ac:dyDescent="0.2">
      <c r="G63178" s="889"/>
    </row>
    <row r="63179" spans="7:7" ht="10.5" customHeight="1" x14ac:dyDescent="0.2">
      <c r="G63179" s="889"/>
    </row>
    <row r="63180" spans="7:7" ht="10.5" customHeight="1" x14ac:dyDescent="0.2">
      <c r="G63180" s="889"/>
    </row>
    <row r="63181" spans="7:7" ht="10.5" customHeight="1" x14ac:dyDescent="0.2">
      <c r="G63181" s="889"/>
    </row>
    <row r="63182" spans="7:7" ht="10.5" customHeight="1" x14ac:dyDescent="0.2">
      <c r="G63182" s="889"/>
    </row>
    <row r="63183" spans="7:7" ht="10.5" customHeight="1" x14ac:dyDescent="0.2">
      <c r="G63183" s="889"/>
    </row>
    <row r="63184" spans="7:7" ht="10.5" customHeight="1" x14ac:dyDescent="0.2">
      <c r="G63184" s="889"/>
    </row>
    <row r="63185" spans="7:7" ht="10.5" customHeight="1" x14ac:dyDescent="0.2">
      <c r="G63185" s="889"/>
    </row>
    <row r="63186" spans="7:7" ht="10.5" customHeight="1" x14ac:dyDescent="0.2">
      <c r="G63186" s="889"/>
    </row>
    <row r="63187" spans="7:7" ht="10.5" customHeight="1" x14ac:dyDescent="0.2">
      <c r="G63187" s="889"/>
    </row>
    <row r="63188" spans="7:7" ht="10.5" customHeight="1" x14ac:dyDescent="0.2">
      <c r="G63188" s="889"/>
    </row>
    <row r="63189" spans="7:7" ht="10.5" customHeight="1" x14ac:dyDescent="0.2">
      <c r="G63189" s="889"/>
    </row>
    <row r="63190" spans="7:7" ht="10.5" customHeight="1" x14ac:dyDescent="0.2">
      <c r="G63190" s="889"/>
    </row>
    <row r="63191" spans="7:7" ht="10.5" customHeight="1" x14ac:dyDescent="0.2">
      <c r="G63191" s="889"/>
    </row>
    <row r="63192" spans="7:7" ht="10.5" customHeight="1" x14ac:dyDescent="0.2">
      <c r="G63192" s="889"/>
    </row>
    <row r="63193" spans="7:7" ht="10.5" customHeight="1" x14ac:dyDescent="0.2">
      <c r="G63193" s="889"/>
    </row>
    <row r="63194" spans="7:7" ht="10.5" customHeight="1" x14ac:dyDescent="0.2">
      <c r="G63194" s="889"/>
    </row>
    <row r="63195" spans="7:7" ht="10.5" customHeight="1" x14ac:dyDescent="0.2">
      <c r="G63195" s="889"/>
    </row>
    <row r="63196" spans="7:7" ht="10.5" customHeight="1" x14ac:dyDescent="0.2">
      <c r="G63196" s="889"/>
    </row>
    <row r="63197" spans="7:7" ht="10.5" customHeight="1" x14ac:dyDescent="0.2">
      <c r="G63197" s="889"/>
    </row>
    <row r="63198" spans="7:7" ht="10.5" customHeight="1" x14ac:dyDescent="0.2">
      <c r="G63198" s="889"/>
    </row>
    <row r="63199" spans="7:7" ht="10.5" customHeight="1" x14ac:dyDescent="0.2">
      <c r="G63199" s="889"/>
    </row>
    <row r="63200" spans="7:7" ht="10.5" customHeight="1" x14ac:dyDescent="0.2">
      <c r="G63200" s="889"/>
    </row>
    <row r="63201" spans="7:7" ht="10.5" customHeight="1" x14ac:dyDescent="0.2">
      <c r="G63201" s="889"/>
    </row>
    <row r="63202" spans="7:7" ht="10.5" customHeight="1" x14ac:dyDescent="0.2">
      <c r="G63202" s="889"/>
    </row>
    <row r="63203" spans="7:7" ht="10.5" customHeight="1" x14ac:dyDescent="0.2">
      <c r="G63203" s="889"/>
    </row>
    <row r="63204" spans="7:7" ht="10.5" customHeight="1" x14ac:dyDescent="0.2">
      <c r="G63204" s="889"/>
    </row>
    <row r="63205" spans="7:7" ht="10.5" customHeight="1" x14ac:dyDescent="0.2">
      <c r="G63205" s="889"/>
    </row>
    <row r="63206" spans="7:7" ht="10.5" customHeight="1" x14ac:dyDescent="0.2">
      <c r="G63206" s="889"/>
    </row>
    <row r="63207" spans="7:7" ht="10.5" customHeight="1" x14ac:dyDescent="0.2">
      <c r="G63207" s="889"/>
    </row>
    <row r="63208" spans="7:7" ht="10.5" customHeight="1" x14ac:dyDescent="0.2">
      <c r="G63208" s="889"/>
    </row>
    <row r="63209" spans="7:7" ht="10.5" customHeight="1" x14ac:dyDescent="0.2">
      <c r="G63209" s="889"/>
    </row>
    <row r="63210" spans="7:7" ht="10.5" customHeight="1" x14ac:dyDescent="0.2">
      <c r="G63210" s="889"/>
    </row>
    <row r="63211" spans="7:7" ht="10.5" customHeight="1" x14ac:dyDescent="0.2">
      <c r="G63211" s="889"/>
    </row>
    <row r="63212" spans="7:7" ht="10.5" customHeight="1" x14ac:dyDescent="0.2">
      <c r="G63212" s="889"/>
    </row>
    <row r="63213" spans="7:7" ht="10.5" customHeight="1" x14ac:dyDescent="0.2">
      <c r="G63213" s="889"/>
    </row>
    <row r="63214" spans="7:7" ht="10.5" customHeight="1" x14ac:dyDescent="0.2">
      <c r="G63214" s="889"/>
    </row>
    <row r="63215" spans="7:7" ht="10.5" customHeight="1" x14ac:dyDescent="0.2">
      <c r="G63215" s="889"/>
    </row>
    <row r="63216" spans="7:7" ht="10.5" customHeight="1" x14ac:dyDescent="0.2">
      <c r="G63216" s="889"/>
    </row>
    <row r="63217" spans="7:7" ht="10.5" customHeight="1" x14ac:dyDescent="0.2">
      <c r="G63217" s="889"/>
    </row>
    <row r="63218" spans="7:7" ht="10.5" customHeight="1" x14ac:dyDescent="0.2">
      <c r="G63218" s="889"/>
    </row>
    <row r="63219" spans="7:7" ht="10.5" customHeight="1" x14ac:dyDescent="0.2">
      <c r="G63219" s="889"/>
    </row>
    <row r="63220" spans="7:7" ht="10.5" customHeight="1" x14ac:dyDescent="0.2">
      <c r="G63220" s="889"/>
    </row>
    <row r="63221" spans="7:7" ht="10.5" customHeight="1" x14ac:dyDescent="0.2">
      <c r="G63221" s="889"/>
    </row>
    <row r="63222" spans="7:7" ht="10.5" customHeight="1" x14ac:dyDescent="0.2">
      <c r="G63222" s="889"/>
    </row>
    <row r="63223" spans="7:7" ht="10.5" customHeight="1" x14ac:dyDescent="0.2">
      <c r="G63223" s="889"/>
    </row>
    <row r="63224" spans="7:7" ht="10.5" customHeight="1" x14ac:dyDescent="0.2">
      <c r="G63224" s="889"/>
    </row>
    <row r="63225" spans="7:7" ht="10.5" customHeight="1" x14ac:dyDescent="0.2">
      <c r="G63225" s="889"/>
    </row>
    <row r="63226" spans="7:7" ht="10.5" customHeight="1" x14ac:dyDescent="0.2">
      <c r="G63226" s="889"/>
    </row>
    <row r="63227" spans="7:7" ht="10.5" customHeight="1" x14ac:dyDescent="0.2">
      <c r="G63227" s="889"/>
    </row>
    <row r="63228" spans="7:7" ht="10.5" customHeight="1" x14ac:dyDescent="0.2">
      <c r="G63228" s="889"/>
    </row>
    <row r="63229" spans="7:7" ht="10.5" customHeight="1" x14ac:dyDescent="0.2">
      <c r="G63229" s="889"/>
    </row>
    <row r="63230" spans="7:7" ht="10.5" customHeight="1" x14ac:dyDescent="0.2">
      <c r="G63230" s="889"/>
    </row>
    <row r="63231" spans="7:7" ht="10.5" customHeight="1" x14ac:dyDescent="0.2">
      <c r="G63231" s="889"/>
    </row>
    <row r="63232" spans="7:7" ht="10.5" customHeight="1" x14ac:dyDescent="0.2">
      <c r="G63232" s="889"/>
    </row>
    <row r="63233" spans="7:7" ht="10.5" customHeight="1" x14ac:dyDescent="0.2">
      <c r="G63233" s="889"/>
    </row>
    <row r="63234" spans="7:7" ht="10.5" customHeight="1" x14ac:dyDescent="0.2">
      <c r="G63234" s="889"/>
    </row>
    <row r="63235" spans="7:7" ht="10.5" customHeight="1" x14ac:dyDescent="0.2">
      <c r="G63235" s="889"/>
    </row>
    <row r="63236" spans="7:7" ht="10.5" customHeight="1" x14ac:dyDescent="0.2">
      <c r="G63236" s="889"/>
    </row>
    <row r="63237" spans="7:7" ht="10.5" customHeight="1" x14ac:dyDescent="0.2">
      <c r="G63237" s="889"/>
    </row>
    <row r="63238" spans="7:7" ht="10.5" customHeight="1" x14ac:dyDescent="0.2">
      <c r="G63238" s="889"/>
    </row>
    <row r="63239" spans="7:7" ht="10.5" customHeight="1" x14ac:dyDescent="0.2">
      <c r="G63239" s="889"/>
    </row>
    <row r="63240" spans="7:7" ht="10.5" customHeight="1" x14ac:dyDescent="0.2">
      <c r="G63240" s="889"/>
    </row>
    <row r="63241" spans="7:7" ht="10.5" customHeight="1" x14ac:dyDescent="0.2">
      <c r="G63241" s="889"/>
    </row>
    <row r="63242" spans="7:7" ht="10.5" customHeight="1" x14ac:dyDescent="0.2">
      <c r="G63242" s="889"/>
    </row>
    <row r="63243" spans="7:7" ht="10.5" customHeight="1" x14ac:dyDescent="0.2">
      <c r="G63243" s="889"/>
    </row>
    <row r="63244" spans="7:7" ht="10.5" customHeight="1" x14ac:dyDescent="0.2">
      <c r="G63244" s="889"/>
    </row>
    <row r="63245" spans="7:7" ht="10.5" customHeight="1" x14ac:dyDescent="0.2">
      <c r="G63245" s="889"/>
    </row>
    <row r="63246" spans="7:7" ht="10.5" customHeight="1" x14ac:dyDescent="0.2">
      <c r="G63246" s="889"/>
    </row>
    <row r="63247" spans="7:7" ht="10.5" customHeight="1" x14ac:dyDescent="0.2">
      <c r="G63247" s="889"/>
    </row>
    <row r="63248" spans="7:7" ht="10.5" customHeight="1" x14ac:dyDescent="0.2">
      <c r="G63248" s="889"/>
    </row>
    <row r="63249" spans="7:7" ht="10.5" customHeight="1" x14ac:dyDescent="0.2">
      <c r="G63249" s="889"/>
    </row>
    <row r="63250" spans="7:7" ht="10.5" customHeight="1" x14ac:dyDescent="0.2">
      <c r="G63250" s="889"/>
    </row>
    <row r="63251" spans="7:7" ht="10.5" customHeight="1" x14ac:dyDescent="0.2">
      <c r="G63251" s="889"/>
    </row>
    <row r="63252" spans="7:7" ht="10.5" customHeight="1" x14ac:dyDescent="0.2">
      <c r="G63252" s="889"/>
    </row>
    <row r="63253" spans="7:7" ht="10.5" customHeight="1" x14ac:dyDescent="0.2">
      <c r="G63253" s="889"/>
    </row>
    <row r="63254" spans="7:7" ht="10.5" customHeight="1" x14ac:dyDescent="0.2">
      <c r="G63254" s="889"/>
    </row>
    <row r="63255" spans="7:7" ht="10.5" customHeight="1" x14ac:dyDescent="0.2">
      <c r="G63255" s="889"/>
    </row>
    <row r="63256" spans="7:7" ht="10.5" customHeight="1" x14ac:dyDescent="0.2">
      <c r="G63256" s="889"/>
    </row>
    <row r="63257" spans="7:7" ht="10.5" customHeight="1" x14ac:dyDescent="0.2">
      <c r="G63257" s="889"/>
    </row>
    <row r="63258" spans="7:7" ht="10.5" customHeight="1" x14ac:dyDescent="0.2">
      <c r="G63258" s="889"/>
    </row>
    <row r="63259" spans="7:7" ht="10.5" customHeight="1" x14ac:dyDescent="0.2">
      <c r="G63259" s="889"/>
    </row>
    <row r="63260" spans="7:7" ht="10.5" customHeight="1" x14ac:dyDescent="0.2">
      <c r="G63260" s="889"/>
    </row>
    <row r="63261" spans="7:7" ht="10.5" customHeight="1" x14ac:dyDescent="0.2">
      <c r="G63261" s="889"/>
    </row>
    <row r="63262" spans="7:7" ht="10.5" customHeight="1" x14ac:dyDescent="0.2">
      <c r="G63262" s="889"/>
    </row>
    <row r="63263" spans="7:7" ht="10.5" customHeight="1" x14ac:dyDescent="0.2">
      <c r="G63263" s="889"/>
    </row>
    <row r="63264" spans="7:7" ht="10.5" customHeight="1" x14ac:dyDescent="0.2">
      <c r="G63264" s="889"/>
    </row>
    <row r="63265" spans="7:7" ht="10.5" customHeight="1" x14ac:dyDescent="0.2">
      <c r="G63265" s="889"/>
    </row>
    <row r="63266" spans="7:7" ht="10.5" customHeight="1" x14ac:dyDescent="0.2">
      <c r="G63266" s="889"/>
    </row>
    <row r="63267" spans="7:7" ht="10.5" customHeight="1" x14ac:dyDescent="0.2">
      <c r="G63267" s="889"/>
    </row>
    <row r="63268" spans="7:7" ht="10.5" customHeight="1" x14ac:dyDescent="0.2">
      <c r="G63268" s="889"/>
    </row>
    <row r="63269" spans="7:7" ht="10.5" customHeight="1" x14ac:dyDescent="0.2">
      <c r="G63269" s="889"/>
    </row>
    <row r="63270" spans="7:7" ht="10.5" customHeight="1" x14ac:dyDescent="0.2">
      <c r="G63270" s="889"/>
    </row>
    <row r="63271" spans="7:7" ht="10.5" customHeight="1" x14ac:dyDescent="0.2">
      <c r="G63271" s="889"/>
    </row>
    <row r="63272" spans="7:7" ht="10.5" customHeight="1" x14ac:dyDescent="0.2">
      <c r="G63272" s="889"/>
    </row>
    <row r="63273" spans="7:7" ht="10.5" customHeight="1" x14ac:dyDescent="0.2">
      <c r="G63273" s="889"/>
    </row>
    <row r="63274" spans="7:7" ht="10.5" customHeight="1" x14ac:dyDescent="0.2">
      <c r="G63274" s="889"/>
    </row>
    <row r="63275" spans="7:7" ht="10.5" customHeight="1" x14ac:dyDescent="0.2">
      <c r="G63275" s="889"/>
    </row>
    <row r="63276" spans="7:7" ht="10.5" customHeight="1" x14ac:dyDescent="0.2">
      <c r="G63276" s="889"/>
    </row>
    <row r="63277" spans="7:7" ht="10.5" customHeight="1" x14ac:dyDescent="0.2">
      <c r="G63277" s="889"/>
    </row>
    <row r="63278" spans="7:7" ht="10.5" customHeight="1" x14ac:dyDescent="0.2">
      <c r="G63278" s="889"/>
    </row>
    <row r="63279" spans="7:7" ht="10.5" customHeight="1" x14ac:dyDescent="0.2">
      <c r="G63279" s="889"/>
    </row>
    <row r="63280" spans="7:7" ht="10.5" customHeight="1" x14ac:dyDescent="0.2">
      <c r="G63280" s="889"/>
    </row>
    <row r="63281" spans="7:7" ht="10.5" customHeight="1" x14ac:dyDescent="0.2">
      <c r="G63281" s="889"/>
    </row>
    <row r="63282" spans="7:7" ht="10.5" customHeight="1" x14ac:dyDescent="0.2">
      <c r="G63282" s="889"/>
    </row>
    <row r="63283" spans="7:7" ht="10.5" customHeight="1" x14ac:dyDescent="0.2">
      <c r="G63283" s="889"/>
    </row>
    <row r="63284" spans="7:7" ht="10.5" customHeight="1" x14ac:dyDescent="0.2">
      <c r="G63284" s="889"/>
    </row>
    <row r="63285" spans="7:7" ht="10.5" customHeight="1" x14ac:dyDescent="0.2">
      <c r="G63285" s="889"/>
    </row>
    <row r="63286" spans="7:7" ht="10.5" customHeight="1" x14ac:dyDescent="0.2">
      <c r="G63286" s="889"/>
    </row>
    <row r="63287" spans="7:7" ht="10.5" customHeight="1" x14ac:dyDescent="0.2">
      <c r="G63287" s="889"/>
    </row>
    <row r="63288" spans="7:7" ht="10.5" customHeight="1" x14ac:dyDescent="0.2">
      <c r="G63288" s="889"/>
    </row>
    <row r="63289" spans="7:7" ht="10.5" customHeight="1" x14ac:dyDescent="0.2">
      <c r="G63289" s="889"/>
    </row>
    <row r="63290" spans="7:7" ht="10.5" customHeight="1" x14ac:dyDescent="0.2">
      <c r="G63290" s="889"/>
    </row>
    <row r="63291" spans="7:7" ht="10.5" customHeight="1" x14ac:dyDescent="0.2">
      <c r="G63291" s="889"/>
    </row>
    <row r="63292" spans="7:7" ht="10.5" customHeight="1" x14ac:dyDescent="0.2">
      <c r="G63292" s="889"/>
    </row>
    <row r="63293" spans="7:7" ht="10.5" customHeight="1" x14ac:dyDescent="0.2">
      <c r="G63293" s="889"/>
    </row>
    <row r="63294" spans="7:7" ht="10.5" customHeight="1" x14ac:dyDescent="0.2">
      <c r="G63294" s="889"/>
    </row>
    <row r="63295" spans="7:7" ht="10.5" customHeight="1" x14ac:dyDescent="0.2">
      <c r="G63295" s="889"/>
    </row>
    <row r="63296" spans="7:7" ht="10.5" customHeight="1" x14ac:dyDescent="0.2">
      <c r="G63296" s="889"/>
    </row>
    <row r="63297" spans="7:7" ht="10.5" customHeight="1" x14ac:dyDescent="0.2">
      <c r="G63297" s="889"/>
    </row>
    <row r="63298" spans="7:7" ht="10.5" customHeight="1" x14ac:dyDescent="0.2">
      <c r="G63298" s="889"/>
    </row>
    <row r="63299" spans="7:7" ht="10.5" customHeight="1" x14ac:dyDescent="0.2">
      <c r="G63299" s="889"/>
    </row>
    <row r="63300" spans="7:7" ht="10.5" customHeight="1" x14ac:dyDescent="0.2">
      <c r="G63300" s="889"/>
    </row>
    <row r="63301" spans="7:7" ht="10.5" customHeight="1" x14ac:dyDescent="0.2">
      <c r="G63301" s="889"/>
    </row>
    <row r="63302" spans="7:7" ht="10.5" customHeight="1" x14ac:dyDescent="0.2">
      <c r="G63302" s="889"/>
    </row>
    <row r="63303" spans="7:7" ht="10.5" customHeight="1" x14ac:dyDescent="0.2">
      <c r="G63303" s="889"/>
    </row>
    <row r="63304" spans="7:7" ht="10.5" customHeight="1" x14ac:dyDescent="0.2">
      <c r="G63304" s="889"/>
    </row>
    <row r="63305" spans="7:7" ht="10.5" customHeight="1" x14ac:dyDescent="0.2">
      <c r="G63305" s="889"/>
    </row>
    <row r="63306" spans="7:7" ht="10.5" customHeight="1" x14ac:dyDescent="0.2">
      <c r="G63306" s="889"/>
    </row>
    <row r="63307" spans="7:7" ht="10.5" customHeight="1" x14ac:dyDescent="0.2">
      <c r="G63307" s="889"/>
    </row>
    <row r="63308" spans="7:7" ht="10.5" customHeight="1" x14ac:dyDescent="0.2">
      <c r="G63308" s="889"/>
    </row>
    <row r="63309" spans="7:7" ht="10.5" customHeight="1" x14ac:dyDescent="0.2">
      <c r="G63309" s="889"/>
    </row>
    <row r="63310" spans="7:7" ht="10.5" customHeight="1" x14ac:dyDescent="0.2">
      <c r="G63310" s="889"/>
    </row>
    <row r="63311" spans="7:7" ht="10.5" customHeight="1" x14ac:dyDescent="0.2">
      <c r="G63311" s="889"/>
    </row>
    <row r="63312" spans="7:7" ht="10.5" customHeight="1" x14ac:dyDescent="0.2">
      <c r="G63312" s="889"/>
    </row>
    <row r="63313" spans="7:7" ht="10.5" customHeight="1" x14ac:dyDescent="0.2">
      <c r="G63313" s="889"/>
    </row>
    <row r="63314" spans="7:7" ht="10.5" customHeight="1" x14ac:dyDescent="0.2">
      <c r="G63314" s="889"/>
    </row>
    <row r="63315" spans="7:7" ht="10.5" customHeight="1" x14ac:dyDescent="0.2">
      <c r="G63315" s="889"/>
    </row>
    <row r="63316" spans="7:7" ht="10.5" customHeight="1" x14ac:dyDescent="0.2">
      <c r="G63316" s="889"/>
    </row>
    <row r="63317" spans="7:7" ht="10.5" customHeight="1" x14ac:dyDescent="0.2">
      <c r="G63317" s="889"/>
    </row>
    <row r="63318" spans="7:7" ht="10.5" customHeight="1" x14ac:dyDescent="0.2">
      <c r="G63318" s="889"/>
    </row>
    <row r="63319" spans="7:7" ht="10.5" customHeight="1" x14ac:dyDescent="0.2">
      <c r="G63319" s="889"/>
    </row>
    <row r="63320" spans="7:7" ht="10.5" customHeight="1" x14ac:dyDescent="0.2">
      <c r="G63320" s="889"/>
    </row>
    <row r="63321" spans="7:7" ht="10.5" customHeight="1" x14ac:dyDescent="0.2">
      <c r="G63321" s="889"/>
    </row>
    <row r="63322" spans="7:7" ht="10.5" customHeight="1" x14ac:dyDescent="0.2">
      <c r="G63322" s="889"/>
    </row>
    <row r="63323" spans="7:7" ht="10.5" customHeight="1" x14ac:dyDescent="0.2">
      <c r="G63323" s="889"/>
    </row>
    <row r="63324" spans="7:7" ht="10.5" customHeight="1" x14ac:dyDescent="0.2">
      <c r="G63324" s="889"/>
    </row>
    <row r="63325" spans="7:7" ht="10.5" customHeight="1" x14ac:dyDescent="0.2">
      <c r="G63325" s="889"/>
    </row>
    <row r="63326" spans="7:7" ht="10.5" customHeight="1" x14ac:dyDescent="0.2">
      <c r="G63326" s="889"/>
    </row>
    <row r="63327" spans="7:7" ht="10.5" customHeight="1" x14ac:dyDescent="0.2">
      <c r="G63327" s="889"/>
    </row>
    <row r="63328" spans="7:7" ht="10.5" customHeight="1" x14ac:dyDescent="0.2">
      <c r="G63328" s="889"/>
    </row>
    <row r="63329" spans="7:7" ht="10.5" customHeight="1" x14ac:dyDescent="0.2">
      <c r="G63329" s="889"/>
    </row>
    <row r="63330" spans="7:7" ht="10.5" customHeight="1" x14ac:dyDescent="0.2">
      <c r="G63330" s="889"/>
    </row>
    <row r="63331" spans="7:7" ht="10.5" customHeight="1" x14ac:dyDescent="0.2">
      <c r="G63331" s="889"/>
    </row>
    <row r="63332" spans="7:7" ht="10.5" customHeight="1" x14ac:dyDescent="0.2">
      <c r="G63332" s="889"/>
    </row>
    <row r="63333" spans="7:7" ht="10.5" customHeight="1" x14ac:dyDescent="0.2">
      <c r="G63333" s="889"/>
    </row>
    <row r="63334" spans="7:7" ht="10.5" customHeight="1" x14ac:dyDescent="0.2">
      <c r="G63334" s="889"/>
    </row>
    <row r="63335" spans="7:7" ht="10.5" customHeight="1" x14ac:dyDescent="0.2">
      <c r="G63335" s="889"/>
    </row>
    <row r="63336" spans="7:7" ht="10.5" customHeight="1" x14ac:dyDescent="0.2">
      <c r="G63336" s="889"/>
    </row>
    <row r="63337" spans="7:7" ht="10.5" customHeight="1" x14ac:dyDescent="0.2">
      <c r="G63337" s="889"/>
    </row>
    <row r="63338" spans="7:7" ht="10.5" customHeight="1" x14ac:dyDescent="0.2">
      <c r="G63338" s="889"/>
    </row>
    <row r="63339" spans="7:7" ht="10.5" customHeight="1" x14ac:dyDescent="0.2">
      <c r="G63339" s="889"/>
    </row>
    <row r="63340" spans="7:7" ht="10.5" customHeight="1" x14ac:dyDescent="0.2">
      <c r="G63340" s="889"/>
    </row>
    <row r="63341" spans="7:7" ht="10.5" customHeight="1" x14ac:dyDescent="0.2">
      <c r="G63341" s="889"/>
    </row>
    <row r="63342" spans="7:7" ht="10.5" customHeight="1" x14ac:dyDescent="0.2">
      <c r="G63342" s="889"/>
    </row>
    <row r="63343" spans="7:7" ht="10.5" customHeight="1" x14ac:dyDescent="0.2">
      <c r="G63343" s="889"/>
    </row>
    <row r="63344" spans="7:7" ht="10.5" customHeight="1" x14ac:dyDescent="0.2">
      <c r="G63344" s="889"/>
    </row>
    <row r="63345" spans="7:7" ht="10.5" customHeight="1" x14ac:dyDescent="0.2">
      <c r="G63345" s="889"/>
    </row>
    <row r="63346" spans="7:7" ht="10.5" customHeight="1" x14ac:dyDescent="0.2">
      <c r="G63346" s="889"/>
    </row>
    <row r="63347" spans="7:7" ht="10.5" customHeight="1" x14ac:dyDescent="0.2">
      <c r="G63347" s="889"/>
    </row>
    <row r="63348" spans="7:7" ht="10.5" customHeight="1" x14ac:dyDescent="0.2">
      <c r="G63348" s="889"/>
    </row>
    <row r="63349" spans="7:7" ht="10.5" customHeight="1" x14ac:dyDescent="0.2">
      <c r="G63349" s="889"/>
    </row>
    <row r="63350" spans="7:7" ht="10.5" customHeight="1" x14ac:dyDescent="0.2">
      <c r="G63350" s="889"/>
    </row>
    <row r="63351" spans="7:7" ht="10.5" customHeight="1" x14ac:dyDescent="0.2">
      <c r="G63351" s="889"/>
    </row>
    <row r="63352" spans="7:7" ht="10.5" customHeight="1" x14ac:dyDescent="0.2">
      <c r="G63352" s="889"/>
    </row>
    <row r="63353" spans="7:7" ht="10.5" customHeight="1" x14ac:dyDescent="0.2">
      <c r="G63353" s="889"/>
    </row>
    <row r="63354" spans="7:7" ht="10.5" customHeight="1" x14ac:dyDescent="0.2">
      <c r="G63354" s="889"/>
    </row>
    <row r="63355" spans="7:7" ht="10.5" customHeight="1" x14ac:dyDescent="0.2">
      <c r="G63355" s="889"/>
    </row>
    <row r="63356" spans="7:7" ht="10.5" customHeight="1" x14ac:dyDescent="0.2">
      <c r="G63356" s="889"/>
    </row>
    <row r="63357" spans="7:7" ht="10.5" customHeight="1" x14ac:dyDescent="0.2">
      <c r="G63357" s="889"/>
    </row>
    <row r="63358" spans="7:7" ht="10.5" customHeight="1" x14ac:dyDescent="0.2">
      <c r="G63358" s="889"/>
    </row>
    <row r="63359" spans="7:7" ht="10.5" customHeight="1" x14ac:dyDescent="0.2">
      <c r="G63359" s="889"/>
    </row>
    <row r="63360" spans="7:7" ht="10.5" customHeight="1" x14ac:dyDescent="0.2">
      <c r="G63360" s="889"/>
    </row>
    <row r="63361" spans="7:7" ht="10.5" customHeight="1" x14ac:dyDescent="0.2">
      <c r="G63361" s="889"/>
    </row>
    <row r="63362" spans="7:7" ht="10.5" customHeight="1" x14ac:dyDescent="0.2">
      <c r="G63362" s="889"/>
    </row>
    <row r="63363" spans="7:7" ht="10.5" customHeight="1" x14ac:dyDescent="0.2">
      <c r="G63363" s="889"/>
    </row>
    <row r="63364" spans="7:7" ht="10.5" customHeight="1" x14ac:dyDescent="0.2">
      <c r="G63364" s="889"/>
    </row>
    <row r="63365" spans="7:7" ht="10.5" customHeight="1" x14ac:dyDescent="0.2">
      <c r="G63365" s="889"/>
    </row>
    <row r="63366" spans="7:7" ht="10.5" customHeight="1" x14ac:dyDescent="0.2">
      <c r="G63366" s="889"/>
    </row>
    <row r="63367" spans="7:7" ht="10.5" customHeight="1" x14ac:dyDescent="0.2">
      <c r="G63367" s="889"/>
    </row>
    <row r="63368" spans="7:7" ht="10.5" customHeight="1" x14ac:dyDescent="0.2">
      <c r="G63368" s="889"/>
    </row>
    <row r="63369" spans="7:7" ht="10.5" customHeight="1" x14ac:dyDescent="0.2">
      <c r="G63369" s="889"/>
    </row>
    <row r="63370" spans="7:7" ht="10.5" customHeight="1" x14ac:dyDescent="0.2">
      <c r="G63370" s="889"/>
    </row>
    <row r="63371" spans="7:7" ht="10.5" customHeight="1" x14ac:dyDescent="0.2">
      <c r="G63371" s="889"/>
    </row>
    <row r="63372" spans="7:7" ht="10.5" customHeight="1" x14ac:dyDescent="0.2">
      <c r="G63372" s="889"/>
    </row>
    <row r="63373" spans="7:7" ht="10.5" customHeight="1" x14ac:dyDescent="0.2">
      <c r="G63373" s="889"/>
    </row>
    <row r="63374" spans="7:7" ht="10.5" customHeight="1" x14ac:dyDescent="0.2">
      <c r="G63374" s="889"/>
    </row>
    <row r="63375" spans="7:7" ht="10.5" customHeight="1" x14ac:dyDescent="0.2">
      <c r="G63375" s="889"/>
    </row>
    <row r="63376" spans="7:7" ht="10.5" customHeight="1" x14ac:dyDescent="0.2">
      <c r="G63376" s="889"/>
    </row>
    <row r="63377" spans="7:7" ht="10.5" customHeight="1" x14ac:dyDescent="0.2">
      <c r="G63377" s="889"/>
    </row>
    <row r="63378" spans="7:7" ht="10.5" customHeight="1" x14ac:dyDescent="0.2">
      <c r="G63378" s="889"/>
    </row>
    <row r="63379" spans="7:7" ht="10.5" customHeight="1" x14ac:dyDescent="0.2">
      <c r="G63379" s="889"/>
    </row>
    <row r="63380" spans="7:7" ht="10.5" customHeight="1" x14ac:dyDescent="0.2">
      <c r="G63380" s="889"/>
    </row>
    <row r="63381" spans="7:7" ht="10.5" customHeight="1" x14ac:dyDescent="0.2">
      <c r="G63381" s="889"/>
    </row>
    <row r="63382" spans="7:7" ht="10.5" customHeight="1" x14ac:dyDescent="0.2">
      <c r="G63382" s="889"/>
    </row>
    <row r="63383" spans="7:7" ht="10.5" customHeight="1" x14ac:dyDescent="0.2">
      <c r="G63383" s="889"/>
    </row>
    <row r="63384" spans="7:7" ht="10.5" customHeight="1" x14ac:dyDescent="0.2">
      <c r="G63384" s="889"/>
    </row>
    <row r="63385" spans="7:7" ht="10.5" customHeight="1" x14ac:dyDescent="0.2">
      <c r="G63385" s="889"/>
    </row>
    <row r="63386" spans="7:7" ht="10.5" customHeight="1" x14ac:dyDescent="0.2">
      <c r="G63386" s="889"/>
    </row>
    <row r="63387" spans="7:7" ht="10.5" customHeight="1" x14ac:dyDescent="0.2">
      <c r="G63387" s="889"/>
    </row>
    <row r="63388" spans="7:7" ht="10.5" customHeight="1" x14ac:dyDescent="0.2">
      <c r="G63388" s="889"/>
    </row>
    <row r="63389" spans="7:7" ht="10.5" customHeight="1" x14ac:dyDescent="0.2">
      <c r="G63389" s="889"/>
    </row>
    <row r="63390" spans="7:7" ht="10.5" customHeight="1" x14ac:dyDescent="0.2">
      <c r="G63390" s="889"/>
    </row>
    <row r="63391" spans="7:7" ht="10.5" customHeight="1" x14ac:dyDescent="0.2">
      <c r="G63391" s="889"/>
    </row>
    <row r="63392" spans="7:7" ht="10.5" customHeight="1" x14ac:dyDescent="0.2">
      <c r="G63392" s="889"/>
    </row>
    <row r="63393" spans="7:7" ht="10.5" customHeight="1" x14ac:dyDescent="0.2">
      <c r="G63393" s="889"/>
    </row>
    <row r="63394" spans="7:7" ht="10.5" customHeight="1" x14ac:dyDescent="0.2">
      <c r="G63394" s="889"/>
    </row>
    <row r="63395" spans="7:7" ht="10.5" customHeight="1" x14ac:dyDescent="0.2">
      <c r="G63395" s="889"/>
    </row>
    <row r="63396" spans="7:7" ht="10.5" customHeight="1" x14ac:dyDescent="0.2">
      <c r="G63396" s="889"/>
    </row>
    <row r="63397" spans="7:7" ht="10.5" customHeight="1" x14ac:dyDescent="0.2">
      <c r="G63397" s="889"/>
    </row>
    <row r="63398" spans="7:7" ht="10.5" customHeight="1" x14ac:dyDescent="0.2">
      <c r="G63398" s="889"/>
    </row>
    <row r="63399" spans="7:7" ht="10.5" customHeight="1" x14ac:dyDescent="0.2">
      <c r="G63399" s="889"/>
    </row>
    <row r="63400" spans="7:7" ht="10.5" customHeight="1" x14ac:dyDescent="0.2">
      <c r="G63400" s="889"/>
    </row>
    <row r="63401" spans="7:7" ht="10.5" customHeight="1" x14ac:dyDescent="0.2">
      <c r="G63401" s="889"/>
    </row>
    <row r="63402" spans="7:7" ht="10.5" customHeight="1" x14ac:dyDescent="0.2">
      <c r="G63402" s="889"/>
    </row>
    <row r="63403" spans="7:7" ht="10.5" customHeight="1" x14ac:dyDescent="0.2">
      <c r="G63403" s="889"/>
    </row>
    <row r="63404" spans="7:7" ht="10.5" customHeight="1" x14ac:dyDescent="0.2">
      <c r="G63404" s="889"/>
    </row>
    <row r="63405" spans="7:7" ht="10.5" customHeight="1" x14ac:dyDescent="0.2">
      <c r="G63405" s="889"/>
    </row>
    <row r="63406" spans="7:7" ht="10.5" customHeight="1" x14ac:dyDescent="0.2">
      <c r="G63406" s="889"/>
    </row>
    <row r="63407" spans="7:7" ht="10.5" customHeight="1" x14ac:dyDescent="0.2">
      <c r="G63407" s="889"/>
    </row>
    <row r="63408" spans="7:7" ht="10.5" customHeight="1" x14ac:dyDescent="0.2">
      <c r="G63408" s="889"/>
    </row>
    <row r="63409" spans="7:7" ht="10.5" customHeight="1" x14ac:dyDescent="0.2">
      <c r="G63409" s="889"/>
    </row>
    <row r="63410" spans="7:7" ht="10.5" customHeight="1" x14ac:dyDescent="0.2">
      <c r="G63410" s="889"/>
    </row>
    <row r="63411" spans="7:7" ht="10.5" customHeight="1" x14ac:dyDescent="0.2">
      <c r="G63411" s="889"/>
    </row>
    <row r="63412" spans="7:7" ht="10.5" customHeight="1" x14ac:dyDescent="0.2">
      <c r="G63412" s="889"/>
    </row>
    <row r="63413" spans="7:7" ht="10.5" customHeight="1" x14ac:dyDescent="0.2">
      <c r="G63413" s="889"/>
    </row>
    <row r="63414" spans="7:7" ht="10.5" customHeight="1" x14ac:dyDescent="0.2">
      <c r="G63414" s="889"/>
    </row>
    <row r="63415" spans="7:7" ht="10.5" customHeight="1" x14ac:dyDescent="0.2">
      <c r="G63415" s="889"/>
    </row>
    <row r="63416" spans="7:7" ht="10.5" customHeight="1" x14ac:dyDescent="0.2">
      <c r="G63416" s="889"/>
    </row>
    <row r="63417" spans="7:7" ht="10.5" customHeight="1" x14ac:dyDescent="0.2">
      <c r="G63417" s="889"/>
    </row>
    <row r="63418" spans="7:7" ht="10.5" customHeight="1" x14ac:dyDescent="0.2">
      <c r="G63418" s="889"/>
    </row>
    <row r="63419" spans="7:7" ht="10.5" customHeight="1" x14ac:dyDescent="0.2">
      <c r="G63419" s="889"/>
    </row>
    <row r="63420" spans="7:7" ht="10.5" customHeight="1" x14ac:dyDescent="0.2">
      <c r="G63420" s="889"/>
    </row>
    <row r="63421" spans="7:7" ht="10.5" customHeight="1" x14ac:dyDescent="0.2">
      <c r="G63421" s="889"/>
    </row>
    <row r="63422" spans="7:7" ht="10.5" customHeight="1" x14ac:dyDescent="0.2">
      <c r="G63422" s="889"/>
    </row>
    <row r="63423" spans="7:7" ht="10.5" customHeight="1" x14ac:dyDescent="0.2">
      <c r="G63423" s="889"/>
    </row>
    <row r="63424" spans="7:7" ht="10.5" customHeight="1" x14ac:dyDescent="0.2">
      <c r="G63424" s="889"/>
    </row>
    <row r="63425" spans="7:7" ht="10.5" customHeight="1" x14ac:dyDescent="0.2">
      <c r="G63425" s="889"/>
    </row>
    <row r="63426" spans="7:7" ht="10.5" customHeight="1" x14ac:dyDescent="0.2">
      <c r="G63426" s="889"/>
    </row>
    <row r="63427" spans="7:7" ht="10.5" customHeight="1" x14ac:dyDescent="0.2">
      <c r="G63427" s="889"/>
    </row>
    <row r="63428" spans="7:7" ht="10.5" customHeight="1" x14ac:dyDescent="0.2">
      <c r="G63428" s="889"/>
    </row>
    <row r="63429" spans="7:7" ht="10.5" customHeight="1" x14ac:dyDescent="0.2">
      <c r="G63429" s="889"/>
    </row>
    <row r="63430" spans="7:7" ht="10.5" customHeight="1" x14ac:dyDescent="0.2">
      <c r="G63430" s="889"/>
    </row>
    <row r="63431" spans="7:7" ht="10.5" customHeight="1" x14ac:dyDescent="0.2">
      <c r="G63431" s="889"/>
    </row>
    <row r="63432" spans="7:7" ht="10.5" customHeight="1" x14ac:dyDescent="0.2">
      <c r="G63432" s="889"/>
    </row>
    <row r="63433" spans="7:7" ht="10.5" customHeight="1" x14ac:dyDescent="0.2">
      <c r="G63433" s="889"/>
    </row>
    <row r="63434" spans="7:7" ht="10.5" customHeight="1" x14ac:dyDescent="0.2">
      <c r="G63434" s="889"/>
    </row>
    <row r="63435" spans="7:7" ht="10.5" customHeight="1" x14ac:dyDescent="0.2">
      <c r="G63435" s="889"/>
    </row>
    <row r="63436" spans="7:7" ht="10.5" customHeight="1" x14ac:dyDescent="0.2">
      <c r="G63436" s="889"/>
    </row>
    <row r="63437" spans="7:7" ht="10.5" customHeight="1" x14ac:dyDescent="0.2">
      <c r="G63437" s="889"/>
    </row>
    <row r="63438" spans="7:7" ht="10.5" customHeight="1" x14ac:dyDescent="0.2">
      <c r="G63438" s="889"/>
    </row>
    <row r="63439" spans="7:7" ht="10.5" customHeight="1" x14ac:dyDescent="0.2">
      <c r="G63439" s="889"/>
    </row>
    <row r="63440" spans="7:7" ht="10.5" customHeight="1" x14ac:dyDescent="0.2">
      <c r="G63440" s="889"/>
    </row>
    <row r="63441" spans="7:7" ht="10.5" customHeight="1" x14ac:dyDescent="0.2">
      <c r="G63441" s="889"/>
    </row>
    <row r="63442" spans="7:7" ht="10.5" customHeight="1" x14ac:dyDescent="0.2">
      <c r="G63442" s="889"/>
    </row>
    <row r="63443" spans="7:7" ht="10.5" customHeight="1" x14ac:dyDescent="0.2">
      <c r="G63443" s="889"/>
    </row>
    <row r="63444" spans="7:7" ht="10.5" customHeight="1" x14ac:dyDescent="0.2">
      <c r="G63444" s="889"/>
    </row>
    <row r="63445" spans="7:7" ht="10.5" customHeight="1" x14ac:dyDescent="0.2">
      <c r="G63445" s="889"/>
    </row>
    <row r="63446" spans="7:7" ht="10.5" customHeight="1" x14ac:dyDescent="0.2">
      <c r="G63446" s="889"/>
    </row>
    <row r="63447" spans="7:7" ht="10.5" customHeight="1" x14ac:dyDescent="0.2">
      <c r="G63447" s="889"/>
    </row>
    <row r="63448" spans="7:7" ht="10.5" customHeight="1" x14ac:dyDescent="0.2">
      <c r="G63448" s="889"/>
    </row>
    <row r="63449" spans="7:7" ht="10.5" customHeight="1" x14ac:dyDescent="0.2">
      <c r="G63449" s="889"/>
    </row>
    <row r="63450" spans="7:7" ht="10.5" customHeight="1" x14ac:dyDescent="0.2">
      <c r="G63450" s="889"/>
    </row>
    <row r="63451" spans="7:7" ht="10.5" customHeight="1" x14ac:dyDescent="0.2">
      <c r="G63451" s="889"/>
    </row>
    <row r="63452" spans="7:7" ht="10.5" customHeight="1" x14ac:dyDescent="0.2">
      <c r="G63452" s="889"/>
    </row>
    <row r="63453" spans="7:7" ht="10.5" customHeight="1" x14ac:dyDescent="0.2">
      <c r="G63453" s="889"/>
    </row>
    <row r="63454" spans="7:7" ht="10.5" customHeight="1" x14ac:dyDescent="0.2">
      <c r="G63454" s="889"/>
    </row>
    <row r="63455" spans="7:7" ht="10.5" customHeight="1" x14ac:dyDescent="0.2">
      <c r="G63455" s="889"/>
    </row>
    <row r="63456" spans="7:7" ht="10.5" customHeight="1" x14ac:dyDescent="0.2">
      <c r="G63456" s="889"/>
    </row>
    <row r="63457" spans="7:7" ht="10.5" customHeight="1" x14ac:dyDescent="0.2">
      <c r="G63457" s="889"/>
    </row>
    <row r="63458" spans="7:7" ht="10.5" customHeight="1" x14ac:dyDescent="0.2">
      <c r="G63458" s="889"/>
    </row>
    <row r="63459" spans="7:7" ht="10.5" customHeight="1" x14ac:dyDescent="0.2">
      <c r="G63459" s="889"/>
    </row>
    <row r="63460" spans="7:7" ht="10.5" customHeight="1" x14ac:dyDescent="0.2">
      <c r="G63460" s="889"/>
    </row>
    <row r="63461" spans="7:7" ht="10.5" customHeight="1" x14ac:dyDescent="0.2">
      <c r="G63461" s="889"/>
    </row>
    <row r="63462" spans="7:7" ht="10.5" customHeight="1" x14ac:dyDescent="0.2">
      <c r="G63462" s="889"/>
    </row>
    <row r="63463" spans="7:7" ht="10.5" customHeight="1" x14ac:dyDescent="0.2">
      <c r="G63463" s="889"/>
    </row>
    <row r="63464" spans="7:7" ht="10.5" customHeight="1" x14ac:dyDescent="0.2">
      <c r="G63464" s="889"/>
    </row>
    <row r="63465" spans="7:7" ht="10.5" customHeight="1" x14ac:dyDescent="0.2">
      <c r="G63465" s="889"/>
    </row>
    <row r="63466" spans="7:7" ht="10.5" customHeight="1" x14ac:dyDescent="0.2">
      <c r="G63466" s="889"/>
    </row>
    <row r="63467" spans="7:7" ht="10.5" customHeight="1" x14ac:dyDescent="0.2">
      <c r="G63467" s="889"/>
    </row>
    <row r="63468" spans="7:7" ht="10.5" customHeight="1" x14ac:dyDescent="0.2">
      <c r="G63468" s="889"/>
    </row>
    <row r="63469" spans="7:7" ht="10.5" customHeight="1" x14ac:dyDescent="0.2">
      <c r="G63469" s="889"/>
    </row>
    <row r="63470" spans="7:7" ht="10.5" customHeight="1" x14ac:dyDescent="0.2">
      <c r="G63470" s="889"/>
    </row>
    <row r="63471" spans="7:7" ht="10.5" customHeight="1" x14ac:dyDescent="0.2">
      <c r="G63471" s="889"/>
    </row>
    <row r="63472" spans="7:7" ht="10.5" customHeight="1" x14ac:dyDescent="0.2">
      <c r="G63472" s="889"/>
    </row>
    <row r="63473" spans="7:7" ht="10.5" customHeight="1" x14ac:dyDescent="0.2">
      <c r="G63473" s="889"/>
    </row>
    <row r="63474" spans="7:7" ht="10.5" customHeight="1" x14ac:dyDescent="0.2">
      <c r="G63474" s="889"/>
    </row>
    <row r="63475" spans="7:7" ht="10.5" customHeight="1" x14ac:dyDescent="0.2">
      <c r="G63475" s="889"/>
    </row>
    <row r="63476" spans="7:7" ht="10.5" customHeight="1" x14ac:dyDescent="0.2">
      <c r="G63476" s="889"/>
    </row>
    <row r="63477" spans="7:7" ht="10.5" customHeight="1" x14ac:dyDescent="0.2">
      <c r="G63477" s="889"/>
    </row>
    <row r="63478" spans="7:7" ht="10.5" customHeight="1" x14ac:dyDescent="0.2">
      <c r="G63478" s="889"/>
    </row>
    <row r="63479" spans="7:7" ht="10.5" customHeight="1" x14ac:dyDescent="0.2">
      <c r="G63479" s="889"/>
    </row>
    <row r="63480" spans="7:7" ht="10.5" customHeight="1" x14ac:dyDescent="0.2">
      <c r="G63480" s="889"/>
    </row>
    <row r="63481" spans="7:7" ht="10.5" customHeight="1" x14ac:dyDescent="0.2">
      <c r="G63481" s="889"/>
    </row>
    <row r="63482" spans="7:7" ht="10.5" customHeight="1" x14ac:dyDescent="0.2">
      <c r="G63482" s="889"/>
    </row>
    <row r="63483" spans="7:7" ht="10.5" customHeight="1" x14ac:dyDescent="0.2">
      <c r="G63483" s="889"/>
    </row>
    <row r="63484" spans="7:7" ht="10.5" customHeight="1" x14ac:dyDescent="0.2">
      <c r="G63484" s="889"/>
    </row>
    <row r="63485" spans="7:7" ht="10.5" customHeight="1" x14ac:dyDescent="0.2">
      <c r="G63485" s="889"/>
    </row>
    <row r="63486" spans="7:7" ht="10.5" customHeight="1" x14ac:dyDescent="0.2">
      <c r="G63486" s="889"/>
    </row>
    <row r="63487" spans="7:7" ht="10.5" customHeight="1" x14ac:dyDescent="0.2">
      <c r="G63487" s="889"/>
    </row>
    <row r="63488" spans="7:7" ht="10.5" customHeight="1" x14ac:dyDescent="0.2">
      <c r="G63488" s="889"/>
    </row>
    <row r="63489" spans="7:7" ht="10.5" customHeight="1" x14ac:dyDescent="0.2">
      <c r="G63489" s="889"/>
    </row>
    <row r="63490" spans="7:7" ht="10.5" customHeight="1" x14ac:dyDescent="0.2">
      <c r="G63490" s="889"/>
    </row>
    <row r="63491" spans="7:7" ht="10.5" customHeight="1" x14ac:dyDescent="0.2">
      <c r="G63491" s="889"/>
    </row>
    <row r="63492" spans="7:7" ht="10.5" customHeight="1" x14ac:dyDescent="0.2">
      <c r="G63492" s="889"/>
    </row>
    <row r="63493" spans="7:7" ht="10.5" customHeight="1" x14ac:dyDescent="0.2">
      <c r="G63493" s="889"/>
    </row>
    <row r="63494" spans="7:7" ht="10.5" customHeight="1" x14ac:dyDescent="0.2">
      <c r="G63494" s="889"/>
    </row>
    <row r="63495" spans="7:7" ht="10.5" customHeight="1" x14ac:dyDescent="0.2">
      <c r="G63495" s="889"/>
    </row>
    <row r="63496" spans="7:7" ht="10.5" customHeight="1" x14ac:dyDescent="0.2">
      <c r="G63496" s="889"/>
    </row>
    <row r="63497" spans="7:7" ht="10.5" customHeight="1" x14ac:dyDescent="0.2">
      <c r="G63497" s="889"/>
    </row>
    <row r="63498" spans="7:7" ht="10.5" customHeight="1" x14ac:dyDescent="0.2">
      <c r="G63498" s="889"/>
    </row>
    <row r="63499" spans="7:7" ht="10.5" customHeight="1" x14ac:dyDescent="0.2">
      <c r="G63499" s="889"/>
    </row>
    <row r="63500" spans="7:7" ht="10.5" customHeight="1" x14ac:dyDescent="0.2">
      <c r="G63500" s="889"/>
    </row>
    <row r="63501" spans="7:7" ht="10.5" customHeight="1" x14ac:dyDescent="0.2">
      <c r="G63501" s="889"/>
    </row>
    <row r="63502" spans="7:7" ht="10.5" customHeight="1" x14ac:dyDescent="0.2">
      <c r="G63502" s="889"/>
    </row>
    <row r="63503" spans="7:7" ht="10.5" customHeight="1" x14ac:dyDescent="0.2">
      <c r="G63503" s="889"/>
    </row>
    <row r="63504" spans="7:7" ht="10.5" customHeight="1" x14ac:dyDescent="0.2">
      <c r="G63504" s="889"/>
    </row>
    <row r="63505" spans="7:7" ht="10.5" customHeight="1" x14ac:dyDescent="0.2">
      <c r="G63505" s="889"/>
    </row>
    <row r="63506" spans="7:7" ht="10.5" customHeight="1" x14ac:dyDescent="0.2">
      <c r="G63506" s="889"/>
    </row>
    <row r="63507" spans="7:7" ht="10.5" customHeight="1" x14ac:dyDescent="0.2">
      <c r="G63507" s="889"/>
    </row>
    <row r="63508" spans="7:7" ht="10.5" customHeight="1" x14ac:dyDescent="0.2">
      <c r="G63508" s="889"/>
    </row>
    <row r="63509" spans="7:7" ht="10.5" customHeight="1" x14ac:dyDescent="0.2">
      <c r="G63509" s="889"/>
    </row>
    <row r="63510" spans="7:7" ht="10.5" customHeight="1" x14ac:dyDescent="0.2">
      <c r="G63510" s="889"/>
    </row>
    <row r="63511" spans="7:7" ht="10.5" customHeight="1" x14ac:dyDescent="0.2">
      <c r="G63511" s="889"/>
    </row>
    <row r="63512" spans="7:7" ht="10.5" customHeight="1" x14ac:dyDescent="0.2">
      <c r="G63512" s="889"/>
    </row>
    <row r="63513" spans="7:7" ht="10.5" customHeight="1" x14ac:dyDescent="0.2">
      <c r="G63513" s="889"/>
    </row>
    <row r="63514" spans="7:7" ht="10.5" customHeight="1" x14ac:dyDescent="0.2">
      <c r="G63514" s="889"/>
    </row>
    <row r="63515" spans="7:7" ht="10.5" customHeight="1" x14ac:dyDescent="0.2">
      <c r="G63515" s="889"/>
    </row>
    <row r="63516" spans="7:7" ht="10.5" customHeight="1" x14ac:dyDescent="0.2">
      <c r="G63516" s="889"/>
    </row>
    <row r="63517" spans="7:7" ht="10.5" customHeight="1" x14ac:dyDescent="0.2">
      <c r="G63517" s="889"/>
    </row>
    <row r="63518" spans="7:7" ht="10.5" customHeight="1" x14ac:dyDescent="0.2">
      <c r="G63518" s="889"/>
    </row>
    <row r="63519" spans="7:7" ht="10.5" customHeight="1" x14ac:dyDescent="0.2">
      <c r="G63519" s="889"/>
    </row>
    <row r="63520" spans="7:7" ht="10.5" customHeight="1" x14ac:dyDescent="0.2">
      <c r="G63520" s="889"/>
    </row>
    <row r="63521" spans="7:7" ht="10.5" customHeight="1" x14ac:dyDescent="0.2">
      <c r="G63521" s="889"/>
    </row>
    <row r="63522" spans="7:7" ht="10.5" customHeight="1" x14ac:dyDescent="0.2">
      <c r="G63522" s="889"/>
    </row>
    <row r="63523" spans="7:7" ht="10.5" customHeight="1" x14ac:dyDescent="0.2">
      <c r="G63523" s="889"/>
    </row>
    <row r="63524" spans="7:7" ht="10.5" customHeight="1" x14ac:dyDescent="0.2">
      <c r="G63524" s="889"/>
    </row>
    <row r="63525" spans="7:7" ht="10.5" customHeight="1" x14ac:dyDescent="0.2">
      <c r="G63525" s="889"/>
    </row>
    <row r="63526" spans="7:7" ht="10.5" customHeight="1" x14ac:dyDescent="0.2">
      <c r="G63526" s="889"/>
    </row>
    <row r="63527" spans="7:7" ht="10.5" customHeight="1" x14ac:dyDescent="0.2">
      <c r="G63527" s="889"/>
    </row>
    <row r="63528" spans="7:7" ht="10.5" customHeight="1" x14ac:dyDescent="0.2">
      <c r="G63528" s="889"/>
    </row>
    <row r="63529" spans="7:7" ht="10.5" customHeight="1" x14ac:dyDescent="0.2">
      <c r="G63529" s="889"/>
    </row>
    <row r="63530" spans="7:7" ht="10.5" customHeight="1" x14ac:dyDescent="0.2">
      <c r="G63530" s="889"/>
    </row>
    <row r="63531" spans="7:7" ht="10.5" customHeight="1" x14ac:dyDescent="0.2">
      <c r="G63531" s="889"/>
    </row>
    <row r="63532" spans="7:7" ht="10.5" customHeight="1" x14ac:dyDescent="0.2">
      <c r="G63532" s="889"/>
    </row>
    <row r="63533" spans="7:7" ht="10.5" customHeight="1" x14ac:dyDescent="0.2">
      <c r="G63533" s="889"/>
    </row>
    <row r="63534" spans="7:7" ht="10.5" customHeight="1" x14ac:dyDescent="0.2">
      <c r="G63534" s="889"/>
    </row>
    <row r="63535" spans="7:7" ht="10.5" customHeight="1" x14ac:dyDescent="0.2">
      <c r="G63535" s="889"/>
    </row>
    <row r="63536" spans="7:7" ht="10.5" customHeight="1" x14ac:dyDescent="0.2">
      <c r="G63536" s="889"/>
    </row>
    <row r="63537" spans="7:7" ht="10.5" customHeight="1" x14ac:dyDescent="0.2">
      <c r="G63537" s="889"/>
    </row>
    <row r="63538" spans="7:7" ht="10.5" customHeight="1" x14ac:dyDescent="0.2">
      <c r="G63538" s="889"/>
    </row>
    <row r="63539" spans="7:7" ht="10.5" customHeight="1" x14ac:dyDescent="0.2">
      <c r="G63539" s="889"/>
    </row>
    <row r="63540" spans="7:7" ht="10.5" customHeight="1" x14ac:dyDescent="0.2">
      <c r="G63540" s="889"/>
    </row>
    <row r="63541" spans="7:7" ht="10.5" customHeight="1" x14ac:dyDescent="0.2">
      <c r="G63541" s="889"/>
    </row>
    <row r="63542" spans="7:7" ht="10.5" customHeight="1" x14ac:dyDescent="0.2">
      <c r="G63542" s="889"/>
    </row>
    <row r="63543" spans="7:7" ht="10.5" customHeight="1" x14ac:dyDescent="0.2">
      <c r="G63543" s="889"/>
    </row>
    <row r="63544" spans="7:7" ht="10.5" customHeight="1" x14ac:dyDescent="0.2">
      <c r="G63544" s="889"/>
    </row>
    <row r="63545" spans="7:7" ht="10.5" customHeight="1" x14ac:dyDescent="0.2">
      <c r="G63545" s="889"/>
    </row>
    <row r="63546" spans="7:7" ht="10.5" customHeight="1" x14ac:dyDescent="0.2">
      <c r="G63546" s="889"/>
    </row>
    <row r="63547" spans="7:7" ht="10.5" customHeight="1" x14ac:dyDescent="0.2">
      <c r="G63547" s="889"/>
    </row>
    <row r="63548" spans="7:7" ht="10.5" customHeight="1" x14ac:dyDescent="0.2">
      <c r="G63548" s="889"/>
    </row>
    <row r="63549" spans="7:7" ht="10.5" customHeight="1" x14ac:dyDescent="0.2">
      <c r="G63549" s="889"/>
    </row>
    <row r="63550" spans="7:7" ht="10.5" customHeight="1" x14ac:dyDescent="0.2">
      <c r="G63550" s="889"/>
    </row>
    <row r="63551" spans="7:7" ht="10.5" customHeight="1" x14ac:dyDescent="0.2">
      <c r="G63551" s="889"/>
    </row>
    <row r="63552" spans="7:7" ht="10.5" customHeight="1" x14ac:dyDescent="0.2">
      <c r="G63552" s="889"/>
    </row>
    <row r="63553" spans="7:7" ht="10.5" customHeight="1" x14ac:dyDescent="0.2">
      <c r="G63553" s="889"/>
    </row>
    <row r="63554" spans="7:7" ht="10.5" customHeight="1" x14ac:dyDescent="0.2">
      <c r="G63554" s="889"/>
    </row>
    <row r="63555" spans="7:7" ht="10.5" customHeight="1" x14ac:dyDescent="0.2">
      <c r="G63555" s="889"/>
    </row>
    <row r="63556" spans="7:7" ht="10.5" customHeight="1" x14ac:dyDescent="0.2">
      <c r="G63556" s="889"/>
    </row>
    <row r="63557" spans="7:7" ht="10.5" customHeight="1" x14ac:dyDescent="0.2">
      <c r="G63557" s="889"/>
    </row>
    <row r="63558" spans="7:7" ht="10.5" customHeight="1" x14ac:dyDescent="0.2">
      <c r="G63558" s="889"/>
    </row>
    <row r="63559" spans="7:7" ht="10.5" customHeight="1" x14ac:dyDescent="0.2">
      <c r="G63559" s="889"/>
    </row>
    <row r="63560" spans="7:7" ht="10.5" customHeight="1" x14ac:dyDescent="0.2">
      <c r="G63560" s="889"/>
    </row>
    <row r="63561" spans="7:7" ht="10.5" customHeight="1" x14ac:dyDescent="0.2">
      <c r="G63561" s="889"/>
    </row>
    <row r="63562" spans="7:7" ht="10.5" customHeight="1" x14ac:dyDescent="0.2">
      <c r="G63562" s="889"/>
    </row>
    <row r="63563" spans="7:7" ht="10.5" customHeight="1" x14ac:dyDescent="0.2">
      <c r="G63563" s="889"/>
    </row>
    <row r="63564" spans="7:7" ht="10.5" customHeight="1" x14ac:dyDescent="0.2">
      <c r="G63564" s="889"/>
    </row>
    <row r="63565" spans="7:7" ht="10.5" customHeight="1" x14ac:dyDescent="0.2">
      <c r="G63565" s="889"/>
    </row>
    <row r="63566" spans="7:7" ht="10.5" customHeight="1" x14ac:dyDescent="0.2">
      <c r="G63566" s="889"/>
    </row>
    <row r="63567" spans="7:7" ht="10.5" customHeight="1" x14ac:dyDescent="0.2">
      <c r="G63567" s="889"/>
    </row>
    <row r="63568" spans="7:7" ht="10.5" customHeight="1" x14ac:dyDescent="0.2">
      <c r="G63568" s="889"/>
    </row>
    <row r="63569" spans="7:7" ht="10.5" customHeight="1" x14ac:dyDescent="0.2">
      <c r="G63569" s="889"/>
    </row>
    <row r="63570" spans="7:7" ht="10.5" customHeight="1" x14ac:dyDescent="0.2">
      <c r="G63570" s="889"/>
    </row>
    <row r="63571" spans="7:7" ht="10.5" customHeight="1" x14ac:dyDescent="0.2">
      <c r="G63571" s="889"/>
    </row>
    <row r="63572" spans="7:7" ht="10.5" customHeight="1" x14ac:dyDescent="0.2">
      <c r="G63572" s="889"/>
    </row>
    <row r="63573" spans="7:7" ht="10.5" customHeight="1" x14ac:dyDescent="0.2">
      <c r="G63573" s="889"/>
    </row>
    <row r="63574" spans="7:7" ht="10.5" customHeight="1" x14ac:dyDescent="0.2">
      <c r="G63574" s="889"/>
    </row>
    <row r="63575" spans="7:7" ht="10.5" customHeight="1" x14ac:dyDescent="0.2">
      <c r="G63575" s="889"/>
    </row>
    <row r="63576" spans="7:7" ht="10.5" customHeight="1" x14ac:dyDescent="0.2">
      <c r="G63576" s="889"/>
    </row>
    <row r="63577" spans="7:7" ht="10.5" customHeight="1" x14ac:dyDescent="0.2">
      <c r="G63577" s="889"/>
    </row>
    <row r="63578" spans="7:7" ht="10.5" customHeight="1" x14ac:dyDescent="0.2">
      <c r="G63578" s="889"/>
    </row>
    <row r="63579" spans="7:7" ht="10.5" customHeight="1" x14ac:dyDescent="0.2">
      <c r="G63579" s="889"/>
    </row>
    <row r="63580" spans="7:7" ht="10.5" customHeight="1" x14ac:dyDescent="0.2">
      <c r="G63580" s="889"/>
    </row>
    <row r="63581" spans="7:7" ht="10.5" customHeight="1" x14ac:dyDescent="0.2">
      <c r="G63581" s="889"/>
    </row>
    <row r="63582" spans="7:7" ht="10.5" customHeight="1" x14ac:dyDescent="0.2">
      <c r="G63582" s="889"/>
    </row>
    <row r="63583" spans="7:7" ht="10.5" customHeight="1" x14ac:dyDescent="0.2">
      <c r="G63583" s="889"/>
    </row>
    <row r="63584" spans="7:7" ht="10.5" customHeight="1" x14ac:dyDescent="0.2">
      <c r="G63584" s="889"/>
    </row>
    <row r="63585" spans="7:7" ht="10.5" customHeight="1" x14ac:dyDescent="0.2">
      <c r="G63585" s="889"/>
    </row>
    <row r="63586" spans="7:7" ht="10.5" customHeight="1" x14ac:dyDescent="0.2">
      <c r="G63586" s="889"/>
    </row>
    <row r="63587" spans="7:7" ht="10.5" customHeight="1" x14ac:dyDescent="0.2">
      <c r="G63587" s="889"/>
    </row>
    <row r="63588" spans="7:7" ht="10.5" customHeight="1" x14ac:dyDescent="0.2">
      <c r="G63588" s="889"/>
    </row>
    <row r="63589" spans="7:7" ht="10.5" customHeight="1" x14ac:dyDescent="0.2">
      <c r="G63589" s="889"/>
    </row>
    <row r="63590" spans="7:7" ht="10.5" customHeight="1" x14ac:dyDescent="0.2">
      <c r="G63590" s="889"/>
    </row>
    <row r="63591" spans="7:7" ht="10.5" customHeight="1" x14ac:dyDescent="0.2">
      <c r="G63591" s="889"/>
    </row>
    <row r="63592" spans="7:7" ht="10.5" customHeight="1" x14ac:dyDescent="0.2">
      <c r="G63592" s="889"/>
    </row>
    <row r="63593" spans="7:7" ht="10.5" customHeight="1" x14ac:dyDescent="0.2">
      <c r="G63593" s="889"/>
    </row>
    <row r="63594" spans="7:7" ht="10.5" customHeight="1" x14ac:dyDescent="0.2">
      <c r="G63594" s="889"/>
    </row>
    <row r="63595" spans="7:7" ht="10.5" customHeight="1" x14ac:dyDescent="0.2">
      <c r="G63595" s="889"/>
    </row>
    <row r="63596" spans="7:7" ht="10.5" customHeight="1" x14ac:dyDescent="0.2">
      <c r="G63596" s="889"/>
    </row>
    <row r="63597" spans="7:7" ht="10.5" customHeight="1" x14ac:dyDescent="0.2">
      <c r="G63597" s="889"/>
    </row>
    <row r="63598" spans="7:7" ht="10.5" customHeight="1" x14ac:dyDescent="0.2">
      <c r="G63598" s="889"/>
    </row>
    <row r="63599" spans="7:7" ht="10.5" customHeight="1" x14ac:dyDescent="0.2">
      <c r="G63599" s="889"/>
    </row>
    <row r="63600" spans="7:7" ht="10.5" customHeight="1" x14ac:dyDescent="0.2">
      <c r="G63600" s="889"/>
    </row>
    <row r="63601" spans="7:7" ht="10.5" customHeight="1" x14ac:dyDescent="0.2">
      <c r="G63601" s="889"/>
    </row>
    <row r="63602" spans="7:7" ht="10.5" customHeight="1" x14ac:dyDescent="0.2">
      <c r="G63602" s="889"/>
    </row>
    <row r="63603" spans="7:7" ht="10.5" customHeight="1" x14ac:dyDescent="0.2">
      <c r="G63603" s="889"/>
    </row>
    <row r="63604" spans="7:7" ht="10.5" customHeight="1" x14ac:dyDescent="0.2">
      <c r="G63604" s="889"/>
    </row>
    <row r="63605" spans="7:7" ht="10.5" customHeight="1" x14ac:dyDescent="0.2">
      <c r="G63605" s="889"/>
    </row>
    <row r="63606" spans="7:7" ht="10.5" customHeight="1" x14ac:dyDescent="0.2">
      <c r="G63606" s="889"/>
    </row>
    <row r="63607" spans="7:7" ht="10.5" customHeight="1" x14ac:dyDescent="0.2">
      <c r="G63607" s="889"/>
    </row>
    <row r="63608" spans="7:7" ht="10.5" customHeight="1" x14ac:dyDescent="0.2">
      <c r="G63608" s="889"/>
    </row>
    <row r="63609" spans="7:7" ht="10.5" customHeight="1" x14ac:dyDescent="0.2">
      <c r="G63609" s="889"/>
    </row>
    <row r="63610" spans="7:7" ht="10.5" customHeight="1" x14ac:dyDescent="0.2">
      <c r="G63610" s="889"/>
    </row>
    <row r="63611" spans="7:7" ht="10.5" customHeight="1" x14ac:dyDescent="0.2">
      <c r="G63611" s="889"/>
    </row>
    <row r="63612" spans="7:7" ht="10.5" customHeight="1" x14ac:dyDescent="0.2">
      <c r="G63612" s="889"/>
    </row>
    <row r="63613" spans="7:7" ht="10.5" customHeight="1" x14ac:dyDescent="0.2">
      <c r="G63613" s="889"/>
    </row>
    <row r="63614" spans="7:7" ht="10.5" customHeight="1" x14ac:dyDescent="0.2">
      <c r="G63614" s="889"/>
    </row>
    <row r="63615" spans="7:7" ht="10.5" customHeight="1" x14ac:dyDescent="0.2">
      <c r="G63615" s="889"/>
    </row>
    <row r="63616" spans="7:7" ht="10.5" customHeight="1" x14ac:dyDescent="0.2">
      <c r="G63616" s="889"/>
    </row>
    <row r="63617" spans="7:7" ht="10.5" customHeight="1" x14ac:dyDescent="0.2">
      <c r="G63617" s="889"/>
    </row>
    <row r="63618" spans="7:7" ht="10.5" customHeight="1" x14ac:dyDescent="0.2">
      <c r="G63618" s="889"/>
    </row>
    <row r="63619" spans="7:7" ht="10.5" customHeight="1" x14ac:dyDescent="0.2">
      <c r="G63619" s="889"/>
    </row>
    <row r="63620" spans="7:7" ht="10.5" customHeight="1" x14ac:dyDescent="0.2">
      <c r="G63620" s="889"/>
    </row>
    <row r="63621" spans="7:7" ht="10.5" customHeight="1" x14ac:dyDescent="0.2">
      <c r="G63621" s="889"/>
    </row>
    <row r="63622" spans="7:7" ht="10.5" customHeight="1" x14ac:dyDescent="0.2">
      <c r="G63622" s="889"/>
    </row>
    <row r="63623" spans="7:7" ht="10.5" customHeight="1" x14ac:dyDescent="0.2">
      <c r="G63623" s="889"/>
    </row>
    <row r="63624" spans="7:7" ht="10.5" customHeight="1" x14ac:dyDescent="0.2">
      <c r="G63624" s="889"/>
    </row>
    <row r="63625" spans="7:7" ht="10.5" customHeight="1" x14ac:dyDescent="0.2">
      <c r="G63625" s="889"/>
    </row>
    <row r="63626" spans="7:7" ht="10.5" customHeight="1" x14ac:dyDescent="0.2">
      <c r="G63626" s="889"/>
    </row>
    <row r="63627" spans="7:7" ht="10.5" customHeight="1" x14ac:dyDescent="0.2">
      <c r="G63627" s="889"/>
    </row>
    <row r="63628" spans="7:7" ht="10.5" customHeight="1" x14ac:dyDescent="0.2">
      <c r="G63628" s="889"/>
    </row>
    <row r="63629" spans="7:7" ht="10.5" customHeight="1" x14ac:dyDescent="0.2">
      <c r="G63629" s="889"/>
    </row>
    <row r="63630" spans="7:7" ht="10.5" customHeight="1" x14ac:dyDescent="0.2">
      <c r="G63630" s="889"/>
    </row>
    <row r="63631" spans="7:7" ht="10.5" customHeight="1" x14ac:dyDescent="0.2">
      <c r="G63631" s="889"/>
    </row>
    <row r="63632" spans="7:7" ht="10.5" customHeight="1" x14ac:dyDescent="0.2">
      <c r="G63632" s="889"/>
    </row>
    <row r="63633" spans="7:7" ht="10.5" customHeight="1" x14ac:dyDescent="0.2">
      <c r="G63633" s="889"/>
    </row>
    <row r="63634" spans="7:7" ht="10.5" customHeight="1" x14ac:dyDescent="0.2">
      <c r="G63634" s="889"/>
    </row>
    <row r="63635" spans="7:7" ht="10.5" customHeight="1" x14ac:dyDescent="0.2">
      <c r="G63635" s="889"/>
    </row>
    <row r="63636" spans="7:7" ht="10.5" customHeight="1" x14ac:dyDescent="0.2">
      <c r="G63636" s="889"/>
    </row>
    <row r="63637" spans="7:7" ht="10.5" customHeight="1" x14ac:dyDescent="0.2">
      <c r="G63637" s="889"/>
    </row>
    <row r="63638" spans="7:7" ht="10.5" customHeight="1" x14ac:dyDescent="0.2">
      <c r="G63638" s="889"/>
    </row>
    <row r="63639" spans="7:7" ht="10.5" customHeight="1" x14ac:dyDescent="0.2">
      <c r="G63639" s="889"/>
    </row>
    <row r="63640" spans="7:7" ht="10.5" customHeight="1" x14ac:dyDescent="0.2">
      <c r="G63640" s="889"/>
    </row>
    <row r="63641" spans="7:7" ht="10.5" customHeight="1" x14ac:dyDescent="0.2">
      <c r="G63641" s="889"/>
    </row>
    <row r="63642" spans="7:7" ht="10.5" customHeight="1" x14ac:dyDescent="0.2">
      <c r="G63642" s="889"/>
    </row>
    <row r="63643" spans="7:7" ht="10.5" customHeight="1" x14ac:dyDescent="0.2">
      <c r="G63643" s="889"/>
    </row>
    <row r="63644" spans="7:7" ht="10.5" customHeight="1" x14ac:dyDescent="0.2">
      <c r="G63644" s="889"/>
    </row>
    <row r="63645" spans="7:7" ht="10.5" customHeight="1" x14ac:dyDescent="0.2">
      <c r="G63645" s="889"/>
    </row>
    <row r="63646" spans="7:7" ht="10.5" customHeight="1" x14ac:dyDescent="0.2">
      <c r="G63646" s="889"/>
    </row>
    <row r="63647" spans="7:7" ht="10.5" customHeight="1" x14ac:dyDescent="0.2">
      <c r="G63647" s="889"/>
    </row>
    <row r="63648" spans="7:7" ht="10.5" customHeight="1" x14ac:dyDescent="0.2">
      <c r="G63648" s="889"/>
    </row>
    <row r="63649" spans="7:7" ht="10.5" customHeight="1" x14ac:dyDescent="0.2">
      <c r="G63649" s="889"/>
    </row>
    <row r="63650" spans="7:7" ht="10.5" customHeight="1" x14ac:dyDescent="0.2">
      <c r="G63650" s="889"/>
    </row>
    <row r="63651" spans="7:7" ht="10.5" customHeight="1" x14ac:dyDescent="0.2">
      <c r="G63651" s="889"/>
    </row>
    <row r="63652" spans="7:7" ht="10.5" customHeight="1" x14ac:dyDescent="0.2">
      <c r="G63652" s="889"/>
    </row>
    <row r="63653" spans="7:7" ht="10.5" customHeight="1" x14ac:dyDescent="0.2">
      <c r="G63653" s="889"/>
    </row>
    <row r="63654" spans="7:7" ht="10.5" customHeight="1" x14ac:dyDescent="0.2">
      <c r="G63654" s="889"/>
    </row>
    <row r="63655" spans="7:7" ht="10.5" customHeight="1" x14ac:dyDescent="0.2">
      <c r="G63655" s="889"/>
    </row>
    <row r="63656" spans="7:7" ht="10.5" customHeight="1" x14ac:dyDescent="0.2">
      <c r="G63656" s="889"/>
    </row>
    <row r="63657" spans="7:7" ht="10.5" customHeight="1" x14ac:dyDescent="0.2">
      <c r="G63657" s="889"/>
    </row>
    <row r="63658" spans="7:7" ht="10.5" customHeight="1" x14ac:dyDescent="0.2">
      <c r="G63658" s="889"/>
    </row>
    <row r="63659" spans="7:7" ht="10.5" customHeight="1" x14ac:dyDescent="0.2">
      <c r="G63659" s="889"/>
    </row>
    <row r="63660" spans="7:7" ht="10.5" customHeight="1" x14ac:dyDescent="0.2">
      <c r="G63660" s="889"/>
    </row>
    <row r="63661" spans="7:7" ht="10.5" customHeight="1" x14ac:dyDescent="0.2">
      <c r="G63661" s="889"/>
    </row>
    <row r="63662" spans="7:7" ht="10.5" customHeight="1" x14ac:dyDescent="0.2">
      <c r="G63662" s="889"/>
    </row>
    <row r="63663" spans="7:7" ht="10.5" customHeight="1" x14ac:dyDescent="0.2">
      <c r="G63663" s="889"/>
    </row>
    <row r="63664" spans="7:7" ht="10.5" customHeight="1" x14ac:dyDescent="0.2">
      <c r="G63664" s="889"/>
    </row>
    <row r="63665" spans="7:7" ht="10.5" customHeight="1" x14ac:dyDescent="0.2">
      <c r="G63665" s="889"/>
    </row>
    <row r="63666" spans="7:7" ht="10.5" customHeight="1" x14ac:dyDescent="0.2">
      <c r="G63666" s="889"/>
    </row>
    <row r="63667" spans="7:7" ht="10.5" customHeight="1" x14ac:dyDescent="0.2">
      <c r="G63667" s="889"/>
    </row>
    <row r="63668" spans="7:7" ht="10.5" customHeight="1" x14ac:dyDescent="0.2">
      <c r="G63668" s="889"/>
    </row>
    <row r="63669" spans="7:7" ht="10.5" customHeight="1" x14ac:dyDescent="0.2">
      <c r="G63669" s="889"/>
    </row>
    <row r="63670" spans="7:7" ht="10.5" customHeight="1" x14ac:dyDescent="0.2">
      <c r="G63670" s="889"/>
    </row>
    <row r="63671" spans="7:7" ht="10.5" customHeight="1" x14ac:dyDescent="0.2">
      <c r="G63671" s="889"/>
    </row>
    <row r="63672" spans="7:7" ht="10.5" customHeight="1" x14ac:dyDescent="0.2">
      <c r="G63672" s="889"/>
    </row>
    <row r="63673" spans="7:7" ht="10.5" customHeight="1" x14ac:dyDescent="0.2">
      <c r="G63673" s="889"/>
    </row>
    <row r="63674" spans="7:7" ht="10.5" customHeight="1" x14ac:dyDescent="0.2">
      <c r="G63674" s="889"/>
    </row>
    <row r="63675" spans="7:7" ht="10.5" customHeight="1" x14ac:dyDescent="0.2">
      <c r="G63675" s="889"/>
    </row>
    <row r="63676" spans="7:7" ht="10.5" customHeight="1" x14ac:dyDescent="0.2">
      <c r="G63676" s="889"/>
    </row>
    <row r="63677" spans="7:7" ht="10.5" customHeight="1" x14ac:dyDescent="0.2">
      <c r="G63677" s="889"/>
    </row>
    <row r="63678" spans="7:7" ht="10.5" customHeight="1" x14ac:dyDescent="0.2">
      <c r="G63678" s="889"/>
    </row>
    <row r="63679" spans="7:7" ht="10.5" customHeight="1" x14ac:dyDescent="0.2">
      <c r="G63679" s="889"/>
    </row>
    <row r="63680" spans="7:7" ht="10.5" customHeight="1" x14ac:dyDescent="0.2">
      <c r="G63680" s="889"/>
    </row>
    <row r="63681" spans="7:7" ht="10.5" customHeight="1" x14ac:dyDescent="0.2">
      <c r="G63681" s="889"/>
    </row>
    <row r="63682" spans="7:7" ht="10.5" customHeight="1" x14ac:dyDescent="0.2">
      <c r="G63682" s="889"/>
    </row>
    <row r="63683" spans="7:7" ht="10.5" customHeight="1" x14ac:dyDescent="0.2">
      <c r="G63683" s="889"/>
    </row>
    <row r="63684" spans="7:7" ht="10.5" customHeight="1" x14ac:dyDescent="0.2">
      <c r="G63684" s="889"/>
    </row>
    <row r="63685" spans="7:7" ht="10.5" customHeight="1" x14ac:dyDescent="0.2">
      <c r="G63685" s="889"/>
    </row>
    <row r="63686" spans="7:7" ht="10.5" customHeight="1" x14ac:dyDescent="0.2">
      <c r="G63686" s="889"/>
    </row>
    <row r="63687" spans="7:7" ht="10.5" customHeight="1" x14ac:dyDescent="0.2">
      <c r="G63687" s="889"/>
    </row>
    <row r="63688" spans="7:7" ht="10.5" customHeight="1" x14ac:dyDescent="0.2">
      <c r="G63688" s="889"/>
    </row>
    <row r="63689" spans="7:7" ht="10.5" customHeight="1" x14ac:dyDescent="0.2">
      <c r="G63689" s="889"/>
    </row>
    <row r="63690" spans="7:7" ht="10.5" customHeight="1" x14ac:dyDescent="0.2">
      <c r="G63690" s="889"/>
    </row>
    <row r="63691" spans="7:7" ht="10.5" customHeight="1" x14ac:dyDescent="0.2">
      <c r="G63691" s="889"/>
    </row>
    <row r="63692" spans="7:7" ht="10.5" customHeight="1" x14ac:dyDescent="0.2">
      <c r="G63692" s="889"/>
    </row>
    <row r="63693" spans="7:7" ht="10.5" customHeight="1" x14ac:dyDescent="0.2">
      <c r="G63693" s="889"/>
    </row>
    <row r="63694" spans="7:7" ht="10.5" customHeight="1" x14ac:dyDescent="0.2">
      <c r="G63694" s="889"/>
    </row>
    <row r="63695" spans="7:7" ht="10.5" customHeight="1" x14ac:dyDescent="0.2">
      <c r="G63695" s="889"/>
    </row>
    <row r="63696" spans="7:7" ht="10.5" customHeight="1" x14ac:dyDescent="0.2">
      <c r="G63696" s="889"/>
    </row>
    <row r="63697" spans="7:7" ht="10.5" customHeight="1" x14ac:dyDescent="0.2">
      <c r="G63697" s="889"/>
    </row>
    <row r="63698" spans="7:7" ht="10.5" customHeight="1" x14ac:dyDescent="0.2">
      <c r="G63698" s="889"/>
    </row>
    <row r="63699" spans="7:7" ht="10.5" customHeight="1" x14ac:dyDescent="0.2">
      <c r="G63699" s="889"/>
    </row>
    <row r="63700" spans="7:7" ht="10.5" customHeight="1" x14ac:dyDescent="0.2">
      <c r="G63700" s="889"/>
    </row>
    <row r="63701" spans="7:7" ht="10.5" customHeight="1" x14ac:dyDescent="0.2">
      <c r="G63701" s="889"/>
    </row>
    <row r="63702" spans="7:7" ht="10.5" customHeight="1" x14ac:dyDescent="0.2">
      <c r="G63702" s="889"/>
    </row>
    <row r="63703" spans="7:7" ht="10.5" customHeight="1" x14ac:dyDescent="0.2">
      <c r="G63703" s="889"/>
    </row>
    <row r="63704" spans="7:7" ht="10.5" customHeight="1" x14ac:dyDescent="0.2">
      <c r="G63704" s="889"/>
    </row>
    <row r="63705" spans="7:7" ht="10.5" customHeight="1" x14ac:dyDescent="0.2">
      <c r="G63705" s="889"/>
    </row>
    <row r="63706" spans="7:7" ht="10.5" customHeight="1" x14ac:dyDescent="0.2">
      <c r="G63706" s="889"/>
    </row>
    <row r="63707" spans="7:7" ht="10.5" customHeight="1" x14ac:dyDescent="0.2">
      <c r="G63707" s="889"/>
    </row>
    <row r="63708" spans="7:7" ht="10.5" customHeight="1" x14ac:dyDescent="0.2">
      <c r="G63708" s="889"/>
    </row>
    <row r="63709" spans="7:7" ht="10.5" customHeight="1" x14ac:dyDescent="0.2">
      <c r="G63709" s="889"/>
    </row>
    <row r="63710" spans="7:7" ht="10.5" customHeight="1" x14ac:dyDescent="0.2">
      <c r="G63710" s="889"/>
    </row>
    <row r="63711" spans="7:7" ht="10.5" customHeight="1" x14ac:dyDescent="0.2">
      <c r="G63711" s="889"/>
    </row>
    <row r="63712" spans="7:7" ht="10.5" customHeight="1" x14ac:dyDescent="0.2">
      <c r="G63712" s="889"/>
    </row>
    <row r="63713" spans="7:7" ht="10.5" customHeight="1" x14ac:dyDescent="0.2">
      <c r="G63713" s="889"/>
    </row>
    <row r="63714" spans="7:7" ht="10.5" customHeight="1" x14ac:dyDescent="0.2">
      <c r="G63714" s="889"/>
    </row>
    <row r="63715" spans="7:7" ht="10.5" customHeight="1" x14ac:dyDescent="0.2">
      <c r="G63715" s="889"/>
    </row>
    <row r="63716" spans="7:7" ht="10.5" customHeight="1" x14ac:dyDescent="0.2">
      <c r="G63716" s="889"/>
    </row>
    <row r="63717" spans="7:7" ht="10.5" customHeight="1" x14ac:dyDescent="0.2">
      <c r="G63717" s="889"/>
    </row>
    <row r="63718" spans="7:7" ht="10.5" customHeight="1" x14ac:dyDescent="0.2">
      <c r="G63718" s="889"/>
    </row>
    <row r="63719" spans="7:7" ht="10.5" customHeight="1" x14ac:dyDescent="0.2">
      <c r="G63719" s="889"/>
    </row>
    <row r="63720" spans="7:7" ht="10.5" customHeight="1" x14ac:dyDescent="0.2">
      <c r="G63720" s="889"/>
    </row>
    <row r="63721" spans="7:7" ht="10.5" customHeight="1" x14ac:dyDescent="0.2">
      <c r="G63721" s="889"/>
    </row>
    <row r="63722" spans="7:7" ht="10.5" customHeight="1" x14ac:dyDescent="0.2">
      <c r="G63722" s="889"/>
    </row>
    <row r="63723" spans="7:7" ht="10.5" customHeight="1" x14ac:dyDescent="0.2">
      <c r="G63723" s="889"/>
    </row>
    <row r="63724" spans="7:7" ht="10.5" customHeight="1" x14ac:dyDescent="0.2">
      <c r="G63724" s="889"/>
    </row>
    <row r="63725" spans="7:7" ht="10.5" customHeight="1" x14ac:dyDescent="0.2">
      <c r="G63725" s="889"/>
    </row>
    <row r="63726" spans="7:7" ht="10.5" customHeight="1" x14ac:dyDescent="0.2">
      <c r="G63726" s="889"/>
    </row>
    <row r="63727" spans="7:7" ht="10.5" customHeight="1" x14ac:dyDescent="0.2">
      <c r="G63727" s="889"/>
    </row>
    <row r="63728" spans="7:7" ht="10.5" customHeight="1" x14ac:dyDescent="0.2">
      <c r="G63728" s="889"/>
    </row>
    <row r="63729" spans="7:7" ht="10.5" customHeight="1" x14ac:dyDescent="0.2">
      <c r="G63729" s="889"/>
    </row>
    <row r="63730" spans="7:7" ht="10.5" customHeight="1" x14ac:dyDescent="0.2">
      <c r="G63730" s="889"/>
    </row>
    <row r="63731" spans="7:7" ht="10.5" customHeight="1" x14ac:dyDescent="0.2">
      <c r="G63731" s="889"/>
    </row>
    <row r="63732" spans="7:7" ht="10.5" customHeight="1" x14ac:dyDescent="0.2">
      <c r="G63732" s="889"/>
    </row>
    <row r="63733" spans="7:7" ht="10.5" customHeight="1" x14ac:dyDescent="0.2">
      <c r="G63733" s="889"/>
    </row>
    <row r="63734" spans="7:7" ht="10.5" customHeight="1" x14ac:dyDescent="0.2">
      <c r="G63734" s="889"/>
    </row>
    <row r="63735" spans="7:7" ht="10.5" customHeight="1" x14ac:dyDescent="0.2">
      <c r="G63735" s="889"/>
    </row>
    <row r="63736" spans="7:7" ht="10.5" customHeight="1" x14ac:dyDescent="0.2">
      <c r="G63736" s="889"/>
    </row>
    <row r="63737" spans="7:7" ht="10.5" customHeight="1" x14ac:dyDescent="0.2">
      <c r="G63737" s="889"/>
    </row>
    <row r="63738" spans="7:7" ht="10.5" customHeight="1" x14ac:dyDescent="0.2">
      <c r="G63738" s="889"/>
    </row>
    <row r="63739" spans="7:7" ht="10.5" customHeight="1" x14ac:dyDescent="0.2">
      <c r="G63739" s="889"/>
    </row>
    <row r="63740" spans="7:7" ht="10.5" customHeight="1" x14ac:dyDescent="0.2">
      <c r="G63740" s="889"/>
    </row>
    <row r="63741" spans="7:7" ht="10.5" customHeight="1" x14ac:dyDescent="0.2">
      <c r="G63741" s="889"/>
    </row>
    <row r="63742" spans="7:7" ht="10.5" customHeight="1" x14ac:dyDescent="0.2">
      <c r="G63742" s="889"/>
    </row>
    <row r="63743" spans="7:7" ht="10.5" customHeight="1" x14ac:dyDescent="0.2">
      <c r="G63743" s="889"/>
    </row>
    <row r="63744" spans="7:7" ht="10.5" customHeight="1" x14ac:dyDescent="0.2">
      <c r="G63744" s="889"/>
    </row>
    <row r="63745" spans="7:7" ht="10.5" customHeight="1" x14ac:dyDescent="0.2">
      <c r="G63745" s="889"/>
    </row>
    <row r="63746" spans="7:7" ht="10.5" customHeight="1" x14ac:dyDescent="0.2">
      <c r="G63746" s="889"/>
    </row>
    <row r="63747" spans="7:7" ht="10.5" customHeight="1" x14ac:dyDescent="0.2">
      <c r="G63747" s="889"/>
    </row>
    <row r="63748" spans="7:7" ht="10.5" customHeight="1" x14ac:dyDescent="0.2">
      <c r="G63748" s="889"/>
    </row>
    <row r="63749" spans="7:7" ht="10.5" customHeight="1" x14ac:dyDescent="0.2">
      <c r="G63749" s="889"/>
    </row>
    <row r="63750" spans="7:7" ht="10.5" customHeight="1" x14ac:dyDescent="0.2">
      <c r="G63750" s="889"/>
    </row>
    <row r="63751" spans="7:7" ht="10.5" customHeight="1" x14ac:dyDescent="0.2">
      <c r="G63751" s="889"/>
    </row>
    <row r="63752" spans="7:7" ht="10.5" customHeight="1" x14ac:dyDescent="0.2">
      <c r="G63752" s="889"/>
    </row>
    <row r="63753" spans="7:7" ht="10.5" customHeight="1" x14ac:dyDescent="0.2">
      <c r="G63753" s="889"/>
    </row>
    <row r="63754" spans="7:7" ht="10.5" customHeight="1" x14ac:dyDescent="0.2">
      <c r="G63754" s="889"/>
    </row>
    <row r="63755" spans="7:7" ht="10.5" customHeight="1" x14ac:dyDescent="0.2">
      <c r="G63755" s="889"/>
    </row>
    <row r="63756" spans="7:7" ht="10.5" customHeight="1" x14ac:dyDescent="0.2">
      <c r="G63756" s="889"/>
    </row>
    <row r="63757" spans="7:7" ht="10.5" customHeight="1" x14ac:dyDescent="0.2">
      <c r="G63757" s="889"/>
    </row>
    <row r="63758" spans="7:7" ht="10.5" customHeight="1" x14ac:dyDescent="0.2">
      <c r="G63758" s="889"/>
    </row>
    <row r="63759" spans="7:7" ht="10.5" customHeight="1" x14ac:dyDescent="0.2">
      <c r="G63759" s="889"/>
    </row>
    <row r="63760" spans="7:7" ht="10.5" customHeight="1" x14ac:dyDescent="0.2">
      <c r="G63760" s="889"/>
    </row>
    <row r="63761" spans="7:7" ht="10.5" customHeight="1" x14ac:dyDescent="0.2">
      <c r="G63761" s="889"/>
    </row>
    <row r="63762" spans="7:7" ht="10.5" customHeight="1" x14ac:dyDescent="0.2">
      <c r="G63762" s="889"/>
    </row>
    <row r="63763" spans="7:7" ht="10.5" customHeight="1" x14ac:dyDescent="0.2">
      <c r="G63763" s="889"/>
    </row>
    <row r="63764" spans="7:7" ht="10.5" customHeight="1" x14ac:dyDescent="0.2">
      <c r="G63764" s="889"/>
    </row>
    <row r="63765" spans="7:7" ht="10.5" customHeight="1" x14ac:dyDescent="0.2">
      <c r="G63765" s="889"/>
    </row>
    <row r="63766" spans="7:7" ht="10.5" customHeight="1" x14ac:dyDescent="0.2">
      <c r="G63766" s="889"/>
    </row>
    <row r="63767" spans="7:7" ht="10.5" customHeight="1" x14ac:dyDescent="0.2">
      <c r="G63767" s="889"/>
    </row>
    <row r="63768" spans="7:7" ht="10.5" customHeight="1" x14ac:dyDescent="0.2">
      <c r="G63768" s="889"/>
    </row>
    <row r="63769" spans="7:7" ht="10.5" customHeight="1" x14ac:dyDescent="0.2">
      <c r="G63769" s="889"/>
    </row>
    <row r="63770" spans="7:7" ht="10.5" customHeight="1" x14ac:dyDescent="0.2">
      <c r="G63770" s="889"/>
    </row>
    <row r="63771" spans="7:7" ht="10.5" customHeight="1" x14ac:dyDescent="0.2">
      <c r="G63771" s="889"/>
    </row>
    <row r="63772" spans="7:7" ht="10.5" customHeight="1" x14ac:dyDescent="0.2">
      <c r="G63772" s="889"/>
    </row>
    <row r="63773" spans="7:7" ht="10.5" customHeight="1" x14ac:dyDescent="0.2">
      <c r="G63773" s="889"/>
    </row>
    <row r="63774" spans="7:7" ht="10.5" customHeight="1" x14ac:dyDescent="0.2">
      <c r="G63774" s="889"/>
    </row>
    <row r="63775" spans="7:7" ht="10.5" customHeight="1" x14ac:dyDescent="0.2">
      <c r="G63775" s="889"/>
    </row>
    <row r="63776" spans="7:7" ht="10.5" customHeight="1" x14ac:dyDescent="0.2">
      <c r="G63776" s="889"/>
    </row>
    <row r="63777" spans="7:7" ht="10.5" customHeight="1" x14ac:dyDescent="0.2">
      <c r="G63777" s="889"/>
    </row>
    <row r="63778" spans="7:7" ht="10.5" customHeight="1" x14ac:dyDescent="0.2">
      <c r="G63778" s="889"/>
    </row>
    <row r="63779" spans="7:7" ht="10.5" customHeight="1" x14ac:dyDescent="0.2">
      <c r="G63779" s="889"/>
    </row>
    <row r="63780" spans="7:7" ht="10.5" customHeight="1" x14ac:dyDescent="0.2">
      <c r="G63780" s="889"/>
    </row>
    <row r="63781" spans="7:7" ht="10.5" customHeight="1" x14ac:dyDescent="0.2">
      <c r="G63781" s="889"/>
    </row>
    <row r="63782" spans="7:7" ht="10.5" customHeight="1" x14ac:dyDescent="0.2">
      <c r="G63782" s="889"/>
    </row>
    <row r="63783" spans="7:7" ht="10.5" customHeight="1" x14ac:dyDescent="0.2">
      <c r="G63783" s="889"/>
    </row>
    <row r="63784" spans="7:7" ht="10.5" customHeight="1" x14ac:dyDescent="0.2">
      <c r="G63784" s="889"/>
    </row>
    <row r="63785" spans="7:7" ht="10.5" customHeight="1" x14ac:dyDescent="0.2">
      <c r="G63785" s="889"/>
    </row>
    <row r="63786" spans="7:7" ht="10.5" customHeight="1" x14ac:dyDescent="0.2">
      <c r="G63786" s="889"/>
    </row>
    <row r="63787" spans="7:7" ht="10.5" customHeight="1" x14ac:dyDescent="0.2">
      <c r="G63787" s="889"/>
    </row>
    <row r="63788" spans="7:7" ht="10.5" customHeight="1" x14ac:dyDescent="0.2">
      <c r="G63788" s="889"/>
    </row>
    <row r="63789" spans="7:7" ht="10.5" customHeight="1" x14ac:dyDescent="0.2">
      <c r="G63789" s="889"/>
    </row>
    <row r="63790" spans="7:7" ht="10.5" customHeight="1" x14ac:dyDescent="0.2">
      <c r="G63790" s="889"/>
    </row>
    <row r="63791" spans="7:7" ht="10.5" customHeight="1" x14ac:dyDescent="0.2">
      <c r="G63791" s="889"/>
    </row>
    <row r="63792" spans="7:7" ht="10.5" customHeight="1" x14ac:dyDescent="0.2">
      <c r="G63792" s="889"/>
    </row>
    <row r="63793" spans="7:7" ht="10.5" customHeight="1" x14ac:dyDescent="0.2">
      <c r="G63793" s="889"/>
    </row>
    <row r="63794" spans="7:7" ht="10.5" customHeight="1" x14ac:dyDescent="0.2">
      <c r="G63794" s="889"/>
    </row>
    <row r="63795" spans="7:7" ht="10.5" customHeight="1" x14ac:dyDescent="0.2">
      <c r="G63795" s="889"/>
    </row>
    <row r="63796" spans="7:7" ht="10.5" customHeight="1" x14ac:dyDescent="0.2">
      <c r="G63796" s="889"/>
    </row>
    <row r="63797" spans="7:7" ht="10.5" customHeight="1" x14ac:dyDescent="0.2">
      <c r="G63797" s="889"/>
    </row>
    <row r="63798" spans="7:7" ht="10.5" customHeight="1" x14ac:dyDescent="0.2">
      <c r="G63798" s="889"/>
    </row>
    <row r="63799" spans="7:7" ht="10.5" customHeight="1" x14ac:dyDescent="0.2">
      <c r="G63799" s="889"/>
    </row>
    <row r="63800" spans="7:7" ht="10.5" customHeight="1" x14ac:dyDescent="0.2">
      <c r="G63800" s="889"/>
    </row>
    <row r="63801" spans="7:7" ht="10.5" customHeight="1" x14ac:dyDescent="0.2">
      <c r="G63801" s="889"/>
    </row>
    <row r="63802" spans="7:7" ht="10.5" customHeight="1" x14ac:dyDescent="0.2">
      <c r="G63802" s="889"/>
    </row>
    <row r="63803" spans="7:7" ht="10.5" customHeight="1" x14ac:dyDescent="0.2">
      <c r="G63803" s="889"/>
    </row>
    <row r="63804" spans="7:7" ht="10.5" customHeight="1" x14ac:dyDescent="0.2">
      <c r="G63804" s="889"/>
    </row>
    <row r="63805" spans="7:7" ht="10.5" customHeight="1" x14ac:dyDescent="0.2">
      <c r="G63805" s="889"/>
    </row>
    <row r="63806" spans="7:7" ht="10.5" customHeight="1" x14ac:dyDescent="0.2">
      <c r="G63806" s="889"/>
    </row>
    <row r="63807" spans="7:7" ht="10.5" customHeight="1" x14ac:dyDescent="0.2">
      <c r="G63807" s="889"/>
    </row>
    <row r="63808" spans="7:7" ht="10.5" customHeight="1" x14ac:dyDescent="0.2">
      <c r="G63808" s="889"/>
    </row>
    <row r="63809" spans="7:7" ht="10.5" customHeight="1" x14ac:dyDescent="0.2">
      <c r="G63809" s="889"/>
    </row>
    <row r="63810" spans="7:7" ht="10.5" customHeight="1" x14ac:dyDescent="0.2">
      <c r="G63810" s="889"/>
    </row>
    <row r="63811" spans="7:7" ht="10.5" customHeight="1" x14ac:dyDescent="0.2">
      <c r="G63811" s="889"/>
    </row>
    <row r="63812" spans="7:7" ht="10.5" customHeight="1" x14ac:dyDescent="0.2">
      <c r="G63812" s="889"/>
    </row>
    <row r="63813" spans="7:7" ht="10.5" customHeight="1" x14ac:dyDescent="0.2">
      <c r="G63813" s="889"/>
    </row>
    <row r="63814" spans="7:7" ht="10.5" customHeight="1" x14ac:dyDescent="0.2">
      <c r="G63814" s="889"/>
    </row>
    <row r="63815" spans="7:7" ht="10.5" customHeight="1" x14ac:dyDescent="0.2">
      <c r="G63815" s="889"/>
    </row>
    <row r="63816" spans="7:7" ht="10.5" customHeight="1" x14ac:dyDescent="0.2">
      <c r="G63816" s="889"/>
    </row>
    <row r="63817" spans="7:7" ht="10.5" customHeight="1" x14ac:dyDescent="0.2">
      <c r="G63817" s="889"/>
    </row>
    <row r="63818" spans="7:7" ht="10.5" customHeight="1" x14ac:dyDescent="0.2">
      <c r="G63818" s="889"/>
    </row>
    <row r="63819" spans="7:7" ht="10.5" customHeight="1" x14ac:dyDescent="0.2">
      <c r="G63819" s="889"/>
    </row>
    <row r="63820" spans="7:7" ht="10.5" customHeight="1" x14ac:dyDescent="0.2">
      <c r="G63820" s="889"/>
    </row>
    <row r="63821" spans="7:7" ht="10.5" customHeight="1" x14ac:dyDescent="0.2">
      <c r="G63821" s="889"/>
    </row>
    <row r="63822" spans="7:7" ht="10.5" customHeight="1" x14ac:dyDescent="0.2">
      <c r="G63822" s="889"/>
    </row>
    <row r="63823" spans="7:7" ht="10.5" customHeight="1" x14ac:dyDescent="0.2">
      <c r="G63823" s="889"/>
    </row>
    <row r="63824" spans="7:7" ht="10.5" customHeight="1" x14ac:dyDescent="0.2">
      <c r="G63824" s="889"/>
    </row>
    <row r="63825" spans="7:7" ht="10.5" customHeight="1" x14ac:dyDescent="0.2">
      <c r="G63825" s="889"/>
    </row>
    <row r="63826" spans="7:7" ht="10.5" customHeight="1" x14ac:dyDescent="0.2">
      <c r="G63826" s="889"/>
    </row>
    <row r="63827" spans="7:7" ht="10.5" customHeight="1" x14ac:dyDescent="0.2">
      <c r="G63827" s="889"/>
    </row>
    <row r="63828" spans="7:7" ht="10.5" customHeight="1" x14ac:dyDescent="0.2">
      <c r="G63828" s="889"/>
    </row>
    <row r="63829" spans="7:7" ht="10.5" customHeight="1" x14ac:dyDescent="0.2">
      <c r="G63829" s="889"/>
    </row>
    <row r="63830" spans="7:7" ht="10.5" customHeight="1" x14ac:dyDescent="0.2">
      <c r="G63830" s="889"/>
    </row>
    <row r="63831" spans="7:7" ht="10.5" customHeight="1" x14ac:dyDescent="0.2">
      <c r="G63831" s="889"/>
    </row>
    <row r="63832" spans="7:7" ht="10.5" customHeight="1" x14ac:dyDescent="0.2">
      <c r="G63832" s="889"/>
    </row>
    <row r="63833" spans="7:7" ht="10.5" customHeight="1" x14ac:dyDescent="0.2">
      <c r="G63833" s="889"/>
    </row>
    <row r="63834" spans="7:7" ht="10.5" customHeight="1" x14ac:dyDescent="0.2">
      <c r="G63834" s="889"/>
    </row>
    <row r="63835" spans="7:7" ht="10.5" customHeight="1" x14ac:dyDescent="0.2">
      <c r="G63835" s="889"/>
    </row>
    <row r="63836" spans="7:7" ht="10.5" customHeight="1" x14ac:dyDescent="0.2">
      <c r="G63836" s="889"/>
    </row>
    <row r="63837" spans="7:7" ht="10.5" customHeight="1" x14ac:dyDescent="0.2">
      <c r="G63837" s="889"/>
    </row>
    <row r="63838" spans="7:7" ht="10.5" customHeight="1" x14ac:dyDescent="0.2">
      <c r="G63838" s="889"/>
    </row>
    <row r="63839" spans="7:7" ht="10.5" customHeight="1" x14ac:dyDescent="0.2">
      <c r="G63839" s="889"/>
    </row>
    <row r="63840" spans="7:7" ht="10.5" customHeight="1" x14ac:dyDescent="0.2">
      <c r="G63840" s="889"/>
    </row>
    <row r="63841" spans="7:7" ht="10.5" customHeight="1" x14ac:dyDescent="0.2">
      <c r="G63841" s="889"/>
    </row>
    <row r="63842" spans="7:7" ht="10.5" customHeight="1" x14ac:dyDescent="0.2">
      <c r="G63842" s="889"/>
    </row>
    <row r="63843" spans="7:7" ht="10.5" customHeight="1" x14ac:dyDescent="0.2">
      <c r="G63843" s="889"/>
    </row>
    <row r="63844" spans="7:7" ht="10.5" customHeight="1" x14ac:dyDescent="0.2">
      <c r="G63844" s="889"/>
    </row>
    <row r="63845" spans="7:7" ht="10.5" customHeight="1" x14ac:dyDescent="0.2">
      <c r="G63845" s="889"/>
    </row>
    <row r="63846" spans="7:7" ht="10.5" customHeight="1" x14ac:dyDescent="0.2">
      <c r="G63846" s="889"/>
    </row>
    <row r="63847" spans="7:7" ht="10.5" customHeight="1" x14ac:dyDescent="0.2">
      <c r="G63847" s="889"/>
    </row>
    <row r="63848" spans="7:7" ht="10.5" customHeight="1" x14ac:dyDescent="0.2">
      <c r="G63848" s="889"/>
    </row>
    <row r="63849" spans="7:7" ht="10.5" customHeight="1" x14ac:dyDescent="0.2">
      <c r="G63849" s="889"/>
    </row>
    <row r="63850" spans="7:7" ht="10.5" customHeight="1" x14ac:dyDescent="0.2">
      <c r="G63850" s="889"/>
    </row>
    <row r="63851" spans="7:7" ht="10.5" customHeight="1" x14ac:dyDescent="0.2">
      <c r="G63851" s="889"/>
    </row>
    <row r="63852" spans="7:7" ht="10.5" customHeight="1" x14ac:dyDescent="0.2">
      <c r="G63852" s="889"/>
    </row>
    <row r="63853" spans="7:7" ht="10.5" customHeight="1" x14ac:dyDescent="0.2">
      <c r="G63853" s="889"/>
    </row>
    <row r="63854" spans="7:7" ht="10.5" customHeight="1" x14ac:dyDescent="0.2">
      <c r="G63854" s="889"/>
    </row>
    <row r="63855" spans="7:7" ht="10.5" customHeight="1" x14ac:dyDescent="0.2">
      <c r="G63855" s="889"/>
    </row>
    <row r="63856" spans="7:7" ht="10.5" customHeight="1" x14ac:dyDescent="0.2">
      <c r="G63856" s="889"/>
    </row>
    <row r="63857" spans="7:7" ht="10.5" customHeight="1" x14ac:dyDescent="0.2">
      <c r="G63857" s="889"/>
    </row>
    <row r="63858" spans="7:7" ht="10.5" customHeight="1" x14ac:dyDescent="0.2">
      <c r="G63858" s="889"/>
    </row>
    <row r="63859" spans="7:7" ht="10.5" customHeight="1" x14ac:dyDescent="0.2">
      <c r="G63859" s="889"/>
    </row>
    <row r="63860" spans="7:7" ht="10.5" customHeight="1" x14ac:dyDescent="0.2">
      <c r="G63860" s="889"/>
    </row>
    <row r="63861" spans="7:7" ht="10.5" customHeight="1" x14ac:dyDescent="0.2">
      <c r="G63861" s="889"/>
    </row>
    <row r="63862" spans="7:7" ht="10.5" customHeight="1" x14ac:dyDescent="0.2">
      <c r="G63862" s="889"/>
    </row>
    <row r="63863" spans="7:7" ht="10.5" customHeight="1" x14ac:dyDescent="0.2">
      <c r="G63863" s="889"/>
    </row>
    <row r="63864" spans="7:7" ht="10.5" customHeight="1" x14ac:dyDescent="0.2">
      <c r="G63864" s="889"/>
    </row>
    <row r="63865" spans="7:7" ht="10.5" customHeight="1" x14ac:dyDescent="0.2">
      <c r="G63865" s="889"/>
    </row>
    <row r="63866" spans="7:7" ht="10.5" customHeight="1" x14ac:dyDescent="0.2">
      <c r="G63866" s="889"/>
    </row>
    <row r="63867" spans="7:7" ht="10.5" customHeight="1" x14ac:dyDescent="0.2">
      <c r="G63867" s="889"/>
    </row>
    <row r="63868" spans="7:7" ht="10.5" customHeight="1" x14ac:dyDescent="0.2">
      <c r="G63868" s="889"/>
    </row>
    <row r="63869" spans="7:7" ht="10.5" customHeight="1" x14ac:dyDescent="0.2">
      <c r="G63869" s="889"/>
    </row>
    <row r="63870" spans="7:7" ht="10.5" customHeight="1" x14ac:dyDescent="0.2">
      <c r="G63870" s="889"/>
    </row>
    <row r="63871" spans="7:7" ht="10.5" customHeight="1" x14ac:dyDescent="0.2">
      <c r="G63871" s="889"/>
    </row>
    <row r="63872" spans="7:7" ht="10.5" customHeight="1" x14ac:dyDescent="0.2">
      <c r="G63872" s="889"/>
    </row>
    <row r="63873" spans="7:7" ht="10.5" customHeight="1" x14ac:dyDescent="0.2">
      <c r="G63873" s="889"/>
    </row>
    <row r="63874" spans="7:7" ht="10.5" customHeight="1" x14ac:dyDescent="0.2">
      <c r="G63874" s="889"/>
    </row>
    <row r="63875" spans="7:7" ht="10.5" customHeight="1" x14ac:dyDescent="0.2">
      <c r="G63875" s="889"/>
    </row>
    <row r="63876" spans="7:7" ht="10.5" customHeight="1" x14ac:dyDescent="0.2">
      <c r="G63876" s="889"/>
    </row>
    <row r="63877" spans="7:7" ht="10.5" customHeight="1" x14ac:dyDescent="0.2">
      <c r="G63877" s="889"/>
    </row>
    <row r="63878" spans="7:7" ht="10.5" customHeight="1" x14ac:dyDescent="0.2">
      <c r="G63878" s="889"/>
    </row>
    <row r="63879" spans="7:7" ht="10.5" customHeight="1" x14ac:dyDescent="0.2">
      <c r="G63879" s="889"/>
    </row>
    <row r="63880" spans="7:7" ht="10.5" customHeight="1" x14ac:dyDescent="0.2">
      <c r="G63880" s="889"/>
    </row>
    <row r="63881" spans="7:7" ht="10.5" customHeight="1" x14ac:dyDescent="0.2">
      <c r="G63881" s="889"/>
    </row>
    <row r="63882" spans="7:7" ht="10.5" customHeight="1" x14ac:dyDescent="0.2">
      <c r="G63882" s="889"/>
    </row>
    <row r="63883" spans="7:7" ht="10.5" customHeight="1" x14ac:dyDescent="0.2">
      <c r="G63883" s="889"/>
    </row>
    <row r="63884" spans="7:7" ht="10.5" customHeight="1" x14ac:dyDescent="0.2">
      <c r="G63884" s="889"/>
    </row>
    <row r="63885" spans="7:7" ht="10.5" customHeight="1" x14ac:dyDescent="0.2">
      <c r="G63885" s="889"/>
    </row>
    <row r="63886" spans="7:7" ht="10.5" customHeight="1" x14ac:dyDescent="0.2">
      <c r="G63886" s="889"/>
    </row>
    <row r="63887" spans="7:7" ht="10.5" customHeight="1" x14ac:dyDescent="0.2">
      <c r="G63887" s="889"/>
    </row>
    <row r="63888" spans="7:7" ht="10.5" customHeight="1" x14ac:dyDescent="0.2">
      <c r="G63888" s="889"/>
    </row>
    <row r="63889" spans="7:7" ht="10.5" customHeight="1" x14ac:dyDescent="0.2">
      <c r="G63889" s="889"/>
    </row>
    <row r="63890" spans="7:7" ht="10.5" customHeight="1" x14ac:dyDescent="0.2">
      <c r="G63890" s="889"/>
    </row>
    <row r="63891" spans="7:7" ht="10.5" customHeight="1" x14ac:dyDescent="0.2">
      <c r="G63891" s="889"/>
    </row>
    <row r="63892" spans="7:7" ht="10.5" customHeight="1" x14ac:dyDescent="0.2">
      <c r="G63892" s="889"/>
    </row>
    <row r="63893" spans="7:7" ht="10.5" customHeight="1" x14ac:dyDescent="0.2">
      <c r="G63893" s="889"/>
    </row>
    <row r="63894" spans="7:7" ht="10.5" customHeight="1" x14ac:dyDescent="0.2">
      <c r="G63894" s="889"/>
    </row>
    <row r="63895" spans="7:7" ht="10.5" customHeight="1" x14ac:dyDescent="0.2">
      <c r="G63895" s="889"/>
    </row>
    <row r="63896" spans="7:7" ht="10.5" customHeight="1" x14ac:dyDescent="0.2">
      <c r="G63896" s="889"/>
    </row>
    <row r="63897" spans="7:7" ht="10.5" customHeight="1" x14ac:dyDescent="0.2">
      <c r="G63897" s="889"/>
    </row>
    <row r="63898" spans="7:7" ht="10.5" customHeight="1" x14ac:dyDescent="0.2">
      <c r="G63898" s="889"/>
    </row>
    <row r="63899" spans="7:7" ht="10.5" customHeight="1" x14ac:dyDescent="0.2">
      <c r="G63899" s="889"/>
    </row>
    <row r="63900" spans="7:7" ht="10.5" customHeight="1" x14ac:dyDescent="0.2">
      <c r="G63900" s="889"/>
    </row>
    <row r="63901" spans="7:7" ht="10.5" customHeight="1" x14ac:dyDescent="0.2">
      <c r="G63901" s="889"/>
    </row>
    <row r="63902" spans="7:7" ht="10.5" customHeight="1" x14ac:dyDescent="0.2">
      <c r="G63902" s="889"/>
    </row>
    <row r="63903" spans="7:7" ht="10.5" customHeight="1" x14ac:dyDescent="0.2">
      <c r="G63903" s="889"/>
    </row>
    <row r="63904" spans="7:7" ht="10.5" customHeight="1" x14ac:dyDescent="0.2">
      <c r="G63904" s="889"/>
    </row>
    <row r="63905" spans="7:7" ht="10.5" customHeight="1" x14ac:dyDescent="0.2">
      <c r="G63905" s="889"/>
    </row>
    <row r="63906" spans="7:7" ht="10.5" customHeight="1" x14ac:dyDescent="0.2">
      <c r="G63906" s="889"/>
    </row>
    <row r="63907" spans="7:7" ht="10.5" customHeight="1" x14ac:dyDescent="0.2">
      <c r="G63907" s="889"/>
    </row>
    <row r="63908" spans="7:7" ht="10.5" customHeight="1" x14ac:dyDescent="0.2">
      <c r="G63908" s="889"/>
    </row>
    <row r="63909" spans="7:7" ht="10.5" customHeight="1" x14ac:dyDescent="0.2">
      <c r="G63909" s="889"/>
    </row>
    <row r="63910" spans="7:7" ht="10.5" customHeight="1" x14ac:dyDescent="0.2">
      <c r="G63910" s="889"/>
    </row>
    <row r="63911" spans="7:7" ht="10.5" customHeight="1" x14ac:dyDescent="0.2">
      <c r="G63911" s="889"/>
    </row>
    <row r="63912" spans="7:7" ht="10.5" customHeight="1" x14ac:dyDescent="0.2">
      <c r="G63912" s="889"/>
    </row>
    <row r="63913" spans="7:7" ht="10.5" customHeight="1" x14ac:dyDescent="0.2">
      <c r="G63913" s="889"/>
    </row>
    <row r="63914" spans="7:7" ht="10.5" customHeight="1" x14ac:dyDescent="0.2">
      <c r="G63914" s="889"/>
    </row>
    <row r="63915" spans="7:7" ht="10.5" customHeight="1" x14ac:dyDescent="0.2">
      <c r="G63915" s="889"/>
    </row>
    <row r="63916" spans="7:7" ht="10.5" customHeight="1" x14ac:dyDescent="0.2">
      <c r="G63916" s="889"/>
    </row>
    <row r="63917" spans="7:7" ht="10.5" customHeight="1" x14ac:dyDescent="0.2">
      <c r="G63917" s="889"/>
    </row>
    <row r="63918" spans="7:7" ht="10.5" customHeight="1" x14ac:dyDescent="0.2">
      <c r="G63918" s="889"/>
    </row>
    <row r="63919" spans="7:7" ht="10.5" customHeight="1" x14ac:dyDescent="0.2">
      <c r="G63919" s="889"/>
    </row>
    <row r="63920" spans="7:7" ht="10.5" customHeight="1" x14ac:dyDescent="0.2">
      <c r="G63920" s="889"/>
    </row>
    <row r="63921" spans="7:7" ht="10.5" customHeight="1" x14ac:dyDescent="0.2">
      <c r="G63921" s="889"/>
    </row>
    <row r="63922" spans="7:7" ht="10.5" customHeight="1" x14ac:dyDescent="0.2">
      <c r="G63922" s="889"/>
    </row>
    <row r="63923" spans="7:7" ht="10.5" customHeight="1" x14ac:dyDescent="0.2">
      <c r="G63923" s="889"/>
    </row>
    <row r="63924" spans="7:7" ht="10.5" customHeight="1" x14ac:dyDescent="0.2">
      <c r="G63924" s="889"/>
    </row>
    <row r="63925" spans="7:7" ht="10.5" customHeight="1" x14ac:dyDescent="0.2">
      <c r="G63925" s="889"/>
    </row>
    <row r="63926" spans="7:7" ht="10.5" customHeight="1" x14ac:dyDescent="0.2">
      <c r="G63926" s="889"/>
    </row>
    <row r="63927" spans="7:7" ht="10.5" customHeight="1" x14ac:dyDescent="0.2">
      <c r="G63927" s="889"/>
    </row>
    <row r="63928" spans="7:7" ht="10.5" customHeight="1" x14ac:dyDescent="0.2">
      <c r="G63928" s="889"/>
    </row>
    <row r="63929" spans="7:7" ht="10.5" customHeight="1" x14ac:dyDescent="0.2">
      <c r="G63929" s="889"/>
    </row>
    <row r="63930" spans="7:7" ht="10.5" customHeight="1" x14ac:dyDescent="0.2">
      <c r="G63930" s="889"/>
    </row>
    <row r="63931" spans="7:7" ht="10.5" customHeight="1" x14ac:dyDescent="0.2">
      <c r="G63931" s="889"/>
    </row>
    <row r="63932" spans="7:7" ht="10.5" customHeight="1" x14ac:dyDescent="0.2">
      <c r="G63932" s="889"/>
    </row>
    <row r="63933" spans="7:7" ht="10.5" customHeight="1" x14ac:dyDescent="0.2">
      <c r="G63933" s="889"/>
    </row>
    <row r="63934" spans="7:7" ht="10.5" customHeight="1" x14ac:dyDescent="0.2">
      <c r="G63934" s="889"/>
    </row>
    <row r="63935" spans="7:7" ht="10.5" customHeight="1" x14ac:dyDescent="0.2">
      <c r="G63935" s="889"/>
    </row>
    <row r="63936" spans="7:7" ht="10.5" customHeight="1" x14ac:dyDescent="0.2">
      <c r="G63936" s="889"/>
    </row>
    <row r="63937" spans="7:7" ht="10.5" customHeight="1" x14ac:dyDescent="0.2">
      <c r="G63937" s="889"/>
    </row>
    <row r="63938" spans="7:7" ht="10.5" customHeight="1" x14ac:dyDescent="0.2">
      <c r="G63938" s="889"/>
    </row>
    <row r="63939" spans="7:7" ht="10.5" customHeight="1" x14ac:dyDescent="0.2">
      <c r="G63939" s="889"/>
    </row>
    <row r="63940" spans="7:7" ht="10.5" customHeight="1" x14ac:dyDescent="0.2">
      <c r="G63940" s="889"/>
    </row>
    <row r="63941" spans="7:7" ht="10.5" customHeight="1" x14ac:dyDescent="0.2">
      <c r="G63941" s="889"/>
    </row>
    <row r="63942" spans="7:7" ht="10.5" customHeight="1" x14ac:dyDescent="0.2">
      <c r="G63942" s="889"/>
    </row>
    <row r="63943" spans="7:7" ht="10.5" customHeight="1" x14ac:dyDescent="0.2">
      <c r="G63943" s="889"/>
    </row>
    <row r="63944" spans="7:7" ht="10.5" customHeight="1" x14ac:dyDescent="0.2">
      <c r="G63944" s="889"/>
    </row>
    <row r="63945" spans="7:7" ht="10.5" customHeight="1" x14ac:dyDescent="0.2">
      <c r="G63945" s="889"/>
    </row>
    <row r="63946" spans="7:7" ht="10.5" customHeight="1" x14ac:dyDescent="0.2">
      <c r="G63946" s="889"/>
    </row>
    <row r="63947" spans="7:7" ht="10.5" customHeight="1" x14ac:dyDescent="0.2">
      <c r="G63947" s="889"/>
    </row>
    <row r="63948" spans="7:7" ht="10.5" customHeight="1" x14ac:dyDescent="0.2">
      <c r="G63948" s="889"/>
    </row>
    <row r="63949" spans="7:7" ht="10.5" customHeight="1" x14ac:dyDescent="0.2">
      <c r="G63949" s="889"/>
    </row>
    <row r="63950" spans="7:7" ht="10.5" customHeight="1" x14ac:dyDescent="0.2">
      <c r="G63950" s="889"/>
    </row>
    <row r="63951" spans="7:7" ht="10.5" customHeight="1" x14ac:dyDescent="0.2">
      <c r="G63951" s="889"/>
    </row>
    <row r="63952" spans="7:7" ht="10.5" customHeight="1" x14ac:dyDescent="0.2">
      <c r="G63952" s="889"/>
    </row>
    <row r="63953" spans="7:7" ht="10.5" customHeight="1" x14ac:dyDescent="0.2">
      <c r="G63953" s="889"/>
    </row>
    <row r="63954" spans="7:7" ht="10.5" customHeight="1" x14ac:dyDescent="0.2">
      <c r="G63954" s="889"/>
    </row>
    <row r="63955" spans="7:7" ht="10.5" customHeight="1" x14ac:dyDescent="0.2">
      <c r="G63955" s="889"/>
    </row>
    <row r="63956" spans="7:7" ht="10.5" customHeight="1" x14ac:dyDescent="0.2">
      <c r="G63956" s="889"/>
    </row>
    <row r="63957" spans="7:7" ht="10.5" customHeight="1" x14ac:dyDescent="0.2">
      <c r="G63957" s="889"/>
    </row>
    <row r="63958" spans="7:7" ht="10.5" customHeight="1" x14ac:dyDescent="0.2">
      <c r="G63958" s="889"/>
    </row>
    <row r="63959" spans="7:7" ht="10.5" customHeight="1" x14ac:dyDescent="0.2">
      <c r="G63959" s="889"/>
    </row>
    <row r="63960" spans="7:7" ht="10.5" customHeight="1" x14ac:dyDescent="0.2">
      <c r="G63960" s="889"/>
    </row>
    <row r="63961" spans="7:7" ht="10.5" customHeight="1" x14ac:dyDescent="0.2">
      <c r="G63961" s="889"/>
    </row>
    <row r="63962" spans="7:7" ht="10.5" customHeight="1" x14ac:dyDescent="0.2">
      <c r="G63962" s="889"/>
    </row>
    <row r="63963" spans="7:7" ht="10.5" customHeight="1" x14ac:dyDescent="0.2">
      <c r="G63963" s="889"/>
    </row>
    <row r="63964" spans="7:7" ht="10.5" customHeight="1" x14ac:dyDescent="0.2">
      <c r="G63964" s="889"/>
    </row>
    <row r="63965" spans="7:7" ht="10.5" customHeight="1" x14ac:dyDescent="0.2">
      <c r="G63965" s="889"/>
    </row>
    <row r="63966" spans="7:7" ht="10.5" customHeight="1" x14ac:dyDescent="0.2">
      <c r="G63966" s="889"/>
    </row>
    <row r="63967" spans="7:7" ht="10.5" customHeight="1" x14ac:dyDescent="0.2">
      <c r="G63967" s="889"/>
    </row>
    <row r="63968" spans="7:7" ht="10.5" customHeight="1" x14ac:dyDescent="0.2">
      <c r="G63968" s="889"/>
    </row>
    <row r="63969" spans="7:7" ht="10.5" customHeight="1" x14ac:dyDescent="0.2">
      <c r="G63969" s="889"/>
    </row>
    <row r="63970" spans="7:7" ht="10.5" customHeight="1" x14ac:dyDescent="0.2">
      <c r="G63970" s="889"/>
    </row>
    <row r="63971" spans="7:7" ht="10.5" customHeight="1" x14ac:dyDescent="0.2">
      <c r="G63971" s="889"/>
    </row>
    <row r="63972" spans="7:7" ht="10.5" customHeight="1" x14ac:dyDescent="0.2">
      <c r="G63972" s="889"/>
    </row>
    <row r="63973" spans="7:7" ht="10.5" customHeight="1" x14ac:dyDescent="0.2">
      <c r="G63973" s="889"/>
    </row>
    <row r="63974" spans="7:7" ht="10.5" customHeight="1" x14ac:dyDescent="0.2">
      <c r="G63974" s="889"/>
    </row>
    <row r="63975" spans="7:7" ht="10.5" customHeight="1" x14ac:dyDescent="0.2">
      <c r="G63975" s="889"/>
    </row>
    <row r="63976" spans="7:7" ht="10.5" customHeight="1" x14ac:dyDescent="0.2">
      <c r="G63976" s="889"/>
    </row>
    <row r="63977" spans="7:7" ht="10.5" customHeight="1" x14ac:dyDescent="0.2">
      <c r="G63977" s="889"/>
    </row>
    <row r="63978" spans="7:7" ht="10.5" customHeight="1" x14ac:dyDescent="0.2">
      <c r="G63978" s="889"/>
    </row>
    <row r="63979" spans="7:7" ht="10.5" customHeight="1" x14ac:dyDescent="0.2">
      <c r="G63979" s="889"/>
    </row>
    <row r="63980" spans="7:7" ht="10.5" customHeight="1" x14ac:dyDescent="0.2">
      <c r="G63980" s="889"/>
    </row>
    <row r="63981" spans="7:7" ht="10.5" customHeight="1" x14ac:dyDescent="0.2">
      <c r="G63981" s="889"/>
    </row>
    <row r="63982" spans="7:7" ht="10.5" customHeight="1" x14ac:dyDescent="0.2">
      <c r="G63982" s="889"/>
    </row>
    <row r="63983" spans="7:7" ht="10.5" customHeight="1" x14ac:dyDescent="0.2">
      <c r="G63983" s="889"/>
    </row>
    <row r="63984" spans="7:7" ht="10.5" customHeight="1" x14ac:dyDescent="0.2">
      <c r="G63984" s="889"/>
    </row>
    <row r="63985" spans="7:7" ht="10.5" customHeight="1" x14ac:dyDescent="0.2">
      <c r="G63985" s="889"/>
    </row>
    <row r="63986" spans="7:7" ht="10.5" customHeight="1" x14ac:dyDescent="0.2">
      <c r="G63986" s="889"/>
    </row>
    <row r="63987" spans="7:7" ht="10.5" customHeight="1" x14ac:dyDescent="0.2">
      <c r="G63987" s="889"/>
    </row>
    <row r="63988" spans="7:7" ht="10.5" customHeight="1" x14ac:dyDescent="0.2">
      <c r="G63988" s="889"/>
    </row>
    <row r="63989" spans="7:7" ht="10.5" customHeight="1" x14ac:dyDescent="0.2">
      <c r="G63989" s="889"/>
    </row>
    <row r="63990" spans="7:7" ht="10.5" customHeight="1" x14ac:dyDescent="0.2">
      <c r="G63990" s="889"/>
    </row>
    <row r="63991" spans="7:7" ht="10.5" customHeight="1" x14ac:dyDescent="0.2">
      <c r="G63991" s="889"/>
    </row>
    <row r="63992" spans="7:7" ht="10.5" customHeight="1" x14ac:dyDescent="0.2">
      <c r="G63992" s="889"/>
    </row>
    <row r="63993" spans="7:7" ht="10.5" customHeight="1" x14ac:dyDescent="0.2">
      <c r="G63993" s="889"/>
    </row>
    <row r="63994" spans="7:7" ht="10.5" customHeight="1" x14ac:dyDescent="0.2">
      <c r="G63994" s="889"/>
    </row>
    <row r="63995" spans="7:7" ht="10.5" customHeight="1" x14ac:dyDescent="0.2">
      <c r="G63995" s="889"/>
    </row>
    <row r="63996" spans="7:7" ht="10.5" customHeight="1" x14ac:dyDescent="0.2">
      <c r="G63996" s="889"/>
    </row>
    <row r="63997" spans="7:7" ht="10.5" customHeight="1" x14ac:dyDescent="0.2">
      <c r="G63997" s="889"/>
    </row>
    <row r="63998" spans="7:7" ht="10.5" customHeight="1" x14ac:dyDescent="0.2">
      <c r="G63998" s="889"/>
    </row>
    <row r="63999" spans="7:7" ht="10.5" customHeight="1" x14ac:dyDescent="0.2">
      <c r="G63999" s="889"/>
    </row>
    <row r="64000" spans="7:7" ht="10.5" customHeight="1" x14ac:dyDescent="0.2">
      <c r="G64000" s="889"/>
    </row>
    <row r="64001" spans="7:7" ht="10.5" customHeight="1" x14ac:dyDescent="0.2">
      <c r="G64001" s="889"/>
    </row>
    <row r="64002" spans="7:7" ht="10.5" customHeight="1" x14ac:dyDescent="0.2">
      <c r="G64002" s="889"/>
    </row>
    <row r="64003" spans="7:7" ht="10.5" customHeight="1" x14ac:dyDescent="0.2">
      <c r="G64003" s="889"/>
    </row>
    <row r="64004" spans="7:7" ht="10.5" customHeight="1" x14ac:dyDescent="0.2">
      <c r="G64004" s="889"/>
    </row>
    <row r="64005" spans="7:7" ht="10.5" customHeight="1" x14ac:dyDescent="0.2">
      <c r="G64005" s="889"/>
    </row>
    <row r="64006" spans="7:7" ht="10.5" customHeight="1" x14ac:dyDescent="0.2">
      <c r="G64006" s="889"/>
    </row>
    <row r="64007" spans="7:7" ht="10.5" customHeight="1" x14ac:dyDescent="0.2">
      <c r="G64007" s="889"/>
    </row>
    <row r="64008" spans="7:7" ht="10.5" customHeight="1" x14ac:dyDescent="0.2">
      <c r="G64008" s="889"/>
    </row>
    <row r="64009" spans="7:7" ht="10.5" customHeight="1" x14ac:dyDescent="0.2">
      <c r="G64009" s="889"/>
    </row>
    <row r="64010" spans="7:7" ht="10.5" customHeight="1" x14ac:dyDescent="0.2">
      <c r="G64010" s="889"/>
    </row>
    <row r="64011" spans="7:7" ht="10.5" customHeight="1" x14ac:dyDescent="0.2">
      <c r="G64011" s="889"/>
    </row>
    <row r="64012" spans="7:7" ht="10.5" customHeight="1" x14ac:dyDescent="0.2">
      <c r="G64012" s="889"/>
    </row>
    <row r="64013" spans="7:7" ht="10.5" customHeight="1" x14ac:dyDescent="0.2">
      <c r="G64013" s="889"/>
    </row>
    <row r="64014" spans="7:7" ht="10.5" customHeight="1" x14ac:dyDescent="0.2">
      <c r="G64014" s="889"/>
    </row>
    <row r="64015" spans="7:7" ht="10.5" customHeight="1" x14ac:dyDescent="0.2">
      <c r="G64015" s="889"/>
    </row>
    <row r="64016" spans="7:7" ht="10.5" customHeight="1" x14ac:dyDescent="0.2">
      <c r="G64016" s="889"/>
    </row>
    <row r="64017" spans="7:7" ht="10.5" customHeight="1" x14ac:dyDescent="0.2">
      <c r="G64017" s="889"/>
    </row>
    <row r="64018" spans="7:7" ht="10.5" customHeight="1" x14ac:dyDescent="0.2">
      <c r="G64018" s="889"/>
    </row>
    <row r="64019" spans="7:7" ht="10.5" customHeight="1" x14ac:dyDescent="0.2">
      <c r="G64019" s="889"/>
    </row>
    <row r="64020" spans="7:7" ht="10.5" customHeight="1" x14ac:dyDescent="0.2">
      <c r="G64020" s="889"/>
    </row>
    <row r="64021" spans="7:7" ht="10.5" customHeight="1" x14ac:dyDescent="0.2">
      <c r="G64021" s="889"/>
    </row>
    <row r="64022" spans="7:7" ht="10.5" customHeight="1" x14ac:dyDescent="0.2">
      <c r="G64022" s="889"/>
    </row>
    <row r="64023" spans="7:7" ht="10.5" customHeight="1" x14ac:dyDescent="0.2">
      <c r="G64023" s="889"/>
    </row>
    <row r="64024" spans="7:7" ht="10.5" customHeight="1" x14ac:dyDescent="0.2">
      <c r="G64024" s="889"/>
    </row>
    <row r="64025" spans="7:7" ht="10.5" customHeight="1" x14ac:dyDescent="0.2">
      <c r="G64025" s="889"/>
    </row>
    <row r="64026" spans="7:7" ht="10.5" customHeight="1" x14ac:dyDescent="0.2">
      <c r="G64026" s="889"/>
    </row>
    <row r="64027" spans="7:7" ht="10.5" customHeight="1" x14ac:dyDescent="0.2">
      <c r="G64027" s="889"/>
    </row>
    <row r="64028" spans="7:7" ht="10.5" customHeight="1" x14ac:dyDescent="0.2">
      <c r="G64028" s="889"/>
    </row>
    <row r="64029" spans="7:7" ht="10.5" customHeight="1" x14ac:dyDescent="0.2">
      <c r="G64029" s="889"/>
    </row>
    <row r="64030" spans="7:7" ht="10.5" customHeight="1" x14ac:dyDescent="0.2">
      <c r="G64030" s="889"/>
    </row>
    <row r="64031" spans="7:7" ht="10.5" customHeight="1" x14ac:dyDescent="0.2">
      <c r="G64031" s="889"/>
    </row>
    <row r="64032" spans="7:7" ht="10.5" customHeight="1" x14ac:dyDescent="0.2">
      <c r="G64032" s="889"/>
    </row>
    <row r="64033" spans="7:7" ht="10.5" customHeight="1" x14ac:dyDescent="0.2">
      <c r="G64033" s="889"/>
    </row>
    <row r="64034" spans="7:7" ht="10.5" customHeight="1" x14ac:dyDescent="0.2">
      <c r="G64034" s="889"/>
    </row>
    <row r="64035" spans="7:7" ht="10.5" customHeight="1" x14ac:dyDescent="0.2">
      <c r="G64035" s="889"/>
    </row>
    <row r="64036" spans="7:7" ht="10.5" customHeight="1" x14ac:dyDescent="0.2">
      <c r="G64036" s="889"/>
    </row>
    <row r="64037" spans="7:7" ht="10.5" customHeight="1" x14ac:dyDescent="0.2">
      <c r="G64037" s="889"/>
    </row>
    <row r="64038" spans="7:7" ht="10.5" customHeight="1" x14ac:dyDescent="0.2">
      <c r="G64038" s="889"/>
    </row>
    <row r="64039" spans="7:7" ht="10.5" customHeight="1" x14ac:dyDescent="0.2">
      <c r="G64039" s="889"/>
    </row>
    <row r="64040" spans="7:7" ht="10.5" customHeight="1" x14ac:dyDescent="0.2">
      <c r="G64040" s="889"/>
    </row>
    <row r="64041" spans="7:7" ht="10.5" customHeight="1" x14ac:dyDescent="0.2">
      <c r="G64041" s="889"/>
    </row>
    <row r="64042" spans="7:7" ht="10.5" customHeight="1" x14ac:dyDescent="0.2">
      <c r="G64042" s="889"/>
    </row>
    <row r="64043" spans="7:7" ht="10.5" customHeight="1" x14ac:dyDescent="0.2">
      <c r="G64043" s="889"/>
    </row>
    <row r="64044" spans="7:7" ht="10.5" customHeight="1" x14ac:dyDescent="0.2">
      <c r="G64044" s="889"/>
    </row>
    <row r="64045" spans="7:7" ht="10.5" customHeight="1" x14ac:dyDescent="0.2">
      <c r="G64045" s="889"/>
    </row>
    <row r="64046" spans="7:7" ht="10.5" customHeight="1" x14ac:dyDescent="0.2">
      <c r="G64046" s="889"/>
    </row>
    <row r="64047" spans="7:7" ht="10.5" customHeight="1" x14ac:dyDescent="0.2">
      <c r="G64047" s="889"/>
    </row>
    <row r="64048" spans="7:7" ht="10.5" customHeight="1" x14ac:dyDescent="0.2">
      <c r="G64048" s="889"/>
    </row>
    <row r="64049" spans="7:7" ht="10.5" customHeight="1" x14ac:dyDescent="0.2">
      <c r="G64049" s="889"/>
    </row>
    <row r="64050" spans="7:7" ht="10.5" customHeight="1" x14ac:dyDescent="0.2">
      <c r="G64050" s="889"/>
    </row>
    <row r="64051" spans="7:7" ht="10.5" customHeight="1" x14ac:dyDescent="0.2">
      <c r="G64051" s="889"/>
    </row>
    <row r="64052" spans="7:7" ht="10.5" customHeight="1" x14ac:dyDescent="0.2">
      <c r="G64052" s="889"/>
    </row>
    <row r="64053" spans="7:7" ht="10.5" customHeight="1" x14ac:dyDescent="0.2">
      <c r="G64053" s="889"/>
    </row>
    <row r="64054" spans="7:7" ht="10.5" customHeight="1" x14ac:dyDescent="0.2">
      <c r="G64054" s="889"/>
    </row>
    <row r="64055" spans="7:7" ht="10.5" customHeight="1" x14ac:dyDescent="0.2">
      <c r="G64055" s="889"/>
    </row>
    <row r="64056" spans="7:7" ht="10.5" customHeight="1" x14ac:dyDescent="0.2">
      <c r="G64056" s="889"/>
    </row>
    <row r="64057" spans="7:7" ht="10.5" customHeight="1" x14ac:dyDescent="0.2">
      <c r="G64057" s="889"/>
    </row>
    <row r="64058" spans="7:7" ht="10.5" customHeight="1" x14ac:dyDescent="0.2">
      <c r="G64058" s="889"/>
    </row>
    <row r="64059" spans="7:7" ht="10.5" customHeight="1" x14ac:dyDescent="0.2">
      <c r="G64059" s="889"/>
    </row>
    <row r="64060" spans="7:7" ht="10.5" customHeight="1" x14ac:dyDescent="0.2">
      <c r="G64060" s="889"/>
    </row>
    <row r="64061" spans="7:7" ht="10.5" customHeight="1" x14ac:dyDescent="0.2">
      <c r="G64061" s="889"/>
    </row>
    <row r="64062" spans="7:7" ht="10.5" customHeight="1" x14ac:dyDescent="0.2">
      <c r="G64062" s="889"/>
    </row>
    <row r="64063" spans="7:7" ht="10.5" customHeight="1" x14ac:dyDescent="0.2">
      <c r="G64063" s="889"/>
    </row>
    <row r="64064" spans="7:7" ht="10.5" customHeight="1" x14ac:dyDescent="0.2">
      <c r="G64064" s="889"/>
    </row>
    <row r="64065" spans="7:7" ht="10.5" customHeight="1" x14ac:dyDescent="0.2">
      <c r="G64065" s="889"/>
    </row>
    <row r="64066" spans="7:7" ht="10.5" customHeight="1" x14ac:dyDescent="0.2">
      <c r="G64066" s="889"/>
    </row>
    <row r="64067" spans="7:7" ht="10.5" customHeight="1" x14ac:dyDescent="0.2">
      <c r="G64067" s="889"/>
    </row>
    <row r="64068" spans="7:7" ht="10.5" customHeight="1" x14ac:dyDescent="0.2">
      <c r="G64068" s="889"/>
    </row>
    <row r="64069" spans="7:7" ht="10.5" customHeight="1" x14ac:dyDescent="0.2">
      <c r="G64069" s="889"/>
    </row>
    <row r="64070" spans="7:7" ht="10.5" customHeight="1" x14ac:dyDescent="0.2">
      <c r="G64070" s="889"/>
    </row>
    <row r="64071" spans="7:7" ht="10.5" customHeight="1" x14ac:dyDescent="0.2">
      <c r="G64071" s="889"/>
    </row>
    <row r="64072" spans="7:7" ht="10.5" customHeight="1" x14ac:dyDescent="0.2">
      <c r="G64072" s="889"/>
    </row>
    <row r="64073" spans="7:7" ht="10.5" customHeight="1" x14ac:dyDescent="0.2">
      <c r="G64073" s="889"/>
    </row>
    <row r="64074" spans="7:7" ht="10.5" customHeight="1" x14ac:dyDescent="0.2">
      <c r="G64074" s="889"/>
    </row>
    <row r="64075" spans="7:7" ht="10.5" customHeight="1" x14ac:dyDescent="0.2">
      <c r="G64075" s="889"/>
    </row>
    <row r="64076" spans="7:7" ht="10.5" customHeight="1" x14ac:dyDescent="0.2">
      <c r="G64076" s="889"/>
    </row>
    <row r="64077" spans="7:7" ht="10.5" customHeight="1" x14ac:dyDescent="0.2">
      <c r="G64077" s="889"/>
    </row>
    <row r="64078" spans="7:7" ht="10.5" customHeight="1" x14ac:dyDescent="0.2">
      <c r="G64078" s="889"/>
    </row>
    <row r="64079" spans="7:7" ht="10.5" customHeight="1" x14ac:dyDescent="0.2">
      <c r="G64079" s="889"/>
    </row>
    <row r="64080" spans="7:7" ht="10.5" customHeight="1" x14ac:dyDescent="0.2">
      <c r="G64080" s="889"/>
    </row>
    <row r="64081" spans="7:7" ht="10.5" customHeight="1" x14ac:dyDescent="0.2">
      <c r="G64081" s="889"/>
    </row>
    <row r="64082" spans="7:7" ht="10.5" customHeight="1" x14ac:dyDescent="0.2">
      <c r="G64082" s="889"/>
    </row>
    <row r="64083" spans="7:7" ht="10.5" customHeight="1" x14ac:dyDescent="0.2">
      <c r="G64083" s="889"/>
    </row>
    <row r="64084" spans="7:7" ht="10.5" customHeight="1" x14ac:dyDescent="0.2">
      <c r="G64084" s="889"/>
    </row>
    <row r="64085" spans="7:7" ht="10.5" customHeight="1" x14ac:dyDescent="0.2">
      <c r="G64085" s="889"/>
    </row>
    <row r="64086" spans="7:7" ht="10.5" customHeight="1" x14ac:dyDescent="0.2">
      <c r="G64086" s="889"/>
    </row>
    <row r="64087" spans="7:7" ht="10.5" customHeight="1" x14ac:dyDescent="0.2">
      <c r="G64087" s="889"/>
    </row>
    <row r="64088" spans="7:7" ht="10.5" customHeight="1" x14ac:dyDescent="0.2">
      <c r="G64088" s="889"/>
    </row>
    <row r="64089" spans="7:7" ht="10.5" customHeight="1" x14ac:dyDescent="0.2">
      <c r="G64089" s="889"/>
    </row>
    <row r="64090" spans="7:7" ht="10.5" customHeight="1" x14ac:dyDescent="0.2">
      <c r="G64090" s="889"/>
    </row>
    <row r="64091" spans="7:7" ht="10.5" customHeight="1" x14ac:dyDescent="0.2">
      <c r="G64091" s="889"/>
    </row>
    <row r="64092" spans="7:7" ht="10.5" customHeight="1" x14ac:dyDescent="0.2">
      <c r="G64092" s="889"/>
    </row>
    <row r="64093" spans="7:7" ht="10.5" customHeight="1" x14ac:dyDescent="0.2">
      <c r="G64093" s="889"/>
    </row>
    <row r="64094" spans="7:7" ht="10.5" customHeight="1" x14ac:dyDescent="0.2">
      <c r="G64094" s="889"/>
    </row>
    <row r="64095" spans="7:7" ht="10.5" customHeight="1" x14ac:dyDescent="0.2">
      <c r="G64095" s="889"/>
    </row>
    <row r="64096" spans="7:7" ht="10.5" customHeight="1" x14ac:dyDescent="0.2">
      <c r="G64096" s="889"/>
    </row>
    <row r="64097" spans="7:7" ht="10.5" customHeight="1" x14ac:dyDescent="0.2">
      <c r="G64097" s="889"/>
    </row>
    <row r="64098" spans="7:7" ht="10.5" customHeight="1" x14ac:dyDescent="0.2">
      <c r="G64098" s="889"/>
    </row>
    <row r="64099" spans="7:7" ht="10.5" customHeight="1" x14ac:dyDescent="0.2">
      <c r="G64099" s="889"/>
    </row>
    <row r="64100" spans="7:7" ht="10.5" customHeight="1" x14ac:dyDescent="0.2">
      <c r="G64100" s="889"/>
    </row>
    <row r="64101" spans="7:7" ht="10.5" customHeight="1" x14ac:dyDescent="0.2">
      <c r="G64101" s="889"/>
    </row>
    <row r="64102" spans="7:7" ht="10.5" customHeight="1" x14ac:dyDescent="0.2">
      <c r="G64102" s="889"/>
    </row>
    <row r="64103" spans="7:7" ht="10.5" customHeight="1" x14ac:dyDescent="0.2">
      <c r="G64103" s="889"/>
    </row>
    <row r="64104" spans="7:7" ht="10.5" customHeight="1" x14ac:dyDescent="0.2">
      <c r="G64104" s="889"/>
    </row>
    <row r="64105" spans="7:7" ht="10.5" customHeight="1" x14ac:dyDescent="0.2">
      <c r="G64105" s="889"/>
    </row>
    <row r="64106" spans="7:7" ht="10.5" customHeight="1" x14ac:dyDescent="0.2">
      <c r="G64106" s="889"/>
    </row>
    <row r="64107" spans="7:7" ht="10.5" customHeight="1" x14ac:dyDescent="0.2">
      <c r="G64107" s="889"/>
    </row>
    <row r="64108" spans="7:7" ht="10.5" customHeight="1" x14ac:dyDescent="0.2">
      <c r="G64108" s="889"/>
    </row>
    <row r="64109" spans="7:7" ht="10.5" customHeight="1" x14ac:dyDescent="0.2">
      <c r="G64109" s="889"/>
    </row>
    <row r="64110" spans="7:7" ht="10.5" customHeight="1" x14ac:dyDescent="0.2">
      <c r="G64110" s="889"/>
    </row>
    <row r="64111" spans="7:7" ht="10.5" customHeight="1" x14ac:dyDescent="0.2">
      <c r="G64111" s="889"/>
    </row>
    <row r="64112" spans="7:7" ht="10.5" customHeight="1" x14ac:dyDescent="0.2">
      <c r="G64112" s="889"/>
    </row>
    <row r="64113" spans="7:7" ht="10.5" customHeight="1" x14ac:dyDescent="0.2">
      <c r="G64113" s="889"/>
    </row>
    <row r="64114" spans="7:7" ht="10.5" customHeight="1" x14ac:dyDescent="0.2">
      <c r="G64114" s="889"/>
    </row>
    <row r="64115" spans="7:7" ht="10.5" customHeight="1" x14ac:dyDescent="0.2">
      <c r="G64115" s="889"/>
    </row>
    <row r="64116" spans="7:7" ht="10.5" customHeight="1" x14ac:dyDescent="0.2">
      <c r="G64116" s="889"/>
    </row>
    <row r="64117" spans="7:7" ht="10.5" customHeight="1" x14ac:dyDescent="0.2">
      <c r="G64117" s="889"/>
    </row>
    <row r="64118" spans="7:7" ht="10.5" customHeight="1" x14ac:dyDescent="0.2">
      <c r="G64118" s="889"/>
    </row>
    <row r="64119" spans="7:7" ht="10.5" customHeight="1" x14ac:dyDescent="0.2">
      <c r="G64119" s="889"/>
    </row>
    <row r="64120" spans="7:7" ht="10.5" customHeight="1" x14ac:dyDescent="0.2">
      <c r="G64120" s="889"/>
    </row>
    <row r="64121" spans="7:7" ht="10.5" customHeight="1" x14ac:dyDescent="0.2">
      <c r="G64121" s="889"/>
    </row>
    <row r="64122" spans="7:7" ht="10.5" customHeight="1" x14ac:dyDescent="0.2">
      <c r="G64122" s="889"/>
    </row>
    <row r="64123" spans="7:7" ht="10.5" customHeight="1" x14ac:dyDescent="0.2">
      <c r="G64123" s="889"/>
    </row>
    <row r="64124" spans="7:7" ht="10.5" customHeight="1" x14ac:dyDescent="0.2">
      <c r="G64124" s="889"/>
    </row>
    <row r="64125" spans="7:7" ht="10.5" customHeight="1" x14ac:dyDescent="0.2">
      <c r="G64125" s="889"/>
    </row>
    <row r="64126" spans="7:7" ht="10.5" customHeight="1" x14ac:dyDescent="0.2">
      <c r="G64126" s="889"/>
    </row>
    <row r="64127" spans="7:7" ht="10.5" customHeight="1" x14ac:dyDescent="0.2">
      <c r="G64127" s="889"/>
    </row>
    <row r="64128" spans="7:7" ht="10.5" customHeight="1" x14ac:dyDescent="0.2">
      <c r="G64128" s="889"/>
    </row>
    <row r="64129" spans="7:7" ht="10.5" customHeight="1" x14ac:dyDescent="0.2">
      <c r="G64129" s="889"/>
    </row>
    <row r="64130" spans="7:7" ht="10.5" customHeight="1" x14ac:dyDescent="0.2">
      <c r="G64130" s="889"/>
    </row>
    <row r="64131" spans="7:7" ht="10.5" customHeight="1" x14ac:dyDescent="0.2">
      <c r="G64131" s="889"/>
    </row>
    <row r="64132" spans="7:7" ht="10.5" customHeight="1" x14ac:dyDescent="0.2">
      <c r="G64132" s="889"/>
    </row>
    <row r="64133" spans="7:7" ht="10.5" customHeight="1" x14ac:dyDescent="0.2">
      <c r="G64133" s="889"/>
    </row>
    <row r="64134" spans="7:7" ht="10.5" customHeight="1" x14ac:dyDescent="0.2">
      <c r="G64134" s="889"/>
    </row>
    <row r="64135" spans="7:7" ht="10.5" customHeight="1" x14ac:dyDescent="0.2">
      <c r="G64135" s="889"/>
    </row>
    <row r="64136" spans="7:7" ht="10.5" customHeight="1" x14ac:dyDescent="0.2">
      <c r="G64136" s="889"/>
    </row>
    <row r="64137" spans="7:7" ht="10.5" customHeight="1" x14ac:dyDescent="0.2">
      <c r="G64137" s="889"/>
    </row>
    <row r="64138" spans="7:7" ht="10.5" customHeight="1" x14ac:dyDescent="0.2">
      <c r="G64138" s="889"/>
    </row>
    <row r="64139" spans="7:7" ht="10.5" customHeight="1" x14ac:dyDescent="0.2">
      <c r="G64139" s="889"/>
    </row>
    <row r="64140" spans="7:7" ht="10.5" customHeight="1" x14ac:dyDescent="0.2">
      <c r="G64140" s="889"/>
    </row>
    <row r="64141" spans="7:7" ht="10.5" customHeight="1" x14ac:dyDescent="0.2">
      <c r="G64141" s="889"/>
    </row>
    <row r="64142" spans="7:7" ht="10.5" customHeight="1" x14ac:dyDescent="0.2">
      <c r="G64142" s="889"/>
    </row>
    <row r="64143" spans="7:7" ht="10.5" customHeight="1" x14ac:dyDescent="0.2">
      <c r="G64143" s="889"/>
    </row>
    <row r="64144" spans="7:7" ht="10.5" customHeight="1" x14ac:dyDescent="0.2">
      <c r="G64144" s="889"/>
    </row>
    <row r="64145" spans="7:7" ht="10.5" customHeight="1" x14ac:dyDescent="0.2">
      <c r="G64145" s="889"/>
    </row>
    <row r="64146" spans="7:7" ht="10.5" customHeight="1" x14ac:dyDescent="0.2">
      <c r="G64146" s="889"/>
    </row>
    <row r="64147" spans="7:7" ht="10.5" customHeight="1" x14ac:dyDescent="0.2">
      <c r="G64147" s="889"/>
    </row>
    <row r="64148" spans="7:7" ht="10.5" customHeight="1" x14ac:dyDescent="0.2">
      <c r="G64148" s="889"/>
    </row>
    <row r="64149" spans="7:7" ht="10.5" customHeight="1" x14ac:dyDescent="0.2">
      <c r="G64149" s="889"/>
    </row>
    <row r="64150" spans="7:7" ht="10.5" customHeight="1" x14ac:dyDescent="0.2">
      <c r="G64150" s="889"/>
    </row>
    <row r="64151" spans="7:7" ht="10.5" customHeight="1" x14ac:dyDescent="0.2">
      <c r="G64151" s="889"/>
    </row>
    <row r="64152" spans="7:7" ht="10.5" customHeight="1" x14ac:dyDescent="0.2">
      <c r="G64152" s="889"/>
    </row>
    <row r="64153" spans="7:7" ht="10.5" customHeight="1" x14ac:dyDescent="0.2">
      <c r="G64153" s="889"/>
    </row>
    <row r="64154" spans="7:7" ht="10.5" customHeight="1" x14ac:dyDescent="0.2">
      <c r="G64154" s="889"/>
    </row>
    <row r="64155" spans="7:7" ht="10.5" customHeight="1" x14ac:dyDescent="0.2">
      <c r="G64155" s="889"/>
    </row>
    <row r="64156" spans="7:7" ht="10.5" customHeight="1" x14ac:dyDescent="0.2">
      <c r="G64156" s="889"/>
    </row>
    <row r="64157" spans="7:7" ht="10.5" customHeight="1" x14ac:dyDescent="0.2">
      <c r="G64157" s="889"/>
    </row>
    <row r="64158" spans="7:7" ht="10.5" customHeight="1" x14ac:dyDescent="0.2">
      <c r="G64158" s="889"/>
    </row>
    <row r="64159" spans="7:7" ht="10.5" customHeight="1" x14ac:dyDescent="0.2">
      <c r="G64159" s="889"/>
    </row>
    <row r="64160" spans="7:7" ht="10.5" customHeight="1" x14ac:dyDescent="0.2">
      <c r="G64160" s="889"/>
    </row>
    <row r="64161" spans="7:7" ht="10.5" customHeight="1" x14ac:dyDescent="0.2">
      <c r="G64161" s="889"/>
    </row>
    <row r="64162" spans="7:7" ht="10.5" customHeight="1" x14ac:dyDescent="0.2">
      <c r="G64162" s="889"/>
    </row>
    <row r="64163" spans="7:7" ht="10.5" customHeight="1" x14ac:dyDescent="0.2">
      <c r="G64163" s="889"/>
    </row>
    <row r="64164" spans="7:7" ht="10.5" customHeight="1" x14ac:dyDescent="0.2">
      <c r="G64164" s="889"/>
    </row>
    <row r="64165" spans="7:7" ht="10.5" customHeight="1" x14ac:dyDescent="0.2">
      <c r="G64165" s="889"/>
    </row>
    <row r="64166" spans="7:7" ht="10.5" customHeight="1" x14ac:dyDescent="0.2">
      <c r="G64166" s="889"/>
    </row>
    <row r="64167" spans="7:7" ht="10.5" customHeight="1" x14ac:dyDescent="0.2">
      <c r="G64167" s="889"/>
    </row>
    <row r="64168" spans="7:7" ht="10.5" customHeight="1" x14ac:dyDescent="0.2">
      <c r="G64168" s="889"/>
    </row>
    <row r="64169" spans="7:7" ht="10.5" customHeight="1" x14ac:dyDescent="0.2">
      <c r="G64169" s="889"/>
    </row>
    <row r="64170" spans="7:7" ht="10.5" customHeight="1" x14ac:dyDescent="0.2">
      <c r="G64170" s="889"/>
    </row>
    <row r="64171" spans="7:7" ht="10.5" customHeight="1" x14ac:dyDescent="0.2">
      <c r="G64171" s="889"/>
    </row>
    <row r="64172" spans="7:7" ht="10.5" customHeight="1" x14ac:dyDescent="0.2">
      <c r="G64172" s="889"/>
    </row>
    <row r="64173" spans="7:7" ht="10.5" customHeight="1" x14ac:dyDescent="0.2">
      <c r="G64173" s="889"/>
    </row>
    <row r="64174" spans="7:7" ht="10.5" customHeight="1" x14ac:dyDescent="0.2">
      <c r="G64174" s="889"/>
    </row>
    <row r="64175" spans="7:7" ht="10.5" customHeight="1" x14ac:dyDescent="0.2">
      <c r="G64175" s="889"/>
    </row>
    <row r="64176" spans="7:7" ht="10.5" customHeight="1" x14ac:dyDescent="0.2">
      <c r="G64176" s="889"/>
    </row>
    <row r="64177" spans="7:7" ht="10.5" customHeight="1" x14ac:dyDescent="0.2">
      <c r="G64177" s="889"/>
    </row>
    <row r="64178" spans="7:7" ht="10.5" customHeight="1" x14ac:dyDescent="0.2">
      <c r="G64178" s="889"/>
    </row>
    <row r="64179" spans="7:7" ht="10.5" customHeight="1" x14ac:dyDescent="0.2">
      <c r="G64179" s="889"/>
    </row>
    <row r="64180" spans="7:7" ht="10.5" customHeight="1" x14ac:dyDescent="0.2">
      <c r="G64180" s="889"/>
    </row>
    <row r="64181" spans="7:7" ht="10.5" customHeight="1" x14ac:dyDescent="0.2">
      <c r="G64181" s="889"/>
    </row>
    <row r="64182" spans="7:7" ht="10.5" customHeight="1" x14ac:dyDescent="0.2">
      <c r="G64182" s="889"/>
    </row>
    <row r="64183" spans="7:7" ht="10.5" customHeight="1" x14ac:dyDescent="0.2">
      <c r="G64183" s="889"/>
    </row>
    <row r="64184" spans="7:7" ht="10.5" customHeight="1" x14ac:dyDescent="0.2">
      <c r="G64184" s="889"/>
    </row>
    <row r="64185" spans="7:7" ht="10.5" customHeight="1" x14ac:dyDescent="0.2">
      <c r="G64185" s="889"/>
    </row>
    <row r="64186" spans="7:7" ht="10.5" customHeight="1" x14ac:dyDescent="0.2">
      <c r="G64186" s="889"/>
    </row>
    <row r="64187" spans="7:7" ht="10.5" customHeight="1" x14ac:dyDescent="0.2">
      <c r="G64187" s="889"/>
    </row>
    <row r="64188" spans="7:7" ht="10.5" customHeight="1" x14ac:dyDescent="0.2">
      <c r="G64188" s="889"/>
    </row>
    <row r="64189" spans="7:7" ht="10.5" customHeight="1" x14ac:dyDescent="0.2">
      <c r="G64189" s="889"/>
    </row>
    <row r="64190" spans="7:7" ht="10.5" customHeight="1" x14ac:dyDescent="0.2">
      <c r="G64190" s="889"/>
    </row>
    <row r="64191" spans="7:7" ht="10.5" customHeight="1" x14ac:dyDescent="0.2">
      <c r="G64191" s="889"/>
    </row>
    <row r="64192" spans="7:7" ht="10.5" customHeight="1" x14ac:dyDescent="0.2">
      <c r="G64192" s="889"/>
    </row>
    <row r="64193" spans="7:7" ht="10.5" customHeight="1" x14ac:dyDescent="0.2">
      <c r="G64193" s="889"/>
    </row>
    <row r="64194" spans="7:7" ht="10.5" customHeight="1" x14ac:dyDescent="0.2">
      <c r="G64194" s="889"/>
    </row>
    <row r="64195" spans="7:7" ht="10.5" customHeight="1" x14ac:dyDescent="0.2">
      <c r="G64195" s="889"/>
    </row>
    <row r="64196" spans="7:7" ht="10.5" customHeight="1" x14ac:dyDescent="0.2">
      <c r="G64196" s="889"/>
    </row>
    <row r="64197" spans="7:7" ht="10.5" customHeight="1" x14ac:dyDescent="0.2">
      <c r="G64197" s="889"/>
    </row>
    <row r="64198" spans="7:7" ht="10.5" customHeight="1" x14ac:dyDescent="0.2">
      <c r="G64198" s="889"/>
    </row>
    <row r="64199" spans="7:7" ht="10.5" customHeight="1" x14ac:dyDescent="0.2">
      <c r="G64199" s="889"/>
    </row>
    <row r="64200" spans="7:7" ht="10.5" customHeight="1" x14ac:dyDescent="0.2">
      <c r="G64200" s="889"/>
    </row>
    <row r="64201" spans="7:7" ht="10.5" customHeight="1" x14ac:dyDescent="0.2">
      <c r="G64201" s="889"/>
    </row>
    <row r="64202" spans="7:7" ht="10.5" customHeight="1" x14ac:dyDescent="0.2">
      <c r="G64202" s="889"/>
    </row>
    <row r="64203" spans="7:7" ht="10.5" customHeight="1" x14ac:dyDescent="0.2">
      <c r="G64203" s="889"/>
    </row>
    <row r="64204" spans="7:7" ht="10.5" customHeight="1" x14ac:dyDescent="0.2">
      <c r="G64204" s="889"/>
    </row>
    <row r="64205" spans="7:7" ht="10.5" customHeight="1" x14ac:dyDescent="0.2">
      <c r="G64205" s="889"/>
    </row>
    <row r="64206" spans="7:7" ht="10.5" customHeight="1" x14ac:dyDescent="0.2">
      <c r="G64206" s="889"/>
    </row>
    <row r="64207" spans="7:7" ht="10.5" customHeight="1" x14ac:dyDescent="0.2">
      <c r="G64207" s="889"/>
    </row>
    <row r="64208" spans="7:7" ht="10.5" customHeight="1" x14ac:dyDescent="0.2">
      <c r="G64208" s="889"/>
    </row>
    <row r="64209" spans="7:7" ht="10.5" customHeight="1" x14ac:dyDescent="0.2">
      <c r="G64209" s="889"/>
    </row>
    <row r="64210" spans="7:7" ht="10.5" customHeight="1" x14ac:dyDescent="0.2">
      <c r="G64210" s="889"/>
    </row>
    <row r="64211" spans="7:7" ht="10.5" customHeight="1" x14ac:dyDescent="0.2">
      <c r="G64211" s="889"/>
    </row>
    <row r="64212" spans="7:7" ht="10.5" customHeight="1" x14ac:dyDescent="0.2">
      <c r="G64212" s="889"/>
    </row>
    <row r="64213" spans="7:7" ht="10.5" customHeight="1" x14ac:dyDescent="0.2">
      <c r="G64213" s="889"/>
    </row>
    <row r="64214" spans="7:7" ht="10.5" customHeight="1" x14ac:dyDescent="0.2">
      <c r="G64214" s="889"/>
    </row>
    <row r="64215" spans="7:7" ht="10.5" customHeight="1" x14ac:dyDescent="0.2">
      <c r="G64215" s="889"/>
    </row>
    <row r="64216" spans="7:7" ht="10.5" customHeight="1" x14ac:dyDescent="0.2">
      <c r="G64216" s="889"/>
    </row>
    <row r="64217" spans="7:7" ht="10.5" customHeight="1" x14ac:dyDescent="0.2">
      <c r="G64217" s="889"/>
    </row>
    <row r="64218" spans="7:7" ht="10.5" customHeight="1" x14ac:dyDescent="0.2">
      <c r="G64218" s="889"/>
    </row>
    <row r="64219" spans="7:7" ht="10.5" customHeight="1" x14ac:dyDescent="0.2">
      <c r="G64219" s="889"/>
    </row>
    <row r="64220" spans="7:7" ht="10.5" customHeight="1" x14ac:dyDescent="0.2">
      <c r="G64220" s="889"/>
    </row>
    <row r="64221" spans="7:7" ht="10.5" customHeight="1" x14ac:dyDescent="0.2">
      <c r="G64221" s="889"/>
    </row>
    <row r="64222" spans="7:7" ht="10.5" customHeight="1" x14ac:dyDescent="0.2">
      <c r="G64222" s="889"/>
    </row>
    <row r="64223" spans="7:7" ht="10.5" customHeight="1" x14ac:dyDescent="0.2">
      <c r="G64223" s="889"/>
    </row>
    <row r="64224" spans="7:7" ht="10.5" customHeight="1" x14ac:dyDescent="0.2">
      <c r="G64224" s="889"/>
    </row>
    <row r="64225" spans="7:7" ht="10.5" customHeight="1" x14ac:dyDescent="0.2">
      <c r="G64225" s="889"/>
    </row>
    <row r="64226" spans="7:7" ht="10.5" customHeight="1" x14ac:dyDescent="0.2">
      <c r="G64226" s="889"/>
    </row>
    <row r="64227" spans="7:7" ht="10.5" customHeight="1" x14ac:dyDescent="0.2">
      <c r="G64227" s="889"/>
    </row>
    <row r="64228" spans="7:7" ht="10.5" customHeight="1" x14ac:dyDescent="0.2">
      <c r="G64228" s="889"/>
    </row>
    <row r="64229" spans="7:7" ht="10.5" customHeight="1" x14ac:dyDescent="0.2">
      <c r="G64229" s="889"/>
    </row>
    <row r="64230" spans="7:7" ht="10.5" customHeight="1" x14ac:dyDescent="0.2">
      <c r="G64230" s="889"/>
    </row>
    <row r="64231" spans="7:7" ht="10.5" customHeight="1" x14ac:dyDescent="0.2">
      <c r="G64231" s="889"/>
    </row>
    <row r="64232" spans="7:7" ht="10.5" customHeight="1" x14ac:dyDescent="0.2">
      <c r="G64232" s="889"/>
    </row>
    <row r="64233" spans="7:7" ht="10.5" customHeight="1" x14ac:dyDescent="0.2">
      <c r="G64233" s="889"/>
    </row>
    <row r="64234" spans="7:7" ht="10.5" customHeight="1" x14ac:dyDescent="0.2">
      <c r="G64234" s="889"/>
    </row>
    <row r="64235" spans="7:7" ht="10.5" customHeight="1" x14ac:dyDescent="0.2">
      <c r="G64235" s="889"/>
    </row>
    <row r="64236" spans="7:7" ht="10.5" customHeight="1" x14ac:dyDescent="0.2">
      <c r="G64236" s="889"/>
    </row>
    <row r="64237" spans="7:7" ht="10.5" customHeight="1" x14ac:dyDescent="0.2">
      <c r="G64237" s="889"/>
    </row>
    <row r="64238" spans="7:7" ht="10.5" customHeight="1" x14ac:dyDescent="0.2">
      <c r="G64238" s="889"/>
    </row>
    <row r="64239" spans="7:7" ht="10.5" customHeight="1" x14ac:dyDescent="0.2">
      <c r="G64239" s="889"/>
    </row>
    <row r="64240" spans="7:7" ht="10.5" customHeight="1" x14ac:dyDescent="0.2">
      <c r="G64240" s="889"/>
    </row>
    <row r="64241" spans="7:7" ht="10.5" customHeight="1" x14ac:dyDescent="0.2">
      <c r="G64241" s="889"/>
    </row>
    <row r="64242" spans="7:7" ht="10.5" customHeight="1" x14ac:dyDescent="0.2">
      <c r="G64242" s="889"/>
    </row>
    <row r="64243" spans="7:7" ht="10.5" customHeight="1" x14ac:dyDescent="0.2">
      <c r="G64243" s="889"/>
    </row>
    <row r="64244" spans="7:7" ht="10.5" customHeight="1" x14ac:dyDescent="0.2">
      <c r="G64244" s="889"/>
    </row>
    <row r="64245" spans="7:7" ht="10.5" customHeight="1" x14ac:dyDescent="0.2">
      <c r="G64245" s="889"/>
    </row>
    <row r="64246" spans="7:7" ht="10.5" customHeight="1" x14ac:dyDescent="0.2">
      <c r="G64246" s="889"/>
    </row>
    <row r="64247" spans="7:7" ht="10.5" customHeight="1" x14ac:dyDescent="0.2">
      <c r="G64247" s="889"/>
    </row>
    <row r="64248" spans="7:7" ht="10.5" customHeight="1" x14ac:dyDescent="0.2">
      <c r="G64248" s="889"/>
    </row>
    <row r="64249" spans="7:7" ht="10.5" customHeight="1" x14ac:dyDescent="0.2">
      <c r="G64249" s="889"/>
    </row>
    <row r="64250" spans="7:7" ht="10.5" customHeight="1" x14ac:dyDescent="0.2">
      <c r="G64250" s="889"/>
    </row>
    <row r="64251" spans="7:7" ht="10.5" customHeight="1" x14ac:dyDescent="0.2">
      <c r="G64251" s="889"/>
    </row>
    <row r="64252" spans="7:7" ht="10.5" customHeight="1" x14ac:dyDescent="0.2">
      <c r="G64252" s="889"/>
    </row>
    <row r="64253" spans="7:7" ht="10.5" customHeight="1" x14ac:dyDescent="0.2">
      <c r="G64253" s="889"/>
    </row>
    <row r="64254" spans="7:7" ht="10.5" customHeight="1" x14ac:dyDescent="0.2">
      <c r="G64254" s="889"/>
    </row>
    <row r="64255" spans="7:7" ht="10.5" customHeight="1" x14ac:dyDescent="0.2">
      <c r="G64255" s="889"/>
    </row>
    <row r="64256" spans="7:7" ht="10.5" customHeight="1" x14ac:dyDescent="0.2">
      <c r="G64256" s="889"/>
    </row>
    <row r="64257" spans="7:7" ht="10.5" customHeight="1" x14ac:dyDescent="0.2">
      <c r="G64257" s="889"/>
    </row>
    <row r="64258" spans="7:7" ht="10.5" customHeight="1" x14ac:dyDescent="0.2">
      <c r="G64258" s="889"/>
    </row>
    <row r="64259" spans="7:7" ht="10.5" customHeight="1" x14ac:dyDescent="0.2">
      <c r="G64259" s="889"/>
    </row>
    <row r="64260" spans="7:7" ht="10.5" customHeight="1" x14ac:dyDescent="0.2">
      <c r="G64260" s="889"/>
    </row>
    <row r="64261" spans="7:7" ht="10.5" customHeight="1" x14ac:dyDescent="0.2">
      <c r="G64261" s="889"/>
    </row>
    <row r="64262" spans="7:7" ht="10.5" customHeight="1" x14ac:dyDescent="0.2">
      <c r="G64262" s="889"/>
    </row>
    <row r="64263" spans="7:7" ht="10.5" customHeight="1" x14ac:dyDescent="0.2">
      <c r="G64263" s="889"/>
    </row>
    <row r="64264" spans="7:7" ht="10.5" customHeight="1" x14ac:dyDescent="0.2">
      <c r="G64264" s="889"/>
    </row>
    <row r="64265" spans="7:7" ht="10.5" customHeight="1" x14ac:dyDescent="0.2">
      <c r="G64265" s="889"/>
    </row>
    <row r="64266" spans="7:7" ht="10.5" customHeight="1" x14ac:dyDescent="0.2">
      <c r="G64266" s="889"/>
    </row>
    <row r="64267" spans="7:7" ht="10.5" customHeight="1" x14ac:dyDescent="0.2">
      <c r="G64267" s="889"/>
    </row>
    <row r="64268" spans="7:7" ht="10.5" customHeight="1" x14ac:dyDescent="0.2">
      <c r="G64268" s="889"/>
    </row>
    <row r="64269" spans="7:7" ht="10.5" customHeight="1" x14ac:dyDescent="0.2">
      <c r="G64269" s="889"/>
    </row>
    <row r="64270" spans="7:7" ht="10.5" customHeight="1" x14ac:dyDescent="0.2">
      <c r="G64270" s="889"/>
    </row>
    <row r="64271" spans="7:7" ht="10.5" customHeight="1" x14ac:dyDescent="0.2">
      <c r="G64271" s="889"/>
    </row>
    <row r="64272" spans="7:7" ht="10.5" customHeight="1" x14ac:dyDescent="0.2">
      <c r="G64272" s="889"/>
    </row>
    <row r="64273" spans="7:7" ht="10.5" customHeight="1" x14ac:dyDescent="0.2">
      <c r="G64273" s="889"/>
    </row>
    <row r="64274" spans="7:7" ht="10.5" customHeight="1" x14ac:dyDescent="0.2">
      <c r="G64274" s="889"/>
    </row>
    <row r="64275" spans="7:7" ht="10.5" customHeight="1" x14ac:dyDescent="0.2">
      <c r="G64275" s="889"/>
    </row>
    <row r="64276" spans="7:7" ht="10.5" customHeight="1" x14ac:dyDescent="0.2">
      <c r="G64276" s="889"/>
    </row>
    <row r="64277" spans="7:7" ht="10.5" customHeight="1" x14ac:dyDescent="0.2">
      <c r="G64277" s="889"/>
    </row>
    <row r="64278" spans="7:7" ht="10.5" customHeight="1" x14ac:dyDescent="0.2">
      <c r="G64278" s="889"/>
    </row>
    <row r="64279" spans="7:7" ht="10.5" customHeight="1" x14ac:dyDescent="0.2">
      <c r="G64279" s="889"/>
    </row>
    <row r="64280" spans="7:7" ht="10.5" customHeight="1" x14ac:dyDescent="0.2">
      <c r="G64280" s="889"/>
    </row>
    <row r="64281" spans="7:7" ht="10.5" customHeight="1" x14ac:dyDescent="0.2">
      <c r="G64281" s="889"/>
    </row>
    <row r="64282" spans="7:7" ht="10.5" customHeight="1" x14ac:dyDescent="0.2">
      <c r="G64282" s="889"/>
    </row>
    <row r="64283" spans="7:7" ht="10.5" customHeight="1" x14ac:dyDescent="0.2">
      <c r="G64283" s="889"/>
    </row>
    <row r="64284" spans="7:7" ht="10.5" customHeight="1" x14ac:dyDescent="0.2">
      <c r="G64284" s="889"/>
    </row>
    <row r="64285" spans="7:7" ht="10.5" customHeight="1" x14ac:dyDescent="0.2">
      <c r="G64285" s="889"/>
    </row>
    <row r="64286" spans="7:7" ht="10.5" customHeight="1" x14ac:dyDescent="0.2">
      <c r="G64286" s="889"/>
    </row>
    <row r="64287" spans="7:7" ht="10.5" customHeight="1" x14ac:dyDescent="0.2">
      <c r="G64287" s="889"/>
    </row>
    <row r="64288" spans="7:7" ht="10.5" customHeight="1" x14ac:dyDescent="0.2">
      <c r="G64288" s="889"/>
    </row>
    <row r="64289" spans="7:7" ht="10.5" customHeight="1" x14ac:dyDescent="0.2">
      <c r="G64289" s="889"/>
    </row>
    <row r="64290" spans="7:7" ht="10.5" customHeight="1" x14ac:dyDescent="0.2">
      <c r="G64290" s="889"/>
    </row>
    <row r="64291" spans="7:7" ht="10.5" customHeight="1" x14ac:dyDescent="0.2">
      <c r="G64291" s="889"/>
    </row>
    <row r="64292" spans="7:7" ht="10.5" customHeight="1" x14ac:dyDescent="0.2">
      <c r="G64292" s="889"/>
    </row>
    <row r="64293" spans="7:7" ht="10.5" customHeight="1" x14ac:dyDescent="0.2">
      <c r="G64293" s="889"/>
    </row>
    <row r="64294" spans="7:7" ht="10.5" customHeight="1" x14ac:dyDescent="0.2">
      <c r="G64294" s="889"/>
    </row>
    <row r="64295" spans="7:7" ht="10.5" customHeight="1" x14ac:dyDescent="0.2">
      <c r="G64295" s="889"/>
    </row>
    <row r="64296" spans="7:7" ht="10.5" customHeight="1" x14ac:dyDescent="0.2">
      <c r="G64296" s="889"/>
    </row>
    <row r="64297" spans="7:7" ht="10.5" customHeight="1" x14ac:dyDescent="0.2">
      <c r="G64297" s="889"/>
    </row>
    <row r="64298" spans="7:7" ht="10.5" customHeight="1" x14ac:dyDescent="0.2">
      <c r="G64298" s="889"/>
    </row>
    <row r="64299" spans="7:7" ht="10.5" customHeight="1" x14ac:dyDescent="0.2">
      <c r="G64299" s="889"/>
    </row>
    <row r="64300" spans="7:7" ht="10.5" customHeight="1" x14ac:dyDescent="0.2">
      <c r="G64300" s="889"/>
    </row>
    <row r="64301" spans="7:7" ht="10.5" customHeight="1" x14ac:dyDescent="0.2">
      <c r="G64301" s="889"/>
    </row>
    <row r="64302" spans="7:7" ht="10.5" customHeight="1" x14ac:dyDescent="0.2">
      <c r="G64302" s="889"/>
    </row>
    <row r="64303" spans="7:7" ht="10.5" customHeight="1" x14ac:dyDescent="0.2">
      <c r="G64303" s="889"/>
    </row>
    <row r="64304" spans="7:7" ht="10.5" customHeight="1" x14ac:dyDescent="0.2">
      <c r="G64304" s="889"/>
    </row>
    <row r="64305" spans="7:7" ht="10.5" customHeight="1" x14ac:dyDescent="0.2">
      <c r="G64305" s="889"/>
    </row>
    <row r="64306" spans="7:7" ht="10.5" customHeight="1" x14ac:dyDescent="0.2">
      <c r="G64306" s="889"/>
    </row>
    <row r="64307" spans="7:7" ht="10.5" customHeight="1" x14ac:dyDescent="0.2">
      <c r="G64307" s="889"/>
    </row>
    <row r="64308" spans="7:7" ht="10.5" customHeight="1" x14ac:dyDescent="0.2">
      <c r="G64308" s="889"/>
    </row>
    <row r="64309" spans="7:7" ht="10.5" customHeight="1" x14ac:dyDescent="0.2">
      <c r="G64309" s="889"/>
    </row>
    <row r="64310" spans="7:7" ht="10.5" customHeight="1" x14ac:dyDescent="0.2">
      <c r="G64310" s="889"/>
    </row>
    <row r="64311" spans="7:7" ht="10.5" customHeight="1" x14ac:dyDescent="0.2">
      <c r="G64311" s="889"/>
    </row>
    <row r="64312" spans="7:7" ht="10.5" customHeight="1" x14ac:dyDescent="0.2">
      <c r="G64312" s="889"/>
    </row>
    <row r="64313" spans="7:7" ht="10.5" customHeight="1" x14ac:dyDescent="0.2">
      <c r="G64313" s="889"/>
    </row>
    <row r="64314" spans="7:7" ht="10.5" customHeight="1" x14ac:dyDescent="0.2">
      <c r="G64314" s="889"/>
    </row>
    <row r="64315" spans="7:7" ht="10.5" customHeight="1" x14ac:dyDescent="0.2">
      <c r="G64315" s="889"/>
    </row>
    <row r="64316" spans="7:7" ht="10.5" customHeight="1" x14ac:dyDescent="0.2">
      <c r="G64316" s="889"/>
    </row>
    <row r="64317" spans="7:7" ht="10.5" customHeight="1" x14ac:dyDescent="0.2">
      <c r="G64317" s="889"/>
    </row>
    <row r="64318" spans="7:7" ht="10.5" customHeight="1" x14ac:dyDescent="0.2">
      <c r="G64318" s="889"/>
    </row>
    <row r="64319" spans="7:7" ht="10.5" customHeight="1" x14ac:dyDescent="0.2">
      <c r="G64319" s="889"/>
    </row>
    <row r="64320" spans="7:7" ht="10.5" customHeight="1" x14ac:dyDescent="0.2">
      <c r="G64320" s="889"/>
    </row>
    <row r="64321" spans="7:7" ht="10.5" customHeight="1" x14ac:dyDescent="0.2">
      <c r="G64321" s="889"/>
    </row>
    <row r="64322" spans="7:7" ht="10.5" customHeight="1" x14ac:dyDescent="0.2">
      <c r="G64322" s="889"/>
    </row>
    <row r="64323" spans="7:7" ht="10.5" customHeight="1" x14ac:dyDescent="0.2">
      <c r="G64323" s="889"/>
    </row>
    <row r="64324" spans="7:7" ht="10.5" customHeight="1" x14ac:dyDescent="0.2">
      <c r="G64324" s="889"/>
    </row>
    <row r="64325" spans="7:7" ht="10.5" customHeight="1" x14ac:dyDescent="0.2">
      <c r="G64325" s="889"/>
    </row>
    <row r="64326" spans="7:7" ht="10.5" customHeight="1" x14ac:dyDescent="0.2">
      <c r="G64326" s="889"/>
    </row>
    <row r="64327" spans="7:7" ht="10.5" customHeight="1" x14ac:dyDescent="0.2">
      <c r="G64327" s="889"/>
    </row>
    <row r="64328" spans="7:7" ht="10.5" customHeight="1" x14ac:dyDescent="0.2">
      <c r="G64328" s="889"/>
    </row>
    <row r="64329" spans="7:7" ht="10.5" customHeight="1" x14ac:dyDescent="0.2">
      <c r="G64329" s="889"/>
    </row>
    <row r="64330" spans="7:7" ht="10.5" customHeight="1" x14ac:dyDescent="0.2">
      <c r="G64330" s="889"/>
    </row>
    <row r="64331" spans="7:7" ht="10.5" customHeight="1" x14ac:dyDescent="0.2">
      <c r="G64331" s="889"/>
    </row>
    <row r="64332" spans="7:7" ht="10.5" customHeight="1" x14ac:dyDescent="0.2">
      <c r="G64332" s="889"/>
    </row>
    <row r="64333" spans="7:7" ht="10.5" customHeight="1" x14ac:dyDescent="0.2">
      <c r="G64333" s="889"/>
    </row>
    <row r="64334" spans="7:7" ht="10.5" customHeight="1" x14ac:dyDescent="0.2">
      <c r="G64334" s="889"/>
    </row>
    <row r="64335" spans="7:7" ht="10.5" customHeight="1" x14ac:dyDescent="0.2">
      <c r="G64335" s="889"/>
    </row>
    <row r="64336" spans="7:7" ht="10.5" customHeight="1" x14ac:dyDescent="0.2">
      <c r="G64336" s="889"/>
    </row>
    <row r="64337" spans="7:7" ht="10.5" customHeight="1" x14ac:dyDescent="0.2">
      <c r="G64337" s="889"/>
    </row>
    <row r="64338" spans="7:7" ht="10.5" customHeight="1" x14ac:dyDescent="0.2">
      <c r="G64338" s="889"/>
    </row>
    <row r="64339" spans="7:7" ht="10.5" customHeight="1" x14ac:dyDescent="0.2">
      <c r="G64339" s="889"/>
    </row>
    <row r="64340" spans="7:7" ht="10.5" customHeight="1" x14ac:dyDescent="0.2">
      <c r="G64340" s="889"/>
    </row>
    <row r="64341" spans="7:7" ht="10.5" customHeight="1" x14ac:dyDescent="0.2">
      <c r="G64341" s="889"/>
    </row>
    <row r="64342" spans="7:7" ht="10.5" customHeight="1" x14ac:dyDescent="0.2">
      <c r="G64342" s="889"/>
    </row>
    <row r="64343" spans="7:7" ht="10.5" customHeight="1" x14ac:dyDescent="0.2">
      <c r="G64343" s="889"/>
    </row>
    <row r="64344" spans="7:7" ht="10.5" customHeight="1" x14ac:dyDescent="0.2">
      <c r="G64344" s="889"/>
    </row>
    <row r="64345" spans="7:7" ht="10.5" customHeight="1" x14ac:dyDescent="0.2">
      <c r="G64345" s="889"/>
    </row>
    <row r="64346" spans="7:7" ht="10.5" customHeight="1" x14ac:dyDescent="0.2">
      <c r="G64346" s="889"/>
    </row>
    <row r="64347" spans="7:7" ht="10.5" customHeight="1" x14ac:dyDescent="0.2">
      <c r="G64347" s="889"/>
    </row>
    <row r="64348" spans="7:7" ht="10.5" customHeight="1" x14ac:dyDescent="0.2">
      <c r="G64348" s="889"/>
    </row>
    <row r="64349" spans="7:7" ht="10.5" customHeight="1" x14ac:dyDescent="0.2">
      <c r="G64349" s="889"/>
    </row>
    <row r="64350" spans="7:7" ht="10.5" customHeight="1" x14ac:dyDescent="0.2">
      <c r="G64350" s="889"/>
    </row>
    <row r="64351" spans="7:7" ht="10.5" customHeight="1" x14ac:dyDescent="0.2">
      <c r="G64351" s="889"/>
    </row>
    <row r="64352" spans="7:7" ht="10.5" customHeight="1" x14ac:dyDescent="0.2">
      <c r="G64352" s="889"/>
    </row>
    <row r="64353" spans="7:7" ht="10.5" customHeight="1" x14ac:dyDescent="0.2">
      <c r="G64353" s="889"/>
    </row>
    <row r="64354" spans="7:7" ht="10.5" customHeight="1" x14ac:dyDescent="0.2">
      <c r="G64354" s="889"/>
    </row>
    <row r="64355" spans="7:7" ht="10.5" customHeight="1" x14ac:dyDescent="0.2">
      <c r="G64355" s="889"/>
    </row>
    <row r="64356" spans="7:7" ht="10.5" customHeight="1" x14ac:dyDescent="0.2">
      <c r="G64356" s="889"/>
    </row>
    <row r="64357" spans="7:7" ht="10.5" customHeight="1" x14ac:dyDescent="0.2">
      <c r="G64357" s="889"/>
    </row>
    <row r="64358" spans="7:7" ht="10.5" customHeight="1" x14ac:dyDescent="0.2">
      <c r="G64358" s="889"/>
    </row>
    <row r="64359" spans="7:7" ht="10.5" customHeight="1" x14ac:dyDescent="0.2">
      <c r="G64359" s="889"/>
    </row>
    <row r="64360" spans="7:7" ht="10.5" customHeight="1" x14ac:dyDescent="0.2">
      <c r="G64360" s="889"/>
    </row>
    <row r="64361" spans="7:7" ht="10.5" customHeight="1" x14ac:dyDescent="0.2">
      <c r="G64361" s="889"/>
    </row>
    <row r="64362" spans="7:7" ht="10.5" customHeight="1" x14ac:dyDescent="0.2">
      <c r="G64362" s="889"/>
    </row>
    <row r="64363" spans="7:7" ht="10.5" customHeight="1" x14ac:dyDescent="0.2">
      <c r="G64363" s="889"/>
    </row>
    <row r="64364" spans="7:7" ht="10.5" customHeight="1" x14ac:dyDescent="0.2">
      <c r="G64364" s="889"/>
    </row>
    <row r="64365" spans="7:7" ht="10.5" customHeight="1" x14ac:dyDescent="0.2">
      <c r="G64365" s="889"/>
    </row>
    <row r="64366" spans="7:7" ht="10.5" customHeight="1" x14ac:dyDescent="0.2">
      <c r="G64366" s="889"/>
    </row>
    <row r="64367" spans="7:7" ht="10.5" customHeight="1" x14ac:dyDescent="0.2">
      <c r="G64367" s="889"/>
    </row>
    <row r="64368" spans="7:7" ht="10.5" customHeight="1" x14ac:dyDescent="0.2">
      <c r="G64368" s="889"/>
    </row>
    <row r="64369" spans="7:7" ht="10.5" customHeight="1" x14ac:dyDescent="0.2">
      <c r="G64369" s="889"/>
    </row>
    <row r="64370" spans="7:7" ht="10.5" customHeight="1" x14ac:dyDescent="0.2">
      <c r="G64370" s="889"/>
    </row>
    <row r="64371" spans="7:7" ht="10.5" customHeight="1" x14ac:dyDescent="0.2">
      <c r="G64371" s="889"/>
    </row>
    <row r="64372" spans="7:7" ht="10.5" customHeight="1" x14ac:dyDescent="0.2">
      <c r="G64372" s="889"/>
    </row>
    <row r="64373" spans="7:7" ht="10.5" customHeight="1" x14ac:dyDescent="0.2">
      <c r="G64373" s="889"/>
    </row>
    <row r="64374" spans="7:7" ht="10.5" customHeight="1" x14ac:dyDescent="0.2">
      <c r="G64374" s="889"/>
    </row>
    <row r="64375" spans="7:7" ht="10.5" customHeight="1" x14ac:dyDescent="0.2">
      <c r="G64375" s="889"/>
    </row>
    <row r="64376" spans="7:7" ht="10.5" customHeight="1" x14ac:dyDescent="0.2">
      <c r="G64376" s="889"/>
    </row>
    <row r="64377" spans="7:7" ht="10.5" customHeight="1" x14ac:dyDescent="0.2">
      <c r="G64377" s="889"/>
    </row>
    <row r="64378" spans="7:7" ht="10.5" customHeight="1" x14ac:dyDescent="0.2">
      <c r="G64378" s="889"/>
    </row>
    <row r="64379" spans="7:7" ht="10.5" customHeight="1" x14ac:dyDescent="0.2">
      <c r="G64379" s="889"/>
    </row>
    <row r="64380" spans="7:7" ht="10.5" customHeight="1" x14ac:dyDescent="0.2">
      <c r="G64380" s="889"/>
    </row>
    <row r="64381" spans="7:7" ht="10.5" customHeight="1" x14ac:dyDescent="0.2">
      <c r="G64381" s="889"/>
    </row>
    <row r="64382" spans="7:7" ht="10.5" customHeight="1" x14ac:dyDescent="0.2">
      <c r="G64382" s="889"/>
    </row>
    <row r="64383" spans="7:7" ht="10.5" customHeight="1" x14ac:dyDescent="0.2">
      <c r="G64383" s="889"/>
    </row>
    <row r="64384" spans="7:7" ht="10.5" customHeight="1" x14ac:dyDescent="0.2">
      <c r="G64384" s="889"/>
    </row>
    <row r="64385" spans="7:7" ht="10.5" customHeight="1" x14ac:dyDescent="0.2">
      <c r="G64385" s="889"/>
    </row>
    <row r="64386" spans="7:7" ht="10.5" customHeight="1" x14ac:dyDescent="0.2">
      <c r="G64386" s="889"/>
    </row>
    <row r="64387" spans="7:7" ht="10.5" customHeight="1" x14ac:dyDescent="0.2">
      <c r="G64387" s="889"/>
    </row>
    <row r="64388" spans="7:7" ht="10.5" customHeight="1" x14ac:dyDescent="0.2">
      <c r="G64388" s="889"/>
    </row>
    <row r="64389" spans="7:7" ht="10.5" customHeight="1" x14ac:dyDescent="0.2">
      <c r="G64389" s="889"/>
    </row>
    <row r="64390" spans="7:7" ht="10.5" customHeight="1" x14ac:dyDescent="0.2">
      <c r="G64390" s="889"/>
    </row>
    <row r="64391" spans="7:7" ht="10.5" customHeight="1" x14ac:dyDescent="0.2">
      <c r="G64391" s="889"/>
    </row>
    <row r="64392" spans="7:7" ht="10.5" customHeight="1" x14ac:dyDescent="0.2">
      <c r="G64392" s="889"/>
    </row>
    <row r="64393" spans="7:7" ht="10.5" customHeight="1" x14ac:dyDescent="0.2">
      <c r="G64393" s="889"/>
    </row>
    <row r="64394" spans="7:7" ht="10.5" customHeight="1" x14ac:dyDescent="0.2">
      <c r="G64394" s="889"/>
    </row>
    <row r="64395" spans="7:7" ht="10.5" customHeight="1" x14ac:dyDescent="0.2">
      <c r="G64395" s="889"/>
    </row>
    <row r="64396" spans="7:7" ht="10.5" customHeight="1" x14ac:dyDescent="0.2">
      <c r="G64396" s="889"/>
    </row>
    <row r="64397" spans="7:7" ht="10.5" customHeight="1" x14ac:dyDescent="0.2">
      <c r="G64397" s="889"/>
    </row>
    <row r="64398" spans="7:7" ht="10.5" customHeight="1" x14ac:dyDescent="0.2">
      <c r="G64398" s="889"/>
    </row>
    <row r="64399" spans="7:7" ht="10.5" customHeight="1" x14ac:dyDescent="0.2">
      <c r="G64399" s="889"/>
    </row>
    <row r="64400" spans="7:7" ht="10.5" customHeight="1" x14ac:dyDescent="0.2">
      <c r="G64400" s="889"/>
    </row>
    <row r="64401" spans="7:7" ht="10.5" customHeight="1" x14ac:dyDescent="0.2">
      <c r="G64401" s="889"/>
    </row>
    <row r="64402" spans="7:7" ht="10.5" customHeight="1" x14ac:dyDescent="0.2">
      <c r="G64402" s="889"/>
    </row>
    <row r="64403" spans="7:7" ht="10.5" customHeight="1" x14ac:dyDescent="0.2">
      <c r="G64403" s="889"/>
    </row>
    <row r="64404" spans="7:7" ht="10.5" customHeight="1" x14ac:dyDescent="0.2">
      <c r="G64404" s="889"/>
    </row>
    <row r="64405" spans="7:7" ht="10.5" customHeight="1" x14ac:dyDescent="0.2">
      <c r="G64405" s="889"/>
    </row>
    <row r="64406" spans="7:7" ht="10.5" customHeight="1" x14ac:dyDescent="0.2">
      <c r="G64406" s="889"/>
    </row>
    <row r="64407" spans="7:7" ht="10.5" customHeight="1" x14ac:dyDescent="0.2">
      <c r="G64407" s="889"/>
    </row>
    <row r="64408" spans="7:7" ht="10.5" customHeight="1" x14ac:dyDescent="0.2">
      <c r="G64408" s="889"/>
    </row>
    <row r="64409" spans="7:7" ht="10.5" customHeight="1" x14ac:dyDescent="0.2">
      <c r="G64409" s="889"/>
    </row>
    <row r="64410" spans="7:7" ht="10.5" customHeight="1" x14ac:dyDescent="0.2">
      <c r="G64410" s="889"/>
    </row>
    <row r="64411" spans="7:7" ht="10.5" customHeight="1" x14ac:dyDescent="0.2">
      <c r="G64411" s="889"/>
    </row>
    <row r="64412" spans="7:7" ht="10.5" customHeight="1" x14ac:dyDescent="0.2">
      <c r="G64412" s="889"/>
    </row>
    <row r="64413" spans="7:7" ht="10.5" customHeight="1" x14ac:dyDescent="0.2">
      <c r="G64413" s="889"/>
    </row>
    <row r="64414" spans="7:7" ht="10.5" customHeight="1" x14ac:dyDescent="0.2">
      <c r="G64414" s="889"/>
    </row>
    <row r="64415" spans="7:7" ht="10.5" customHeight="1" x14ac:dyDescent="0.2">
      <c r="G64415" s="889"/>
    </row>
    <row r="64416" spans="7:7" ht="10.5" customHeight="1" x14ac:dyDescent="0.2">
      <c r="G64416" s="889"/>
    </row>
    <row r="64417" spans="7:7" ht="10.5" customHeight="1" x14ac:dyDescent="0.2">
      <c r="G64417" s="889"/>
    </row>
    <row r="64418" spans="7:7" ht="10.5" customHeight="1" x14ac:dyDescent="0.2">
      <c r="G64418" s="889"/>
    </row>
    <row r="64419" spans="7:7" ht="10.5" customHeight="1" x14ac:dyDescent="0.2">
      <c r="G64419" s="889"/>
    </row>
    <row r="64420" spans="7:7" ht="10.5" customHeight="1" x14ac:dyDescent="0.2">
      <c r="G64420" s="889"/>
    </row>
    <row r="64421" spans="7:7" ht="10.5" customHeight="1" x14ac:dyDescent="0.2">
      <c r="G64421" s="889"/>
    </row>
    <row r="64422" spans="7:7" ht="10.5" customHeight="1" x14ac:dyDescent="0.2">
      <c r="G64422" s="889"/>
    </row>
    <row r="64423" spans="7:7" ht="10.5" customHeight="1" x14ac:dyDescent="0.2">
      <c r="G64423" s="889"/>
    </row>
    <row r="64424" spans="7:7" ht="10.5" customHeight="1" x14ac:dyDescent="0.2">
      <c r="G64424" s="889"/>
    </row>
    <row r="64425" spans="7:7" ht="10.5" customHeight="1" x14ac:dyDescent="0.2">
      <c r="G64425" s="889"/>
    </row>
    <row r="64426" spans="7:7" ht="10.5" customHeight="1" x14ac:dyDescent="0.2">
      <c r="G64426" s="889"/>
    </row>
    <row r="64427" spans="7:7" ht="10.5" customHeight="1" x14ac:dyDescent="0.2">
      <c r="G64427" s="889"/>
    </row>
    <row r="64428" spans="7:7" ht="10.5" customHeight="1" x14ac:dyDescent="0.2">
      <c r="G64428" s="889"/>
    </row>
    <row r="64429" spans="7:7" ht="10.5" customHeight="1" x14ac:dyDescent="0.2">
      <c r="G64429" s="889"/>
    </row>
    <row r="64430" spans="7:7" ht="10.5" customHeight="1" x14ac:dyDescent="0.2">
      <c r="G64430" s="889"/>
    </row>
    <row r="64431" spans="7:7" ht="10.5" customHeight="1" x14ac:dyDescent="0.2">
      <c r="G64431" s="889"/>
    </row>
    <row r="64432" spans="7:7" ht="10.5" customHeight="1" x14ac:dyDescent="0.2">
      <c r="G64432" s="889"/>
    </row>
    <row r="64433" spans="7:7" ht="10.5" customHeight="1" x14ac:dyDescent="0.2">
      <c r="G64433" s="889"/>
    </row>
    <row r="64434" spans="7:7" ht="10.5" customHeight="1" x14ac:dyDescent="0.2">
      <c r="G64434" s="889"/>
    </row>
    <row r="64435" spans="7:7" ht="10.5" customHeight="1" x14ac:dyDescent="0.2">
      <c r="G64435" s="889"/>
    </row>
    <row r="64436" spans="7:7" ht="10.5" customHeight="1" x14ac:dyDescent="0.2">
      <c r="G64436" s="889"/>
    </row>
    <row r="64437" spans="7:7" ht="10.5" customHeight="1" x14ac:dyDescent="0.2">
      <c r="G64437" s="889"/>
    </row>
    <row r="64438" spans="7:7" ht="10.5" customHeight="1" x14ac:dyDescent="0.2">
      <c r="G64438" s="889"/>
    </row>
    <row r="64439" spans="7:7" ht="10.5" customHeight="1" x14ac:dyDescent="0.2">
      <c r="G64439" s="889"/>
    </row>
    <row r="64440" spans="7:7" ht="10.5" customHeight="1" x14ac:dyDescent="0.2">
      <c r="G64440" s="889"/>
    </row>
    <row r="64441" spans="7:7" ht="10.5" customHeight="1" x14ac:dyDescent="0.2">
      <c r="G64441" s="889"/>
    </row>
    <row r="64442" spans="7:7" ht="10.5" customHeight="1" x14ac:dyDescent="0.2">
      <c r="G64442" s="889"/>
    </row>
    <row r="64443" spans="7:7" ht="10.5" customHeight="1" x14ac:dyDescent="0.2">
      <c r="G64443" s="889"/>
    </row>
    <row r="64444" spans="7:7" ht="10.5" customHeight="1" x14ac:dyDescent="0.2">
      <c r="G64444" s="889"/>
    </row>
    <row r="64445" spans="7:7" ht="10.5" customHeight="1" x14ac:dyDescent="0.2">
      <c r="G64445" s="889"/>
    </row>
    <row r="64446" spans="7:7" ht="10.5" customHeight="1" x14ac:dyDescent="0.2">
      <c r="G64446" s="889"/>
    </row>
    <row r="64447" spans="7:7" ht="10.5" customHeight="1" x14ac:dyDescent="0.2">
      <c r="G64447" s="889"/>
    </row>
    <row r="64448" spans="7:7" ht="10.5" customHeight="1" x14ac:dyDescent="0.2">
      <c r="G64448" s="889"/>
    </row>
    <row r="64449" spans="7:7" ht="10.5" customHeight="1" x14ac:dyDescent="0.2">
      <c r="G64449" s="889"/>
    </row>
    <row r="64450" spans="7:7" ht="10.5" customHeight="1" x14ac:dyDescent="0.2">
      <c r="G64450" s="889"/>
    </row>
    <row r="64451" spans="7:7" ht="10.5" customHeight="1" x14ac:dyDescent="0.2">
      <c r="G64451" s="889"/>
    </row>
    <row r="64452" spans="7:7" ht="10.5" customHeight="1" x14ac:dyDescent="0.2">
      <c r="G64452" s="889"/>
    </row>
    <row r="64453" spans="7:7" ht="10.5" customHeight="1" x14ac:dyDescent="0.2">
      <c r="G64453" s="889"/>
    </row>
    <row r="64454" spans="7:7" ht="10.5" customHeight="1" x14ac:dyDescent="0.2">
      <c r="G64454" s="889"/>
    </row>
    <row r="64455" spans="7:7" ht="10.5" customHeight="1" x14ac:dyDescent="0.2">
      <c r="G64455" s="889"/>
    </row>
    <row r="64456" spans="7:7" ht="10.5" customHeight="1" x14ac:dyDescent="0.2">
      <c r="G64456" s="889"/>
    </row>
    <row r="64457" spans="7:7" ht="10.5" customHeight="1" x14ac:dyDescent="0.2">
      <c r="G64457" s="889"/>
    </row>
    <row r="64458" spans="7:7" ht="10.5" customHeight="1" x14ac:dyDescent="0.2">
      <c r="G64458" s="889"/>
    </row>
    <row r="64459" spans="7:7" ht="10.5" customHeight="1" x14ac:dyDescent="0.2">
      <c r="G64459" s="889"/>
    </row>
    <row r="64460" spans="7:7" ht="10.5" customHeight="1" x14ac:dyDescent="0.2">
      <c r="G64460" s="889"/>
    </row>
    <row r="64461" spans="7:7" ht="10.5" customHeight="1" x14ac:dyDescent="0.2">
      <c r="G64461" s="889"/>
    </row>
    <row r="64462" spans="7:7" ht="10.5" customHeight="1" x14ac:dyDescent="0.2">
      <c r="G64462" s="889"/>
    </row>
    <row r="64463" spans="7:7" ht="10.5" customHeight="1" x14ac:dyDescent="0.2">
      <c r="G64463" s="889"/>
    </row>
    <row r="64464" spans="7:7" ht="10.5" customHeight="1" x14ac:dyDescent="0.2">
      <c r="G64464" s="889"/>
    </row>
    <row r="64465" spans="7:7" ht="10.5" customHeight="1" x14ac:dyDescent="0.2">
      <c r="G64465" s="889"/>
    </row>
    <row r="64466" spans="7:7" ht="10.5" customHeight="1" x14ac:dyDescent="0.2">
      <c r="G64466" s="889"/>
    </row>
    <row r="64467" spans="7:7" ht="10.5" customHeight="1" x14ac:dyDescent="0.2">
      <c r="G64467" s="889"/>
    </row>
    <row r="64468" spans="7:7" ht="10.5" customHeight="1" x14ac:dyDescent="0.2">
      <c r="G64468" s="889"/>
    </row>
    <row r="64469" spans="7:7" ht="10.5" customHeight="1" x14ac:dyDescent="0.2">
      <c r="G64469" s="889"/>
    </row>
    <row r="64470" spans="7:7" ht="10.5" customHeight="1" x14ac:dyDescent="0.2">
      <c r="G64470" s="889"/>
    </row>
    <row r="64471" spans="7:7" ht="10.5" customHeight="1" x14ac:dyDescent="0.2">
      <c r="G64471" s="889"/>
    </row>
    <row r="64472" spans="7:7" ht="10.5" customHeight="1" x14ac:dyDescent="0.2">
      <c r="G64472" s="889"/>
    </row>
    <row r="64473" spans="7:7" ht="10.5" customHeight="1" x14ac:dyDescent="0.2">
      <c r="G64473" s="889"/>
    </row>
    <row r="64474" spans="7:7" ht="10.5" customHeight="1" x14ac:dyDescent="0.2">
      <c r="G64474" s="889"/>
    </row>
    <row r="64475" spans="7:7" ht="10.5" customHeight="1" x14ac:dyDescent="0.2">
      <c r="G64475" s="889"/>
    </row>
    <row r="64476" spans="7:7" ht="10.5" customHeight="1" x14ac:dyDescent="0.2">
      <c r="G64476" s="889"/>
    </row>
    <row r="64477" spans="7:7" ht="10.5" customHeight="1" x14ac:dyDescent="0.2">
      <c r="G64477" s="889"/>
    </row>
    <row r="64478" spans="7:7" ht="10.5" customHeight="1" x14ac:dyDescent="0.2">
      <c r="G64478" s="889"/>
    </row>
    <row r="64479" spans="7:7" ht="10.5" customHeight="1" x14ac:dyDescent="0.2">
      <c r="G64479" s="889"/>
    </row>
    <row r="64480" spans="7:7" ht="10.5" customHeight="1" x14ac:dyDescent="0.2">
      <c r="G64480" s="889"/>
    </row>
    <row r="64481" spans="7:7" ht="10.5" customHeight="1" x14ac:dyDescent="0.2">
      <c r="G64481" s="889"/>
    </row>
    <row r="64482" spans="7:7" ht="10.5" customHeight="1" x14ac:dyDescent="0.2">
      <c r="G64482" s="889"/>
    </row>
    <row r="64483" spans="7:7" ht="10.5" customHeight="1" x14ac:dyDescent="0.2">
      <c r="G64483" s="889"/>
    </row>
    <row r="64484" spans="7:7" ht="10.5" customHeight="1" x14ac:dyDescent="0.2">
      <c r="G64484" s="889"/>
    </row>
    <row r="64485" spans="7:7" ht="10.5" customHeight="1" x14ac:dyDescent="0.2">
      <c r="G64485" s="889"/>
    </row>
    <row r="64486" spans="7:7" ht="10.5" customHeight="1" x14ac:dyDescent="0.2">
      <c r="G64486" s="889"/>
    </row>
    <row r="64487" spans="7:7" ht="10.5" customHeight="1" x14ac:dyDescent="0.2">
      <c r="G64487" s="889"/>
    </row>
    <row r="64488" spans="7:7" ht="10.5" customHeight="1" x14ac:dyDescent="0.2">
      <c r="G64488" s="889"/>
    </row>
    <row r="64489" spans="7:7" ht="10.5" customHeight="1" x14ac:dyDescent="0.2">
      <c r="G64489" s="889"/>
    </row>
    <row r="64490" spans="7:7" ht="10.5" customHeight="1" x14ac:dyDescent="0.2">
      <c r="G64490" s="889"/>
    </row>
    <row r="64491" spans="7:7" ht="10.5" customHeight="1" x14ac:dyDescent="0.2">
      <c r="G64491" s="889"/>
    </row>
    <row r="64492" spans="7:7" ht="10.5" customHeight="1" x14ac:dyDescent="0.2">
      <c r="G64492" s="889"/>
    </row>
    <row r="64493" spans="7:7" ht="10.5" customHeight="1" x14ac:dyDescent="0.2">
      <c r="G64493" s="889"/>
    </row>
    <row r="64494" spans="7:7" ht="10.5" customHeight="1" x14ac:dyDescent="0.2">
      <c r="G64494" s="889"/>
    </row>
    <row r="64495" spans="7:7" ht="10.5" customHeight="1" x14ac:dyDescent="0.2">
      <c r="G64495" s="889"/>
    </row>
    <row r="64496" spans="7:7" ht="10.5" customHeight="1" x14ac:dyDescent="0.2">
      <c r="G64496" s="889"/>
    </row>
    <row r="64497" spans="7:7" ht="10.5" customHeight="1" x14ac:dyDescent="0.2">
      <c r="G64497" s="889"/>
    </row>
    <row r="64498" spans="7:7" ht="10.5" customHeight="1" x14ac:dyDescent="0.2">
      <c r="G64498" s="889"/>
    </row>
    <row r="64499" spans="7:7" ht="10.5" customHeight="1" x14ac:dyDescent="0.2">
      <c r="G64499" s="889"/>
    </row>
    <row r="64500" spans="7:7" ht="10.5" customHeight="1" x14ac:dyDescent="0.2">
      <c r="G64500" s="889"/>
    </row>
    <row r="64501" spans="7:7" ht="10.5" customHeight="1" x14ac:dyDescent="0.2">
      <c r="G64501" s="889"/>
    </row>
    <row r="64502" spans="7:7" ht="10.5" customHeight="1" x14ac:dyDescent="0.2">
      <c r="G64502" s="889"/>
    </row>
    <row r="64503" spans="7:7" ht="10.5" customHeight="1" x14ac:dyDescent="0.2">
      <c r="G64503" s="889"/>
    </row>
    <row r="64504" spans="7:7" ht="10.5" customHeight="1" x14ac:dyDescent="0.2">
      <c r="G64504" s="889"/>
    </row>
    <row r="64505" spans="7:7" ht="10.5" customHeight="1" x14ac:dyDescent="0.2">
      <c r="G64505" s="889"/>
    </row>
    <row r="64506" spans="7:7" ht="10.5" customHeight="1" x14ac:dyDescent="0.2">
      <c r="G64506" s="889"/>
    </row>
    <row r="64507" spans="7:7" ht="10.5" customHeight="1" x14ac:dyDescent="0.2">
      <c r="G64507" s="889"/>
    </row>
    <row r="64508" spans="7:7" ht="10.5" customHeight="1" x14ac:dyDescent="0.2">
      <c r="G64508" s="889"/>
    </row>
    <row r="64509" spans="7:7" ht="10.5" customHeight="1" x14ac:dyDescent="0.2">
      <c r="G64509" s="889"/>
    </row>
    <row r="64510" spans="7:7" ht="10.5" customHeight="1" x14ac:dyDescent="0.2">
      <c r="G64510" s="889"/>
    </row>
    <row r="64511" spans="7:7" ht="10.5" customHeight="1" x14ac:dyDescent="0.2">
      <c r="G64511" s="889"/>
    </row>
    <row r="64512" spans="7:7" ht="10.5" customHeight="1" x14ac:dyDescent="0.2">
      <c r="G64512" s="889"/>
    </row>
    <row r="64513" spans="7:7" ht="10.5" customHeight="1" x14ac:dyDescent="0.2">
      <c r="G64513" s="889"/>
    </row>
    <row r="64514" spans="7:7" ht="10.5" customHeight="1" x14ac:dyDescent="0.2">
      <c r="G64514" s="889"/>
    </row>
    <row r="64515" spans="7:7" ht="10.5" customHeight="1" x14ac:dyDescent="0.2">
      <c r="G64515" s="889"/>
    </row>
    <row r="64516" spans="7:7" ht="10.5" customHeight="1" x14ac:dyDescent="0.2">
      <c r="G64516" s="889"/>
    </row>
    <row r="64517" spans="7:7" ht="10.5" customHeight="1" x14ac:dyDescent="0.2">
      <c r="G64517" s="889"/>
    </row>
    <row r="64518" spans="7:7" ht="10.5" customHeight="1" x14ac:dyDescent="0.2">
      <c r="G64518" s="889"/>
    </row>
    <row r="64519" spans="7:7" ht="10.5" customHeight="1" x14ac:dyDescent="0.2">
      <c r="G64519" s="889"/>
    </row>
    <row r="64520" spans="7:7" ht="10.5" customHeight="1" x14ac:dyDescent="0.2">
      <c r="G64520" s="889"/>
    </row>
    <row r="64521" spans="7:7" ht="10.5" customHeight="1" x14ac:dyDescent="0.2">
      <c r="G64521" s="889"/>
    </row>
    <row r="64522" spans="7:7" ht="10.5" customHeight="1" x14ac:dyDescent="0.2">
      <c r="G64522" s="889"/>
    </row>
    <row r="64523" spans="7:7" ht="10.5" customHeight="1" x14ac:dyDescent="0.2">
      <c r="G64523" s="889"/>
    </row>
    <row r="64524" spans="7:7" ht="10.5" customHeight="1" x14ac:dyDescent="0.2">
      <c r="G64524" s="889"/>
    </row>
    <row r="64525" spans="7:7" ht="10.5" customHeight="1" x14ac:dyDescent="0.2">
      <c r="G64525" s="889"/>
    </row>
    <row r="64526" spans="7:7" ht="10.5" customHeight="1" x14ac:dyDescent="0.2">
      <c r="G64526" s="889"/>
    </row>
    <row r="64527" spans="7:7" ht="10.5" customHeight="1" x14ac:dyDescent="0.2">
      <c r="G64527" s="889"/>
    </row>
    <row r="64528" spans="7:7" ht="10.5" customHeight="1" x14ac:dyDescent="0.2">
      <c r="G64528" s="889"/>
    </row>
    <row r="64529" spans="7:7" ht="10.5" customHeight="1" x14ac:dyDescent="0.2">
      <c r="G64529" s="889"/>
    </row>
    <row r="64530" spans="7:7" ht="10.5" customHeight="1" x14ac:dyDescent="0.2">
      <c r="G64530" s="889"/>
    </row>
    <row r="64531" spans="7:7" ht="10.5" customHeight="1" x14ac:dyDescent="0.2">
      <c r="G64531" s="889"/>
    </row>
    <row r="64532" spans="7:7" ht="10.5" customHeight="1" x14ac:dyDescent="0.2">
      <c r="G64532" s="889"/>
    </row>
    <row r="64533" spans="7:7" ht="10.5" customHeight="1" x14ac:dyDescent="0.2">
      <c r="G64533" s="889"/>
    </row>
    <row r="64534" spans="7:7" ht="10.5" customHeight="1" x14ac:dyDescent="0.2">
      <c r="G64534" s="889"/>
    </row>
    <row r="64535" spans="7:7" ht="10.5" customHeight="1" x14ac:dyDescent="0.2">
      <c r="G64535" s="889"/>
    </row>
    <row r="64536" spans="7:7" ht="10.5" customHeight="1" x14ac:dyDescent="0.2">
      <c r="G64536" s="889"/>
    </row>
    <row r="64537" spans="7:7" ht="10.5" customHeight="1" x14ac:dyDescent="0.2">
      <c r="G64537" s="889"/>
    </row>
    <row r="64538" spans="7:7" ht="10.5" customHeight="1" x14ac:dyDescent="0.2">
      <c r="G64538" s="889"/>
    </row>
    <row r="64539" spans="7:7" ht="10.5" customHeight="1" x14ac:dyDescent="0.2">
      <c r="G64539" s="889"/>
    </row>
    <row r="64540" spans="7:7" ht="10.5" customHeight="1" x14ac:dyDescent="0.2">
      <c r="G64540" s="889"/>
    </row>
    <row r="64541" spans="7:7" ht="10.5" customHeight="1" x14ac:dyDescent="0.2">
      <c r="G64541" s="889"/>
    </row>
    <row r="64542" spans="7:7" ht="10.5" customHeight="1" x14ac:dyDescent="0.2">
      <c r="G64542" s="889"/>
    </row>
    <row r="64543" spans="7:7" ht="10.5" customHeight="1" x14ac:dyDescent="0.2">
      <c r="G64543" s="889"/>
    </row>
    <row r="64544" spans="7:7" ht="10.5" customHeight="1" x14ac:dyDescent="0.2">
      <c r="G64544" s="889"/>
    </row>
    <row r="64545" spans="7:7" ht="10.5" customHeight="1" x14ac:dyDescent="0.2">
      <c r="G64545" s="889"/>
    </row>
    <row r="64546" spans="7:7" ht="10.5" customHeight="1" x14ac:dyDescent="0.2">
      <c r="G64546" s="889"/>
    </row>
    <row r="64547" spans="7:7" ht="10.5" customHeight="1" x14ac:dyDescent="0.2">
      <c r="G64547" s="889"/>
    </row>
    <row r="64548" spans="7:7" ht="10.5" customHeight="1" x14ac:dyDescent="0.2">
      <c r="G64548" s="889"/>
    </row>
    <row r="64549" spans="7:7" ht="10.5" customHeight="1" x14ac:dyDescent="0.2">
      <c r="G64549" s="889"/>
    </row>
    <row r="64550" spans="7:7" ht="10.5" customHeight="1" x14ac:dyDescent="0.2">
      <c r="G64550" s="889"/>
    </row>
    <row r="64551" spans="7:7" ht="10.5" customHeight="1" x14ac:dyDescent="0.2">
      <c r="G64551" s="889"/>
    </row>
    <row r="64552" spans="7:7" ht="10.5" customHeight="1" x14ac:dyDescent="0.2">
      <c r="G64552" s="889"/>
    </row>
    <row r="64553" spans="7:7" ht="10.5" customHeight="1" x14ac:dyDescent="0.2">
      <c r="G64553" s="889"/>
    </row>
    <row r="64554" spans="7:7" ht="10.5" customHeight="1" x14ac:dyDescent="0.2">
      <c r="G64554" s="889"/>
    </row>
    <row r="64555" spans="7:7" ht="10.5" customHeight="1" x14ac:dyDescent="0.2">
      <c r="G64555" s="889"/>
    </row>
    <row r="64556" spans="7:7" ht="10.5" customHeight="1" x14ac:dyDescent="0.2">
      <c r="G64556" s="889"/>
    </row>
    <row r="64557" spans="7:7" ht="10.5" customHeight="1" x14ac:dyDescent="0.2">
      <c r="G64557" s="889"/>
    </row>
    <row r="64558" spans="7:7" ht="10.5" customHeight="1" x14ac:dyDescent="0.2">
      <c r="G64558" s="889"/>
    </row>
    <row r="64559" spans="7:7" ht="10.5" customHeight="1" x14ac:dyDescent="0.2">
      <c r="G64559" s="889"/>
    </row>
    <row r="64560" spans="7:7" ht="10.5" customHeight="1" x14ac:dyDescent="0.2">
      <c r="G64560" s="889"/>
    </row>
    <row r="64561" spans="7:7" ht="10.5" customHeight="1" x14ac:dyDescent="0.2">
      <c r="G64561" s="889"/>
    </row>
    <row r="64562" spans="7:7" ht="10.5" customHeight="1" x14ac:dyDescent="0.2">
      <c r="G64562" s="889"/>
    </row>
    <row r="64563" spans="7:7" ht="10.5" customHeight="1" x14ac:dyDescent="0.2">
      <c r="G64563" s="889"/>
    </row>
    <row r="64564" spans="7:7" ht="10.5" customHeight="1" x14ac:dyDescent="0.2">
      <c r="G64564" s="889"/>
    </row>
    <row r="64565" spans="7:7" ht="10.5" customHeight="1" x14ac:dyDescent="0.2">
      <c r="G64565" s="889"/>
    </row>
    <row r="64566" spans="7:7" ht="10.5" customHeight="1" x14ac:dyDescent="0.2">
      <c r="G64566" s="889"/>
    </row>
    <row r="64567" spans="7:7" ht="10.5" customHeight="1" x14ac:dyDescent="0.2">
      <c r="G64567" s="889"/>
    </row>
    <row r="64568" spans="7:7" ht="10.5" customHeight="1" x14ac:dyDescent="0.2">
      <c r="G64568" s="889"/>
    </row>
    <row r="64569" spans="7:7" ht="10.5" customHeight="1" x14ac:dyDescent="0.2">
      <c r="G64569" s="889"/>
    </row>
    <row r="64570" spans="7:7" ht="10.5" customHeight="1" x14ac:dyDescent="0.2">
      <c r="G64570" s="889"/>
    </row>
    <row r="64571" spans="7:7" ht="10.5" customHeight="1" x14ac:dyDescent="0.2">
      <c r="G64571" s="889"/>
    </row>
    <row r="64572" spans="7:7" ht="10.5" customHeight="1" x14ac:dyDescent="0.2">
      <c r="G64572" s="889"/>
    </row>
    <row r="64573" spans="7:7" ht="10.5" customHeight="1" x14ac:dyDescent="0.2">
      <c r="G64573" s="889"/>
    </row>
    <row r="64574" spans="7:7" ht="10.5" customHeight="1" x14ac:dyDescent="0.2">
      <c r="G64574" s="889"/>
    </row>
    <row r="64575" spans="7:7" ht="10.5" customHeight="1" x14ac:dyDescent="0.2">
      <c r="G64575" s="889"/>
    </row>
    <row r="64576" spans="7:7" ht="10.5" customHeight="1" x14ac:dyDescent="0.2">
      <c r="G64576" s="889"/>
    </row>
    <row r="64577" spans="7:7" ht="10.5" customHeight="1" x14ac:dyDescent="0.2">
      <c r="G64577" s="889"/>
    </row>
    <row r="64578" spans="7:7" ht="10.5" customHeight="1" x14ac:dyDescent="0.2">
      <c r="G64578" s="889"/>
    </row>
    <row r="64579" spans="7:7" ht="10.5" customHeight="1" x14ac:dyDescent="0.2">
      <c r="G64579" s="889"/>
    </row>
    <row r="64580" spans="7:7" ht="10.5" customHeight="1" x14ac:dyDescent="0.2">
      <c r="G64580" s="889"/>
    </row>
    <row r="64581" spans="7:7" ht="10.5" customHeight="1" x14ac:dyDescent="0.2">
      <c r="G64581" s="889"/>
    </row>
    <row r="64582" spans="7:7" ht="10.5" customHeight="1" x14ac:dyDescent="0.2">
      <c r="G64582" s="889"/>
    </row>
    <row r="64583" spans="7:7" ht="10.5" customHeight="1" x14ac:dyDescent="0.2">
      <c r="G64583" s="889"/>
    </row>
    <row r="64584" spans="7:7" ht="10.5" customHeight="1" x14ac:dyDescent="0.2">
      <c r="G64584" s="889"/>
    </row>
    <row r="64585" spans="7:7" ht="10.5" customHeight="1" x14ac:dyDescent="0.2">
      <c r="G64585" s="889"/>
    </row>
    <row r="64586" spans="7:7" ht="10.5" customHeight="1" x14ac:dyDescent="0.2">
      <c r="G64586" s="889"/>
    </row>
    <row r="64587" spans="7:7" ht="10.5" customHeight="1" x14ac:dyDescent="0.2">
      <c r="G64587" s="889"/>
    </row>
    <row r="64588" spans="7:7" ht="10.5" customHeight="1" x14ac:dyDescent="0.2">
      <c r="G64588" s="889"/>
    </row>
    <row r="64589" spans="7:7" ht="10.5" customHeight="1" x14ac:dyDescent="0.2">
      <c r="G64589" s="889"/>
    </row>
    <row r="64590" spans="7:7" ht="10.5" customHeight="1" x14ac:dyDescent="0.2">
      <c r="G64590" s="889"/>
    </row>
    <row r="64591" spans="7:7" ht="10.5" customHeight="1" x14ac:dyDescent="0.2">
      <c r="G64591" s="889"/>
    </row>
    <row r="64592" spans="7:7" ht="10.5" customHeight="1" x14ac:dyDescent="0.2">
      <c r="G64592" s="889"/>
    </row>
    <row r="64593" spans="7:7" ht="10.5" customHeight="1" x14ac:dyDescent="0.2">
      <c r="G64593" s="889"/>
    </row>
    <row r="64594" spans="7:7" ht="10.5" customHeight="1" x14ac:dyDescent="0.2">
      <c r="G64594" s="889"/>
    </row>
    <row r="64595" spans="7:7" ht="10.5" customHeight="1" x14ac:dyDescent="0.2">
      <c r="G64595" s="889"/>
    </row>
    <row r="64596" spans="7:7" ht="10.5" customHeight="1" x14ac:dyDescent="0.2">
      <c r="G64596" s="889"/>
    </row>
    <row r="64597" spans="7:7" ht="10.5" customHeight="1" x14ac:dyDescent="0.2">
      <c r="G64597" s="889"/>
    </row>
    <row r="64598" spans="7:7" ht="10.5" customHeight="1" x14ac:dyDescent="0.2">
      <c r="G64598" s="889"/>
    </row>
    <row r="64599" spans="7:7" ht="10.5" customHeight="1" x14ac:dyDescent="0.2">
      <c r="G64599" s="889"/>
    </row>
    <row r="64600" spans="7:7" ht="10.5" customHeight="1" x14ac:dyDescent="0.2">
      <c r="G64600" s="889"/>
    </row>
    <row r="64601" spans="7:7" ht="10.5" customHeight="1" x14ac:dyDescent="0.2">
      <c r="G64601" s="889"/>
    </row>
    <row r="64602" spans="7:7" ht="10.5" customHeight="1" x14ac:dyDescent="0.2">
      <c r="G64602" s="889"/>
    </row>
    <row r="64603" spans="7:7" ht="10.5" customHeight="1" x14ac:dyDescent="0.2">
      <c r="G64603" s="889"/>
    </row>
    <row r="64604" spans="7:7" ht="10.5" customHeight="1" x14ac:dyDescent="0.2">
      <c r="G64604" s="889"/>
    </row>
    <row r="64605" spans="7:7" ht="10.5" customHeight="1" x14ac:dyDescent="0.2">
      <c r="G64605" s="889"/>
    </row>
    <row r="64606" spans="7:7" ht="10.5" customHeight="1" x14ac:dyDescent="0.2">
      <c r="G64606" s="889"/>
    </row>
    <row r="64607" spans="7:7" ht="10.5" customHeight="1" x14ac:dyDescent="0.2">
      <c r="G64607" s="889"/>
    </row>
    <row r="64608" spans="7:7" ht="10.5" customHeight="1" x14ac:dyDescent="0.2">
      <c r="G64608" s="889"/>
    </row>
    <row r="64609" spans="7:7" ht="10.5" customHeight="1" x14ac:dyDescent="0.2">
      <c r="G64609" s="889"/>
    </row>
    <row r="64610" spans="7:7" ht="10.5" customHeight="1" x14ac:dyDescent="0.2">
      <c r="G64610" s="889"/>
    </row>
    <row r="64611" spans="7:7" ht="10.5" customHeight="1" x14ac:dyDescent="0.2">
      <c r="G64611" s="889"/>
    </row>
    <row r="64612" spans="7:7" ht="10.5" customHeight="1" x14ac:dyDescent="0.2">
      <c r="G64612" s="889"/>
    </row>
    <row r="64613" spans="7:7" ht="10.5" customHeight="1" x14ac:dyDescent="0.2">
      <c r="G64613" s="889"/>
    </row>
    <row r="64614" spans="7:7" ht="10.5" customHeight="1" x14ac:dyDescent="0.2">
      <c r="G64614" s="889"/>
    </row>
    <row r="64615" spans="7:7" ht="10.5" customHeight="1" x14ac:dyDescent="0.2">
      <c r="G64615" s="889"/>
    </row>
    <row r="64616" spans="7:7" ht="10.5" customHeight="1" x14ac:dyDescent="0.2">
      <c r="G64616" s="889"/>
    </row>
    <row r="64617" spans="7:7" ht="10.5" customHeight="1" x14ac:dyDescent="0.2">
      <c r="G64617" s="889"/>
    </row>
    <row r="64618" spans="7:7" ht="10.5" customHeight="1" x14ac:dyDescent="0.2">
      <c r="G64618" s="889"/>
    </row>
    <row r="64619" spans="7:7" ht="10.5" customHeight="1" x14ac:dyDescent="0.2">
      <c r="G64619" s="889"/>
    </row>
    <row r="64620" spans="7:7" ht="10.5" customHeight="1" x14ac:dyDescent="0.2">
      <c r="G64620" s="889"/>
    </row>
    <row r="64621" spans="7:7" ht="10.5" customHeight="1" x14ac:dyDescent="0.2">
      <c r="G64621" s="889"/>
    </row>
    <row r="64622" spans="7:7" ht="10.5" customHeight="1" x14ac:dyDescent="0.2">
      <c r="G64622" s="889"/>
    </row>
    <row r="64623" spans="7:7" ht="10.5" customHeight="1" x14ac:dyDescent="0.2">
      <c r="G64623" s="889"/>
    </row>
    <row r="64624" spans="7:7" ht="10.5" customHeight="1" x14ac:dyDescent="0.2">
      <c r="G64624" s="889"/>
    </row>
    <row r="64625" spans="7:7" ht="10.5" customHeight="1" x14ac:dyDescent="0.2">
      <c r="G64625" s="889"/>
    </row>
    <row r="64626" spans="7:7" ht="10.5" customHeight="1" x14ac:dyDescent="0.2">
      <c r="G64626" s="889"/>
    </row>
    <row r="64627" spans="7:7" ht="10.5" customHeight="1" x14ac:dyDescent="0.2">
      <c r="G64627" s="889"/>
    </row>
    <row r="64628" spans="7:7" ht="10.5" customHeight="1" x14ac:dyDescent="0.2">
      <c r="G64628" s="889"/>
    </row>
    <row r="64629" spans="7:7" ht="10.5" customHeight="1" x14ac:dyDescent="0.2">
      <c r="G64629" s="889"/>
    </row>
    <row r="64630" spans="7:7" ht="10.5" customHeight="1" x14ac:dyDescent="0.2">
      <c r="G64630" s="889"/>
    </row>
    <row r="64631" spans="7:7" ht="10.5" customHeight="1" x14ac:dyDescent="0.2">
      <c r="G64631" s="889"/>
    </row>
    <row r="64632" spans="7:7" ht="10.5" customHeight="1" x14ac:dyDescent="0.2">
      <c r="G64632" s="889"/>
    </row>
    <row r="64633" spans="7:7" ht="10.5" customHeight="1" x14ac:dyDescent="0.2">
      <c r="G64633" s="889"/>
    </row>
    <row r="64634" spans="7:7" ht="10.5" customHeight="1" x14ac:dyDescent="0.2">
      <c r="G64634" s="889"/>
    </row>
    <row r="64635" spans="7:7" ht="10.5" customHeight="1" x14ac:dyDescent="0.2">
      <c r="G64635" s="889"/>
    </row>
    <row r="64636" spans="7:7" ht="10.5" customHeight="1" x14ac:dyDescent="0.2">
      <c r="G64636" s="889"/>
    </row>
    <row r="64637" spans="7:7" ht="10.5" customHeight="1" x14ac:dyDescent="0.2">
      <c r="G64637" s="889"/>
    </row>
    <row r="64638" spans="7:7" ht="10.5" customHeight="1" x14ac:dyDescent="0.2">
      <c r="G64638" s="889"/>
    </row>
    <row r="64639" spans="7:7" ht="10.5" customHeight="1" x14ac:dyDescent="0.2">
      <c r="G64639" s="889"/>
    </row>
    <row r="64640" spans="7:7" ht="10.5" customHeight="1" x14ac:dyDescent="0.2">
      <c r="G64640" s="889"/>
    </row>
    <row r="64641" spans="7:7" ht="10.5" customHeight="1" x14ac:dyDescent="0.2">
      <c r="G64641" s="889"/>
    </row>
    <row r="64642" spans="7:7" ht="10.5" customHeight="1" x14ac:dyDescent="0.2">
      <c r="G64642" s="889"/>
    </row>
    <row r="64643" spans="7:7" ht="10.5" customHeight="1" x14ac:dyDescent="0.2">
      <c r="G64643" s="889"/>
    </row>
    <row r="64644" spans="7:7" ht="10.5" customHeight="1" x14ac:dyDescent="0.2">
      <c r="G64644" s="889"/>
    </row>
    <row r="64645" spans="7:7" ht="10.5" customHeight="1" x14ac:dyDescent="0.2">
      <c r="G64645" s="889"/>
    </row>
    <row r="64646" spans="7:7" ht="10.5" customHeight="1" x14ac:dyDescent="0.2">
      <c r="G64646" s="889"/>
    </row>
    <row r="64647" spans="7:7" ht="10.5" customHeight="1" x14ac:dyDescent="0.2">
      <c r="G64647" s="889"/>
    </row>
    <row r="64648" spans="7:7" ht="10.5" customHeight="1" x14ac:dyDescent="0.2">
      <c r="G64648" s="889"/>
    </row>
    <row r="64649" spans="7:7" ht="10.5" customHeight="1" x14ac:dyDescent="0.2">
      <c r="G64649" s="889"/>
    </row>
    <row r="64650" spans="7:7" ht="10.5" customHeight="1" x14ac:dyDescent="0.2">
      <c r="G64650" s="889"/>
    </row>
    <row r="64651" spans="7:7" ht="10.5" customHeight="1" x14ac:dyDescent="0.2">
      <c r="G64651" s="889"/>
    </row>
    <row r="64652" spans="7:7" ht="10.5" customHeight="1" x14ac:dyDescent="0.2">
      <c r="G64652" s="889"/>
    </row>
    <row r="64653" spans="7:7" ht="10.5" customHeight="1" x14ac:dyDescent="0.2">
      <c r="G64653" s="889"/>
    </row>
    <row r="64654" spans="7:7" ht="10.5" customHeight="1" x14ac:dyDescent="0.2">
      <c r="G64654" s="889"/>
    </row>
    <row r="64655" spans="7:7" ht="10.5" customHeight="1" x14ac:dyDescent="0.2">
      <c r="G64655" s="889"/>
    </row>
    <row r="64656" spans="7:7" ht="10.5" customHeight="1" x14ac:dyDescent="0.2">
      <c r="G64656" s="889"/>
    </row>
    <row r="64657" spans="7:7" ht="10.5" customHeight="1" x14ac:dyDescent="0.2">
      <c r="G64657" s="889"/>
    </row>
    <row r="64658" spans="7:7" ht="10.5" customHeight="1" x14ac:dyDescent="0.2">
      <c r="G64658" s="889"/>
    </row>
    <row r="64659" spans="7:7" ht="10.5" customHeight="1" x14ac:dyDescent="0.2">
      <c r="G64659" s="889"/>
    </row>
    <row r="64660" spans="7:7" ht="10.5" customHeight="1" x14ac:dyDescent="0.2">
      <c r="G64660" s="889"/>
    </row>
    <row r="64661" spans="7:7" ht="10.5" customHeight="1" x14ac:dyDescent="0.2">
      <c r="G64661" s="889"/>
    </row>
    <row r="64662" spans="7:7" ht="10.5" customHeight="1" x14ac:dyDescent="0.2">
      <c r="G64662" s="889"/>
    </row>
    <row r="64663" spans="7:7" ht="10.5" customHeight="1" x14ac:dyDescent="0.2">
      <c r="G64663" s="889"/>
    </row>
    <row r="64664" spans="7:7" ht="10.5" customHeight="1" x14ac:dyDescent="0.2">
      <c r="G64664" s="889"/>
    </row>
    <row r="64665" spans="7:7" ht="10.5" customHeight="1" x14ac:dyDescent="0.2">
      <c r="G64665" s="889"/>
    </row>
    <row r="64666" spans="7:7" ht="10.5" customHeight="1" x14ac:dyDescent="0.2">
      <c r="G64666" s="889"/>
    </row>
    <row r="64667" spans="7:7" ht="10.5" customHeight="1" x14ac:dyDescent="0.2">
      <c r="G64667" s="889"/>
    </row>
    <row r="64668" spans="7:7" ht="10.5" customHeight="1" x14ac:dyDescent="0.2">
      <c r="G64668" s="889"/>
    </row>
    <row r="64669" spans="7:7" ht="10.5" customHeight="1" x14ac:dyDescent="0.2">
      <c r="G64669" s="889"/>
    </row>
    <row r="64670" spans="7:7" ht="10.5" customHeight="1" x14ac:dyDescent="0.2">
      <c r="G64670" s="889"/>
    </row>
    <row r="64671" spans="7:7" ht="10.5" customHeight="1" x14ac:dyDescent="0.2">
      <c r="G64671" s="889"/>
    </row>
    <row r="64672" spans="7:7" ht="10.5" customHeight="1" x14ac:dyDescent="0.2">
      <c r="G64672" s="889"/>
    </row>
    <row r="64673" spans="7:7" ht="10.5" customHeight="1" x14ac:dyDescent="0.2">
      <c r="G64673" s="889"/>
    </row>
    <row r="64674" spans="7:7" ht="10.5" customHeight="1" x14ac:dyDescent="0.2">
      <c r="G64674" s="889"/>
    </row>
    <row r="64675" spans="7:7" ht="10.5" customHeight="1" x14ac:dyDescent="0.2">
      <c r="G64675" s="889"/>
    </row>
    <row r="64676" spans="7:7" ht="10.5" customHeight="1" x14ac:dyDescent="0.2">
      <c r="G64676" s="889"/>
    </row>
    <row r="64677" spans="7:7" ht="10.5" customHeight="1" x14ac:dyDescent="0.2">
      <c r="G64677" s="889"/>
    </row>
    <row r="64678" spans="7:7" ht="10.5" customHeight="1" x14ac:dyDescent="0.2">
      <c r="G64678" s="889"/>
    </row>
    <row r="64679" spans="7:7" ht="10.5" customHeight="1" x14ac:dyDescent="0.2">
      <c r="G64679" s="889"/>
    </row>
    <row r="64680" spans="7:7" ht="10.5" customHeight="1" x14ac:dyDescent="0.2">
      <c r="G64680" s="889"/>
    </row>
    <row r="64681" spans="7:7" ht="10.5" customHeight="1" x14ac:dyDescent="0.2">
      <c r="G64681" s="889"/>
    </row>
    <row r="64682" spans="7:7" ht="10.5" customHeight="1" x14ac:dyDescent="0.2">
      <c r="G64682" s="889"/>
    </row>
    <row r="64683" spans="7:7" ht="10.5" customHeight="1" x14ac:dyDescent="0.2">
      <c r="G64683" s="889"/>
    </row>
    <row r="64684" spans="7:7" ht="10.5" customHeight="1" x14ac:dyDescent="0.2">
      <c r="G64684" s="889"/>
    </row>
    <row r="64685" spans="7:7" ht="10.5" customHeight="1" x14ac:dyDescent="0.2">
      <c r="G64685" s="889"/>
    </row>
    <row r="64686" spans="7:7" ht="10.5" customHeight="1" x14ac:dyDescent="0.2">
      <c r="G64686" s="889"/>
    </row>
    <row r="64687" spans="7:7" ht="10.5" customHeight="1" x14ac:dyDescent="0.2">
      <c r="G64687" s="889"/>
    </row>
    <row r="64688" spans="7:7" ht="10.5" customHeight="1" x14ac:dyDescent="0.2">
      <c r="G64688" s="889"/>
    </row>
    <row r="64689" spans="7:7" ht="10.5" customHeight="1" x14ac:dyDescent="0.2">
      <c r="G64689" s="889"/>
    </row>
    <row r="64690" spans="7:7" ht="10.5" customHeight="1" x14ac:dyDescent="0.2">
      <c r="G64690" s="889"/>
    </row>
    <row r="64691" spans="7:7" ht="10.5" customHeight="1" x14ac:dyDescent="0.2">
      <c r="G64691" s="889"/>
    </row>
    <row r="64692" spans="7:7" ht="10.5" customHeight="1" x14ac:dyDescent="0.2">
      <c r="G64692" s="889"/>
    </row>
    <row r="64693" spans="7:7" ht="10.5" customHeight="1" x14ac:dyDescent="0.2">
      <c r="G64693" s="889"/>
    </row>
    <row r="64694" spans="7:7" ht="10.5" customHeight="1" x14ac:dyDescent="0.2">
      <c r="G64694" s="889"/>
    </row>
    <row r="64695" spans="7:7" ht="10.5" customHeight="1" x14ac:dyDescent="0.2">
      <c r="G64695" s="889"/>
    </row>
    <row r="64696" spans="7:7" ht="10.5" customHeight="1" x14ac:dyDescent="0.2">
      <c r="G64696" s="889"/>
    </row>
    <row r="64697" spans="7:7" ht="10.5" customHeight="1" x14ac:dyDescent="0.2">
      <c r="G64697" s="889"/>
    </row>
    <row r="64698" spans="7:7" ht="10.5" customHeight="1" x14ac:dyDescent="0.2">
      <c r="G64698" s="889"/>
    </row>
    <row r="64699" spans="7:7" ht="10.5" customHeight="1" x14ac:dyDescent="0.2">
      <c r="G64699" s="889"/>
    </row>
    <row r="64700" spans="7:7" ht="10.5" customHeight="1" x14ac:dyDescent="0.2">
      <c r="G64700" s="889"/>
    </row>
    <row r="64701" spans="7:7" ht="10.5" customHeight="1" x14ac:dyDescent="0.2">
      <c r="G64701" s="889"/>
    </row>
    <row r="64702" spans="7:7" ht="10.5" customHeight="1" x14ac:dyDescent="0.2">
      <c r="G64702" s="889"/>
    </row>
    <row r="64703" spans="7:7" ht="10.5" customHeight="1" x14ac:dyDescent="0.2">
      <c r="G64703" s="889"/>
    </row>
    <row r="64704" spans="7:7" ht="10.5" customHeight="1" x14ac:dyDescent="0.2">
      <c r="G64704" s="889"/>
    </row>
    <row r="64705" spans="7:7" ht="10.5" customHeight="1" x14ac:dyDescent="0.2">
      <c r="G64705" s="889"/>
    </row>
    <row r="64706" spans="7:7" ht="10.5" customHeight="1" x14ac:dyDescent="0.2">
      <c r="G64706" s="889"/>
    </row>
    <row r="64707" spans="7:7" ht="10.5" customHeight="1" x14ac:dyDescent="0.2">
      <c r="G64707" s="889"/>
    </row>
    <row r="64708" spans="7:7" ht="10.5" customHeight="1" x14ac:dyDescent="0.2">
      <c r="G64708" s="889"/>
    </row>
    <row r="64709" spans="7:7" ht="10.5" customHeight="1" x14ac:dyDescent="0.2">
      <c r="G64709" s="889"/>
    </row>
    <row r="64710" spans="7:7" ht="10.5" customHeight="1" x14ac:dyDescent="0.2">
      <c r="G64710" s="889"/>
    </row>
    <row r="64711" spans="7:7" ht="10.5" customHeight="1" x14ac:dyDescent="0.2">
      <c r="G64711" s="889"/>
    </row>
    <row r="64712" spans="7:7" ht="10.5" customHeight="1" x14ac:dyDescent="0.2">
      <c r="G64712" s="889"/>
    </row>
    <row r="64713" spans="7:7" ht="10.5" customHeight="1" x14ac:dyDescent="0.2">
      <c r="G64713" s="889"/>
    </row>
    <row r="64714" spans="7:7" ht="10.5" customHeight="1" x14ac:dyDescent="0.2">
      <c r="G64714" s="889"/>
    </row>
    <row r="64715" spans="7:7" ht="10.5" customHeight="1" x14ac:dyDescent="0.2">
      <c r="G64715" s="889"/>
    </row>
    <row r="64716" spans="7:7" ht="10.5" customHeight="1" x14ac:dyDescent="0.2">
      <c r="G64716" s="889"/>
    </row>
    <row r="64717" spans="7:7" ht="10.5" customHeight="1" x14ac:dyDescent="0.2">
      <c r="G64717" s="889"/>
    </row>
    <row r="64718" spans="7:7" ht="10.5" customHeight="1" x14ac:dyDescent="0.2">
      <c r="G64718" s="889"/>
    </row>
    <row r="64719" spans="7:7" ht="10.5" customHeight="1" x14ac:dyDescent="0.2">
      <c r="G64719" s="889"/>
    </row>
    <row r="64720" spans="7:7" ht="10.5" customHeight="1" x14ac:dyDescent="0.2">
      <c r="G64720" s="889"/>
    </row>
    <row r="64721" spans="7:7" ht="10.5" customHeight="1" x14ac:dyDescent="0.2">
      <c r="G64721" s="889"/>
    </row>
    <row r="64722" spans="7:7" ht="10.5" customHeight="1" x14ac:dyDescent="0.2">
      <c r="G64722" s="889"/>
    </row>
    <row r="64723" spans="7:7" ht="10.5" customHeight="1" x14ac:dyDescent="0.2">
      <c r="G64723" s="889"/>
    </row>
    <row r="64724" spans="7:7" ht="10.5" customHeight="1" x14ac:dyDescent="0.2">
      <c r="G64724" s="889"/>
    </row>
    <row r="64725" spans="7:7" ht="10.5" customHeight="1" x14ac:dyDescent="0.2">
      <c r="G64725" s="889"/>
    </row>
    <row r="64726" spans="7:7" ht="10.5" customHeight="1" x14ac:dyDescent="0.2">
      <c r="G64726" s="889"/>
    </row>
    <row r="64727" spans="7:7" ht="10.5" customHeight="1" x14ac:dyDescent="0.2">
      <c r="G64727" s="889"/>
    </row>
    <row r="64728" spans="7:7" ht="10.5" customHeight="1" x14ac:dyDescent="0.2">
      <c r="G64728" s="889"/>
    </row>
    <row r="64729" spans="7:7" ht="10.5" customHeight="1" x14ac:dyDescent="0.2">
      <c r="G64729" s="889"/>
    </row>
    <row r="64730" spans="7:7" ht="10.5" customHeight="1" x14ac:dyDescent="0.2">
      <c r="G64730" s="889"/>
    </row>
    <row r="64731" spans="7:7" ht="10.5" customHeight="1" x14ac:dyDescent="0.2">
      <c r="G64731" s="889"/>
    </row>
    <row r="64732" spans="7:7" ht="10.5" customHeight="1" x14ac:dyDescent="0.2">
      <c r="G64732" s="889"/>
    </row>
    <row r="64733" spans="7:7" ht="10.5" customHeight="1" x14ac:dyDescent="0.2">
      <c r="G64733" s="889"/>
    </row>
    <row r="64734" spans="7:7" ht="10.5" customHeight="1" x14ac:dyDescent="0.2">
      <c r="G64734" s="889"/>
    </row>
    <row r="64735" spans="7:7" ht="10.5" customHeight="1" x14ac:dyDescent="0.2">
      <c r="G64735" s="889"/>
    </row>
    <row r="64736" spans="7:7" ht="10.5" customHeight="1" x14ac:dyDescent="0.2">
      <c r="G64736" s="889"/>
    </row>
    <row r="64737" spans="7:7" ht="10.5" customHeight="1" x14ac:dyDescent="0.2">
      <c r="G64737" s="889"/>
    </row>
    <row r="64738" spans="7:7" ht="10.5" customHeight="1" x14ac:dyDescent="0.2">
      <c r="G64738" s="889"/>
    </row>
    <row r="64739" spans="7:7" ht="10.5" customHeight="1" x14ac:dyDescent="0.2">
      <c r="G64739" s="889"/>
    </row>
    <row r="64740" spans="7:7" ht="10.5" customHeight="1" x14ac:dyDescent="0.2">
      <c r="G64740" s="889"/>
    </row>
    <row r="64741" spans="7:7" ht="10.5" customHeight="1" x14ac:dyDescent="0.2">
      <c r="G64741" s="889"/>
    </row>
    <row r="64742" spans="7:7" ht="10.5" customHeight="1" x14ac:dyDescent="0.2">
      <c r="G64742" s="889"/>
    </row>
    <row r="64743" spans="7:7" ht="10.5" customHeight="1" x14ac:dyDescent="0.2">
      <c r="G64743" s="889"/>
    </row>
    <row r="64744" spans="7:7" ht="10.5" customHeight="1" x14ac:dyDescent="0.2">
      <c r="G64744" s="889"/>
    </row>
    <row r="64745" spans="7:7" ht="10.5" customHeight="1" x14ac:dyDescent="0.2">
      <c r="G64745" s="889"/>
    </row>
    <row r="64746" spans="7:7" ht="10.5" customHeight="1" x14ac:dyDescent="0.2">
      <c r="G64746" s="889"/>
    </row>
    <row r="64747" spans="7:7" ht="10.5" customHeight="1" x14ac:dyDescent="0.2">
      <c r="G64747" s="889"/>
    </row>
    <row r="64748" spans="7:7" ht="10.5" customHeight="1" x14ac:dyDescent="0.2">
      <c r="G64748" s="889"/>
    </row>
    <row r="64749" spans="7:7" ht="10.5" customHeight="1" x14ac:dyDescent="0.2">
      <c r="G64749" s="889"/>
    </row>
    <row r="64750" spans="7:7" ht="10.5" customHeight="1" x14ac:dyDescent="0.2">
      <c r="G64750" s="889"/>
    </row>
    <row r="64751" spans="7:7" ht="10.5" customHeight="1" x14ac:dyDescent="0.2">
      <c r="G64751" s="889"/>
    </row>
    <row r="64752" spans="7:7" ht="10.5" customHeight="1" x14ac:dyDescent="0.2">
      <c r="G64752" s="889"/>
    </row>
    <row r="64753" spans="7:7" ht="10.5" customHeight="1" x14ac:dyDescent="0.2">
      <c r="G64753" s="889"/>
    </row>
    <row r="64754" spans="7:7" ht="10.5" customHeight="1" x14ac:dyDescent="0.2">
      <c r="G64754" s="889"/>
    </row>
    <row r="64755" spans="7:7" ht="10.5" customHeight="1" x14ac:dyDescent="0.2">
      <c r="G64755" s="889"/>
    </row>
    <row r="64756" spans="7:7" ht="10.5" customHeight="1" x14ac:dyDescent="0.2">
      <c r="G64756" s="889"/>
    </row>
    <row r="64757" spans="7:7" ht="10.5" customHeight="1" x14ac:dyDescent="0.2">
      <c r="G64757" s="889"/>
    </row>
    <row r="64758" spans="7:7" ht="10.5" customHeight="1" x14ac:dyDescent="0.2">
      <c r="G64758" s="889"/>
    </row>
    <row r="64759" spans="7:7" ht="10.5" customHeight="1" x14ac:dyDescent="0.2">
      <c r="G64759" s="889"/>
    </row>
    <row r="64760" spans="7:7" ht="10.5" customHeight="1" x14ac:dyDescent="0.2">
      <c r="G64760" s="889"/>
    </row>
    <row r="64761" spans="7:7" ht="10.5" customHeight="1" x14ac:dyDescent="0.2">
      <c r="G64761" s="889"/>
    </row>
    <row r="64762" spans="7:7" ht="10.5" customHeight="1" x14ac:dyDescent="0.2">
      <c r="G64762" s="889"/>
    </row>
    <row r="64763" spans="7:7" ht="10.5" customHeight="1" x14ac:dyDescent="0.2">
      <c r="G64763" s="889"/>
    </row>
    <row r="64764" spans="7:7" ht="10.5" customHeight="1" x14ac:dyDescent="0.2">
      <c r="G64764" s="889"/>
    </row>
    <row r="64765" spans="7:7" ht="10.5" customHeight="1" x14ac:dyDescent="0.2">
      <c r="G64765" s="889"/>
    </row>
    <row r="64766" spans="7:7" ht="10.5" customHeight="1" x14ac:dyDescent="0.2">
      <c r="G64766" s="889"/>
    </row>
    <row r="64767" spans="7:7" ht="10.5" customHeight="1" x14ac:dyDescent="0.2">
      <c r="G64767" s="889"/>
    </row>
    <row r="64768" spans="7:7" ht="10.5" customHeight="1" x14ac:dyDescent="0.2">
      <c r="G64768" s="889"/>
    </row>
    <row r="64769" spans="7:7" ht="10.5" customHeight="1" x14ac:dyDescent="0.2">
      <c r="G64769" s="889"/>
    </row>
    <row r="64770" spans="7:7" ht="10.5" customHeight="1" x14ac:dyDescent="0.2">
      <c r="G64770" s="889"/>
    </row>
    <row r="64771" spans="7:7" ht="10.5" customHeight="1" x14ac:dyDescent="0.2">
      <c r="G64771" s="889"/>
    </row>
    <row r="64772" spans="7:7" ht="10.5" customHeight="1" x14ac:dyDescent="0.2">
      <c r="G64772" s="889"/>
    </row>
    <row r="64773" spans="7:7" ht="10.5" customHeight="1" x14ac:dyDescent="0.2">
      <c r="G64773" s="889"/>
    </row>
    <row r="64774" spans="7:7" ht="10.5" customHeight="1" x14ac:dyDescent="0.2">
      <c r="G64774" s="889"/>
    </row>
    <row r="64775" spans="7:7" ht="10.5" customHeight="1" x14ac:dyDescent="0.2">
      <c r="G64775" s="889"/>
    </row>
    <row r="64776" spans="7:7" ht="10.5" customHeight="1" x14ac:dyDescent="0.2">
      <c r="G64776" s="889"/>
    </row>
    <row r="64777" spans="7:7" ht="10.5" customHeight="1" x14ac:dyDescent="0.2">
      <c r="G64777" s="889"/>
    </row>
    <row r="64778" spans="7:7" ht="10.5" customHeight="1" x14ac:dyDescent="0.2">
      <c r="G64778" s="889"/>
    </row>
    <row r="64779" spans="7:7" ht="10.5" customHeight="1" x14ac:dyDescent="0.2">
      <c r="G64779" s="889"/>
    </row>
    <row r="64780" spans="7:7" ht="10.5" customHeight="1" x14ac:dyDescent="0.2">
      <c r="G64780" s="889"/>
    </row>
    <row r="64781" spans="7:7" ht="10.5" customHeight="1" x14ac:dyDescent="0.2">
      <c r="G64781" s="889"/>
    </row>
    <row r="64782" spans="7:7" ht="10.5" customHeight="1" x14ac:dyDescent="0.2">
      <c r="G64782" s="889"/>
    </row>
    <row r="64783" spans="7:7" ht="10.5" customHeight="1" x14ac:dyDescent="0.2">
      <c r="G64783" s="889"/>
    </row>
    <row r="64784" spans="7:7" ht="10.5" customHeight="1" x14ac:dyDescent="0.2">
      <c r="G64784" s="889"/>
    </row>
    <row r="64785" spans="7:7" ht="10.5" customHeight="1" x14ac:dyDescent="0.2">
      <c r="G64785" s="889"/>
    </row>
    <row r="64786" spans="7:7" ht="10.5" customHeight="1" x14ac:dyDescent="0.2">
      <c r="G64786" s="889"/>
    </row>
    <row r="64787" spans="7:7" ht="10.5" customHeight="1" x14ac:dyDescent="0.2">
      <c r="G64787" s="889"/>
    </row>
    <row r="64788" spans="7:7" ht="10.5" customHeight="1" x14ac:dyDescent="0.2">
      <c r="G64788" s="889"/>
    </row>
    <row r="64789" spans="7:7" ht="10.5" customHeight="1" x14ac:dyDescent="0.2">
      <c r="G64789" s="889"/>
    </row>
    <row r="64790" spans="7:7" ht="10.5" customHeight="1" x14ac:dyDescent="0.2">
      <c r="G64790" s="889"/>
    </row>
    <row r="64791" spans="7:7" ht="10.5" customHeight="1" x14ac:dyDescent="0.2">
      <c r="G64791" s="889"/>
    </row>
    <row r="64792" spans="7:7" ht="10.5" customHeight="1" x14ac:dyDescent="0.2">
      <c r="G64792" s="889"/>
    </row>
    <row r="64793" spans="7:7" ht="10.5" customHeight="1" x14ac:dyDescent="0.2">
      <c r="G64793" s="889"/>
    </row>
    <row r="64794" spans="7:7" ht="10.5" customHeight="1" x14ac:dyDescent="0.2">
      <c r="G64794" s="889"/>
    </row>
    <row r="64795" spans="7:7" ht="10.5" customHeight="1" x14ac:dyDescent="0.2">
      <c r="G64795" s="889"/>
    </row>
    <row r="64796" spans="7:7" ht="10.5" customHeight="1" x14ac:dyDescent="0.2">
      <c r="G64796" s="889"/>
    </row>
    <row r="64797" spans="7:7" ht="10.5" customHeight="1" x14ac:dyDescent="0.2">
      <c r="G64797" s="889"/>
    </row>
    <row r="64798" spans="7:7" ht="10.5" customHeight="1" x14ac:dyDescent="0.2">
      <c r="G64798" s="889"/>
    </row>
    <row r="64799" spans="7:7" ht="10.5" customHeight="1" x14ac:dyDescent="0.2">
      <c r="G64799" s="889"/>
    </row>
    <row r="64800" spans="7:7" ht="10.5" customHeight="1" x14ac:dyDescent="0.2">
      <c r="G64800" s="889"/>
    </row>
    <row r="64801" spans="7:7" ht="10.5" customHeight="1" x14ac:dyDescent="0.2">
      <c r="G64801" s="889"/>
    </row>
    <row r="64802" spans="7:7" ht="10.5" customHeight="1" x14ac:dyDescent="0.2">
      <c r="G64802" s="889"/>
    </row>
    <row r="64803" spans="7:7" ht="10.5" customHeight="1" x14ac:dyDescent="0.2">
      <c r="G64803" s="889"/>
    </row>
    <row r="64804" spans="7:7" ht="10.5" customHeight="1" x14ac:dyDescent="0.2">
      <c r="G64804" s="889"/>
    </row>
    <row r="64805" spans="7:7" ht="10.5" customHeight="1" x14ac:dyDescent="0.2">
      <c r="G64805" s="889"/>
    </row>
    <row r="64806" spans="7:7" ht="10.5" customHeight="1" x14ac:dyDescent="0.2">
      <c r="G64806" s="889"/>
    </row>
    <row r="64807" spans="7:7" ht="10.5" customHeight="1" x14ac:dyDescent="0.2">
      <c r="G64807" s="889"/>
    </row>
    <row r="64808" spans="7:7" ht="10.5" customHeight="1" x14ac:dyDescent="0.2">
      <c r="G64808" s="889"/>
    </row>
    <row r="64809" spans="7:7" ht="10.5" customHeight="1" x14ac:dyDescent="0.2">
      <c r="G64809" s="889"/>
    </row>
    <row r="64810" spans="7:7" ht="10.5" customHeight="1" x14ac:dyDescent="0.2">
      <c r="G64810" s="889"/>
    </row>
    <row r="64811" spans="7:7" ht="10.5" customHeight="1" x14ac:dyDescent="0.2">
      <c r="G64811" s="889"/>
    </row>
    <row r="64812" spans="7:7" ht="10.5" customHeight="1" x14ac:dyDescent="0.2">
      <c r="G64812" s="889"/>
    </row>
    <row r="64813" spans="7:7" ht="10.5" customHeight="1" x14ac:dyDescent="0.2">
      <c r="G64813" s="889"/>
    </row>
    <row r="64814" spans="7:7" ht="10.5" customHeight="1" x14ac:dyDescent="0.2">
      <c r="G64814" s="889"/>
    </row>
    <row r="64815" spans="7:7" ht="10.5" customHeight="1" x14ac:dyDescent="0.2">
      <c r="G64815" s="889"/>
    </row>
    <row r="64816" spans="7:7" ht="10.5" customHeight="1" x14ac:dyDescent="0.2">
      <c r="G64816" s="889"/>
    </row>
    <row r="64817" spans="7:7" ht="10.5" customHeight="1" x14ac:dyDescent="0.2">
      <c r="G64817" s="889"/>
    </row>
    <row r="64818" spans="7:7" ht="10.5" customHeight="1" x14ac:dyDescent="0.2">
      <c r="G64818" s="889"/>
    </row>
    <row r="64819" spans="7:7" ht="10.5" customHeight="1" x14ac:dyDescent="0.2">
      <c r="G64819" s="889"/>
    </row>
    <row r="64820" spans="7:7" ht="10.5" customHeight="1" x14ac:dyDescent="0.2">
      <c r="G64820" s="889"/>
    </row>
    <row r="64821" spans="7:7" ht="10.5" customHeight="1" x14ac:dyDescent="0.2">
      <c r="G64821" s="889"/>
    </row>
    <row r="64822" spans="7:7" ht="10.5" customHeight="1" x14ac:dyDescent="0.2">
      <c r="G64822" s="889"/>
    </row>
    <row r="64823" spans="7:7" ht="10.5" customHeight="1" x14ac:dyDescent="0.2">
      <c r="G64823" s="889"/>
    </row>
    <row r="64824" spans="7:7" ht="10.5" customHeight="1" x14ac:dyDescent="0.2">
      <c r="G64824" s="889"/>
    </row>
    <row r="64825" spans="7:7" ht="10.5" customHeight="1" x14ac:dyDescent="0.2">
      <c r="G64825" s="889"/>
    </row>
    <row r="64826" spans="7:7" ht="10.5" customHeight="1" x14ac:dyDescent="0.2">
      <c r="G64826" s="889"/>
    </row>
    <row r="64827" spans="7:7" ht="10.5" customHeight="1" x14ac:dyDescent="0.2">
      <c r="G64827" s="889"/>
    </row>
    <row r="64828" spans="7:7" ht="10.5" customHeight="1" x14ac:dyDescent="0.2">
      <c r="G64828" s="889"/>
    </row>
    <row r="64829" spans="7:7" ht="10.5" customHeight="1" x14ac:dyDescent="0.2">
      <c r="G64829" s="889"/>
    </row>
    <row r="64830" spans="7:7" ht="10.5" customHeight="1" x14ac:dyDescent="0.2">
      <c r="G64830" s="889"/>
    </row>
    <row r="64831" spans="7:7" ht="10.5" customHeight="1" x14ac:dyDescent="0.2">
      <c r="G64831" s="889"/>
    </row>
    <row r="64832" spans="7:7" ht="10.5" customHeight="1" x14ac:dyDescent="0.2">
      <c r="G64832" s="889"/>
    </row>
    <row r="64833" spans="7:7" ht="10.5" customHeight="1" x14ac:dyDescent="0.2">
      <c r="G64833" s="889"/>
    </row>
    <row r="64834" spans="7:7" ht="10.5" customHeight="1" x14ac:dyDescent="0.2">
      <c r="G64834" s="889"/>
    </row>
    <row r="64835" spans="7:7" ht="10.5" customHeight="1" x14ac:dyDescent="0.2">
      <c r="G64835" s="889"/>
    </row>
    <row r="64836" spans="7:7" ht="10.5" customHeight="1" x14ac:dyDescent="0.2">
      <c r="G64836" s="889"/>
    </row>
    <row r="64837" spans="7:7" ht="10.5" customHeight="1" x14ac:dyDescent="0.2">
      <c r="G64837" s="889"/>
    </row>
    <row r="64838" spans="7:7" ht="10.5" customHeight="1" x14ac:dyDescent="0.2">
      <c r="G64838" s="889"/>
    </row>
    <row r="64839" spans="7:7" ht="10.5" customHeight="1" x14ac:dyDescent="0.2">
      <c r="G64839" s="889"/>
    </row>
    <row r="64840" spans="7:7" ht="10.5" customHeight="1" x14ac:dyDescent="0.2">
      <c r="G64840" s="889"/>
    </row>
    <row r="64841" spans="7:7" ht="10.5" customHeight="1" x14ac:dyDescent="0.2">
      <c r="G64841" s="889"/>
    </row>
    <row r="64842" spans="7:7" ht="10.5" customHeight="1" x14ac:dyDescent="0.2">
      <c r="G64842" s="889"/>
    </row>
    <row r="64843" spans="7:7" ht="10.5" customHeight="1" x14ac:dyDescent="0.2">
      <c r="G64843" s="889"/>
    </row>
    <row r="64844" spans="7:7" ht="10.5" customHeight="1" x14ac:dyDescent="0.2">
      <c r="G64844" s="889"/>
    </row>
    <row r="64845" spans="7:7" ht="10.5" customHeight="1" x14ac:dyDescent="0.2">
      <c r="G64845" s="889"/>
    </row>
    <row r="64846" spans="7:7" ht="10.5" customHeight="1" x14ac:dyDescent="0.2">
      <c r="G64846" s="889"/>
    </row>
    <row r="64847" spans="7:7" ht="10.5" customHeight="1" x14ac:dyDescent="0.2">
      <c r="G64847" s="889"/>
    </row>
    <row r="64848" spans="7:7" ht="10.5" customHeight="1" x14ac:dyDescent="0.2">
      <c r="G64848" s="889"/>
    </row>
    <row r="64849" spans="7:7" ht="10.5" customHeight="1" x14ac:dyDescent="0.2">
      <c r="G64849" s="889"/>
    </row>
    <row r="64850" spans="7:7" ht="10.5" customHeight="1" x14ac:dyDescent="0.2">
      <c r="G64850" s="889"/>
    </row>
    <row r="64851" spans="7:7" ht="10.5" customHeight="1" x14ac:dyDescent="0.2">
      <c r="G64851" s="889"/>
    </row>
    <row r="64852" spans="7:7" ht="10.5" customHeight="1" x14ac:dyDescent="0.2">
      <c r="G64852" s="889"/>
    </row>
    <row r="64853" spans="7:7" ht="10.5" customHeight="1" x14ac:dyDescent="0.2">
      <c r="G64853" s="889"/>
    </row>
    <row r="64854" spans="7:7" ht="10.5" customHeight="1" x14ac:dyDescent="0.2">
      <c r="G64854" s="889"/>
    </row>
    <row r="64855" spans="7:7" ht="10.5" customHeight="1" x14ac:dyDescent="0.2">
      <c r="G64855" s="889"/>
    </row>
    <row r="64856" spans="7:7" ht="10.5" customHeight="1" x14ac:dyDescent="0.2">
      <c r="G64856" s="889"/>
    </row>
    <row r="64857" spans="7:7" ht="10.5" customHeight="1" x14ac:dyDescent="0.2">
      <c r="G64857" s="889"/>
    </row>
    <row r="64858" spans="7:7" ht="10.5" customHeight="1" x14ac:dyDescent="0.2">
      <c r="G64858" s="889"/>
    </row>
    <row r="64859" spans="7:7" ht="10.5" customHeight="1" x14ac:dyDescent="0.2">
      <c r="G64859" s="889"/>
    </row>
    <row r="64860" spans="7:7" ht="10.5" customHeight="1" x14ac:dyDescent="0.2">
      <c r="G64860" s="889"/>
    </row>
    <row r="64861" spans="7:7" ht="10.5" customHeight="1" x14ac:dyDescent="0.2">
      <c r="G64861" s="889"/>
    </row>
    <row r="64862" spans="7:7" ht="10.5" customHeight="1" x14ac:dyDescent="0.2">
      <c r="G64862" s="889"/>
    </row>
    <row r="64863" spans="7:7" ht="10.5" customHeight="1" x14ac:dyDescent="0.2">
      <c r="G64863" s="889"/>
    </row>
    <row r="64864" spans="7:7" ht="10.5" customHeight="1" x14ac:dyDescent="0.2">
      <c r="G64864" s="889"/>
    </row>
    <row r="64865" spans="7:7" ht="10.5" customHeight="1" x14ac:dyDescent="0.2">
      <c r="G64865" s="889"/>
    </row>
    <row r="64866" spans="7:7" ht="10.5" customHeight="1" x14ac:dyDescent="0.2">
      <c r="G64866" s="889"/>
    </row>
    <row r="64867" spans="7:7" ht="10.5" customHeight="1" x14ac:dyDescent="0.2">
      <c r="G64867" s="889"/>
    </row>
    <row r="64868" spans="7:7" ht="10.5" customHeight="1" x14ac:dyDescent="0.2">
      <c r="G64868" s="889"/>
    </row>
    <row r="64869" spans="7:7" ht="10.5" customHeight="1" x14ac:dyDescent="0.2">
      <c r="G64869" s="889"/>
    </row>
    <row r="64870" spans="7:7" ht="10.5" customHeight="1" x14ac:dyDescent="0.2">
      <c r="G64870" s="889"/>
    </row>
    <row r="64871" spans="7:7" ht="10.5" customHeight="1" x14ac:dyDescent="0.2">
      <c r="G64871" s="889"/>
    </row>
    <row r="64872" spans="7:7" ht="10.5" customHeight="1" x14ac:dyDescent="0.2">
      <c r="G64872" s="889"/>
    </row>
    <row r="64873" spans="7:7" ht="10.5" customHeight="1" x14ac:dyDescent="0.2">
      <c r="G64873" s="889"/>
    </row>
    <row r="64874" spans="7:7" ht="10.5" customHeight="1" x14ac:dyDescent="0.2">
      <c r="G64874" s="889"/>
    </row>
    <row r="64875" spans="7:7" ht="10.5" customHeight="1" x14ac:dyDescent="0.2">
      <c r="G64875" s="889"/>
    </row>
    <row r="64876" spans="7:7" ht="10.5" customHeight="1" x14ac:dyDescent="0.2">
      <c r="G64876" s="889"/>
    </row>
    <row r="64877" spans="7:7" ht="10.5" customHeight="1" x14ac:dyDescent="0.2">
      <c r="G64877" s="889"/>
    </row>
    <row r="64878" spans="7:7" ht="10.5" customHeight="1" x14ac:dyDescent="0.2">
      <c r="G64878" s="889"/>
    </row>
    <row r="64879" spans="7:7" ht="10.5" customHeight="1" x14ac:dyDescent="0.2">
      <c r="G64879" s="889"/>
    </row>
    <row r="64880" spans="7:7" ht="10.5" customHeight="1" x14ac:dyDescent="0.2">
      <c r="G64880" s="889"/>
    </row>
    <row r="64881" spans="7:7" ht="10.5" customHeight="1" x14ac:dyDescent="0.2">
      <c r="G64881" s="889"/>
    </row>
    <row r="64882" spans="7:7" ht="10.5" customHeight="1" x14ac:dyDescent="0.2">
      <c r="G64882" s="889"/>
    </row>
    <row r="64883" spans="7:7" ht="10.5" customHeight="1" x14ac:dyDescent="0.2">
      <c r="G64883" s="889"/>
    </row>
    <row r="64884" spans="7:7" ht="10.5" customHeight="1" x14ac:dyDescent="0.2">
      <c r="G64884" s="889"/>
    </row>
    <row r="64885" spans="7:7" ht="10.5" customHeight="1" x14ac:dyDescent="0.2">
      <c r="G64885" s="889"/>
    </row>
    <row r="64886" spans="7:7" ht="10.5" customHeight="1" x14ac:dyDescent="0.2">
      <c r="G64886" s="889"/>
    </row>
    <row r="64887" spans="7:7" ht="10.5" customHeight="1" x14ac:dyDescent="0.2">
      <c r="G64887" s="889"/>
    </row>
    <row r="64888" spans="7:7" ht="10.5" customHeight="1" x14ac:dyDescent="0.2">
      <c r="G64888" s="889"/>
    </row>
    <row r="64889" spans="7:7" ht="10.5" customHeight="1" x14ac:dyDescent="0.2">
      <c r="G64889" s="889"/>
    </row>
    <row r="64890" spans="7:7" ht="10.5" customHeight="1" x14ac:dyDescent="0.2">
      <c r="G64890" s="889"/>
    </row>
    <row r="64891" spans="7:7" ht="10.5" customHeight="1" x14ac:dyDescent="0.2">
      <c r="G64891" s="889"/>
    </row>
    <row r="64892" spans="7:7" ht="10.5" customHeight="1" x14ac:dyDescent="0.2">
      <c r="G64892" s="889"/>
    </row>
    <row r="64893" spans="7:7" ht="10.5" customHeight="1" x14ac:dyDescent="0.2">
      <c r="G64893" s="889"/>
    </row>
    <row r="64894" spans="7:7" ht="10.5" customHeight="1" x14ac:dyDescent="0.2">
      <c r="G64894" s="889"/>
    </row>
    <row r="64895" spans="7:7" ht="10.5" customHeight="1" x14ac:dyDescent="0.2">
      <c r="G64895" s="889"/>
    </row>
    <row r="64896" spans="7:7" ht="10.5" customHeight="1" x14ac:dyDescent="0.2">
      <c r="G64896" s="889"/>
    </row>
    <row r="64897" spans="7:7" ht="10.5" customHeight="1" x14ac:dyDescent="0.2">
      <c r="G64897" s="889"/>
    </row>
    <row r="64898" spans="7:7" ht="10.5" customHeight="1" x14ac:dyDescent="0.2">
      <c r="G64898" s="889"/>
    </row>
    <row r="64899" spans="7:7" ht="10.5" customHeight="1" x14ac:dyDescent="0.2">
      <c r="G64899" s="889"/>
    </row>
    <row r="64900" spans="7:7" ht="10.5" customHeight="1" x14ac:dyDescent="0.2">
      <c r="G64900" s="889"/>
    </row>
    <row r="64901" spans="7:7" ht="10.5" customHeight="1" x14ac:dyDescent="0.2">
      <c r="G64901" s="889"/>
    </row>
    <row r="64902" spans="7:7" ht="10.5" customHeight="1" x14ac:dyDescent="0.2">
      <c r="G64902" s="889"/>
    </row>
    <row r="64903" spans="7:7" ht="10.5" customHeight="1" x14ac:dyDescent="0.2">
      <c r="G64903" s="889"/>
    </row>
    <row r="64904" spans="7:7" ht="10.5" customHeight="1" x14ac:dyDescent="0.2">
      <c r="G64904" s="889"/>
    </row>
    <row r="64905" spans="7:7" ht="10.5" customHeight="1" x14ac:dyDescent="0.2">
      <c r="G64905" s="889"/>
    </row>
    <row r="64906" spans="7:7" ht="10.5" customHeight="1" x14ac:dyDescent="0.2">
      <c r="G64906" s="889"/>
    </row>
    <row r="64907" spans="7:7" ht="10.5" customHeight="1" x14ac:dyDescent="0.2">
      <c r="G64907" s="889"/>
    </row>
    <row r="64908" spans="7:7" ht="10.5" customHeight="1" x14ac:dyDescent="0.2">
      <c r="G64908" s="889"/>
    </row>
    <row r="64909" spans="7:7" ht="10.5" customHeight="1" x14ac:dyDescent="0.2">
      <c r="G64909" s="889"/>
    </row>
    <row r="64910" spans="7:7" ht="10.5" customHeight="1" x14ac:dyDescent="0.2">
      <c r="G64910" s="889"/>
    </row>
    <row r="64911" spans="7:7" ht="10.5" customHeight="1" x14ac:dyDescent="0.2">
      <c r="G64911" s="889"/>
    </row>
    <row r="64912" spans="7:7" ht="10.5" customHeight="1" x14ac:dyDescent="0.2">
      <c r="G64912" s="889"/>
    </row>
    <row r="64913" spans="7:7" ht="10.5" customHeight="1" x14ac:dyDescent="0.2">
      <c r="G64913" s="889"/>
    </row>
    <row r="64914" spans="7:7" ht="10.5" customHeight="1" x14ac:dyDescent="0.2">
      <c r="G64914" s="889"/>
    </row>
    <row r="64915" spans="7:7" ht="10.5" customHeight="1" x14ac:dyDescent="0.2">
      <c r="G64915" s="889"/>
    </row>
    <row r="64916" spans="7:7" ht="10.5" customHeight="1" x14ac:dyDescent="0.2">
      <c r="G64916" s="889"/>
    </row>
    <row r="64917" spans="7:7" ht="10.5" customHeight="1" x14ac:dyDescent="0.2">
      <c r="G64917" s="889"/>
    </row>
    <row r="64918" spans="7:7" ht="10.5" customHeight="1" x14ac:dyDescent="0.2">
      <c r="G64918" s="889"/>
    </row>
    <row r="64919" spans="7:7" ht="10.5" customHeight="1" x14ac:dyDescent="0.2">
      <c r="G64919" s="889"/>
    </row>
    <row r="64920" spans="7:7" ht="10.5" customHeight="1" x14ac:dyDescent="0.2">
      <c r="G64920" s="889"/>
    </row>
    <row r="64921" spans="7:7" ht="10.5" customHeight="1" x14ac:dyDescent="0.2">
      <c r="G64921" s="889"/>
    </row>
    <row r="64922" spans="7:7" ht="10.5" customHeight="1" x14ac:dyDescent="0.2">
      <c r="G64922" s="889"/>
    </row>
    <row r="64923" spans="7:7" ht="10.5" customHeight="1" x14ac:dyDescent="0.2">
      <c r="G64923" s="889"/>
    </row>
    <row r="64924" spans="7:7" ht="10.5" customHeight="1" x14ac:dyDescent="0.2">
      <c r="G64924" s="889"/>
    </row>
    <row r="64925" spans="7:7" ht="10.5" customHeight="1" x14ac:dyDescent="0.2">
      <c r="G64925" s="889"/>
    </row>
    <row r="64926" spans="7:7" ht="10.5" customHeight="1" x14ac:dyDescent="0.2">
      <c r="G64926" s="889"/>
    </row>
    <row r="64927" spans="7:7" ht="10.5" customHeight="1" x14ac:dyDescent="0.2">
      <c r="G64927" s="889"/>
    </row>
    <row r="64928" spans="7:7" ht="10.5" customHeight="1" x14ac:dyDescent="0.2">
      <c r="G64928" s="889"/>
    </row>
    <row r="64929" spans="7:7" ht="10.5" customHeight="1" x14ac:dyDescent="0.2">
      <c r="G64929" s="889"/>
    </row>
    <row r="64930" spans="7:7" ht="10.5" customHeight="1" x14ac:dyDescent="0.2">
      <c r="G64930" s="889"/>
    </row>
    <row r="64931" spans="7:7" ht="10.5" customHeight="1" x14ac:dyDescent="0.2">
      <c r="G64931" s="889"/>
    </row>
    <row r="64932" spans="7:7" ht="10.5" customHeight="1" x14ac:dyDescent="0.2">
      <c r="G64932" s="889"/>
    </row>
    <row r="64933" spans="7:7" ht="10.5" customHeight="1" x14ac:dyDescent="0.2">
      <c r="G64933" s="889"/>
    </row>
    <row r="64934" spans="7:7" ht="10.5" customHeight="1" x14ac:dyDescent="0.2">
      <c r="G64934" s="889"/>
    </row>
    <row r="64935" spans="7:7" ht="10.5" customHeight="1" x14ac:dyDescent="0.2">
      <c r="G64935" s="889"/>
    </row>
    <row r="64936" spans="7:7" ht="10.5" customHeight="1" x14ac:dyDescent="0.2">
      <c r="G64936" s="889"/>
    </row>
    <row r="64937" spans="7:7" ht="10.5" customHeight="1" x14ac:dyDescent="0.2">
      <c r="G64937" s="889"/>
    </row>
    <row r="64938" spans="7:7" ht="10.5" customHeight="1" x14ac:dyDescent="0.2">
      <c r="G64938" s="889"/>
    </row>
    <row r="64939" spans="7:7" ht="10.5" customHeight="1" x14ac:dyDescent="0.2">
      <c r="G64939" s="889"/>
    </row>
    <row r="64940" spans="7:7" ht="10.5" customHeight="1" x14ac:dyDescent="0.2">
      <c r="G64940" s="889"/>
    </row>
    <row r="64941" spans="7:7" ht="10.5" customHeight="1" x14ac:dyDescent="0.2">
      <c r="G64941" s="889"/>
    </row>
    <row r="64942" spans="7:7" ht="10.5" customHeight="1" x14ac:dyDescent="0.2">
      <c r="G64942" s="889"/>
    </row>
    <row r="64943" spans="7:7" ht="10.5" customHeight="1" x14ac:dyDescent="0.2">
      <c r="G64943" s="889"/>
    </row>
    <row r="64944" spans="7:7" ht="10.5" customHeight="1" x14ac:dyDescent="0.2">
      <c r="G64944" s="889"/>
    </row>
    <row r="64945" spans="7:7" ht="10.5" customHeight="1" x14ac:dyDescent="0.2">
      <c r="G64945" s="889"/>
    </row>
    <row r="64946" spans="7:7" ht="10.5" customHeight="1" x14ac:dyDescent="0.2">
      <c r="G64946" s="889"/>
    </row>
    <row r="64947" spans="7:7" ht="10.5" customHeight="1" x14ac:dyDescent="0.2">
      <c r="G64947" s="889"/>
    </row>
    <row r="64948" spans="7:7" ht="10.5" customHeight="1" x14ac:dyDescent="0.2">
      <c r="G64948" s="889"/>
    </row>
    <row r="64949" spans="7:7" ht="10.5" customHeight="1" x14ac:dyDescent="0.2">
      <c r="G64949" s="889"/>
    </row>
    <row r="64950" spans="7:7" ht="10.5" customHeight="1" x14ac:dyDescent="0.2">
      <c r="G64950" s="889"/>
    </row>
    <row r="64951" spans="7:7" ht="10.5" customHeight="1" x14ac:dyDescent="0.2">
      <c r="G64951" s="889"/>
    </row>
    <row r="64952" spans="7:7" ht="10.5" customHeight="1" x14ac:dyDescent="0.2">
      <c r="G64952" s="889"/>
    </row>
    <row r="64953" spans="7:7" ht="10.5" customHeight="1" x14ac:dyDescent="0.2">
      <c r="G64953" s="889"/>
    </row>
    <row r="64954" spans="7:7" ht="10.5" customHeight="1" x14ac:dyDescent="0.2">
      <c r="G64954" s="889"/>
    </row>
    <row r="64955" spans="7:7" ht="10.5" customHeight="1" x14ac:dyDescent="0.2">
      <c r="G64955" s="889"/>
    </row>
    <row r="64956" spans="7:7" ht="10.5" customHeight="1" x14ac:dyDescent="0.2">
      <c r="G64956" s="889"/>
    </row>
    <row r="64957" spans="7:7" ht="10.5" customHeight="1" x14ac:dyDescent="0.2">
      <c r="G64957" s="889"/>
    </row>
    <row r="64958" spans="7:7" ht="10.5" customHeight="1" x14ac:dyDescent="0.2">
      <c r="G64958" s="889"/>
    </row>
    <row r="64959" spans="7:7" ht="10.5" customHeight="1" x14ac:dyDescent="0.2">
      <c r="G64959" s="889"/>
    </row>
    <row r="64960" spans="7:7" ht="10.5" customHeight="1" x14ac:dyDescent="0.2">
      <c r="G64960" s="889"/>
    </row>
    <row r="64961" spans="7:7" ht="10.5" customHeight="1" x14ac:dyDescent="0.2">
      <c r="G64961" s="889"/>
    </row>
    <row r="64962" spans="7:7" ht="10.5" customHeight="1" x14ac:dyDescent="0.2">
      <c r="G64962" s="889"/>
    </row>
    <row r="64963" spans="7:7" ht="10.5" customHeight="1" x14ac:dyDescent="0.2">
      <c r="G64963" s="889"/>
    </row>
    <row r="64964" spans="7:7" ht="10.5" customHeight="1" x14ac:dyDescent="0.2">
      <c r="G64964" s="889"/>
    </row>
    <row r="64965" spans="7:7" ht="10.5" customHeight="1" x14ac:dyDescent="0.2">
      <c r="G64965" s="889"/>
    </row>
    <row r="64966" spans="7:7" ht="10.5" customHeight="1" x14ac:dyDescent="0.2">
      <c r="G64966" s="889"/>
    </row>
    <row r="64967" spans="7:7" ht="10.5" customHeight="1" x14ac:dyDescent="0.2">
      <c r="G64967" s="889"/>
    </row>
    <row r="64968" spans="7:7" ht="10.5" customHeight="1" x14ac:dyDescent="0.2">
      <c r="G64968" s="889"/>
    </row>
    <row r="64969" spans="7:7" ht="10.5" customHeight="1" x14ac:dyDescent="0.2">
      <c r="G64969" s="889"/>
    </row>
    <row r="64970" spans="7:7" ht="10.5" customHeight="1" x14ac:dyDescent="0.2">
      <c r="G64970" s="889"/>
    </row>
    <row r="64971" spans="7:7" ht="10.5" customHeight="1" x14ac:dyDescent="0.2">
      <c r="G64971" s="889"/>
    </row>
    <row r="64972" spans="7:7" ht="10.5" customHeight="1" x14ac:dyDescent="0.2">
      <c r="G64972" s="889"/>
    </row>
    <row r="64973" spans="7:7" ht="10.5" customHeight="1" x14ac:dyDescent="0.2">
      <c r="G64973" s="889"/>
    </row>
    <row r="64974" spans="7:7" ht="10.5" customHeight="1" x14ac:dyDescent="0.2">
      <c r="G64974" s="889"/>
    </row>
    <row r="64975" spans="7:7" ht="10.5" customHeight="1" x14ac:dyDescent="0.2">
      <c r="G64975" s="889"/>
    </row>
    <row r="64976" spans="7:7" ht="10.5" customHeight="1" x14ac:dyDescent="0.2">
      <c r="G64976" s="889"/>
    </row>
    <row r="64977" spans="7:7" ht="10.5" customHeight="1" x14ac:dyDescent="0.2">
      <c r="G64977" s="889"/>
    </row>
    <row r="64978" spans="7:7" ht="10.5" customHeight="1" x14ac:dyDescent="0.2">
      <c r="G64978" s="889"/>
    </row>
    <row r="64979" spans="7:7" ht="10.5" customHeight="1" x14ac:dyDescent="0.2">
      <c r="G64979" s="889"/>
    </row>
    <row r="64980" spans="7:7" ht="10.5" customHeight="1" x14ac:dyDescent="0.2">
      <c r="G64980" s="889"/>
    </row>
    <row r="64981" spans="7:7" ht="10.5" customHeight="1" x14ac:dyDescent="0.2">
      <c r="G64981" s="889"/>
    </row>
    <row r="64982" spans="7:7" ht="10.5" customHeight="1" x14ac:dyDescent="0.2">
      <c r="G64982" s="889"/>
    </row>
    <row r="64983" spans="7:7" ht="10.5" customHeight="1" x14ac:dyDescent="0.2">
      <c r="G64983" s="889"/>
    </row>
    <row r="64984" spans="7:7" ht="10.5" customHeight="1" x14ac:dyDescent="0.2">
      <c r="G64984" s="889"/>
    </row>
    <row r="64985" spans="7:7" ht="10.5" customHeight="1" x14ac:dyDescent="0.2">
      <c r="G64985" s="889"/>
    </row>
    <row r="64986" spans="7:7" ht="10.5" customHeight="1" x14ac:dyDescent="0.2">
      <c r="G64986" s="889"/>
    </row>
    <row r="64987" spans="7:7" ht="10.5" customHeight="1" x14ac:dyDescent="0.2">
      <c r="G64987" s="889"/>
    </row>
    <row r="64988" spans="7:7" ht="10.5" customHeight="1" x14ac:dyDescent="0.2">
      <c r="G64988" s="889"/>
    </row>
    <row r="64989" spans="7:7" ht="10.5" customHeight="1" x14ac:dyDescent="0.2">
      <c r="G64989" s="889"/>
    </row>
    <row r="64990" spans="7:7" ht="10.5" customHeight="1" x14ac:dyDescent="0.2">
      <c r="G64990" s="889"/>
    </row>
    <row r="64991" spans="7:7" ht="10.5" customHeight="1" x14ac:dyDescent="0.2">
      <c r="G64991" s="889"/>
    </row>
    <row r="64992" spans="7:7" ht="10.5" customHeight="1" x14ac:dyDescent="0.2">
      <c r="G64992" s="889"/>
    </row>
    <row r="64993" spans="7:7" ht="10.5" customHeight="1" x14ac:dyDescent="0.2">
      <c r="G64993" s="889"/>
    </row>
    <row r="64994" spans="7:7" ht="10.5" customHeight="1" x14ac:dyDescent="0.2">
      <c r="G64994" s="889"/>
    </row>
    <row r="64995" spans="7:7" ht="10.5" customHeight="1" x14ac:dyDescent="0.2">
      <c r="G64995" s="889"/>
    </row>
    <row r="64996" spans="7:7" ht="10.5" customHeight="1" x14ac:dyDescent="0.2">
      <c r="G64996" s="889"/>
    </row>
    <row r="64997" spans="7:7" ht="10.5" customHeight="1" x14ac:dyDescent="0.2">
      <c r="G64997" s="889"/>
    </row>
    <row r="64998" spans="7:7" ht="10.5" customHeight="1" x14ac:dyDescent="0.2">
      <c r="G64998" s="889"/>
    </row>
    <row r="64999" spans="7:7" ht="10.5" customHeight="1" x14ac:dyDescent="0.2">
      <c r="G64999" s="889"/>
    </row>
    <row r="65000" spans="7:7" ht="10.5" customHeight="1" x14ac:dyDescent="0.2">
      <c r="G65000" s="889"/>
    </row>
    <row r="65001" spans="7:7" ht="10.5" customHeight="1" x14ac:dyDescent="0.2">
      <c r="G65001" s="889"/>
    </row>
    <row r="65002" spans="7:7" ht="10.5" customHeight="1" x14ac:dyDescent="0.2">
      <c r="G65002" s="889"/>
    </row>
    <row r="65003" spans="7:7" ht="10.5" customHeight="1" x14ac:dyDescent="0.2">
      <c r="G65003" s="889"/>
    </row>
    <row r="65004" spans="7:7" ht="10.5" customHeight="1" x14ac:dyDescent="0.2">
      <c r="G65004" s="889"/>
    </row>
    <row r="65005" spans="7:7" ht="10.5" customHeight="1" x14ac:dyDescent="0.2">
      <c r="G65005" s="889"/>
    </row>
    <row r="65006" spans="7:7" ht="10.5" customHeight="1" x14ac:dyDescent="0.2">
      <c r="G65006" s="889"/>
    </row>
    <row r="65007" spans="7:7" ht="10.5" customHeight="1" x14ac:dyDescent="0.2">
      <c r="G65007" s="889"/>
    </row>
    <row r="65008" spans="7:7" ht="10.5" customHeight="1" x14ac:dyDescent="0.2">
      <c r="G65008" s="889"/>
    </row>
    <row r="65009" spans="7:7" ht="10.5" customHeight="1" x14ac:dyDescent="0.2">
      <c r="G65009" s="889"/>
    </row>
    <row r="65010" spans="7:7" ht="10.5" customHeight="1" x14ac:dyDescent="0.2">
      <c r="G65010" s="889"/>
    </row>
    <row r="65011" spans="7:7" ht="10.5" customHeight="1" x14ac:dyDescent="0.2">
      <c r="G65011" s="889"/>
    </row>
    <row r="65012" spans="7:7" ht="10.5" customHeight="1" x14ac:dyDescent="0.2">
      <c r="G65012" s="889"/>
    </row>
    <row r="65013" spans="7:7" ht="10.5" customHeight="1" x14ac:dyDescent="0.2">
      <c r="G65013" s="889"/>
    </row>
    <row r="65014" spans="7:7" ht="10.5" customHeight="1" x14ac:dyDescent="0.2">
      <c r="G65014" s="889"/>
    </row>
    <row r="65015" spans="7:7" ht="10.5" customHeight="1" x14ac:dyDescent="0.2">
      <c r="G65015" s="889"/>
    </row>
    <row r="65016" spans="7:7" ht="10.5" customHeight="1" x14ac:dyDescent="0.2">
      <c r="G65016" s="889"/>
    </row>
    <row r="65017" spans="7:7" ht="10.5" customHeight="1" x14ac:dyDescent="0.2">
      <c r="G65017" s="889"/>
    </row>
    <row r="65018" spans="7:7" ht="10.5" customHeight="1" x14ac:dyDescent="0.2">
      <c r="G65018" s="889"/>
    </row>
    <row r="65019" spans="7:7" ht="10.5" customHeight="1" x14ac:dyDescent="0.2">
      <c r="G65019" s="889"/>
    </row>
    <row r="65020" spans="7:7" ht="10.5" customHeight="1" x14ac:dyDescent="0.2">
      <c r="G65020" s="889"/>
    </row>
    <row r="65021" spans="7:7" ht="10.5" customHeight="1" x14ac:dyDescent="0.2">
      <c r="G65021" s="889"/>
    </row>
    <row r="65022" spans="7:7" ht="10.5" customHeight="1" x14ac:dyDescent="0.2">
      <c r="G65022" s="889"/>
    </row>
    <row r="65023" spans="7:7" ht="10.5" customHeight="1" x14ac:dyDescent="0.2">
      <c r="G65023" s="889"/>
    </row>
    <row r="65024" spans="7:7" ht="10.5" customHeight="1" x14ac:dyDescent="0.2">
      <c r="G65024" s="889"/>
    </row>
    <row r="65025" spans="7:7" ht="10.5" customHeight="1" x14ac:dyDescent="0.2">
      <c r="G65025" s="889"/>
    </row>
    <row r="65026" spans="7:7" ht="10.5" customHeight="1" x14ac:dyDescent="0.2">
      <c r="G65026" s="889"/>
    </row>
    <row r="65027" spans="7:7" ht="10.5" customHeight="1" x14ac:dyDescent="0.2">
      <c r="G65027" s="889"/>
    </row>
    <row r="65028" spans="7:7" ht="10.5" customHeight="1" x14ac:dyDescent="0.2">
      <c r="G65028" s="889"/>
    </row>
    <row r="65029" spans="7:7" ht="10.5" customHeight="1" x14ac:dyDescent="0.2">
      <c r="G65029" s="889"/>
    </row>
    <row r="65030" spans="7:7" ht="10.5" customHeight="1" x14ac:dyDescent="0.2">
      <c r="G65030" s="889"/>
    </row>
    <row r="65031" spans="7:7" ht="10.5" customHeight="1" x14ac:dyDescent="0.2">
      <c r="G65031" s="889"/>
    </row>
    <row r="65032" spans="7:7" ht="10.5" customHeight="1" x14ac:dyDescent="0.2">
      <c r="G65032" s="889"/>
    </row>
    <row r="65033" spans="7:7" ht="10.5" customHeight="1" x14ac:dyDescent="0.2">
      <c r="G65033" s="889"/>
    </row>
    <row r="65034" spans="7:7" ht="10.5" customHeight="1" x14ac:dyDescent="0.2">
      <c r="G65034" s="889"/>
    </row>
    <row r="65035" spans="7:7" ht="10.5" customHeight="1" x14ac:dyDescent="0.2">
      <c r="G65035" s="889"/>
    </row>
    <row r="65036" spans="7:7" ht="10.5" customHeight="1" x14ac:dyDescent="0.2">
      <c r="G65036" s="889"/>
    </row>
    <row r="65037" spans="7:7" ht="10.5" customHeight="1" x14ac:dyDescent="0.2">
      <c r="G65037" s="889"/>
    </row>
    <row r="65038" spans="7:7" ht="10.5" customHeight="1" x14ac:dyDescent="0.2">
      <c r="G65038" s="889"/>
    </row>
    <row r="65039" spans="7:7" ht="10.5" customHeight="1" x14ac:dyDescent="0.2">
      <c r="G65039" s="889"/>
    </row>
    <row r="65040" spans="7:7" ht="10.5" customHeight="1" x14ac:dyDescent="0.2">
      <c r="G65040" s="889"/>
    </row>
    <row r="65041" spans="7:7" ht="10.5" customHeight="1" x14ac:dyDescent="0.2">
      <c r="G65041" s="889"/>
    </row>
    <row r="65042" spans="7:7" ht="10.5" customHeight="1" x14ac:dyDescent="0.2">
      <c r="G65042" s="889"/>
    </row>
    <row r="65043" spans="7:7" ht="10.5" customHeight="1" x14ac:dyDescent="0.2">
      <c r="G65043" s="889"/>
    </row>
    <row r="65044" spans="7:7" ht="10.5" customHeight="1" x14ac:dyDescent="0.2">
      <c r="G65044" s="889"/>
    </row>
    <row r="65045" spans="7:7" ht="10.5" customHeight="1" x14ac:dyDescent="0.2">
      <c r="G65045" s="889"/>
    </row>
    <row r="65046" spans="7:7" ht="10.5" customHeight="1" x14ac:dyDescent="0.2">
      <c r="G65046" s="889"/>
    </row>
    <row r="65047" spans="7:7" ht="10.5" customHeight="1" x14ac:dyDescent="0.2">
      <c r="G65047" s="889"/>
    </row>
    <row r="65048" spans="7:7" ht="10.5" customHeight="1" x14ac:dyDescent="0.2">
      <c r="G65048" s="889"/>
    </row>
    <row r="65049" spans="7:7" ht="10.5" customHeight="1" x14ac:dyDescent="0.2">
      <c r="G65049" s="889"/>
    </row>
    <row r="65050" spans="7:7" ht="10.5" customHeight="1" x14ac:dyDescent="0.2">
      <c r="G65050" s="889"/>
    </row>
    <row r="65051" spans="7:7" ht="10.5" customHeight="1" x14ac:dyDescent="0.2">
      <c r="G65051" s="889"/>
    </row>
    <row r="65052" spans="7:7" ht="10.5" customHeight="1" x14ac:dyDescent="0.2">
      <c r="G65052" s="889"/>
    </row>
    <row r="65053" spans="7:7" ht="10.5" customHeight="1" x14ac:dyDescent="0.2">
      <c r="G65053" s="889"/>
    </row>
    <row r="65054" spans="7:7" ht="10.5" customHeight="1" x14ac:dyDescent="0.2">
      <c r="G65054" s="889"/>
    </row>
    <row r="65055" spans="7:7" ht="10.5" customHeight="1" x14ac:dyDescent="0.2">
      <c r="G65055" s="889"/>
    </row>
    <row r="65056" spans="7:7" ht="10.5" customHeight="1" x14ac:dyDescent="0.2">
      <c r="G65056" s="889"/>
    </row>
    <row r="65057" spans="7:7" ht="10.5" customHeight="1" x14ac:dyDescent="0.2">
      <c r="G65057" s="889"/>
    </row>
    <row r="65058" spans="7:7" ht="10.5" customHeight="1" x14ac:dyDescent="0.2">
      <c r="G65058" s="889"/>
    </row>
    <row r="65059" spans="7:7" ht="10.5" customHeight="1" x14ac:dyDescent="0.2">
      <c r="G65059" s="889"/>
    </row>
    <row r="65060" spans="7:7" ht="10.5" customHeight="1" x14ac:dyDescent="0.2">
      <c r="G65060" s="889"/>
    </row>
    <row r="65061" spans="7:7" ht="10.5" customHeight="1" x14ac:dyDescent="0.2">
      <c r="G65061" s="889"/>
    </row>
    <row r="65062" spans="7:7" ht="10.5" customHeight="1" x14ac:dyDescent="0.2">
      <c r="G65062" s="889"/>
    </row>
    <row r="65063" spans="7:7" ht="10.5" customHeight="1" x14ac:dyDescent="0.2">
      <c r="G65063" s="889"/>
    </row>
    <row r="65064" spans="7:7" ht="10.5" customHeight="1" x14ac:dyDescent="0.2">
      <c r="G65064" s="889"/>
    </row>
    <row r="65065" spans="7:7" ht="10.5" customHeight="1" x14ac:dyDescent="0.2">
      <c r="G65065" s="889"/>
    </row>
    <row r="65066" spans="7:7" ht="10.5" customHeight="1" x14ac:dyDescent="0.2">
      <c r="G65066" s="889"/>
    </row>
    <row r="65067" spans="7:7" ht="10.5" customHeight="1" x14ac:dyDescent="0.2">
      <c r="G65067" s="889"/>
    </row>
    <row r="65068" spans="7:7" ht="10.5" customHeight="1" x14ac:dyDescent="0.2">
      <c r="G65068" s="889"/>
    </row>
    <row r="65069" spans="7:7" ht="10.5" customHeight="1" x14ac:dyDescent="0.2">
      <c r="G65069" s="889"/>
    </row>
    <row r="65070" spans="7:7" ht="10.5" customHeight="1" x14ac:dyDescent="0.2">
      <c r="G65070" s="889"/>
    </row>
    <row r="65071" spans="7:7" ht="10.5" customHeight="1" x14ac:dyDescent="0.2">
      <c r="G65071" s="889"/>
    </row>
    <row r="65072" spans="7:7" ht="10.5" customHeight="1" x14ac:dyDescent="0.2">
      <c r="G65072" s="889"/>
    </row>
    <row r="65073" spans="7:7" ht="10.5" customHeight="1" x14ac:dyDescent="0.2">
      <c r="G65073" s="889"/>
    </row>
    <row r="65074" spans="7:7" ht="10.5" customHeight="1" x14ac:dyDescent="0.2">
      <c r="G65074" s="889"/>
    </row>
    <row r="65075" spans="7:7" ht="10.5" customHeight="1" x14ac:dyDescent="0.2">
      <c r="G65075" s="889"/>
    </row>
    <row r="65076" spans="7:7" ht="10.5" customHeight="1" x14ac:dyDescent="0.2">
      <c r="G65076" s="889"/>
    </row>
    <row r="65077" spans="7:7" ht="10.5" customHeight="1" x14ac:dyDescent="0.2">
      <c r="G65077" s="889"/>
    </row>
    <row r="65078" spans="7:7" ht="10.5" customHeight="1" x14ac:dyDescent="0.2">
      <c r="G65078" s="889"/>
    </row>
    <row r="65079" spans="7:7" ht="10.5" customHeight="1" x14ac:dyDescent="0.2">
      <c r="G65079" s="889"/>
    </row>
    <row r="65080" spans="7:7" ht="10.5" customHeight="1" x14ac:dyDescent="0.2">
      <c r="G65080" s="889"/>
    </row>
    <row r="65081" spans="7:7" ht="10.5" customHeight="1" x14ac:dyDescent="0.2">
      <c r="G65081" s="889"/>
    </row>
    <row r="65082" spans="7:7" ht="10.5" customHeight="1" x14ac:dyDescent="0.2">
      <c r="G65082" s="889"/>
    </row>
    <row r="65083" spans="7:7" ht="10.5" customHeight="1" x14ac:dyDescent="0.2">
      <c r="G65083" s="889"/>
    </row>
    <row r="65084" spans="7:7" ht="10.5" customHeight="1" x14ac:dyDescent="0.2">
      <c r="G65084" s="889"/>
    </row>
    <row r="65085" spans="7:7" ht="10.5" customHeight="1" x14ac:dyDescent="0.2">
      <c r="G65085" s="889"/>
    </row>
    <row r="65086" spans="7:7" ht="10.5" customHeight="1" x14ac:dyDescent="0.2">
      <c r="G65086" s="889"/>
    </row>
    <row r="65087" spans="7:7" ht="10.5" customHeight="1" x14ac:dyDescent="0.2">
      <c r="G65087" s="889"/>
    </row>
    <row r="65088" spans="7:7" ht="10.5" customHeight="1" x14ac:dyDescent="0.2">
      <c r="G65088" s="889"/>
    </row>
    <row r="65089" spans="7:7" ht="10.5" customHeight="1" x14ac:dyDescent="0.2">
      <c r="G65089" s="889"/>
    </row>
    <row r="65090" spans="7:7" ht="10.5" customHeight="1" x14ac:dyDescent="0.2">
      <c r="G65090" s="889"/>
    </row>
    <row r="65091" spans="7:7" ht="10.5" customHeight="1" x14ac:dyDescent="0.2">
      <c r="G65091" s="889"/>
    </row>
    <row r="65092" spans="7:7" ht="10.5" customHeight="1" x14ac:dyDescent="0.2">
      <c r="G65092" s="889"/>
    </row>
    <row r="65093" spans="7:7" ht="10.5" customHeight="1" x14ac:dyDescent="0.2">
      <c r="G65093" s="889"/>
    </row>
    <row r="65094" spans="7:7" ht="10.5" customHeight="1" x14ac:dyDescent="0.2">
      <c r="G65094" s="889"/>
    </row>
    <row r="65095" spans="7:7" ht="10.5" customHeight="1" x14ac:dyDescent="0.2">
      <c r="G65095" s="889"/>
    </row>
    <row r="65096" spans="7:7" ht="10.5" customHeight="1" x14ac:dyDescent="0.2">
      <c r="G65096" s="889"/>
    </row>
    <row r="65097" spans="7:7" ht="10.5" customHeight="1" x14ac:dyDescent="0.2">
      <c r="G65097" s="889"/>
    </row>
    <row r="65098" spans="7:7" ht="10.5" customHeight="1" x14ac:dyDescent="0.2">
      <c r="G65098" s="889"/>
    </row>
    <row r="65099" spans="7:7" ht="10.5" customHeight="1" x14ac:dyDescent="0.2">
      <c r="G65099" s="889"/>
    </row>
    <row r="65100" spans="7:7" ht="10.5" customHeight="1" x14ac:dyDescent="0.2">
      <c r="G65100" s="889"/>
    </row>
    <row r="65101" spans="7:7" ht="10.5" customHeight="1" x14ac:dyDescent="0.2">
      <c r="G65101" s="889"/>
    </row>
    <row r="65102" spans="7:7" ht="10.5" customHeight="1" x14ac:dyDescent="0.2">
      <c r="G65102" s="889"/>
    </row>
    <row r="65103" spans="7:7" ht="10.5" customHeight="1" x14ac:dyDescent="0.2">
      <c r="G65103" s="889"/>
    </row>
    <row r="65104" spans="7:7" ht="10.5" customHeight="1" x14ac:dyDescent="0.2">
      <c r="G65104" s="889"/>
    </row>
    <row r="65105" spans="7:7" ht="10.5" customHeight="1" x14ac:dyDescent="0.2">
      <c r="G65105" s="889"/>
    </row>
    <row r="65106" spans="7:7" ht="10.5" customHeight="1" x14ac:dyDescent="0.2">
      <c r="G65106" s="889"/>
    </row>
    <row r="65107" spans="7:7" ht="10.5" customHeight="1" x14ac:dyDescent="0.2">
      <c r="G65107" s="889"/>
    </row>
    <row r="65108" spans="7:7" ht="10.5" customHeight="1" x14ac:dyDescent="0.2">
      <c r="G65108" s="889"/>
    </row>
    <row r="65109" spans="7:7" ht="10.5" customHeight="1" x14ac:dyDescent="0.2">
      <c r="G65109" s="889"/>
    </row>
    <row r="65110" spans="7:7" ht="10.5" customHeight="1" x14ac:dyDescent="0.2">
      <c r="G65110" s="889"/>
    </row>
    <row r="65111" spans="7:7" ht="10.5" customHeight="1" x14ac:dyDescent="0.2">
      <c r="G65111" s="889"/>
    </row>
    <row r="65112" spans="7:7" ht="10.5" customHeight="1" x14ac:dyDescent="0.2">
      <c r="G65112" s="889"/>
    </row>
    <row r="65113" spans="7:7" ht="10.5" customHeight="1" x14ac:dyDescent="0.2">
      <c r="G65113" s="889"/>
    </row>
    <row r="65114" spans="7:7" ht="10.5" customHeight="1" x14ac:dyDescent="0.2">
      <c r="G65114" s="889"/>
    </row>
    <row r="65115" spans="7:7" ht="10.5" customHeight="1" x14ac:dyDescent="0.2">
      <c r="G65115" s="889"/>
    </row>
    <row r="65116" spans="7:7" ht="10.5" customHeight="1" x14ac:dyDescent="0.2">
      <c r="G65116" s="889"/>
    </row>
    <row r="65117" spans="7:7" ht="10.5" customHeight="1" x14ac:dyDescent="0.2">
      <c r="G65117" s="889"/>
    </row>
    <row r="65118" spans="7:7" ht="10.5" customHeight="1" x14ac:dyDescent="0.2">
      <c r="G65118" s="889"/>
    </row>
    <row r="65119" spans="7:7" ht="10.5" customHeight="1" x14ac:dyDescent="0.2">
      <c r="G65119" s="889"/>
    </row>
    <row r="65120" spans="7:7" ht="10.5" customHeight="1" x14ac:dyDescent="0.2">
      <c r="G65120" s="889"/>
    </row>
    <row r="65121" spans="7:7" ht="10.5" customHeight="1" x14ac:dyDescent="0.2">
      <c r="G65121" s="889"/>
    </row>
    <row r="65122" spans="7:7" ht="10.5" customHeight="1" x14ac:dyDescent="0.2">
      <c r="G65122" s="889"/>
    </row>
    <row r="65123" spans="7:7" ht="10.5" customHeight="1" x14ac:dyDescent="0.2">
      <c r="G65123" s="889"/>
    </row>
    <row r="65124" spans="7:7" ht="10.5" customHeight="1" x14ac:dyDescent="0.2">
      <c r="G65124" s="889"/>
    </row>
    <row r="65125" spans="7:7" ht="10.5" customHeight="1" x14ac:dyDescent="0.2">
      <c r="G65125" s="889"/>
    </row>
    <row r="65126" spans="7:7" ht="10.5" customHeight="1" x14ac:dyDescent="0.2">
      <c r="G65126" s="889"/>
    </row>
    <row r="65127" spans="7:7" ht="10.5" customHeight="1" x14ac:dyDescent="0.2">
      <c r="G65127" s="889"/>
    </row>
    <row r="65128" spans="7:7" ht="10.5" customHeight="1" x14ac:dyDescent="0.2">
      <c r="G65128" s="889"/>
    </row>
    <row r="65129" spans="7:7" ht="10.5" customHeight="1" x14ac:dyDescent="0.2">
      <c r="G65129" s="889"/>
    </row>
    <row r="65130" spans="7:7" ht="10.5" customHeight="1" x14ac:dyDescent="0.2">
      <c r="G65130" s="889"/>
    </row>
    <row r="65131" spans="7:7" ht="10.5" customHeight="1" x14ac:dyDescent="0.2">
      <c r="G65131" s="889"/>
    </row>
    <row r="65132" spans="7:7" ht="10.5" customHeight="1" x14ac:dyDescent="0.2">
      <c r="G65132" s="889"/>
    </row>
    <row r="65133" spans="7:7" ht="10.5" customHeight="1" x14ac:dyDescent="0.2">
      <c r="G65133" s="889"/>
    </row>
    <row r="65134" spans="7:7" ht="10.5" customHeight="1" x14ac:dyDescent="0.2">
      <c r="G65134" s="889"/>
    </row>
    <row r="65135" spans="7:7" ht="10.5" customHeight="1" x14ac:dyDescent="0.2">
      <c r="G65135" s="889"/>
    </row>
    <row r="65136" spans="7:7" ht="10.5" customHeight="1" x14ac:dyDescent="0.2">
      <c r="G65136" s="889"/>
    </row>
    <row r="65137" spans="7:7" ht="10.5" customHeight="1" x14ac:dyDescent="0.2">
      <c r="G65137" s="889"/>
    </row>
    <row r="65138" spans="7:7" ht="10.5" customHeight="1" x14ac:dyDescent="0.2">
      <c r="G65138" s="889"/>
    </row>
    <row r="65139" spans="7:7" ht="10.5" customHeight="1" x14ac:dyDescent="0.2">
      <c r="G65139" s="889"/>
    </row>
    <row r="65140" spans="7:7" ht="10.5" customHeight="1" x14ac:dyDescent="0.2">
      <c r="G65140" s="889"/>
    </row>
    <row r="65141" spans="7:7" ht="10.5" customHeight="1" x14ac:dyDescent="0.2">
      <c r="G65141" s="889"/>
    </row>
    <row r="65142" spans="7:7" ht="10.5" customHeight="1" x14ac:dyDescent="0.2">
      <c r="G65142" s="889"/>
    </row>
    <row r="65143" spans="7:7" ht="10.5" customHeight="1" x14ac:dyDescent="0.2">
      <c r="G65143" s="889"/>
    </row>
    <row r="65144" spans="7:7" ht="10.5" customHeight="1" x14ac:dyDescent="0.2">
      <c r="G65144" s="889"/>
    </row>
    <row r="65145" spans="7:7" ht="10.5" customHeight="1" x14ac:dyDescent="0.2">
      <c r="G65145" s="889"/>
    </row>
    <row r="65146" spans="7:7" ht="10.5" customHeight="1" x14ac:dyDescent="0.2">
      <c r="G65146" s="889"/>
    </row>
    <row r="65147" spans="7:7" ht="10.5" customHeight="1" x14ac:dyDescent="0.2">
      <c r="G65147" s="889"/>
    </row>
    <row r="65148" spans="7:7" ht="10.5" customHeight="1" x14ac:dyDescent="0.2">
      <c r="G65148" s="889"/>
    </row>
    <row r="65149" spans="7:7" ht="10.5" customHeight="1" x14ac:dyDescent="0.2">
      <c r="G65149" s="889"/>
    </row>
    <row r="65150" spans="7:7" ht="10.5" customHeight="1" x14ac:dyDescent="0.2">
      <c r="G65150" s="889"/>
    </row>
    <row r="65151" spans="7:7" ht="10.5" customHeight="1" x14ac:dyDescent="0.2">
      <c r="G65151" s="889"/>
    </row>
    <row r="65152" spans="7:7" ht="10.5" customHeight="1" x14ac:dyDescent="0.2">
      <c r="G65152" s="889"/>
    </row>
    <row r="65153" spans="7:7" ht="10.5" customHeight="1" x14ac:dyDescent="0.2">
      <c r="G65153" s="889"/>
    </row>
    <row r="65154" spans="7:7" ht="10.5" customHeight="1" x14ac:dyDescent="0.2">
      <c r="G65154" s="889"/>
    </row>
    <row r="65155" spans="7:7" ht="10.5" customHeight="1" x14ac:dyDescent="0.2">
      <c r="G65155" s="889"/>
    </row>
    <row r="65156" spans="7:7" ht="10.5" customHeight="1" x14ac:dyDescent="0.2">
      <c r="G65156" s="889"/>
    </row>
    <row r="65157" spans="7:7" ht="10.5" customHeight="1" x14ac:dyDescent="0.2">
      <c r="G65157" s="889"/>
    </row>
    <row r="65158" spans="7:7" ht="10.5" customHeight="1" x14ac:dyDescent="0.2">
      <c r="G65158" s="889"/>
    </row>
    <row r="65159" spans="7:7" ht="10.5" customHeight="1" x14ac:dyDescent="0.2">
      <c r="G65159" s="889"/>
    </row>
    <row r="65160" spans="7:7" ht="10.5" customHeight="1" x14ac:dyDescent="0.2">
      <c r="G65160" s="889"/>
    </row>
    <row r="65161" spans="7:7" ht="10.5" customHeight="1" x14ac:dyDescent="0.2">
      <c r="G65161" s="889"/>
    </row>
    <row r="65162" spans="7:7" ht="10.5" customHeight="1" x14ac:dyDescent="0.2">
      <c r="G65162" s="889"/>
    </row>
    <row r="65163" spans="7:7" ht="10.5" customHeight="1" x14ac:dyDescent="0.2">
      <c r="G65163" s="889"/>
    </row>
    <row r="65164" spans="7:7" ht="10.5" customHeight="1" x14ac:dyDescent="0.2">
      <c r="G65164" s="889"/>
    </row>
    <row r="65165" spans="7:7" ht="10.5" customHeight="1" x14ac:dyDescent="0.2">
      <c r="G65165" s="889"/>
    </row>
    <row r="65166" spans="7:7" ht="10.5" customHeight="1" x14ac:dyDescent="0.2">
      <c r="G65166" s="889"/>
    </row>
    <row r="65167" spans="7:7" ht="10.5" customHeight="1" x14ac:dyDescent="0.2">
      <c r="G65167" s="889"/>
    </row>
    <row r="65168" spans="7:7" ht="10.5" customHeight="1" x14ac:dyDescent="0.2">
      <c r="G65168" s="889"/>
    </row>
    <row r="65169" spans="7:7" ht="10.5" customHeight="1" x14ac:dyDescent="0.2">
      <c r="G65169" s="889"/>
    </row>
    <row r="65170" spans="7:7" ht="10.5" customHeight="1" x14ac:dyDescent="0.2">
      <c r="G65170" s="889"/>
    </row>
    <row r="65171" spans="7:7" ht="10.5" customHeight="1" x14ac:dyDescent="0.2">
      <c r="G65171" s="889"/>
    </row>
    <row r="65172" spans="7:7" ht="10.5" customHeight="1" x14ac:dyDescent="0.2">
      <c r="G65172" s="889"/>
    </row>
    <row r="65173" spans="7:7" ht="10.5" customHeight="1" x14ac:dyDescent="0.2">
      <c r="G65173" s="889"/>
    </row>
    <row r="65174" spans="7:7" ht="10.5" customHeight="1" x14ac:dyDescent="0.2">
      <c r="G65174" s="889"/>
    </row>
    <row r="65175" spans="7:7" ht="10.5" customHeight="1" x14ac:dyDescent="0.2">
      <c r="G65175" s="889"/>
    </row>
    <row r="65176" spans="7:7" ht="10.5" customHeight="1" x14ac:dyDescent="0.2">
      <c r="G65176" s="889"/>
    </row>
    <row r="65177" spans="7:7" ht="10.5" customHeight="1" x14ac:dyDescent="0.2">
      <c r="G65177" s="889"/>
    </row>
    <row r="65178" spans="7:7" ht="10.5" customHeight="1" x14ac:dyDescent="0.2">
      <c r="G65178" s="889"/>
    </row>
    <row r="65179" spans="7:7" ht="10.5" customHeight="1" x14ac:dyDescent="0.2">
      <c r="G65179" s="889"/>
    </row>
    <row r="65180" spans="7:7" ht="10.5" customHeight="1" x14ac:dyDescent="0.2">
      <c r="G65180" s="889"/>
    </row>
    <row r="65181" spans="7:7" ht="10.5" customHeight="1" x14ac:dyDescent="0.2">
      <c r="G65181" s="889"/>
    </row>
    <row r="65182" spans="7:7" ht="10.5" customHeight="1" x14ac:dyDescent="0.2">
      <c r="G65182" s="889"/>
    </row>
    <row r="65183" spans="7:7" ht="10.5" customHeight="1" x14ac:dyDescent="0.2">
      <c r="G65183" s="889"/>
    </row>
    <row r="65184" spans="7:7" ht="10.5" customHeight="1" x14ac:dyDescent="0.2">
      <c r="G65184" s="889"/>
    </row>
    <row r="65185" spans="7:7" ht="10.5" customHeight="1" x14ac:dyDescent="0.2">
      <c r="G65185" s="889"/>
    </row>
    <row r="65186" spans="7:7" ht="10.5" customHeight="1" x14ac:dyDescent="0.2">
      <c r="G65186" s="889"/>
    </row>
    <row r="65187" spans="7:7" ht="10.5" customHeight="1" x14ac:dyDescent="0.2">
      <c r="G65187" s="889"/>
    </row>
    <row r="65188" spans="7:7" ht="10.5" customHeight="1" x14ac:dyDescent="0.2">
      <c r="G65188" s="889"/>
    </row>
    <row r="65189" spans="7:7" ht="10.5" customHeight="1" x14ac:dyDescent="0.2">
      <c r="G65189" s="889"/>
    </row>
    <row r="65190" spans="7:7" ht="10.5" customHeight="1" x14ac:dyDescent="0.2">
      <c r="G65190" s="889"/>
    </row>
    <row r="65191" spans="7:7" ht="10.5" customHeight="1" x14ac:dyDescent="0.2">
      <c r="G65191" s="889"/>
    </row>
    <row r="65192" spans="7:7" ht="10.5" customHeight="1" x14ac:dyDescent="0.2">
      <c r="G65192" s="889"/>
    </row>
    <row r="65193" spans="7:7" ht="10.5" customHeight="1" x14ac:dyDescent="0.2">
      <c r="G65193" s="889"/>
    </row>
    <row r="65194" spans="7:7" ht="10.5" customHeight="1" x14ac:dyDescent="0.2">
      <c r="G65194" s="889"/>
    </row>
    <row r="65195" spans="7:7" ht="10.5" customHeight="1" x14ac:dyDescent="0.2">
      <c r="G65195" s="889"/>
    </row>
    <row r="65196" spans="7:7" ht="10.5" customHeight="1" x14ac:dyDescent="0.2">
      <c r="G65196" s="889"/>
    </row>
    <row r="65197" spans="7:7" ht="10.5" customHeight="1" x14ac:dyDescent="0.2">
      <c r="G65197" s="889"/>
    </row>
    <row r="65198" spans="7:7" ht="10.5" customHeight="1" x14ac:dyDescent="0.2">
      <c r="G65198" s="889"/>
    </row>
    <row r="65199" spans="7:7" ht="10.5" customHeight="1" x14ac:dyDescent="0.2">
      <c r="G65199" s="889"/>
    </row>
    <row r="65200" spans="7:7" ht="10.5" customHeight="1" x14ac:dyDescent="0.2">
      <c r="G65200" s="889"/>
    </row>
    <row r="65201" spans="7:7" ht="10.5" customHeight="1" x14ac:dyDescent="0.2">
      <c r="G65201" s="889"/>
    </row>
    <row r="65202" spans="7:7" ht="10.5" customHeight="1" x14ac:dyDescent="0.2">
      <c r="G65202" s="889"/>
    </row>
    <row r="65203" spans="7:7" ht="10.5" customHeight="1" x14ac:dyDescent="0.2">
      <c r="G65203" s="889"/>
    </row>
    <row r="65204" spans="7:7" ht="10.5" customHeight="1" x14ac:dyDescent="0.2">
      <c r="G65204" s="889"/>
    </row>
    <row r="65205" spans="7:7" ht="10.5" customHeight="1" x14ac:dyDescent="0.2">
      <c r="G65205" s="889"/>
    </row>
    <row r="65206" spans="7:7" ht="10.5" customHeight="1" x14ac:dyDescent="0.2">
      <c r="G65206" s="889"/>
    </row>
    <row r="65207" spans="7:7" ht="10.5" customHeight="1" x14ac:dyDescent="0.2">
      <c r="G65207" s="889"/>
    </row>
    <row r="65208" spans="7:7" ht="10.5" customHeight="1" x14ac:dyDescent="0.2">
      <c r="G65208" s="889"/>
    </row>
    <row r="65209" spans="7:7" ht="10.5" customHeight="1" x14ac:dyDescent="0.2">
      <c r="G65209" s="889"/>
    </row>
    <row r="65210" spans="7:7" ht="10.5" customHeight="1" x14ac:dyDescent="0.2">
      <c r="G65210" s="889"/>
    </row>
    <row r="65211" spans="7:7" ht="10.5" customHeight="1" x14ac:dyDescent="0.2">
      <c r="G65211" s="889"/>
    </row>
    <row r="65212" spans="7:7" ht="10.5" customHeight="1" x14ac:dyDescent="0.2">
      <c r="G65212" s="889"/>
    </row>
    <row r="65213" spans="7:7" ht="10.5" customHeight="1" x14ac:dyDescent="0.2">
      <c r="G65213" s="889"/>
    </row>
    <row r="65214" spans="7:7" ht="10.5" customHeight="1" x14ac:dyDescent="0.2">
      <c r="G65214" s="889"/>
    </row>
    <row r="65215" spans="7:7" ht="10.5" customHeight="1" x14ac:dyDescent="0.2">
      <c r="G65215" s="889"/>
    </row>
    <row r="65216" spans="7:7" ht="10.5" customHeight="1" x14ac:dyDescent="0.2">
      <c r="G65216" s="889"/>
    </row>
    <row r="65217" spans="7:7" ht="10.5" customHeight="1" x14ac:dyDescent="0.2">
      <c r="G65217" s="889"/>
    </row>
    <row r="65218" spans="7:7" ht="10.5" customHeight="1" x14ac:dyDescent="0.2">
      <c r="G65218" s="889"/>
    </row>
    <row r="65219" spans="7:7" ht="10.5" customHeight="1" x14ac:dyDescent="0.2">
      <c r="G65219" s="889"/>
    </row>
    <row r="65220" spans="7:7" ht="10.5" customHeight="1" x14ac:dyDescent="0.2">
      <c r="G65220" s="889"/>
    </row>
    <row r="65221" spans="7:7" ht="10.5" customHeight="1" x14ac:dyDescent="0.2">
      <c r="G65221" s="889"/>
    </row>
    <row r="65222" spans="7:7" ht="10.5" customHeight="1" x14ac:dyDescent="0.2">
      <c r="G65222" s="889"/>
    </row>
    <row r="65223" spans="7:7" ht="10.5" customHeight="1" x14ac:dyDescent="0.2">
      <c r="G65223" s="889"/>
    </row>
    <row r="65224" spans="7:7" ht="10.5" customHeight="1" x14ac:dyDescent="0.2">
      <c r="G65224" s="889"/>
    </row>
    <row r="65225" spans="7:7" ht="10.5" customHeight="1" x14ac:dyDescent="0.2">
      <c r="G65225" s="889"/>
    </row>
    <row r="65226" spans="7:7" ht="10.5" customHeight="1" x14ac:dyDescent="0.2">
      <c r="G65226" s="889"/>
    </row>
    <row r="65227" spans="7:7" ht="10.5" customHeight="1" x14ac:dyDescent="0.2">
      <c r="G65227" s="889"/>
    </row>
    <row r="65228" spans="7:7" ht="10.5" customHeight="1" x14ac:dyDescent="0.2">
      <c r="G65228" s="889"/>
    </row>
    <row r="65229" spans="7:7" ht="10.5" customHeight="1" x14ac:dyDescent="0.2">
      <c r="G65229" s="889"/>
    </row>
    <row r="65230" spans="7:7" ht="10.5" customHeight="1" x14ac:dyDescent="0.2">
      <c r="G65230" s="889"/>
    </row>
    <row r="65231" spans="7:7" ht="10.5" customHeight="1" x14ac:dyDescent="0.2">
      <c r="G65231" s="889"/>
    </row>
    <row r="65232" spans="7:7" ht="10.5" customHeight="1" x14ac:dyDescent="0.2">
      <c r="G65232" s="889"/>
    </row>
    <row r="65233" spans="7:7" ht="10.5" customHeight="1" x14ac:dyDescent="0.2">
      <c r="G65233" s="889"/>
    </row>
    <row r="65234" spans="7:7" ht="10.5" customHeight="1" x14ac:dyDescent="0.2">
      <c r="G65234" s="889"/>
    </row>
    <row r="65235" spans="7:7" ht="10.5" customHeight="1" x14ac:dyDescent="0.2">
      <c r="G65235" s="889"/>
    </row>
    <row r="65236" spans="7:7" ht="10.5" customHeight="1" x14ac:dyDescent="0.2">
      <c r="G65236" s="889"/>
    </row>
    <row r="65237" spans="7:7" ht="10.5" customHeight="1" x14ac:dyDescent="0.2">
      <c r="G65237" s="889"/>
    </row>
    <row r="65238" spans="7:7" ht="10.5" customHeight="1" x14ac:dyDescent="0.2">
      <c r="G65238" s="889"/>
    </row>
    <row r="65239" spans="7:7" ht="10.5" customHeight="1" x14ac:dyDescent="0.2">
      <c r="G65239" s="889"/>
    </row>
    <row r="65240" spans="7:7" ht="10.5" customHeight="1" x14ac:dyDescent="0.2">
      <c r="G65240" s="889"/>
    </row>
    <row r="65241" spans="7:7" ht="10.5" customHeight="1" x14ac:dyDescent="0.2">
      <c r="G65241" s="889"/>
    </row>
    <row r="65242" spans="7:7" ht="10.5" customHeight="1" x14ac:dyDescent="0.2">
      <c r="G65242" s="889"/>
    </row>
    <row r="65243" spans="7:7" ht="10.5" customHeight="1" x14ac:dyDescent="0.2">
      <c r="G65243" s="889"/>
    </row>
    <row r="65244" spans="7:7" ht="10.5" customHeight="1" x14ac:dyDescent="0.2">
      <c r="G65244" s="889"/>
    </row>
    <row r="65245" spans="7:7" ht="10.5" customHeight="1" x14ac:dyDescent="0.2">
      <c r="G65245" s="889"/>
    </row>
    <row r="65246" spans="7:7" ht="10.5" customHeight="1" x14ac:dyDescent="0.2">
      <c r="G65246" s="889"/>
    </row>
    <row r="65247" spans="7:7" ht="10.5" customHeight="1" x14ac:dyDescent="0.2">
      <c r="G65247" s="889"/>
    </row>
    <row r="65248" spans="7:7" ht="10.5" customHeight="1" x14ac:dyDescent="0.2">
      <c r="G65248" s="889"/>
    </row>
    <row r="65249" spans="7:7" ht="10.5" customHeight="1" x14ac:dyDescent="0.2">
      <c r="G65249" s="889"/>
    </row>
    <row r="65250" spans="7:7" ht="10.5" customHeight="1" x14ac:dyDescent="0.2">
      <c r="G65250" s="889"/>
    </row>
    <row r="65251" spans="7:7" ht="10.5" customHeight="1" x14ac:dyDescent="0.2">
      <c r="G65251" s="889"/>
    </row>
    <row r="65252" spans="7:7" ht="10.5" customHeight="1" x14ac:dyDescent="0.2">
      <c r="G65252" s="889"/>
    </row>
    <row r="65253" spans="7:7" ht="10.5" customHeight="1" x14ac:dyDescent="0.2">
      <c r="G65253" s="889"/>
    </row>
    <row r="65254" spans="7:7" ht="10.5" customHeight="1" x14ac:dyDescent="0.2">
      <c r="G65254" s="889"/>
    </row>
    <row r="65255" spans="7:7" ht="10.5" customHeight="1" x14ac:dyDescent="0.2">
      <c r="G65255" s="889"/>
    </row>
    <row r="65256" spans="7:7" ht="10.5" customHeight="1" x14ac:dyDescent="0.2">
      <c r="G65256" s="889"/>
    </row>
    <row r="65257" spans="7:7" ht="10.5" customHeight="1" x14ac:dyDescent="0.2">
      <c r="G65257" s="889"/>
    </row>
    <row r="65258" spans="7:7" ht="10.5" customHeight="1" x14ac:dyDescent="0.2">
      <c r="G65258" s="889"/>
    </row>
    <row r="65259" spans="7:7" ht="10.5" customHeight="1" x14ac:dyDescent="0.2">
      <c r="G65259" s="889"/>
    </row>
    <row r="65260" spans="7:7" ht="10.5" customHeight="1" x14ac:dyDescent="0.2">
      <c r="G65260" s="889"/>
    </row>
    <row r="65261" spans="7:7" ht="10.5" customHeight="1" x14ac:dyDescent="0.2">
      <c r="G65261" s="889"/>
    </row>
    <row r="65262" spans="7:7" ht="10.5" customHeight="1" x14ac:dyDescent="0.2">
      <c r="G65262" s="889"/>
    </row>
    <row r="65263" spans="7:7" ht="10.5" customHeight="1" x14ac:dyDescent="0.2">
      <c r="G65263" s="889"/>
    </row>
    <row r="65264" spans="7:7" ht="10.5" customHeight="1" x14ac:dyDescent="0.2">
      <c r="G65264" s="889"/>
    </row>
    <row r="65265" spans="7:7" ht="10.5" customHeight="1" x14ac:dyDescent="0.2">
      <c r="G65265" s="889"/>
    </row>
    <row r="65266" spans="7:7" ht="10.5" customHeight="1" x14ac:dyDescent="0.2">
      <c r="G65266" s="889"/>
    </row>
    <row r="65267" spans="7:7" ht="10.5" customHeight="1" x14ac:dyDescent="0.2">
      <c r="G65267" s="889"/>
    </row>
    <row r="65268" spans="7:7" ht="10.5" customHeight="1" x14ac:dyDescent="0.2">
      <c r="G65268" s="889"/>
    </row>
    <row r="65269" spans="7:7" ht="10.5" customHeight="1" x14ac:dyDescent="0.2">
      <c r="G65269" s="889"/>
    </row>
    <row r="65270" spans="7:7" ht="10.5" customHeight="1" x14ac:dyDescent="0.2">
      <c r="G65270" s="889"/>
    </row>
    <row r="65271" spans="7:7" ht="10.5" customHeight="1" x14ac:dyDescent="0.2">
      <c r="G65271" s="889"/>
    </row>
    <row r="65272" spans="7:7" ht="10.5" customHeight="1" x14ac:dyDescent="0.2">
      <c r="G65272" s="889"/>
    </row>
    <row r="65273" spans="7:7" ht="10.5" customHeight="1" x14ac:dyDescent="0.2">
      <c r="G65273" s="889"/>
    </row>
    <row r="65274" spans="7:7" ht="10.5" customHeight="1" x14ac:dyDescent="0.2">
      <c r="G65274" s="889"/>
    </row>
    <row r="65275" spans="7:7" ht="10.5" customHeight="1" x14ac:dyDescent="0.2">
      <c r="G65275" s="889"/>
    </row>
    <row r="65276" spans="7:7" ht="10.5" customHeight="1" x14ac:dyDescent="0.2">
      <c r="G65276" s="889"/>
    </row>
    <row r="65277" spans="7:7" ht="10.5" customHeight="1" x14ac:dyDescent="0.2">
      <c r="G65277" s="889"/>
    </row>
    <row r="65278" spans="7:7" ht="10.5" customHeight="1" x14ac:dyDescent="0.2">
      <c r="G65278" s="889"/>
    </row>
    <row r="65279" spans="7:7" ht="10.5" customHeight="1" x14ac:dyDescent="0.2">
      <c r="G65279" s="889"/>
    </row>
    <row r="65280" spans="7:7" ht="10.5" customHeight="1" x14ac:dyDescent="0.2">
      <c r="G65280" s="889"/>
    </row>
    <row r="65281" spans="7:7" ht="10.5" customHeight="1" x14ac:dyDescent="0.2">
      <c r="G65281" s="889"/>
    </row>
    <row r="65282" spans="7:7" ht="10.5" customHeight="1" x14ac:dyDescent="0.2">
      <c r="G65282" s="889"/>
    </row>
    <row r="65283" spans="7:7" ht="10.5" customHeight="1" x14ac:dyDescent="0.2">
      <c r="G65283" s="889"/>
    </row>
    <row r="65284" spans="7:7" ht="10.5" customHeight="1" x14ac:dyDescent="0.2">
      <c r="G65284" s="889"/>
    </row>
    <row r="65285" spans="7:7" ht="10.5" customHeight="1" x14ac:dyDescent="0.2">
      <c r="G65285" s="889"/>
    </row>
    <row r="65286" spans="7:7" ht="10.5" customHeight="1" x14ac:dyDescent="0.2">
      <c r="G65286" s="889"/>
    </row>
    <row r="65287" spans="7:7" ht="10.5" customHeight="1" x14ac:dyDescent="0.2">
      <c r="G65287" s="889"/>
    </row>
    <row r="65288" spans="7:7" ht="10.5" customHeight="1" x14ac:dyDescent="0.2">
      <c r="G65288" s="889"/>
    </row>
    <row r="65289" spans="7:7" ht="10.5" customHeight="1" x14ac:dyDescent="0.2">
      <c r="G65289" s="889"/>
    </row>
    <row r="65290" spans="7:7" ht="10.5" customHeight="1" x14ac:dyDescent="0.2">
      <c r="G65290" s="889"/>
    </row>
    <row r="65291" spans="7:7" ht="10.5" customHeight="1" x14ac:dyDescent="0.2">
      <c r="G65291" s="889"/>
    </row>
    <row r="65292" spans="7:7" ht="10.5" customHeight="1" x14ac:dyDescent="0.2">
      <c r="G65292" s="889"/>
    </row>
    <row r="65293" spans="7:7" ht="10.5" customHeight="1" x14ac:dyDescent="0.2">
      <c r="G65293" s="889"/>
    </row>
    <row r="65294" spans="7:7" ht="10.5" customHeight="1" x14ac:dyDescent="0.2">
      <c r="G65294" s="889"/>
    </row>
    <row r="65295" spans="7:7" ht="10.5" customHeight="1" x14ac:dyDescent="0.2">
      <c r="G65295" s="889"/>
    </row>
    <row r="65296" spans="7:7" ht="10.5" customHeight="1" x14ac:dyDescent="0.2">
      <c r="G65296" s="889"/>
    </row>
    <row r="65297" spans="7:7" ht="10.5" customHeight="1" x14ac:dyDescent="0.2">
      <c r="G65297" s="889"/>
    </row>
    <row r="65298" spans="7:7" ht="10.5" customHeight="1" x14ac:dyDescent="0.2">
      <c r="G65298" s="889"/>
    </row>
    <row r="65299" spans="7:7" ht="10.5" customHeight="1" x14ac:dyDescent="0.2">
      <c r="G65299" s="889"/>
    </row>
    <row r="65300" spans="7:7" ht="10.5" customHeight="1" x14ac:dyDescent="0.2">
      <c r="G65300" s="889"/>
    </row>
    <row r="65301" spans="7:7" ht="10.5" customHeight="1" x14ac:dyDescent="0.2">
      <c r="G65301" s="889"/>
    </row>
    <row r="65302" spans="7:7" ht="10.5" customHeight="1" x14ac:dyDescent="0.2">
      <c r="G65302" s="889"/>
    </row>
    <row r="65303" spans="7:7" ht="10.5" customHeight="1" x14ac:dyDescent="0.2">
      <c r="G65303" s="889"/>
    </row>
    <row r="65304" spans="7:7" ht="10.5" customHeight="1" x14ac:dyDescent="0.2">
      <c r="G65304" s="889"/>
    </row>
    <row r="65305" spans="7:7" ht="10.5" customHeight="1" x14ac:dyDescent="0.2">
      <c r="G65305" s="889"/>
    </row>
    <row r="65306" spans="7:7" ht="10.5" customHeight="1" x14ac:dyDescent="0.2">
      <c r="G65306" s="889"/>
    </row>
    <row r="65307" spans="7:7" ht="10.5" customHeight="1" x14ac:dyDescent="0.2">
      <c r="G65307" s="889"/>
    </row>
    <row r="65308" spans="7:7" ht="10.5" customHeight="1" x14ac:dyDescent="0.2">
      <c r="G65308" s="889"/>
    </row>
    <row r="65309" spans="7:7" ht="10.5" customHeight="1" x14ac:dyDescent="0.2">
      <c r="G65309" s="889"/>
    </row>
    <row r="65310" spans="7:7" ht="10.5" customHeight="1" x14ac:dyDescent="0.2">
      <c r="G65310" s="889"/>
    </row>
    <row r="65311" spans="7:7" ht="10.5" customHeight="1" x14ac:dyDescent="0.2">
      <c r="G65311" s="889"/>
    </row>
    <row r="65312" spans="7:7" ht="10.5" customHeight="1" x14ac:dyDescent="0.2">
      <c r="G65312" s="889"/>
    </row>
    <row r="65313" spans="7:7" ht="10.5" customHeight="1" x14ac:dyDescent="0.2">
      <c r="G65313" s="889"/>
    </row>
    <row r="65314" spans="7:7" ht="10.5" customHeight="1" x14ac:dyDescent="0.2">
      <c r="G65314" s="889"/>
    </row>
    <row r="65315" spans="7:7" ht="10.5" customHeight="1" x14ac:dyDescent="0.2">
      <c r="G65315" s="889"/>
    </row>
    <row r="65316" spans="7:7" ht="10.5" customHeight="1" x14ac:dyDescent="0.2">
      <c r="G65316" s="889"/>
    </row>
    <row r="65317" spans="7:7" ht="10.5" customHeight="1" x14ac:dyDescent="0.2">
      <c r="G65317" s="889"/>
    </row>
    <row r="65318" spans="7:7" ht="10.5" customHeight="1" x14ac:dyDescent="0.2">
      <c r="G65318" s="889"/>
    </row>
    <row r="65319" spans="7:7" ht="10.5" customHeight="1" x14ac:dyDescent="0.2">
      <c r="G65319" s="889"/>
    </row>
    <row r="65320" spans="7:7" ht="10.5" customHeight="1" x14ac:dyDescent="0.2">
      <c r="G65320" s="889"/>
    </row>
    <row r="65321" spans="7:7" ht="10.5" customHeight="1" x14ac:dyDescent="0.2">
      <c r="G65321" s="889"/>
    </row>
    <row r="65322" spans="7:7" ht="10.5" customHeight="1" x14ac:dyDescent="0.2">
      <c r="G65322" s="889"/>
    </row>
    <row r="65323" spans="7:7" ht="10.5" customHeight="1" x14ac:dyDescent="0.2">
      <c r="G65323" s="889"/>
    </row>
    <row r="65324" spans="7:7" ht="10.5" customHeight="1" x14ac:dyDescent="0.2">
      <c r="G65324" s="889"/>
    </row>
    <row r="65325" spans="7:7" ht="10.5" customHeight="1" x14ac:dyDescent="0.2">
      <c r="G65325" s="889"/>
    </row>
    <row r="65326" spans="7:7" ht="10.5" customHeight="1" x14ac:dyDescent="0.2">
      <c r="G65326" s="889"/>
    </row>
    <row r="65327" spans="7:7" ht="10.5" customHeight="1" x14ac:dyDescent="0.2">
      <c r="G65327" s="889"/>
    </row>
    <row r="65328" spans="7:7" ht="10.5" customHeight="1" x14ac:dyDescent="0.2">
      <c r="G65328" s="889"/>
    </row>
    <row r="65329" spans="7:7" ht="10.5" customHeight="1" x14ac:dyDescent="0.2">
      <c r="G65329" s="889"/>
    </row>
    <row r="65330" spans="7:7" ht="10.5" customHeight="1" x14ac:dyDescent="0.2">
      <c r="G65330" s="889"/>
    </row>
    <row r="65331" spans="7:7" ht="10.5" customHeight="1" x14ac:dyDescent="0.2">
      <c r="G65331" s="889"/>
    </row>
    <row r="65332" spans="7:7" ht="10.5" customHeight="1" x14ac:dyDescent="0.2">
      <c r="G65332" s="889"/>
    </row>
    <row r="65333" spans="7:7" ht="10.5" customHeight="1" x14ac:dyDescent="0.2">
      <c r="G65333" s="889"/>
    </row>
    <row r="65334" spans="7:7" ht="10.5" customHeight="1" x14ac:dyDescent="0.2">
      <c r="G65334" s="889"/>
    </row>
    <row r="65335" spans="7:7" ht="10.5" customHeight="1" x14ac:dyDescent="0.2">
      <c r="G65335" s="889"/>
    </row>
    <row r="65336" spans="7:7" ht="10.5" customHeight="1" x14ac:dyDescent="0.2">
      <c r="G65336" s="889"/>
    </row>
    <row r="65337" spans="7:7" ht="10.5" customHeight="1" x14ac:dyDescent="0.2">
      <c r="G65337" s="889"/>
    </row>
    <row r="65338" spans="7:7" ht="10.5" customHeight="1" x14ac:dyDescent="0.2">
      <c r="G65338" s="889"/>
    </row>
    <row r="65339" spans="7:7" ht="10.5" customHeight="1" x14ac:dyDescent="0.2">
      <c r="G65339" s="889"/>
    </row>
    <row r="65340" spans="7:7" ht="10.5" customHeight="1" x14ac:dyDescent="0.2">
      <c r="G65340" s="889"/>
    </row>
    <row r="65341" spans="7:7" ht="10.5" customHeight="1" x14ac:dyDescent="0.2">
      <c r="G65341" s="889"/>
    </row>
    <row r="65342" spans="7:7" ht="10.5" customHeight="1" x14ac:dyDescent="0.2">
      <c r="G65342" s="889"/>
    </row>
    <row r="65343" spans="7:7" ht="10.5" customHeight="1" x14ac:dyDescent="0.2">
      <c r="G65343" s="889"/>
    </row>
    <row r="65344" spans="7:7" ht="10.5" customHeight="1" x14ac:dyDescent="0.2">
      <c r="G65344" s="889"/>
    </row>
    <row r="65345" spans="7:7" ht="10.5" customHeight="1" x14ac:dyDescent="0.2">
      <c r="G65345" s="889"/>
    </row>
    <row r="65346" spans="7:7" ht="10.5" customHeight="1" x14ac:dyDescent="0.2">
      <c r="G65346" s="889"/>
    </row>
    <row r="65347" spans="7:7" ht="10.5" customHeight="1" x14ac:dyDescent="0.2">
      <c r="G65347" s="889"/>
    </row>
    <row r="65348" spans="7:7" ht="10.5" customHeight="1" x14ac:dyDescent="0.2">
      <c r="G65348" s="889"/>
    </row>
    <row r="65349" spans="7:7" ht="10.5" customHeight="1" x14ac:dyDescent="0.2">
      <c r="G65349" s="889"/>
    </row>
    <row r="65350" spans="7:7" ht="10.5" customHeight="1" x14ac:dyDescent="0.2">
      <c r="G65350" s="889"/>
    </row>
    <row r="65351" spans="7:7" ht="10.5" customHeight="1" x14ac:dyDescent="0.2">
      <c r="G65351" s="889"/>
    </row>
    <row r="65352" spans="7:7" ht="10.5" customHeight="1" x14ac:dyDescent="0.2">
      <c r="G65352" s="889"/>
    </row>
    <row r="65353" spans="7:7" ht="10.5" customHeight="1" x14ac:dyDescent="0.2">
      <c r="G65353" s="889"/>
    </row>
    <row r="65354" spans="7:7" ht="10.5" customHeight="1" x14ac:dyDescent="0.2">
      <c r="G65354" s="889"/>
    </row>
    <row r="65355" spans="7:7" ht="10.5" customHeight="1" x14ac:dyDescent="0.2">
      <c r="G65355" s="889"/>
    </row>
    <row r="65356" spans="7:7" ht="10.5" customHeight="1" x14ac:dyDescent="0.2">
      <c r="G65356" s="889"/>
    </row>
    <row r="65357" spans="7:7" ht="10.5" customHeight="1" x14ac:dyDescent="0.2">
      <c r="G65357" s="889"/>
    </row>
    <row r="65358" spans="7:7" ht="10.5" customHeight="1" x14ac:dyDescent="0.2">
      <c r="G65358" s="889"/>
    </row>
    <row r="65359" spans="7:7" ht="10.5" customHeight="1" x14ac:dyDescent="0.2">
      <c r="G65359" s="889"/>
    </row>
    <row r="65360" spans="7:7" ht="10.5" customHeight="1" x14ac:dyDescent="0.2">
      <c r="G65360" s="889"/>
    </row>
    <row r="65361" spans="7:7" ht="10.5" customHeight="1" x14ac:dyDescent="0.2">
      <c r="G65361" s="889"/>
    </row>
    <row r="65362" spans="7:7" ht="10.5" customHeight="1" x14ac:dyDescent="0.2">
      <c r="G65362" s="889"/>
    </row>
    <row r="65363" spans="7:7" ht="10.5" customHeight="1" x14ac:dyDescent="0.2">
      <c r="G65363" s="889"/>
    </row>
    <row r="65364" spans="7:7" ht="10.5" customHeight="1" x14ac:dyDescent="0.2">
      <c r="G65364" s="889"/>
    </row>
    <row r="65365" spans="7:7" ht="10.5" customHeight="1" x14ac:dyDescent="0.2">
      <c r="G65365" s="889"/>
    </row>
    <row r="65366" spans="7:7" ht="10.5" customHeight="1" x14ac:dyDescent="0.2">
      <c r="G65366" s="889"/>
    </row>
    <row r="65367" spans="7:7" ht="10.5" customHeight="1" x14ac:dyDescent="0.2">
      <c r="G65367" s="889"/>
    </row>
    <row r="65368" spans="7:7" ht="10.5" customHeight="1" x14ac:dyDescent="0.2">
      <c r="G65368" s="889"/>
    </row>
    <row r="65369" spans="7:7" ht="10.5" customHeight="1" x14ac:dyDescent="0.2">
      <c r="G65369" s="889"/>
    </row>
    <row r="65370" spans="7:7" ht="10.5" customHeight="1" x14ac:dyDescent="0.2">
      <c r="G65370" s="889"/>
    </row>
    <row r="65371" spans="7:7" ht="10.5" customHeight="1" x14ac:dyDescent="0.2">
      <c r="G65371" s="889"/>
    </row>
    <row r="65372" spans="7:7" ht="10.5" customHeight="1" x14ac:dyDescent="0.2">
      <c r="G65372" s="889"/>
    </row>
    <row r="65373" spans="7:7" ht="10.5" customHeight="1" x14ac:dyDescent="0.2">
      <c r="G65373" s="889"/>
    </row>
    <row r="65374" spans="7:7" ht="10.5" customHeight="1" x14ac:dyDescent="0.2">
      <c r="G65374" s="889"/>
    </row>
    <row r="65375" spans="7:7" ht="10.5" customHeight="1" x14ac:dyDescent="0.2">
      <c r="G65375" s="889"/>
    </row>
    <row r="65376" spans="7:7" ht="10.5" customHeight="1" x14ac:dyDescent="0.2">
      <c r="G65376" s="889"/>
    </row>
    <row r="65377" spans="7:7" ht="10.5" customHeight="1" x14ac:dyDescent="0.2">
      <c r="G65377" s="889"/>
    </row>
    <row r="65378" spans="7:7" ht="10.5" customHeight="1" x14ac:dyDescent="0.2">
      <c r="G65378" s="889"/>
    </row>
    <row r="65379" spans="7:7" ht="10.5" customHeight="1" x14ac:dyDescent="0.2">
      <c r="G65379" s="889"/>
    </row>
    <row r="65380" spans="7:7" ht="10.5" customHeight="1" x14ac:dyDescent="0.2">
      <c r="G65380" s="889"/>
    </row>
    <row r="65381" spans="7:7" ht="10.5" customHeight="1" x14ac:dyDescent="0.2">
      <c r="G65381" s="889"/>
    </row>
    <row r="65382" spans="7:7" ht="10.5" customHeight="1" x14ac:dyDescent="0.2">
      <c r="G65382" s="889"/>
    </row>
    <row r="65383" spans="7:7" ht="10.5" customHeight="1" x14ac:dyDescent="0.2">
      <c r="G65383" s="889"/>
    </row>
    <row r="65384" spans="7:7" ht="10.5" customHeight="1" x14ac:dyDescent="0.2">
      <c r="G65384" s="889"/>
    </row>
    <row r="65385" spans="7:7" ht="10.5" customHeight="1" x14ac:dyDescent="0.2">
      <c r="G65385" s="889"/>
    </row>
    <row r="65386" spans="7:7" ht="10.5" customHeight="1" x14ac:dyDescent="0.2">
      <c r="G65386" s="889"/>
    </row>
    <row r="65387" spans="7:7" ht="10.5" customHeight="1" x14ac:dyDescent="0.2">
      <c r="G65387" s="889"/>
    </row>
    <row r="65388" spans="7:7" ht="10.5" customHeight="1" x14ac:dyDescent="0.2">
      <c r="G65388" s="889"/>
    </row>
    <row r="65389" spans="7:7" ht="10.5" customHeight="1" x14ac:dyDescent="0.2">
      <c r="G65389" s="889"/>
    </row>
    <row r="65390" spans="7:7" ht="10.5" customHeight="1" x14ac:dyDescent="0.2">
      <c r="G65390" s="889"/>
    </row>
    <row r="65391" spans="7:7" ht="10.5" customHeight="1" x14ac:dyDescent="0.2">
      <c r="G65391" s="889"/>
    </row>
    <row r="65392" spans="7:7" ht="10.5" customHeight="1" x14ac:dyDescent="0.2">
      <c r="G65392" s="889"/>
    </row>
    <row r="65393" spans="7:7" ht="10.5" customHeight="1" x14ac:dyDescent="0.2">
      <c r="G65393" s="889"/>
    </row>
    <row r="65394" spans="7:7" ht="10.5" customHeight="1" x14ac:dyDescent="0.2">
      <c r="G65394" s="889"/>
    </row>
    <row r="65395" spans="7:7" ht="10.5" customHeight="1" x14ac:dyDescent="0.2">
      <c r="G65395" s="889"/>
    </row>
    <row r="65396" spans="7:7" ht="10.5" customHeight="1" x14ac:dyDescent="0.2">
      <c r="G65396" s="889"/>
    </row>
    <row r="65397" spans="7:7" ht="10.5" customHeight="1" x14ac:dyDescent="0.2">
      <c r="G65397" s="889"/>
    </row>
    <row r="65398" spans="7:7" ht="10.5" customHeight="1" x14ac:dyDescent="0.2">
      <c r="G65398" s="889"/>
    </row>
    <row r="65399" spans="7:7" ht="10.5" customHeight="1" x14ac:dyDescent="0.2">
      <c r="G65399" s="889"/>
    </row>
    <row r="65400" spans="7:7" ht="10.5" customHeight="1" x14ac:dyDescent="0.2">
      <c r="G65400" s="889"/>
    </row>
    <row r="65401" spans="7:7" ht="10.5" customHeight="1" x14ac:dyDescent="0.2">
      <c r="G65401" s="889"/>
    </row>
    <row r="65402" spans="7:7" ht="10.5" customHeight="1" x14ac:dyDescent="0.2">
      <c r="G65402" s="889"/>
    </row>
    <row r="65403" spans="7:7" ht="10.5" customHeight="1" x14ac:dyDescent="0.2">
      <c r="G65403" s="889"/>
    </row>
    <row r="65404" spans="7:7" ht="10.5" customHeight="1" x14ac:dyDescent="0.2">
      <c r="G65404" s="889"/>
    </row>
    <row r="65405" spans="7:7" ht="10.5" customHeight="1" x14ac:dyDescent="0.2">
      <c r="G65405" s="889"/>
    </row>
    <row r="65406" spans="7:7" ht="10.5" customHeight="1" x14ac:dyDescent="0.2">
      <c r="G65406" s="889"/>
    </row>
    <row r="65407" spans="7:7" ht="10.5" customHeight="1" x14ac:dyDescent="0.2">
      <c r="G65407" s="889"/>
    </row>
    <row r="65408" spans="7:7" ht="10.5" customHeight="1" x14ac:dyDescent="0.2">
      <c r="G65408" s="889"/>
    </row>
    <row r="65409" spans="7:7" ht="10.5" customHeight="1" x14ac:dyDescent="0.2">
      <c r="G65409" s="889"/>
    </row>
    <row r="65410" spans="7:7" ht="10.5" customHeight="1" x14ac:dyDescent="0.2">
      <c r="G65410" s="889"/>
    </row>
    <row r="65411" spans="7:7" ht="10.5" customHeight="1" x14ac:dyDescent="0.2">
      <c r="G65411" s="889"/>
    </row>
    <row r="65412" spans="7:7" ht="10.5" customHeight="1" x14ac:dyDescent="0.2">
      <c r="G65412" s="889"/>
    </row>
    <row r="65413" spans="7:7" ht="10.5" customHeight="1" x14ac:dyDescent="0.2">
      <c r="G65413" s="889"/>
    </row>
    <row r="65414" spans="7:7" ht="10.5" customHeight="1" x14ac:dyDescent="0.2">
      <c r="G65414" s="889"/>
    </row>
    <row r="65415" spans="7:7" ht="10.5" customHeight="1" x14ac:dyDescent="0.2">
      <c r="G65415" s="889"/>
    </row>
    <row r="65416" spans="7:7" ht="10.5" customHeight="1" x14ac:dyDescent="0.2">
      <c r="G65416" s="889"/>
    </row>
    <row r="65417" spans="7:7" ht="10.5" customHeight="1" x14ac:dyDescent="0.2">
      <c r="G65417" s="889"/>
    </row>
    <row r="65418" spans="7:7" ht="10.5" customHeight="1" x14ac:dyDescent="0.2">
      <c r="G65418" s="889"/>
    </row>
    <row r="65419" spans="7:7" ht="10.5" customHeight="1" x14ac:dyDescent="0.2">
      <c r="G65419" s="889"/>
    </row>
    <row r="65420" spans="7:7" ht="10.5" customHeight="1" x14ac:dyDescent="0.2">
      <c r="G65420" s="889"/>
    </row>
    <row r="65421" spans="7:7" ht="10.5" customHeight="1" x14ac:dyDescent="0.2">
      <c r="G65421" s="889"/>
    </row>
    <row r="65422" spans="7:7" ht="10.5" customHeight="1" x14ac:dyDescent="0.2">
      <c r="G65422" s="889"/>
    </row>
    <row r="65423" spans="7:7" ht="10.5" customHeight="1" x14ac:dyDescent="0.2">
      <c r="G65423" s="889"/>
    </row>
    <row r="65424" spans="7:7" ht="10.5" customHeight="1" x14ac:dyDescent="0.2">
      <c r="G65424" s="889"/>
    </row>
    <row r="65425" spans="7:7" ht="10.5" customHeight="1" x14ac:dyDescent="0.2">
      <c r="G65425" s="889"/>
    </row>
    <row r="65426" spans="7:7" ht="10.5" customHeight="1" x14ac:dyDescent="0.2">
      <c r="G65426" s="889"/>
    </row>
    <row r="65427" spans="7:7" ht="10.5" customHeight="1" x14ac:dyDescent="0.2">
      <c r="G65427" s="889"/>
    </row>
    <row r="65428" spans="7:7" ht="10.5" customHeight="1" x14ac:dyDescent="0.2">
      <c r="G65428" s="889"/>
    </row>
    <row r="65429" spans="7:7" ht="10.5" customHeight="1" x14ac:dyDescent="0.2">
      <c r="G65429" s="889"/>
    </row>
    <row r="65430" spans="7:7" ht="10.5" customHeight="1" x14ac:dyDescent="0.2">
      <c r="G65430" s="889"/>
    </row>
    <row r="65431" spans="7:7" ht="10.5" customHeight="1" x14ac:dyDescent="0.2">
      <c r="G65431" s="889"/>
    </row>
    <row r="65432" spans="7:7" ht="10.5" customHeight="1" x14ac:dyDescent="0.2">
      <c r="G65432" s="889"/>
    </row>
    <row r="65433" spans="7:7" ht="10.5" customHeight="1" x14ac:dyDescent="0.2">
      <c r="G65433" s="889"/>
    </row>
    <row r="65434" spans="7:7" ht="10.5" customHeight="1" x14ac:dyDescent="0.2">
      <c r="G65434" s="889"/>
    </row>
    <row r="65435" spans="7:7" ht="10.5" customHeight="1" x14ac:dyDescent="0.2">
      <c r="G65435" s="889"/>
    </row>
    <row r="65436" spans="7:7" ht="10.5" customHeight="1" x14ac:dyDescent="0.2">
      <c r="G65436" s="889"/>
    </row>
    <row r="65437" spans="7:7" ht="10.5" customHeight="1" x14ac:dyDescent="0.2">
      <c r="G65437" s="889"/>
    </row>
    <row r="65438" spans="7:7" ht="10.5" customHeight="1" x14ac:dyDescent="0.2">
      <c r="G65438" s="889"/>
    </row>
    <row r="65439" spans="7:7" ht="10.5" customHeight="1" x14ac:dyDescent="0.2">
      <c r="G65439" s="889"/>
    </row>
    <row r="65440" spans="7:7" ht="10.5" customHeight="1" x14ac:dyDescent="0.2">
      <c r="G65440" s="889"/>
    </row>
    <row r="65441" spans="7:7" ht="10.5" customHeight="1" x14ac:dyDescent="0.2">
      <c r="G65441" s="889"/>
    </row>
    <row r="65442" spans="7:7" ht="10.5" customHeight="1" x14ac:dyDescent="0.2">
      <c r="G65442" s="889"/>
    </row>
    <row r="65443" spans="7:7" ht="10.5" customHeight="1" x14ac:dyDescent="0.2">
      <c r="G65443" s="889"/>
    </row>
    <row r="65444" spans="7:7" ht="10.5" customHeight="1" x14ac:dyDescent="0.2">
      <c r="G65444" s="889"/>
    </row>
    <row r="65445" spans="7:7" ht="10.5" customHeight="1" x14ac:dyDescent="0.2">
      <c r="G65445" s="889"/>
    </row>
    <row r="65446" spans="7:7" ht="10.5" customHeight="1" x14ac:dyDescent="0.2">
      <c r="G65446" s="889"/>
    </row>
    <row r="65447" spans="7:7" ht="10.5" customHeight="1" x14ac:dyDescent="0.2">
      <c r="G65447" s="889"/>
    </row>
    <row r="65448" spans="7:7" ht="10.5" customHeight="1" x14ac:dyDescent="0.2">
      <c r="G65448" s="889"/>
    </row>
    <row r="65449" spans="7:7" ht="10.5" customHeight="1" x14ac:dyDescent="0.2">
      <c r="G65449" s="889"/>
    </row>
    <row r="65450" spans="7:7" ht="10.5" customHeight="1" x14ac:dyDescent="0.2">
      <c r="G65450" s="889"/>
    </row>
    <row r="65451" spans="7:7" ht="10.5" customHeight="1" x14ac:dyDescent="0.2">
      <c r="G65451" s="889"/>
    </row>
    <row r="65452" spans="7:7" ht="10.5" customHeight="1" x14ac:dyDescent="0.2">
      <c r="G65452" s="889"/>
    </row>
    <row r="65453" spans="7:7" ht="10.5" customHeight="1" x14ac:dyDescent="0.2">
      <c r="G65453" s="889"/>
    </row>
    <row r="65454" spans="7:7" ht="10.5" customHeight="1" x14ac:dyDescent="0.2">
      <c r="G65454" s="889"/>
    </row>
    <row r="65455" spans="7:7" ht="10.5" customHeight="1" x14ac:dyDescent="0.2">
      <c r="G65455" s="889"/>
    </row>
    <row r="65456" spans="7:7" ht="10.5" customHeight="1" x14ac:dyDescent="0.2">
      <c r="G65456" s="889"/>
    </row>
    <row r="65457" spans="7:7" ht="10.5" customHeight="1" x14ac:dyDescent="0.2">
      <c r="G65457" s="889"/>
    </row>
    <row r="65458" spans="7:7" ht="10.5" customHeight="1" x14ac:dyDescent="0.2">
      <c r="G65458" s="889"/>
    </row>
    <row r="65459" spans="7:7" ht="10.5" customHeight="1" x14ac:dyDescent="0.2">
      <c r="G65459" s="889"/>
    </row>
    <row r="65460" spans="7:7" ht="10.5" customHeight="1" x14ac:dyDescent="0.2">
      <c r="G65460" s="889"/>
    </row>
    <row r="65461" spans="7:7" ht="10.5" customHeight="1" x14ac:dyDescent="0.2">
      <c r="G65461" s="889"/>
    </row>
    <row r="65462" spans="7:7" ht="10.5" customHeight="1" x14ac:dyDescent="0.2">
      <c r="G65462" s="889"/>
    </row>
    <row r="65463" spans="7:7" ht="10.5" customHeight="1" x14ac:dyDescent="0.2">
      <c r="G65463" s="889"/>
    </row>
    <row r="65464" spans="7:7" ht="10.5" customHeight="1" x14ac:dyDescent="0.2">
      <c r="G65464" s="889"/>
    </row>
    <row r="65465" spans="7:7" ht="10.5" customHeight="1" x14ac:dyDescent="0.2">
      <c r="G65465" s="889"/>
    </row>
    <row r="65466" spans="7:7" ht="10.5" customHeight="1" x14ac:dyDescent="0.2">
      <c r="G65466" s="889"/>
    </row>
    <row r="65467" spans="7:7" ht="10.5" customHeight="1" x14ac:dyDescent="0.2">
      <c r="G65467" s="889"/>
    </row>
    <row r="65468" spans="7:7" ht="10.5" customHeight="1" x14ac:dyDescent="0.2">
      <c r="G65468" s="889"/>
    </row>
    <row r="65469" spans="7:7" ht="10.5" customHeight="1" x14ac:dyDescent="0.2">
      <c r="G65469" s="889"/>
    </row>
    <row r="65470" spans="7:7" ht="10.5" customHeight="1" x14ac:dyDescent="0.2">
      <c r="G65470" s="889"/>
    </row>
    <row r="65471" spans="7:7" ht="10.5" customHeight="1" x14ac:dyDescent="0.2">
      <c r="G65471" s="889"/>
    </row>
    <row r="65472" spans="7:7" ht="10.5" customHeight="1" x14ac:dyDescent="0.2">
      <c r="G65472" s="889"/>
    </row>
    <row r="65473" spans="7:7" ht="10.5" customHeight="1" x14ac:dyDescent="0.2">
      <c r="G65473" s="889"/>
    </row>
    <row r="65474" spans="7:7" ht="10.5" customHeight="1" x14ac:dyDescent="0.2">
      <c r="G65474" s="889"/>
    </row>
    <row r="65475" spans="7:7" ht="10.5" customHeight="1" x14ac:dyDescent="0.2">
      <c r="G65475" s="889"/>
    </row>
    <row r="65476" spans="7:7" ht="10.5" customHeight="1" x14ac:dyDescent="0.2">
      <c r="G65476" s="889"/>
    </row>
    <row r="65477" spans="7:7" ht="10.5" customHeight="1" x14ac:dyDescent="0.2">
      <c r="G65477" s="889"/>
    </row>
    <row r="65478" spans="7:7" ht="10.5" customHeight="1" x14ac:dyDescent="0.2">
      <c r="G65478" s="889"/>
    </row>
    <row r="65479" spans="7:7" ht="10.5" customHeight="1" x14ac:dyDescent="0.2">
      <c r="G65479" s="889"/>
    </row>
    <row r="65480" spans="7:7" ht="10.5" customHeight="1" x14ac:dyDescent="0.2">
      <c r="G65480" s="889"/>
    </row>
    <row r="65481" spans="7:7" ht="10.5" customHeight="1" x14ac:dyDescent="0.2">
      <c r="G65481" s="889"/>
    </row>
    <row r="65482" spans="7:7" ht="10.5" customHeight="1" x14ac:dyDescent="0.2">
      <c r="G65482" s="889"/>
    </row>
    <row r="65483" spans="7:7" ht="10.5" customHeight="1" x14ac:dyDescent="0.2">
      <c r="G65483" s="889"/>
    </row>
    <row r="65484" spans="7:7" ht="10.5" customHeight="1" x14ac:dyDescent="0.2">
      <c r="G65484" s="889"/>
    </row>
    <row r="65485" spans="7:7" ht="10.5" customHeight="1" x14ac:dyDescent="0.2">
      <c r="G65485" s="889"/>
    </row>
    <row r="65486" spans="7:7" ht="10.5" customHeight="1" x14ac:dyDescent="0.2">
      <c r="G65486" s="889"/>
    </row>
    <row r="65487" spans="7:7" ht="10.5" customHeight="1" x14ac:dyDescent="0.2">
      <c r="G65487" s="889"/>
    </row>
    <row r="65488" spans="7:7" ht="10.5" customHeight="1" x14ac:dyDescent="0.2">
      <c r="G65488" s="889"/>
    </row>
    <row r="65489" spans="7:7" ht="10.5" customHeight="1" x14ac:dyDescent="0.2">
      <c r="G65489" s="889"/>
    </row>
    <row r="65490" spans="7:7" ht="10.5" customHeight="1" x14ac:dyDescent="0.2">
      <c r="G65490" s="889"/>
    </row>
    <row r="65491" spans="7:7" ht="10.5" customHeight="1" x14ac:dyDescent="0.2">
      <c r="G65491" s="889"/>
    </row>
    <row r="65492" spans="7:7" ht="10.5" customHeight="1" x14ac:dyDescent="0.2">
      <c r="G65492" s="889"/>
    </row>
    <row r="65493" spans="7:7" ht="10.5" customHeight="1" x14ac:dyDescent="0.2">
      <c r="G65493" s="889"/>
    </row>
    <row r="65494" spans="7:7" ht="10.5" customHeight="1" x14ac:dyDescent="0.2">
      <c r="G65494" s="889"/>
    </row>
    <row r="65495" spans="7:7" ht="10.5" customHeight="1" x14ac:dyDescent="0.2">
      <c r="G65495" s="889"/>
    </row>
    <row r="65496" spans="7:7" ht="10.5" customHeight="1" x14ac:dyDescent="0.2">
      <c r="G65496" s="889"/>
    </row>
    <row r="65497" spans="7:7" ht="10.5" customHeight="1" x14ac:dyDescent="0.2">
      <c r="G65497" s="889"/>
    </row>
    <row r="65498" spans="7:7" ht="10.5" customHeight="1" x14ac:dyDescent="0.2">
      <c r="G65498" s="889"/>
    </row>
    <row r="65499" spans="7:7" ht="10.5" customHeight="1" x14ac:dyDescent="0.2">
      <c r="G65499" s="889"/>
    </row>
    <row r="65500" spans="7:7" ht="10.5" customHeight="1" x14ac:dyDescent="0.2">
      <c r="G65500" s="889"/>
    </row>
    <row r="65501" spans="7:7" ht="10.5" customHeight="1" x14ac:dyDescent="0.2">
      <c r="G65501" s="889"/>
    </row>
    <row r="65502" spans="7:7" ht="10.5" customHeight="1" x14ac:dyDescent="0.2">
      <c r="G65502" s="889"/>
    </row>
    <row r="65503" spans="7:7" ht="10.5" customHeight="1" x14ac:dyDescent="0.2">
      <c r="G65503" s="889"/>
    </row>
    <row r="65504" spans="7:7" ht="10.5" customHeight="1" x14ac:dyDescent="0.2">
      <c r="G65504" s="889"/>
    </row>
    <row r="65505" spans="7:7" ht="10.5" customHeight="1" x14ac:dyDescent="0.2">
      <c r="G65505" s="889"/>
    </row>
    <row r="65506" spans="7:7" ht="10.5" customHeight="1" x14ac:dyDescent="0.2">
      <c r="G65506" s="889"/>
    </row>
    <row r="65507" spans="7:7" ht="10.5" customHeight="1" x14ac:dyDescent="0.2">
      <c r="G65507" s="889"/>
    </row>
    <row r="65508" spans="7:7" ht="10.5" customHeight="1" x14ac:dyDescent="0.2">
      <c r="G65508" s="889"/>
    </row>
    <row r="65509" spans="7:7" ht="10.5" customHeight="1" x14ac:dyDescent="0.2">
      <c r="G65509" s="889"/>
    </row>
    <row r="65510" spans="7:7" ht="10.5" customHeight="1" x14ac:dyDescent="0.2">
      <c r="G65510" s="889"/>
    </row>
    <row r="65511" spans="7:7" ht="10.5" customHeight="1" x14ac:dyDescent="0.2">
      <c r="G65511" s="889"/>
    </row>
    <row r="65512" spans="7:7" ht="10.5" customHeight="1" x14ac:dyDescent="0.2">
      <c r="G65512" s="889"/>
    </row>
    <row r="65513" spans="7:7" ht="10.5" customHeight="1" x14ac:dyDescent="0.2">
      <c r="G65513" s="889"/>
    </row>
    <row r="65514" spans="7:7" ht="10.5" customHeight="1" x14ac:dyDescent="0.2">
      <c r="G65514" s="889"/>
    </row>
    <row r="65515" spans="7:7" ht="10.5" customHeight="1" x14ac:dyDescent="0.2">
      <c r="G65515" s="889"/>
    </row>
    <row r="65516" spans="7:7" ht="10.5" customHeight="1" x14ac:dyDescent="0.2">
      <c r="G65516" s="889"/>
    </row>
    <row r="65517" spans="7:7" ht="10.5" customHeight="1" x14ac:dyDescent="0.2">
      <c r="G65517" s="889"/>
    </row>
    <row r="65518" spans="7:7" ht="10.5" customHeight="1" x14ac:dyDescent="0.2">
      <c r="G65518" s="889"/>
    </row>
    <row r="65519" spans="7:7" ht="10.5" customHeight="1" x14ac:dyDescent="0.2">
      <c r="G65519" s="889"/>
    </row>
    <row r="65520" spans="7:7" ht="10.5" customHeight="1" x14ac:dyDescent="0.2">
      <c r="G65520" s="889"/>
    </row>
    <row r="65521" spans="7:7" ht="10.5" customHeight="1" x14ac:dyDescent="0.2">
      <c r="G65521" s="889"/>
    </row>
    <row r="65522" spans="7:7" ht="10.5" customHeight="1" x14ac:dyDescent="0.2">
      <c r="G65522" s="889"/>
    </row>
    <row r="65523" spans="7:7" ht="10.5" customHeight="1" x14ac:dyDescent="0.2">
      <c r="G65523" s="889"/>
    </row>
    <row r="65524" spans="7:7" ht="10.5" customHeight="1" x14ac:dyDescent="0.2">
      <c r="G65524" s="889"/>
    </row>
    <row r="65525" spans="7:7" ht="10.5" customHeight="1" x14ac:dyDescent="0.2">
      <c r="G65525" s="889"/>
    </row>
    <row r="65526" spans="7:7" ht="10.5" customHeight="1" x14ac:dyDescent="0.2">
      <c r="G65526" s="889"/>
    </row>
    <row r="65527" spans="7:7" ht="10.5" customHeight="1" x14ac:dyDescent="0.2">
      <c r="G65527" s="889"/>
    </row>
    <row r="65528" spans="7:7" ht="10.5" customHeight="1" x14ac:dyDescent="0.2">
      <c r="G65528" s="889"/>
    </row>
    <row r="65529" spans="7:7" ht="10.5" customHeight="1" x14ac:dyDescent="0.2">
      <c r="G65529" s="889"/>
    </row>
    <row r="65530" spans="7:7" ht="10.5" customHeight="1" x14ac:dyDescent="0.2">
      <c r="G65530" s="889"/>
    </row>
    <row r="65531" spans="7:7" ht="10.5" customHeight="1" x14ac:dyDescent="0.2">
      <c r="G65531" s="889"/>
    </row>
    <row r="65532" spans="7:7" ht="10.5" customHeight="1" x14ac:dyDescent="0.2">
      <c r="G65532" s="889"/>
    </row>
    <row r="65533" spans="7:7" ht="10.5" customHeight="1" x14ac:dyDescent="0.2">
      <c r="G65533" s="889"/>
    </row>
    <row r="65534" spans="7:7" ht="10.5" customHeight="1" x14ac:dyDescent="0.2">
      <c r="G65534" s="889"/>
    </row>
    <row r="65535" spans="7:7" ht="10.5" customHeight="1" x14ac:dyDescent="0.2">
      <c r="G65535" s="889"/>
    </row>
    <row r="65536" spans="7:7" ht="10.5" customHeight="1" x14ac:dyDescent="0.2">
      <c r="G65536" s="889"/>
    </row>
    <row r="65537" spans="7:7" ht="10.5" customHeight="1" x14ac:dyDescent="0.2">
      <c r="G65537" s="889"/>
    </row>
    <row r="65538" spans="7:7" ht="10.5" customHeight="1" x14ac:dyDescent="0.2">
      <c r="G65538" s="889"/>
    </row>
    <row r="65539" spans="7:7" ht="10.5" customHeight="1" x14ac:dyDescent="0.2">
      <c r="G65539" s="889"/>
    </row>
    <row r="65540" spans="7:7" ht="10.5" customHeight="1" x14ac:dyDescent="0.2">
      <c r="G65540" s="889"/>
    </row>
    <row r="65541" spans="7:7" ht="10.5" customHeight="1" x14ac:dyDescent="0.2">
      <c r="G65541" s="889"/>
    </row>
    <row r="65542" spans="7:7" ht="10.5" customHeight="1" x14ac:dyDescent="0.2">
      <c r="G65542" s="889"/>
    </row>
    <row r="65543" spans="7:7" ht="10.5" customHeight="1" x14ac:dyDescent="0.2">
      <c r="G65543" s="889"/>
    </row>
    <row r="65544" spans="7:7" ht="10.5" customHeight="1" x14ac:dyDescent="0.2">
      <c r="G65544" s="889"/>
    </row>
    <row r="65545" spans="7:7" ht="10.5" customHeight="1" x14ac:dyDescent="0.2">
      <c r="G65545" s="889"/>
    </row>
    <row r="65546" spans="7:7" ht="10.5" customHeight="1" x14ac:dyDescent="0.2">
      <c r="G65546" s="889"/>
    </row>
    <row r="65547" spans="7:7" ht="10.5" customHeight="1" x14ac:dyDescent="0.2">
      <c r="G65547" s="889"/>
    </row>
  </sheetData>
  <phoneticPr fontId="10" type="noConversion"/>
  <dataValidations count="1">
    <dataValidation type="custom" allowBlank="1" showInputMessage="1" showErrorMessage="1" sqref="F217 F220:F223 F226:F229 F232:F235 F238:F241 D214:D217 D220:D223 D226:D229 D232:D235 D238:D241 M166:M170 J226:J229 J145:J151 J232:J235 M232:M235 B226:B230 N144:T161 J153:J157 M238:M241 B232:B235 B238:B241 J166:J169 M154:M158 B154:B158 J160:J163 M160:M164 B160:B164 J172:J175 M172:M176 B166:B170 J178:J181 M178:M182 B172:B176 J184:J187 M184:M188 B178:B182 J190:J193 M190:M194 B184:B188 J196:J199 M196:M199 B190:B194 J202:J205 M202:M206 B196:B199 J208:J211 M208:M212 B202:B206 J214:J217 M214:M217 B208:B212 J220:J223 M220:M224 B214:B217 M145:M146 M226:M230 B220:B224 M143:T143 B148:B152 J143:K144 M148:M152 B145:B146 B143 J238:J241 K153:K156 K146:K150 J244:J247 T4 T62 I88:I98 H76:H79 J76:K79 H70:H73 H58:H61 H46:H49 H52:K55 H40:J43 I44 H34:H37 H28:K31 I14 J16:J19 J22:J25 H94:H97 I10:I12 K10:K14 J94:J97 I16:I26 J34:K37 I56 I58:I62 I34:I38 I46:I50 I68 J70:K73 I70:I74 H22:H25 H13:I13 H16:H19 F22:F25 F28:F31 F34:F37 F13 F16:F19 H64:K67 H82:H85 D100:F103 D16:D19 D22:D25 D28:D31 D34:D37 D40:D43 D10:D13 B94:B97 B82:B85 B76:B79 C73 B70:B73 B64:B67 B58:B61 C94:C96 M22:M26 I7:K8 B5 B7:B8 C83:C85 C58:C60 C64:C65 C70 C78:C79 N70:T86 J82:K85 J88:K91 K80 N52:T61 K74 N62:S63 J58:K61 K62 J46:K49 N34:T44 K56 K40:K44 B40:B43 B34:B37 B10:B14 H100:K103 L4:M4 I4 A4:B4 J5:K5 M10:T14 J10:J13 N46:T50 B16:B20 M28:T32 B22:B26 K16:K26 N16:T26 B28:B32 N98:S99 I76:I86 H106:K109 N64:T68 T98 K92:K98 M16:M20 N88:T97 M7:T8 M88:M91 M46:M49 M52:M55 M94:M97 M82:M85 M76:M79 M70:M73 M64:M67 M58:M61 M5 M40:M43 M34:M37 M100:T103 N105:S105 D106:D109 B100:B103 B106:B109 B250:B253 F244:F247 D244:D247 M244:M247 B244:B247 H112:K115 N111:S111 B112:B115 D112:D115 M256:M259 M106:T109 J250:J253 F250:F253 D250:D253 M250:M253 H118:K121 N117:S117 B118:B121 D118:D121 M112:T115 M118:T121 B256:B259 J256:J259 F256:F259 D256:D259 F118:F121 F112:F115 F106:F109 D82:F85 D64:F67 D94:F97 F40:F43 B52:F55 B46:F49 D58:F61 D70:F73 D76:F79 B88:F91 H88:H91 H124:K127 N123:S123 B124:B127 D124:D127 M124:T127 F124:F127 B262:B265 F262:F265 D262:D265 J262:J265 H130:K133 N129:S129 B130:B133 D130:D133 M130:T133 F130:F133 B268:B271 F268:F271 D268:D271 J274:J277 H136:K139 N135:S135 B136:B139 D136:D139 M136:T139 F136:F139 B274:B277 F274:F277 D274:D277 J268:J271">
      <formula1>-1</formula1>
    </dataValidation>
  </dataValidations>
  <pageMargins left="0.75" right="0.75" top="1" bottom="1" header="0.5" footer="0.5"/>
  <pageSetup scale="57"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AK80"/>
  <sheetViews>
    <sheetView topLeftCell="A7" zoomScaleNormal="100" workbookViewId="0"/>
  </sheetViews>
  <sheetFormatPr defaultRowHeight="12.75" outlineLevelCol="1" x14ac:dyDescent="0.2"/>
  <cols>
    <col min="1" max="1" width="23.140625" style="238" customWidth="1"/>
    <col min="2" max="2" width="16.5703125" style="685" customWidth="1" outlineLevel="1"/>
    <col min="3" max="3" width="6.140625" style="685" customWidth="1" outlineLevel="1"/>
    <col min="4" max="4" width="7.28515625" style="685" customWidth="1" outlineLevel="1"/>
    <col min="5" max="5" width="4" style="685" customWidth="1" outlineLevel="1"/>
    <col min="6" max="6" width="16.5703125" style="238" customWidth="1" outlineLevel="1"/>
    <col min="7" max="7" width="6.140625" style="238" customWidth="1" outlineLevel="1"/>
    <col min="8" max="8" width="7.28515625" style="238" customWidth="1" outlineLevel="1"/>
    <col min="9" max="9" width="4" style="238" customWidth="1" outlineLevel="1"/>
    <col min="10" max="10" width="9.7109375" style="238" customWidth="1" outlineLevel="1"/>
    <col min="11" max="12" width="9.140625" style="238" customWidth="1" outlineLevel="1"/>
    <col min="13" max="13" width="2.42578125" style="238" customWidth="1" outlineLevel="1"/>
    <col min="14" max="14" width="9.7109375" style="238" customWidth="1" outlineLevel="1"/>
    <col min="15" max="16" width="9.140625" style="238" customWidth="1" outlineLevel="1"/>
    <col min="17" max="17" width="2.42578125" style="238" customWidth="1" outlineLevel="1"/>
    <col min="18" max="18" width="9.7109375" style="238" bestFit="1" customWidth="1"/>
    <col min="19" max="19" width="7.42578125" style="238" customWidth="1"/>
    <col min="20" max="20" width="9.140625" style="238"/>
    <col min="21" max="21" width="2.42578125" style="238" customWidth="1"/>
    <col min="22" max="22" width="9.7109375" style="238" bestFit="1" customWidth="1"/>
    <col min="23" max="23" width="7.42578125" style="238" customWidth="1"/>
    <col min="24" max="24" width="9.140625" style="238"/>
    <col min="25" max="25" width="2.42578125" style="238" customWidth="1"/>
    <col min="26" max="26" width="9.7109375" style="238" bestFit="1" customWidth="1"/>
    <col min="27" max="27" width="7.42578125" style="238" customWidth="1"/>
    <col min="28" max="28" width="9.140625" style="238"/>
    <col min="29" max="29" width="2.42578125" style="238" hidden="1" customWidth="1"/>
    <col min="30" max="30" width="9.7109375" style="238" hidden="1" customWidth="1"/>
    <col min="31" max="31" width="7.42578125" style="238" hidden="1" customWidth="1"/>
    <col min="32" max="32" width="0" style="238" hidden="1" customWidth="1"/>
    <col min="33" max="16384" width="9.140625" style="238"/>
  </cols>
  <sheetData>
    <row r="1" spans="1:35" ht="15.75" x14ac:dyDescent="0.25">
      <c r="A1" s="690" t="s">
        <v>550</v>
      </c>
      <c r="B1" s="690"/>
      <c r="C1" s="690"/>
      <c r="D1" s="690"/>
      <c r="E1" s="690"/>
      <c r="F1" s="690"/>
      <c r="G1" s="690"/>
      <c r="H1" s="690"/>
      <c r="I1" s="690"/>
      <c r="J1" s="690"/>
      <c r="K1" s="690"/>
      <c r="L1" s="690"/>
      <c r="M1" s="690"/>
      <c r="N1" s="690"/>
      <c r="O1" s="690"/>
      <c r="P1" s="690"/>
      <c r="Q1" s="690"/>
      <c r="R1" s="690"/>
      <c r="S1" s="690"/>
      <c r="T1" s="690"/>
      <c r="U1" s="690"/>
      <c r="V1" s="690"/>
      <c r="W1" s="690"/>
      <c r="X1" s="690"/>
      <c r="Y1" s="690"/>
      <c r="Z1" s="690"/>
      <c r="AA1" s="690"/>
      <c r="AB1" s="690"/>
      <c r="AC1" s="690"/>
      <c r="AD1" s="690"/>
      <c r="AE1" s="690"/>
      <c r="AF1" s="690"/>
    </row>
    <row r="2" spans="1:35" ht="15.75" x14ac:dyDescent="0.25">
      <c r="A2" s="691"/>
      <c r="B2" s="691"/>
      <c r="C2" s="691"/>
      <c r="D2" s="691"/>
      <c r="E2" s="691"/>
      <c r="F2" s="691"/>
      <c r="G2" s="691"/>
      <c r="H2" s="691"/>
      <c r="I2" s="691"/>
      <c r="J2" s="691"/>
      <c r="K2" s="691"/>
      <c r="L2" s="691"/>
      <c r="M2" s="691"/>
      <c r="N2" s="698"/>
      <c r="O2" s="691"/>
      <c r="P2" s="691"/>
      <c r="Q2" s="691"/>
      <c r="R2" s="691"/>
      <c r="S2" s="691"/>
      <c r="T2" s="691"/>
      <c r="U2" s="691"/>
      <c r="V2" s="691"/>
      <c r="W2" s="691"/>
      <c r="X2" s="691"/>
      <c r="Y2" s="691"/>
      <c r="Z2" s="691"/>
      <c r="AA2" s="691"/>
      <c r="AB2" s="691"/>
      <c r="AC2" s="691"/>
      <c r="AD2" s="691"/>
      <c r="AE2" s="691"/>
      <c r="AF2" s="691"/>
    </row>
    <row r="3" spans="1:35" x14ac:dyDescent="0.2">
      <c r="A3" s="1399" t="s">
        <v>552</v>
      </c>
      <c r="B3" s="1399"/>
      <c r="C3" s="1399"/>
      <c r="D3" s="1399"/>
      <c r="E3" s="1399"/>
      <c r="F3" s="1399"/>
      <c r="G3" s="1399"/>
      <c r="H3" s="1399"/>
      <c r="I3" s="1399"/>
      <c r="J3" s="1399"/>
      <c r="K3" s="1399"/>
      <c r="L3" s="1399"/>
      <c r="M3" s="1399"/>
      <c r="N3" s="1399"/>
      <c r="O3" s="1399"/>
      <c r="P3" s="1399"/>
      <c r="Q3" s="1399"/>
      <c r="R3" s="1399"/>
      <c r="S3" s="1399"/>
      <c r="T3" s="1399"/>
      <c r="U3" s="1399"/>
      <c r="V3" s="707"/>
      <c r="W3" s="707"/>
      <c r="X3" s="707"/>
      <c r="Y3" s="1091"/>
      <c r="Z3" s="707"/>
      <c r="AA3" s="707"/>
      <c r="AB3" s="707"/>
      <c r="AC3" s="1091"/>
      <c r="AD3" s="707"/>
      <c r="AE3" s="707"/>
      <c r="AF3" s="707"/>
    </row>
    <row r="4" spans="1:35" ht="20.25" customHeight="1" x14ac:dyDescent="0.2">
      <c r="A4" s="241" t="s">
        <v>551</v>
      </c>
      <c r="B4" s="686">
        <v>2011</v>
      </c>
      <c r="C4" s="686"/>
      <c r="D4" s="686"/>
      <c r="E4" s="686"/>
      <c r="F4" s="241">
        <v>2012</v>
      </c>
      <c r="G4" s="241"/>
      <c r="H4" s="684"/>
      <c r="I4" s="241"/>
      <c r="J4" s="1399">
        <v>2013</v>
      </c>
      <c r="K4" s="1399"/>
      <c r="L4" s="682"/>
      <c r="M4" s="682"/>
      <c r="N4" s="1398">
        <v>2014</v>
      </c>
      <c r="O4" s="1398"/>
      <c r="P4" s="682"/>
      <c r="Q4" s="241"/>
      <c r="R4" s="1398">
        <v>2015</v>
      </c>
      <c r="S4" s="1398"/>
      <c r="T4" s="682"/>
      <c r="U4" s="241"/>
      <c r="V4" s="1398">
        <v>2016</v>
      </c>
      <c r="W4" s="1398"/>
      <c r="X4" s="682"/>
      <c r="Y4" s="241"/>
      <c r="Z4" s="1398">
        <v>2017</v>
      </c>
      <c r="AA4" s="1398"/>
      <c r="AB4" s="682"/>
      <c r="AC4" s="241"/>
      <c r="AD4" s="1398">
        <v>2018</v>
      </c>
      <c r="AE4" s="1398"/>
      <c r="AF4" s="682"/>
    </row>
    <row r="6" spans="1:35" x14ac:dyDescent="0.2">
      <c r="A6" s="239" t="s">
        <v>92</v>
      </c>
      <c r="B6" s="694">
        <f>B30+B38+B46+B55</f>
        <v>2259</v>
      </c>
      <c r="C6" s="249"/>
      <c r="D6" s="697">
        <v>6.5</v>
      </c>
      <c r="E6" s="249"/>
      <c r="F6" s="694">
        <f>F30+F38+F46+F55</f>
        <v>2576</v>
      </c>
      <c r="G6" s="519">
        <f>IFERROR((F6/B6-1)*100,"-")</f>
        <v>14.032757857459055</v>
      </c>
      <c r="H6" s="697">
        <v>8.5</v>
      </c>
      <c r="I6" s="239"/>
      <c r="J6" s="694">
        <f>J30+J38+J46+J55</f>
        <v>2713</v>
      </c>
      <c r="K6" s="519">
        <f>IFERROR((J6/F6-1)*100,"-")</f>
        <v>5.3183229813664523</v>
      </c>
      <c r="L6" s="697">
        <v>2.7</v>
      </c>
      <c r="M6" s="689"/>
      <c r="N6" s="694">
        <f>N30+N38+N46+N54</f>
        <v>2910</v>
      </c>
      <c r="O6" s="519">
        <f>IFERROR((N6/J6-1)*100,"-")</f>
        <v>7.2613343162550636</v>
      </c>
      <c r="P6" s="697">
        <v>3.9</v>
      </c>
      <c r="Q6" s="689"/>
      <c r="R6" s="694">
        <f>R30+R38+R46+R54</f>
        <v>3191</v>
      </c>
      <c r="S6" s="519">
        <f>IFERROR((R6/N6-1)*100,"-")</f>
        <v>9.6563573883161613</v>
      </c>
      <c r="T6" s="697">
        <v>4.4000000000000004</v>
      </c>
      <c r="U6" s="689"/>
      <c r="V6" s="694">
        <f>V30+V38+V46+V54+V62</f>
        <v>3192</v>
      </c>
      <c r="W6" s="519">
        <f>IFERROR((V6/R6-1)*100,"-")</f>
        <v>3.1338138514569458E-2</v>
      </c>
      <c r="X6" s="697">
        <v>-1.7</v>
      </c>
      <c r="Y6" s="689"/>
      <c r="Z6" s="1337">
        <f>Z30+Z38+Z46+Z54</f>
        <v>3308</v>
      </c>
      <c r="AA6" s="519">
        <f>IFERROR((Z6/V6-1)*100,"-")</f>
        <v>3.6340852130325896</v>
      </c>
      <c r="AB6" s="697">
        <v>-0.8</v>
      </c>
      <c r="AC6" s="689"/>
      <c r="AD6" s="694"/>
      <c r="AE6" s="519">
        <f>IFERROR((AD6/Z6-1)*100,"-")</f>
        <v>-100</v>
      </c>
      <c r="AF6" s="697"/>
    </row>
    <row r="7" spans="1:35" x14ac:dyDescent="0.2">
      <c r="A7" s="239" t="s">
        <v>93</v>
      </c>
      <c r="B7" s="575">
        <f>B31+B39+B47+B55</f>
        <v>2818</v>
      </c>
      <c r="C7" s="249"/>
      <c r="D7" s="697">
        <v>7.3</v>
      </c>
      <c r="E7" s="249"/>
      <c r="F7" s="575">
        <f>F31+F39+F47+F55</f>
        <v>3063</v>
      </c>
      <c r="G7" s="519">
        <f>IFERROR((F7/B7-1)*100,"-")</f>
        <v>8.6941092973740197</v>
      </c>
      <c r="H7" s="697">
        <v>4.5</v>
      </c>
      <c r="I7" s="239"/>
      <c r="J7" s="575">
        <f>J31+J39+J47+J55</f>
        <v>3245</v>
      </c>
      <c r="K7" s="519">
        <f>IFERROR((J7/F7-1)*100,"-")</f>
        <v>5.9418870388507905</v>
      </c>
      <c r="L7" s="697">
        <v>4.4000000000000004</v>
      </c>
      <c r="M7" s="692"/>
      <c r="N7" s="575">
        <f>N31+N39+N47+N55</f>
        <v>3438</v>
      </c>
      <c r="O7" s="519">
        <f>IFERROR((N7/J7-1)*100,"-")</f>
        <v>5.9476117103235637</v>
      </c>
      <c r="P7" s="697">
        <v>3.3</v>
      </c>
      <c r="Q7" s="692"/>
      <c r="R7" s="575">
        <f>R31+R39+R47+R55</f>
        <v>3775</v>
      </c>
      <c r="S7" s="519">
        <f>IFERROR((R7/N7-1)*100,"-")</f>
        <v>9.802210587550908</v>
      </c>
      <c r="T7" s="697">
        <v>4.9000000000000004</v>
      </c>
      <c r="U7" s="692"/>
      <c r="V7" s="575">
        <f>V31+V39+V47+V55</f>
        <v>3871</v>
      </c>
      <c r="W7" s="519">
        <f>IFERROR((V7/R7-1)*100,"-")</f>
        <v>2.5430463576158857</v>
      </c>
      <c r="X7" s="697">
        <v>-1.2</v>
      </c>
      <c r="Y7" s="692"/>
      <c r="Z7" s="1337">
        <f>Z31+Z39+Z47+Z55</f>
        <v>4029</v>
      </c>
      <c r="AA7" s="519">
        <f>IFERROR((Z7/V7-1)*100,"-")</f>
        <v>4.081632653061229</v>
      </c>
      <c r="AB7" s="697">
        <v>1.7</v>
      </c>
      <c r="AC7" s="692"/>
      <c r="AD7" s="694"/>
      <c r="AE7" s="519">
        <f>IFERROR((AD7/Z7-1)*100,"-")</f>
        <v>-100</v>
      </c>
      <c r="AF7" s="697"/>
    </row>
    <row r="8" spans="1:35" x14ac:dyDescent="0.2">
      <c r="A8" s="239" t="s">
        <v>94</v>
      </c>
      <c r="B8" s="575">
        <f>B32+B40+B48+B56</f>
        <v>2350</v>
      </c>
      <c r="C8" s="249"/>
      <c r="D8" s="697">
        <v>7.9</v>
      </c>
      <c r="E8" s="249"/>
      <c r="F8" s="575">
        <f>F32+F40+F48+F56</f>
        <v>2657</v>
      </c>
      <c r="G8" s="519">
        <f>IFERROR((F8/B8-1)*100,"-")</f>
        <v>13.063829787234038</v>
      </c>
      <c r="H8" s="697">
        <v>10.7</v>
      </c>
      <c r="I8" s="239"/>
      <c r="J8" s="575">
        <f>J32+J40+J48+J56</f>
        <v>2749</v>
      </c>
      <c r="K8" s="519">
        <f>IFERROR((J8/F8-1)*100,"-")</f>
        <v>3.4625517500940894</v>
      </c>
      <c r="L8" s="697">
        <v>0.1</v>
      </c>
      <c r="M8" s="692"/>
      <c r="N8" s="575">
        <f>N32+N40+N48+N56</f>
        <v>2991</v>
      </c>
      <c r="O8" s="519">
        <f>IFERROR((N8/J8-1)*100,"-")</f>
        <v>8.8032011640596597</v>
      </c>
      <c r="P8" s="697">
        <v>3.9</v>
      </c>
      <c r="Q8" s="692"/>
      <c r="R8" s="575">
        <f>R32+R40+R48+R56</f>
        <v>3169</v>
      </c>
      <c r="S8" s="519">
        <f>IFERROR((R8/N8-1)*100,"-")</f>
        <v>5.95118689401537</v>
      </c>
      <c r="T8" s="697">
        <v>0.9</v>
      </c>
      <c r="U8" s="692"/>
      <c r="V8" s="575">
        <f>V32+V40+V48+V56</f>
        <v>3317</v>
      </c>
      <c r="W8" s="519">
        <f>IFERROR((V8/R8-1)*100,"-")</f>
        <v>4.6702429788576749</v>
      </c>
      <c r="X8" s="697">
        <v>2.4</v>
      </c>
      <c r="Y8" s="692"/>
      <c r="Z8" s="1337">
        <f>Z32+Z40+Z48+Z56</f>
        <v>3351</v>
      </c>
      <c r="AA8" s="519">
        <f>IFERROR((Z8/V8-1)*100,"-")</f>
        <v>1.0250226107928917</v>
      </c>
      <c r="AB8" s="697">
        <v>-0.9</v>
      </c>
      <c r="AC8" s="692"/>
      <c r="AD8" s="575"/>
      <c r="AE8" s="519"/>
      <c r="AF8" s="697"/>
    </row>
    <row r="9" spans="1:35" x14ac:dyDescent="0.2">
      <c r="A9" s="240" t="s">
        <v>95</v>
      </c>
      <c r="B9" s="242">
        <f>B33+B41+B49+B57</f>
        <v>3229</v>
      </c>
      <c r="C9" s="249"/>
      <c r="D9" s="697">
        <v>7.1</v>
      </c>
      <c r="E9" s="249"/>
      <c r="F9" s="242">
        <f>F33+F41+F49+F57</f>
        <v>3653</v>
      </c>
      <c r="G9" s="519">
        <f>IFERROR((F9/B9-1)*100,"-")</f>
        <v>13.131000309693409</v>
      </c>
      <c r="H9" s="697">
        <v>6.3</v>
      </c>
      <c r="I9" s="249"/>
      <c r="J9" s="242">
        <f>J33+J41+J49+J57</f>
        <v>3689</v>
      </c>
      <c r="K9" s="519">
        <f>IFERROR((J9/F9-1)*100,"-")</f>
        <v>0.98549137695045363</v>
      </c>
      <c r="L9" s="697">
        <v>2.6</v>
      </c>
      <c r="M9" s="695"/>
      <c r="N9" s="242">
        <f>N33+N41+N49+N57</f>
        <v>4031</v>
      </c>
      <c r="O9" s="519">
        <f>IFERROR((N9/J9-1)*100,"-")</f>
        <v>9.2708050962320385</v>
      </c>
      <c r="P9" s="697">
        <v>4.7</v>
      </c>
      <c r="Q9" s="695"/>
      <c r="R9" s="242">
        <f>R33+R41+R49+R57</f>
        <v>4241</v>
      </c>
      <c r="S9" s="519">
        <f>IFERROR((R9/N9-1)*100,"-")</f>
        <v>5.2096254031257727</v>
      </c>
      <c r="T9" s="697">
        <v>1</v>
      </c>
      <c r="U9" s="695"/>
      <c r="V9" s="242">
        <f>V33+V41+V49+V57</f>
        <v>4323</v>
      </c>
      <c r="W9" s="519">
        <f>IFERROR((V9/R9-1)*100,"-")</f>
        <v>1.9335062485262844</v>
      </c>
      <c r="X9" s="697">
        <v>-0.9</v>
      </c>
      <c r="Y9" s="695"/>
      <c r="Z9" s="242">
        <f>Z33+Z41+Z49+Z57</f>
        <v>4710</v>
      </c>
      <c r="AA9" s="519">
        <f>IFERROR((Z9/V9-1)*100,"-")</f>
        <v>8.9521165857043616</v>
      </c>
      <c r="AB9" s="697">
        <v>2.6</v>
      </c>
      <c r="AC9" s="695"/>
      <c r="AD9" s="242"/>
      <c r="AE9" s="519"/>
      <c r="AF9" s="697"/>
    </row>
    <row r="10" spans="1:35" x14ac:dyDescent="0.2">
      <c r="A10" s="239" t="s">
        <v>87</v>
      </c>
      <c r="B10" s="687">
        <f>SUM(B6:B9)</f>
        <v>10656</v>
      </c>
      <c r="C10" s="249"/>
      <c r="D10" s="697">
        <v>7.2</v>
      </c>
      <c r="E10" s="249"/>
      <c r="F10" s="687">
        <f>SUM(F6:F9)</f>
        <v>11949</v>
      </c>
      <c r="G10" s="519">
        <f>IFERROR((F10/B10-1)*100,"-")</f>
        <v>12.134009009009006</v>
      </c>
      <c r="H10" s="697">
        <v>7.3</v>
      </c>
      <c r="I10" s="239"/>
      <c r="J10" s="687">
        <f>SUM(J6:J9)</f>
        <v>12396</v>
      </c>
      <c r="K10" s="519">
        <f>IFERROR((J10/F10-1)*100,"-")</f>
        <v>3.7408988199849391</v>
      </c>
      <c r="L10" s="697">
        <v>2.5</v>
      </c>
      <c r="M10" s="687"/>
      <c r="N10" s="687">
        <f>SUM(N6:N9)</f>
        <v>13370</v>
      </c>
      <c r="O10" s="519">
        <f>IFERROR((N10/J10-1)*100,"-")</f>
        <v>7.8573733462407258</v>
      </c>
      <c r="P10" s="697">
        <v>4</v>
      </c>
      <c r="Q10" s="687"/>
      <c r="R10" s="687">
        <f>R34+R42+R50+R58</f>
        <v>14376</v>
      </c>
      <c r="S10" s="519">
        <f>IFERROR((R10/N10-1)*100,"-")</f>
        <v>7.5243081525804056</v>
      </c>
      <c r="T10" s="697">
        <v>2.7</v>
      </c>
      <c r="U10" s="687"/>
      <c r="V10" s="687">
        <f>V34+V42+V50+V58</f>
        <v>14769</v>
      </c>
      <c r="W10" s="519">
        <f>IFERROR((V10/R10-1)*100,"-")</f>
        <v>2.7337228714524153</v>
      </c>
      <c r="X10" s="697">
        <v>0.4</v>
      </c>
      <c r="Y10" s="687"/>
      <c r="Z10" s="687">
        <f>Z34+Z42+Z50+Z58</f>
        <v>15398</v>
      </c>
      <c r="AA10" s="519">
        <f>IFERROR((Z10/V10-1)*100,"-")</f>
        <v>4.258920712302805</v>
      </c>
      <c r="AB10" s="697">
        <v>-0.8</v>
      </c>
      <c r="AC10" s="687"/>
      <c r="AD10" s="687"/>
      <c r="AE10" s="519"/>
      <c r="AF10" s="697"/>
    </row>
    <row r="12" spans="1:35" x14ac:dyDescent="0.2">
      <c r="A12" s="241" t="s">
        <v>543</v>
      </c>
      <c r="B12" s="686"/>
      <c r="C12" s="686"/>
      <c r="D12" s="686"/>
      <c r="E12" s="686"/>
      <c r="F12" s="1398">
        <f>F4</f>
        <v>2012</v>
      </c>
      <c r="G12" s="1398"/>
      <c r="H12" s="682"/>
      <c r="I12" s="241"/>
      <c r="J12" s="1398">
        <v>2013</v>
      </c>
      <c r="K12" s="1398"/>
      <c r="L12" s="682"/>
      <c r="M12" s="682"/>
      <c r="N12" s="1398">
        <v>2014</v>
      </c>
      <c r="O12" s="1398"/>
      <c r="P12" s="682"/>
      <c r="Q12" s="241"/>
      <c r="R12" s="1398">
        <v>2015</v>
      </c>
      <c r="S12" s="1398"/>
      <c r="T12" s="682"/>
      <c r="U12" s="241"/>
      <c r="V12" s="1398">
        <f>V4</f>
        <v>2016</v>
      </c>
      <c r="W12" s="1398"/>
      <c r="X12" s="682"/>
      <c r="Y12" s="241"/>
      <c r="Z12" s="1398">
        <f>Z4</f>
        <v>2017</v>
      </c>
      <c r="AA12" s="1398"/>
      <c r="AB12" s="682"/>
      <c r="AC12" s="241"/>
      <c r="AD12" s="1398">
        <f>AD4</f>
        <v>2018</v>
      </c>
      <c r="AE12" s="1398"/>
      <c r="AF12" s="682"/>
    </row>
    <row r="14" spans="1:35" x14ac:dyDescent="0.2">
      <c r="A14" s="239" t="s">
        <v>92</v>
      </c>
      <c r="B14" s="689">
        <v>1599</v>
      </c>
      <c r="C14" s="249"/>
      <c r="D14" s="697">
        <v>6.9</v>
      </c>
      <c r="E14" s="249"/>
      <c r="F14" s="689">
        <v>1716</v>
      </c>
      <c r="G14" s="519">
        <f>IFERROR((F14/B14-1)*100,"-")</f>
        <v>7.3170731707317138</v>
      </c>
      <c r="H14" s="697">
        <v>5.6</v>
      </c>
      <c r="I14" s="239"/>
      <c r="J14" s="689">
        <v>1717</v>
      </c>
      <c r="K14" s="519">
        <f>IFERROR((J14/F14-1)*100,"-")</f>
        <v>5.8275058275047975E-2</v>
      </c>
      <c r="L14" s="697">
        <v>0</v>
      </c>
      <c r="M14" s="689"/>
      <c r="N14" s="689">
        <v>1683</v>
      </c>
      <c r="O14" s="519">
        <f>IFERROR((N14/J14-1)*100,"-")</f>
        <v>-1.980198019801982</v>
      </c>
      <c r="P14" s="697">
        <v>-1.9</v>
      </c>
      <c r="Q14" s="689"/>
      <c r="R14" s="689">
        <v>1699</v>
      </c>
      <c r="S14" s="519">
        <f>IFERROR((R14/N14-1)*100,"-")</f>
        <v>0.95068330362448883</v>
      </c>
      <c r="T14" s="697">
        <v>0.5</v>
      </c>
      <c r="U14" s="689"/>
      <c r="V14" s="689">
        <v>1582</v>
      </c>
      <c r="W14" s="519">
        <f>IFERROR((V14/R14-1)*100,"-")</f>
        <v>-6.8864037669217222</v>
      </c>
      <c r="X14" s="697">
        <v>-7.7</v>
      </c>
      <c r="Y14" s="689"/>
      <c r="Z14" s="689">
        <v>1482</v>
      </c>
      <c r="AA14" s="519">
        <f>IFERROR((Z14/V14-1)*100,"-")</f>
        <v>-6.3211125158027848</v>
      </c>
      <c r="AB14" s="697">
        <v>-6.4</v>
      </c>
      <c r="AC14" s="689"/>
      <c r="AD14" s="689"/>
      <c r="AE14" s="519">
        <f>IFERROR((AD14/Z14-1)*100,"-")</f>
        <v>-100</v>
      </c>
      <c r="AF14" s="697"/>
      <c r="AG14" s="830">
        <f>X14+T14</f>
        <v>-7.2</v>
      </c>
      <c r="AH14" s="830">
        <f>AB14+X14</f>
        <v>-14.100000000000001</v>
      </c>
    </row>
    <row r="15" spans="1:35" x14ac:dyDescent="0.2">
      <c r="A15" s="239" t="s">
        <v>93</v>
      </c>
      <c r="B15" s="692">
        <v>2063</v>
      </c>
      <c r="C15" s="249"/>
      <c r="D15" s="697">
        <v>6</v>
      </c>
      <c r="E15" s="249"/>
      <c r="F15" s="692">
        <v>2114</v>
      </c>
      <c r="G15" s="519">
        <f>IFERROR((F15/B15-1)*100,"-")</f>
        <v>2.4721279689772224</v>
      </c>
      <c r="H15" s="697">
        <v>1.1000000000000001</v>
      </c>
      <c r="I15" s="239"/>
      <c r="J15" s="692">
        <v>2098</v>
      </c>
      <c r="K15" s="519">
        <f>IFERROR((J15/F15-1)*100,"-")</f>
        <v>-0.75685903500473106</v>
      </c>
      <c r="L15" s="697">
        <v>-0.7</v>
      </c>
      <c r="M15" s="692"/>
      <c r="N15" s="692">
        <v>2074</v>
      </c>
      <c r="O15" s="519">
        <f>IFERROR((N15/J15-1)*100,"-")</f>
        <v>-1.1439466158245981</v>
      </c>
      <c r="P15" s="697">
        <v>-1.2</v>
      </c>
      <c r="Q15" s="692"/>
      <c r="R15" s="692">
        <v>2097</v>
      </c>
      <c r="S15" s="519">
        <f>IFERROR((R15/N15-1)*100,"-")</f>
        <v>1.1089681774349103</v>
      </c>
      <c r="T15" s="697">
        <v>0.8</v>
      </c>
      <c r="U15" s="692"/>
      <c r="V15" s="692">
        <v>1978</v>
      </c>
      <c r="W15" s="519">
        <f>IFERROR((V15/R15-1)*100,"-")</f>
        <v>-5.6747734859322829</v>
      </c>
      <c r="X15" s="697">
        <v>-6.5</v>
      </c>
      <c r="Y15" s="692"/>
      <c r="Z15" s="692">
        <v>1877</v>
      </c>
      <c r="AA15" s="519">
        <f>IFERROR((Z15/V15-1)*100,"-")</f>
        <v>-5.1061678463094058</v>
      </c>
      <c r="AB15" s="697">
        <v>-4.4000000000000004</v>
      </c>
      <c r="AC15" s="692"/>
      <c r="AD15" s="692"/>
      <c r="AE15" s="519">
        <f>IFERROR((AD15/Z15-1)*100,"-")</f>
        <v>-100</v>
      </c>
      <c r="AF15" s="697"/>
      <c r="AG15" s="830">
        <f>X15+T15</f>
        <v>-5.7</v>
      </c>
    </row>
    <row r="16" spans="1:35" x14ac:dyDescent="0.2">
      <c r="A16" s="239" t="s">
        <v>94</v>
      </c>
      <c r="B16" s="692">
        <v>1595</v>
      </c>
      <c r="C16" s="249"/>
      <c r="D16" s="697">
        <v>6.2</v>
      </c>
      <c r="E16" s="249"/>
      <c r="F16" s="692">
        <v>1730</v>
      </c>
      <c r="G16" s="519">
        <f>IFERROR((F16/B16-1)*100,"-")</f>
        <v>8.4639498432601989</v>
      </c>
      <c r="H16" s="697">
        <v>8.1</v>
      </c>
      <c r="I16" s="239"/>
      <c r="J16" s="692">
        <v>1657</v>
      </c>
      <c r="K16" s="519">
        <f>IFERROR((J16/F16-1)*100,"-")</f>
        <v>-4.2196531791907521</v>
      </c>
      <c r="L16" s="697">
        <v>-4.2</v>
      </c>
      <c r="M16" s="692"/>
      <c r="N16" s="692">
        <v>1666</v>
      </c>
      <c r="O16" s="519">
        <f>IFERROR((N16/J16-1)*100,"-")</f>
        <v>0.54315027157514351</v>
      </c>
      <c r="P16" s="697">
        <v>0</v>
      </c>
      <c r="Q16" s="692"/>
      <c r="R16" s="692">
        <v>1634</v>
      </c>
      <c r="S16" s="519">
        <f>IFERROR((R16/N16-1)*100,"-")</f>
        <v>-1.9207683073229287</v>
      </c>
      <c r="T16" s="697">
        <v>-2.2000000000000002</v>
      </c>
      <c r="U16" s="692"/>
      <c r="V16" s="692">
        <v>1568</v>
      </c>
      <c r="W16" s="519">
        <f>IFERROR((V16/R16-1)*100,"-")</f>
        <v>-4.0391676866585069</v>
      </c>
      <c r="X16" s="697">
        <v>-4.5</v>
      </c>
      <c r="Y16" s="692"/>
      <c r="Z16" s="692">
        <v>1488</v>
      </c>
      <c r="AA16" s="519">
        <f>IFERROR((Z16/V16-1)*100,"-")</f>
        <v>-5.1020408163265252</v>
      </c>
      <c r="AB16" s="697">
        <v>-4.9000000000000004</v>
      </c>
      <c r="AC16" s="692"/>
      <c r="AD16" s="692"/>
      <c r="AE16" s="519"/>
      <c r="AF16" s="697"/>
      <c r="AG16" s="830">
        <f>X16+T16</f>
        <v>-6.7</v>
      </c>
      <c r="AI16" s="840"/>
    </row>
    <row r="17" spans="1:37" x14ac:dyDescent="0.2">
      <c r="A17" s="240" t="s">
        <v>95</v>
      </c>
      <c r="B17" s="242">
        <f>B18-SUM(B14:B16)</f>
        <v>2256</v>
      </c>
      <c r="C17" s="249"/>
      <c r="D17" s="697"/>
      <c r="E17" s="249"/>
      <c r="F17" s="242">
        <f>F18-SUM(F14:F16)</f>
        <v>2404</v>
      </c>
      <c r="G17" s="519">
        <f>IFERROR((F17/B17-1)*100,"-")</f>
        <v>6.560283687943258</v>
      </c>
      <c r="H17" s="697">
        <v>2.2000000000000002</v>
      </c>
      <c r="I17" s="239"/>
      <c r="J17" s="693">
        <v>2233</v>
      </c>
      <c r="K17" s="519">
        <f>IFERROR((J17/F17-1)*100,"-")</f>
        <v>-7.1131447587354462</v>
      </c>
      <c r="L17" s="697">
        <v>-3.3</v>
      </c>
      <c r="M17" s="695"/>
      <c r="N17" s="693">
        <v>2259</v>
      </c>
      <c r="O17" s="519">
        <f>IFERROR((N17/J17-1)*100,"-")</f>
        <v>1.1643528884908161</v>
      </c>
      <c r="P17" s="697">
        <v>0.5</v>
      </c>
      <c r="Q17" s="695"/>
      <c r="R17" s="693">
        <v>2203</v>
      </c>
      <c r="S17" s="519">
        <f>IFERROR((R17/N17-1)*100,"-")</f>
        <v>-2.4789729969012853</v>
      </c>
      <c r="T17" s="697">
        <v>-3.2</v>
      </c>
      <c r="U17" s="695"/>
      <c r="V17" s="693">
        <v>2058</v>
      </c>
      <c r="W17" s="519">
        <f>IFERROR((V17/R17-1)*100,"-")</f>
        <v>-6.581933726736267</v>
      </c>
      <c r="X17" s="697">
        <v>-6.8</v>
      </c>
      <c r="Y17" s="695"/>
      <c r="Z17" s="693">
        <v>2094</v>
      </c>
      <c r="AA17" s="519">
        <f>IFERROR((Z17/V17-1)*100,"-")</f>
        <v>1.7492711370262315</v>
      </c>
      <c r="AB17" s="697">
        <v>-1.7</v>
      </c>
      <c r="AC17" s="695"/>
      <c r="AD17" s="693"/>
      <c r="AE17" s="519"/>
      <c r="AF17" s="697"/>
      <c r="AG17" s="830">
        <f>X17+T17</f>
        <v>-10</v>
      </c>
    </row>
    <row r="18" spans="1:37" x14ac:dyDescent="0.2">
      <c r="A18" s="239" t="s">
        <v>87</v>
      </c>
      <c r="B18" s="688">
        <v>7513</v>
      </c>
      <c r="C18" s="249"/>
      <c r="D18" s="697">
        <v>6</v>
      </c>
      <c r="E18" s="249"/>
      <c r="F18" s="688">
        <v>7964</v>
      </c>
      <c r="G18" s="519">
        <f>IFERROR((F18/B18-1)*100,"-")</f>
        <v>6.0029282576866683</v>
      </c>
      <c r="H18" s="697">
        <v>3.9</v>
      </c>
      <c r="I18" s="239"/>
      <c r="J18" s="687">
        <f>SUM(J14:J17)</f>
        <v>7705</v>
      </c>
      <c r="K18" s="519">
        <f>IFERROR((J18/F18-1)*100,"-")</f>
        <v>-3.252134605725765</v>
      </c>
      <c r="L18" s="697">
        <v>-2.1</v>
      </c>
      <c r="M18" s="687"/>
      <c r="N18" s="687">
        <f>SUM(N14:N17)</f>
        <v>7682</v>
      </c>
      <c r="O18" s="519">
        <f>IFERROR((N18/J18-1)*100,"-")</f>
        <v>-0.29850746268657025</v>
      </c>
      <c r="P18" s="697">
        <v>-0.5</v>
      </c>
      <c r="Q18" s="687"/>
      <c r="R18" s="687">
        <f>SUM(R14:R17)</f>
        <v>7633</v>
      </c>
      <c r="S18" s="519">
        <f>IFERROR((R18/N18-1)*100,"-")</f>
        <v>-0.63785472533194332</v>
      </c>
      <c r="T18" s="697">
        <v>-1.1000000000000001</v>
      </c>
      <c r="U18" s="687"/>
      <c r="V18" s="687">
        <f>SUM(V14:V17)</f>
        <v>7186</v>
      </c>
      <c r="W18" s="519">
        <f>IFERROR((V18/R18-1)*100,"-")</f>
        <v>-5.8561509236211169</v>
      </c>
      <c r="X18" s="697">
        <v>-6.4</v>
      </c>
      <c r="Y18" s="687"/>
      <c r="Z18" s="687">
        <f>SUM(Z14:Z17)</f>
        <v>6941</v>
      </c>
      <c r="AA18" s="519">
        <f>IFERROR((Z18/V18-1)*100,"-")</f>
        <v>-3.4094071806289983</v>
      </c>
      <c r="AB18" s="697">
        <v>-4.2</v>
      </c>
      <c r="AC18" s="687"/>
      <c r="AD18" s="687"/>
      <c r="AE18" s="519"/>
      <c r="AF18" s="697"/>
      <c r="AG18" s="238">
        <f>X18+T18</f>
        <v>-7.5</v>
      </c>
    </row>
    <row r="19" spans="1:37" x14ac:dyDescent="0.2">
      <c r="A19" s="239"/>
      <c r="B19" s="249"/>
      <c r="C19" s="249"/>
      <c r="D19" s="249"/>
      <c r="E19" s="249"/>
      <c r="F19" s="687"/>
      <c r="G19" s="687"/>
      <c r="H19" s="687"/>
      <c r="I19" s="239"/>
      <c r="J19" s="687"/>
      <c r="K19" s="687"/>
      <c r="L19" s="687"/>
      <c r="M19" s="687"/>
      <c r="N19" s="687"/>
      <c r="O19" s="687"/>
      <c r="P19" s="687"/>
      <c r="Q19" s="687"/>
      <c r="R19" s="687"/>
      <c r="S19" s="687"/>
      <c r="T19" s="687"/>
      <c r="U19" s="687"/>
      <c r="V19" s="687"/>
      <c r="W19" s="687"/>
      <c r="X19" s="687"/>
      <c r="Y19" s="687"/>
      <c r="Z19" s="687"/>
      <c r="AA19" s="687"/>
      <c r="AB19" s="687"/>
      <c r="AC19" s="687"/>
      <c r="AD19" s="687"/>
      <c r="AE19" s="687"/>
      <c r="AF19" s="687"/>
    </row>
    <row r="20" spans="1:37" x14ac:dyDescent="0.2">
      <c r="A20" s="241" t="s">
        <v>544</v>
      </c>
      <c r="B20" s="686"/>
      <c r="C20" s="686"/>
      <c r="D20" s="686"/>
      <c r="E20" s="686"/>
      <c r="F20" s="1398">
        <f>F4</f>
        <v>2012</v>
      </c>
      <c r="G20" s="1398"/>
      <c r="H20" s="682"/>
      <c r="I20" s="241"/>
      <c r="J20" s="1398">
        <v>2013</v>
      </c>
      <c r="K20" s="1398"/>
      <c r="L20" s="682"/>
      <c r="M20" s="682"/>
      <c r="N20" s="1398">
        <v>2014</v>
      </c>
      <c r="O20" s="1398"/>
      <c r="P20" s="682"/>
      <c r="Q20" s="241"/>
      <c r="R20" s="1398">
        <v>2015</v>
      </c>
      <c r="S20" s="1398"/>
      <c r="T20" s="682"/>
      <c r="U20" s="241"/>
      <c r="V20" s="1398">
        <f>V4</f>
        <v>2016</v>
      </c>
      <c r="W20" s="1398"/>
      <c r="X20" s="682"/>
      <c r="Y20" s="241"/>
      <c r="Z20" s="1398">
        <f>Z4</f>
        <v>2017</v>
      </c>
      <c r="AA20" s="1398"/>
      <c r="AB20" s="682"/>
      <c r="AC20" s="241"/>
      <c r="AD20" s="1398">
        <f>AD4</f>
        <v>2018</v>
      </c>
      <c r="AE20" s="1398"/>
      <c r="AF20" s="682"/>
    </row>
    <row r="22" spans="1:37" x14ac:dyDescent="0.2">
      <c r="A22" s="239" t="s">
        <v>92</v>
      </c>
      <c r="B22" s="689">
        <v>168</v>
      </c>
      <c r="C22" s="249"/>
      <c r="D22" s="697">
        <v>16.600000000000001</v>
      </c>
      <c r="E22" s="249"/>
      <c r="F22" s="689">
        <v>242</v>
      </c>
      <c r="G22" s="519">
        <f>IFERROR((F22/B22-1)*100,"-")</f>
        <v>44.047619047619044</v>
      </c>
      <c r="H22" s="697">
        <v>44.2</v>
      </c>
      <c r="I22" s="239"/>
      <c r="J22" s="689">
        <v>301</v>
      </c>
      <c r="K22" s="519">
        <f>IFERROR((J22/F22-1)*100,"-")</f>
        <v>24.380165289256194</v>
      </c>
      <c r="L22" s="697">
        <v>24.5</v>
      </c>
      <c r="M22" s="689"/>
      <c r="N22" s="689">
        <v>401</v>
      </c>
      <c r="O22" s="519">
        <f>IFERROR((N22/J22-1)*100,"-")</f>
        <v>33.222591362126238</v>
      </c>
      <c r="P22" s="697">
        <v>33</v>
      </c>
      <c r="Q22" s="689"/>
      <c r="R22" s="689">
        <v>480</v>
      </c>
      <c r="S22" s="519">
        <f>IFERROR((R22/N22-1)*100,"-")</f>
        <v>19.700748129675816</v>
      </c>
      <c r="T22" s="697">
        <v>19.8</v>
      </c>
      <c r="U22" s="689"/>
      <c r="V22" s="689">
        <v>495</v>
      </c>
      <c r="W22" s="519">
        <f>IFERROR((V22/R22-1)*100,"-")</f>
        <v>3.125</v>
      </c>
      <c r="X22" s="697">
        <v>3.1</v>
      </c>
      <c r="Y22" s="689"/>
      <c r="Z22" s="689">
        <v>548</v>
      </c>
      <c r="AA22" s="519">
        <f>IFERROR((Z22/V22-1)*100,"-")</f>
        <v>10.707070707070709</v>
      </c>
      <c r="AB22" s="697">
        <v>10.9</v>
      </c>
      <c r="AC22" s="689"/>
      <c r="AD22" s="689"/>
      <c r="AE22" s="519">
        <f>IFERROR((AD22/Z22-1)*100,"-")</f>
        <v>-100</v>
      </c>
      <c r="AF22" s="697"/>
      <c r="AG22" s="830">
        <f>X22+T22</f>
        <v>22.900000000000002</v>
      </c>
      <c r="AH22" s="830">
        <f>AB22+X22</f>
        <v>14</v>
      </c>
    </row>
    <row r="23" spans="1:37" x14ac:dyDescent="0.2">
      <c r="A23" s="239" t="s">
        <v>93</v>
      </c>
      <c r="B23" s="692">
        <v>222</v>
      </c>
      <c r="C23" s="249"/>
      <c r="D23" s="697">
        <v>29</v>
      </c>
      <c r="E23" s="249"/>
      <c r="F23" s="692">
        <v>309</v>
      </c>
      <c r="G23" s="519">
        <f>IFERROR((F23/B23-1)*100,"-")</f>
        <v>39.189189189189186</v>
      </c>
      <c r="H23" s="697">
        <v>39.700000000000003</v>
      </c>
      <c r="I23" s="239"/>
      <c r="J23" s="692">
        <v>425</v>
      </c>
      <c r="K23" s="519">
        <f>IFERROR((J23/F23-1)*100,"-")</f>
        <v>37.540453074433657</v>
      </c>
      <c r="L23" s="697">
        <v>37.200000000000003</v>
      </c>
      <c r="M23" s="692"/>
      <c r="N23" s="692">
        <v>519</v>
      </c>
      <c r="O23" s="519">
        <f>IFERROR((N23/J23-1)*100,"-")</f>
        <v>22.117647058823529</v>
      </c>
      <c r="P23" s="697">
        <v>22</v>
      </c>
      <c r="Q23" s="692"/>
      <c r="R23" s="692">
        <v>625</v>
      </c>
      <c r="S23" s="519">
        <f>IFERROR((R23/N23-1)*100,"-")</f>
        <v>20.423892100192688</v>
      </c>
      <c r="T23" s="697">
        <v>20.399999999999999</v>
      </c>
      <c r="U23" s="692"/>
      <c r="V23" s="692">
        <v>683</v>
      </c>
      <c r="W23" s="519">
        <f>IFERROR((V23/R23-1)*100,"-")</f>
        <v>9.2799999999999994</v>
      </c>
      <c r="X23" s="697">
        <v>9.4</v>
      </c>
      <c r="Y23" s="692"/>
      <c r="Z23" s="692">
        <v>819</v>
      </c>
      <c r="AA23" s="519">
        <f>IFERROR((Z23/V23-1)*100,"-")</f>
        <v>19.912152269399709</v>
      </c>
      <c r="AB23" s="697">
        <v>19.8</v>
      </c>
      <c r="AC23" s="692"/>
      <c r="AD23" s="692"/>
      <c r="AE23" s="519">
        <f>IFERROR((AD23/Z23-1)*100,"-")</f>
        <v>-100</v>
      </c>
      <c r="AF23" s="697"/>
      <c r="AG23" s="830">
        <f>X23+T23</f>
        <v>29.799999999999997</v>
      </c>
    </row>
    <row r="24" spans="1:37" x14ac:dyDescent="0.2">
      <c r="A24" s="239" t="s">
        <v>94</v>
      </c>
      <c r="B24" s="692">
        <v>178</v>
      </c>
      <c r="C24" s="249"/>
      <c r="D24" s="697">
        <v>33.299999999999997</v>
      </c>
      <c r="E24" s="249"/>
      <c r="F24" s="692">
        <v>248</v>
      </c>
      <c r="G24" s="519">
        <f>IFERROR((F24/B24-1)*100,"-")</f>
        <v>39.325842696629223</v>
      </c>
      <c r="H24" s="697">
        <v>38.299999999999997</v>
      </c>
      <c r="I24" s="239"/>
      <c r="J24" s="692">
        <v>305</v>
      </c>
      <c r="K24" s="519">
        <f>IFERROR((J24/F24-1)*100,"-")</f>
        <v>22.983870967741925</v>
      </c>
      <c r="L24" s="697">
        <v>23.2</v>
      </c>
      <c r="M24" s="692"/>
      <c r="N24" s="692">
        <v>371</v>
      </c>
      <c r="O24" s="519">
        <f>IFERROR((N24/J24-1)*100,"-")</f>
        <v>21.639344262295079</v>
      </c>
      <c r="P24" s="697">
        <v>21.8</v>
      </c>
      <c r="Q24" s="692"/>
      <c r="R24" s="692">
        <v>414</v>
      </c>
      <c r="S24" s="519">
        <f>IFERROR((R24/N24-1)*100,"-")</f>
        <v>11.590296495956864</v>
      </c>
      <c r="T24" s="697">
        <v>11.4</v>
      </c>
      <c r="U24" s="692"/>
      <c r="V24" s="692">
        <v>497</v>
      </c>
      <c r="W24" s="519">
        <f>IFERROR((V24/R24-1)*100,"-")</f>
        <v>20.048309178743963</v>
      </c>
      <c r="X24" s="697">
        <v>20.100000000000001</v>
      </c>
      <c r="Y24" s="692"/>
      <c r="Z24" s="692">
        <v>534</v>
      </c>
      <c r="AA24" s="519">
        <f>IFERROR((Z24/V24-1)*100,"-")</f>
        <v>7.444668008048283</v>
      </c>
      <c r="AB24" s="697">
        <v>7.5</v>
      </c>
      <c r="AC24" s="692"/>
      <c r="AD24" s="692"/>
      <c r="AE24" s="519"/>
      <c r="AF24" s="697"/>
      <c r="AG24" s="830">
        <f>X24+T24</f>
        <v>31.5</v>
      </c>
    </row>
    <row r="25" spans="1:37" x14ac:dyDescent="0.2">
      <c r="A25" s="240" t="s">
        <v>95</v>
      </c>
      <c r="B25" s="242">
        <f>B26-SUM(B22:B24)</f>
        <v>345</v>
      </c>
      <c r="C25" s="249"/>
      <c r="D25" s="697">
        <v>35</v>
      </c>
      <c r="E25" s="249"/>
      <c r="F25" s="242">
        <f>F26-SUM(F22:F24)</f>
        <v>470</v>
      </c>
      <c r="G25" s="519">
        <f>IFERROR((F25/B25-1)*100,"-")</f>
        <v>36.231884057971023</v>
      </c>
      <c r="H25" s="697">
        <v>31</v>
      </c>
      <c r="I25" s="239"/>
      <c r="J25" s="693">
        <v>591</v>
      </c>
      <c r="K25" s="519">
        <f>IFERROR((J25/F25-1)*100,"-")</f>
        <v>25.744680851063826</v>
      </c>
      <c r="L25" s="697">
        <v>30</v>
      </c>
      <c r="M25" s="695"/>
      <c r="N25" s="693">
        <v>705</v>
      </c>
      <c r="O25" s="519">
        <f>IFERROR((N25/J25-1)*100,"-")</f>
        <v>19.289340101522832</v>
      </c>
      <c r="P25" s="697">
        <v>19</v>
      </c>
      <c r="Q25" s="695"/>
      <c r="R25" s="693">
        <v>782</v>
      </c>
      <c r="S25" s="519">
        <f>IFERROR((R25/N25-1)*100,"-")</f>
        <v>10.921985815602842</v>
      </c>
      <c r="T25" s="697">
        <v>11</v>
      </c>
      <c r="U25" s="695"/>
      <c r="V25" s="693">
        <v>844</v>
      </c>
      <c r="W25" s="519">
        <f>IFERROR((V25/R25-1)*100,"-")</f>
        <v>7.9283887468030612</v>
      </c>
      <c r="X25" s="697">
        <v>8</v>
      </c>
      <c r="Y25" s="695"/>
      <c r="Z25" s="693">
        <v>986</v>
      </c>
      <c r="AA25" s="519">
        <f>IFERROR((Z25/V25-1)*100,"-")</f>
        <v>16.824644549763022</v>
      </c>
      <c r="AB25" s="697">
        <v>12.4</v>
      </c>
      <c r="AC25" s="695"/>
      <c r="AD25" s="693"/>
      <c r="AE25" s="519"/>
      <c r="AF25" s="697"/>
      <c r="AG25" s="830">
        <f>X25+T25</f>
        <v>19</v>
      </c>
      <c r="AJ25" s="700"/>
      <c r="AK25" s="700"/>
    </row>
    <row r="26" spans="1:37" x14ac:dyDescent="0.2">
      <c r="A26" s="239" t="s">
        <v>87</v>
      </c>
      <c r="B26" s="688">
        <v>913</v>
      </c>
      <c r="C26" s="249"/>
      <c r="D26" s="697">
        <v>29.5</v>
      </c>
      <c r="E26" s="249"/>
      <c r="F26" s="688">
        <v>1269</v>
      </c>
      <c r="G26" s="519">
        <f>IFERROR((F26/B26-1)*100,"-")</f>
        <v>38.992332968236589</v>
      </c>
      <c r="H26" s="697">
        <v>37.1</v>
      </c>
      <c r="I26" s="239"/>
      <c r="J26" s="687">
        <f>SUM(J22:J25)</f>
        <v>1622</v>
      </c>
      <c r="K26" s="519">
        <f>IFERROR((J26/F26-1)*100,"-")</f>
        <v>27.817178881008676</v>
      </c>
      <c r="L26" s="697">
        <v>30</v>
      </c>
      <c r="M26" s="687"/>
      <c r="N26" s="687">
        <f>SUM(N22:N25)</f>
        <v>1996</v>
      </c>
      <c r="O26" s="519">
        <f>IFERROR((N26/J26-1)*100,"-")</f>
        <v>23.057953144266328</v>
      </c>
      <c r="P26" s="697">
        <v>23</v>
      </c>
      <c r="Q26" s="687"/>
      <c r="R26" s="687">
        <f>SUM(R22:R25)</f>
        <v>2301</v>
      </c>
      <c r="S26" s="519">
        <f>IFERROR((R26/N26-1)*100,"-")</f>
        <v>15.280561122244496</v>
      </c>
      <c r="T26" s="697">
        <v>15</v>
      </c>
      <c r="U26" s="687"/>
      <c r="V26" s="687">
        <f>SUM(V22:V25)</f>
        <v>2519</v>
      </c>
      <c r="W26" s="519">
        <f>IFERROR((V26/R26-1)*100,"-")</f>
        <v>9.4741416775315113</v>
      </c>
      <c r="X26" s="697">
        <v>9.5</v>
      </c>
      <c r="Y26" s="687"/>
      <c r="Z26" s="687">
        <f>SUM(Z22:Z25)</f>
        <v>2887</v>
      </c>
      <c r="AA26" s="519">
        <f>IFERROR((Z26/V26-1)*100,"-")</f>
        <v>14.608971814211991</v>
      </c>
      <c r="AB26" s="697">
        <v>13.1</v>
      </c>
      <c r="AC26" s="687"/>
      <c r="AD26" s="687"/>
      <c r="AE26" s="519"/>
      <c r="AF26" s="697"/>
      <c r="AG26" s="238">
        <f>X26+T26</f>
        <v>24.5</v>
      </c>
      <c r="AJ26" s="701"/>
      <c r="AK26" s="701"/>
    </row>
    <row r="27" spans="1:37" ht="15" customHeight="1" x14ac:dyDescent="0.2">
      <c r="A27" s="239"/>
      <c r="B27" s="249"/>
      <c r="C27" s="249"/>
      <c r="D27" s="249"/>
      <c r="E27" s="249"/>
      <c r="F27" s="687"/>
      <c r="G27" s="687"/>
      <c r="H27" s="687"/>
      <c r="I27" s="239"/>
      <c r="J27" s="687"/>
      <c r="K27" s="687"/>
      <c r="L27" s="687"/>
      <c r="M27" s="687"/>
      <c r="N27" s="687"/>
      <c r="O27" s="687"/>
      <c r="P27" s="687"/>
      <c r="Q27" s="687"/>
      <c r="R27" s="687"/>
      <c r="S27" s="687"/>
      <c r="T27" s="687"/>
      <c r="U27" s="687"/>
      <c r="V27" s="687"/>
      <c r="W27" s="687"/>
      <c r="X27" s="687"/>
      <c r="Y27" s="687"/>
      <c r="Z27" s="687"/>
      <c r="AA27" s="687"/>
      <c r="AB27" s="687"/>
      <c r="AC27" s="687"/>
      <c r="AD27" s="687"/>
      <c r="AE27" s="687"/>
      <c r="AF27" s="687"/>
      <c r="AH27" s="974">
        <f>V25/V33</f>
        <v>0.29083390764989664</v>
      </c>
      <c r="AI27" s="974"/>
    </row>
    <row r="28" spans="1:37" x14ac:dyDescent="0.2">
      <c r="A28" s="241" t="s">
        <v>545</v>
      </c>
      <c r="B28" s="686"/>
      <c r="C28" s="686"/>
      <c r="D28" s="686"/>
      <c r="E28" s="686"/>
      <c r="F28" s="1398">
        <f>F4</f>
        <v>2012</v>
      </c>
      <c r="G28" s="1398"/>
      <c r="H28" s="682"/>
      <c r="I28" s="241"/>
      <c r="J28" s="1398">
        <v>2013</v>
      </c>
      <c r="K28" s="1398"/>
      <c r="L28" s="682"/>
      <c r="M28" s="682"/>
      <c r="N28" s="1398">
        <v>2014</v>
      </c>
      <c r="O28" s="1398"/>
      <c r="P28" s="682"/>
      <c r="Q28" s="241"/>
      <c r="R28" s="1398">
        <v>2015</v>
      </c>
      <c r="S28" s="1398"/>
      <c r="T28" s="682"/>
      <c r="U28" s="241"/>
      <c r="V28" s="1398">
        <f>V4</f>
        <v>2016</v>
      </c>
      <c r="W28" s="1398"/>
      <c r="X28" s="682"/>
      <c r="Y28" s="241"/>
      <c r="Z28" s="1398">
        <f>Z4</f>
        <v>2017</v>
      </c>
      <c r="AA28" s="1398"/>
      <c r="AB28" s="682"/>
      <c r="AC28" s="241"/>
      <c r="AD28" s="1398">
        <f>AD4</f>
        <v>2018</v>
      </c>
      <c r="AE28" s="1398"/>
      <c r="AF28" s="682"/>
      <c r="AH28" s="974">
        <f>V26/V34</f>
        <v>0.25955692941782588</v>
      </c>
    </row>
    <row r="30" spans="1:37" x14ac:dyDescent="0.2">
      <c r="A30" s="239" t="s">
        <v>92</v>
      </c>
      <c r="B30" s="689">
        <f>B22+B14</f>
        <v>1767</v>
      </c>
      <c r="C30" s="249"/>
      <c r="D30" s="697">
        <v>7.8</v>
      </c>
      <c r="E30" s="249"/>
      <c r="F30" s="694">
        <f>F22+F14</f>
        <v>1958</v>
      </c>
      <c r="G30" s="519">
        <f>IFERROR((F30/B30-1)*100,"-")</f>
        <v>10.809281267685344</v>
      </c>
      <c r="H30" s="697">
        <v>9.3000000000000007</v>
      </c>
      <c r="I30" s="239"/>
      <c r="J30" s="694">
        <f>J22+J14</f>
        <v>2018</v>
      </c>
      <c r="K30" s="519">
        <f>IFERROR((J30/F30-1)*100,"-")</f>
        <v>3.06435137895813</v>
      </c>
      <c r="L30" s="697">
        <v>3.1</v>
      </c>
      <c r="M30" s="694"/>
      <c r="N30" s="694">
        <f>N22+N14</f>
        <v>2084</v>
      </c>
      <c r="O30" s="519">
        <f>IFERROR((N30/J30-1)*100,"-")</f>
        <v>3.2705649157581673</v>
      </c>
      <c r="P30" s="697">
        <v>3.3</v>
      </c>
      <c r="Q30" s="694"/>
      <c r="R30" s="694">
        <f>R22+R14</f>
        <v>2179</v>
      </c>
      <c r="S30" s="519">
        <f>IFERROR((R30/N30-1)*100,"-")</f>
        <v>4.5585412667946246</v>
      </c>
      <c r="T30" s="697">
        <v>4.2</v>
      </c>
      <c r="U30" s="694"/>
      <c r="V30" s="694">
        <f>V22+V14</f>
        <v>2077</v>
      </c>
      <c r="W30" s="519">
        <f>IFERROR((V30/R30-1)*100,"-")</f>
        <v>-4.6810463515373986</v>
      </c>
      <c r="X30" s="697">
        <v>-5.4</v>
      </c>
      <c r="Y30" s="694"/>
      <c r="Z30" s="1338">
        <f>Z22+Z14</f>
        <v>2030</v>
      </c>
      <c r="AA30" s="519">
        <f>IFERROR((Z30/V30-1)*100,"-")</f>
        <v>-2.2628791526239755</v>
      </c>
      <c r="AB30" s="697">
        <v>-2.2999999999999998</v>
      </c>
      <c r="AC30" s="694"/>
      <c r="AD30" s="694"/>
      <c r="AE30" s="519">
        <f>IFERROR((AD30/Z30-1)*100,"-")</f>
        <v>-100</v>
      </c>
      <c r="AF30" s="697"/>
      <c r="AG30" s="830">
        <f>X30+T30</f>
        <v>-1.2000000000000002</v>
      </c>
      <c r="AH30" s="830">
        <f>AB30+X30</f>
        <v>-7.7</v>
      </c>
      <c r="AJ30" s="974"/>
      <c r="AK30" s="974"/>
    </row>
    <row r="31" spans="1:37" x14ac:dyDescent="0.2">
      <c r="A31" s="239" t="s">
        <v>93</v>
      </c>
      <c r="B31" s="692">
        <f>B23+B15</f>
        <v>2285</v>
      </c>
      <c r="C31" s="249"/>
      <c r="D31" s="697">
        <v>7.9</v>
      </c>
      <c r="E31" s="249"/>
      <c r="F31" s="575">
        <f>F23+F15</f>
        <v>2423</v>
      </c>
      <c r="G31" s="519">
        <f>IFERROR((F31/B31-1)*100,"-")</f>
        <v>6.0393873085339278</v>
      </c>
      <c r="H31" s="697">
        <v>4.9000000000000004</v>
      </c>
      <c r="I31" s="239"/>
      <c r="J31" s="575">
        <f>J23+J15</f>
        <v>2523</v>
      </c>
      <c r="K31" s="519">
        <f>IFERROR((J31/F31-1)*100,"-")</f>
        <v>4.1271151465125833</v>
      </c>
      <c r="L31" s="697">
        <v>4.2</v>
      </c>
      <c r="M31" s="575"/>
      <c r="N31" s="575">
        <f>N23+N15</f>
        <v>2593</v>
      </c>
      <c r="O31" s="519">
        <f>IFERROR((N31/J31-1)*100,"-")</f>
        <v>2.7744748315497336</v>
      </c>
      <c r="P31" s="697">
        <v>2.7</v>
      </c>
      <c r="Q31" s="575"/>
      <c r="R31" s="575">
        <f>R23+R15</f>
        <v>2722</v>
      </c>
      <c r="S31" s="519">
        <f>IFERROR((R31/N31-1)*100,"-")</f>
        <v>4.9749325106054787</v>
      </c>
      <c r="T31" s="697">
        <v>4.8</v>
      </c>
      <c r="U31" s="575"/>
      <c r="V31" s="575">
        <f>V23+V15</f>
        <v>2661</v>
      </c>
      <c r="W31" s="519">
        <f>IFERROR((V31/R31-1)*100,"-")</f>
        <v>-2.2409992652461463</v>
      </c>
      <c r="X31" s="697">
        <v>-2.8</v>
      </c>
      <c r="Y31" s="575"/>
      <c r="Z31" s="1338">
        <f>Z23+Z15</f>
        <v>2696</v>
      </c>
      <c r="AA31" s="519">
        <f>IFERROR((Z31/V31-1)*100,"-")</f>
        <v>1.3152950018789911</v>
      </c>
      <c r="AB31" s="697">
        <v>-2.2999999999999998</v>
      </c>
      <c r="AC31" s="575"/>
      <c r="AD31" s="694"/>
      <c r="AE31" s="519">
        <f>IFERROR((AD31/Z31-1)*100,"-")</f>
        <v>-100</v>
      </c>
      <c r="AF31" s="697"/>
      <c r="AG31" s="830">
        <f>X31+T31</f>
        <v>2</v>
      </c>
    </row>
    <row r="32" spans="1:37" x14ac:dyDescent="0.2">
      <c r="A32" s="239" t="s">
        <v>94</v>
      </c>
      <c r="B32" s="692">
        <f>B24+B16</f>
        <v>1773</v>
      </c>
      <c r="C32" s="249"/>
      <c r="D32" s="697">
        <v>8.5</v>
      </c>
      <c r="E32" s="249"/>
      <c r="F32" s="575">
        <f>F24+F16</f>
        <v>1978</v>
      </c>
      <c r="G32" s="519">
        <f>IFERROR((F32/B32-1)*100,"-")</f>
        <v>11.562323745064852</v>
      </c>
      <c r="H32" s="697">
        <v>11.2</v>
      </c>
      <c r="I32" s="239"/>
      <c r="J32" s="575">
        <f>J24+J16</f>
        <v>1962</v>
      </c>
      <c r="K32" s="519">
        <f>IFERROR((J32/F32-1)*100,"-")</f>
        <v>-0.80889787664307766</v>
      </c>
      <c r="L32" s="697">
        <v>-0.7</v>
      </c>
      <c r="M32" s="575"/>
      <c r="N32" s="575">
        <f>N24+N16</f>
        <v>2037</v>
      </c>
      <c r="O32" s="519">
        <f>IFERROR((N32/J32-1)*100,"-")</f>
        <v>3.8226299694189558</v>
      </c>
      <c r="P32" s="697">
        <v>3.4</v>
      </c>
      <c r="Q32" s="575"/>
      <c r="R32" s="575">
        <f>R24+R16</f>
        <v>2048</v>
      </c>
      <c r="S32" s="519">
        <f>IFERROR((R32/N32-1)*100,"-")</f>
        <v>0.54000981836033191</v>
      </c>
      <c r="T32" s="697">
        <v>0.3</v>
      </c>
      <c r="U32" s="575"/>
      <c r="V32" s="575">
        <f>V24+V16</f>
        <v>2065</v>
      </c>
      <c r="W32" s="519">
        <f>IFERROR((V32/R32-1)*100,"-")</f>
        <v>0.830078125</v>
      </c>
      <c r="X32" s="697">
        <v>0.5</v>
      </c>
      <c r="Y32" s="575"/>
      <c r="Z32" s="1338">
        <f>Z24+Z16</f>
        <v>2022</v>
      </c>
      <c r="AA32" s="519">
        <f>IFERROR((Z32/V32-1)*100,"-")</f>
        <v>-2.0823244552058084</v>
      </c>
      <c r="AB32" s="697">
        <v>-1.9</v>
      </c>
      <c r="AC32" s="575"/>
      <c r="AD32" s="575"/>
      <c r="AE32" s="519"/>
      <c r="AF32" s="697"/>
      <c r="AG32" s="830">
        <f>X32+T32</f>
        <v>0.8</v>
      </c>
    </row>
    <row r="33" spans="1:35" x14ac:dyDescent="0.2">
      <c r="A33" s="240" t="s">
        <v>95</v>
      </c>
      <c r="B33" s="242">
        <f>B25+B17</f>
        <v>2601</v>
      </c>
      <c r="C33" s="249"/>
      <c r="D33" s="697">
        <v>8.4</v>
      </c>
      <c r="E33" s="249"/>
      <c r="F33" s="242">
        <f>F25+F17</f>
        <v>2874</v>
      </c>
      <c r="G33" s="519">
        <f>IFERROR((F33/B33-1)*100,"-")</f>
        <v>10.495963091118799</v>
      </c>
      <c r="H33" s="697">
        <v>6.1</v>
      </c>
      <c r="I33" s="239"/>
      <c r="J33" s="242">
        <f>J25+J17</f>
        <v>2824</v>
      </c>
      <c r="K33" s="519">
        <f>IFERROR((J33/F33-1)*100,"-")</f>
        <v>-1.739735560194855</v>
      </c>
      <c r="L33" s="697">
        <v>2.2000000000000002</v>
      </c>
      <c r="M33" s="696"/>
      <c r="N33" s="242">
        <f>N25+N17</f>
        <v>2964</v>
      </c>
      <c r="O33" s="519">
        <f>IFERROR((N33/J33-1)*100,"-")</f>
        <v>4.9575070821529676</v>
      </c>
      <c r="P33" s="697">
        <v>4.5</v>
      </c>
      <c r="Q33" s="696"/>
      <c r="R33" s="242">
        <f>R25+R17</f>
        <v>2985</v>
      </c>
      <c r="S33" s="519">
        <f>IFERROR((R33/N33-1)*100,"-")</f>
        <v>0.70850202429149078</v>
      </c>
      <c r="T33" s="697">
        <v>0.2</v>
      </c>
      <c r="U33" s="696"/>
      <c r="V33" s="242">
        <f>V25+V17</f>
        <v>2902</v>
      </c>
      <c r="W33" s="519">
        <f>IFERROR((V33/R33-1)*100,"-")</f>
        <v>-2.7805695142378517</v>
      </c>
      <c r="X33" s="697">
        <v>-2.9</v>
      </c>
      <c r="Y33" s="696"/>
      <c r="Z33" s="1339">
        <f>Z25+Z17</f>
        <v>3080</v>
      </c>
      <c r="AA33" s="519">
        <f>IFERROR((Z33/V33-1)*100,"-")</f>
        <v>6.1337008959338357</v>
      </c>
      <c r="AB33" s="697">
        <v>2.4</v>
      </c>
      <c r="AC33" s="696"/>
      <c r="AD33" s="242"/>
      <c r="AE33" s="519"/>
      <c r="AF33" s="697"/>
      <c r="AG33" s="830">
        <f>X33+T33</f>
        <v>-2.6999999999999997</v>
      </c>
    </row>
    <row r="34" spans="1:35" x14ac:dyDescent="0.2">
      <c r="A34" s="239" t="s">
        <v>87</v>
      </c>
      <c r="B34" s="688">
        <f>SUM(B30:B33)</f>
        <v>8426</v>
      </c>
      <c r="C34" s="249"/>
      <c r="D34" s="697">
        <v>8.1999999999999993</v>
      </c>
      <c r="E34" s="249"/>
      <c r="F34" s="687">
        <f>SUM(F30:F33)</f>
        <v>9233</v>
      </c>
      <c r="G34" s="519">
        <f>IFERROR((F34/B34-1)*100,"-")</f>
        <v>9.5774982197958778</v>
      </c>
      <c r="H34" s="697">
        <v>7.5</v>
      </c>
      <c r="I34" s="239"/>
      <c r="J34" s="687">
        <f>SUM(J30:J33)</f>
        <v>9327</v>
      </c>
      <c r="K34" s="519">
        <f>IFERROR((J34/F34-1)*100,"-")</f>
        <v>1.0180872955702469</v>
      </c>
      <c r="L34" s="697">
        <v>2.2999999999999998</v>
      </c>
      <c r="M34" s="687"/>
      <c r="N34" s="687">
        <f>SUM(N30:N33)</f>
        <v>9678</v>
      </c>
      <c r="O34" s="519">
        <f>IFERROR((N34/J34-1)*100,"-")</f>
        <v>3.7632679318108764</v>
      </c>
      <c r="P34" s="697">
        <v>3.6</v>
      </c>
      <c r="Q34" s="687"/>
      <c r="R34" s="687">
        <f>SUM(R30:R33)</f>
        <v>9934</v>
      </c>
      <c r="S34" s="519">
        <f>IFERROR((R34/N34-1)*100,"-")</f>
        <v>2.6451746228559614</v>
      </c>
      <c r="T34" s="697">
        <v>2.2999999999999998</v>
      </c>
      <c r="U34" s="687"/>
      <c r="V34" s="687">
        <f>SUM(V30:V33)</f>
        <v>9705</v>
      </c>
      <c r="W34" s="519">
        <f>IFERROR((V34/R34-1)*100,"-")</f>
        <v>-2.3052144151399223</v>
      </c>
      <c r="X34" s="697">
        <v>-2.7</v>
      </c>
      <c r="Y34" s="687"/>
      <c r="Z34" s="687">
        <f>SUM(Z30:Z33)</f>
        <v>9828</v>
      </c>
      <c r="AA34" s="519">
        <f>IFERROR((Z34/V34-1)*100,"-")</f>
        <v>1.2673879443585889</v>
      </c>
      <c r="AB34" s="697">
        <v>0.4</v>
      </c>
      <c r="AC34" s="687"/>
      <c r="AD34" s="687"/>
      <c r="AE34" s="519"/>
      <c r="AF34" s="697"/>
      <c r="AG34" s="238">
        <f>X34+T34</f>
        <v>-0.40000000000000036</v>
      </c>
      <c r="AH34" s="1365">
        <f>Z26/Z34</f>
        <v>0.29375254375254373</v>
      </c>
    </row>
    <row r="35" spans="1:35" ht="15" customHeight="1" x14ac:dyDescent="0.2">
      <c r="A35" s="239"/>
      <c r="B35" s="249"/>
      <c r="C35" s="249"/>
      <c r="D35" s="249"/>
      <c r="E35" s="249"/>
      <c r="F35" s="687"/>
      <c r="G35" s="687"/>
      <c r="H35" s="687"/>
      <c r="I35" s="239"/>
      <c r="J35" s="687"/>
      <c r="K35" s="687"/>
      <c r="L35" s="687"/>
      <c r="M35" s="687"/>
      <c r="N35" s="687"/>
      <c r="O35" s="687"/>
      <c r="P35" s="687"/>
      <c r="Q35" s="687"/>
      <c r="R35" s="687"/>
      <c r="S35" s="687"/>
      <c r="T35" s="687"/>
      <c r="U35" s="687"/>
      <c r="V35" s="687"/>
      <c r="W35" s="687"/>
      <c r="X35" s="687"/>
      <c r="Y35" s="687"/>
      <c r="Z35" s="687"/>
      <c r="AA35" s="687"/>
      <c r="AB35" s="687"/>
      <c r="AC35" s="687"/>
      <c r="AD35" s="687"/>
      <c r="AE35" s="687"/>
      <c r="AF35" s="687"/>
    </row>
    <row r="36" spans="1:35" x14ac:dyDescent="0.2">
      <c r="A36" s="241" t="s">
        <v>546</v>
      </c>
      <c r="B36" s="686"/>
      <c r="C36" s="686"/>
      <c r="D36" s="686"/>
      <c r="E36" s="686"/>
      <c r="F36" s="1398">
        <f>F4</f>
        <v>2012</v>
      </c>
      <c r="G36" s="1398"/>
      <c r="H36" s="682"/>
      <c r="I36" s="241"/>
      <c r="J36" s="1398">
        <v>2013</v>
      </c>
      <c r="K36" s="1398"/>
      <c r="L36" s="682"/>
      <c r="M36" s="682"/>
      <c r="N36" s="1398">
        <v>2014</v>
      </c>
      <c r="O36" s="1398"/>
      <c r="P36" s="682"/>
      <c r="Q36" s="241"/>
      <c r="R36" s="1398">
        <v>2015</v>
      </c>
      <c r="S36" s="1398"/>
      <c r="T36" s="682"/>
      <c r="U36" s="241"/>
      <c r="V36" s="1398">
        <f>V4</f>
        <v>2016</v>
      </c>
      <c r="W36" s="1398"/>
      <c r="X36" s="682"/>
      <c r="Y36" s="241"/>
      <c r="Z36" s="1398">
        <f>Z4</f>
        <v>2017</v>
      </c>
      <c r="AA36" s="1398"/>
      <c r="AB36" s="682"/>
      <c r="AC36" s="241"/>
      <c r="AD36" s="1398">
        <f>AD4</f>
        <v>2018</v>
      </c>
      <c r="AE36" s="1398"/>
      <c r="AF36" s="682"/>
    </row>
    <row r="37" spans="1:35" x14ac:dyDescent="0.2">
      <c r="AH37" s="687"/>
    </row>
    <row r="38" spans="1:35" x14ac:dyDescent="0.2">
      <c r="A38" s="239" t="s">
        <v>92</v>
      </c>
      <c r="B38" s="689">
        <v>466</v>
      </c>
      <c r="C38" s="249"/>
      <c r="D38" s="697">
        <v>1.2</v>
      </c>
      <c r="E38" s="249"/>
      <c r="F38" s="689">
        <v>557</v>
      </c>
      <c r="G38" s="519">
        <f>IFERROR((F38/B38-1)*100,"-")</f>
        <v>19.527896995708161</v>
      </c>
      <c r="H38" s="697">
        <v>6.8</v>
      </c>
      <c r="I38" s="239"/>
      <c r="J38" s="689">
        <v>616</v>
      </c>
      <c r="K38" s="519">
        <f>IFERROR((J38/F38-1)*100,"-")</f>
        <v>10.592459605026928</v>
      </c>
      <c r="L38" s="697">
        <v>0.8</v>
      </c>
      <c r="M38" s="689"/>
      <c r="N38" s="689">
        <v>741</v>
      </c>
      <c r="O38" s="519">
        <f>IFERROR((N38/J38-1)*100,"-")</f>
        <v>20.292207792207794</v>
      </c>
      <c r="P38" s="1366">
        <v>6.4</v>
      </c>
      <c r="Q38" s="689"/>
      <c r="R38" s="689">
        <v>831</v>
      </c>
      <c r="S38" s="519">
        <f>IFERROR((R38/N38-1)*100,"-")</f>
        <v>12.145748987854255</v>
      </c>
      <c r="T38" s="697">
        <v>-0.2</v>
      </c>
      <c r="U38" s="689"/>
      <c r="V38" s="689">
        <v>894</v>
      </c>
      <c r="W38" s="519">
        <f>IFERROR((V38/R38-1)*100,"-")</f>
        <v>7.5812274368231014</v>
      </c>
      <c r="X38" s="697">
        <v>-0.8</v>
      </c>
      <c r="Y38" s="689"/>
      <c r="Z38" s="689">
        <v>954</v>
      </c>
      <c r="AA38" s="519">
        <f>IFERROR((Z38/V38-1)*100,"-")</f>
        <v>6.7114093959731447</v>
      </c>
      <c r="AB38" s="697">
        <v>-0.9</v>
      </c>
      <c r="AC38" s="689"/>
      <c r="AD38" s="689"/>
      <c r="AE38" s="519">
        <f>IFERROR((AD38/Z38-1)*100,"-")</f>
        <v>-100</v>
      </c>
      <c r="AF38" s="697"/>
      <c r="AG38" s="830">
        <f>X38+T38</f>
        <v>-1</v>
      </c>
      <c r="AH38" s="830">
        <f>AB38+X38</f>
        <v>-1.7000000000000002</v>
      </c>
    </row>
    <row r="39" spans="1:35" x14ac:dyDescent="0.2">
      <c r="A39" s="239" t="s">
        <v>93</v>
      </c>
      <c r="B39" s="692">
        <v>484</v>
      </c>
      <c r="C39" s="249"/>
      <c r="D39" s="697">
        <v>4.8</v>
      </c>
      <c r="E39" s="249"/>
      <c r="F39" s="692">
        <v>577</v>
      </c>
      <c r="G39" s="519">
        <f>IFERROR((F39/B39-1)*100,"-")</f>
        <v>19.214876033057848</v>
      </c>
      <c r="H39" s="697">
        <v>7.7</v>
      </c>
      <c r="I39" s="239"/>
      <c r="J39" s="692">
        <v>645</v>
      </c>
      <c r="K39" s="519">
        <f>IFERROR((J39/F39-1)*100,"-")</f>
        <v>11.785095320623906</v>
      </c>
      <c r="L39" s="697">
        <v>2.4</v>
      </c>
      <c r="M39" s="692"/>
      <c r="N39" s="692">
        <v>759</v>
      </c>
      <c r="O39" s="519">
        <f>IFERROR((N39/J39-1)*100,"-")</f>
        <v>17.674418604651155</v>
      </c>
      <c r="P39" s="1366">
        <v>4</v>
      </c>
      <c r="Q39" s="692"/>
      <c r="R39" s="692">
        <v>857</v>
      </c>
      <c r="S39" s="519">
        <f>IFERROR((R39/N39-1)*100,"-")</f>
        <v>12.911725955204222</v>
      </c>
      <c r="T39" s="1366">
        <v>1.7</v>
      </c>
      <c r="U39" s="692"/>
      <c r="V39" s="692">
        <v>926</v>
      </c>
      <c r="W39" s="519">
        <f>IFERROR((V39/R39-1)*100,"-")</f>
        <v>8.0513418903150438</v>
      </c>
      <c r="X39" s="1366">
        <v>1.1000000000000001</v>
      </c>
      <c r="Y39" s="692"/>
      <c r="Z39" s="692">
        <v>990</v>
      </c>
      <c r="AA39" s="519">
        <f>IFERROR((Z39/V39-1)*100,"-")</f>
        <v>6.9114470842332576</v>
      </c>
      <c r="AB39" s="697">
        <v>-1</v>
      </c>
      <c r="AC39" s="692"/>
      <c r="AD39" s="692"/>
      <c r="AE39" s="519">
        <f>IFERROR((AD39/Z39-1)*100,"-")</f>
        <v>-100</v>
      </c>
      <c r="AF39" s="697"/>
      <c r="AG39" s="830">
        <f>X39+T39</f>
        <v>2.8</v>
      </c>
    </row>
    <row r="40" spans="1:35" x14ac:dyDescent="0.2">
      <c r="A40" s="239" t="s">
        <v>94</v>
      </c>
      <c r="B40" s="692">
        <v>528</v>
      </c>
      <c r="C40" s="249"/>
      <c r="D40" s="697">
        <v>6.8</v>
      </c>
      <c r="E40" s="249"/>
      <c r="F40" s="692">
        <v>613</v>
      </c>
      <c r="G40" s="519">
        <f>IFERROR((F40/B40-1)*100,"-")</f>
        <v>16.098484848484841</v>
      </c>
      <c r="H40" s="697">
        <v>8.1</v>
      </c>
      <c r="I40" s="239"/>
      <c r="J40" s="692">
        <v>709</v>
      </c>
      <c r="K40" s="519">
        <f>IFERROR((J40/F40-1)*100,"-")</f>
        <v>15.660685154975539</v>
      </c>
      <c r="L40" s="697">
        <v>3.7</v>
      </c>
      <c r="M40" s="692"/>
      <c r="N40" s="692">
        <v>816</v>
      </c>
      <c r="O40" s="519">
        <f>IFERROR((N40/J40-1)*100,"-")</f>
        <v>15.091678420310295</v>
      </c>
      <c r="P40" s="1366">
        <v>1.7</v>
      </c>
      <c r="Q40" s="692"/>
      <c r="R40" s="692">
        <v>885</v>
      </c>
      <c r="S40" s="519">
        <f>IFERROR((R40/N40-1)*100,"-")</f>
        <v>8.4558823529411686</v>
      </c>
      <c r="T40" s="697">
        <v>-2.2000000000000002</v>
      </c>
      <c r="U40" s="692"/>
      <c r="V40" s="692">
        <v>958</v>
      </c>
      <c r="W40" s="519">
        <f>IFERROR((V40/R40-1)*100,"-")</f>
        <v>8.2485875706214795</v>
      </c>
      <c r="X40" s="1366">
        <v>0.9</v>
      </c>
      <c r="Y40" s="692"/>
      <c r="Z40" s="692">
        <v>966</v>
      </c>
      <c r="AA40" s="519">
        <f>IFERROR((Z40/V40-1)*100,"-")</f>
        <v>0.83507306889352151</v>
      </c>
      <c r="AB40" s="697">
        <v>-5</v>
      </c>
      <c r="AC40" s="692"/>
      <c r="AD40" s="692"/>
      <c r="AE40" s="519"/>
      <c r="AF40" s="697"/>
      <c r="AG40" s="830">
        <f>X40+T40</f>
        <v>-1.3000000000000003</v>
      </c>
      <c r="AI40" s="1094">
        <f>AB40-AB41</f>
        <v>-4.0999999999999996</v>
      </c>
    </row>
    <row r="41" spans="1:35" x14ac:dyDescent="0.2">
      <c r="A41" s="240" t="s">
        <v>95</v>
      </c>
      <c r="B41" s="242">
        <f>B42-SUM(B38:B40)</f>
        <v>567</v>
      </c>
      <c r="C41" s="249"/>
      <c r="D41" s="697">
        <v>2.2000000000000002</v>
      </c>
      <c r="E41" s="249"/>
      <c r="F41" s="242">
        <f>F42-SUM(F38:F40)</f>
        <v>698</v>
      </c>
      <c r="G41" s="519">
        <f>IFERROR((F41/B41-1)*100,"-")</f>
        <v>23.104056437389776</v>
      </c>
      <c r="H41" s="697">
        <v>7.1</v>
      </c>
      <c r="I41" s="239"/>
      <c r="J41" s="693">
        <v>768</v>
      </c>
      <c r="K41" s="519">
        <f>IFERROR((J41/F41-1)*100,"-")</f>
        <v>10.028653295128942</v>
      </c>
      <c r="L41" s="697">
        <v>3.6</v>
      </c>
      <c r="M41" s="695"/>
      <c r="N41" s="693">
        <v>899</v>
      </c>
      <c r="O41" s="519">
        <f>IFERROR((N41/J41-1)*100,"-")</f>
        <v>17.057291666666675</v>
      </c>
      <c r="P41" s="1366">
        <v>3.2</v>
      </c>
      <c r="Q41" s="695"/>
      <c r="R41" s="693">
        <v>960</v>
      </c>
      <c r="S41" s="519">
        <f>IFERROR((R41/N41-1)*100,"-")</f>
        <v>6.7853170189098977</v>
      </c>
      <c r="T41" s="697">
        <v>-3</v>
      </c>
      <c r="U41" s="695"/>
      <c r="V41" s="693">
        <v>1032</v>
      </c>
      <c r="W41" s="519">
        <f>IFERROR((V41/R41-1)*100,"-")</f>
        <v>7.4999999999999956</v>
      </c>
      <c r="X41" s="697">
        <v>-0.5</v>
      </c>
      <c r="Y41" s="695"/>
      <c r="Z41" s="693">
        <v>1149</v>
      </c>
      <c r="AA41" s="519">
        <f>IFERROR((Z41/V41-1)*100,"-")</f>
        <v>11.337209302325579</v>
      </c>
      <c r="AB41" s="697">
        <v>-0.9</v>
      </c>
      <c r="AC41" s="695"/>
      <c r="AD41" s="693"/>
      <c r="AE41" s="519"/>
      <c r="AF41" s="697"/>
      <c r="AG41" s="830">
        <f>X41+T41</f>
        <v>-3.5</v>
      </c>
    </row>
    <row r="42" spans="1:35" x14ac:dyDescent="0.2">
      <c r="A42" s="239" t="s">
        <v>87</v>
      </c>
      <c r="B42" s="688">
        <v>2045</v>
      </c>
      <c r="C42" s="249"/>
      <c r="D42" s="697">
        <v>3.7</v>
      </c>
      <c r="E42" s="249"/>
      <c r="F42" s="688">
        <v>2445</v>
      </c>
      <c r="G42" s="519">
        <f>IFERROR((F42/B42-1)*100,"-")</f>
        <v>19.559902200488999</v>
      </c>
      <c r="H42" s="697">
        <v>7.4</v>
      </c>
      <c r="I42" s="239"/>
      <c r="J42" s="687">
        <f>SUM(J38:J41)</f>
        <v>2738</v>
      </c>
      <c r="K42" s="519">
        <f>IFERROR((J42/F42-1)*100,"-")</f>
        <v>11.983640081799596</v>
      </c>
      <c r="L42" s="697">
        <v>2.7</v>
      </c>
      <c r="M42" s="687"/>
      <c r="N42" s="687">
        <f>SUM(N38:N41)</f>
        <v>3215</v>
      </c>
      <c r="O42" s="519">
        <f>IFERROR((N42/J42-1)*100,"-")</f>
        <v>17.421475529583642</v>
      </c>
      <c r="P42" s="697">
        <v>3.8</v>
      </c>
      <c r="Q42" s="687"/>
      <c r="R42" s="687">
        <f>SUM(R38:R41)</f>
        <v>3533</v>
      </c>
      <c r="S42" s="519">
        <f>IFERROR((R42/N42-1)*100,"-")</f>
        <v>9.8911353032659299</v>
      </c>
      <c r="T42" s="697">
        <v>-1</v>
      </c>
      <c r="U42" s="687"/>
      <c r="V42" s="687">
        <f>SUM(V38:V41)</f>
        <v>3810</v>
      </c>
      <c r="W42" s="519">
        <f>IFERROR((V42/R42-1)*100,"-")</f>
        <v>7.8403622983300281</v>
      </c>
      <c r="X42" s="697">
        <v>0.2</v>
      </c>
      <c r="Y42" s="687"/>
      <c r="Z42" s="687">
        <f>SUM(Z38:Z41)</f>
        <v>4059</v>
      </c>
      <c r="AA42" s="519">
        <f>IFERROR((Z42/V42-1)*100,"-")</f>
        <v>6.5354330708661479</v>
      </c>
      <c r="AB42" s="697">
        <v>-1.9</v>
      </c>
      <c r="AC42" s="687"/>
      <c r="AD42" s="687"/>
      <c r="AE42" s="519"/>
      <c r="AF42" s="697"/>
      <c r="AG42" s="238">
        <f>X42+T42</f>
        <v>-0.8</v>
      </c>
    </row>
    <row r="43" spans="1:35" x14ac:dyDescent="0.2">
      <c r="A43" s="239"/>
      <c r="B43" s="249"/>
      <c r="C43" s="249"/>
      <c r="D43" s="249"/>
      <c r="E43" s="249"/>
      <c r="F43" s="687"/>
      <c r="G43" s="687"/>
      <c r="H43" s="687"/>
      <c r="I43" s="239"/>
      <c r="J43" s="687"/>
      <c r="K43" s="687"/>
      <c r="L43" s="687"/>
      <c r="M43" s="687"/>
      <c r="N43" s="687"/>
      <c r="O43" s="687"/>
      <c r="P43" s="687"/>
      <c r="Q43" s="687"/>
      <c r="R43" s="687"/>
      <c r="S43" s="687"/>
      <c r="T43" s="687"/>
      <c r="U43" s="687"/>
      <c r="V43" s="687"/>
      <c r="W43" s="687"/>
      <c r="X43" s="687"/>
      <c r="Y43" s="687"/>
      <c r="Z43" s="687"/>
      <c r="AA43" s="687"/>
      <c r="AB43" s="687"/>
      <c r="AC43" s="687"/>
      <c r="AD43" s="687"/>
      <c r="AE43" s="687"/>
      <c r="AF43" s="687"/>
    </row>
    <row r="44" spans="1:35" x14ac:dyDescent="0.2">
      <c r="A44" s="241" t="s">
        <v>547</v>
      </c>
      <c r="B44" s="686"/>
      <c r="C44" s="686"/>
      <c r="D44" s="686"/>
      <c r="E44" s="686"/>
      <c r="F44" s="1398">
        <f>F4</f>
        <v>2012</v>
      </c>
      <c r="G44" s="1398"/>
      <c r="H44" s="682"/>
      <c r="I44" s="241"/>
      <c r="J44" s="1398">
        <v>2013</v>
      </c>
      <c r="K44" s="1398"/>
      <c r="L44" s="682"/>
      <c r="M44" s="682"/>
      <c r="N44" s="1398">
        <v>2014</v>
      </c>
      <c r="O44" s="1398"/>
      <c r="P44" s="682"/>
      <c r="Q44" s="241"/>
      <c r="R44" s="1398">
        <v>2015</v>
      </c>
      <c r="S44" s="1398"/>
      <c r="T44" s="682"/>
      <c r="U44" s="241"/>
      <c r="V44" s="1398">
        <f>V4</f>
        <v>2016</v>
      </c>
      <c r="W44" s="1398"/>
      <c r="X44" s="682"/>
      <c r="Y44" s="241"/>
      <c r="Z44" s="1398">
        <f>Z4</f>
        <v>2017</v>
      </c>
      <c r="AA44" s="1398"/>
      <c r="AB44" s="682"/>
      <c r="AC44" s="241"/>
      <c r="AD44" s="1398">
        <f>AD4</f>
        <v>2018</v>
      </c>
      <c r="AE44" s="1398"/>
      <c r="AF44" s="682"/>
    </row>
    <row r="46" spans="1:35" x14ac:dyDescent="0.2">
      <c r="A46" s="239" t="s">
        <v>92</v>
      </c>
      <c r="B46" s="689">
        <v>26</v>
      </c>
      <c r="C46" s="249"/>
      <c r="D46" s="249"/>
      <c r="E46" s="249"/>
      <c r="F46" s="689">
        <v>61</v>
      </c>
      <c r="G46" s="519">
        <f>IFERROR((F46/B46-1)*100,"-")</f>
        <v>134.61538461538461</v>
      </c>
      <c r="H46" s="697"/>
      <c r="I46" s="239"/>
      <c r="J46" s="689">
        <v>79</v>
      </c>
      <c r="K46" s="519">
        <f>IFERROR((J46/F46-1)*100,"-")</f>
        <v>29.508196721311485</v>
      </c>
      <c r="L46" s="697">
        <v>34.5</v>
      </c>
      <c r="M46" s="689"/>
      <c r="N46" s="689">
        <v>78</v>
      </c>
      <c r="O46" s="519">
        <f>IFERROR((N46/J46-1)*100,"-")</f>
        <v>-1.2658227848101222</v>
      </c>
      <c r="P46" s="697">
        <v>10.3</v>
      </c>
      <c r="Q46" s="689"/>
      <c r="R46" s="689">
        <v>117</v>
      </c>
      <c r="S46" s="519">
        <f>IFERROR((R46/N46-1)*100,"-")</f>
        <v>50</v>
      </c>
      <c r="T46" s="697">
        <v>51.2</v>
      </c>
      <c r="U46" s="689"/>
      <c r="V46" s="689">
        <v>166</v>
      </c>
      <c r="W46" s="519">
        <f>IFERROR((V46/R46-1)*100,"-")</f>
        <v>41.880341880341888</v>
      </c>
      <c r="X46" s="697">
        <v>41.8</v>
      </c>
      <c r="Y46" s="689"/>
      <c r="Z46" s="689">
        <v>198</v>
      </c>
      <c r="AA46" s="519">
        <f>IFERROR((Z46/V46-1)*100,"-")</f>
        <v>19.277108433734934</v>
      </c>
      <c r="AB46" s="697">
        <v>19.100000000000001</v>
      </c>
      <c r="AC46" s="689"/>
      <c r="AD46" s="689"/>
      <c r="AE46" s="519">
        <f>IFERROR((AD46/Z46-1)*100,"-")</f>
        <v>-100</v>
      </c>
      <c r="AF46" s="697"/>
      <c r="AG46" s="830">
        <f>X46+T46</f>
        <v>93</v>
      </c>
      <c r="AH46" s="830">
        <f>AB46+X46</f>
        <v>60.9</v>
      </c>
    </row>
    <row r="47" spans="1:35" x14ac:dyDescent="0.2">
      <c r="A47" s="239" t="s">
        <v>93</v>
      </c>
      <c r="B47" s="692">
        <v>49</v>
      </c>
      <c r="C47" s="249"/>
      <c r="D47" s="249"/>
      <c r="E47" s="249"/>
      <c r="F47" s="692">
        <v>63</v>
      </c>
      <c r="G47" s="519">
        <f>IFERROR((F47/B47-1)*100,"-")</f>
        <v>28.57142857142858</v>
      </c>
      <c r="H47" s="697"/>
      <c r="I47" s="239"/>
      <c r="J47" s="692">
        <v>77</v>
      </c>
      <c r="K47" s="519">
        <f>IFERROR((J47/F47-1)*100,"-")</f>
        <v>22.222222222222232</v>
      </c>
      <c r="L47" s="697">
        <v>23.1</v>
      </c>
      <c r="M47" s="692"/>
      <c r="N47" s="692">
        <v>78</v>
      </c>
      <c r="O47" s="519">
        <f>IFERROR((N47/J47-1)*100,"-")</f>
        <v>1.298701298701288</v>
      </c>
      <c r="P47" s="697">
        <v>14.9</v>
      </c>
      <c r="Q47" s="692"/>
      <c r="R47" s="692">
        <v>117</v>
      </c>
      <c r="S47" s="519">
        <f>IFERROR((R47/N47-1)*100,"-")</f>
        <v>50</v>
      </c>
      <c r="T47" s="697">
        <v>49.6</v>
      </c>
      <c r="U47" s="692"/>
      <c r="V47" s="692">
        <v>157</v>
      </c>
      <c r="W47" s="519">
        <f>IFERROR((V47/R47-1)*100,"-")</f>
        <v>34.18803418803418</v>
      </c>
      <c r="X47" s="697">
        <v>34.700000000000003</v>
      </c>
      <c r="Y47" s="692"/>
      <c r="Z47" s="692">
        <v>199</v>
      </c>
      <c r="AA47" s="519">
        <f>IFERROR((Z47/V47-1)*100,"-")</f>
        <v>26.751592356687894</v>
      </c>
      <c r="AB47" s="697">
        <v>26.7</v>
      </c>
      <c r="AC47" s="692"/>
      <c r="AD47" s="692"/>
      <c r="AE47" s="519">
        <f>IFERROR((AD47/Z47-1)*100,"-")</f>
        <v>-100</v>
      </c>
      <c r="AF47" s="697"/>
      <c r="AG47" s="830">
        <f>X47+T47</f>
        <v>84.300000000000011</v>
      </c>
    </row>
    <row r="48" spans="1:35" x14ac:dyDescent="0.2">
      <c r="A48" s="239" t="s">
        <v>94</v>
      </c>
      <c r="B48" s="692">
        <v>49</v>
      </c>
      <c r="C48" s="249"/>
      <c r="D48" s="249"/>
      <c r="E48" s="249"/>
      <c r="F48" s="692">
        <v>66</v>
      </c>
      <c r="G48" s="519">
        <f>IFERROR((F48/B48-1)*100,"-")</f>
        <v>34.6938775510204</v>
      </c>
      <c r="H48" s="697"/>
      <c r="I48" s="239"/>
      <c r="J48" s="692">
        <v>69</v>
      </c>
      <c r="K48" s="519">
        <f>IFERROR((J48/F48-1)*100,"-")</f>
        <v>4.5454545454545414</v>
      </c>
      <c r="L48" s="697">
        <v>22.3</v>
      </c>
      <c r="M48" s="692"/>
      <c r="N48" s="692">
        <v>93</v>
      </c>
      <c r="O48" s="519">
        <f>IFERROR((N48/J48-1)*100,"-")</f>
        <v>34.782608695652172</v>
      </c>
      <c r="P48" s="697">
        <v>33.799999999999997</v>
      </c>
      <c r="Q48" s="692"/>
      <c r="R48" s="692">
        <v>129</v>
      </c>
      <c r="S48" s="519">
        <f>IFERROR((R48/N48-1)*100,"-")</f>
        <v>38.709677419354847</v>
      </c>
      <c r="T48" s="697">
        <v>38.799999999999997</v>
      </c>
      <c r="U48" s="692"/>
      <c r="V48" s="692">
        <v>159</v>
      </c>
      <c r="W48" s="519">
        <f>IFERROR((V48/R48-1)*100,"-")</f>
        <v>23.255813953488371</v>
      </c>
      <c r="X48" s="697">
        <v>23.2</v>
      </c>
      <c r="Y48" s="692"/>
      <c r="Z48" s="692">
        <v>212</v>
      </c>
      <c r="AA48" s="519">
        <f>IFERROR((Z48/V48-1)*100,"-")</f>
        <v>33.333333333333329</v>
      </c>
      <c r="AB48" s="697">
        <v>33.6</v>
      </c>
      <c r="AC48" s="692"/>
      <c r="AD48" s="692"/>
      <c r="AE48" s="519"/>
      <c r="AF48" s="697"/>
      <c r="AG48" s="830">
        <f>X48+T48</f>
        <v>62</v>
      </c>
      <c r="AI48" s="1094"/>
    </row>
    <row r="49" spans="1:34" x14ac:dyDescent="0.2">
      <c r="A49" s="240" t="s">
        <v>95</v>
      </c>
      <c r="B49" s="242">
        <f>B50-SUM(B46:B48)</f>
        <v>61</v>
      </c>
      <c r="C49" s="249"/>
      <c r="D49" s="249"/>
      <c r="E49" s="249"/>
      <c r="F49" s="242">
        <f>F50-SUM(F46:F48)</f>
        <v>81</v>
      </c>
      <c r="G49" s="519">
        <f>IFERROR((F49/B49-1)*100,"-")</f>
        <v>32.78688524590163</v>
      </c>
      <c r="H49" s="697"/>
      <c r="I49" s="239"/>
      <c r="J49" s="693">
        <v>88</v>
      </c>
      <c r="K49" s="519">
        <f>IFERROR((J49/F49-1)*100,"-")</f>
        <v>8.6419753086419693</v>
      </c>
      <c r="L49" s="697">
        <v>30</v>
      </c>
      <c r="M49" s="695"/>
      <c r="N49" s="693">
        <v>112</v>
      </c>
      <c r="O49" s="519">
        <f>IFERROR((N49/J49-1)*100,"-")</f>
        <v>27.27272727272727</v>
      </c>
      <c r="P49" s="697">
        <v>28</v>
      </c>
      <c r="Q49" s="695"/>
      <c r="R49" s="693">
        <v>169</v>
      </c>
      <c r="S49" s="519">
        <f>IFERROR((R49/N49-1)*100,"-")</f>
        <v>50.892857142857139</v>
      </c>
      <c r="T49" s="697">
        <v>50</v>
      </c>
      <c r="U49" s="695"/>
      <c r="V49" s="693">
        <v>218</v>
      </c>
      <c r="W49" s="519">
        <f>IFERROR((V49/R49-1)*100,"-")</f>
        <v>28.994082840236679</v>
      </c>
      <c r="X49" s="697">
        <v>29.2</v>
      </c>
      <c r="Y49" s="695"/>
      <c r="Z49" s="693">
        <v>288</v>
      </c>
      <c r="AA49" s="519">
        <f>IFERROR((Z49/V49-1)*100,"-")</f>
        <v>32.11009174311927</v>
      </c>
      <c r="AB49" s="697">
        <v>23.7</v>
      </c>
      <c r="AC49" s="695"/>
      <c r="AD49" s="693"/>
      <c r="AE49" s="519"/>
      <c r="AF49" s="697"/>
      <c r="AG49" s="830">
        <f>X49+T49</f>
        <v>79.2</v>
      </c>
    </row>
    <row r="50" spans="1:34" x14ac:dyDescent="0.2">
      <c r="A50" s="239" t="s">
        <v>87</v>
      </c>
      <c r="B50" s="688">
        <v>185</v>
      </c>
      <c r="C50" s="249"/>
      <c r="D50" s="249"/>
      <c r="E50" s="249"/>
      <c r="F50" s="688">
        <v>271</v>
      </c>
      <c r="G50" s="519">
        <f>IFERROR((F50/B50-1)*100,"-")</f>
        <v>46.486486486486477</v>
      </c>
      <c r="H50" s="697"/>
      <c r="I50" s="239"/>
      <c r="J50" s="687">
        <f>SUM(J46:J49)</f>
        <v>313</v>
      </c>
      <c r="K50" s="519">
        <f>IFERROR((J50/F50-1)*100,"-")</f>
        <v>15.498154981549806</v>
      </c>
      <c r="L50" s="697">
        <v>27</v>
      </c>
      <c r="M50" s="687"/>
      <c r="N50" s="687">
        <f>SUM(N46:N49)</f>
        <v>361</v>
      </c>
      <c r="O50" s="519">
        <f>IFERROR((N50/J50-1)*100,"-")</f>
        <v>15.335463258785943</v>
      </c>
      <c r="P50" s="697">
        <v>22</v>
      </c>
      <c r="Q50" s="687"/>
      <c r="R50" s="687">
        <f>SUM(R46:R49)</f>
        <v>532</v>
      </c>
      <c r="S50" s="519">
        <f>IFERROR((R50/N50-1)*100,"-")</f>
        <v>47.368421052631568</v>
      </c>
      <c r="T50" s="697">
        <v>47</v>
      </c>
      <c r="U50" s="687"/>
      <c r="V50" s="687">
        <f>SUM(V46:V49)</f>
        <v>700</v>
      </c>
      <c r="W50" s="519">
        <f>IFERROR((V50/R50-1)*100,"-")</f>
        <v>31.578947368421062</v>
      </c>
      <c r="X50" s="697">
        <v>31.7</v>
      </c>
      <c r="Y50" s="687"/>
      <c r="Z50" s="687">
        <f>SUM(Z46:Z49)</f>
        <v>897</v>
      </c>
      <c r="AA50" s="519">
        <f>IFERROR((Z50/V50-1)*100,"-")</f>
        <v>28.142857142857135</v>
      </c>
      <c r="AB50" s="697">
        <v>25.5</v>
      </c>
      <c r="AC50" s="687"/>
      <c r="AD50" s="687"/>
      <c r="AE50" s="519"/>
      <c r="AF50" s="697"/>
      <c r="AG50" s="238">
        <f>X50+T50</f>
        <v>78.7</v>
      </c>
    </row>
    <row r="51" spans="1:34" ht="13.5" customHeight="1" x14ac:dyDescent="0.2">
      <c r="A51" s="239"/>
      <c r="B51" s="249"/>
      <c r="C51" s="249"/>
      <c r="D51" s="249"/>
      <c r="E51" s="249"/>
      <c r="F51" s="687"/>
      <c r="G51" s="687"/>
      <c r="H51" s="687"/>
      <c r="I51" s="239"/>
      <c r="J51" s="687"/>
      <c r="K51" s="687"/>
      <c r="L51" s="687"/>
      <c r="M51" s="687"/>
      <c r="N51" s="687"/>
      <c r="O51" s="687"/>
      <c r="P51" s="687"/>
      <c r="Q51" s="687"/>
      <c r="R51" s="687"/>
      <c r="S51" s="687"/>
      <c r="T51" s="687"/>
      <c r="U51" s="687"/>
      <c r="V51" s="687"/>
      <c r="W51" s="687"/>
      <c r="X51" s="687"/>
      <c r="Y51" s="687"/>
      <c r="Z51" s="687"/>
      <c r="AA51" s="687"/>
      <c r="AB51" s="687">
        <v>3.7</v>
      </c>
      <c r="AC51" s="687"/>
      <c r="AD51" s="687"/>
      <c r="AE51" s="687"/>
      <c r="AF51" s="687"/>
    </row>
    <row r="52" spans="1:34" x14ac:dyDescent="0.2">
      <c r="A52" s="241" t="s">
        <v>548</v>
      </c>
      <c r="B52" s="686"/>
      <c r="C52" s="686"/>
      <c r="D52" s="686"/>
      <c r="E52" s="686"/>
      <c r="F52" s="1398">
        <f>F4</f>
        <v>2012</v>
      </c>
      <c r="G52" s="1398"/>
      <c r="H52" s="682"/>
      <c r="I52" s="241"/>
      <c r="J52" s="1398">
        <v>2013</v>
      </c>
      <c r="K52" s="1398"/>
      <c r="L52" s="682"/>
      <c r="M52" s="682"/>
      <c r="N52" s="1398">
        <v>2014</v>
      </c>
      <c r="O52" s="1398"/>
      <c r="P52" s="682"/>
      <c r="Q52" s="241"/>
      <c r="R52" s="1398">
        <v>2015</v>
      </c>
      <c r="S52" s="1398"/>
      <c r="T52" s="682"/>
      <c r="U52" s="241"/>
      <c r="V52" s="1398">
        <f>V4</f>
        <v>2016</v>
      </c>
      <c r="W52" s="1398"/>
      <c r="X52" s="682"/>
      <c r="Y52" s="241"/>
      <c r="Z52" s="1398">
        <f>Z4</f>
        <v>2017</v>
      </c>
      <c r="AA52" s="1398"/>
      <c r="AB52" s="682"/>
      <c r="AC52" s="241"/>
      <c r="AD52" s="1398">
        <f>AD4</f>
        <v>2018</v>
      </c>
      <c r="AE52" s="1398"/>
      <c r="AF52" s="682"/>
    </row>
    <row r="54" spans="1:34" x14ac:dyDescent="0.2">
      <c r="A54" s="239" t="s">
        <v>92</v>
      </c>
      <c r="B54" s="249"/>
      <c r="C54" s="249"/>
      <c r="D54" s="249"/>
      <c r="E54" s="249"/>
      <c r="F54" s="692"/>
      <c r="G54" s="519" t="str">
        <f>IFERROR((F54/#REF!-1)*100,"-")</f>
        <v>-</v>
      </c>
      <c r="H54" s="697"/>
      <c r="I54" s="239"/>
      <c r="J54" s="692"/>
      <c r="K54" s="519" t="str">
        <f>IFERROR((J54/#REF!-1)*100,"-")</f>
        <v>-</v>
      </c>
      <c r="L54" s="697"/>
      <c r="M54" s="689"/>
      <c r="N54" s="689">
        <v>7</v>
      </c>
      <c r="O54" s="519" t="str">
        <f>IFERROR((N54/J54-1)*100,"-")</f>
        <v>-</v>
      </c>
      <c r="P54" s="697"/>
      <c r="Q54" s="689"/>
      <c r="R54" s="689">
        <v>64</v>
      </c>
      <c r="S54" s="519">
        <f>IFERROR((R54/N54-1)*100,"-")</f>
        <v>814.28571428571422</v>
      </c>
      <c r="T54" s="697"/>
      <c r="U54" s="689"/>
      <c r="V54" s="689">
        <v>121</v>
      </c>
      <c r="W54" s="519">
        <f>IFERROR((V54/R54-1)*100,"-")</f>
        <v>89.0625</v>
      </c>
      <c r="X54" s="697"/>
      <c r="Y54" s="689"/>
      <c r="Z54" s="689">
        <v>126</v>
      </c>
      <c r="AA54" s="519">
        <f>IFERROR((Z54/V54-1)*100,"-")</f>
        <v>4.1322314049586861</v>
      </c>
      <c r="AB54" s="697"/>
      <c r="AC54" s="689"/>
      <c r="AD54" s="689"/>
      <c r="AE54" s="519">
        <f>IFERROR((AD54/Z54-1)*100,"-")</f>
        <v>-100</v>
      </c>
      <c r="AF54" s="697"/>
      <c r="AG54" s="830">
        <f>X54+T54</f>
        <v>0</v>
      </c>
      <c r="AH54" s="830">
        <f>AB54+X54</f>
        <v>0</v>
      </c>
    </row>
    <row r="55" spans="1:34" x14ac:dyDescent="0.2">
      <c r="A55" s="239" t="s">
        <v>93</v>
      </c>
      <c r="B55" s="249"/>
      <c r="C55" s="249"/>
      <c r="D55" s="249"/>
      <c r="E55" s="249"/>
      <c r="F55" s="692"/>
      <c r="G55" s="519" t="str">
        <f>IFERROR((F55/#REF!-1)*100,"-")</f>
        <v>-</v>
      </c>
      <c r="H55" s="697"/>
      <c r="I55" s="239"/>
      <c r="J55" s="692"/>
      <c r="K55" s="519" t="str">
        <f>IFERROR((J55/#REF!-1)*100,"-")</f>
        <v>-</v>
      </c>
      <c r="L55" s="697"/>
      <c r="M55" s="692"/>
      <c r="N55" s="692">
        <v>8</v>
      </c>
      <c r="O55" s="519" t="str">
        <f>IFERROR((N55/J55-1)*100,"-")</f>
        <v>-</v>
      </c>
      <c r="P55" s="697"/>
      <c r="Q55" s="692"/>
      <c r="R55" s="692">
        <v>79</v>
      </c>
      <c r="S55" s="519">
        <f>IFERROR((R55/N55-1)*100,"-")</f>
        <v>887.5</v>
      </c>
      <c r="T55" s="697"/>
      <c r="U55" s="692"/>
      <c r="V55" s="692">
        <v>127</v>
      </c>
      <c r="W55" s="519">
        <f>IFERROR((V55/R55-1)*100,"-")</f>
        <v>60.759493670886066</v>
      </c>
      <c r="X55" s="697"/>
      <c r="Y55" s="692"/>
      <c r="Z55" s="692">
        <v>144</v>
      </c>
      <c r="AA55" s="519">
        <f>IFERROR((Z55/V55-1)*100,"-")</f>
        <v>13.385826771653541</v>
      </c>
      <c r="AB55" s="697"/>
      <c r="AC55" s="692"/>
      <c r="AD55" s="692"/>
      <c r="AE55" s="519">
        <f>IFERROR((AD55/Z55-1)*100,"-")</f>
        <v>-100</v>
      </c>
      <c r="AF55" s="697"/>
      <c r="AG55" s="830">
        <f>X55+T55</f>
        <v>0</v>
      </c>
    </row>
    <row r="56" spans="1:34" x14ac:dyDescent="0.2">
      <c r="A56" s="239" t="s">
        <v>94</v>
      </c>
      <c r="B56" s="249"/>
      <c r="C56" s="249"/>
      <c r="D56" s="249"/>
      <c r="E56" s="249"/>
      <c r="F56" s="692"/>
      <c r="G56" s="519" t="str">
        <f>IFERROR((F56/#REF!-1)*100,"-")</f>
        <v>-</v>
      </c>
      <c r="H56" s="697"/>
      <c r="I56" s="239"/>
      <c r="J56" s="692">
        <v>9</v>
      </c>
      <c r="K56" s="519" t="str">
        <f>IFERROR((J56/#REF!-1)*100,"-")</f>
        <v>-</v>
      </c>
      <c r="L56" s="697"/>
      <c r="M56" s="692"/>
      <c r="N56" s="692">
        <v>45</v>
      </c>
      <c r="O56" s="519">
        <f>IFERROR((N56/J56-1)*100,"-")</f>
        <v>400</v>
      </c>
      <c r="P56" s="697"/>
      <c r="Q56" s="692"/>
      <c r="R56" s="692">
        <v>107</v>
      </c>
      <c r="S56" s="519">
        <f>IFERROR((R56/N56-1)*100,"-")</f>
        <v>137.77777777777777</v>
      </c>
      <c r="T56" s="697"/>
      <c r="U56" s="692"/>
      <c r="V56" s="692">
        <v>135</v>
      </c>
      <c r="W56" s="519">
        <f>IFERROR((V56/R56-1)*100,"-")</f>
        <v>26.168224299065422</v>
      </c>
      <c r="X56" s="697"/>
      <c r="Y56" s="692"/>
      <c r="Z56" s="692">
        <v>151</v>
      </c>
      <c r="AA56" s="519">
        <f>IFERROR((Z56/V56-1)*100,"-")</f>
        <v>11.851851851851848</v>
      </c>
      <c r="AB56" s="697"/>
      <c r="AC56" s="692"/>
      <c r="AD56" s="692"/>
      <c r="AE56" s="519"/>
      <c r="AF56" s="697"/>
      <c r="AG56" s="830">
        <f>X56+T56</f>
        <v>0</v>
      </c>
    </row>
    <row r="57" spans="1:34" x14ac:dyDescent="0.2">
      <c r="A57" s="240" t="s">
        <v>95</v>
      </c>
      <c r="B57" s="249"/>
      <c r="C57" s="249"/>
      <c r="D57" s="249"/>
      <c r="E57" s="249"/>
      <c r="F57" s="693"/>
      <c r="G57" s="519" t="str">
        <f>IFERROR((F57/#REF!-1)*100,"-")</f>
        <v>-</v>
      </c>
      <c r="H57" s="697"/>
      <c r="I57" s="239"/>
      <c r="J57" s="693">
        <v>9</v>
      </c>
      <c r="K57" s="519" t="str">
        <f>IFERROR((J57/#REF!-1)*100,"-")</f>
        <v>-</v>
      </c>
      <c r="L57" s="697"/>
      <c r="M57" s="695"/>
      <c r="N57" s="693">
        <v>56</v>
      </c>
      <c r="O57" s="519">
        <f>IFERROR((N57/J57-1)*100,"-")</f>
        <v>522.22222222222229</v>
      </c>
      <c r="P57" s="697"/>
      <c r="Q57" s="695"/>
      <c r="R57" s="693">
        <v>127</v>
      </c>
      <c r="S57" s="519">
        <f>IFERROR((R57/N57-1)*100,"-")</f>
        <v>126.78571428571428</v>
      </c>
      <c r="T57" s="697"/>
      <c r="U57" s="695"/>
      <c r="V57" s="693">
        <v>171</v>
      </c>
      <c r="W57" s="519">
        <f>IFERROR((V57/R57-1)*100,"-")</f>
        <v>34.645669291338585</v>
      </c>
      <c r="X57" s="697"/>
      <c r="Y57" s="695"/>
      <c r="Z57" s="693">
        <v>193</v>
      </c>
      <c r="AA57" s="519">
        <f>IFERROR((Z57/V57-1)*100,"-")</f>
        <v>12.865497076023402</v>
      </c>
      <c r="AB57" s="697"/>
      <c r="AC57" s="695"/>
      <c r="AD57" s="693"/>
      <c r="AE57" s="519"/>
      <c r="AF57" s="697"/>
      <c r="AG57" s="830">
        <f>X57+T57</f>
        <v>0</v>
      </c>
    </row>
    <row r="58" spans="1:34" x14ac:dyDescent="0.2">
      <c r="A58" s="239" t="s">
        <v>87</v>
      </c>
      <c r="B58" s="249"/>
      <c r="C58" s="249"/>
      <c r="D58" s="249"/>
      <c r="E58" s="249"/>
      <c r="F58" s="687">
        <f>SUM(F54:F57)</f>
        <v>0</v>
      </c>
      <c r="G58" s="519" t="str">
        <f>IFERROR((F58/#REF!-1)*100,"-")</f>
        <v>-</v>
      </c>
      <c r="H58" s="697"/>
      <c r="I58" s="239"/>
      <c r="J58" s="687">
        <f>SUM(J54:J57)</f>
        <v>18</v>
      </c>
      <c r="K58" s="519" t="str">
        <f>IFERROR((J58/#REF!-1)*100,"-")</f>
        <v>-</v>
      </c>
      <c r="L58" s="697"/>
      <c r="M58" s="687"/>
      <c r="N58" s="687">
        <f>SUM(N54:N57)</f>
        <v>116</v>
      </c>
      <c r="O58" s="519">
        <f>IFERROR((N58/J58-1)*100,"-")</f>
        <v>544.44444444444446</v>
      </c>
      <c r="P58" s="697"/>
      <c r="Q58" s="687"/>
      <c r="R58" s="687">
        <f>SUM(R54:R57)</f>
        <v>377</v>
      </c>
      <c r="S58" s="519">
        <f>IFERROR((R58/N58-1)*100,"-")</f>
        <v>225</v>
      </c>
      <c r="T58" s="697"/>
      <c r="U58" s="687"/>
      <c r="V58" s="687">
        <f>SUM(V54:V57)</f>
        <v>554</v>
      </c>
      <c r="W58" s="519">
        <f>IFERROR((V58/R58-1)*100,"-")</f>
        <v>46.949602122015911</v>
      </c>
      <c r="X58" s="697"/>
      <c r="Y58" s="687"/>
      <c r="Z58" s="687">
        <f>SUM(Z54:Z57)</f>
        <v>614</v>
      </c>
      <c r="AA58" s="519">
        <f>IFERROR((Z58/V58-1)*100,"-")</f>
        <v>10.83032490974729</v>
      </c>
      <c r="AB58" s="697"/>
      <c r="AC58" s="687"/>
      <c r="AD58" s="687"/>
      <c r="AE58" s="519"/>
      <c r="AF58" s="697"/>
      <c r="AG58" s="238">
        <f>X58+T58</f>
        <v>0</v>
      </c>
    </row>
    <row r="59" spans="1:34" x14ac:dyDescent="0.2">
      <c r="A59" s="239"/>
      <c r="B59" s="249"/>
      <c r="C59" s="249"/>
      <c r="D59" s="249"/>
      <c r="E59" s="249"/>
      <c r="F59" s="687"/>
      <c r="G59" s="687"/>
      <c r="H59" s="687"/>
      <c r="I59" s="239"/>
      <c r="J59" s="687"/>
      <c r="K59" s="687"/>
      <c r="L59" s="687"/>
      <c r="M59" s="687"/>
      <c r="N59" s="687"/>
      <c r="O59" s="687"/>
      <c r="P59" s="687"/>
      <c r="Q59" s="687"/>
      <c r="R59" s="687"/>
      <c r="S59" s="687"/>
      <c r="T59" s="687"/>
      <c r="U59" s="687"/>
      <c r="V59" s="687"/>
      <c r="W59" s="687"/>
      <c r="X59" s="687"/>
      <c r="Y59" s="687"/>
      <c r="Z59" s="687"/>
      <c r="AA59" s="687"/>
      <c r="AB59" s="687"/>
      <c r="AC59" s="687"/>
      <c r="AD59" s="687"/>
      <c r="AE59" s="687"/>
      <c r="AF59" s="687"/>
    </row>
    <row r="60" spans="1:34" x14ac:dyDescent="0.2">
      <c r="A60" s="241" t="s">
        <v>297</v>
      </c>
      <c r="B60" s="686"/>
      <c r="C60" s="686"/>
      <c r="D60" s="686"/>
      <c r="E60" s="686"/>
      <c r="F60" s="1398">
        <f>F4</f>
        <v>2012</v>
      </c>
      <c r="G60" s="1398"/>
      <c r="H60" s="682"/>
      <c r="I60" s="241"/>
      <c r="J60" s="1398">
        <v>2013</v>
      </c>
      <c r="K60" s="1398"/>
      <c r="L60" s="682"/>
      <c r="M60" s="682"/>
      <c r="N60" s="1398">
        <v>2014</v>
      </c>
      <c r="O60" s="1398"/>
      <c r="P60" s="682"/>
      <c r="Q60" s="241"/>
      <c r="R60" s="1398">
        <v>2015</v>
      </c>
      <c r="S60" s="1398"/>
      <c r="T60" s="682"/>
      <c r="U60" s="241"/>
      <c r="V60" s="1398">
        <f>V4</f>
        <v>2016</v>
      </c>
      <c r="W60" s="1398"/>
      <c r="X60" s="682"/>
      <c r="Y60" s="241"/>
      <c r="Z60" s="1398">
        <f>Z4</f>
        <v>2017</v>
      </c>
      <c r="AA60" s="1398"/>
      <c r="AB60" s="682"/>
      <c r="AC60" s="241"/>
      <c r="AD60" s="1398">
        <f>AD4</f>
        <v>2018</v>
      </c>
      <c r="AE60" s="1398"/>
      <c r="AF60" s="682"/>
    </row>
    <row r="62" spans="1:34" x14ac:dyDescent="0.2">
      <c r="A62" s="239" t="s">
        <v>92</v>
      </c>
      <c r="B62" s="689">
        <v>-30</v>
      </c>
      <c r="C62" s="249"/>
      <c r="D62" s="249"/>
      <c r="E62" s="249"/>
      <c r="F62" s="689">
        <v>-41</v>
      </c>
      <c r="G62" s="519" t="str">
        <f>IFERROR((F62/#REF!-1)*100,"-")</f>
        <v>-</v>
      </c>
      <c r="H62" s="697"/>
      <c r="I62" s="239"/>
      <c r="J62" s="689">
        <v>-56</v>
      </c>
      <c r="K62" s="519" t="str">
        <f>IFERROR((J62/#REF!-1)*100,"-")</f>
        <v>-</v>
      </c>
      <c r="L62" s="697"/>
      <c r="M62" s="689"/>
      <c r="N62" s="689">
        <v>-73</v>
      </c>
      <c r="O62" s="519">
        <f>IFERROR((N62/J62-1)*100,"-")</f>
        <v>30.357142857142861</v>
      </c>
      <c r="P62" s="697"/>
      <c r="Q62" s="689"/>
      <c r="R62" s="689">
        <v>-76</v>
      </c>
      <c r="S62" s="519">
        <f>IFERROR((R62/N62-1)*100,"-")</f>
        <v>4.1095890410958846</v>
      </c>
      <c r="T62" s="697"/>
      <c r="U62" s="689"/>
      <c r="V62" s="689">
        <v>-66</v>
      </c>
      <c r="W62" s="519">
        <f>IFERROR((V62/R62-1)*100,"-")</f>
        <v>-13.157894736842103</v>
      </c>
      <c r="X62" s="697"/>
      <c r="Y62" s="689"/>
      <c r="Z62" s="689">
        <v>-29</v>
      </c>
      <c r="AA62" s="519">
        <f>IFERROR((Z62/V62-1)*100,"-")</f>
        <v>-56.060606060606055</v>
      </c>
      <c r="AB62" s="697"/>
      <c r="AC62" s="689"/>
      <c r="AD62" s="689"/>
      <c r="AE62" s="519">
        <f>IFERROR((AD62/Z62-1)*100,"-")</f>
        <v>-100</v>
      </c>
      <c r="AF62" s="697"/>
      <c r="AG62" s="830">
        <f>X62+T62</f>
        <v>0</v>
      </c>
      <c r="AH62" s="830">
        <f>AB62+X62</f>
        <v>0</v>
      </c>
    </row>
    <row r="63" spans="1:34" x14ac:dyDescent="0.2">
      <c r="A63" s="239" t="s">
        <v>93</v>
      </c>
      <c r="B63" s="692">
        <v>-102</v>
      </c>
      <c r="C63" s="249"/>
      <c r="D63" s="249"/>
      <c r="E63" s="249"/>
      <c r="F63" s="692">
        <v>-145</v>
      </c>
      <c r="G63" s="519" t="str">
        <f>IFERROR((F63/#REF!-1)*100,"-")</f>
        <v>-</v>
      </c>
      <c r="H63" s="697"/>
      <c r="I63" s="239"/>
      <c r="J63" s="692">
        <v>-141</v>
      </c>
      <c r="K63" s="697">
        <f>I64-I63</f>
        <v>0</v>
      </c>
      <c r="L63" s="697"/>
      <c r="M63" s="692"/>
      <c r="N63" s="692">
        <v>-142</v>
      </c>
      <c r="O63" s="519">
        <f>IFERROR((N63/J63-1)*100,"-")</f>
        <v>0.70921985815601829</v>
      </c>
      <c r="P63" s="697"/>
      <c r="Q63" s="692"/>
      <c r="R63" s="692">
        <v>-177</v>
      </c>
      <c r="S63" s="519">
        <f>IFERROR((R63/N63-1)*100,"-")</f>
        <v>24.64788732394365</v>
      </c>
      <c r="T63" s="697"/>
      <c r="U63" s="692"/>
      <c r="V63" s="692">
        <v>-279</v>
      </c>
      <c r="W63" s="519">
        <f>IFERROR((V63/R63-1)*100,"-")</f>
        <v>57.627118644067799</v>
      </c>
      <c r="X63" s="697"/>
      <c r="Y63" s="692"/>
      <c r="Z63" s="692">
        <v>-322</v>
      </c>
      <c r="AA63" s="519">
        <f>IFERROR((Z63/V63-1)*100,"-")</f>
        <v>15.412186379928317</v>
      </c>
      <c r="AB63" s="697"/>
      <c r="AC63" s="692"/>
      <c r="AD63" s="692"/>
      <c r="AE63" s="519">
        <f>IFERROR((AD63/Z63-1)*100,"-")</f>
        <v>-100</v>
      </c>
      <c r="AF63" s="697"/>
      <c r="AG63" s="830">
        <f>X63+T63</f>
        <v>0</v>
      </c>
    </row>
    <row r="64" spans="1:34" x14ac:dyDescent="0.2">
      <c r="A64" s="239" t="s">
        <v>94</v>
      </c>
      <c r="B64" s="692">
        <v>33</v>
      </c>
      <c r="C64" s="249"/>
      <c r="D64" s="249"/>
      <c r="E64" s="249"/>
      <c r="F64" s="692">
        <v>56</v>
      </c>
      <c r="G64" s="519" t="str">
        <f>IFERROR((F64/#REF!-1)*100,"-")</f>
        <v>-</v>
      </c>
      <c r="H64" s="697"/>
      <c r="I64" s="239"/>
      <c r="J64" s="692">
        <v>42</v>
      </c>
      <c r="K64" s="519" t="str">
        <f>IFERROR((J64/#REF!-1)*100,"-")</f>
        <v>-</v>
      </c>
      <c r="L64" s="697"/>
      <c r="M64" s="692"/>
      <c r="N64" s="692">
        <v>49</v>
      </c>
      <c r="O64" s="519">
        <f>IFERROR((N64/J64-1)*100,"-")</f>
        <v>16.666666666666675</v>
      </c>
      <c r="P64" s="697"/>
      <c r="Q64" s="692"/>
      <c r="R64" s="692">
        <v>70</v>
      </c>
      <c r="S64" s="519">
        <f>IFERROR((R64/N64-1)*100,"-")</f>
        <v>42.857142857142861</v>
      </c>
      <c r="T64" s="697"/>
      <c r="U64" s="692"/>
      <c r="V64" s="692">
        <v>155</v>
      </c>
      <c r="W64" s="519">
        <f>IFERROR((V64/R64-1)*100,"-")</f>
        <v>121.42857142857144</v>
      </c>
      <c r="X64" s="697"/>
      <c r="Y64" s="692"/>
      <c r="Z64" s="692">
        <v>-190</v>
      </c>
      <c r="AA64" s="519">
        <f>IFERROR((Z64/V64-1)*100,"-")</f>
        <v>-222.58064516129031</v>
      </c>
      <c r="AB64" s="697"/>
      <c r="AC64" s="692"/>
      <c r="AD64" s="692"/>
      <c r="AE64" s="519"/>
      <c r="AF64" s="697"/>
      <c r="AG64" s="830">
        <f>X64+T64</f>
        <v>0</v>
      </c>
    </row>
    <row r="65" spans="1:33" x14ac:dyDescent="0.2">
      <c r="A65" s="240" t="s">
        <v>95</v>
      </c>
      <c r="B65" s="242">
        <f>B66-SUM(B62:B64)</f>
        <v>-60</v>
      </c>
      <c r="C65" s="249"/>
      <c r="D65" s="249"/>
      <c r="E65" s="249"/>
      <c r="F65" s="242">
        <f>F66-SUM(F62:F64)</f>
        <v>-57</v>
      </c>
      <c r="G65" s="519" t="str">
        <f>IFERROR((F65/#REF!-1)*100,"-")</f>
        <v>-</v>
      </c>
      <c r="H65" s="697"/>
      <c r="I65" s="239"/>
      <c r="J65" s="693">
        <v>-75</v>
      </c>
      <c r="K65" s="519" t="str">
        <f>IFERROR((J65/#REF!-1)*100,"-")</f>
        <v>-</v>
      </c>
      <c r="L65" s="697"/>
      <c r="M65" s="695"/>
      <c r="N65" s="693">
        <v>-93</v>
      </c>
      <c r="O65" s="519">
        <f>IFERROR((N65/J65-1)*100,"-")</f>
        <v>24</v>
      </c>
      <c r="P65" s="697"/>
      <c r="Q65" s="695"/>
      <c r="R65" s="693">
        <v>-98</v>
      </c>
      <c r="S65" s="519">
        <f>IFERROR((R65/N65-1)*100,"-")</f>
        <v>5.3763440860215006</v>
      </c>
      <c r="T65" s="697"/>
      <c r="U65" s="695"/>
      <c r="V65" s="693">
        <v>-80</v>
      </c>
      <c r="W65" s="519">
        <f>IFERROR((V65/R65-1)*100,"-")</f>
        <v>-18.367346938775508</v>
      </c>
      <c r="X65" s="697"/>
      <c r="Y65" s="695"/>
      <c r="Z65" s="693">
        <v>-110</v>
      </c>
      <c r="AA65" s="519">
        <f>IFERROR((Z65/V65-1)*100,"-")</f>
        <v>37.5</v>
      </c>
      <c r="AB65" s="697"/>
      <c r="AC65" s="695"/>
      <c r="AD65" s="693"/>
      <c r="AE65" s="519"/>
      <c r="AF65" s="697"/>
      <c r="AG65" s="830">
        <f>X65+T65</f>
        <v>0</v>
      </c>
    </row>
    <row r="66" spans="1:33" x14ac:dyDescent="0.2">
      <c r="A66" s="239" t="s">
        <v>87</v>
      </c>
      <c r="B66" s="689">
        <v>-159</v>
      </c>
      <c r="C66" s="249"/>
      <c r="D66" s="249"/>
      <c r="E66" s="249"/>
      <c r="F66" s="689">
        <v>-187</v>
      </c>
      <c r="G66" s="519" t="str">
        <f>IFERROR((F66/#REF!-1)*100,"-")</f>
        <v>-</v>
      </c>
      <c r="H66" s="697"/>
      <c r="I66" s="239"/>
      <c r="J66" s="687">
        <f>SUM(J62:J65)</f>
        <v>-230</v>
      </c>
      <c r="K66" s="519" t="str">
        <f>IFERROR((J66/#REF!-1)*100,"-")</f>
        <v>-</v>
      </c>
      <c r="L66" s="697"/>
      <c r="M66" s="687"/>
      <c r="N66" s="687">
        <f>SUM(N62:N65)</f>
        <v>-259</v>
      </c>
      <c r="O66" s="519">
        <f>IFERROR((N66/J66-1)*100,"-")</f>
        <v>12.608695652173907</v>
      </c>
      <c r="P66" s="697"/>
      <c r="Q66" s="687"/>
      <c r="R66" s="687">
        <f>SUM(R62:R65)</f>
        <v>-281</v>
      </c>
      <c r="S66" s="519">
        <f>IFERROR((R66/N66-1)*100,"-")</f>
        <v>8.4942084942085003</v>
      </c>
      <c r="T66" s="697"/>
      <c r="U66" s="687"/>
      <c r="V66" s="687">
        <f>SUM(V62:V65)</f>
        <v>-270</v>
      </c>
      <c r="W66" s="519">
        <f>IFERROR((V66/R66-1)*100,"-")</f>
        <v>-3.9145907473309594</v>
      </c>
      <c r="X66" s="697"/>
      <c r="Y66" s="687"/>
      <c r="Z66" s="687">
        <f>SUM(Z62:Z65)</f>
        <v>-651</v>
      </c>
      <c r="AA66" s="519"/>
      <c r="AB66" s="697"/>
      <c r="AC66" s="687"/>
      <c r="AD66" s="687"/>
      <c r="AE66" s="519"/>
      <c r="AF66" s="697"/>
      <c r="AG66" s="238">
        <f>X66+T66</f>
        <v>0</v>
      </c>
    </row>
    <row r="67" spans="1:33" x14ac:dyDescent="0.2">
      <c r="A67" s="239"/>
      <c r="B67" s="249"/>
      <c r="C67" s="249"/>
      <c r="D67" s="249"/>
      <c r="E67" s="249"/>
      <c r="F67" s="239"/>
      <c r="G67" s="239"/>
      <c r="H67" s="239"/>
      <c r="I67" s="239"/>
      <c r="J67" s="687"/>
      <c r="K67" s="687"/>
      <c r="L67" s="687"/>
      <c r="M67" s="687"/>
      <c r="N67" s="687"/>
      <c r="O67" s="687"/>
      <c r="P67" s="687"/>
      <c r="Q67" s="687"/>
      <c r="R67" s="687"/>
      <c r="S67" s="687"/>
      <c r="T67" s="687"/>
      <c r="U67" s="687"/>
      <c r="V67" s="687"/>
      <c r="W67" s="687"/>
      <c r="X67" s="687"/>
      <c r="Y67" s="687"/>
      <c r="Z67" s="687"/>
      <c r="AA67" s="687"/>
      <c r="AB67" s="687"/>
      <c r="AC67" s="687"/>
      <c r="AD67" s="687"/>
      <c r="AE67" s="687"/>
      <c r="AF67" s="687"/>
    </row>
    <row r="68" spans="1:33" x14ac:dyDescent="0.2">
      <c r="A68" s="239"/>
      <c r="B68" s="249"/>
      <c r="C68" s="249"/>
      <c r="D68" s="249"/>
      <c r="E68" s="249"/>
      <c r="F68" s="239"/>
      <c r="G68" s="239"/>
      <c r="H68" s="239"/>
      <c r="I68" s="239"/>
      <c r="J68" s="687"/>
      <c r="K68" s="687"/>
      <c r="L68" s="687"/>
      <c r="M68" s="687"/>
      <c r="N68" s="687"/>
      <c r="O68" s="687"/>
      <c r="P68" s="687"/>
      <c r="Q68" s="687"/>
      <c r="R68" s="687"/>
      <c r="S68" s="687"/>
      <c r="T68" s="687"/>
      <c r="U68" s="687"/>
      <c r="V68" s="687"/>
      <c r="W68" s="687"/>
      <c r="X68" s="687"/>
      <c r="Y68" s="687"/>
      <c r="Z68" s="1338"/>
      <c r="AA68" s="687"/>
      <c r="AB68" s="687"/>
      <c r="AC68" s="687"/>
      <c r="AD68" s="687"/>
      <c r="AE68" s="687"/>
      <c r="AF68" s="687"/>
    </row>
    <row r="69" spans="1:33" x14ac:dyDescent="0.2">
      <c r="A69" s="239"/>
      <c r="B69" s="249"/>
      <c r="C69" s="249"/>
      <c r="D69" s="249"/>
      <c r="E69" s="249"/>
      <c r="F69" s="239"/>
      <c r="G69" s="239"/>
      <c r="H69" s="239"/>
      <c r="I69" s="239"/>
      <c r="J69" s="687"/>
      <c r="K69" s="687"/>
      <c r="L69" s="687"/>
      <c r="M69" s="687"/>
      <c r="N69" s="687"/>
      <c r="O69" s="687"/>
      <c r="P69" s="687"/>
      <c r="Q69" s="687"/>
      <c r="R69" s="687"/>
      <c r="S69" s="687"/>
      <c r="T69" s="687"/>
      <c r="U69" s="687"/>
      <c r="V69" s="687"/>
      <c r="W69" s="687"/>
      <c r="X69" s="687"/>
      <c r="Y69" s="687"/>
      <c r="Z69" s="687"/>
      <c r="AA69" s="687"/>
      <c r="AB69" s="687"/>
      <c r="AC69" s="687"/>
      <c r="AD69" s="687"/>
      <c r="AE69" s="687"/>
      <c r="AF69" s="687"/>
    </row>
    <row r="70" spans="1:33" x14ac:dyDescent="0.2">
      <c r="A70" s="239"/>
      <c r="B70" s="249"/>
      <c r="C70" s="249"/>
      <c r="D70" s="249"/>
      <c r="E70" s="249"/>
      <c r="F70" s="239"/>
      <c r="G70" s="239"/>
      <c r="H70" s="239"/>
      <c r="I70" s="239"/>
      <c r="J70" s="687"/>
      <c r="K70" s="687"/>
      <c r="L70" s="687"/>
      <c r="M70" s="687"/>
      <c r="N70" s="687"/>
      <c r="O70" s="687"/>
      <c r="P70" s="687"/>
      <c r="Q70" s="687"/>
      <c r="R70" s="687"/>
      <c r="S70" s="687"/>
      <c r="T70" s="687"/>
      <c r="U70" s="687"/>
      <c r="V70" s="687"/>
      <c r="W70" s="687"/>
      <c r="X70" s="687"/>
      <c r="Y70" s="687"/>
      <c r="Z70" s="687"/>
      <c r="AA70" s="687"/>
      <c r="AB70" s="687"/>
      <c r="AC70" s="687"/>
      <c r="AD70" s="687"/>
      <c r="AE70" s="687"/>
      <c r="AF70" s="687"/>
    </row>
    <row r="71" spans="1:33" x14ac:dyDescent="0.2">
      <c r="A71" s="239"/>
      <c r="B71" s="249"/>
      <c r="C71" s="249"/>
      <c r="D71" s="249"/>
      <c r="E71" s="249"/>
      <c r="F71" s="239"/>
      <c r="G71" s="239"/>
      <c r="H71" s="239"/>
      <c r="I71" s="239"/>
      <c r="J71" s="687"/>
      <c r="K71" s="687"/>
      <c r="L71" s="687"/>
      <c r="M71" s="687"/>
      <c r="N71" s="687"/>
      <c r="O71" s="687"/>
      <c r="P71" s="687"/>
      <c r="Q71" s="687"/>
      <c r="R71" s="687"/>
      <c r="S71" s="687"/>
      <c r="T71" s="687"/>
      <c r="U71" s="687"/>
      <c r="V71" s="687"/>
      <c r="W71" s="687"/>
      <c r="X71" s="687"/>
      <c r="Y71" s="687"/>
      <c r="Z71" s="687"/>
      <c r="AA71" s="687"/>
      <c r="AB71" s="687"/>
      <c r="AC71" s="687"/>
      <c r="AD71" s="687"/>
      <c r="AE71" s="687"/>
      <c r="AF71" s="687"/>
    </row>
    <row r="72" spans="1:33" x14ac:dyDescent="0.2">
      <c r="A72" s="239"/>
      <c r="B72" s="249"/>
      <c r="C72" s="249"/>
      <c r="D72" s="249"/>
      <c r="E72" s="249"/>
      <c r="F72" s="239"/>
      <c r="G72" s="239"/>
      <c r="H72" s="239"/>
      <c r="I72" s="239"/>
      <c r="J72" s="687"/>
      <c r="K72" s="687"/>
      <c r="L72" s="687"/>
      <c r="M72" s="687"/>
      <c r="N72" s="687"/>
      <c r="O72" s="687"/>
      <c r="P72" s="687"/>
      <c r="Q72" s="687"/>
      <c r="R72" s="687"/>
      <c r="S72" s="687"/>
      <c r="T72" s="687"/>
      <c r="U72" s="687"/>
      <c r="V72" s="687"/>
      <c r="W72" s="687"/>
      <c r="X72" s="687"/>
      <c r="Y72" s="687"/>
      <c r="Z72" s="687"/>
      <c r="AA72" s="687"/>
      <c r="AB72" s="687"/>
      <c r="AC72" s="687"/>
      <c r="AD72" s="687"/>
      <c r="AE72" s="687"/>
      <c r="AF72" s="687"/>
    </row>
    <row r="73" spans="1:33" x14ac:dyDescent="0.2">
      <c r="A73" s="239"/>
      <c r="B73" s="249"/>
      <c r="C73" s="249"/>
      <c r="D73" s="249"/>
      <c r="E73" s="249"/>
      <c r="F73" s="239"/>
      <c r="G73" s="239"/>
      <c r="H73" s="239"/>
      <c r="I73" s="239"/>
      <c r="J73" s="687"/>
      <c r="K73" s="687"/>
      <c r="L73" s="687"/>
      <c r="M73" s="687"/>
      <c r="N73" s="687"/>
      <c r="O73" s="687"/>
      <c r="P73" s="687"/>
      <c r="Q73" s="687"/>
      <c r="R73" s="244"/>
      <c r="S73" s="687"/>
      <c r="T73" s="687"/>
      <c r="U73" s="687"/>
      <c r="V73" s="244"/>
      <c r="W73" s="687"/>
      <c r="X73" s="687"/>
      <c r="Y73" s="687"/>
      <c r="Z73" s="244"/>
      <c r="AA73" s="687"/>
      <c r="AB73" s="687"/>
      <c r="AC73" s="687"/>
      <c r="AD73" s="244"/>
      <c r="AE73" s="687"/>
      <c r="AF73" s="687"/>
    </row>
    <row r="80" spans="1:33" x14ac:dyDescent="0.2">
      <c r="A80" s="239" t="s">
        <v>549</v>
      </c>
      <c r="B80" s="249"/>
      <c r="C80" s="249"/>
      <c r="D80" s="249"/>
      <c r="E80" s="249"/>
      <c r="F80" s="239"/>
      <c r="G80" s="239"/>
      <c r="H80" s="239"/>
      <c r="I80" s="239"/>
    </row>
  </sheetData>
  <mergeCells count="56">
    <mergeCell ref="V60:W60"/>
    <mergeCell ref="V4:W4"/>
    <mergeCell ref="V12:W12"/>
    <mergeCell ref="V20:W20"/>
    <mergeCell ref="V28:W28"/>
    <mergeCell ref="V36:W36"/>
    <mergeCell ref="V44:W44"/>
    <mergeCell ref="J4:K4"/>
    <mergeCell ref="N4:O4"/>
    <mergeCell ref="R4:S4"/>
    <mergeCell ref="J12:K12"/>
    <mergeCell ref="V52:W52"/>
    <mergeCell ref="F60:G60"/>
    <mergeCell ref="N12:O12"/>
    <mergeCell ref="R12:S12"/>
    <mergeCell ref="J20:K20"/>
    <mergeCell ref="N20:O20"/>
    <mergeCell ref="J52:K52"/>
    <mergeCell ref="N52:O52"/>
    <mergeCell ref="R52:S52"/>
    <mergeCell ref="J60:K60"/>
    <mergeCell ref="N60:O60"/>
    <mergeCell ref="R60:S60"/>
    <mergeCell ref="F52:G52"/>
    <mergeCell ref="A3:U3"/>
    <mergeCell ref="J36:K36"/>
    <mergeCell ref="N36:O36"/>
    <mergeCell ref="R36:S36"/>
    <mergeCell ref="J44:K44"/>
    <mergeCell ref="F12:G12"/>
    <mergeCell ref="F20:G20"/>
    <mergeCell ref="F28:G28"/>
    <mergeCell ref="F36:G36"/>
    <mergeCell ref="F44:G44"/>
    <mergeCell ref="R20:S20"/>
    <mergeCell ref="J28:K28"/>
    <mergeCell ref="N28:O28"/>
    <mergeCell ref="R28:S28"/>
    <mergeCell ref="N44:O44"/>
    <mergeCell ref="R44:S44"/>
    <mergeCell ref="Z44:AA44"/>
    <mergeCell ref="Z52:AA52"/>
    <mergeCell ref="Z60:AA60"/>
    <mergeCell ref="Z4:AA4"/>
    <mergeCell ref="Z12:AA12"/>
    <mergeCell ref="Z20:AA20"/>
    <mergeCell ref="Z28:AA28"/>
    <mergeCell ref="Z36:AA36"/>
    <mergeCell ref="AD44:AE44"/>
    <mergeCell ref="AD52:AE52"/>
    <mergeCell ref="AD60:AE60"/>
    <mergeCell ref="AD4:AE4"/>
    <mergeCell ref="AD12:AE12"/>
    <mergeCell ref="AD20:AE20"/>
    <mergeCell ref="AD28:AE28"/>
    <mergeCell ref="AD36:AE36"/>
  </mergeCell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V86"/>
  <sheetViews>
    <sheetView showGridLines="0" zoomScaleNormal="100" workbookViewId="0">
      <pane xSplit="1" ySplit="6" topLeftCell="AD7" activePane="bottomRight" state="frozen"/>
      <selection activeCell="O47" sqref="O47"/>
      <selection pane="topRight" activeCell="O47" sqref="O47"/>
      <selection pane="bottomLeft" activeCell="O47" sqref="O47"/>
      <selection pane="bottomRight" activeCell="AM11" sqref="AM11"/>
    </sheetView>
  </sheetViews>
  <sheetFormatPr defaultRowHeight="12.75" outlineLevelRow="1" outlineLevelCol="1" x14ac:dyDescent="0.2"/>
  <cols>
    <col min="1" max="1" width="28.85546875" style="239" customWidth="1"/>
    <col min="2" max="29" width="10" style="239" hidden="1" customWidth="1" outlineLevel="1"/>
    <col min="30" max="30" width="10" style="239" bestFit="1" customWidth="1" collapsed="1"/>
    <col min="31" max="31" width="10" style="239" bestFit="1" customWidth="1"/>
    <col min="32" max="33" width="9.42578125" style="239" customWidth="1"/>
    <col min="34" max="34" width="9.140625" style="239" customWidth="1"/>
    <col min="35" max="35" width="9.5703125" style="239" customWidth="1"/>
    <col min="36" max="36" width="9.140625" style="239" customWidth="1"/>
    <col min="37" max="37" width="8" style="239" customWidth="1"/>
    <col min="38" max="38" width="10.7109375" style="239" customWidth="1"/>
    <col min="39" max="40" width="10" style="239" customWidth="1"/>
    <col min="41" max="42" width="10" style="239" hidden="1" customWidth="1" outlineLevel="1"/>
    <col min="43" max="43" width="2.28515625" style="239" customWidth="1" collapsed="1"/>
    <col min="44" max="44" width="9.140625" style="16" hidden="1" customWidth="1" outlineLevel="1"/>
    <col min="45" max="45" width="2.42578125" style="16" hidden="1" customWidth="1" outlineLevel="1"/>
    <col min="46" max="46" width="9.140625" style="16" hidden="1" customWidth="1" outlineLevel="1"/>
    <col min="47" max="47" width="2.28515625" style="16" hidden="1" customWidth="1" outlineLevel="1"/>
    <col min="48" max="48" width="2.42578125" style="239" customWidth="1" collapsed="1"/>
    <col min="49" max="16384" width="9.140625" style="239"/>
  </cols>
  <sheetData>
    <row r="1" spans="1:47" x14ac:dyDescent="0.2">
      <c r="A1" s="504" t="s">
        <v>298</v>
      </c>
    </row>
    <row r="2" spans="1:47" x14ac:dyDescent="0.2">
      <c r="A2" s="505" t="s">
        <v>597</v>
      </c>
      <c r="B2" s="240"/>
      <c r="C2" s="240"/>
      <c r="D2" s="240"/>
      <c r="E2" s="240"/>
      <c r="F2" s="240"/>
      <c r="G2" s="240"/>
      <c r="H2" s="240"/>
      <c r="I2" s="240"/>
      <c r="J2" s="240"/>
      <c r="K2" s="240"/>
      <c r="L2" s="240"/>
      <c r="M2" s="240"/>
      <c r="N2" s="240"/>
      <c r="O2" s="240"/>
      <c r="P2" s="240"/>
      <c r="Q2" s="240"/>
      <c r="R2" s="240"/>
      <c r="S2" s="240"/>
      <c r="T2" s="240"/>
      <c r="U2" s="240"/>
      <c r="V2" s="240"/>
      <c r="W2" s="240"/>
      <c r="X2" s="240"/>
      <c r="Y2" s="240"/>
      <c r="Z2" s="240"/>
      <c r="AA2" s="240"/>
      <c r="AB2" s="240"/>
      <c r="AC2" s="240"/>
      <c r="AD2" s="240"/>
      <c r="AE2" s="240"/>
      <c r="AF2" s="240"/>
      <c r="AG2" s="240"/>
      <c r="AH2" s="240"/>
      <c r="AI2" s="240"/>
      <c r="AJ2" s="240"/>
      <c r="AK2" s="240"/>
      <c r="AL2" s="240"/>
      <c r="AM2" s="240"/>
      <c r="AN2" s="240"/>
      <c r="AO2" s="240"/>
      <c r="AP2" s="240"/>
      <c r="AQ2" s="240"/>
      <c r="AR2" s="1279"/>
      <c r="AS2" s="1279"/>
      <c r="AT2" s="1279"/>
      <c r="AU2" s="1279"/>
    </row>
    <row r="3" spans="1:47" x14ac:dyDescent="0.2">
      <c r="AG3" s="857"/>
      <c r="AH3" s="857"/>
      <c r="AI3" s="858"/>
      <c r="AJ3" s="858"/>
      <c r="AK3" s="858"/>
      <c r="AL3" s="858"/>
      <c r="AM3" s="859"/>
      <c r="AN3" s="859"/>
      <c r="AO3" s="859"/>
      <c r="AP3" s="859"/>
    </row>
    <row r="4" spans="1:47" x14ac:dyDescent="0.2">
      <c r="P4" s="504"/>
      <c r="Q4" s="504"/>
      <c r="AC4" s="252"/>
      <c r="AD4" s="252"/>
      <c r="AE4" s="252"/>
      <c r="AF4" s="254"/>
      <c r="AG4" s="860"/>
      <c r="AH4" s="860"/>
      <c r="AI4" s="860"/>
      <c r="AJ4" s="252"/>
      <c r="AK4" s="255"/>
      <c r="AL4" s="255"/>
      <c r="AM4" s="255"/>
      <c r="AN4" s="255"/>
      <c r="AO4" s="255"/>
      <c r="AP4" s="255"/>
      <c r="AR4" s="1280"/>
      <c r="AS4" s="1281" t="s">
        <v>25</v>
      </c>
      <c r="AT4" s="1282"/>
      <c r="AU4" s="1283"/>
    </row>
    <row r="5" spans="1:47" x14ac:dyDescent="0.2">
      <c r="B5" s="861">
        <f t="shared" ref="B5:P5" si="0">C5-1</f>
        <v>1982</v>
      </c>
      <c r="C5" s="861">
        <f t="shared" si="0"/>
        <v>1983</v>
      </c>
      <c r="D5" s="861">
        <f t="shared" si="0"/>
        <v>1984</v>
      </c>
      <c r="E5" s="861">
        <f t="shared" si="0"/>
        <v>1985</v>
      </c>
      <c r="F5" s="861">
        <f t="shared" si="0"/>
        <v>1986</v>
      </c>
      <c r="G5" s="861">
        <f t="shared" si="0"/>
        <v>1987</v>
      </c>
      <c r="H5" s="861">
        <f t="shared" si="0"/>
        <v>1988</v>
      </c>
      <c r="I5" s="861">
        <f t="shared" si="0"/>
        <v>1989</v>
      </c>
      <c r="J5" s="861">
        <f t="shared" si="0"/>
        <v>1990</v>
      </c>
      <c r="K5" s="861">
        <f t="shared" si="0"/>
        <v>1991</v>
      </c>
      <c r="L5" s="861">
        <f t="shared" si="0"/>
        <v>1992</v>
      </c>
      <c r="M5" s="861">
        <f t="shared" si="0"/>
        <v>1993</v>
      </c>
      <c r="N5" s="861">
        <f t="shared" si="0"/>
        <v>1994</v>
      </c>
      <c r="O5" s="861">
        <f t="shared" si="0"/>
        <v>1995</v>
      </c>
      <c r="P5" s="861">
        <f t="shared" si="0"/>
        <v>1996</v>
      </c>
      <c r="Q5" s="861">
        <f>'yrP&amp;L'!Q5</f>
        <v>1997</v>
      </c>
      <c r="R5" s="861">
        <f>'yrP&amp;L'!R5</f>
        <v>1998</v>
      </c>
      <c r="S5" s="861">
        <f>'yrP&amp;L'!S5</f>
        <v>1999</v>
      </c>
      <c r="T5" s="861">
        <f>'yrP&amp;L'!T5</f>
        <v>2000</v>
      </c>
      <c r="U5" s="861">
        <f>'yrP&amp;L'!U5</f>
        <v>2001</v>
      </c>
      <c r="V5" s="861">
        <f>'yrP&amp;L'!V5</f>
        <v>2002</v>
      </c>
      <c r="W5" s="861">
        <f>'yrP&amp;L'!W5</f>
        <v>2003</v>
      </c>
      <c r="X5" s="861">
        <f>'yrP&amp;L'!X5</f>
        <v>2004</v>
      </c>
      <c r="Y5" s="861">
        <f>'yrP&amp;L'!Y5</f>
        <v>2005</v>
      </c>
      <c r="Z5" s="861">
        <f>'yrP&amp;L'!Z5</f>
        <v>2006</v>
      </c>
      <c r="AA5" s="861">
        <f>'yrP&amp;L'!AA5</f>
        <v>2007</v>
      </c>
      <c r="AB5" s="861">
        <f>'yrP&amp;L'!AB5</f>
        <v>2008</v>
      </c>
      <c r="AC5" s="861">
        <f>'yrP&amp;L'!AC5</f>
        <v>2009</v>
      </c>
      <c r="AD5" s="861">
        <f>'yrP&amp;L'!AD5</f>
        <v>2010</v>
      </c>
      <c r="AE5" s="861">
        <f>'yrP&amp;L'!AE5</f>
        <v>2011</v>
      </c>
      <c r="AF5" s="861">
        <f>'yrP&amp;L'!AF5</f>
        <v>2012</v>
      </c>
      <c r="AG5" s="861">
        <f>'yrP&amp;L'!AG5</f>
        <v>2013</v>
      </c>
      <c r="AH5" s="861">
        <f>'yrP&amp;L'!AH5</f>
        <v>2014</v>
      </c>
      <c r="AI5" s="861">
        <f>'yrP&amp;L'!AI5</f>
        <v>2015</v>
      </c>
      <c r="AJ5" s="861">
        <f>'yrP&amp;L'!AJ5</f>
        <v>2016</v>
      </c>
      <c r="AK5" s="861">
        <v>2017</v>
      </c>
      <c r="AL5" s="862">
        <v>2018</v>
      </c>
      <c r="AM5" s="862">
        <v>2019</v>
      </c>
      <c r="AN5" s="862">
        <v>2020</v>
      </c>
      <c r="AO5" s="862">
        <v>2021</v>
      </c>
      <c r="AP5" s="862">
        <v>2022</v>
      </c>
      <c r="AR5" s="1284" t="s">
        <v>596</v>
      </c>
      <c r="AS5" s="1281"/>
      <c r="AT5" s="1285" t="s">
        <v>618</v>
      </c>
      <c r="AU5" s="1283"/>
    </row>
    <row r="6" spans="1:47" hidden="1" x14ac:dyDescent="0.2">
      <c r="AA6" s="863">
        <f>AA9/AA11</f>
        <v>5.2354651080235452E-2</v>
      </c>
      <c r="AB6" s="863">
        <f t="shared" ref="AB6:AH6" si="1">AB9/AB11</f>
        <v>6.0426969002532867E-2</v>
      </c>
      <c r="AC6" s="863">
        <f t="shared" si="1"/>
        <v>6.8176313877452169E-2</v>
      </c>
      <c r="AD6" s="863">
        <f t="shared" si="1"/>
        <v>7.5725026852846405E-2</v>
      </c>
      <c r="AE6" s="863">
        <f t="shared" si="1"/>
        <v>8.6977231589978082E-2</v>
      </c>
      <c r="AF6" s="863">
        <f t="shared" si="1"/>
        <v>0.1078898146573712</v>
      </c>
      <c r="AG6" s="863">
        <f t="shared" si="1"/>
        <v>0.13332566168009205</v>
      </c>
      <c r="AH6" s="863">
        <f t="shared" si="1"/>
        <v>0.15223857829303639</v>
      </c>
      <c r="AI6" s="863">
        <f>AI9/AI11</f>
        <v>0.16324937921248669</v>
      </c>
      <c r="AJ6" s="863"/>
      <c r="AK6" s="863"/>
      <c r="AL6" s="863"/>
      <c r="AM6" s="863"/>
      <c r="AN6" s="863"/>
      <c r="AO6" s="863"/>
      <c r="AP6" s="863"/>
      <c r="AR6" s="1286"/>
      <c r="AS6" s="1287"/>
      <c r="AT6" s="1287"/>
      <c r="AU6" s="1288"/>
    </row>
    <row r="7" spans="1:47" outlineLevel="1" x14ac:dyDescent="0.2">
      <c r="A7" s="239" t="s">
        <v>208</v>
      </c>
      <c r="B7" s="864"/>
      <c r="C7" s="864"/>
      <c r="D7" s="864"/>
      <c r="E7" s="864"/>
      <c r="F7" s="864"/>
      <c r="G7" s="864"/>
      <c r="H7" s="864"/>
      <c r="I7" s="864"/>
      <c r="J7" s="864"/>
      <c r="K7" s="864"/>
      <c r="L7" s="864"/>
      <c r="M7" s="864"/>
      <c r="N7" s="864"/>
      <c r="O7" s="864"/>
      <c r="P7" s="864"/>
      <c r="Q7" s="864"/>
      <c r="R7" s="864"/>
      <c r="S7" s="864"/>
      <c r="T7" s="864"/>
      <c r="U7" s="864"/>
      <c r="V7" s="864"/>
      <c r="W7" s="864"/>
      <c r="X7" s="864"/>
      <c r="Y7" s="865"/>
      <c r="Z7" s="864"/>
      <c r="AA7" s="864">
        <f>IF(ISERROR((AA11-AA9)),"NA ",AA11-AA9)</f>
        <v>8365.6368782287827</v>
      </c>
      <c r="AB7" s="864">
        <f t="shared" ref="AB7:AH7" si="2">IF(ISERROR((AB11-AB9)),"NA ",AB11-AB9)</f>
        <v>7790</v>
      </c>
      <c r="AC7" s="864">
        <f t="shared" si="2"/>
        <v>7695</v>
      </c>
      <c r="AD7" s="864">
        <f t="shared" si="2"/>
        <v>8605</v>
      </c>
      <c r="AE7" s="864">
        <f t="shared" si="2"/>
        <v>9584</v>
      </c>
      <c r="AF7" s="864">
        <f t="shared" si="2"/>
        <v>10493</v>
      </c>
      <c r="AG7" s="864">
        <f t="shared" si="2"/>
        <v>10543.96</v>
      </c>
      <c r="AH7" s="864">
        <f t="shared" si="2"/>
        <v>11115</v>
      </c>
      <c r="AI7" s="864">
        <f t="shared" ref="AI7:AP7" si="3">IF(ISERROR((AI11-AI9)),"NA ",AI11-AI9)</f>
        <v>11794</v>
      </c>
      <c r="AJ7" s="864">
        <f t="shared" si="3"/>
        <v>11280</v>
      </c>
      <c r="AK7" s="864">
        <f t="shared" si="3"/>
        <v>11353</v>
      </c>
      <c r="AL7" s="1145">
        <f t="shared" si="3"/>
        <v>11161.638457838597</v>
      </c>
      <c r="AM7" s="1145">
        <f t="shared" si="3"/>
        <v>11297.797685123163</v>
      </c>
      <c r="AN7" s="1145">
        <f t="shared" si="3"/>
        <v>11343.175033998614</v>
      </c>
      <c r="AO7" s="1145">
        <f t="shared" si="3"/>
        <v>11353.341279016799</v>
      </c>
      <c r="AP7" s="1145">
        <f t="shared" si="3"/>
        <v>11333.725420742492</v>
      </c>
      <c r="AR7" s="1289">
        <f>RATE(5,,-AE7,AJ7)*100</f>
        <v>3.312401992322918</v>
      </c>
      <c r="AS7" s="1264" t="s">
        <v>90</v>
      </c>
      <c r="AT7" s="1290">
        <f>RATE(6,,-AJ7,AP7)*100</f>
        <v>7.9224453131656575E-2</v>
      </c>
      <c r="AU7" s="1270" t="s">
        <v>90</v>
      </c>
    </row>
    <row r="8" spans="1:47" outlineLevel="1" x14ac:dyDescent="0.2">
      <c r="A8" s="607" t="s">
        <v>23</v>
      </c>
      <c r="B8" s="864"/>
      <c r="C8" s="866"/>
      <c r="D8" s="866"/>
      <c r="E8" s="866"/>
      <c r="F8" s="866"/>
      <c r="G8" s="866"/>
      <c r="H8" s="866"/>
      <c r="I8" s="866"/>
      <c r="J8" s="866"/>
      <c r="K8" s="866"/>
      <c r="L8" s="866"/>
      <c r="M8" s="866"/>
      <c r="N8" s="866"/>
      <c r="O8" s="866"/>
      <c r="P8" s="866"/>
      <c r="Q8" s="866"/>
      <c r="R8" s="866"/>
      <c r="S8" s="866"/>
      <c r="T8" s="866"/>
      <c r="U8" s="866"/>
      <c r="V8" s="866"/>
      <c r="W8" s="866"/>
      <c r="X8" s="866"/>
      <c r="Y8" s="866"/>
      <c r="Z8" s="866"/>
      <c r="AA8" s="866"/>
      <c r="AB8" s="866">
        <f t="shared" ref="AB8:AM8" si="4">AB7/AA7-1</f>
        <v>-6.880968975916868E-2</v>
      </c>
      <c r="AC8" s="866">
        <f t="shared" si="4"/>
        <v>-1.2195121951219523E-2</v>
      </c>
      <c r="AD8" s="866">
        <f t="shared" si="4"/>
        <v>0.11825860948667977</v>
      </c>
      <c r="AE8" s="866">
        <f t="shared" si="4"/>
        <v>0.11377106333527021</v>
      </c>
      <c r="AF8" s="866">
        <f t="shared" si="4"/>
        <v>9.4845575959933148E-2</v>
      </c>
      <c r="AG8" s="866">
        <f t="shared" si="4"/>
        <v>4.8565710473649215E-3</v>
      </c>
      <c r="AH8" s="866">
        <f t="shared" si="4"/>
        <v>5.4158020326328993E-2</v>
      </c>
      <c r="AI8" s="866">
        <f t="shared" si="4"/>
        <v>6.1088618983355936E-2</v>
      </c>
      <c r="AJ8" s="866">
        <f t="shared" si="4"/>
        <v>-4.3581482109547265E-2</v>
      </c>
      <c r="AK8" s="866">
        <f t="shared" si="4"/>
        <v>6.4716312056738445E-3</v>
      </c>
      <c r="AL8" s="866">
        <f t="shared" si="4"/>
        <v>-1.6855592544825382E-2</v>
      </c>
      <c r="AM8" s="866">
        <f t="shared" si="4"/>
        <v>1.2198856628342414E-2</v>
      </c>
      <c r="AN8" s="866">
        <f>AN7/AM7-1</f>
        <v>4.0164773825965838E-3</v>
      </c>
      <c r="AO8" s="866">
        <f>AO7/AN7-1</f>
        <v>8.9624333466731265E-4</v>
      </c>
      <c r="AP8" s="866">
        <f>AP7/AO7-1</f>
        <v>-1.7277608232001418E-3</v>
      </c>
      <c r="AR8" s="1291"/>
      <c r="AS8" s="1264"/>
      <c r="AT8" s="1264"/>
      <c r="AU8" s="1270"/>
    </row>
    <row r="9" spans="1:47" outlineLevel="1" x14ac:dyDescent="0.2">
      <c r="A9" s="239" t="s">
        <v>241</v>
      </c>
      <c r="B9" s="864"/>
      <c r="C9" s="864"/>
      <c r="D9" s="864"/>
      <c r="E9" s="864"/>
      <c r="F9" s="864"/>
      <c r="G9" s="864"/>
      <c r="H9" s="864"/>
      <c r="I9" s="864"/>
      <c r="J9" s="864"/>
      <c r="K9" s="864"/>
      <c r="L9" s="864"/>
      <c r="M9" s="864"/>
      <c r="N9" s="864"/>
      <c r="O9" s="864"/>
      <c r="P9" s="864"/>
      <c r="Q9" s="864"/>
      <c r="R9" s="864"/>
      <c r="S9" s="864"/>
      <c r="T9" s="864"/>
      <c r="U9" s="864"/>
      <c r="V9" s="864"/>
      <c r="W9" s="864"/>
      <c r="X9" s="864"/>
      <c r="Y9" s="864"/>
      <c r="Z9" s="864"/>
      <c r="AA9" s="864">
        <f>qtrSales!AO86</f>
        <v>462.17712177121768</v>
      </c>
      <c r="AB9" s="864">
        <f>qtrSales!AO93</f>
        <v>501</v>
      </c>
      <c r="AC9" s="864">
        <f>qtrSales!AO100</f>
        <v>563</v>
      </c>
      <c r="AD9" s="864">
        <f>qtrSales!AO107</f>
        <v>705</v>
      </c>
      <c r="AE9" s="864">
        <f>qtrSales!AO114</f>
        <v>913</v>
      </c>
      <c r="AF9" s="864">
        <f>qtrSales!AO121</f>
        <v>1269</v>
      </c>
      <c r="AG9" s="864">
        <f>qtrSales!AO128</f>
        <v>1622.04</v>
      </c>
      <c r="AH9" s="864">
        <f>qtrSales!$AO135</f>
        <v>1996</v>
      </c>
      <c r="AI9" s="864">
        <f>qtrSales!$AO142</f>
        <v>2301</v>
      </c>
      <c r="AJ9" s="864">
        <f>qtrSales!$AO$149</f>
        <v>3219</v>
      </c>
      <c r="AK9" s="864">
        <f>qtrSales!$AO$156</f>
        <v>3784</v>
      </c>
      <c r="AL9" s="864">
        <f>qtrSales!$AO$164</f>
        <v>4162.3999999999996</v>
      </c>
      <c r="AM9" s="1146">
        <f>AL9*(1+AM10)</f>
        <v>4495.3919999999998</v>
      </c>
      <c r="AN9" s="1146">
        <f>AM9*(1+AN10)</f>
        <v>4855.0233600000001</v>
      </c>
      <c r="AO9" s="1146">
        <f>AN9*(1+AO10)</f>
        <v>5243.4252288000007</v>
      </c>
      <c r="AP9" s="1146">
        <f>AO9*(1+AP10)</f>
        <v>5558.0307425280007</v>
      </c>
      <c r="AR9" s="1292"/>
      <c r="AS9" s="1264"/>
      <c r="AT9" s="1290"/>
      <c r="AU9" s="1270"/>
    </row>
    <row r="10" spans="1:47" outlineLevel="1" x14ac:dyDescent="0.2">
      <c r="A10" s="607" t="s">
        <v>23</v>
      </c>
      <c r="B10" s="864"/>
      <c r="C10" s="864"/>
      <c r="D10" s="864"/>
      <c r="E10" s="864"/>
      <c r="F10" s="864"/>
      <c r="G10" s="864"/>
      <c r="H10" s="864"/>
      <c r="I10" s="864"/>
      <c r="J10" s="864"/>
      <c r="K10" s="864"/>
      <c r="L10" s="864"/>
      <c r="M10" s="864"/>
      <c r="N10" s="864"/>
      <c r="O10" s="864"/>
      <c r="P10" s="864"/>
      <c r="Q10" s="864"/>
      <c r="R10" s="864"/>
      <c r="S10" s="864"/>
      <c r="T10" s="864"/>
      <c r="U10" s="864"/>
      <c r="V10" s="864"/>
      <c r="W10" s="864"/>
      <c r="X10" s="864"/>
      <c r="Y10" s="864"/>
      <c r="Z10" s="864"/>
      <c r="AA10" s="867"/>
      <c r="AB10" s="866">
        <f t="shared" ref="AB10:AL10" si="5">AB9/AA9-1</f>
        <v>8.4000000000000075E-2</v>
      </c>
      <c r="AC10" s="866">
        <f t="shared" si="5"/>
        <v>0.12375249500997998</v>
      </c>
      <c r="AD10" s="866">
        <f t="shared" si="5"/>
        <v>0.25222024866785087</v>
      </c>
      <c r="AE10" s="866">
        <f t="shared" si="5"/>
        <v>0.29503546099290778</v>
      </c>
      <c r="AF10" s="866">
        <f t="shared" si="5"/>
        <v>0.38992332968236587</v>
      </c>
      <c r="AG10" s="866">
        <f t="shared" si="5"/>
        <v>0.27820330969267126</v>
      </c>
      <c r="AH10" s="866">
        <f t="shared" si="5"/>
        <v>0.23054918497694254</v>
      </c>
      <c r="AI10" s="866">
        <f t="shared" si="5"/>
        <v>0.15280561122244496</v>
      </c>
      <c r="AJ10" s="866">
        <f t="shared" si="5"/>
        <v>0.39895697522816165</v>
      </c>
      <c r="AK10" s="866">
        <f t="shared" si="5"/>
        <v>0.17552034793414095</v>
      </c>
      <c r="AL10" s="866">
        <f t="shared" si="5"/>
        <v>9.9999999999999867E-2</v>
      </c>
      <c r="AM10" s="1137">
        <v>0.08</v>
      </c>
      <c r="AN10" s="1137">
        <v>0.08</v>
      </c>
      <c r="AO10" s="1137">
        <v>0.08</v>
      </c>
      <c r="AP10" s="1137">
        <v>0.06</v>
      </c>
      <c r="AR10" s="1291"/>
      <c r="AS10" s="1264"/>
      <c r="AT10" s="1264"/>
      <c r="AU10" s="1270"/>
    </row>
    <row r="11" spans="1:47" x14ac:dyDescent="0.2">
      <c r="A11" s="239" t="s">
        <v>209</v>
      </c>
      <c r="B11" s="864">
        <f>'yrP&amp;L'!B7</f>
        <v>598.70000000000005</v>
      </c>
      <c r="C11" s="864">
        <f>'yrP&amp;L'!C7</f>
        <v>768.7</v>
      </c>
      <c r="D11" s="864">
        <f>'yrP&amp;L'!D7</f>
        <v>958.7</v>
      </c>
      <c r="E11" s="864">
        <f>'yrP&amp;L'!E7</f>
        <v>1301.9000000000001</v>
      </c>
      <c r="F11" s="864">
        <f>'yrP&amp;L'!F7</f>
        <v>1629.9179999999999</v>
      </c>
      <c r="G11" s="864">
        <f>'yrP&amp;L'!G7</f>
        <v>1920.231</v>
      </c>
      <c r="H11" s="864">
        <f>'yrP&amp;L'!H7</f>
        <v>2327.9459999999999</v>
      </c>
      <c r="I11" s="864">
        <f>'yrP&amp;L'!I7</f>
        <v>2671.1570000000002</v>
      </c>
      <c r="J11" s="864">
        <f>'yrP&amp;L'!J7</f>
        <v>2893.904</v>
      </c>
      <c r="K11" s="864">
        <f>'yrP&amp;L'!K7</f>
        <v>3179.82</v>
      </c>
      <c r="L11" s="864">
        <f>'yrP&amp;L'!L7</f>
        <v>3421.9790000000003</v>
      </c>
      <c r="M11" s="864">
        <f>'yrP&amp;L'!M7</f>
        <v>3589.9380000000001</v>
      </c>
      <c r="N11" s="864">
        <f>'yrP&amp;L'!N7</f>
        <v>3894.4780000000001</v>
      </c>
      <c r="O11" s="864">
        <f>'yrP&amp;L'!O7</f>
        <v>4113.5159999999996</v>
      </c>
      <c r="P11" s="864">
        <f>'yrP&amp;L'!P7</f>
        <v>4453.0630000000001</v>
      </c>
      <c r="Q11" s="864">
        <f>'yrP&amp;L'!Q7</f>
        <v>4851.6239999999998</v>
      </c>
      <c r="R11" s="864">
        <f>'yrP&amp;L'!R7</f>
        <v>5027.8900000000003</v>
      </c>
      <c r="S11" s="864">
        <f>'yrP&amp;L'!S7</f>
        <v>5149</v>
      </c>
      <c r="T11" s="864">
        <f>'yrP&amp;L'!T7</f>
        <v>5528.5370000000003</v>
      </c>
      <c r="U11" s="864">
        <f>'yrP&amp;L'!U7</f>
        <v>5634.13</v>
      </c>
      <c r="V11" s="864">
        <f>'yrP&amp;L'!V7</f>
        <v>5944.6559999999999</v>
      </c>
      <c r="W11" s="864">
        <f>'yrP&amp;L'!W7</f>
        <v>6448.5719999999992</v>
      </c>
      <c r="X11" s="864">
        <f>'yrP&amp;L'!X7</f>
        <v>7131.4129999999996</v>
      </c>
      <c r="Y11" s="864">
        <f>'yrP&amp;L'!Y7</f>
        <v>7722.6120000000001</v>
      </c>
      <c r="Z11" s="864">
        <f>'yrP&amp;L'!Z7</f>
        <v>8560.6980000000003</v>
      </c>
      <c r="AA11" s="864">
        <f>'yrP&amp;L'!AA7</f>
        <v>8827.8140000000003</v>
      </c>
      <c r="AB11" s="864">
        <f>'yrP&amp;L'!AB7</f>
        <v>8291</v>
      </c>
      <c r="AC11" s="864">
        <f>'yrP&amp;L'!AC7</f>
        <v>8258</v>
      </c>
      <c r="AD11" s="864">
        <f>'yrP&amp;L'!AD7</f>
        <v>9310</v>
      </c>
      <c r="AE11" s="864">
        <f>'yrP&amp;L'!AE7</f>
        <v>10497</v>
      </c>
      <c r="AF11" s="864">
        <f>'yrP&amp;L'!AF7</f>
        <v>11762</v>
      </c>
      <c r="AG11" s="864">
        <f>'yrP&amp;L'!AG7</f>
        <v>12166</v>
      </c>
      <c r="AH11" s="864">
        <f>'yrP&amp;L'!AH7</f>
        <v>13111</v>
      </c>
      <c r="AI11" s="864">
        <f>'yrP&amp;L'!AI7</f>
        <v>14095</v>
      </c>
      <c r="AJ11" s="864">
        <f>'yrP&amp;L'!AJ7</f>
        <v>14499</v>
      </c>
      <c r="AK11" s="864">
        <f>'yrP&amp;L'!AK7</f>
        <v>15137</v>
      </c>
      <c r="AL11" s="864">
        <f>'yrP&amp;L'!AL7</f>
        <v>15324.038457838597</v>
      </c>
      <c r="AM11" s="1146">
        <f>AL11*(1+AM26)*AM28*(1+AM47)</f>
        <v>15793.189685123163</v>
      </c>
      <c r="AN11" s="1146">
        <f>AM11*(1+AN26)*AN28*(1+AN47)</f>
        <v>16198.198393998615</v>
      </c>
      <c r="AO11" s="1146">
        <f>AN11*(1+AO26)*AO28*(1+AO47)</f>
        <v>16596.766507816799</v>
      </c>
      <c r="AP11" s="1146">
        <f>AO11*(1+AP26)*AP28*(1+AP47)</f>
        <v>16891.756163270493</v>
      </c>
      <c r="AR11" s="1289">
        <f>RATE(5,,-AE11,AJ11)*100</f>
        <v>6.6730150964209534</v>
      </c>
      <c r="AS11" s="1264" t="s">
        <v>90</v>
      </c>
      <c r="AT11" s="1290">
        <f>RATE(6,,-AJ11,AP11)*100</f>
        <v>2.5784483961650193</v>
      </c>
      <c r="AU11" s="1270" t="s">
        <v>90</v>
      </c>
    </row>
    <row r="12" spans="1:47" x14ac:dyDescent="0.2">
      <c r="A12" s="607" t="s">
        <v>23</v>
      </c>
      <c r="B12" s="866"/>
      <c r="C12" s="866">
        <f t="shared" ref="C12:M12" si="6">C11/B11-1</f>
        <v>0.28394855520293971</v>
      </c>
      <c r="D12" s="866">
        <f t="shared" si="6"/>
        <v>0.24717054767789781</v>
      </c>
      <c r="E12" s="866">
        <f t="shared" si="6"/>
        <v>0.35798477104412219</v>
      </c>
      <c r="F12" s="866">
        <f t="shared" si="6"/>
        <v>0.25195329902450259</v>
      </c>
      <c r="G12" s="866">
        <f t="shared" si="6"/>
        <v>0.17811509536062564</v>
      </c>
      <c r="H12" s="866">
        <f t="shared" si="6"/>
        <v>0.21232601702607656</v>
      </c>
      <c r="I12" s="866">
        <f t="shared" si="6"/>
        <v>0.14743082528546636</v>
      </c>
      <c r="J12" s="866">
        <f t="shared" si="6"/>
        <v>8.3389707156861226E-2</v>
      </c>
      <c r="K12" s="866">
        <f t="shared" si="6"/>
        <v>9.8799407305840248E-2</v>
      </c>
      <c r="L12" s="866">
        <f t="shared" si="6"/>
        <v>7.6154939587775416E-2</v>
      </c>
      <c r="M12" s="866">
        <f t="shared" si="6"/>
        <v>4.9082416928917461E-2</v>
      </c>
      <c r="N12" s="866">
        <f>N11/M11-1</f>
        <v>8.4831548622845254E-2</v>
      </c>
      <c r="O12" s="866">
        <f t="shared" ref="O12:AM12" si="7">O11/N11-1</f>
        <v>5.6243224380776891E-2</v>
      </c>
      <c r="P12" s="866">
        <f t="shared" si="7"/>
        <v>8.2544227371426526E-2</v>
      </c>
      <c r="Q12" s="866">
        <f t="shared" si="7"/>
        <v>8.950266367217341E-2</v>
      </c>
      <c r="R12" s="866">
        <f t="shared" si="7"/>
        <v>3.6331339774063443E-2</v>
      </c>
      <c r="S12" s="866">
        <f t="shared" si="7"/>
        <v>2.4087639148827833E-2</v>
      </c>
      <c r="T12" s="866">
        <f t="shared" si="7"/>
        <v>7.3710817634492276E-2</v>
      </c>
      <c r="U12" s="866">
        <f t="shared" si="7"/>
        <v>1.9099627984763501E-2</v>
      </c>
      <c r="V12" s="866">
        <f t="shared" si="7"/>
        <v>5.5115164186839927E-2</v>
      </c>
      <c r="W12" s="866">
        <f t="shared" si="7"/>
        <v>8.4767899101310329E-2</v>
      </c>
      <c r="X12" s="866">
        <f t="shared" si="7"/>
        <v>0.105890265317655</v>
      </c>
      <c r="Y12" s="866">
        <f t="shared" si="7"/>
        <v>8.2900681814389365E-2</v>
      </c>
      <c r="Z12" s="866">
        <f t="shared" si="7"/>
        <v>0.10852364459071628</v>
      </c>
      <c r="AA12" s="866">
        <f t="shared" si="7"/>
        <v>3.1202595863094373E-2</v>
      </c>
      <c r="AB12" s="866">
        <f t="shared" si="7"/>
        <v>-6.0809391770148324E-2</v>
      </c>
      <c r="AC12" s="866">
        <f t="shared" si="7"/>
        <v>-3.9802195151369402E-3</v>
      </c>
      <c r="AD12" s="866">
        <f t="shared" si="7"/>
        <v>0.1273916202470331</v>
      </c>
      <c r="AE12" s="866">
        <f t="shared" si="7"/>
        <v>0.12749731471535974</v>
      </c>
      <c r="AF12" s="866">
        <f t="shared" si="7"/>
        <v>0.12051062208249985</v>
      </c>
      <c r="AG12" s="866">
        <f t="shared" si="7"/>
        <v>3.4347900017003941E-2</v>
      </c>
      <c r="AH12" s="866">
        <f t="shared" si="7"/>
        <v>7.7675489067894121E-2</v>
      </c>
      <c r="AI12" s="866">
        <f t="shared" si="7"/>
        <v>7.5051483487148296E-2</v>
      </c>
      <c r="AJ12" s="866">
        <f t="shared" si="7"/>
        <v>2.8662646328485364E-2</v>
      </c>
      <c r="AK12" s="866">
        <f t="shared" si="7"/>
        <v>4.4003034692047693E-2</v>
      </c>
      <c r="AL12" s="866">
        <f t="shared" si="7"/>
        <v>1.2356375625196314E-2</v>
      </c>
      <c r="AM12" s="866">
        <f t="shared" si="7"/>
        <v>3.0615377831069379E-2</v>
      </c>
      <c r="AN12" s="866">
        <f>AN11/AM11-1</f>
        <v>2.5644516209221591E-2</v>
      </c>
      <c r="AO12" s="866">
        <f>AO11/AN11-1</f>
        <v>2.4605706395462557E-2</v>
      </c>
      <c r="AP12" s="866">
        <f>AP11/AO11-1</f>
        <v>1.7773923331075192E-2</v>
      </c>
      <c r="AR12" s="1291"/>
      <c r="AS12" s="1264"/>
      <c r="AT12" s="1264"/>
      <c r="AU12" s="1270"/>
    </row>
    <row r="13" spans="1:47" x14ac:dyDescent="0.2">
      <c r="B13" s="596"/>
      <c r="C13" s="596"/>
      <c r="D13" s="596"/>
      <c r="E13" s="596"/>
      <c r="F13" s="596"/>
      <c r="G13" s="596"/>
      <c r="H13" s="596"/>
      <c r="I13" s="596"/>
      <c r="J13" s="596"/>
      <c r="K13" s="596"/>
      <c r="L13" s="596"/>
      <c r="M13" s="596"/>
      <c r="N13" s="596"/>
      <c r="O13" s="596"/>
      <c r="P13" s="596"/>
      <c r="Q13" s="596"/>
      <c r="R13" s="596"/>
      <c r="S13" s="596"/>
      <c r="T13" s="596"/>
      <c r="U13" s="596"/>
      <c r="V13" s="596"/>
      <c r="W13" s="596"/>
      <c r="X13" s="596"/>
      <c r="Y13" s="596"/>
      <c r="Z13" s="596"/>
      <c r="AA13" s="868">
        <f t="shared" ref="AA13:AH13" si="8">AA9/AA11</f>
        <v>5.2354651080235452E-2</v>
      </c>
      <c r="AB13" s="868">
        <f t="shared" si="8"/>
        <v>6.0426969002532867E-2</v>
      </c>
      <c r="AC13" s="868">
        <f t="shared" si="8"/>
        <v>6.8176313877452169E-2</v>
      </c>
      <c r="AD13" s="868">
        <f t="shared" si="8"/>
        <v>7.5725026852846405E-2</v>
      </c>
      <c r="AE13" s="868">
        <f t="shared" si="8"/>
        <v>8.6977231589978082E-2</v>
      </c>
      <c r="AF13" s="868">
        <f t="shared" si="8"/>
        <v>0.1078898146573712</v>
      </c>
      <c r="AG13" s="868">
        <f t="shared" si="8"/>
        <v>0.13332566168009205</v>
      </c>
      <c r="AH13" s="868">
        <f t="shared" si="8"/>
        <v>0.15223857829303639</v>
      </c>
      <c r="AI13" s="868">
        <f t="shared" ref="AI13:AP13" si="9">AI9/AI11</f>
        <v>0.16324937921248669</v>
      </c>
      <c r="AJ13" s="868">
        <f t="shared" si="9"/>
        <v>0.22201531140078626</v>
      </c>
      <c r="AK13" s="868">
        <f t="shared" si="9"/>
        <v>0.24998348417784239</v>
      </c>
      <c r="AL13" s="868">
        <f t="shared" si="9"/>
        <v>0.27162552557226433</v>
      </c>
      <c r="AM13" s="868">
        <f t="shared" si="9"/>
        <v>0.28464117063284311</v>
      </c>
      <c r="AN13" s="868">
        <f t="shared" si="9"/>
        <v>0.29972613261724046</v>
      </c>
      <c r="AO13" s="868">
        <f t="shared" si="9"/>
        <v>0.3159305293793484</v>
      </c>
      <c r="AP13" s="868">
        <f t="shared" si="9"/>
        <v>0.32903806382271883</v>
      </c>
      <c r="AQ13" s="596"/>
      <c r="AR13" s="1291"/>
      <c r="AS13" s="1264"/>
      <c r="AT13" s="1264"/>
      <c r="AU13" s="1270"/>
    </row>
    <row r="14" spans="1:47" x14ac:dyDescent="0.2">
      <c r="A14" s="869" t="s">
        <v>19</v>
      </c>
      <c r="B14" s="870" t="str">
        <f t="shared" ref="B14:Z14" si="10">IF(ISERROR(B7/B43),"NA ",B7/B43)</f>
        <v xml:space="preserve">NA </v>
      </c>
      <c r="C14" s="870">
        <f t="shared" si="10"/>
        <v>0</v>
      </c>
      <c r="D14" s="870">
        <f t="shared" si="10"/>
        <v>0</v>
      </c>
      <c r="E14" s="870">
        <f t="shared" si="10"/>
        <v>0</v>
      </c>
      <c r="F14" s="870">
        <f t="shared" si="10"/>
        <v>0</v>
      </c>
      <c r="G14" s="870">
        <f t="shared" si="10"/>
        <v>0</v>
      </c>
      <c r="H14" s="870">
        <f t="shared" si="10"/>
        <v>0</v>
      </c>
      <c r="I14" s="870">
        <f t="shared" si="10"/>
        <v>0</v>
      </c>
      <c r="J14" s="870">
        <f t="shared" si="10"/>
        <v>0</v>
      </c>
      <c r="K14" s="870">
        <f t="shared" si="10"/>
        <v>0</v>
      </c>
      <c r="L14" s="870">
        <f t="shared" si="10"/>
        <v>0</v>
      </c>
      <c r="M14" s="870">
        <f t="shared" si="10"/>
        <v>0</v>
      </c>
      <c r="N14" s="870">
        <f t="shared" si="10"/>
        <v>0</v>
      </c>
      <c r="O14" s="870">
        <f t="shared" si="10"/>
        <v>0</v>
      </c>
      <c r="P14" s="870">
        <f t="shared" si="10"/>
        <v>0</v>
      </c>
      <c r="Q14" s="870">
        <f t="shared" si="10"/>
        <v>0</v>
      </c>
      <c r="R14" s="870">
        <f t="shared" si="10"/>
        <v>0</v>
      </c>
      <c r="S14" s="870">
        <f t="shared" si="10"/>
        <v>0</v>
      </c>
      <c r="T14" s="870">
        <f t="shared" si="10"/>
        <v>0</v>
      </c>
      <c r="U14" s="870">
        <f t="shared" si="10"/>
        <v>0</v>
      </c>
      <c r="V14" s="870">
        <f t="shared" si="10"/>
        <v>0</v>
      </c>
      <c r="W14" s="870">
        <f t="shared" si="10"/>
        <v>0</v>
      </c>
      <c r="X14" s="870">
        <f t="shared" si="10"/>
        <v>0</v>
      </c>
      <c r="Y14" s="870">
        <f t="shared" si="10"/>
        <v>0</v>
      </c>
      <c r="Z14" s="870">
        <f t="shared" si="10"/>
        <v>0</v>
      </c>
      <c r="AA14" s="252">
        <f t="shared" ref="AA14:AH14" si="11">AA7/AA43</f>
        <v>53.798307898577384</v>
      </c>
      <c r="AB14" s="252">
        <f t="shared" si="11"/>
        <v>47.938461538461539</v>
      </c>
      <c r="AC14" s="252">
        <f t="shared" si="11"/>
        <v>43.597733711048157</v>
      </c>
      <c r="AD14" s="252">
        <f t="shared" si="11"/>
        <v>44.355670103092784</v>
      </c>
      <c r="AE14" s="252">
        <f t="shared" si="11"/>
        <v>44.680652680652678</v>
      </c>
      <c r="AF14" s="252">
        <f t="shared" si="11"/>
        <v>45.131182795698926</v>
      </c>
      <c r="AG14" s="252">
        <f>AG7/AG43</f>
        <v>42.175839999999994</v>
      </c>
      <c r="AH14" s="252">
        <f t="shared" si="11"/>
        <v>40.271739130434781</v>
      </c>
      <c r="AI14" s="252">
        <f t="shared" ref="AI14:AP14" si="12">AI7/AI43</f>
        <v>38.354471544715445</v>
      </c>
      <c r="AJ14" s="252">
        <f t="shared" si="12"/>
        <v>33.571428571428569</v>
      </c>
      <c r="AK14" s="252">
        <f t="shared" si="12"/>
        <v>31.756643356643355</v>
      </c>
      <c r="AL14" s="252">
        <f t="shared" si="12"/>
        <v>29.923963693937257</v>
      </c>
      <c r="AM14" s="252">
        <f t="shared" si="12"/>
        <v>29.080560322067345</v>
      </c>
      <c r="AN14" s="252">
        <f t="shared" si="12"/>
        <v>28.146836312651647</v>
      </c>
      <c r="AO14" s="252">
        <f t="shared" si="12"/>
        <v>27.52325158549527</v>
      </c>
      <c r="AP14" s="252">
        <f t="shared" si="12"/>
        <v>27.017223887348013</v>
      </c>
      <c r="AR14" s="1293"/>
      <c r="AS14" s="1264"/>
      <c r="AT14" s="1290"/>
      <c r="AU14" s="1270"/>
    </row>
    <row r="15" spans="1:47" x14ac:dyDescent="0.2">
      <c r="A15" s="871" t="s">
        <v>23</v>
      </c>
      <c r="B15" s="870" t="s">
        <v>229</v>
      </c>
      <c r="C15" s="870" t="s">
        <v>229</v>
      </c>
      <c r="D15" s="870" t="s">
        <v>229</v>
      </c>
      <c r="E15" s="870" t="s">
        <v>229</v>
      </c>
      <c r="F15" s="870" t="s">
        <v>229</v>
      </c>
      <c r="G15" s="870" t="s">
        <v>229</v>
      </c>
      <c r="H15" s="870" t="s">
        <v>229</v>
      </c>
      <c r="I15" s="870" t="s">
        <v>229</v>
      </c>
      <c r="J15" s="870" t="s">
        <v>229</v>
      </c>
      <c r="K15" s="870" t="s">
        <v>229</v>
      </c>
      <c r="L15" s="870" t="s">
        <v>229</v>
      </c>
      <c r="M15" s="870" t="s">
        <v>229</v>
      </c>
      <c r="N15" s="870" t="s">
        <v>229</v>
      </c>
      <c r="O15" s="870" t="s">
        <v>229</v>
      </c>
      <c r="P15" s="870" t="s">
        <v>229</v>
      </c>
      <c r="Q15" s="870" t="s">
        <v>229</v>
      </c>
      <c r="R15" s="870" t="s">
        <v>229</v>
      </c>
      <c r="S15" s="870" t="s">
        <v>229</v>
      </c>
      <c r="T15" s="870" t="s">
        <v>229</v>
      </c>
      <c r="U15" s="870" t="s">
        <v>229</v>
      </c>
      <c r="V15" s="870" t="s">
        <v>229</v>
      </c>
      <c r="W15" s="870" t="s">
        <v>229</v>
      </c>
      <c r="X15" s="870" t="s">
        <v>229</v>
      </c>
      <c r="Y15" s="870" t="s">
        <v>229</v>
      </c>
      <c r="Z15" s="870" t="s">
        <v>229</v>
      </c>
      <c r="AA15" s="870" t="s">
        <v>229</v>
      </c>
      <c r="AB15" s="866">
        <f t="shared" ref="AB15:AM15" si="13">AB14/AA14-1</f>
        <v>-0.10892250312338914</v>
      </c>
      <c r="AC15" s="866">
        <f t="shared" si="13"/>
        <v>-9.0547916810612916E-2</v>
      </c>
      <c r="AD15" s="866">
        <f t="shared" si="13"/>
        <v>1.7384765847417327E-2</v>
      </c>
      <c r="AE15" s="866">
        <f t="shared" si="13"/>
        <v>7.3267425969343325E-3</v>
      </c>
      <c r="AF15" s="866">
        <f t="shared" si="13"/>
        <v>1.0083337821099825E-2</v>
      </c>
      <c r="AG15" s="866">
        <f t="shared" si="13"/>
        <v>-6.5483388925950847E-2</v>
      </c>
      <c r="AH15" s="866">
        <f t="shared" si="13"/>
        <v>-4.5146720718904798E-2</v>
      </c>
      <c r="AI15" s="866">
        <f t="shared" si="13"/>
        <v>-4.7608263936890438E-2</v>
      </c>
      <c r="AJ15" s="866">
        <f>AJ14/AI14-1</f>
        <v>-0.12470626710918387</v>
      </c>
      <c r="AK15" s="866">
        <f t="shared" si="13"/>
        <v>-5.4057431929772304E-2</v>
      </c>
      <c r="AL15" s="866">
        <f t="shared" si="13"/>
        <v>-5.7710118859986781E-2</v>
      </c>
      <c r="AM15" s="866">
        <f t="shared" si="13"/>
        <v>-2.818488153829668E-2</v>
      </c>
      <c r="AN15" s="866">
        <f>AN14/AM14-1</f>
        <v>-3.2108184954990571E-2</v>
      </c>
      <c r="AO15" s="866">
        <f>AO14/AN14-1</f>
        <v>-2.2154700451222031E-2</v>
      </c>
      <c r="AP15" s="866">
        <f>AP14/AO14-1</f>
        <v>-1.8385462072872727E-2</v>
      </c>
      <c r="AR15" s="1291"/>
      <c r="AS15" s="1264"/>
      <c r="AT15" s="1264"/>
      <c r="AU15" s="1270"/>
    </row>
    <row r="16" spans="1:47" ht="7.5" customHeight="1" x14ac:dyDescent="0.2">
      <c r="A16" s="871"/>
      <c r="X16" s="255"/>
      <c r="Y16" s="255"/>
      <c r="Z16" s="255"/>
      <c r="AA16" s="255"/>
      <c r="AB16" s="255"/>
      <c r="AC16" s="255"/>
      <c r="AD16" s="255"/>
      <c r="AE16" s="255"/>
      <c r="AF16" s="255"/>
      <c r="AG16" s="255"/>
      <c r="AH16" s="255"/>
      <c r="AI16" s="255"/>
      <c r="AJ16" s="255"/>
      <c r="AK16" s="255"/>
      <c r="AL16" s="255"/>
      <c r="AM16" s="255"/>
      <c r="AN16" s="255"/>
      <c r="AO16" s="255"/>
      <c r="AP16" s="255"/>
      <c r="AR16" s="1291"/>
      <c r="AS16" s="1264"/>
      <c r="AT16" s="1264"/>
      <c r="AU16" s="1270"/>
    </row>
    <row r="17" spans="1:47" x14ac:dyDescent="0.2">
      <c r="A17" s="869" t="s">
        <v>226</v>
      </c>
      <c r="B17" s="870" t="s">
        <v>229</v>
      </c>
      <c r="C17" s="252">
        <f t="shared" ref="C17:AH17" si="14">C11/C43</f>
        <v>20.498666666666669</v>
      </c>
      <c r="D17" s="252">
        <f t="shared" si="14"/>
        <v>23.101204819277111</v>
      </c>
      <c r="E17" s="252">
        <f t="shared" si="14"/>
        <v>27.122916666666669</v>
      </c>
      <c r="F17" s="252">
        <f t="shared" si="14"/>
        <v>31.046057142857141</v>
      </c>
      <c r="G17" s="252">
        <f t="shared" si="14"/>
        <v>35.233596330275226</v>
      </c>
      <c r="H17" s="252">
        <f t="shared" si="14"/>
        <v>40.841157894736838</v>
      </c>
      <c r="I17" s="252">
        <f t="shared" si="14"/>
        <v>45.660803418803418</v>
      </c>
      <c r="J17" s="252">
        <f t="shared" si="14"/>
        <v>47.441049180327866</v>
      </c>
      <c r="K17" s="252">
        <f t="shared" si="14"/>
        <v>48.546870229007638</v>
      </c>
      <c r="L17" s="252">
        <f t="shared" si="14"/>
        <v>48.88541428571429</v>
      </c>
      <c r="M17" s="252">
        <f t="shared" si="14"/>
        <v>49.177232876712331</v>
      </c>
      <c r="N17" s="252">
        <f t="shared" si="14"/>
        <v>51.926373333333338</v>
      </c>
      <c r="O17" s="252">
        <f t="shared" si="14"/>
        <v>53.422285714285707</v>
      </c>
      <c r="P17" s="252">
        <f t="shared" si="14"/>
        <v>55.663287500000003</v>
      </c>
      <c r="Q17" s="252">
        <f t="shared" si="14"/>
        <v>57.415668639053251</v>
      </c>
      <c r="R17" s="252">
        <f t="shared" si="14"/>
        <v>56.177541899441344</v>
      </c>
      <c r="S17" s="252">
        <f t="shared" si="14"/>
        <v>54.2</v>
      </c>
      <c r="T17" s="252">
        <f t="shared" si="14"/>
        <v>52.156009433962268</v>
      </c>
      <c r="U17" s="252">
        <f t="shared" si="14"/>
        <v>46.756265560165978</v>
      </c>
      <c r="V17" s="252">
        <f t="shared" si="14"/>
        <v>44.034488888888887</v>
      </c>
      <c r="W17" s="252">
        <f t="shared" si="14"/>
        <v>45.412478873239429</v>
      </c>
      <c r="X17" s="252">
        <f t="shared" si="14"/>
        <v>49.013147766323023</v>
      </c>
      <c r="Y17" s="252">
        <f t="shared" si="14"/>
        <v>50.640078688524589</v>
      </c>
      <c r="Z17" s="252">
        <f t="shared" si="14"/>
        <v>55.230309677419356</v>
      </c>
      <c r="AA17" s="252">
        <f t="shared" si="14"/>
        <v>56.770508038585213</v>
      </c>
      <c r="AB17" s="252">
        <f t="shared" si="14"/>
        <v>51.021538461538462</v>
      </c>
      <c r="AC17" s="252">
        <f t="shared" si="14"/>
        <v>46.787535410764875</v>
      </c>
      <c r="AD17" s="252">
        <f t="shared" si="14"/>
        <v>47.989690721649481</v>
      </c>
      <c r="AE17" s="252">
        <f t="shared" si="14"/>
        <v>48.93706293706294</v>
      </c>
      <c r="AF17" s="252">
        <f t="shared" si="14"/>
        <v>50.589247311827954</v>
      </c>
      <c r="AG17" s="252">
        <f t="shared" si="14"/>
        <v>48.664000000000001</v>
      </c>
      <c r="AH17" s="252">
        <f t="shared" si="14"/>
        <v>47.503623188405797</v>
      </c>
      <c r="AI17" s="252">
        <f t="shared" ref="AI17:AP17" si="15">AI11/AI43</f>
        <v>45.837398373983739</v>
      </c>
      <c r="AJ17" s="252">
        <f t="shared" si="15"/>
        <v>43.151785714285715</v>
      </c>
      <c r="AK17" s="252">
        <f t="shared" si="15"/>
        <v>42.341258741258741</v>
      </c>
      <c r="AL17" s="252">
        <f t="shared" si="15"/>
        <v>41.083213023695969</v>
      </c>
      <c r="AM17" s="252">
        <f t="shared" si="15"/>
        <v>40.651710901217925</v>
      </c>
      <c r="AN17" s="252">
        <f t="shared" si="15"/>
        <v>40.194040679897306</v>
      </c>
      <c r="AO17" s="252">
        <f t="shared" si="15"/>
        <v>40.234585473495272</v>
      </c>
      <c r="AP17" s="252">
        <f t="shared" si="15"/>
        <v>40.26640324975088</v>
      </c>
      <c r="AR17" s="1291"/>
      <c r="AS17" s="1264"/>
      <c r="AT17" s="1264"/>
      <c r="AU17" s="1270"/>
    </row>
    <row r="18" spans="1:47" x14ac:dyDescent="0.2">
      <c r="A18" s="871" t="s">
        <v>23</v>
      </c>
      <c r="B18" s="870" t="s">
        <v>229</v>
      </c>
      <c r="C18" s="870" t="s">
        <v>229</v>
      </c>
      <c r="D18" s="870" t="s">
        <v>229</v>
      </c>
      <c r="E18" s="870" t="s">
        <v>229</v>
      </c>
      <c r="F18" s="870" t="s">
        <v>229</v>
      </c>
      <c r="G18" s="870" t="s">
        <v>229</v>
      </c>
      <c r="H18" s="870" t="s">
        <v>229</v>
      </c>
      <c r="I18" s="870" t="s">
        <v>229</v>
      </c>
      <c r="J18" s="870" t="s">
        <v>229</v>
      </c>
      <c r="K18" s="870" t="s">
        <v>229</v>
      </c>
      <c r="L18" s="870" t="s">
        <v>229</v>
      </c>
      <c r="M18" s="870" t="s">
        <v>229</v>
      </c>
      <c r="N18" s="870" t="s">
        <v>229</v>
      </c>
      <c r="O18" s="870" t="s">
        <v>229</v>
      </c>
      <c r="P18" s="870" t="s">
        <v>229</v>
      </c>
      <c r="Q18" s="866">
        <f t="shared" ref="Q18:AE18" si="16">Q17/P17-1</f>
        <v>3.1481811760637468E-2</v>
      </c>
      <c r="R18" s="866">
        <f t="shared" si="16"/>
        <v>-2.1564265799906668E-2</v>
      </c>
      <c r="S18" s="866">
        <f t="shared" si="16"/>
        <v>-3.5201645222946443E-2</v>
      </c>
      <c r="T18" s="866">
        <f t="shared" si="16"/>
        <v>-3.7712003063426813E-2</v>
      </c>
      <c r="U18" s="866">
        <f t="shared" si="16"/>
        <v>-0.10353061770634919</v>
      </c>
      <c r="V18" s="866">
        <f t="shared" si="16"/>
        <v>-5.8212020114709717E-2</v>
      </c>
      <c r="W18" s="866">
        <f t="shared" si="16"/>
        <v>3.1293425201949887E-2</v>
      </c>
      <c r="X18" s="866">
        <f t="shared" si="16"/>
        <v>7.9288093986989772E-2</v>
      </c>
      <c r="Y18" s="866">
        <f t="shared" si="16"/>
        <v>3.3193765272089504E-2</v>
      </c>
      <c r="Z18" s="866">
        <f t="shared" si="16"/>
        <v>9.0644230968285333E-2</v>
      </c>
      <c r="AA18" s="866">
        <f t="shared" si="16"/>
        <v>2.7886831889258001E-2</v>
      </c>
      <c r="AB18" s="866">
        <f t="shared" si="16"/>
        <v>-0.10126683335543429</v>
      </c>
      <c r="AC18" s="866">
        <f t="shared" si="16"/>
        <v>-8.2984621366627431E-2</v>
      </c>
      <c r="AD18" s="866">
        <f t="shared" si="16"/>
        <v>2.5693922544336667E-2</v>
      </c>
      <c r="AE18" s="866">
        <f t="shared" si="16"/>
        <v>1.9741161094544601E-2</v>
      </c>
      <c r="AF18" s="866">
        <f t="shared" ref="AF18:AM18" si="17">AF17/AE17-1</f>
        <v>3.3761412630951337E-2</v>
      </c>
      <c r="AG18" s="866">
        <f t="shared" si="17"/>
        <v>-3.8056452984186251E-2</v>
      </c>
      <c r="AH18" s="866">
        <f t="shared" si="17"/>
        <v>-2.384466569937127E-2</v>
      </c>
      <c r="AI18" s="866">
        <f t="shared" si="17"/>
        <v>-3.5075741650559711E-2</v>
      </c>
      <c r="AJ18" s="866">
        <f>AJ17/AI17-1</f>
        <v>-5.8589988851162955E-2</v>
      </c>
      <c r="AK18" s="866">
        <f t="shared" si="17"/>
        <v>-1.8783161799921566E-2</v>
      </c>
      <c r="AL18" s="866">
        <f t="shared" si="17"/>
        <v>-2.9712052852526316E-2</v>
      </c>
      <c r="AM18" s="866">
        <f t="shared" si="17"/>
        <v>-1.050312501675954E-2</v>
      </c>
      <c r="AN18" s="866">
        <f>AN17/AM17-1</f>
        <v>-1.1258326185403122E-2</v>
      </c>
      <c r="AO18" s="866">
        <f>AO17/AN17-1</f>
        <v>1.0087264905975779E-3</v>
      </c>
      <c r="AP18" s="866">
        <f>AP17/AO17-1</f>
        <v>7.9080661279751219E-4</v>
      </c>
      <c r="AR18" s="1291"/>
      <c r="AS18" s="1264"/>
      <c r="AT18" s="1264"/>
      <c r="AU18" s="1270"/>
    </row>
    <row r="19" spans="1:47" ht="6" customHeight="1" x14ac:dyDescent="0.2">
      <c r="A19" s="872"/>
      <c r="AR19" s="1291"/>
      <c r="AS19" s="1264"/>
      <c r="AT19" s="1264"/>
      <c r="AU19" s="1270"/>
    </row>
    <row r="20" spans="1:47" x14ac:dyDescent="0.2">
      <c r="A20" s="869" t="s">
        <v>32</v>
      </c>
      <c r="B20" s="363"/>
      <c r="C20" s="363">
        <f t="shared" ref="C20:Q20" si="18">C48/C43*1000</f>
        <v>85.68</v>
      </c>
      <c r="D20" s="363">
        <f t="shared" si="18"/>
        <v>94.55421686746989</v>
      </c>
      <c r="E20" s="363">
        <f t="shared" si="18"/>
        <v>98.479166666666671</v>
      </c>
      <c r="F20" s="363">
        <f t="shared" si="18"/>
        <v>97.104761904761901</v>
      </c>
      <c r="G20" s="363">
        <f t="shared" si="18"/>
        <v>101.41284403669725</v>
      </c>
      <c r="H20" s="363">
        <f t="shared" si="18"/>
        <v>111.82456140350877</v>
      </c>
      <c r="I20" s="363">
        <f t="shared" si="18"/>
        <v>117.91452991452991</v>
      </c>
      <c r="J20" s="363">
        <f t="shared" si="18"/>
        <v>125.49180327868854</v>
      </c>
      <c r="K20" s="363">
        <f t="shared" si="18"/>
        <v>131.14503816793894</v>
      </c>
      <c r="L20" s="363">
        <f t="shared" si="18"/>
        <v>131.77142857142857</v>
      </c>
      <c r="M20" s="363">
        <f t="shared" si="18"/>
        <v>127.15068493150686</v>
      </c>
      <c r="N20" s="363">
        <f t="shared" si="18"/>
        <v>133.30666666666664</v>
      </c>
      <c r="O20" s="363">
        <f t="shared" si="18"/>
        <v>139.12987012987014</v>
      </c>
      <c r="P20" s="363">
        <f t="shared" si="18"/>
        <v>146.92500000000001</v>
      </c>
      <c r="Q20" s="363">
        <f t="shared" si="18"/>
        <v>149.27337278106509</v>
      </c>
      <c r="R20" s="363">
        <f t="shared" ref="R20:AH20" si="19">R48/R43*1000</f>
        <v>153.4290502793296</v>
      </c>
      <c r="S20" s="363">
        <f t="shared" si="19"/>
        <v>152.49473684210525</v>
      </c>
      <c r="T20" s="363">
        <f t="shared" si="19"/>
        <v>150.82075471698116</v>
      </c>
      <c r="U20" s="363">
        <f t="shared" si="19"/>
        <v>141.1701244813278</v>
      </c>
      <c r="V20" s="363">
        <f t="shared" si="19"/>
        <v>136.50370370370371</v>
      </c>
      <c r="W20" s="363">
        <f t="shared" si="19"/>
        <v>134.77464788732397</v>
      </c>
      <c r="X20" s="363">
        <f t="shared" si="19"/>
        <v>133.31271477663228</v>
      </c>
      <c r="Y20" s="363">
        <f t="shared" si="19"/>
        <v>131.60655737704917</v>
      </c>
      <c r="Z20" s="363">
        <f t="shared" si="19"/>
        <v>130.12903225806451</v>
      </c>
      <c r="AA20" s="363">
        <f t="shared" si="19"/>
        <v>131.84565916398714</v>
      </c>
      <c r="AB20" s="363">
        <f t="shared" si="19"/>
        <v>134.62153846153845</v>
      </c>
      <c r="AC20" s="363">
        <f t="shared" si="19"/>
        <v>129.02549575070822</v>
      </c>
      <c r="AD20" s="363">
        <f t="shared" si="19"/>
        <v>122.87628865979381</v>
      </c>
      <c r="AE20" s="363">
        <f t="shared" si="19"/>
        <v>115.36130536130534</v>
      </c>
      <c r="AF20" s="363">
        <f t="shared" si="19"/>
        <v>108.77419354838709</v>
      </c>
      <c r="AG20" s="363">
        <f t="shared" si="19"/>
        <v>104.068</v>
      </c>
      <c r="AH20" s="363">
        <f t="shared" si="19"/>
        <v>98.04710144927536</v>
      </c>
      <c r="AI20" s="363">
        <f t="shared" ref="AI20:AP20" si="20">AI48/AI43*1000</f>
        <v>93.040650406504071</v>
      </c>
      <c r="AJ20" s="363">
        <f t="shared" si="20"/>
        <v>88.666666666666671</v>
      </c>
      <c r="AK20" s="363">
        <f t="shared" si="20"/>
        <v>84.525874125874125</v>
      </c>
      <c r="AL20" s="363">
        <f t="shared" si="20"/>
        <v>84.354720644264873</v>
      </c>
      <c r="AM20" s="363">
        <f t="shared" si="20"/>
        <v>83.05212975203969</v>
      </c>
      <c r="AN20" s="363">
        <f t="shared" si="20"/>
        <v>82.13061399327087</v>
      </c>
      <c r="AO20" s="363">
        <f t="shared" si="20"/>
        <v>81.794936476395563</v>
      </c>
      <c r="AP20" s="363">
        <f t="shared" si="20"/>
        <v>81.732132460167563</v>
      </c>
      <c r="AR20" s="1291"/>
      <c r="AS20" s="1264"/>
      <c r="AT20" s="1264"/>
      <c r="AU20" s="1270"/>
    </row>
    <row r="21" spans="1:47" x14ac:dyDescent="0.2">
      <c r="A21" s="871" t="s">
        <v>23</v>
      </c>
      <c r="B21" s="866"/>
      <c r="C21" s="866"/>
      <c r="D21" s="866">
        <f t="shared" ref="D21:R21" si="21">D20/C20-1</f>
        <v>0.10357395970436367</v>
      </c>
      <c r="E21" s="866">
        <f t="shared" si="21"/>
        <v>4.1510045022086217E-2</v>
      </c>
      <c r="F21" s="866">
        <f t="shared" si="21"/>
        <v>-1.3956299676629813E-2</v>
      </c>
      <c r="G21" s="866">
        <f t="shared" si="21"/>
        <v>4.436530245716086E-2</v>
      </c>
      <c r="H21" s="866">
        <f t="shared" si="21"/>
        <v>0.10266665396982577</v>
      </c>
      <c r="I21" s="866">
        <f t="shared" si="21"/>
        <v>5.4460025906527321E-2</v>
      </c>
      <c r="J21" s="866">
        <f t="shared" si="21"/>
        <v>6.426072655889814E-2</v>
      </c>
      <c r="K21" s="866">
        <f t="shared" si="21"/>
        <v>4.504863856881447E-2</v>
      </c>
      <c r="L21" s="866">
        <f t="shared" si="21"/>
        <v>4.7763179777149389E-3</v>
      </c>
      <c r="M21" s="866">
        <f t="shared" si="21"/>
        <v>-3.5066354596110183E-2</v>
      </c>
      <c r="N21" s="866">
        <f t="shared" si="21"/>
        <v>4.8414853120735124E-2</v>
      </c>
      <c r="O21" s="866">
        <f t="shared" si="21"/>
        <v>4.3682762526531471E-2</v>
      </c>
      <c r="P21" s="866">
        <f t="shared" si="21"/>
        <v>5.6027723326799173E-2</v>
      </c>
      <c r="Q21" s="866">
        <f t="shared" si="21"/>
        <v>1.5983479877931472E-2</v>
      </c>
      <c r="R21" s="866">
        <f t="shared" si="21"/>
        <v>2.7839375642429776E-2</v>
      </c>
      <c r="S21" s="866">
        <f t="shared" ref="S21:AF21" si="22">S20/R20-1</f>
        <v>-6.0895471589204053E-3</v>
      </c>
      <c r="T21" s="866">
        <f t="shared" si="22"/>
        <v>-1.0977310822585018E-2</v>
      </c>
      <c r="U21" s="866">
        <f t="shared" si="22"/>
        <v>-6.3987415085960841E-2</v>
      </c>
      <c r="V21" s="866">
        <f t="shared" si="22"/>
        <v>-3.3055299729804477E-2</v>
      </c>
      <c r="W21" s="866">
        <f t="shared" si="22"/>
        <v>-1.2666731886871396E-2</v>
      </c>
      <c r="X21" s="866">
        <f t="shared" si="22"/>
        <v>-1.0847241180803602E-2</v>
      </c>
      <c r="Y21" s="866">
        <f t="shared" si="22"/>
        <v>-1.2798159593717662E-2</v>
      </c>
      <c r="Z21" s="866">
        <f t="shared" si="22"/>
        <v>-1.1226835109375166E-2</v>
      </c>
      <c r="AA21" s="866">
        <f t="shared" si="22"/>
        <v>1.3191728825880267E-2</v>
      </c>
      <c r="AB21" s="866">
        <f t="shared" si="22"/>
        <v>2.1054005988158764E-2</v>
      </c>
      <c r="AC21" s="866">
        <f t="shared" si="22"/>
        <v>-4.15687027111864E-2</v>
      </c>
      <c r="AD21" s="866">
        <f t="shared" si="22"/>
        <v>-4.7658852656496387E-2</v>
      </c>
      <c r="AE21" s="866">
        <f t="shared" si="22"/>
        <v>-6.115893782644366E-2</v>
      </c>
      <c r="AF21" s="866">
        <f t="shared" si="22"/>
        <v>-5.7099837699372213E-2</v>
      </c>
      <c r="AG21" s="866">
        <f t="shared" ref="AG21:AM21" si="23">AG20/AF20-1</f>
        <v>-4.3265717674970339E-2</v>
      </c>
      <c r="AH21" s="866">
        <f t="shared" si="23"/>
        <v>-5.7855426747171479E-2</v>
      </c>
      <c r="AI21" s="866">
        <f t="shared" si="23"/>
        <v>-5.1061693500050853E-2</v>
      </c>
      <c r="AJ21" s="866">
        <f>AJ20/AI20-1</f>
        <v>-4.7011534428521462E-2</v>
      </c>
      <c r="AK21" s="866">
        <f t="shared" si="23"/>
        <v>-4.6700667753299396E-2</v>
      </c>
      <c r="AL21" s="866">
        <f t="shared" si="23"/>
        <v>-2.0248649703921151E-3</v>
      </c>
      <c r="AM21" s="866">
        <f t="shared" si="23"/>
        <v>-1.5441825688906952E-2</v>
      </c>
      <c r="AN21" s="866">
        <f>AN20/AM20-1</f>
        <v>-1.1095630678226942E-2</v>
      </c>
      <c r="AO21" s="866">
        <f>AO20/AN20-1</f>
        <v>-4.0871180739353585E-3</v>
      </c>
      <c r="AP21" s="866">
        <f>AP20/AO20-1</f>
        <v>-7.6782278871412313E-4</v>
      </c>
      <c r="AR21" s="1291"/>
      <c r="AS21" s="1264"/>
      <c r="AT21" s="1264"/>
      <c r="AU21" s="1270"/>
    </row>
    <row r="22" spans="1:47" ht="6.75" customHeight="1" x14ac:dyDescent="0.2">
      <c r="A22" s="872"/>
      <c r="AR22" s="1291"/>
      <c r="AS22" s="1264"/>
      <c r="AT22" s="1264"/>
      <c r="AU22" s="1270"/>
    </row>
    <row r="23" spans="1:47" x14ac:dyDescent="0.2">
      <c r="A23" s="869" t="s">
        <v>227</v>
      </c>
      <c r="B23" s="873"/>
      <c r="C23" s="873">
        <f t="shared" ref="C23:AH23" si="24">C11/C46</f>
        <v>248.36833602584818</v>
      </c>
      <c r="D23" s="873">
        <f t="shared" si="24"/>
        <v>268.6562981644949</v>
      </c>
      <c r="E23" s="873">
        <f t="shared" si="24"/>
        <v>300.98254537047745</v>
      </c>
      <c r="F23" s="873">
        <f t="shared" si="24"/>
        <v>331.78992366412211</v>
      </c>
      <c r="G23" s="873">
        <f t="shared" si="24"/>
        <v>361.45524705882355</v>
      </c>
      <c r="H23" s="873">
        <f t="shared" si="24"/>
        <v>391.21855306276785</v>
      </c>
      <c r="I23" s="873">
        <f t="shared" si="24"/>
        <v>402.52516576250758</v>
      </c>
      <c r="J23" s="873">
        <f t="shared" si="24"/>
        <v>397.70549027691885</v>
      </c>
      <c r="K23" s="873">
        <f t="shared" si="24"/>
        <v>391.48291782086795</v>
      </c>
      <c r="L23" s="873">
        <f t="shared" si="24"/>
        <v>384.18985067924109</v>
      </c>
      <c r="M23" s="873">
        <f t="shared" si="24"/>
        <v>387.97557548903058</v>
      </c>
      <c r="N23" s="873">
        <f t="shared" si="24"/>
        <v>403.99149377593358</v>
      </c>
      <c r="O23" s="873">
        <f t="shared" si="24"/>
        <v>397.23007097677561</v>
      </c>
      <c r="P23" s="873">
        <f t="shared" si="24"/>
        <v>396.4092224150977</v>
      </c>
      <c r="Q23" s="873">
        <f t="shared" si="24"/>
        <v>398.20285953479208</v>
      </c>
      <c r="R23" s="873">
        <f t="shared" si="24"/>
        <v>381.68871344252341</v>
      </c>
      <c r="S23" s="873">
        <f t="shared" si="24"/>
        <v>364.93272239527414</v>
      </c>
      <c r="T23" s="873">
        <f t="shared" si="24"/>
        <v>362.83631948546304</v>
      </c>
      <c r="U23" s="873">
        <f t="shared" si="24"/>
        <v>341.48312018910241</v>
      </c>
      <c r="V23" s="873">
        <f t="shared" si="24"/>
        <v>335.48666723101667</v>
      </c>
      <c r="W23" s="873">
        <f t="shared" si="24"/>
        <v>343.31959750838519</v>
      </c>
      <c r="X23" s="873">
        <f t="shared" si="24"/>
        <v>370.12653431944989</v>
      </c>
      <c r="Y23" s="873">
        <f t="shared" si="24"/>
        <v>391.34527580003549</v>
      </c>
      <c r="Z23" s="873">
        <f t="shared" si="24"/>
        <v>425.48200795228627</v>
      </c>
      <c r="AA23" s="873">
        <f t="shared" si="24"/>
        <v>434.09785601888279</v>
      </c>
      <c r="AB23" s="873">
        <f t="shared" si="24"/>
        <v>391.28793241776395</v>
      </c>
      <c r="AC23" s="873">
        <f t="shared" si="24"/>
        <v>369.90750072789984</v>
      </c>
      <c r="AD23" s="873">
        <f t="shared" si="24"/>
        <v>399.47651841839905</v>
      </c>
      <c r="AE23" s="873">
        <f t="shared" si="24"/>
        <v>432.12646398946134</v>
      </c>
      <c r="AF23" s="873">
        <f t="shared" si="24"/>
        <v>470.15089437393829</v>
      </c>
      <c r="AG23" s="873">
        <f>AG11/AG46</f>
        <v>474.24328064396667</v>
      </c>
      <c r="AH23" s="873">
        <f t="shared" si="24"/>
        <v>494.02765740984961</v>
      </c>
      <c r="AI23" s="873">
        <f t="shared" ref="AI23:AP23" si="25">AI11/AI46</f>
        <v>506.36776777855619</v>
      </c>
      <c r="AJ23" s="873">
        <f t="shared" si="25"/>
        <v>496.52409164069724</v>
      </c>
      <c r="AK23" s="873">
        <f t="shared" si="25"/>
        <v>504.48258623562737</v>
      </c>
      <c r="AL23" s="873">
        <f t="shared" si="25"/>
        <v>496.86979164734481</v>
      </c>
      <c r="AM23" s="873">
        <f t="shared" si="25"/>
        <v>495.62761716822644</v>
      </c>
      <c r="AN23" s="873">
        <f t="shared" si="25"/>
        <v>495.62761716822638</v>
      </c>
      <c r="AO23" s="873">
        <f t="shared" si="25"/>
        <v>496.61887240256283</v>
      </c>
      <c r="AP23" s="873">
        <f t="shared" si="25"/>
        <v>496.61887240256294</v>
      </c>
      <c r="AR23" s="1289">
        <f>RATE(5,,-AE23,AJ23)*100</f>
        <v>2.8172283379888663</v>
      </c>
      <c r="AS23" s="1264" t="s">
        <v>90</v>
      </c>
      <c r="AT23" s="1290">
        <f>RATE(6,,-AJ23,AP23)*100</f>
        <v>3.1812227509187508E-3</v>
      </c>
      <c r="AU23" s="1270" t="s">
        <v>90</v>
      </c>
    </row>
    <row r="24" spans="1:47" x14ac:dyDescent="0.2">
      <c r="A24" s="871" t="s">
        <v>23</v>
      </c>
      <c r="B24" s="866"/>
      <c r="C24" s="866"/>
      <c r="D24" s="866">
        <f t="shared" ref="D24:R24" si="26">D23/C23-1</f>
        <v>8.1684978299871869E-2</v>
      </c>
      <c r="E24" s="866">
        <f t="shared" si="26"/>
        <v>0.12032566303801895</v>
      </c>
      <c r="F24" s="866">
        <f t="shared" si="26"/>
        <v>0.10235602950238887</v>
      </c>
      <c r="G24" s="866">
        <f t="shared" si="26"/>
        <v>8.9409958768766673E-2</v>
      </c>
      <c r="H24" s="866">
        <f t="shared" si="26"/>
        <v>8.234299058079686E-2</v>
      </c>
      <c r="I24" s="866">
        <f t="shared" si="26"/>
        <v>2.8901013541465792E-2</v>
      </c>
      <c r="J24" s="866">
        <f t="shared" si="26"/>
        <v>-1.1973600399514783E-2</v>
      </c>
      <c r="K24" s="866">
        <f t="shared" si="26"/>
        <v>-1.564618193155487E-2</v>
      </c>
      <c r="L24" s="866">
        <f t="shared" si="26"/>
        <v>-1.8629336836004651E-2</v>
      </c>
      <c r="M24" s="866">
        <f t="shared" si="26"/>
        <v>9.8537866190280265E-3</v>
      </c>
      <c r="N24" s="866">
        <f t="shared" si="26"/>
        <v>4.1280738527716521E-2</v>
      </c>
      <c r="O24" s="866">
        <f t="shared" si="26"/>
        <v>-1.6736547435595384E-2</v>
      </c>
      <c r="P24" s="866">
        <f t="shared" si="26"/>
        <v>-2.0664310727016577E-3</v>
      </c>
      <c r="Q24" s="866">
        <f t="shared" si="26"/>
        <v>4.5247108752080045E-3</v>
      </c>
      <c r="R24" s="866">
        <f t="shared" si="26"/>
        <v>-4.1471691367464425E-2</v>
      </c>
      <c r="S24" s="866">
        <f t="shared" ref="S24:AM24" si="27">S23/R23-1</f>
        <v>-4.3899624110243618E-2</v>
      </c>
      <c r="T24" s="866">
        <f t="shared" si="27"/>
        <v>-5.7446284785073187E-3</v>
      </c>
      <c r="U24" s="866">
        <f t="shared" si="27"/>
        <v>-5.8850776919580516E-2</v>
      </c>
      <c r="V24" s="866">
        <f t="shared" si="27"/>
        <v>-1.7560027432000469E-2</v>
      </c>
      <c r="W24" s="866">
        <f t="shared" si="27"/>
        <v>2.3347962951906887E-2</v>
      </c>
      <c r="X24" s="866">
        <f t="shared" si="27"/>
        <v>7.8081580561127018E-2</v>
      </c>
      <c r="Y24" s="866">
        <f t="shared" si="27"/>
        <v>5.7328344533850828E-2</v>
      </c>
      <c r="Z24" s="866">
        <f t="shared" si="27"/>
        <v>8.7229191875292988E-2</v>
      </c>
      <c r="AA24" s="866">
        <f t="shared" si="27"/>
        <v>2.0249617858254298E-2</v>
      </c>
      <c r="AB24" s="866">
        <f t="shared" si="27"/>
        <v>-9.8618141065540454E-2</v>
      </c>
      <c r="AC24" s="866">
        <f t="shared" si="27"/>
        <v>-5.4641173209085792E-2</v>
      </c>
      <c r="AD24" s="866">
        <f t="shared" si="27"/>
        <v>7.9936247933101168E-2</v>
      </c>
      <c r="AE24" s="866">
        <f t="shared" si="27"/>
        <v>8.1731826692415854E-2</v>
      </c>
      <c r="AF24" s="866">
        <f t="shared" si="27"/>
        <v>8.7993755423884989E-2</v>
      </c>
      <c r="AG24" s="866">
        <f t="shared" si="27"/>
        <v>8.7044102627473752E-3</v>
      </c>
      <c r="AH24" s="866">
        <f t="shared" si="27"/>
        <v>4.1717779826037971E-2</v>
      </c>
      <c r="AI24" s="866">
        <f t="shared" si="27"/>
        <v>2.4978582036084607E-2</v>
      </c>
      <c r="AJ24" s="866">
        <f>AJ23/AI23-1</f>
        <v>-1.9439776313258106E-2</v>
      </c>
      <c r="AK24" s="866">
        <f t="shared" si="27"/>
        <v>1.6028415798782891E-2</v>
      </c>
      <c r="AL24" s="866">
        <f t="shared" si="27"/>
        <v>-1.5090302016345203E-2</v>
      </c>
      <c r="AM24" s="866">
        <f t="shared" si="27"/>
        <v>-2.5000000000000577E-3</v>
      </c>
      <c r="AN24" s="866">
        <f>AN23/AM23-1</f>
        <v>0</v>
      </c>
      <c r="AO24" s="866">
        <f>AO23/AN23-1</f>
        <v>2.0000000000000018E-3</v>
      </c>
      <c r="AP24" s="866">
        <f>AP23/AO23-1</f>
        <v>0</v>
      </c>
      <c r="AR24" s="1291"/>
      <c r="AS24" s="1264"/>
      <c r="AT24" s="1264"/>
      <c r="AU24" s="1270"/>
    </row>
    <row r="25" spans="1:47" ht="6.75" customHeight="1" x14ac:dyDescent="0.2">
      <c r="A25" s="872"/>
      <c r="AR25" s="1291"/>
      <c r="AS25" s="1264"/>
      <c r="AT25" s="1264"/>
      <c r="AU25" s="1270"/>
    </row>
    <row r="26" spans="1:47" x14ac:dyDescent="0.2">
      <c r="A26" s="869" t="s">
        <v>29</v>
      </c>
      <c r="B26" s="874">
        <f>'yrP&amp;L'!B9</f>
        <v>0.08</v>
      </c>
      <c r="C26" s="874">
        <f>'yrP&amp;L'!C9</f>
        <v>0.21</v>
      </c>
      <c r="D26" s="874">
        <f>'yrP&amp;L'!D9</f>
        <v>0.11</v>
      </c>
      <c r="E26" s="874">
        <f>'yrP&amp;L'!E9</f>
        <v>0.11</v>
      </c>
      <c r="F26" s="874">
        <f>'yrP&amp;L'!F9</f>
        <v>0.14000000000000001</v>
      </c>
      <c r="G26" s="874">
        <f>'yrP&amp;L'!G9</f>
        <v>0.11</v>
      </c>
      <c r="H26" s="874">
        <f>'yrP&amp;L'!H9</f>
        <v>0.09</v>
      </c>
      <c r="I26" s="874">
        <f>'yrP&amp;L'!I9</f>
        <v>0.08</v>
      </c>
      <c r="J26" s="874">
        <f>INDEX('qtrP&amp;L'!14:14,MATCH(J5,'qtrP&amp;L'!6:6,0)+2)%</f>
        <v>-1.3999999999999999E-2</v>
      </c>
      <c r="K26" s="874">
        <f>INDEX('qtrP&amp;L'!14:14,MATCH(K5,'qtrP&amp;L'!6:6,0)+2)%</f>
        <v>1.3999999999999999E-2</v>
      </c>
      <c r="L26" s="874">
        <f>INDEX('qtrP&amp;L'!14:14,MATCH(L5,'qtrP&amp;L'!6:6,0)+2)%</f>
        <v>1.3999999999999999E-2</v>
      </c>
      <c r="M26" s="874">
        <f>INDEX('qtrP&amp;L'!14:14,MATCH(M5,'qtrP&amp;L'!6:6,0)+2)%</f>
        <v>2.6699999999999998E-2</v>
      </c>
      <c r="N26" s="874">
        <f>INDEX('qtrP&amp;L'!14:14,MATCH(N5,'qtrP&amp;L'!6:6,0)+2)%</f>
        <v>4.3946778079116122E-2</v>
      </c>
      <c r="O26" s="874">
        <f>INDEX('qtrP&amp;L'!14:14,MATCH(O5,'qtrP&amp;L'!6:6,0)+2)%</f>
        <v>-6.7070384556666375E-3</v>
      </c>
      <c r="P26" s="874">
        <f>INDEX('qtrP&amp;L'!14:14,MATCH(P5,'qtrP&amp;L'!6:6,0)+2)%</f>
        <v>6.4808741758201035E-3</v>
      </c>
      <c r="Q26" s="874">
        <f>INDEX('qtrP&amp;L'!14:14,MATCH(Q5,'qtrP&amp;L'!6:6,0)+2)%</f>
        <v>3.8380962127320666E-2</v>
      </c>
      <c r="R26" s="874">
        <f>INDEX('qtrP&amp;L'!14:14,MATCH(R5,'qtrP&amp;L'!6:6,0)+2)%</f>
        <v>0</v>
      </c>
      <c r="S26" s="874">
        <f>INDEX('qtrP&amp;L'!14:14,MATCH(S5,'qtrP&amp;L'!6:6,0)+2)%</f>
        <v>0</v>
      </c>
      <c r="T26" s="874">
        <f>INDEX('qtrP&amp;L'!14:14,MATCH(T5,'qtrP&amp;L'!6:6,0)+2)%</f>
        <v>5.1341592674625011E-3</v>
      </c>
      <c r="U26" s="874">
        <f>INDEX('qtrP&amp;L'!14:14,MATCH(U5,'qtrP&amp;L'!6:6,0)+2)%</f>
        <v>-5.9000000000000004E-2</v>
      </c>
      <c r="V26" s="874">
        <f>INDEX('qtrP&amp;L'!14:14,MATCH(V5,'qtrP&amp;L'!6:6,0)+2)%</f>
        <v>1.3000000000000001E-2</v>
      </c>
      <c r="W26" s="874">
        <f>INDEX('qtrP&amp;L'!14:14,MATCH(W5,'qtrP&amp;L'!6:6,0)+2)%</f>
        <v>4.0999999999999995E-2</v>
      </c>
      <c r="X26" s="874">
        <f>INDEX('qtrP&amp;L'!14:14,MATCH(X5,'qtrP&amp;L'!6:6,0)+2)%</f>
        <v>8.5000000000000006E-2</v>
      </c>
      <c r="Y26" s="874">
        <f>INDEX('qtrP&amp;L'!14:14,MATCH(Y5,'qtrP&amp;L'!6:6,0)+2)%</f>
        <v>0.06</v>
      </c>
      <c r="Z26" s="874">
        <f>INDEX('qtrP&amp;L'!14:14,MATCH(Z5,'qtrP&amp;L'!6:6,0)+2)%</f>
        <v>7.4999999999999997E-2</v>
      </c>
      <c r="AA26" s="874">
        <f>INDEX('qtrP&amp;L'!14:14,MATCH(AA5,'qtrP&amp;L'!6:6,0)+2)%</f>
        <v>3.9E-2</v>
      </c>
      <c r="AB26" s="874">
        <f>INDEX('qtrP&amp;L'!14:14,MATCH(AB5,'qtrP&amp;L'!6:6,0)+2)%</f>
        <v>-0.09</v>
      </c>
      <c r="AC26" s="874">
        <f>INDEX('qtrP&amp;L'!14:14,MATCH(AC5,'qtrP&amp;L'!6:6,0)+2)%</f>
        <v>-4.2000000000000003E-2</v>
      </c>
      <c r="AD26" s="874">
        <f>INDEX('qtrP&amp;L'!14:14,MATCH(AD5,'qtrP&amp;L'!6:6,0)+2)%</f>
        <v>8.1000000000000003E-2</v>
      </c>
      <c r="AE26" s="874">
        <f>INDEX('qtrP&amp;L'!14:14,MATCH(AE5,'qtrP&amp;L'!6:6,0)+2)%</f>
        <v>7.2000000000000008E-2</v>
      </c>
      <c r="AF26" s="874">
        <f>INDEX('qtrP&amp;L'!14:14,MATCH(AF5,'qtrP&amp;L'!6:6,0)+2)%</f>
        <v>7.2999999999999995E-2</v>
      </c>
      <c r="AG26" s="874">
        <f>INDEX('qtrP&amp;L'!14:14,MATCH(AG5,'qtrP&amp;L'!6:6,0)+2)%</f>
        <v>2.5000000000000001E-2</v>
      </c>
      <c r="AH26" s="874">
        <f>INDEX('qtrP&amp;L'!14:14,MATCH(AH5,'qtrP&amp;L'!6:6,0)+2)%</f>
        <v>0.04</v>
      </c>
      <c r="AI26" s="874">
        <f>INDEX('qtrP&amp;L'!14:14,MATCH(AI5,'qtrP&amp;L'!6:6,0)+2)%</f>
        <v>2.7000000000000003E-2</v>
      </c>
      <c r="AJ26" s="874">
        <f>INDEX('qtrP&amp;L'!14:14,MATCH(AJ5,'qtrP&amp;L'!6:6,0)+2)%</f>
        <v>-4.0000000000000001E-3</v>
      </c>
      <c r="AK26" s="874">
        <f>'qtrP&amp;L'!DJ14/100</f>
        <v>8.0000000000000002E-3</v>
      </c>
      <c r="AL26" s="874">
        <f>'qtrP&amp;L'!DN14/100</f>
        <v>5.4937506829665474E-3</v>
      </c>
      <c r="AM26" s="875">
        <v>0</v>
      </c>
      <c r="AN26" s="875">
        <v>0</v>
      </c>
      <c r="AO26" s="875">
        <v>0</v>
      </c>
      <c r="AP26" s="875">
        <v>0</v>
      </c>
      <c r="AR26" s="1291"/>
      <c r="AS26" s="1264"/>
      <c r="AT26" s="1264"/>
      <c r="AU26" s="1270"/>
    </row>
    <row r="27" spans="1:47" ht="8.25" customHeight="1" x14ac:dyDescent="0.2">
      <c r="AG27" s="368"/>
      <c r="AH27" s="368"/>
      <c r="AI27" s="368"/>
      <c r="AJ27" s="368"/>
      <c r="AK27" s="368"/>
      <c r="AL27" s="368"/>
      <c r="AM27" s="368"/>
      <c r="AN27" s="368"/>
      <c r="AO27" s="368"/>
      <c r="AP27" s="368"/>
      <c r="AR27" s="1291"/>
      <c r="AS27" s="1264"/>
      <c r="AT27" s="1264"/>
      <c r="AU27" s="1270"/>
    </row>
    <row r="28" spans="1:47" x14ac:dyDescent="0.2">
      <c r="A28" s="239" t="s">
        <v>201</v>
      </c>
      <c r="C28" s="876"/>
      <c r="D28" s="876">
        <f t="shared" ref="D28:AE28" si="28">D11/((C11-D30)*(1+D26)*(D46/C46))</f>
        <v>0.9744909714413259</v>
      </c>
      <c r="E28" s="876">
        <f t="shared" si="28"/>
        <v>1.0093023991333503</v>
      </c>
      <c r="F28" s="876">
        <f t="shared" si="28"/>
        <v>0.96697897324770965</v>
      </c>
      <c r="G28" s="876">
        <f t="shared" si="28"/>
        <v>0.98145041330519511</v>
      </c>
      <c r="H28" s="876">
        <f t="shared" si="28"/>
        <v>0.99297522071632727</v>
      </c>
      <c r="I28" s="876">
        <f t="shared" si="28"/>
        <v>0.95268612364950545</v>
      </c>
      <c r="J28" s="876">
        <f t="shared" si="28"/>
        <v>1.0020551720086053</v>
      </c>
      <c r="K28" s="876">
        <f t="shared" si="28"/>
        <v>0.97076313418978821</v>
      </c>
      <c r="L28" s="876">
        <f t="shared" si="28"/>
        <v>0.96782116682839781</v>
      </c>
      <c r="M28" s="876">
        <f t="shared" si="28"/>
        <v>0.98359188333401004</v>
      </c>
      <c r="N28" s="876">
        <f t="shared" si="28"/>
        <v>0.99744619207857976</v>
      </c>
      <c r="O28" s="876">
        <f t="shared" si="28"/>
        <v>0.98990276850010561</v>
      </c>
      <c r="P28" s="876">
        <f t="shared" si="28"/>
        <v>0.9915077320713912</v>
      </c>
      <c r="Q28" s="876">
        <f t="shared" si="28"/>
        <v>0.96739515410341181</v>
      </c>
      <c r="R28" s="876">
        <f t="shared" si="28"/>
        <v>0.95852830863253546</v>
      </c>
      <c r="S28" s="876">
        <f t="shared" si="28"/>
        <v>0.95610037588975627</v>
      </c>
      <c r="T28" s="876">
        <f t="shared" si="28"/>
        <v>0.98917678038730839</v>
      </c>
      <c r="U28" s="876">
        <f t="shared" si="28"/>
        <v>1.0001585792565564</v>
      </c>
      <c r="V28" s="876">
        <f t="shared" si="28"/>
        <v>0.96983215455873628</v>
      </c>
      <c r="W28" s="876">
        <f t="shared" si="28"/>
        <v>0.98304319207675994</v>
      </c>
      <c r="X28" s="876">
        <f t="shared" si="28"/>
        <v>0.99362357655403422</v>
      </c>
      <c r="Y28" s="876">
        <f t="shared" si="28"/>
        <v>0.99747957031495371</v>
      </c>
      <c r="Z28" s="876">
        <f t="shared" si="28"/>
        <v>1.0113759924421333</v>
      </c>
      <c r="AA28" s="876">
        <f t="shared" si="28"/>
        <v>0.98195343393479739</v>
      </c>
      <c r="AB28" s="876">
        <f t="shared" si="28"/>
        <v>0.9905295153125927</v>
      </c>
      <c r="AC28" s="876">
        <f t="shared" si="28"/>
        <v>0.98680462086734266</v>
      </c>
      <c r="AD28" s="876">
        <f t="shared" si="28"/>
        <v>0.99901595553478395</v>
      </c>
      <c r="AE28" s="876">
        <f t="shared" si="28"/>
        <v>1.0090781965414328</v>
      </c>
      <c r="AF28" s="876">
        <f t="shared" ref="AF28:AL28" si="29">AF11/((AE11-AF30)*(1+AF26)*(AF46/AE46))</f>
        <v>1.0139736770026888</v>
      </c>
      <c r="AG28" s="876">
        <f t="shared" si="29"/>
        <v>0.99784535521534368</v>
      </c>
      <c r="AH28" s="876">
        <f t="shared" si="29"/>
        <v>1.0016517113711905</v>
      </c>
      <c r="AI28" s="255">
        <f t="shared" si="29"/>
        <v>0.99803172544896235</v>
      </c>
      <c r="AJ28" s="255">
        <f t="shared" si="29"/>
        <v>0.98449821655295366</v>
      </c>
      <c r="AK28" s="255">
        <f t="shared" si="29"/>
        <v>1.0079646982130783</v>
      </c>
      <c r="AL28" s="255">
        <f t="shared" si="29"/>
        <v>0.97952841309522753</v>
      </c>
      <c r="AM28" s="1144">
        <v>0.99750000000000005</v>
      </c>
      <c r="AN28" s="1144">
        <v>1</v>
      </c>
      <c r="AO28" s="1144">
        <v>1.002</v>
      </c>
      <c r="AP28" s="1144">
        <v>1</v>
      </c>
      <c r="AR28" s="1291"/>
      <c r="AS28" s="1264"/>
      <c r="AT28" s="1264"/>
      <c r="AU28" s="1270"/>
    </row>
    <row r="29" spans="1:47" ht="9.75" customHeight="1" thickBot="1" x14ac:dyDescent="0.25">
      <c r="B29" s="876"/>
      <c r="C29" s="876"/>
      <c r="D29" s="876"/>
      <c r="E29" s="876"/>
      <c r="F29" s="876"/>
      <c r="G29" s="876"/>
      <c r="H29" s="876"/>
      <c r="I29" s="876"/>
      <c r="J29" s="876"/>
      <c r="K29" s="876"/>
      <c r="L29" s="876"/>
      <c r="M29" s="876"/>
      <c r="N29" s="876"/>
      <c r="O29" s="876"/>
      <c r="P29" s="876"/>
      <c r="Q29" s="876"/>
      <c r="R29" s="876"/>
      <c r="S29" s="876"/>
      <c r="T29" s="876"/>
      <c r="U29" s="876"/>
      <c r="V29" s="876"/>
      <c r="W29" s="876"/>
      <c r="X29" s="876"/>
      <c r="Y29" s="876"/>
      <c r="Z29" s="876"/>
      <c r="AA29" s="876"/>
      <c r="AB29" s="876"/>
      <c r="AC29" s="876"/>
      <c r="AD29" s="876"/>
      <c r="AE29" s="876"/>
      <c r="AF29" s="876"/>
      <c r="AG29" s="877"/>
      <c r="AH29" s="877"/>
      <c r="AI29" s="877"/>
      <c r="AJ29" s="877"/>
      <c r="AK29" s="877"/>
      <c r="AL29" s="877"/>
      <c r="AM29" s="877"/>
      <c r="AN29" s="877"/>
      <c r="AO29" s="877"/>
      <c r="AP29" s="877"/>
      <c r="AR29" s="1291"/>
      <c r="AS29" s="1264"/>
      <c r="AT29" s="1264"/>
      <c r="AU29" s="1270"/>
    </row>
    <row r="30" spans="1:47" ht="13.5" outlineLevel="1" thickBot="1" x14ac:dyDescent="0.25">
      <c r="A30" s="239" t="s">
        <v>244</v>
      </c>
      <c r="AG30" s="1140">
        <f>qtrSales!R122</f>
        <v>162</v>
      </c>
      <c r="AH30" s="831"/>
      <c r="AK30" s="254"/>
      <c r="AL30" s="254"/>
      <c r="AR30" s="1291"/>
      <c r="AS30" s="1264"/>
      <c r="AT30" s="1264"/>
      <c r="AU30" s="1270"/>
    </row>
    <row r="31" spans="1:47" outlineLevel="1" x14ac:dyDescent="0.2">
      <c r="A31" s="504"/>
      <c r="B31" s="504"/>
      <c r="C31" s="504"/>
      <c r="D31" s="504"/>
      <c r="E31" s="504"/>
      <c r="F31" s="504"/>
      <c r="G31" s="504"/>
      <c r="H31" s="504"/>
      <c r="I31" s="504"/>
      <c r="J31" s="504"/>
      <c r="K31" s="504"/>
      <c r="L31" s="504"/>
      <c r="M31" s="504"/>
      <c r="N31" s="504"/>
      <c r="O31" s="504"/>
      <c r="P31" s="504"/>
      <c r="Q31" s="504"/>
      <c r="R31" s="504"/>
      <c r="S31" s="504"/>
      <c r="T31" s="504"/>
      <c r="U31" s="504"/>
      <c r="V31" s="504"/>
      <c r="W31" s="504"/>
      <c r="X31" s="504"/>
      <c r="Y31" s="504"/>
      <c r="Z31" s="504"/>
      <c r="AA31" s="504"/>
      <c r="AB31" s="504"/>
      <c r="AC31" s="504"/>
      <c r="AD31" s="504"/>
      <c r="AE31" s="504"/>
      <c r="AF31" s="504"/>
      <c r="AR31" s="1291"/>
      <c r="AS31" s="1264"/>
      <c r="AT31" s="1264"/>
      <c r="AU31" s="1270"/>
    </row>
    <row r="32" spans="1:47" x14ac:dyDescent="0.2">
      <c r="A32" s="239" t="s">
        <v>30</v>
      </c>
      <c r="B32" s="878">
        <f>'yrP&amp;L'!B34</f>
        <v>31.200000000000074</v>
      </c>
      <c r="C32" s="878">
        <f>'yrP&amp;L'!C34</f>
        <v>47.599999999999966</v>
      </c>
      <c r="D32" s="878">
        <f>'yrP&amp;L'!D34</f>
        <v>40.000000000000057</v>
      </c>
      <c r="E32" s="878">
        <f>'yrP&amp;L'!E34</f>
        <v>44.600000000000193</v>
      </c>
      <c r="F32" s="878">
        <f>'yrP&amp;L'!F34</f>
        <v>76.190999999999804</v>
      </c>
      <c r="G32" s="878">
        <f>'yrP&amp;L'!G34</f>
        <v>88.034999999999911</v>
      </c>
      <c r="H32" s="878">
        <f>'yrP&amp;L'!H34</f>
        <v>238.40900000000011</v>
      </c>
      <c r="I32" s="878">
        <f>'yrP&amp;L'!I34</f>
        <v>228.53200000000015</v>
      </c>
      <c r="J32" s="878">
        <f>'yrP&amp;L'!J34</f>
        <v>230.54399999999987</v>
      </c>
      <c r="K32" s="878">
        <f>'yrP&amp;L'!K34</f>
        <v>266.32100000000048</v>
      </c>
      <c r="L32" s="878">
        <f>'yrP&amp;L'!L34</f>
        <v>273.52900000000022</v>
      </c>
      <c r="M32" s="878">
        <f>'yrP&amp;L'!M34</f>
        <v>268.56400000000008</v>
      </c>
      <c r="N32" s="878">
        <f>'yrP&amp;L'!N34</f>
        <v>366.22200000000043</v>
      </c>
      <c r="O32" s="878">
        <f>'yrP&amp;L'!O34</f>
        <v>311.23999999999978</v>
      </c>
      <c r="P32" s="878">
        <f>'yrP&amp;L'!P34</f>
        <v>282.90499999999997</v>
      </c>
      <c r="Q32" s="878">
        <f>'yrP&amp;L'!Q34</f>
        <v>341.46299999999974</v>
      </c>
      <c r="R32" s="878">
        <f>'yrP&amp;L'!R34</f>
        <v>384.81400000000031</v>
      </c>
      <c r="S32" s="878">
        <f>'yrP&amp;L'!S34</f>
        <v>382.18700000000013</v>
      </c>
      <c r="T32" s="878">
        <f>'yrP&amp;L'!T34</f>
        <v>262.573000000001</v>
      </c>
      <c r="U32" s="878">
        <f>'yrP&amp;L'!U34</f>
        <v>279.52600000000052</v>
      </c>
      <c r="V32" s="878">
        <f>'yrP&amp;L'!V34</f>
        <v>330.71299999999974</v>
      </c>
      <c r="W32" s="878">
        <f>'yrP&amp;L'!W34</f>
        <v>489.14099999999894</v>
      </c>
      <c r="X32" s="878">
        <f>'yrP&amp;L'!X34</f>
        <v>724.73399999999992</v>
      </c>
      <c r="Y32" s="878">
        <f>'yrP&amp;L'!Y34</f>
        <v>930.27699999999913</v>
      </c>
      <c r="Z32" s="878">
        <f>'yrP&amp;L'!Z34</f>
        <v>1148.4109999999996</v>
      </c>
      <c r="AA32" s="878">
        <f>'yrP&amp;L'!AA34</f>
        <v>1212.5820000000003</v>
      </c>
      <c r="AB32" s="878">
        <f>'yrP&amp;L'!AB34</f>
        <v>779.55099999999993</v>
      </c>
      <c r="AC32" s="878">
        <f>'yrP&amp;L'!AC34</f>
        <v>834</v>
      </c>
      <c r="AD32" s="878">
        <f>'yrP&amp;L'!AD34</f>
        <v>1118</v>
      </c>
      <c r="AE32" s="878">
        <f>'yrP&amp;L'!AE34</f>
        <v>1249</v>
      </c>
      <c r="AF32" s="878">
        <f>'yrP&amp;L'!AF34</f>
        <v>1345</v>
      </c>
      <c r="AG32" s="878">
        <f>'yrP&amp;L'!AG34</f>
        <v>1350</v>
      </c>
      <c r="AH32" s="878">
        <f>'yrP&amp;L'!AH34</f>
        <v>1323</v>
      </c>
      <c r="AI32" s="878">
        <f>'yrP&amp;L'!AI34</f>
        <v>1129</v>
      </c>
      <c r="AJ32" s="878">
        <f>'yrP&amp;L'!AJ34</f>
        <v>1003</v>
      </c>
      <c r="AK32" s="878">
        <f>'yrP&amp;L'!AK34</f>
        <v>926</v>
      </c>
      <c r="AL32" s="878">
        <f>'yrP&amp;L'!AL34</f>
        <v>847.73563867596931</v>
      </c>
      <c r="AM32" s="878">
        <f>'yrP&amp;L'!AM34</f>
        <v>812.85983731807028</v>
      </c>
      <c r="AN32" s="878">
        <f>'yrP&amp;L'!AN34</f>
        <v>781.7326241807541</v>
      </c>
      <c r="AO32" s="878">
        <f>'yrP&amp;L'!AO34</f>
        <v>750.63372010559578</v>
      </c>
      <c r="AP32" s="878">
        <f>'yrP&amp;L'!AP34</f>
        <v>731.61618079369873</v>
      </c>
      <c r="AR32" s="1289">
        <f>RATE(5,,-AE32,AJ32)*100</f>
        <v>-4.2921194411984134</v>
      </c>
      <c r="AS32" s="1264" t="s">
        <v>90</v>
      </c>
      <c r="AT32" s="1290">
        <f>RATE(6,,-AJ32,AP32)*100</f>
        <v>-5.1223917406720822</v>
      </c>
      <c r="AU32" s="1270" t="s">
        <v>90</v>
      </c>
    </row>
    <row r="33" spans="1:47" x14ac:dyDescent="0.2">
      <c r="A33" s="607" t="s">
        <v>37</v>
      </c>
      <c r="B33" s="532">
        <f t="shared" ref="B33:P33" si="30">B32/B11</f>
        <v>5.2112911307833756E-2</v>
      </c>
      <c r="C33" s="532">
        <f t="shared" si="30"/>
        <v>6.1922726681410127E-2</v>
      </c>
      <c r="D33" s="532">
        <f t="shared" si="30"/>
        <v>4.1723166788359294E-2</v>
      </c>
      <c r="E33" s="532">
        <f t="shared" si="30"/>
        <v>3.42576234733852E-2</v>
      </c>
      <c r="F33" s="532">
        <f t="shared" si="30"/>
        <v>4.6745296389143383E-2</v>
      </c>
      <c r="G33" s="532">
        <f t="shared" si="30"/>
        <v>4.5846046647512677E-2</v>
      </c>
      <c r="H33" s="532">
        <f t="shared" si="30"/>
        <v>0.10241173979121514</v>
      </c>
      <c r="I33" s="532">
        <f t="shared" si="30"/>
        <v>8.5555435341314698E-2</v>
      </c>
      <c r="J33" s="532">
        <f t="shared" si="30"/>
        <v>7.966539318512289E-2</v>
      </c>
      <c r="K33" s="532">
        <f t="shared" si="30"/>
        <v>8.3753482901548035E-2</v>
      </c>
      <c r="L33" s="532">
        <f t="shared" si="30"/>
        <v>7.9932986146320648E-2</v>
      </c>
      <c r="M33" s="532">
        <f t="shared" si="30"/>
        <v>7.4810205635863367E-2</v>
      </c>
      <c r="N33" s="532">
        <f t="shared" si="30"/>
        <v>9.4036222569494662E-2</v>
      </c>
      <c r="O33" s="532">
        <f t="shared" si="30"/>
        <v>7.5662766353649727E-2</v>
      </c>
      <c r="P33" s="532">
        <f t="shared" si="30"/>
        <v>6.3530428381543214E-2</v>
      </c>
      <c r="Q33" s="532">
        <f t="shared" ref="Q33:AK33" si="31">Q32/Q11</f>
        <v>7.0381175457949696E-2</v>
      </c>
      <c r="R33" s="532">
        <f t="shared" si="31"/>
        <v>7.6535882845487929E-2</v>
      </c>
      <c r="S33" s="532">
        <f t="shared" si="31"/>
        <v>7.422548067585942E-2</v>
      </c>
      <c r="T33" s="532">
        <f t="shared" si="31"/>
        <v>4.7494120053822739E-2</v>
      </c>
      <c r="U33" s="532">
        <f t="shared" si="31"/>
        <v>4.9612983725970207E-2</v>
      </c>
      <c r="V33" s="532">
        <f t="shared" si="31"/>
        <v>5.5631982742146854E-2</v>
      </c>
      <c r="W33" s="532">
        <f t="shared" si="31"/>
        <v>7.5852607367956654E-2</v>
      </c>
      <c r="X33" s="532">
        <f t="shared" si="31"/>
        <v>0.10162558247573096</v>
      </c>
      <c r="Y33" s="532">
        <f t="shared" si="31"/>
        <v>0.12046144491008989</v>
      </c>
      <c r="Z33" s="532">
        <f t="shared" si="31"/>
        <v>0.13414922474779506</v>
      </c>
      <c r="AA33" s="532">
        <f t="shared" si="31"/>
        <v>0.137359260174716</v>
      </c>
      <c r="AB33" s="532">
        <f t="shared" si="31"/>
        <v>9.4023760704378234E-2</v>
      </c>
      <c r="AC33" s="532">
        <f t="shared" si="31"/>
        <v>0.10099297650762896</v>
      </c>
      <c r="AD33" s="532">
        <f t="shared" si="31"/>
        <v>0.12008592910848551</v>
      </c>
      <c r="AE33" s="532">
        <f t="shared" si="31"/>
        <v>0.11898637706011242</v>
      </c>
      <c r="AF33" s="532">
        <f t="shared" si="31"/>
        <v>0.11435130079918381</v>
      </c>
      <c r="AG33" s="532">
        <f t="shared" si="31"/>
        <v>0.1109649843827059</v>
      </c>
      <c r="AH33" s="532">
        <f t="shared" si="31"/>
        <v>0.1009076348104645</v>
      </c>
      <c r="AI33" s="532">
        <f>AI32/AI11</f>
        <v>8.0099326002128421E-2</v>
      </c>
      <c r="AJ33" s="532">
        <f t="shared" si="31"/>
        <v>6.9177184633422997E-2</v>
      </c>
      <c r="AK33" s="532">
        <f t="shared" si="31"/>
        <v>6.1174605271850431E-2</v>
      </c>
      <c r="AL33" s="532">
        <f>AL32/AL11</f>
        <v>5.5320641553358481E-2</v>
      </c>
      <c r="AM33" s="532">
        <f>AM32/AM11</f>
        <v>5.1469009967237099E-2</v>
      </c>
      <c r="AN33" s="532">
        <f>AN32/AN11</f>
        <v>4.8260467316561806E-2</v>
      </c>
      <c r="AO33" s="532">
        <f>AO32/AO11</f>
        <v>4.5227708647468161E-2</v>
      </c>
      <c r="AP33" s="532">
        <f>AP32/AP11</f>
        <v>4.3312025920935804E-2</v>
      </c>
      <c r="AR33" s="1294"/>
      <c r="AS33" s="1279"/>
      <c r="AT33" s="1279"/>
      <c r="AU33" s="1295"/>
    </row>
    <row r="34" spans="1:47" x14ac:dyDescent="0.2">
      <c r="A34" s="607"/>
      <c r="B34" s="532"/>
      <c r="C34" s="532"/>
      <c r="D34" s="532"/>
      <c r="E34" s="532"/>
      <c r="F34" s="532"/>
      <c r="G34" s="532"/>
      <c r="H34" s="532"/>
      <c r="I34" s="532"/>
      <c r="J34" s="532"/>
      <c r="K34" s="532"/>
      <c r="L34" s="532"/>
      <c r="M34" s="532"/>
      <c r="N34" s="532"/>
      <c r="O34" s="532"/>
      <c r="P34" s="532"/>
      <c r="Q34" s="532"/>
      <c r="R34" s="532"/>
      <c r="S34" s="532"/>
      <c r="T34" s="532"/>
      <c r="U34" s="532"/>
      <c r="V34" s="532"/>
      <c r="W34" s="532"/>
      <c r="X34" s="532"/>
      <c r="Y34" s="532"/>
      <c r="Z34" s="532"/>
      <c r="AA34" s="532"/>
      <c r="AB34" s="532"/>
      <c r="AC34" s="532"/>
      <c r="AD34" s="532"/>
      <c r="AE34" s="532"/>
      <c r="AF34" s="532"/>
      <c r="AG34" s="532"/>
      <c r="AH34" s="532"/>
      <c r="AI34" s="532"/>
      <c r="AJ34" s="532"/>
      <c r="AK34" s="532"/>
      <c r="AL34" s="532"/>
      <c r="AM34" s="532"/>
      <c r="AN34" s="532"/>
      <c r="AO34" s="532"/>
      <c r="AP34" s="532"/>
      <c r="AR34" s="1264"/>
      <c r="AS34" s="1264"/>
      <c r="AT34" s="1264"/>
      <c r="AU34" s="1264"/>
    </row>
    <row r="35" spans="1:47" outlineLevel="1" x14ac:dyDescent="0.2">
      <c r="A35" s="239" t="s">
        <v>283</v>
      </c>
      <c r="B35" s="532"/>
      <c r="C35" s="532"/>
      <c r="D35" s="532"/>
      <c r="E35" s="532"/>
      <c r="F35" s="532"/>
      <c r="G35" s="532"/>
      <c r="H35" s="532"/>
      <c r="I35" s="532"/>
      <c r="J35" s="532"/>
      <c r="K35" s="532"/>
      <c r="L35" s="532"/>
      <c r="M35" s="532"/>
      <c r="N35" s="532"/>
      <c r="O35" s="532"/>
      <c r="P35" s="532"/>
      <c r="Q35" s="879">
        <f t="shared" ref="Q35:AH35" si="32">(Q12-Q26)*100</f>
        <v>5.1121701544852742</v>
      </c>
      <c r="R35" s="879">
        <f t="shared" si="32"/>
        <v>3.6331339774063443</v>
      </c>
      <c r="S35" s="879">
        <f t="shared" si="32"/>
        <v>2.4087639148827833</v>
      </c>
      <c r="T35" s="879">
        <f t="shared" si="32"/>
        <v>6.8576658367029779</v>
      </c>
      <c r="U35" s="879">
        <f t="shared" si="32"/>
        <v>7.8099627984763496</v>
      </c>
      <c r="V35" s="879">
        <f t="shared" si="32"/>
        <v>4.2115164186839928</v>
      </c>
      <c r="W35" s="879">
        <f t="shared" si="32"/>
        <v>4.3767899101310332</v>
      </c>
      <c r="X35" s="879">
        <f t="shared" si="32"/>
        <v>2.0890265317654992</v>
      </c>
      <c r="Y35" s="879">
        <f t="shared" si="32"/>
        <v>2.2900681814389365</v>
      </c>
      <c r="Z35" s="879">
        <f t="shared" si="32"/>
        <v>3.3523644590716288</v>
      </c>
      <c r="AA35" s="879">
        <f t="shared" si="32"/>
        <v>-0.77974041369056268</v>
      </c>
      <c r="AB35" s="879">
        <f t="shared" si="32"/>
        <v>2.9190608229851671</v>
      </c>
      <c r="AC35" s="879">
        <f t="shared" si="32"/>
        <v>3.8019780484863062</v>
      </c>
      <c r="AD35" s="879">
        <f t="shared" si="32"/>
        <v>4.6391620247033094</v>
      </c>
      <c r="AE35" s="879">
        <f t="shared" si="32"/>
        <v>5.5497314715359733</v>
      </c>
      <c r="AF35" s="879">
        <f t="shared" si="32"/>
        <v>4.7510622082499854</v>
      </c>
      <c r="AG35" s="879">
        <f t="shared" si="32"/>
        <v>0.93479000170039395</v>
      </c>
      <c r="AH35" s="879">
        <f t="shared" si="32"/>
        <v>3.7675489067894121</v>
      </c>
      <c r="AI35" s="879">
        <f t="shared" ref="AI35:AP35" si="33">(AI12-AI26)*100</f>
        <v>4.8051483487148294</v>
      </c>
      <c r="AJ35" s="879">
        <f t="shared" si="33"/>
        <v>3.2662646328485367</v>
      </c>
      <c r="AK35" s="879">
        <f t="shared" si="33"/>
        <v>3.6003034692047695</v>
      </c>
      <c r="AL35" s="879">
        <f t="shared" si="33"/>
        <v>0.68626249422297669</v>
      </c>
      <c r="AM35" s="879">
        <f t="shared" si="33"/>
        <v>3.0615377831069379</v>
      </c>
      <c r="AN35" s="879">
        <f t="shared" si="33"/>
        <v>2.5644516209221591</v>
      </c>
      <c r="AO35" s="879">
        <f t="shared" si="33"/>
        <v>2.4605706395462557</v>
      </c>
      <c r="AP35" s="879">
        <f t="shared" si="33"/>
        <v>1.7773923331075192</v>
      </c>
      <c r="AR35" s="1264"/>
      <c r="AS35" s="1264"/>
      <c r="AT35" s="1264"/>
      <c r="AU35" s="1264"/>
    </row>
    <row r="36" spans="1:47" x14ac:dyDescent="0.2">
      <c r="A36" s="239" t="s">
        <v>470</v>
      </c>
      <c r="B36" s="532"/>
      <c r="C36" s="532"/>
      <c r="D36" s="759">
        <f t="shared" ref="D36:AG36" si="34">(D12-D26)/D47*100</f>
        <v>89.66057973877362</v>
      </c>
      <c r="E36" s="759">
        <f t="shared" si="34"/>
        <v>116.90008658797237</v>
      </c>
      <c r="F36" s="759">
        <f t="shared" si="34"/>
        <v>82.496421623592184</v>
      </c>
      <c r="G36" s="759">
        <f t="shared" si="34"/>
        <v>83.6538514897683</v>
      </c>
      <c r="H36" s="759">
        <f t="shared" si="34"/>
        <v>101.85845853464441</v>
      </c>
      <c r="I36" s="759">
        <f t="shared" si="34"/>
        <v>58.533497572745119</v>
      </c>
      <c r="J36" s="759">
        <f t="shared" si="34"/>
        <v>100.9021228248133</v>
      </c>
      <c r="K36" s="759">
        <f t="shared" si="34"/>
        <v>72.936511496565771</v>
      </c>
      <c r="L36" s="759">
        <f t="shared" si="34"/>
        <v>64.353536877209265</v>
      </c>
      <c r="M36" s="759">
        <f t="shared" si="34"/>
        <v>57.618551325395295</v>
      </c>
      <c r="N36" s="759">
        <f t="shared" si="34"/>
        <v>97.753690398223654</v>
      </c>
      <c r="O36" s="759">
        <f t="shared" si="34"/>
        <v>84.813491788024592</v>
      </c>
      <c r="P36" s="759">
        <f t="shared" si="34"/>
        <v>89.712306835660883</v>
      </c>
      <c r="Q36" s="759">
        <f t="shared" si="34"/>
        <v>60.430983300442342</v>
      </c>
      <c r="R36" s="759">
        <f t="shared" si="34"/>
        <v>44.759975483010599</v>
      </c>
      <c r="S36" s="759">
        <f t="shared" si="34"/>
        <v>33.874287242203721</v>
      </c>
      <c r="T36" s="759">
        <f t="shared" si="34"/>
        <v>85.812507861885209</v>
      </c>
      <c r="U36" s="759">
        <f t="shared" si="34"/>
        <v>94.295089667499496</v>
      </c>
      <c r="V36" s="759">
        <f t="shared" si="34"/>
        <v>56.932248579981326</v>
      </c>
      <c r="W36" s="759">
        <f t="shared" si="34"/>
        <v>72.923863481492063</v>
      </c>
      <c r="X36" s="759">
        <f t="shared" si="34"/>
        <v>80.98696665872356</v>
      </c>
      <c r="Y36" s="759">
        <f t="shared" si="34"/>
        <v>94.686456407456305</v>
      </c>
      <c r="Z36" s="759">
        <f t="shared" si="34"/>
        <v>171.16140764059455</v>
      </c>
      <c r="AA36" s="759">
        <f t="shared" si="34"/>
        <v>-72.631375571547892</v>
      </c>
      <c r="AB36" s="759">
        <f t="shared" si="34"/>
        <v>69.592052633325082</v>
      </c>
      <c r="AC36" s="759">
        <f t="shared" si="34"/>
        <v>70.946818907420777</v>
      </c>
      <c r="AD36" s="759">
        <f t="shared" si="34"/>
        <v>105.5728569016199</v>
      </c>
      <c r="AE36" s="759">
        <f t="shared" si="34"/>
        <v>131.17572698771008</v>
      </c>
      <c r="AF36" s="759">
        <f t="shared" si="34"/>
        <v>158.96753117314645</v>
      </c>
      <c r="AG36" s="759">
        <f t="shared" si="34"/>
        <v>36.770611426948797</v>
      </c>
      <c r="AH36" s="759">
        <f t="shared" ref="AH36:AM36" si="35">(AH12-AH26)/AH47*100</f>
        <v>109.14829574288238</v>
      </c>
      <c r="AI36" s="759">
        <f t="shared" si="35"/>
        <v>98.360070980750393</v>
      </c>
      <c r="AJ36" s="759">
        <f t="shared" si="35"/>
        <v>66.582284282427864</v>
      </c>
      <c r="AK36" s="759">
        <f t="shared" si="35"/>
        <v>130.76176816448825</v>
      </c>
      <c r="AL36" s="759">
        <f t="shared" si="35"/>
        <v>24.626171325729061</v>
      </c>
      <c r="AM36" s="759">
        <f t="shared" si="35"/>
        <v>92.219510652358295</v>
      </c>
      <c r="AN36" s="759">
        <f>(AN12-AN26)/AN47*100</f>
        <v>100</v>
      </c>
      <c r="AO36" s="759">
        <f>(AO12-AO26)/AO47*100</f>
        <v>109.06501826106253</v>
      </c>
      <c r="AP36" s="759">
        <f>(AP12-AP26)/AP47*100</f>
        <v>100</v>
      </c>
      <c r="AR36" s="1264"/>
      <c r="AS36" s="1264"/>
      <c r="AT36" s="1264"/>
      <c r="AU36" s="1264"/>
    </row>
    <row r="37" spans="1:47" ht="8.25" customHeight="1" x14ac:dyDescent="0.2">
      <c r="A37" s="607"/>
      <c r="B37" s="532"/>
      <c r="C37" s="532"/>
      <c r="D37" s="532"/>
      <c r="E37" s="532"/>
      <c r="F37" s="532"/>
      <c r="G37" s="532"/>
      <c r="H37" s="532"/>
      <c r="I37" s="532"/>
      <c r="J37" s="532"/>
      <c r="K37" s="532"/>
      <c r="L37" s="532"/>
      <c r="M37" s="532"/>
      <c r="N37" s="532"/>
      <c r="O37" s="532"/>
      <c r="P37" s="532"/>
      <c r="Q37" s="532"/>
      <c r="R37" s="532"/>
      <c r="S37" s="532"/>
      <c r="T37" s="532"/>
      <c r="U37" s="532"/>
      <c r="V37" s="532"/>
      <c r="W37" s="532"/>
      <c r="X37" s="532"/>
      <c r="Y37" s="532"/>
      <c r="Z37" s="532"/>
      <c r="AA37" s="532"/>
      <c r="AB37" s="532"/>
      <c r="AC37" s="532"/>
      <c r="AD37" s="532"/>
      <c r="AE37" s="532"/>
      <c r="AF37" s="532"/>
      <c r="AG37" s="532"/>
      <c r="AH37" s="532"/>
      <c r="AI37" s="532"/>
      <c r="AJ37" s="532"/>
      <c r="AK37" s="532"/>
      <c r="AL37" s="532"/>
      <c r="AM37" s="532"/>
      <c r="AN37" s="532"/>
      <c r="AO37" s="532"/>
      <c r="AP37" s="532"/>
      <c r="AR37" s="1264"/>
      <c r="AS37" s="1264"/>
      <c r="AT37" s="1264"/>
      <c r="AU37" s="1264"/>
    </row>
    <row r="38" spans="1:47" x14ac:dyDescent="0.2">
      <c r="A38" s="505" t="s">
        <v>270</v>
      </c>
      <c r="B38" s="505"/>
      <c r="C38" s="505"/>
      <c r="D38" s="505"/>
      <c r="E38" s="505"/>
      <c r="F38" s="505"/>
      <c r="G38" s="505"/>
      <c r="H38" s="505"/>
      <c r="I38" s="505"/>
      <c r="J38" s="505"/>
      <c r="K38" s="505"/>
      <c r="L38" s="505"/>
      <c r="M38" s="505"/>
      <c r="N38" s="505"/>
      <c r="O38" s="505"/>
      <c r="P38" s="505"/>
      <c r="Q38" s="505"/>
      <c r="R38" s="505"/>
      <c r="S38" s="505"/>
      <c r="T38" s="505"/>
      <c r="U38" s="505"/>
      <c r="V38" s="505"/>
      <c r="W38" s="505"/>
      <c r="X38" s="505"/>
      <c r="Y38" s="505"/>
      <c r="Z38" s="505"/>
      <c r="AA38" s="505"/>
      <c r="AB38" s="505"/>
      <c r="AC38" s="505"/>
      <c r="AD38" s="505"/>
      <c r="AE38" s="505"/>
      <c r="AF38" s="505"/>
      <c r="AG38" s="505"/>
      <c r="AH38" s="505"/>
      <c r="AI38" s="505"/>
      <c r="AJ38" s="505"/>
      <c r="AK38" s="505"/>
      <c r="AL38" s="505"/>
      <c r="AM38" s="505"/>
      <c r="AN38" s="505"/>
      <c r="AO38" s="505"/>
      <c r="AP38" s="505"/>
      <c r="AQ38" s="505"/>
      <c r="AR38" s="1296"/>
      <c r="AS38" s="1296"/>
      <c r="AT38" s="1296"/>
      <c r="AU38" s="1296"/>
    </row>
    <row r="39" spans="1:47" x14ac:dyDescent="0.2">
      <c r="A39" s="880" t="s">
        <v>87</v>
      </c>
    </row>
    <row r="40" spans="1:47" x14ac:dyDescent="0.2">
      <c r="A40" s="239" t="s">
        <v>26</v>
      </c>
      <c r="B40" s="362"/>
      <c r="C40" s="362">
        <f>B42</f>
        <v>36</v>
      </c>
      <c r="D40" s="362">
        <f t="shared" ref="D40:Q40" si="36">C42</f>
        <v>39</v>
      </c>
      <c r="E40" s="362">
        <f t="shared" si="36"/>
        <v>44</v>
      </c>
      <c r="F40" s="362">
        <f t="shared" si="36"/>
        <v>52</v>
      </c>
      <c r="G40" s="362">
        <f t="shared" si="36"/>
        <v>53</v>
      </c>
      <c r="H40" s="362">
        <f t="shared" si="36"/>
        <v>56</v>
      </c>
      <c r="I40" s="362">
        <f t="shared" si="36"/>
        <v>58</v>
      </c>
      <c r="J40" s="362">
        <f t="shared" si="36"/>
        <v>59</v>
      </c>
      <c r="K40" s="362">
        <f t="shared" si="36"/>
        <v>63</v>
      </c>
      <c r="L40" s="362">
        <f t="shared" si="36"/>
        <v>68</v>
      </c>
      <c r="M40" s="362">
        <f t="shared" si="36"/>
        <v>72</v>
      </c>
      <c r="N40" s="362">
        <f t="shared" si="36"/>
        <v>74</v>
      </c>
      <c r="O40" s="362">
        <f t="shared" si="36"/>
        <v>76</v>
      </c>
      <c r="P40" s="362">
        <f t="shared" si="36"/>
        <v>78</v>
      </c>
      <c r="Q40" s="362">
        <f t="shared" si="36"/>
        <v>82</v>
      </c>
      <c r="R40" s="362">
        <f t="shared" ref="R40:AF40" si="37">Q42</f>
        <v>87</v>
      </c>
      <c r="S40" s="362">
        <f t="shared" si="37"/>
        <v>92</v>
      </c>
      <c r="T40" s="362">
        <f t="shared" si="37"/>
        <v>98</v>
      </c>
      <c r="U40" s="362">
        <f t="shared" si="37"/>
        <v>114</v>
      </c>
      <c r="V40" s="362">
        <f t="shared" si="37"/>
        <v>127</v>
      </c>
      <c r="W40" s="362">
        <f t="shared" si="37"/>
        <v>143</v>
      </c>
      <c r="X40" s="362">
        <f t="shared" si="37"/>
        <v>141</v>
      </c>
      <c r="Y40" s="362">
        <f t="shared" si="37"/>
        <v>150</v>
      </c>
      <c r="Z40" s="362">
        <f t="shared" si="37"/>
        <v>155</v>
      </c>
      <c r="AA40" s="362">
        <f t="shared" si="37"/>
        <v>155</v>
      </c>
      <c r="AB40" s="362">
        <f t="shared" si="37"/>
        <v>156</v>
      </c>
      <c r="AC40" s="362">
        <f t="shared" si="37"/>
        <v>169</v>
      </c>
      <c r="AD40" s="362">
        <f t="shared" si="37"/>
        <v>184</v>
      </c>
      <c r="AE40" s="362">
        <f t="shared" si="37"/>
        <v>204</v>
      </c>
      <c r="AF40" s="362">
        <f t="shared" si="37"/>
        <v>225</v>
      </c>
      <c r="AG40" s="362">
        <f t="shared" ref="AG40:AM40" si="38">AF42</f>
        <v>240</v>
      </c>
      <c r="AH40" s="362">
        <f t="shared" si="38"/>
        <v>260</v>
      </c>
      <c r="AI40" s="362">
        <f t="shared" si="38"/>
        <v>292</v>
      </c>
      <c r="AJ40" s="362">
        <f t="shared" si="38"/>
        <v>323</v>
      </c>
      <c r="AK40" s="362">
        <f t="shared" si="38"/>
        <v>349</v>
      </c>
      <c r="AL40" s="362">
        <f t="shared" si="38"/>
        <v>366</v>
      </c>
      <c r="AM40" s="362">
        <f t="shared" si="38"/>
        <v>380</v>
      </c>
      <c r="AN40" s="362">
        <f>AM42</f>
        <v>397</v>
      </c>
      <c r="AO40" s="362">
        <f>AN42</f>
        <v>409</v>
      </c>
      <c r="AP40" s="362">
        <f>AO42</f>
        <v>416</v>
      </c>
    </row>
    <row r="41" spans="1:47" x14ac:dyDescent="0.2">
      <c r="A41" s="243" t="s">
        <v>242</v>
      </c>
      <c r="B41" s="362"/>
      <c r="C41" s="362">
        <f t="shared" ref="C41:P41" si="39">C42-C40</f>
        <v>3</v>
      </c>
      <c r="D41" s="362">
        <f t="shared" si="39"/>
        <v>5</v>
      </c>
      <c r="E41" s="362">
        <f t="shared" si="39"/>
        <v>8</v>
      </c>
      <c r="F41" s="362">
        <f t="shared" si="39"/>
        <v>1</v>
      </c>
      <c r="G41" s="362">
        <f t="shared" si="39"/>
        <v>3</v>
      </c>
      <c r="H41" s="362">
        <f t="shared" si="39"/>
        <v>2</v>
      </c>
      <c r="I41" s="362">
        <f t="shared" si="39"/>
        <v>1</v>
      </c>
      <c r="J41" s="362">
        <f t="shared" si="39"/>
        <v>4</v>
      </c>
      <c r="K41" s="362">
        <f t="shared" si="39"/>
        <v>5</v>
      </c>
      <c r="L41" s="362">
        <f t="shared" si="39"/>
        <v>4</v>
      </c>
      <c r="M41" s="362">
        <f t="shared" si="39"/>
        <v>2</v>
      </c>
      <c r="N41" s="362">
        <f t="shared" si="39"/>
        <v>2</v>
      </c>
      <c r="O41" s="362">
        <f t="shared" si="39"/>
        <v>2</v>
      </c>
      <c r="P41" s="362">
        <f t="shared" si="39"/>
        <v>4</v>
      </c>
      <c r="Q41" s="362">
        <f t="shared" ref="Q41:AG41" si="40">Q42-Q40</f>
        <v>5</v>
      </c>
      <c r="R41" s="362">
        <f t="shared" si="40"/>
        <v>5</v>
      </c>
      <c r="S41" s="362">
        <f t="shared" si="40"/>
        <v>6</v>
      </c>
      <c r="T41" s="362">
        <f t="shared" si="40"/>
        <v>16</v>
      </c>
      <c r="U41" s="362">
        <f t="shared" si="40"/>
        <v>13</v>
      </c>
      <c r="V41" s="362">
        <f t="shared" si="40"/>
        <v>16</v>
      </c>
      <c r="W41" s="362">
        <f t="shared" si="40"/>
        <v>-2</v>
      </c>
      <c r="X41" s="362">
        <f t="shared" si="40"/>
        <v>9</v>
      </c>
      <c r="Y41" s="362">
        <f t="shared" si="40"/>
        <v>5</v>
      </c>
      <c r="Z41" s="362">
        <f t="shared" si="40"/>
        <v>0</v>
      </c>
      <c r="AA41" s="362">
        <f t="shared" si="40"/>
        <v>1</v>
      </c>
      <c r="AB41" s="362">
        <f t="shared" si="40"/>
        <v>13</v>
      </c>
      <c r="AC41" s="362">
        <f t="shared" si="40"/>
        <v>15</v>
      </c>
      <c r="AD41" s="362">
        <f t="shared" si="40"/>
        <v>20</v>
      </c>
      <c r="AE41" s="362">
        <f t="shared" si="40"/>
        <v>21</v>
      </c>
      <c r="AF41" s="881">
        <f>16-1</f>
        <v>15</v>
      </c>
      <c r="AG41" s="362">
        <f t="shared" si="40"/>
        <v>20</v>
      </c>
      <c r="AH41" s="362">
        <f t="shared" ref="AH41:AM41" si="41">AH42-AH40</f>
        <v>32</v>
      </c>
      <c r="AI41" s="362">
        <f t="shared" si="41"/>
        <v>31</v>
      </c>
      <c r="AJ41" s="362">
        <f t="shared" si="41"/>
        <v>26</v>
      </c>
      <c r="AK41" s="362">
        <f t="shared" si="41"/>
        <v>17</v>
      </c>
      <c r="AL41" s="362">
        <f t="shared" si="41"/>
        <v>14</v>
      </c>
      <c r="AM41" s="362">
        <f t="shared" si="41"/>
        <v>17</v>
      </c>
      <c r="AN41" s="362">
        <f>AN42-AN40</f>
        <v>12</v>
      </c>
      <c r="AO41" s="362">
        <f>AO42-AO40</f>
        <v>7</v>
      </c>
      <c r="AP41" s="362">
        <f>AP42-AP40</f>
        <v>7</v>
      </c>
    </row>
    <row r="42" spans="1:47" x14ac:dyDescent="0.2">
      <c r="A42" s="239" t="s">
        <v>27</v>
      </c>
      <c r="B42" s="882">
        <v>36</v>
      </c>
      <c r="C42" s="882">
        <v>39</v>
      </c>
      <c r="D42" s="882">
        <v>44</v>
      </c>
      <c r="E42" s="882">
        <v>52</v>
      </c>
      <c r="F42" s="882">
        <v>53</v>
      </c>
      <c r="G42" s="882">
        <v>56</v>
      </c>
      <c r="H42" s="882">
        <v>58</v>
      </c>
      <c r="I42" s="882">
        <v>59</v>
      </c>
      <c r="J42" s="882">
        <v>63</v>
      </c>
      <c r="K42" s="882">
        <v>68</v>
      </c>
      <c r="L42" s="882">
        <v>72</v>
      </c>
      <c r="M42" s="882">
        <v>74</v>
      </c>
      <c r="N42" s="882">
        <v>76</v>
      </c>
      <c r="O42" s="363">
        <f t="shared" ref="O42:AH42" si="42">O54+O66+O78</f>
        <v>78</v>
      </c>
      <c r="P42" s="883">
        <f t="shared" si="42"/>
        <v>82</v>
      </c>
      <c r="Q42" s="883">
        <f t="shared" si="42"/>
        <v>87</v>
      </c>
      <c r="R42" s="883">
        <f t="shared" si="42"/>
        <v>92</v>
      </c>
      <c r="S42" s="883">
        <f t="shared" si="42"/>
        <v>98</v>
      </c>
      <c r="T42" s="883">
        <f t="shared" si="42"/>
        <v>114</v>
      </c>
      <c r="U42" s="883">
        <f t="shared" si="42"/>
        <v>127</v>
      </c>
      <c r="V42" s="883">
        <f t="shared" si="42"/>
        <v>143</v>
      </c>
      <c r="W42" s="883">
        <f>W54+W66+W78</f>
        <v>141</v>
      </c>
      <c r="X42" s="883">
        <f t="shared" si="42"/>
        <v>150</v>
      </c>
      <c r="Y42" s="883">
        <f t="shared" si="42"/>
        <v>155</v>
      </c>
      <c r="Z42" s="883">
        <f t="shared" si="42"/>
        <v>155</v>
      </c>
      <c r="AA42" s="883">
        <f t="shared" si="42"/>
        <v>156</v>
      </c>
      <c r="AB42" s="883">
        <f t="shared" si="42"/>
        <v>169</v>
      </c>
      <c r="AC42" s="883">
        <f t="shared" si="42"/>
        <v>184</v>
      </c>
      <c r="AD42" s="883">
        <f t="shared" si="42"/>
        <v>204</v>
      </c>
      <c r="AE42" s="883">
        <f t="shared" si="42"/>
        <v>225</v>
      </c>
      <c r="AF42" s="883">
        <f>SUM(AF40:AF41)</f>
        <v>240</v>
      </c>
      <c r="AG42" s="883">
        <f t="shared" si="42"/>
        <v>260</v>
      </c>
      <c r="AH42" s="883">
        <f t="shared" si="42"/>
        <v>292</v>
      </c>
      <c r="AI42" s="883">
        <f t="shared" ref="AI42:AP42" si="43">AI54+AI66+AI78</f>
        <v>323</v>
      </c>
      <c r="AJ42" s="883">
        <f t="shared" si="43"/>
        <v>349</v>
      </c>
      <c r="AK42" s="884">
        <f t="shared" si="43"/>
        <v>366</v>
      </c>
      <c r="AL42" s="576">
        <f t="shared" si="43"/>
        <v>380</v>
      </c>
      <c r="AM42" s="576">
        <f t="shared" si="43"/>
        <v>397</v>
      </c>
      <c r="AN42" s="576">
        <f t="shared" si="43"/>
        <v>409</v>
      </c>
      <c r="AO42" s="576">
        <f t="shared" si="43"/>
        <v>416</v>
      </c>
      <c r="AP42" s="576">
        <f t="shared" si="43"/>
        <v>423</v>
      </c>
    </row>
    <row r="43" spans="1:47" x14ac:dyDescent="0.2">
      <c r="A43" s="239" t="s">
        <v>28</v>
      </c>
      <c r="B43" s="362"/>
      <c r="C43" s="362">
        <f t="shared" ref="C43:P43" si="44">AVERAGE(C40,C42)</f>
        <v>37.5</v>
      </c>
      <c r="D43" s="362">
        <f t="shared" si="44"/>
        <v>41.5</v>
      </c>
      <c r="E43" s="362">
        <f t="shared" si="44"/>
        <v>48</v>
      </c>
      <c r="F43" s="362">
        <f t="shared" si="44"/>
        <v>52.5</v>
      </c>
      <c r="G43" s="362">
        <f t="shared" si="44"/>
        <v>54.5</v>
      </c>
      <c r="H43" s="362">
        <f t="shared" si="44"/>
        <v>57</v>
      </c>
      <c r="I43" s="362">
        <f t="shared" si="44"/>
        <v>58.5</v>
      </c>
      <c r="J43" s="362">
        <f t="shared" si="44"/>
        <v>61</v>
      </c>
      <c r="K43" s="362">
        <f t="shared" si="44"/>
        <v>65.5</v>
      </c>
      <c r="L43" s="362">
        <f t="shared" si="44"/>
        <v>70</v>
      </c>
      <c r="M43" s="362">
        <f t="shared" si="44"/>
        <v>73</v>
      </c>
      <c r="N43" s="362">
        <f t="shared" si="44"/>
        <v>75</v>
      </c>
      <c r="O43" s="362">
        <f t="shared" si="44"/>
        <v>77</v>
      </c>
      <c r="P43" s="362">
        <f t="shared" si="44"/>
        <v>80</v>
      </c>
      <c r="Q43" s="362">
        <f t="shared" ref="Q43:AF43" si="45">AVERAGE(Q40,Q42)</f>
        <v>84.5</v>
      </c>
      <c r="R43" s="362">
        <f t="shared" si="45"/>
        <v>89.5</v>
      </c>
      <c r="S43" s="362">
        <f t="shared" si="45"/>
        <v>95</v>
      </c>
      <c r="T43" s="362">
        <f t="shared" si="45"/>
        <v>106</v>
      </c>
      <c r="U43" s="362">
        <f t="shared" si="45"/>
        <v>120.5</v>
      </c>
      <c r="V43" s="362">
        <f t="shared" si="45"/>
        <v>135</v>
      </c>
      <c r="W43" s="362">
        <f t="shared" si="45"/>
        <v>142</v>
      </c>
      <c r="X43" s="362">
        <f t="shared" si="45"/>
        <v>145.5</v>
      </c>
      <c r="Y43" s="362">
        <f t="shared" si="45"/>
        <v>152.5</v>
      </c>
      <c r="Z43" s="362">
        <f t="shared" si="45"/>
        <v>155</v>
      </c>
      <c r="AA43" s="362">
        <f t="shared" si="45"/>
        <v>155.5</v>
      </c>
      <c r="AB43" s="362">
        <f t="shared" si="45"/>
        <v>162.5</v>
      </c>
      <c r="AC43" s="362">
        <f t="shared" si="45"/>
        <v>176.5</v>
      </c>
      <c r="AD43" s="362">
        <f t="shared" si="45"/>
        <v>194</v>
      </c>
      <c r="AE43" s="362">
        <f t="shared" si="45"/>
        <v>214.5</v>
      </c>
      <c r="AF43" s="362">
        <f t="shared" si="45"/>
        <v>232.5</v>
      </c>
      <c r="AG43" s="362">
        <f t="shared" ref="AG43:AL43" si="46">AVERAGE(AG40,AG42)</f>
        <v>250</v>
      </c>
      <c r="AH43" s="362">
        <f t="shared" si="46"/>
        <v>276</v>
      </c>
      <c r="AI43" s="362">
        <f t="shared" si="46"/>
        <v>307.5</v>
      </c>
      <c r="AJ43" s="362">
        <f>AVERAGE(AJ40,AJ42)</f>
        <v>336</v>
      </c>
      <c r="AK43" s="362">
        <f t="shared" si="46"/>
        <v>357.5</v>
      </c>
      <c r="AL43" s="362">
        <f t="shared" si="46"/>
        <v>373</v>
      </c>
      <c r="AM43" s="362">
        <f>AVERAGE(AM40,AM42)</f>
        <v>388.5</v>
      </c>
      <c r="AN43" s="362">
        <f>AVERAGE(AN40,AN42)</f>
        <v>403</v>
      </c>
      <c r="AO43" s="362">
        <f>AVERAGE(AO40,AO42)</f>
        <v>412.5</v>
      </c>
      <c r="AP43" s="362">
        <f>AVERAGE(AP40,AP42)</f>
        <v>419.5</v>
      </c>
    </row>
    <row r="44" spans="1:47" x14ac:dyDescent="0.2">
      <c r="A44" s="607" t="s">
        <v>24</v>
      </c>
      <c r="B44" s="866"/>
      <c r="C44" s="866"/>
      <c r="D44" s="866">
        <f t="shared" ref="D44:P44" si="47">D43/C43-1</f>
        <v>0.10666666666666669</v>
      </c>
      <c r="E44" s="866">
        <f t="shared" si="47"/>
        <v>0.15662650602409633</v>
      </c>
      <c r="F44" s="866">
        <f t="shared" si="47"/>
        <v>9.375E-2</v>
      </c>
      <c r="G44" s="866">
        <f t="shared" si="47"/>
        <v>3.8095238095238182E-2</v>
      </c>
      <c r="H44" s="866">
        <f t="shared" si="47"/>
        <v>4.587155963302747E-2</v>
      </c>
      <c r="I44" s="866">
        <f t="shared" si="47"/>
        <v>2.6315789473684292E-2</v>
      </c>
      <c r="J44" s="866">
        <f t="shared" si="47"/>
        <v>4.2735042735042805E-2</v>
      </c>
      <c r="K44" s="866">
        <f t="shared" si="47"/>
        <v>7.3770491803278659E-2</v>
      </c>
      <c r="L44" s="866">
        <f t="shared" si="47"/>
        <v>6.8702290076335881E-2</v>
      </c>
      <c r="M44" s="866">
        <f t="shared" si="47"/>
        <v>4.2857142857142927E-2</v>
      </c>
      <c r="N44" s="866">
        <f t="shared" si="47"/>
        <v>2.7397260273972712E-2</v>
      </c>
      <c r="O44" s="866">
        <f t="shared" si="47"/>
        <v>2.6666666666666616E-2</v>
      </c>
      <c r="P44" s="866">
        <f t="shared" si="47"/>
        <v>3.8961038961038863E-2</v>
      </c>
      <c r="Q44" s="866">
        <f t="shared" ref="Q44:X44" si="48">Q43/P43-1</f>
        <v>5.6249999999999911E-2</v>
      </c>
      <c r="R44" s="866">
        <f t="shared" si="48"/>
        <v>5.9171597633136175E-2</v>
      </c>
      <c r="S44" s="866">
        <f t="shared" si="48"/>
        <v>6.1452513966480549E-2</v>
      </c>
      <c r="T44" s="866">
        <f t="shared" si="48"/>
        <v>0.11578947368421044</v>
      </c>
      <c r="U44" s="866">
        <f t="shared" si="48"/>
        <v>0.1367924528301887</v>
      </c>
      <c r="V44" s="866">
        <f t="shared" si="48"/>
        <v>0.1203319502074689</v>
      </c>
      <c r="W44" s="866">
        <f t="shared" si="48"/>
        <v>5.1851851851851816E-2</v>
      </c>
      <c r="X44" s="866">
        <f t="shared" si="48"/>
        <v>2.464788732394374E-2</v>
      </c>
      <c r="Y44" s="866">
        <f>Y43/X43-1</f>
        <v>4.8109965635738883E-2</v>
      </c>
      <c r="Z44" s="866">
        <f t="shared" ref="Z44:AG44" si="49">Z43/Y43-1</f>
        <v>1.6393442622950838E-2</v>
      </c>
      <c r="AA44" s="866">
        <f t="shared" si="49"/>
        <v>3.225806451612856E-3</v>
      </c>
      <c r="AB44" s="866">
        <f t="shared" si="49"/>
        <v>4.5016077170418001E-2</v>
      </c>
      <c r="AC44" s="866">
        <f t="shared" si="49"/>
        <v>8.6153846153846247E-2</v>
      </c>
      <c r="AD44" s="866">
        <f t="shared" si="49"/>
        <v>9.9150141643059575E-2</v>
      </c>
      <c r="AE44" s="866">
        <f t="shared" si="49"/>
        <v>0.10567010309278357</v>
      </c>
      <c r="AF44" s="866">
        <f t="shared" si="49"/>
        <v>8.3916083916083961E-2</v>
      </c>
      <c r="AG44" s="866">
        <f t="shared" si="49"/>
        <v>7.5268817204301008E-2</v>
      </c>
      <c r="AH44" s="866">
        <f t="shared" ref="AH44:AM44" si="50">AH43/AG43-1</f>
        <v>0.10400000000000009</v>
      </c>
      <c r="AI44" s="866">
        <f>AI43/AH43-1</f>
        <v>0.11413043478260865</v>
      </c>
      <c r="AJ44" s="866">
        <f t="shared" si="50"/>
        <v>9.2682926829268375E-2</v>
      </c>
      <c r="AK44" s="866">
        <f t="shared" si="50"/>
        <v>6.3988095238095344E-2</v>
      </c>
      <c r="AL44" s="866">
        <f t="shared" si="50"/>
        <v>4.3356643356643465E-2</v>
      </c>
      <c r="AM44" s="866">
        <f t="shared" si="50"/>
        <v>4.1554959785522705E-2</v>
      </c>
      <c r="AN44" s="866">
        <f>AN43/AM43-1</f>
        <v>3.7323037323037322E-2</v>
      </c>
      <c r="AO44" s="866">
        <f>AO43/AN43-1</f>
        <v>2.3573200992555776E-2</v>
      </c>
      <c r="AP44" s="866">
        <f>AP43/AO43-1</f>
        <v>1.6969696969697079E-2</v>
      </c>
    </row>
    <row r="45" spans="1:47" ht="5.25" customHeight="1" x14ac:dyDescent="0.2">
      <c r="A45" s="607"/>
      <c r="B45" s="866"/>
      <c r="C45" s="866"/>
      <c r="D45" s="866"/>
      <c r="E45" s="866"/>
      <c r="F45" s="866"/>
      <c r="G45" s="866"/>
      <c r="H45" s="866"/>
      <c r="I45" s="866"/>
      <c r="J45" s="866"/>
      <c r="K45" s="866"/>
      <c r="L45" s="866"/>
      <c r="M45" s="866"/>
      <c r="N45" s="866"/>
      <c r="O45" s="866"/>
      <c r="P45" s="866"/>
      <c r="Q45" s="866"/>
      <c r="R45" s="866"/>
      <c r="S45" s="866"/>
      <c r="T45" s="866"/>
      <c r="U45" s="866"/>
      <c r="V45" s="866"/>
      <c r="W45" s="866"/>
      <c r="X45" s="866"/>
      <c r="Y45" s="866"/>
      <c r="Z45" s="866"/>
      <c r="AA45" s="866"/>
      <c r="AB45" s="866"/>
      <c r="AC45" s="866"/>
      <c r="AD45" s="866"/>
      <c r="AE45" s="866"/>
      <c r="AF45" s="866"/>
      <c r="AG45" s="866"/>
      <c r="AH45" s="866"/>
      <c r="AI45" s="866"/>
      <c r="AJ45" s="866"/>
      <c r="AK45" s="866"/>
      <c r="AL45" s="866"/>
      <c r="AM45" s="866"/>
      <c r="AN45" s="866"/>
      <c r="AO45" s="866"/>
      <c r="AP45" s="866"/>
    </row>
    <row r="46" spans="1:47" x14ac:dyDescent="0.2">
      <c r="A46" s="869" t="s">
        <v>91</v>
      </c>
      <c r="B46" s="363"/>
      <c r="C46" s="667">
        <f t="shared" ref="C46:Q46" si="51">(C48+B48)/2</f>
        <v>3.0949999999999998</v>
      </c>
      <c r="D46" s="667">
        <f t="shared" si="51"/>
        <v>3.5685000000000002</v>
      </c>
      <c r="E46" s="667">
        <f t="shared" si="51"/>
        <v>4.3254999999999999</v>
      </c>
      <c r="F46" s="667">
        <f t="shared" si="51"/>
        <v>4.9124999999999996</v>
      </c>
      <c r="G46" s="667">
        <f t="shared" si="51"/>
        <v>5.3125</v>
      </c>
      <c r="H46" s="667">
        <f t="shared" si="51"/>
        <v>5.9504999999999999</v>
      </c>
      <c r="I46" s="667">
        <f t="shared" si="51"/>
        <v>6.6359999999999992</v>
      </c>
      <c r="J46" s="667">
        <f t="shared" si="51"/>
        <v>7.2765000000000004</v>
      </c>
      <c r="K46" s="667">
        <f t="shared" si="51"/>
        <v>8.1225000000000005</v>
      </c>
      <c r="L46" s="667">
        <f t="shared" si="51"/>
        <v>8.907</v>
      </c>
      <c r="M46" s="667">
        <f t="shared" si="51"/>
        <v>9.2530000000000001</v>
      </c>
      <c r="N46" s="667">
        <f t="shared" si="51"/>
        <v>9.64</v>
      </c>
      <c r="O46" s="667">
        <f t="shared" si="51"/>
        <v>10.355499999999999</v>
      </c>
      <c r="P46" s="667">
        <f t="shared" si="51"/>
        <v>11.233499999999999</v>
      </c>
      <c r="Q46" s="667">
        <f t="shared" si="51"/>
        <v>12.1838</v>
      </c>
      <c r="R46" s="667">
        <f t="shared" ref="R46:AE46" si="52">(R48+Q48)/2</f>
        <v>13.172750000000001</v>
      </c>
      <c r="S46" s="667">
        <f t="shared" si="52"/>
        <v>14.109449999999999</v>
      </c>
      <c r="T46" s="667">
        <f t="shared" si="52"/>
        <v>15.237</v>
      </c>
      <c r="U46" s="667">
        <f t="shared" si="52"/>
        <v>16.498999999999999</v>
      </c>
      <c r="V46" s="667">
        <f t="shared" si="52"/>
        <v>17.7195</v>
      </c>
      <c r="W46" s="667">
        <f t="shared" si="52"/>
        <v>18.783000000000001</v>
      </c>
      <c r="X46" s="667">
        <f t="shared" si="52"/>
        <v>19.267499999999998</v>
      </c>
      <c r="Y46" s="667">
        <f t="shared" si="52"/>
        <v>19.733499999999999</v>
      </c>
      <c r="Z46" s="667">
        <f t="shared" si="52"/>
        <v>20.12</v>
      </c>
      <c r="AA46" s="667">
        <f t="shared" si="52"/>
        <v>20.335999999999999</v>
      </c>
      <c r="AB46" s="667">
        <f t="shared" si="52"/>
        <v>21.189</v>
      </c>
      <c r="AC46" s="667">
        <f t="shared" si="52"/>
        <v>22.3245</v>
      </c>
      <c r="AD46" s="667">
        <f t="shared" si="52"/>
        <v>23.305500000000002</v>
      </c>
      <c r="AE46" s="667">
        <f t="shared" si="52"/>
        <v>24.291499999999999</v>
      </c>
      <c r="AF46" s="667">
        <f t="shared" ref="AF46:AM46" si="53">(AF48+AE48)/2</f>
        <v>25.017499999999998</v>
      </c>
      <c r="AG46" s="667">
        <f t="shared" si="53"/>
        <v>25.653500000000001</v>
      </c>
      <c r="AH46" s="667">
        <f t="shared" si="53"/>
        <v>26.539000000000001</v>
      </c>
      <c r="AI46" s="667">
        <f t="shared" si="53"/>
        <v>27.8355</v>
      </c>
      <c r="AJ46" s="667">
        <f t="shared" si="53"/>
        <v>29.201000000000001</v>
      </c>
      <c r="AK46" s="667">
        <f t="shared" si="53"/>
        <v>30.005000000000003</v>
      </c>
      <c r="AL46" s="667">
        <f t="shared" si="53"/>
        <v>30.841155400155401</v>
      </c>
      <c r="AM46" s="667">
        <f t="shared" si="53"/>
        <v>31.865031604489108</v>
      </c>
      <c r="AN46" s="667">
        <f>(AN48+AM48)/2</f>
        <v>32.682194923977789</v>
      </c>
      <c r="AO46" s="667">
        <f>(AO48+AN48)/2</f>
        <v>33.419524367900664</v>
      </c>
      <c r="AP46" s="667">
        <f>(AP48+AO48)/2</f>
        <v>34.013520431776726</v>
      </c>
    </row>
    <row r="47" spans="1:47" x14ac:dyDescent="0.2">
      <c r="A47" s="871" t="s">
        <v>23</v>
      </c>
      <c r="B47" s="866"/>
      <c r="C47" s="866"/>
      <c r="D47" s="866">
        <f t="shared" ref="D47:Q47" si="54">D46/C46-1</f>
        <v>0.15298869143780314</v>
      </c>
      <c r="E47" s="866">
        <f t="shared" si="54"/>
        <v>0.21213394983886769</v>
      </c>
      <c r="F47" s="866">
        <f t="shared" si="54"/>
        <v>0.13570685469887867</v>
      </c>
      <c r="G47" s="866">
        <f t="shared" si="54"/>
        <v>8.1424936386768509E-2</v>
      </c>
      <c r="H47" s="866">
        <f t="shared" si="54"/>
        <v>0.12009411764705891</v>
      </c>
      <c r="I47" s="866">
        <f t="shared" si="54"/>
        <v>0.11520040332745141</v>
      </c>
      <c r="J47" s="866">
        <f t="shared" si="54"/>
        <v>9.6518987341772444E-2</v>
      </c>
      <c r="K47" s="866">
        <f t="shared" si="54"/>
        <v>0.11626468769325915</v>
      </c>
      <c r="L47" s="866">
        <f t="shared" si="54"/>
        <v>9.6583564173591707E-2</v>
      </c>
      <c r="M47" s="866">
        <f t="shared" si="54"/>
        <v>3.884585157741105E-2</v>
      </c>
      <c r="N47" s="866">
        <f t="shared" si="54"/>
        <v>4.1824273208689089E-2</v>
      </c>
      <c r="O47" s="866">
        <f t="shared" si="54"/>
        <v>7.4221991701244772E-2</v>
      </c>
      <c r="P47" s="866">
        <f t="shared" si="54"/>
        <v>8.4785862585099681E-2</v>
      </c>
      <c r="Q47" s="866">
        <f t="shared" si="54"/>
        <v>8.4595184047714378E-2</v>
      </c>
      <c r="R47" s="866">
        <f t="shared" ref="R47:AE47" si="55">R46/Q46-1</f>
        <v>8.116925753869908E-2</v>
      </c>
      <c r="S47" s="866">
        <f t="shared" si="55"/>
        <v>7.110891803154229E-2</v>
      </c>
      <c r="T47" s="866">
        <f t="shared" si="55"/>
        <v>7.9914525371293843E-2</v>
      </c>
      <c r="U47" s="866">
        <f t="shared" si="55"/>
        <v>8.28247030255298E-2</v>
      </c>
      <c r="V47" s="866">
        <f t="shared" si="55"/>
        <v>7.3974180253348676E-2</v>
      </c>
      <c r="W47" s="866">
        <f t="shared" si="55"/>
        <v>6.0018623550325945E-2</v>
      </c>
      <c r="X47" s="866">
        <f t="shared" si="55"/>
        <v>2.5794601501357484E-2</v>
      </c>
      <c r="Y47" s="866">
        <f t="shared" si="55"/>
        <v>2.418580511223567E-2</v>
      </c>
      <c r="Z47" s="866">
        <f t="shared" si="55"/>
        <v>1.9585983226493076E-2</v>
      </c>
      <c r="AA47" s="866">
        <f t="shared" si="55"/>
        <v>1.0735586481113168E-2</v>
      </c>
      <c r="AB47" s="866">
        <f t="shared" si="55"/>
        <v>4.1945318646734897E-2</v>
      </c>
      <c r="AC47" s="866">
        <f t="shared" si="55"/>
        <v>5.3589126433526868E-2</v>
      </c>
      <c r="AD47" s="866">
        <f t="shared" si="55"/>
        <v>4.394275347712151E-2</v>
      </c>
      <c r="AE47" s="866">
        <f t="shared" si="55"/>
        <v>4.2307609791679912E-2</v>
      </c>
      <c r="AF47" s="866">
        <f t="shared" ref="AF47:AM47" si="56">AF46/AE46-1</f>
        <v>2.9886997509416924E-2</v>
      </c>
      <c r="AG47" s="866">
        <f t="shared" si="56"/>
        <v>2.5422204456880371E-2</v>
      </c>
      <c r="AH47" s="866">
        <f t="shared" si="56"/>
        <v>3.4517707135478526E-2</v>
      </c>
      <c r="AI47" s="866">
        <f t="shared" si="56"/>
        <v>4.8852631975583094E-2</v>
      </c>
      <c r="AJ47" s="866">
        <f t="shared" si="56"/>
        <v>4.9056061504194393E-2</v>
      </c>
      <c r="AK47" s="866">
        <f t="shared" si="56"/>
        <v>2.7533303653984431E-2</v>
      </c>
      <c r="AL47" s="866">
        <f t="shared" si="56"/>
        <v>2.7867202138156966E-2</v>
      </c>
      <c r="AM47" s="866">
        <f t="shared" si="56"/>
        <v>3.3198373765483069E-2</v>
      </c>
      <c r="AN47" s="866">
        <f>AN46/AM46-1</f>
        <v>2.5644516209221591E-2</v>
      </c>
      <c r="AO47" s="866">
        <f>AO46/AN46-1</f>
        <v>2.2560585225012586E-2</v>
      </c>
      <c r="AP47" s="866">
        <f>AP46/AO46-1</f>
        <v>1.7773923331075192E-2</v>
      </c>
    </row>
    <row r="48" spans="1:47" x14ac:dyDescent="0.2">
      <c r="A48" s="869" t="s">
        <v>33</v>
      </c>
      <c r="B48" s="885">
        <v>2.9769999999999999</v>
      </c>
      <c r="C48" s="885">
        <v>3.2130000000000001</v>
      </c>
      <c r="D48" s="885">
        <v>3.9239999999999999</v>
      </c>
      <c r="E48" s="885">
        <v>4.7270000000000003</v>
      </c>
      <c r="F48" s="885">
        <v>5.0979999999999999</v>
      </c>
      <c r="G48" s="885">
        <v>5.5270000000000001</v>
      </c>
      <c r="H48" s="885">
        <v>6.3739999999999997</v>
      </c>
      <c r="I48" s="885">
        <v>6.8979999999999997</v>
      </c>
      <c r="J48" s="885">
        <v>7.6550000000000002</v>
      </c>
      <c r="K48" s="885">
        <v>8.59</v>
      </c>
      <c r="L48" s="885">
        <v>9.2240000000000002</v>
      </c>
      <c r="M48" s="885">
        <v>9.282</v>
      </c>
      <c r="N48" s="885">
        <v>9.9979999999999993</v>
      </c>
      <c r="O48" s="885">
        <v>10.712999999999999</v>
      </c>
      <c r="P48" s="886">
        <f>INDEX(stores!$I144:$I251,MATCH(P5,stores!$B144:$B251,0)+1)</f>
        <v>11.754</v>
      </c>
      <c r="Q48" s="886">
        <f>INDEX(stores!$I144:$I251,MATCH(Q5,stores!$B144:$B251,0)+4)</f>
        <v>12.6136</v>
      </c>
      <c r="R48" s="886">
        <f>INDEX(stores!$I144:$I251,MATCH(R5,stores!$B144:$B251,0)+4)</f>
        <v>13.7319</v>
      </c>
      <c r="S48" s="886">
        <f>INDEX(stores!$I144:$I251,MATCH(S5,stores!$B144:$B251,0)+4)</f>
        <v>14.487</v>
      </c>
      <c r="T48" s="886">
        <f>INDEX(stores!$I144:$I251,MATCH(T5,stores!$B144:$B251,0)+4)</f>
        <v>15.987</v>
      </c>
      <c r="U48" s="886">
        <f>INDEX(stores!$I144:$I251,MATCH(U5,stores!$B144:$B251,0)+4)</f>
        <v>17.010999999999999</v>
      </c>
      <c r="V48" s="886">
        <f>INDEX(stores!$I144:$I251,MATCH(V5,stores!$B144:$B251,0)+4)</f>
        <v>18.428000000000001</v>
      </c>
      <c r="W48" s="886">
        <f>INDEX(stores!$I144:$I251,MATCH(W5,stores!$B144:$B251,0)+4)</f>
        <v>19.138000000000002</v>
      </c>
      <c r="X48" s="886">
        <f>INDEX(stores!$I144:$I251,MATCH(X5,stores!$B144:$B251,0)+4)</f>
        <v>19.396999999999998</v>
      </c>
      <c r="Y48" s="886">
        <f>INDEX(stores!$I144:$I251,MATCH(Y5,stores!$B144:$B251,0)+4)</f>
        <v>20.07</v>
      </c>
      <c r="Z48" s="886">
        <f>INDEX(stores!$I144:$I251,MATCH(Z5,stores!$B144:$B251,0)+4)</f>
        <v>20.170000000000002</v>
      </c>
      <c r="AA48" s="886">
        <f>INDEX(stores!$I144:$I251,MATCH(AA5,stores!$B144:$B251,0)+4)</f>
        <v>20.501999999999999</v>
      </c>
      <c r="AB48" s="886">
        <f>INDEX(stores!$I144:$I251,MATCH(AB5,stores!$B144:$B251,0)+4)</f>
        <v>21.876000000000001</v>
      </c>
      <c r="AC48" s="886">
        <f>INDEX(stores!$I144:$I251,MATCH(AC5,stores!$B144:$B251,0)+4)</f>
        <v>22.773</v>
      </c>
      <c r="AD48" s="886">
        <f>INDEX(stores!$I144:$I251,MATCH(AD5,stores!$B144:$B251,0)+4)</f>
        <v>23.838000000000001</v>
      </c>
      <c r="AE48" s="886">
        <f>stores!I235</f>
        <v>24.744999999999997</v>
      </c>
      <c r="AF48" s="886">
        <f>stores!I241</f>
        <v>25.29</v>
      </c>
      <c r="AG48" s="886">
        <f>stores!I247</f>
        <v>26.016999999999999</v>
      </c>
      <c r="AH48" s="886">
        <f>stores!I253</f>
        <v>27.061</v>
      </c>
      <c r="AI48" s="886">
        <f>stores!I259</f>
        <v>28.61</v>
      </c>
      <c r="AJ48" s="886">
        <f>stores!$I$265</f>
        <v>29.792000000000002</v>
      </c>
      <c r="AK48" s="886">
        <f>stores!$I$271</f>
        <v>30.218</v>
      </c>
      <c r="AL48" s="886">
        <f>stores!$I$277</f>
        <v>31.464310800310798</v>
      </c>
      <c r="AM48" s="1141">
        <f>AM60+AM72</f>
        <v>32.265752408667417</v>
      </c>
      <c r="AN48" s="1141">
        <f>AN60+AN72</f>
        <v>33.098637439288161</v>
      </c>
      <c r="AO48" s="1141">
        <f>AO60+AO72</f>
        <v>33.740411296513166</v>
      </c>
      <c r="AP48" s="1141">
        <f>AP60+AP72</f>
        <v>34.286629567040293</v>
      </c>
      <c r="AQ48" s="368"/>
    </row>
    <row r="49" spans="1:44" x14ac:dyDescent="0.2">
      <c r="A49" s="871" t="s">
        <v>23</v>
      </c>
      <c r="B49" s="866"/>
      <c r="C49" s="866">
        <f t="shared" ref="C49:P49" si="57">C48/B48-1</f>
        <v>7.9274437353040073E-2</v>
      </c>
      <c r="D49" s="866">
        <f t="shared" si="57"/>
        <v>0.22128851540616234</v>
      </c>
      <c r="E49" s="866">
        <f t="shared" si="57"/>
        <v>0.20463812436289519</v>
      </c>
      <c r="F49" s="866">
        <f t="shared" si="57"/>
        <v>7.8485297228686246E-2</v>
      </c>
      <c r="G49" s="866">
        <f t="shared" si="57"/>
        <v>8.4150647312671634E-2</v>
      </c>
      <c r="H49" s="866">
        <f t="shared" si="57"/>
        <v>0.15324769314275377</v>
      </c>
      <c r="I49" s="866">
        <f t="shared" si="57"/>
        <v>8.2208973956699127E-2</v>
      </c>
      <c r="J49" s="866">
        <f t="shared" si="57"/>
        <v>0.10974195418962029</v>
      </c>
      <c r="K49" s="866">
        <f t="shared" si="57"/>
        <v>0.12214239059438281</v>
      </c>
      <c r="L49" s="866">
        <f t="shared" si="57"/>
        <v>7.3806752037252732E-2</v>
      </c>
      <c r="M49" s="866">
        <f t="shared" si="57"/>
        <v>6.2879444926278172E-3</v>
      </c>
      <c r="N49" s="866">
        <f t="shared" si="57"/>
        <v>7.7138547726782969E-2</v>
      </c>
      <c r="O49" s="866">
        <f t="shared" si="57"/>
        <v>7.1514302860572032E-2</v>
      </c>
      <c r="P49" s="866">
        <f t="shared" si="57"/>
        <v>9.7171660599271847E-2</v>
      </c>
      <c r="Q49" s="866">
        <f t="shared" ref="Q49:AE49" si="58">Q48/P48-1</f>
        <v>7.3132550621065162E-2</v>
      </c>
      <c r="R49" s="866">
        <f t="shared" si="58"/>
        <v>8.8658273609437455E-2</v>
      </c>
      <c r="S49" s="866">
        <f t="shared" si="58"/>
        <v>5.4988748825727018E-2</v>
      </c>
      <c r="T49" s="866">
        <f t="shared" si="58"/>
        <v>0.1035411058190101</v>
      </c>
      <c r="U49" s="866">
        <f t="shared" si="58"/>
        <v>6.4052042284356014E-2</v>
      </c>
      <c r="V49" s="866">
        <f t="shared" si="58"/>
        <v>8.329904179648473E-2</v>
      </c>
      <c r="W49" s="866">
        <f t="shared" si="58"/>
        <v>3.852832645973514E-2</v>
      </c>
      <c r="X49" s="866">
        <f t="shared" si="58"/>
        <v>1.3533284564740233E-2</v>
      </c>
      <c r="Y49" s="866">
        <f t="shared" si="58"/>
        <v>3.4696087023766697E-2</v>
      </c>
      <c r="Z49" s="866">
        <f t="shared" si="58"/>
        <v>4.9825610363727346E-3</v>
      </c>
      <c r="AA49" s="866">
        <f t="shared" si="58"/>
        <v>1.6460089241447484E-2</v>
      </c>
      <c r="AB49" s="866">
        <f t="shared" si="58"/>
        <v>6.7017851916886251E-2</v>
      </c>
      <c r="AC49" s="866">
        <f t="shared" si="58"/>
        <v>4.1003839824465205E-2</v>
      </c>
      <c r="AD49" s="866">
        <f t="shared" si="58"/>
        <v>4.6765906995125839E-2</v>
      </c>
      <c r="AE49" s="866">
        <f t="shared" si="58"/>
        <v>3.8048494001174493E-2</v>
      </c>
      <c r="AF49" s="866">
        <f t="shared" ref="AF49:AM49" si="59">AF48/AE48-1</f>
        <v>2.2024651444736421E-2</v>
      </c>
      <c r="AG49" s="866">
        <f t="shared" si="59"/>
        <v>2.8746540134440446E-2</v>
      </c>
      <c r="AH49" s="866">
        <f>AH48/AG48-1</f>
        <v>4.0127608871122655E-2</v>
      </c>
      <c r="AI49" s="866">
        <f>AI48/AH48-1</f>
        <v>5.7241048002660611E-2</v>
      </c>
      <c r="AJ49" s="866">
        <f t="shared" si="59"/>
        <v>4.1314225795176629E-2</v>
      </c>
      <c r="AK49" s="866">
        <f t="shared" si="59"/>
        <v>1.4299140708915026E-2</v>
      </c>
      <c r="AL49" s="866">
        <f t="shared" si="59"/>
        <v>4.1243987037884677E-2</v>
      </c>
      <c r="AM49" s="866">
        <f t="shared" si="59"/>
        <v>2.5471449651098155E-2</v>
      </c>
      <c r="AN49" s="866">
        <f>AN48/AM48-1</f>
        <v>2.5813284006884318E-2</v>
      </c>
      <c r="AO49" s="866">
        <f>AO48/AN48-1</f>
        <v>1.938973646278308E-2</v>
      </c>
      <c r="AP49" s="866">
        <f>AP48/AO48-1</f>
        <v>1.6188844460932161E-2</v>
      </c>
    </row>
    <row r="50" spans="1:44" x14ac:dyDescent="0.2">
      <c r="A50" s="607"/>
      <c r="B50" s="866"/>
      <c r="C50" s="866"/>
      <c r="D50" s="866"/>
      <c r="E50" s="866"/>
      <c r="F50" s="866"/>
      <c r="G50" s="866"/>
      <c r="H50" s="866"/>
      <c r="I50" s="866"/>
      <c r="J50" s="866"/>
      <c r="K50" s="866"/>
      <c r="L50" s="866"/>
      <c r="M50" s="866"/>
      <c r="N50" s="866"/>
      <c r="O50" s="866"/>
      <c r="P50" s="866"/>
      <c r="Q50" s="866"/>
      <c r="R50" s="866"/>
      <c r="S50" s="866"/>
      <c r="T50" s="866"/>
      <c r="U50" s="866"/>
      <c r="V50" s="866"/>
      <c r="W50" s="866"/>
      <c r="X50" s="866"/>
      <c r="Y50" s="866"/>
      <c r="Z50" s="866"/>
      <c r="AA50" s="866"/>
      <c r="AB50" s="866"/>
      <c r="AC50" s="866"/>
      <c r="AD50" s="866"/>
      <c r="AE50" s="866"/>
      <c r="AF50" s="866"/>
      <c r="AG50" s="866"/>
      <c r="AH50" s="866"/>
      <c r="AI50" s="866"/>
      <c r="AJ50" s="866"/>
      <c r="AK50" s="866"/>
      <c r="AL50" s="866"/>
      <c r="AM50" s="866"/>
      <c r="AN50" s="866"/>
      <c r="AO50" s="866"/>
      <c r="AP50" s="866"/>
    </row>
    <row r="51" spans="1:44" x14ac:dyDescent="0.2">
      <c r="A51" s="880" t="s">
        <v>309</v>
      </c>
      <c r="B51" s="866"/>
      <c r="C51" s="866"/>
      <c r="D51" s="866"/>
      <c r="E51" s="866"/>
      <c r="F51" s="866"/>
      <c r="G51" s="866"/>
      <c r="H51" s="866"/>
      <c r="I51" s="866"/>
      <c r="J51" s="866"/>
      <c r="K51" s="866"/>
      <c r="L51" s="866"/>
      <c r="M51" s="866"/>
      <c r="N51" s="866"/>
      <c r="O51" s="866"/>
      <c r="P51" s="866"/>
      <c r="Q51" s="866"/>
      <c r="R51" s="866"/>
      <c r="S51" s="866"/>
      <c r="T51" s="866"/>
      <c r="U51" s="866"/>
      <c r="V51" s="866"/>
      <c r="W51" s="866"/>
      <c r="X51" s="866"/>
      <c r="Y51" s="866"/>
      <c r="Z51" s="866"/>
      <c r="AA51" s="866"/>
      <c r="AB51" s="866"/>
      <c r="AC51" s="866"/>
      <c r="AD51" s="866"/>
      <c r="AE51" s="866"/>
      <c r="AF51" s="866"/>
      <c r="AG51" s="866"/>
      <c r="AH51" s="866"/>
      <c r="AI51" s="866"/>
      <c r="AJ51" s="866"/>
      <c r="AK51" s="866"/>
      <c r="AL51" s="866"/>
      <c r="AM51" s="866"/>
      <c r="AN51" s="866"/>
      <c r="AO51" s="866"/>
      <c r="AP51" s="866"/>
    </row>
    <row r="52" spans="1:44" x14ac:dyDescent="0.2">
      <c r="A52" s="239" t="s">
        <v>26</v>
      </c>
      <c r="B52" s="866"/>
      <c r="C52" s="866"/>
      <c r="D52" s="866"/>
      <c r="E52" s="866"/>
      <c r="F52" s="866"/>
      <c r="G52" s="866"/>
      <c r="H52" s="866"/>
      <c r="I52" s="866"/>
      <c r="J52" s="866"/>
      <c r="K52" s="866"/>
      <c r="L52" s="866"/>
      <c r="M52" s="866"/>
      <c r="N52" s="866"/>
      <c r="O52" s="866"/>
      <c r="P52" s="362">
        <f t="shared" ref="P52:AF52" si="60">O54</f>
        <v>58</v>
      </c>
      <c r="Q52" s="362">
        <f t="shared" si="60"/>
        <v>62</v>
      </c>
      <c r="R52" s="362">
        <f t="shared" si="60"/>
        <v>65</v>
      </c>
      <c r="S52" s="362">
        <f t="shared" si="60"/>
        <v>67</v>
      </c>
      <c r="T52" s="362">
        <f t="shared" si="60"/>
        <v>71</v>
      </c>
      <c r="U52" s="362">
        <f t="shared" si="60"/>
        <v>77</v>
      </c>
      <c r="V52" s="362">
        <f t="shared" si="60"/>
        <v>81</v>
      </c>
      <c r="W52" s="362">
        <f t="shared" si="60"/>
        <v>88</v>
      </c>
      <c r="X52" s="362">
        <f t="shared" si="60"/>
        <v>92</v>
      </c>
      <c r="Y52" s="362">
        <f t="shared" si="60"/>
        <v>94</v>
      </c>
      <c r="Z52" s="362">
        <f t="shared" si="60"/>
        <v>98</v>
      </c>
      <c r="AA52" s="362">
        <f t="shared" si="60"/>
        <v>98</v>
      </c>
      <c r="AB52" s="362">
        <f t="shared" si="60"/>
        <v>101</v>
      </c>
      <c r="AC52" s="362">
        <f t="shared" si="60"/>
        <v>109</v>
      </c>
      <c r="AD52" s="362">
        <f t="shared" si="60"/>
        <v>112</v>
      </c>
      <c r="AE52" s="362">
        <f t="shared" si="60"/>
        <v>115</v>
      </c>
      <c r="AF52" s="362">
        <f t="shared" si="60"/>
        <v>117</v>
      </c>
      <c r="AG52" s="362">
        <f t="shared" ref="AG52:AM52" si="61">AF54</f>
        <v>117</v>
      </c>
      <c r="AH52" s="362">
        <f t="shared" si="61"/>
        <v>117</v>
      </c>
      <c r="AI52" s="362">
        <f t="shared" si="61"/>
        <v>117</v>
      </c>
      <c r="AJ52" s="362">
        <f t="shared" si="61"/>
        <v>121</v>
      </c>
      <c r="AK52" s="362">
        <f t="shared" si="61"/>
        <v>123</v>
      </c>
      <c r="AL52" s="362">
        <f t="shared" si="61"/>
        <v>123</v>
      </c>
      <c r="AM52" s="362">
        <f t="shared" si="61"/>
        <v>124</v>
      </c>
      <c r="AN52" s="362">
        <f>AM54</f>
        <v>126</v>
      </c>
      <c r="AO52" s="362">
        <f>AN54</f>
        <v>128</v>
      </c>
      <c r="AP52" s="362">
        <f>AO54</f>
        <v>130</v>
      </c>
    </row>
    <row r="53" spans="1:44" x14ac:dyDescent="0.2">
      <c r="A53" s="243" t="s">
        <v>242</v>
      </c>
      <c r="B53" s="866"/>
      <c r="C53" s="866"/>
      <c r="D53" s="866"/>
      <c r="E53" s="866"/>
      <c r="F53" s="866"/>
      <c r="G53" s="866"/>
      <c r="H53" s="866"/>
      <c r="I53" s="866"/>
      <c r="J53" s="866"/>
      <c r="K53" s="866"/>
      <c r="L53" s="866"/>
      <c r="M53" s="866"/>
      <c r="N53" s="866"/>
      <c r="O53" s="866"/>
      <c r="P53" s="362">
        <f t="shared" ref="P53:AE53" si="62">P54-P52</f>
        <v>4</v>
      </c>
      <c r="Q53" s="362">
        <f t="shared" si="62"/>
        <v>3</v>
      </c>
      <c r="R53" s="362">
        <f t="shared" si="62"/>
        <v>2</v>
      </c>
      <c r="S53" s="362">
        <f t="shared" si="62"/>
        <v>4</v>
      </c>
      <c r="T53" s="362">
        <f t="shared" si="62"/>
        <v>6</v>
      </c>
      <c r="U53" s="362">
        <f t="shared" si="62"/>
        <v>4</v>
      </c>
      <c r="V53" s="362">
        <f t="shared" si="62"/>
        <v>7</v>
      </c>
      <c r="W53" s="362">
        <f t="shared" si="62"/>
        <v>4</v>
      </c>
      <c r="X53" s="362">
        <f t="shared" si="62"/>
        <v>2</v>
      </c>
      <c r="Y53" s="362">
        <f t="shared" si="62"/>
        <v>4</v>
      </c>
      <c r="Z53" s="362">
        <f t="shared" si="62"/>
        <v>0</v>
      </c>
      <c r="AA53" s="362">
        <f t="shared" si="62"/>
        <v>3</v>
      </c>
      <c r="AB53" s="362">
        <f t="shared" si="62"/>
        <v>8</v>
      </c>
      <c r="AC53" s="362">
        <f t="shared" si="62"/>
        <v>3</v>
      </c>
      <c r="AD53" s="362">
        <f t="shared" si="62"/>
        <v>3</v>
      </c>
      <c r="AE53" s="362">
        <f t="shared" si="62"/>
        <v>2</v>
      </c>
      <c r="AF53" s="362">
        <f t="shared" ref="AF53:AL53" si="63">AF54-AF52</f>
        <v>0</v>
      </c>
      <c r="AG53" s="362">
        <f t="shared" si="63"/>
        <v>0</v>
      </c>
      <c r="AH53" s="362">
        <f t="shared" si="63"/>
        <v>0</v>
      </c>
      <c r="AI53" s="362">
        <f t="shared" si="63"/>
        <v>4</v>
      </c>
      <c r="AJ53" s="362">
        <f t="shared" si="63"/>
        <v>2</v>
      </c>
      <c r="AK53" s="362">
        <f t="shared" si="63"/>
        <v>0</v>
      </c>
      <c r="AL53" s="362">
        <f t="shared" si="63"/>
        <v>1</v>
      </c>
      <c r="AM53" s="1143">
        <v>2</v>
      </c>
      <c r="AN53" s="1143">
        <v>2</v>
      </c>
      <c r="AO53" s="1143">
        <v>2</v>
      </c>
      <c r="AP53" s="1143">
        <v>2</v>
      </c>
    </row>
    <row r="54" spans="1:44" x14ac:dyDescent="0.2">
      <c r="A54" s="239" t="s">
        <v>27</v>
      </c>
      <c r="B54" s="362"/>
      <c r="C54" s="362"/>
      <c r="D54" s="362"/>
      <c r="E54" s="362"/>
      <c r="F54" s="362"/>
      <c r="G54" s="362"/>
      <c r="H54" s="362"/>
      <c r="I54" s="362"/>
      <c r="J54" s="362"/>
      <c r="K54" s="362"/>
      <c r="L54" s="362"/>
      <c r="M54" s="362"/>
      <c r="N54" s="362"/>
      <c r="O54" s="583">
        <v>58</v>
      </c>
      <c r="P54" s="362">
        <f>INDEX(stores!$C6:$C122,MATCH(P5,stores!$B6:$B122,0)+1)</f>
        <v>62</v>
      </c>
      <c r="Q54" s="362">
        <f>INDEX(stores!$C6:$C122,MATCH(Q5,stores!$B6:$B122,0)+4)</f>
        <v>65</v>
      </c>
      <c r="R54" s="362">
        <f>INDEX(stores!$C6:$C122,MATCH(R5,stores!$B6:$B122,0)+4)</f>
        <v>67</v>
      </c>
      <c r="S54" s="362">
        <f>INDEX(stores!$C6:$C122,MATCH(S5,stores!$B6:$B122,0)+4)</f>
        <v>71</v>
      </c>
      <c r="T54" s="362">
        <f>INDEX(stores!$C6:$C122,MATCH(T5,stores!$B6:$B122,0)+4)</f>
        <v>77</v>
      </c>
      <c r="U54" s="362">
        <f>INDEX(stores!$C6:$C122,MATCH(U5,stores!$B6:$B122,0)+4)</f>
        <v>81</v>
      </c>
      <c r="V54" s="362">
        <f>INDEX(stores!$C6:$C122,MATCH(V5,stores!$B6:$B122,0)+4)</f>
        <v>88</v>
      </c>
      <c r="W54" s="362">
        <f>INDEX(stores!$C6:$C122,MATCH(W5,stores!$B6:$B122,0)+4)</f>
        <v>92</v>
      </c>
      <c r="X54" s="362">
        <f>INDEX(stores!$C6:$C122,MATCH(X5,stores!$B6:$B122,0)+4)</f>
        <v>94</v>
      </c>
      <c r="Y54" s="362">
        <f>INDEX(stores!$C6:$C122,MATCH(Y5,stores!$B6:$B122,0)+4)</f>
        <v>98</v>
      </c>
      <c r="Z54" s="362">
        <f>INDEX(stores!$C6:$C122,MATCH(Z5,stores!$B6:$B122,0)+4)</f>
        <v>98</v>
      </c>
      <c r="AA54" s="362">
        <f>INDEX(stores!$C6:$C122,MATCH(AA5,stores!$B6:$B122,0)+4)</f>
        <v>101</v>
      </c>
      <c r="AB54" s="362">
        <f>INDEX(stores!$C6:$C122,MATCH(AB5,stores!$B6:$B122,0)+4)</f>
        <v>109</v>
      </c>
      <c r="AC54" s="362">
        <f>INDEX(stores!$C6:$C122,MATCH(AC5,stores!$B6:$B122,0)+4)</f>
        <v>112</v>
      </c>
      <c r="AD54" s="362">
        <f>INDEX(stores!$C6:$C122,MATCH(AD5,stores!$B6:$B122,0)+4)</f>
        <v>115</v>
      </c>
      <c r="AE54" s="362">
        <f>INDEX(stores!$C6:$C122,MATCH(AE5,stores!$B6:$B122,0)+4)</f>
        <v>117</v>
      </c>
      <c r="AF54" s="362">
        <f>INDEX(stores!$C6:$C122,MATCH(AF5,stores!$B6:$B122,0)+4)</f>
        <v>117</v>
      </c>
      <c r="AG54" s="362">
        <f>INDEX(stores!$C6:$C122,MATCH(AG5,stores!$B6:$B122,0)+4)</f>
        <v>117</v>
      </c>
      <c r="AH54" s="362">
        <f>INDEX(stores!$C6:$C122,MATCH(AH5,stores!$B6:$B122,0)+4)</f>
        <v>117</v>
      </c>
      <c r="AI54" s="362">
        <f>INDEX(stores!$C6:$C122,MATCH(AI5,stores!$B6:$B122,0)+4)</f>
        <v>121</v>
      </c>
      <c r="AJ54" s="362">
        <f>INDEX(stores!$C6:$C142,MATCH(AJ5,stores!$B6:$B142,0)+4)</f>
        <v>123</v>
      </c>
      <c r="AK54" s="884">
        <f>stores!C133</f>
        <v>123</v>
      </c>
      <c r="AL54" s="884">
        <f>stores!C139</f>
        <v>124</v>
      </c>
      <c r="AM54" s="576">
        <f>SUM(AM52:AM53)</f>
        <v>126</v>
      </c>
      <c r="AN54" s="576">
        <f>SUM(AN52:AN53)</f>
        <v>128</v>
      </c>
      <c r="AO54" s="576">
        <f>SUM(AO52:AO53)</f>
        <v>130</v>
      </c>
      <c r="AP54" s="576">
        <f>SUM(AP52:AP53)</f>
        <v>132</v>
      </c>
    </row>
    <row r="55" spans="1:44" x14ac:dyDescent="0.2">
      <c r="A55" s="239" t="s">
        <v>28</v>
      </c>
      <c r="B55" s="866"/>
      <c r="C55" s="866"/>
      <c r="D55" s="866"/>
      <c r="E55" s="866"/>
      <c r="F55" s="866"/>
      <c r="G55" s="866"/>
      <c r="H55" s="866"/>
      <c r="I55" s="866"/>
      <c r="J55" s="866"/>
      <c r="K55" s="866"/>
      <c r="L55" s="866"/>
      <c r="M55" s="866"/>
      <c r="N55" s="866"/>
      <c r="O55" s="866"/>
      <c r="P55" s="362">
        <f t="shared" ref="P55:AK55" si="64">AVERAGE(P54,P52)</f>
        <v>60</v>
      </c>
      <c r="Q55" s="362">
        <f t="shared" si="64"/>
        <v>63.5</v>
      </c>
      <c r="R55" s="362">
        <f t="shared" si="64"/>
        <v>66</v>
      </c>
      <c r="S55" s="362">
        <f t="shared" si="64"/>
        <v>69</v>
      </c>
      <c r="T55" s="362">
        <f t="shared" si="64"/>
        <v>74</v>
      </c>
      <c r="U55" s="362">
        <f t="shared" si="64"/>
        <v>79</v>
      </c>
      <c r="V55" s="362">
        <f t="shared" si="64"/>
        <v>84.5</v>
      </c>
      <c r="W55" s="362">
        <f t="shared" si="64"/>
        <v>90</v>
      </c>
      <c r="X55" s="362">
        <f t="shared" si="64"/>
        <v>93</v>
      </c>
      <c r="Y55" s="362">
        <f t="shared" si="64"/>
        <v>96</v>
      </c>
      <c r="Z55" s="362">
        <f t="shared" si="64"/>
        <v>98</v>
      </c>
      <c r="AA55" s="362">
        <f t="shared" si="64"/>
        <v>99.5</v>
      </c>
      <c r="AB55" s="362">
        <f t="shared" si="64"/>
        <v>105</v>
      </c>
      <c r="AC55" s="362">
        <f t="shared" si="64"/>
        <v>110.5</v>
      </c>
      <c r="AD55" s="362">
        <f t="shared" si="64"/>
        <v>113.5</v>
      </c>
      <c r="AE55" s="362">
        <f t="shared" si="64"/>
        <v>116</v>
      </c>
      <c r="AF55" s="362">
        <f t="shared" si="64"/>
        <v>117</v>
      </c>
      <c r="AG55" s="362">
        <f t="shared" si="64"/>
        <v>117</v>
      </c>
      <c r="AH55" s="362">
        <f t="shared" si="64"/>
        <v>117</v>
      </c>
      <c r="AI55" s="362">
        <f>AVERAGE(AI54,AI52)</f>
        <v>119</v>
      </c>
      <c r="AJ55" s="362">
        <f t="shared" si="64"/>
        <v>122</v>
      </c>
      <c r="AK55" s="362">
        <f t="shared" si="64"/>
        <v>123</v>
      </c>
      <c r="AL55" s="362">
        <f>AVERAGE(AL54,AL52)</f>
        <v>123.5</v>
      </c>
      <c r="AM55" s="362">
        <f>AVERAGE(AM54,AM52)</f>
        <v>125</v>
      </c>
      <c r="AN55" s="362">
        <f>AVERAGE(AN54,AN52)</f>
        <v>127</v>
      </c>
      <c r="AO55" s="362">
        <f>AVERAGE(AO54,AO52)</f>
        <v>129</v>
      </c>
      <c r="AP55" s="362">
        <f>AVERAGE(AP54,AP52)</f>
        <v>131</v>
      </c>
    </row>
    <row r="56" spans="1:44" x14ac:dyDescent="0.2">
      <c r="A56" s="607" t="s">
        <v>24</v>
      </c>
      <c r="B56" s="866"/>
      <c r="C56" s="866"/>
      <c r="D56" s="866"/>
      <c r="E56" s="866"/>
      <c r="F56" s="866"/>
      <c r="G56" s="866"/>
      <c r="H56" s="866"/>
      <c r="I56" s="866"/>
      <c r="J56" s="866"/>
      <c r="K56" s="866"/>
      <c r="L56" s="866"/>
      <c r="M56" s="866"/>
      <c r="N56" s="866"/>
      <c r="O56" s="866"/>
      <c r="P56" s="866"/>
      <c r="Q56" s="866"/>
      <c r="R56" s="866">
        <f t="shared" ref="R56:X56" si="65">R55/Q55-1</f>
        <v>3.937007874015741E-2</v>
      </c>
      <c r="S56" s="866">
        <f t="shared" si="65"/>
        <v>4.5454545454545414E-2</v>
      </c>
      <c r="T56" s="866">
        <f t="shared" si="65"/>
        <v>7.2463768115942129E-2</v>
      </c>
      <c r="U56" s="866">
        <f t="shared" si="65"/>
        <v>6.7567567567567544E-2</v>
      </c>
      <c r="V56" s="866">
        <f t="shared" si="65"/>
        <v>6.9620253164556889E-2</v>
      </c>
      <c r="W56" s="866">
        <f t="shared" si="65"/>
        <v>6.5088757396449815E-2</v>
      </c>
      <c r="X56" s="866">
        <f t="shared" si="65"/>
        <v>3.3333333333333437E-2</v>
      </c>
      <c r="Y56" s="866">
        <f t="shared" ref="Y56:AM56" si="66">Y55/X55-1</f>
        <v>3.2258064516129004E-2</v>
      </c>
      <c r="Z56" s="866">
        <f t="shared" si="66"/>
        <v>2.0833333333333259E-2</v>
      </c>
      <c r="AA56" s="866">
        <f t="shared" si="66"/>
        <v>1.5306122448979664E-2</v>
      </c>
      <c r="AB56" s="866">
        <f t="shared" si="66"/>
        <v>5.5276381909547645E-2</v>
      </c>
      <c r="AC56" s="866">
        <f t="shared" si="66"/>
        <v>5.2380952380952417E-2</v>
      </c>
      <c r="AD56" s="866">
        <f t="shared" si="66"/>
        <v>2.7149321266968229E-2</v>
      </c>
      <c r="AE56" s="866">
        <f t="shared" si="66"/>
        <v>2.2026431718061623E-2</v>
      </c>
      <c r="AF56" s="866">
        <f t="shared" si="66"/>
        <v>8.6206896551723755E-3</v>
      </c>
      <c r="AG56" s="866">
        <f t="shared" si="66"/>
        <v>0</v>
      </c>
      <c r="AH56" s="866">
        <f t="shared" si="66"/>
        <v>0</v>
      </c>
      <c r="AI56" s="866">
        <f>AI55/AH55-1</f>
        <v>1.7094017094017033E-2</v>
      </c>
      <c r="AJ56" s="866">
        <f t="shared" si="66"/>
        <v>2.5210084033613356E-2</v>
      </c>
      <c r="AK56" s="866">
        <f t="shared" si="66"/>
        <v>8.1967213114753079E-3</v>
      </c>
      <c r="AL56" s="866">
        <f t="shared" si="66"/>
        <v>4.0650406504065817E-3</v>
      </c>
      <c r="AM56" s="866">
        <f t="shared" si="66"/>
        <v>1.2145748987854255E-2</v>
      </c>
      <c r="AN56" s="866">
        <f>AN55/AM55-1</f>
        <v>1.6000000000000014E-2</v>
      </c>
      <c r="AO56" s="866">
        <f>AO55/AN55-1</f>
        <v>1.5748031496062964E-2</v>
      </c>
      <c r="AP56" s="866">
        <f>AP55/AO55-1</f>
        <v>1.5503875968992276E-2</v>
      </c>
    </row>
    <row r="57" spans="1:44" ht="6.75" customHeight="1" x14ac:dyDescent="0.2">
      <c r="A57" s="607"/>
      <c r="B57" s="866"/>
      <c r="C57" s="866"/>
      <c r="D57" s="866"/>
      <c r="E57" s="866"/>
      <c r="F57" s="866"/>
      <c r="G57" s="866"/>
      <c r="H57" s="866"/>
      <c r="I57" s="866"/>
      <c r="J57" s="866"/>
      <c r="K57" s="866"/>
      <c r="L57" s="866"/>
      <c r="M57" s="866"/>
      <c r="N57" s="866"/>
      <c r="O57" s="866"/>
      <c r="P57" s="866"/>
      <c r="Q57" s="866"/>
      <c r="R57" s="866"/>
      <c r="S57" s="866"/>
      <c r="T57" s="866"/>
      <c r="U57" s="866"/>
      <c r="V57" s="866"/>
      <c r="W57" s="866"/>
      <c r="X57" s="866"/>
      <c r="Y57" s="866"/>
      <c r="Z57" s="866"/>
      <c r="AA57" s="866"/>
      <c r="AB57" s="866"/>
      <c r="AC57" s="866"/>
      <c r="AD57" s="866"/>
      <c r="AE57" s="866"/>
      <c r="AF57" s="866"/>
      <c r="AG57" s="866"/>
      <c r="AH57" s="866"/>
      <c r="AI57" s="866"/>
      <c r="AJ57" s="866"/>
      <c r="AK57" s="866"/>
      <c r="AL57" s="866"/>
      <c r="AM57" s="866"/>
      <c r="AN57" s="866"/>
      <c r="AO57" s="866"/>
      <c r="AP57" s="866"/>
    </row>
    <row r="58" spans="1:44" x14ac:dyDescent="0.2">
      <c r="A58" s="869" t="s">
        <v>91</v>
      </c>
      <c r="B58" s="363"/>
      <c r="C58" s="667"/>
      <c r="D58" s="667"/>
      <c r="E58" s="667"/>
      <c r="F58" s="667"/>
      <c r="G58" s="667"/>
      <c r="H58" s="667"/>
      <c r="I58" s="667"/>
      <c r="J58" s="667"/>
      <c r="K58" s="667"/>
      <c r="L58" s="667"/>
      <c r="M58" s="667"/>
      <c r="N58" s="667"/>
      <c r="O58" s="667"/>
      <c r="P58" s="667"/>
      <c r="Q58" s="667"/>
      <c r="R58" s="667"/>
      <c r="S58" s="667"/>
      <c r="T58" s="667"/>
      <c r="U58" s="667"/>
      <c r="V58" s="667"/>
      <c r="W58" s="667"/>
      <c r="X58" s="667"/>
      <c r="Y58" s="667"/>
      <c r="Z58" s="667"/>
      <c r="AA58" s="667">
        <f t="shared" ref="AA58:AM58" si="67">(AA60+Z60)/2</f>
        <v>9.1999999999999993</v>
      </c>
      <c r="AB58" s="667">
        <f t="shared" si="67"/>
        <v>19</v>
      </c>
      <c r="AC58" s="667">
        <f t="shared" si="67"/>
        <v>19.8</v>
      </c>
      <c r="AD58" s="667">
        <f t="shared" si="67"/>
        <v>20.225999999999999</v>
      </c>
      <c r="AE58" s="667">
        <f t="shared" si="67"/>
        <v>20.5655</v>
      </c>
      <c r="AF58" s="667">
        <f t="shared" si="67"/>
        <v>20.6845</v>
      </c>
      <c r="AG58" s="667">
        <f t="shared" si="67"/>
        <v>20.69</v>
      </c>
      <c r="AH58" s="667">
        <f t="shared" si="67"/>
        <v>20.69</v>
      </c>
      <c r="AI58" s="667">
        <f t="shared" si="67"/>
        <v>21.043675213675215</v>
      </c>
      <c r="AJ58" s="667">
        <f t="shared" si="67"/>
        <v>21.574188034188033</v>
      </c>
      <c r="AK58" s="667">
        <f t="shared" si="67"/>
        <v>21.751025641025642</v>
      </c>
      <c r="AL58" s="667">
        <f t="shared" si="67"/>
        <v>21.839444444444446</v>
      </c>
      <c r="AM58" s="667">
        <f t="shared" si="67"/>
        <v>22.061028409287523</v>
      </c>
      <c r="AN58" s="667">
        <f>(AN60+AM60)/2</f>
        <v>22.371747119277487</v>
      </c>
      <c r="AO58" s="667">
        <f>(AO60+AN60)/2</f>
        <v>22.726854216408874</v>
      </c>
      <c r="AP58" s="667">
        <f>(AP60+AO60)/2</f>
        <v>23.081961313540262</v>
      </c>
    </row>
    <row r="59" spans="1:44" x14ac:dyDescent="0.2">
      <c r="A59" s="871" t="s">
        <v>23</v>
      </c>
      <c r="B59" s="866"/>
      <c r="C59" s="866"/>
      <c r="D59" s="866"/>
      <c r="E59" s="866"/>
      <c r="F59" s="866"/>
      <c r="G59" s="866"/>
      <c r="H59" s="866"/>
      <c r="I59" s="866"/>
      <c r="J59" s="866"/>
      <c r="K59" s="866"/>
      <c r="L59" s="866"/>
      <c r="M59" s="866"/>
      <c r="N59" s="866"/>
      <c r="O59" s="866"/>
      <c r="P59" s="866"/>
      <c r="Q59" s="866"/>
      <c r="R59" s="866"/>
      <c r="S59" s="866"/>
      <c r="T59" s="866"/>
      <c r="U59" s="866"/>
      <c r="V59" s="866"/>
      <c r="W59" s="866"/>
      <c r="X59" s="866"/>
      <c r="Y59" s="866"/>
      <c r="Z59" s="866"/>
      <c r="AA59" s="866"/>
      <c r="AB59" s="866">
        <f t="shared" ref="AB59:AM59" si="68">AB58/AA58-1</f>
        <v>1.0652173913043481</v>
      </c>
      <c r="AC59" s="866">
        <f t="shared" si="68"/>
        <v>4.2105263157894868E-2</v>
      </c>
      <c r="AD59" s="866">
        <f t="shared" si="68"/>
        <v>2.1515151515151487E-2</v>
      </c>
      <c r="AE59" s="866">
        <f t="shared" si="68"/>
        <v>1.678532581825376E-2</v>
      </c>
      <c r="AF59" s="866">
        <f t="shared" si="68"/>
        <v>5.7863898276240278E-3</v>
      </c>
      <c r="AG59" s="866">
        <f t="shared" si="68"/>
        <v>2.6589958664713365E-4</v>
      </c>
      <c r="AH59" s="866">
        <f t="shared" si="68"/>
        <v>0</v>
      </c>
      <c r="AI59" s="866">
        <f t="shared" si="68"/>
        <v>1.7094017094017033E-2</v>
      </c>
      <c r="AJ59" s="866">
        <f t="shared" si="68"/>
        <v>2.5210084033613356E-2</v>
      </c>
      <c r="AK59" s="866">
        <f t="shared" si="68"/>
        <v>8.19672131147553E-3</v>
      </c>
      <c r="AL59" s="866">
        <f t="shared" si="68"/>
        <v>4.0650406504065817E-3</v>
      </c>
      <c r="AM59" s="866">
        <f t="shared" si="68"/>
        <v>1.0146044026291268E-2</v>
      </c>
      <c r="AN59" s="866">
        <f>AN58/AM58-1</f>
        <v>1.4084507042253502E-2</v>
      </c>
      <c r="AO59" s="866">
        <f>AO58/AN58-1</f>
        <v>1.5873015873015817E-2</v>
      </c>
      <c r="AP59" s="866">
        <f>AP58/AO58-1</f>
        <v>1.5625E-2</v>
      </c>
    </row>
    <row r="60" spans="1:44" x14ac:dyDescent="0.2">
      <c r="A60" s="869" t="s">
        <v>33</v>
      </c>
      <c r="B60" s="885"/>
      <c r="C60" s="885"/>
      <c r="D60" s="885"/>
      <c r="E60" s="885"/>
      <c r="F60" s="885"/>
      <c r="G60" s="885"/>
      <c r="H60" s="885"/>
      <c r="I60" s="885"/>
      <c r="J60" s="885"/>
      <c r="K60" s="885"/>
      <c r="L60" s="885"/>
      <c r="M60" s="885"/>
      <c r="N60" s="885"/>
      <c r="O60" s="885"/>
      <c r="P60" s="886"/>
      <c r="Q60" s="886"/>
      <c r="R60" s="886"/>
      <c r="S60" s="886"/>
      <c r="T60" s="886"/>
      <c r="U60" s="886"/>
      <c r="V60" s="886"/>
      <c r="W60" s="886"/>
      <c r="X60" s="886"/>
      <c r="Y60" s="886"/>
      <c r="Z60" s="886"/>
      <c r="AA60" s="886">
        <f>stores!C$211</f>
        <v>18.399999999999999</v>
      </c>
      <c r="AB60" s="886">
        <f>stores!C$217</f>
        <v>19.600000000000001</v>
      </c>
      <c r="AC60" s="886">
        <f>stores!C$223</f>
        <v>20</v>
      </c>
      <c r="AD60" s="886">
        <f>stores!C$229</f>
        <v>20.452000000000002</v>
      </c>
      <c r="AE60" s="886">
        <f>stores!C$235</f>
        <v>20.678999999999998</v>
      </c>
      <c r="AF60" s="886">
        <f>stores!C$241</f>
        <v>20.69</v>
      </c>
      <c r="AG60" s="886">
        <f>stores!C$247</f>
        <v>20.69</v>
      </c>
      <c r="AH60" s="886">
        <f>stores!$C$253</f>
        <v>20.69</v>
      </c>
      <c r="AI60" s="886">
        <f>stores!C259</f>
        <v>21.397350427350428</v>
      </c>
      <c r="AJ60" s="886">
        <f>stores!C265</f>
        <v>21.751025641025642</v>
      </c>
      <c r="AK60" s="886">
        <f>stores!C271</f>
        <v>21.751025641025642</v>
      </c>
      <c r="AL60" s="886">
        <f>stores!C277</f>
        <v>21.92786324786325</v>
      </c>
      <c r="AM60" s="1142">
        <f>AL60/AL55*AM55</f>
        <v>22.194193570711793</v>
      </c>
      <c r="AN60" s="1142">
        <f>AM60/AM55*AN55</f>
        <v>22.54930066784318</v>
      </c>
      <c r="AO60" s="1142">
        <f>AN60/AN55*AO55</f>
        <v>22.904407764974568</v>
      </c>
      <c r="AP60" s="1142">
        <f>AO60/AO55*AP55</f>
        <v>23.259514862105956</v>
      </c>
      <c r="AQ60" s="368"/>
      <c r="AR60" s="1297"/>
    </row>
    <row r="61" spans="1:44" x14ac:dyDescent="0.2">
      <c r="A61" s="871" t="s">
        <v>23</v>
      </c>
      <c r="B61" s="866"/>
      <c r="C61" s="866"/>
      <c r="D61" s="866"/>
      <c r="E61" s="866"/>
      <c r="F61" s="866"/>
      <c r="G61" s="866"/>
      <c r="H61" s="866"/>
      <c r="I61" s="866"/>
      <c r="J61" s="866"/>
      <c r="K61" s="866"/>
      <c r="L61" s="866"/>
      <c r="M61" s="866"/>
      <c r="N61" s="866"/>
      <c r="O61" s="866"/>
      <c r="P61" s="866"/>
      <c r="Q61" s="866"/>
      <c r="R61" s="866"/>
      <c r="S61" s="866"/>
      <c r="T61" s="866"/>
      <c r="U61" s="866"/>
      <c r="V61" s="866"/>
      <c r="W61" s="866"/>
      <c r="X61" s="866"/>
      <c r="Y61" s="866"/>
      <c r="Z61" s="866"/>
      <c r="AA61" s="866"/>
      <c r="AB61" s="866">
        <f t="shared" ref="AB61:AM61" si="69">AB60/AA60-1</f>
        <v>6.5217391304347894E-2</v>
      </c>
      <c r="AC61" s="866">
        <f t="shared" si="69"/>
        <v>2.0408163265306145E-2</v>
      </c>
      <c r="AD61" s="866">
        <f t="shared" si="69"/>
        <v>2.2600000000000176E-2</v>
      </c>
      <c r="AE61" s="866">
        <f t="shared" si="69"/>
        <v>1.1099159006453974E-2</v>
      </c>
      <c r="AF61" s="866">
        <f t="shared" si="69"/>
        <v>5.3194061608419219E-4</v>
      </c>
      <c r="AG61" s="866">
        <f t="shared" si="69"/>
        <v>0</v>
      </c>
      <c r="AH61" s="866">
        <f t="shared" si="69"/>
        <v>0</v>
      </c>
      <c r="AI61" s="866">
        <f>AI60/AH60-1</f>
        <v>3.4188034188034067E-2</v>
      </c>
      <c r="AJ61" s="866">
        <f t="shared" si="69"/>
        <v>1.6528925619834656E-2</v>
      </c>
      <c r="AK61" s="866">
        <f t="shared" si="69"/>
        <v>0</v>
      </c>
      <c r="AL61" s="866">
        <f t="shared" si="69"/>
        <v>8.1300813008131634E-3</v>
      </c>
      <c r="AM61" s="866">
        <f t="shared" si="69"/>
        <v>1.2145748987854255E-2</v>
      </c>
      <c r="AN61" s="866">
        <f>AN60/AM60-1</f>
        <v>1.6000000000000014E-2</v>
      </c>
      <c r="AO61" s="866">
        <f>AO60/AN60-1</f>
        <v>1.5748031496062964E-2</v>
      </c>
      <c r="AP61" s="866">
        <f>AP60/AO60-1</f>
        <v>1.5503875968992276E-2</v>
      </c>
    </row>
    <row r="62" spans="1:44" ht="6.75" customHeight="1" x14ac:dyDescent="0.2">
      <c r="A62" s="607"/>
      <c r="B62" s="866"/>
      <c r="C62" s="866"/>
      <c r="D62" s="866"/>
      <c r="E62" s="866"/>
      <c r="F62" s="866"/>
      <c r="G62" s="866"/>
      <c r="H62" s="866"/>
      <c r="I62" s="866"/>
      <c r="J62" s="866"/>
      <c r="K62" s="866"/>
      <c r="L62" s="866"/>
      <c r="M62" s="866"/>
      <c r="N62" s="866"/>
      <c r="O62" s="866"/>
      <c r="P62" s="866"/>
      <c r="Q62" s="866"/>
      <c r="R62" s="866"/>
      <c r="S62" s="866"/>
      <c r="T62" s="866"/>
      <c r="U62" s="866"/>
      <c r="V62" s="866"/>
      <c r="W62" s="866"/>
      <c r="X62" s="866"/>
      <c r="Y62" s="866"/>
      <c r="Z62" s="866"/>
      <c r="AA62" s="866"/>
      <c r="AB62" s="866"/>
      <c r="AC62" s="866"/>
      <c r="AD62" s="866"/>
      <c r="AE62" s="866"/>
      <c r="AF62" s="866"/>
      <c r="AG62" s="866"/>
      <c r="AH62" s="866"/>
      <c r="AI62" s="866"/>
      <c r="AJ62" s="866"/>
      <c r="AK62" s="866"/>
      <c r="AL62" s="866"/>
      <c r="AM62" s="866"/>
      <c r="AN62" s="866"/>
      <c r="AO62" s="866"/>
      <c r="AP62" s="866"/>
    </row>
    <row r="63" spans="1:44" x14ac:dyDescent="0.2">
      <c r="A63" s="880" t="s">
        <v>290</v>
      </c>
      <c r="B63" s="866"/>
      <c r="C63" s="866"/>
      <c r="D63" s="866"/>
      <c r="E63" s="866"/>
      <c r="F63" s="866"/>
      <c r="G63" s="866"/>
      <c r="H63" s="866"/>
      <c r="I63" s="866"/>
      <c r="J63" s="866"/>
      <c r="K63" s="866"/>
      <c r="L63" s="866"/>
      <c r="M63" s="866"/>
      <c r="N63" s="866"/>
      <c r="O63" s="866"/>
      <c r="P63" s="866"/>
      <c r="Q63" s="866"/>
      <c r="R63" s="866"/>
      <c r="S63" s="866"/>
      <c r="T63" s="866"/>
      <c r="U63" s="866"/>
      <c r="V63" s="866"/>
      <c r="W63" s="866"/>
      <c r="X63" s="866"/>
      <c r="Y63" s="866"/>
      <c r="Z63" s="866"/>
      <c r="AA63" s="866"/>
      <c r="AB63" s="866"/>
      <c r="AC63" s="866"/>
      <c r="AD63" s="866"/>
      <c r="AE63" s="866"/>
      <c r="AF63" s="362"/>
      <c r="AG63" s="866"/>
      <c r="AH63" s="866"/>
      <c r="AI63" s="866"/>
      <c r="AJ63" s="866"/>
      <c r="AK63" s="866"/>
      <c r="AL63" s="866"/>
      <c r="AM63" s="866"/>
      <c r="AN63" s="866"/>
      <c r="AO63" s="866"/>
      <c r="AP63" s="866"/>
    </row>
    <row r="64" spans="1:44" x14ac:dyDescent="0.2">
      <c r="A64" s="239" t="s">
        <v>26</v>
      </c>
      <c r="B64" s="866"/>
      <c r="C64" s="866"/>
      <c r="D64" s="866"/>
      <c r="E64" s="866"/>
      <c r="F64" s="866"/>
      <c r="G64" s="866"/>
      <c r="H64" s="866"/>
      <c r="I64" s="866"/>
      <c r="J64" s="866"/>
      <c r="K64" s="866"/>
      <c r="L64" s="866"/>
      <c r="M64" s="866"/>
      <c r="N64" s="866"/>
      <c r="O64" s="866"/>
      <c r="P64" s="362">
        <f t="shared" ref="P64:AF64" si="70">O66</f>
        <v>19</v>
      </c>
      <c r="Q64" s="362">
        <f t="shared" si="70"/>
        <v>20</v>
      </c>
      <c r="R64" s="362">
        <f t="shared" si="70"/>
        <v>22</v>
      </c>
      <c r="S64" s="362">
        <f t="shared" si="70"/>
        <v>25</v>
      </c>
      <c r="T64" s="362">
        <f t="shared" si="70"/>
        <v>27</v>
      </c>
      <c r="U64" s="362">
        <f t="shared" si="70"/>
        <v>37</v>
      </c>
      <c r="V64" s="362">
        <f t="shared" si="70"/>
        <v>46</v>
      </c>
      <c r="W64" s="362">
        <f t="shared" si="70"/>
        <v>55</v>
      </c>
      <c r="X64" s="362">
        <f t="shared" si="70"/>
        <v>49</v>
      </c>
      <c r="Y64" s="362">
        <f t="shared" si="70"/>
        <v>56</v>
      </c>
      <c r="Z64" s="362">
        <f t="shared" si="70"/>
        <v>57</v>
      </c>
      <c r="AA64" s="362">
        <f t="shared" si="70"/>
        <v>57</v>
      </c>
      <c r="AB64" s="362">
        <f t="shared" si="70"/>
        <v>55</v>
      </c>
      <c r="AC64" s="362">
        <f t="shared" si="70"/>
        <v>60</v>
      </c>
      <c r="AD64" s="362">
        <f t="shared" si="70"/>
        <v>72</v>
      </c>
      <c r="AE64" s="362">
        <f t="shared" si="70"/>
        <v>89</v>
      </c>
      <c r="AF64" s="362">
        <f t="shared" si="70"/>
        <v>108</v>
      </c>
      <c r="AG64" s="362">
        <f t="shared" ref="AG64:AM64" si="71">AF66</f>
        <v>123</v>
      </c>
      <c r="AH64" s="362">
        <f t="shared" si="71"/>
        <v>143</v>
      </c>
      <c r="AI64" s="362">
        <f t="shared" si="71"/>
        <v>175</v>
      </c>
      <c r="AJ64" s="362">
        <f t="shared" si="71"/>
        <v>202</v>
      </c>
      <c r="AK64" s="362">
        <f t="shared" si="71"/>
        <v>226</v>
      </c>
      <c r="AL64" s="362">
        <f t="shared" si="71"/>
        <v>243</v>
      </c>
      <c r="AM64" s="362">
        <f t="shared" si="71"/>
        <v>256</v>
      </c>
      <c r="AN64" s="362">
        <f>AM66</f>
        <v>271</v>
      </c>
      <c r="AO64" s="362">
        <f>AN66</f>
        <v>281</v>
      </c>
      <c r="AP64" s="362">
        <f>AO66</f>
        <v>286</v>
      </c>
    </row>
    <row r="65" spans="1:46" x14ac:dyDescent="0.2">
      <c r="A65" s="243" t="s">
        <v>242</v>
      </c>
      <c r="B65" s="866"/>
      <c r="C65" s="866"/>
      <c r="D65" s="866"/>
      <c r="E65" s="866"/>
      <c r="F65" s="866"/>
      <c r="G65" s="866"/>
      <c r="H65" s="866"/>
      <c r="I65" s="866"/>
      <c r="J65" s="866"/>
      <c r="K65" s="866"/>
      <c r="L65" s="866"/>
      <c r="M65" s="866"/>
      <c r="N65" s="866"/>
      <c r="O65" s="866"/>
      <c r="P65" s="362">
        <f t="shared" ref="P65:AH65" si="72">P66-P64</f>
        <v>1</v>
      </c>
      <c r="Q65" s="362">
        <f t="shared" si="72"/>
        <v>2</v>
      </c>
      <c r="R65" s="362">
        <f t="shared" si="72"/>
        <v>3</v>
      </c>
      <c r="S65" s="362">
        <f t="shared" si="72"/>
        <v>2</v>
      </c>
      <c r="T65" s="362">
        <f t="shared" si="72"/>
        <v>10</v>
      </c>
      <c r="U65" s="362">
        <f t="shared" si="72"/>
        <v>9</v>
      </c>
      <c r="V65" s="362">
        <f t="shared" si="72"/>
        <v>9</v>
      </c>
      <c r="W65" s="362">
        <f t="shared" si="72"/>
        <v>-6</v>
      </c>
      <c r="X65" s="362">
        <f t="shared" si="72"/>
        <v>7</v>
      </c>
      <c r="Y65" s="362">
        <f t="shared" si="72"/>
        <v>1</v>
      </c>
      <c r="Z65" s="362">
        <f t="shared" si="72"/>
        <v>0</v>
      </c>
      <c r="AA65" s="362">
        <f t="shared" si="72"/>
        <v>-2</v>
      </c>
      <c r="AB65" s="362">
        <f t="shared" si="72"/>
        <v>5</v>
      </c>
      <c r="AC65" s="362">
        <f t="shared" si="72"/>
        <v>12</v>
      </c>
      <c r="AD65" s="362">
        <f t="shared" si="72"/>
        <v>17</v>
      </c>
      <c r="AE65" s="362">
        <f t="shared" si="72"/>
        <v>19</v>
      </c>
      <c r="AF65" s="362">
        <f t="shared" si="72"/>
        <v>15</v>
      </c>
      <c r="AG65" s="362">
        <f t="shared" si="72"/>
        <v>20</v>
      </c>
      <c r="AH65" s="362">
        <f t="shared" si="72"/>
        <v>32</v>
      </c>
      <c r="AI65" s="362">
        <f>AI66-AI64</f>
        <v>27</v>
      </c>
      <c r="AJ65" s="362">
        <f>AJ66-AJ64</f>
        <v>24</v>
      </c>
      <c r="AK65" s="884">
        <f>AK66-AK64</f>
        <v>17</v>
      </c>
      <c r="AL65" s="884">
        <f>AL66-AL64</f>
        <v>13</v>
      </c>
      <c r="AM65" s="1143">
        <v>15</v>
      </c>
      <c r="AN65" s="1143">
        <v>10</v>
      </c>
      <c r="AO65" s="1143">
        <v>5</v>
      </c>
      <c r="AP65" s="1143">
        <v>5</v>
      </c>
    </row>
    <row r="66" spans="1:46" x14ac:dyDescent="0.2">
      <c r="A66" s="239" t="s">
        <v>27</v>
      </c>
      <c r="B66" s="362"/>
      <c r="C66" s="362"/>
      <c r="D66" s="362"/>
      <c r="E66" s="362"/>
      <c r="F66" s="362"/>
      <c r="G66" s="362"/>
      <c r="H66" s="362"/>
      <c r="I66" s="362"/>
      <c r="J66" s="362"/>
      <c r="K66" s="362"/>
      <c r="L66" s="362"/>
      <c r="M66" s="362"/>
      <c r="N66" s="362"/>
      <c r="O66" s="583">
        <v>19</v>
      </c>
      <c r="P66" s="362">
        <f>INDEX(stores!$E6:$E122,MATCH(P5,stores!$B6:$B122,0)+1)</f>
        <v>20</v>
      </c>
      <c r="Q66" s="362">
        <f>INDEX(stores!$E6:$E122,MATCH(Q5,stores!$B6:$B122,0)+4)</f>
        <v>22</v>
      </c>
      <c r="R66" s="362">
        <f>INDEX(stores!$E6:$E122,MATCH(R5,stores!$B6:$B122,0)+4)</f>
        <v>25</v>
      </c>
      <c r="S66" s="362">
        <f>INDEX(stores!$E6:$E122,MATCH(S5,stores!$B6:$B122,0)+4)</f>
        <v>27</v>
      </c>
      <c r="T66" s="362">
        <f>INDEX(stores!$E6:$E122,MATCH(T5,stores!$B6:$B122,0)+4)</f>
        <v>37</v>
      </c>
      <c r="U66" s="362">
        <f>INDEX(stores!$E6:$E122,MATCH(U5,stores!$B6:$B122,0)+4)</f>
        <v>46</v>
      </c>
      <c r="V66" s="362">
        <f>INDEX(stores!$E6:$E122,MATCH(V5,stores!$B6:$B122,0)+4)</f>
        <v>55</v>
      </c>
      <c r="W66" s="362">
        <f>INDEX(stores!$E6:$E122,MATCH(W5,stores!$B6:$B122,0)+4)</f>
        <v>49</v>
      </c>
      <c r="X66" s="362">
        <f>INDEX(stores!$E6:$E122,MATCH(X5,stores!$B6:$B122,0)+4)</f>
        <v>56</v>
      </c>
      <c r="Y66" s="362">
        <f>INDEX(stores!$E6:$E122,MATCH(Y5,stores!$B6:$B122,0)+4)</f>
        <v>57</v>
      </c>
      <c r="Z66" s="362">
        <f>INDEX(stores!$E6:$E122,MATCH(Z5,stores!$B6:$B122,0)+4)</f>
        <v>57</v>
      </c>
      <c r="AA66" s="362">
        <f>INDEX(stores!$E6:$E122,MATCH(AA5,stores!$B6:$B122,0)+4)</f>
        <v>55</v>
      </c>
      <c r="AB66" s="362">
        <f>INDEX(stores!$E6:$E122,MATCH(AB5,stores!$B6:$B122,0)+4)</f>
        <v>60</v>
      </c>
      <c r="AC66" s="362">
        <f>INDEX(stores!$E6:$E122,MATCH(AC5,stores!$B6:$B122,0)+4)</f>
        <v>72</v>
      </c>
      <c r="AD66" s="362">
        <f>INDEX(stores!$E6:$E122,MATCH(AD5,stores!$B6:$B122,0)+4)</f>
        <v>89</v>
      </c>
      <c r="AE66" s="362">
        <f>INDEX(stores!$E6:$E122,MATCH(AE5,stores!$B6:$B122,0)+4)</f>
        <v>108</v>
      </c>
      <c r="AF66" s="362">
        <f>INDEX(stores!$E6:$E122,MATCH(AF5,stores!$B6:$B122,0)+4)</f>
        <v>123</v>
      </c>
      <c r="AG66" s="362">
        <f>INDEX(stores!$E6:$E122,MATCH(AG5,stores!$B6:$B122,0)+4)</f>
        <v>143</v>
      </c>
      <c r="AH66" s="362">
        <f>INDEX(stores!$E6:$E122,MATCH(AH5,stores!$B6:$B122,0)+4)</f>
        <v>175</v>
      </c>
      <c r="AI66" s="362">
        <f>INDEX(stores!$E6:$E122,MATCH(AI5,stores!$B6:$B122,0)+4)</f>
        <v>202</v>
      </c>
      <c r="AJ66" s="362">
        <f>INDEX(stores!$E6:$E142,MATCH(AJ5,stores!$B6:$B142,0)+4)</f>
        <v>226</v>
      </c>
      <c r="AK66" s="362">
        <f>stores!E133</f>
        <v>243</v>
      </c>
      <c r="AL66" s="362">
        <f>stores!E139</f>
        <v>256</v>
      </c>
      <c r="AM66" s="362">
        <f>SUM(AM64:AM65)</f>
        <v>271</v>
      </c>
      <c r="AN66" s="362">
        <f>SUM(AN64:AN65)</f>
        <v>281</v>
      </c>
      <c r="AO66" s="362">
        <f>SUM(AO64:AO65)</f>
        <v>286</v>
      </c>
      <c r="AP66" s="362">
        <f>SUM(AP64:AP65)</f>
        <v>291</v>
      </c>
      <c r="AR66" s="1298"/>
    </row>
    <row r="67" spans="1:46" x14ac:dyDescent="0.2">
      <c r="A67" s="239" t="s">
        <v>28</v>
      </c>
      <c r="B67" s="866"/>
      <c r="C67" s="866"/>
      <c r="D67" s="866"/>
      <c r="E67" s="866"/>
      <c r="F67" s="866"/>
      <c r="G67" s="866"/>
      <c r="H67" s="866"/>
      <c r="I67" s="866"/>
      <c r="J67" s="866"/>
      <c r="K67" s="866"/>
      <c r="L67" s="866"/>
      <c r="M67" s="866"/>
      <c r="N67" s="866"/>
      <c r="O67" s="866"/>
      <c r="P67" s="362">
        <f t="shared" ref="P67:AK67" si="73">AVERAGE(P66,P64)</f>
        <v>19.5</v>
      </c>
      <c r="Q67" s="362">
        <f t="shared" si="73"/>
        <v>21</v>
      </c>
      <c r="R67" s="362">
        <f t="shared" si="73"/>
        <v>23.5</v>
      </c>
      <c r="S67" s="362">
        <f t="shared" si="73"/>
        <v>26</v>
      </c>
      <c r="T67" s="362">
        <f t="shared" si="73"/>
        <v>32</v>
      </c>
      <c r="U67" s="362">
        <f t="shared" si="73"/>
        <v>41.5</v>
      </c>
      <c r="V67" s="362">
        <f t="shared" si="73"/>
        <v>50.5</v>
      </c>
      <c r="W67" s="362">
        <f t="shared" si="73"/>
        <v>52</v>
      </c>
      <c r="X67" s="362">
        <f t="shared" si="73"/>
        <v>52.5</v>
      </c>
      <c r="Y67" s="362">
        <f t="shared" si="73"/>
        <v>56.5</v>
      </c>
      <c r="Z67" s="362">
        <f t="shared" si="73"/>
        <v>57</v>
      </c>
      <c r="AA67" s="362">
        <f t="shared" si="73"/>
        <v>56</v>
      </c>
      <c r="AB67" s="362">
        <f t="shared" si="73"/>
        <v>57.5</v>
      </c>
      <c r="AC67" s="362">
        <f t="shared" si="73"/>
        <v>66</v>
      </c>
      <c r="AD67" s="362">
        <f t="shared" si="73"/>
        <v>80.5</v>
      </c>
      <c r="AE67" s="362">
        <f t="shared" si="73"/>
        <v>98.5</v>
      </c>
      <c r="AF67" s="362">
        <f t="shared" si="73"/>
        <v>115.5</v>
      </c>
      <c r="AG67" s="362">
        <f t="shared" si="73"/>
        <v>133</v>
      </c>
      <c r="AH67" s="362">
        <f t="shared" si="73"/>
        <v>159</v>
      </c>
      <c r="AI67" s="362">
        <f>AVERAGE(AI66,AI64)</f>
        <v>188.5</v>
      </c>
      <c r="AJ67" s="362">
        <f>AVERAGE(AJ66,AJ64)</f>
        <v>214</v>
      </c>
      <c r="AK67" s="362">
        <f t="shared" si="73"/>
        <v>234.5</v>
      </c>
      <c r="AL67" s="362">
        <f>AVERAGE(AL66,AL64)</f>
        <v>249.5</v>
      </c>
      <c r="AM67" s="362">
        <f>AVERAGE(AM66,AM64)</f>
        <v>263.5</v>
      </c>
      <c r="AN67" s="362">
        <f>AVERAGE(AN66,AN64)</f>
        <v>276</v>
      </c>
      <c r="AO67" s="362">
        <f>AVERAGE(AO66,AO64)</f>
        <v>283.5</v>
      </c>
      <c r="AP67" s="362">
        <f>AVERAGE(AP66,AP64)</f>
        <v>288.5</v>
      </c>
    </row>
    <row r="68" spans="1:46" x14ac:dyDescent="0.2">
      <c r="A68" s="607" t="s">
        <v>24</v>
      </c>
      <c r="B68" s="866"/>
      <c r="C68" s="866"/>
      <c r="D68" s="866"/>
      <c r="E68" s="866"/>
      <c r="F68" s="866"/>
      <c r="G68" s="866"/>
      <c r="H68" s="866"/>
      <c r="I68" s="866"/>
      <c r="J68" s="866"/>
      <c r="K68" s="866"/>
      <c r="L68" s="866"/>
      <c r="M68" s="866"/>
      <c r="N68" s="866"/>
      <c r="O68" s="866"/>
      <c r="P68" s="866"/>
      <c r="Q68" s="866"/>
      <c r="R68" s="866">
        <f t="shared" ref="R68:AM68" si="74">R67/Q67-1</f>
        <v>0.11904761904761907</v>
      </c>
      <c r="S68" s="866">
        <f t="shared" si="74"/>
        <v>0.1063829787234043</v>
      </c>
      <c r="T68" s="866">
        <f t="shared" si="74"/>
        <v>0.23076923076923084</v>
      </c>
      <c r="U68" s="866">
        <f t="shared" si="74"/>
        <v>0.296875</v>
      </c>
      <c r="V68" s="866">
        <f t="shared" si="74"/>
        <v>0.2168674698795181</v>
      </c>
      <c r="W68" s="866">
        <f t="shared" si="74"/>
        <v>2.9702970297029729E-2</v>
      </c>
      <c r="X68" s="866">
        <f t="shared" si="74"/>
        <v>9.6153846153845812E-3</v>
      </c>
      <c r="Y68" s="866">
        <f t="shared" si="74"/>
        <v>7.6190476190476142E-2</v>
      </c>
      <c r="Z68" s="866">
        <f t="shared" si="74"/>
        <v>8.8495575221239076E-3</v>
      </c>
      <c r="AA68" s="866">
        <f t="shared" si="74"/>
        <v>-1.7543859649122862E-2</v>
      </c>
      <c r="AB68" s="866">
        <f t="shared" si="74"/>
        <v>2.6785714285714191E-2</v>
      </c>
      <c r="AC68" s="866">
        <f t="shared" si="74"/>
        <v>0.14782608695652177</v>
      </c>
      <c r="AD68" s="866">
        <f t="shared" si="74"/>
        <v>0.21969696969696972</v>
      </c>
      <c r="AE68" s="866">
        <f t="shared" si="74"/>
        <v>0.22360248447204967</v>
      </c>
      <c r="AF68" s="866">
        <f t="shared" si="74"/>
        <v>0.17258883248730972</v>
      </c>
      <c r="AG68" s="866">
        <f t="shared" si="74"/>
        <v>0.1515151515151516</v>
      </c>
      <c r="AH68" s="866">
        <f t="shared" si="74"/>
        <v>0.19548872180451138</v>
      </c>
      <c r="AI68" s="866">
        <f t="shared" si="74"/>
        <v>0.18553459119496862</v>
      </c>
      <c r="AJ68" s="866">
        <f t="shared" si="74"/>
        <v>0.13527851458885931</v>
      </c>
      <c r="AK68" s="866">
        <f t="shared" si="74"/>
        <v>9.5794392523364413E-2</v>
      </c>
      <c r="AL68" s="866">
        <f t="shared" si="74"/>
        <v>6.3965884861407307E-2</v>
      </c>
      <c r="AM68" s="866">
        <f t="shared" si="74"/>
        <v>5.6112224448897852E-2</v>
      </c>
      <c r="AN68" s="866">
        <f>AN67/AM67-1</f>
        <v>4.743833017077792E-2</v>
      </c>
      <c r="AO68" s="866">
        <f>AO67/AN67-1</f>
        <v>2.7173913043478271E-2</v>
      </c>
      <c r="AP68" s="866">
        <f>AP67/AO67-1</f>
        <v>1.763668430335108E-2</v>
      </c>
    </row>
    <row r="69" spans="1:46" ht="6.75" customHeight="1" x14ac:dyDescent="0.2">
      <c r="A69" s="607"/>
      <c r="B69" s="866"/>
      <c r="C69" s="866"/>
      <c r="D69" s="866"/>
      <c r="E69" s="866"/>
      <c r="F69" s="866"/>
      <c r="G69" s="866"/>
      <c r="H69" s="866"/>
      <c r="I69" s="866"/>
      <c r="J69" s="866"/>
      <c r="K69" s="866"/>
      <c r="L69" s="866"/>
      <c r="M69" s="866"/>
      <c r="N69" s="866"/>
      <c r="O69" s="866"/>
      <c r="P69" s="866"/>
      <c r="Q69" s="866"/>
      <c r="R69" s="866"/>
      <c r="S69" s="866"/>
      <c r="T69" s="866"/>
      <c r="U69" s="866"/>
      <c r="V69" s="866"/>
      <c r="W69" s="866"/>
      <c r="X69" s="866"/>
      <c r="Y69" s="866"/>
      <c r="Z69" s="866"/>
      <c r="AA69" s="866"/>
      <c r="AB69" s="866"/>
      <c r="AC69" s="866"/>
      <c r="AD69" s="866"/>
      <c r="AE69" s="866"/>
      <c r="AF69" s="866"/>
      <c r="AG69" s="866"/>
      <c r="AH69" s="866"/>
      <c r="AI69" s="866"/>
      <c r="AJ69" s="866"/>
      <c r="AK69" s="866"/>
      <c r="AL69" s="866"/>
      <c r="AM69" s="866"/>
      <c r="AN69" s="866"/>
      <c r="AO69" s="866"/>
      <c r="AP69" s="866"/>
    </row>
    <row r="70" spans="1:46" x14ac:dyDescent="0.2">
      <c r="A70" s="869" t="s">
        <v>91</v>
      </c>
      <c r="B70" s="363"/>
      <c r="C70" s="667"/>
      <c r="D70" s="667"/>
      <c r="E70" s="667"/>
      <c r="F70" s="667"/>
      <c r="G70" s="667"/>
      <c r="H70" s="667"/>
      <c r="I70" s="667"/>
      <c r="J70" s="667"/>
      <c r="K70" s="667"/>
      <c r="L70" s="667"/>
      <c r="M70" s="667"/>
      <c r="N70" s="667"/>
      <c r="O70" s="667"/>
      <c r="P70" s="667"/>
      <c r="Q70" s="667"/>
      <c r="R70" s="667"/>
      <c r="S70" s="667"/>
      <c r="T70" s="667"/>
      <c r="U70" s="667"/>
      <c r="V70" s="667"/>
      <c r="W70" s="667"/>
      <c r="X70" s="667"/>
      <c r="Y70" s="667"/>
      <c r="Z70" s="667"/>
      <c r="AA70" s="667">
        <f t="shared" ref="AA70:AM70" si="75">(AA72+Z72)/2</f>
        <v>1.05</v>
      </c>
      <c r="AB70" s="667">
        <f t="shared" si="75"/>
        <v>2.2000000000000002</v>
      </c>
      <c r="AC70" s="667">
        <f t="shared" si="75"/>
        <v>2.5499999999999998</v>
      </c>
      <c r="AD70" s="667">
        <f t="shared" si="75"/>
        <v>3.093</v>
      </c>
      <c r="AE70" s="667">
        <f t="shared" si="75"/>
        <v>3.726</v>
      </c>
      <c r="AF70" s="667">
        <f t="shared" si="75"/>
        <v>4.3330000000000002</v>
      </c>
      <c r="AG70" s="667">
        <f t="shared" si="75"/>
        <v>4.9634999999999989</v>
      </c>
      <c r="AH70" s="667">
        <f t="shared" si="75"/>
        <v>5.9230279720279704</v>
      </c>
      <c r="AI70" s="667">
        <f>(AI72+AH72)/2</f>
        <v>7.0219545454545438</v>
      </c>
      <c r="AJ70" s="667">
        <f>(AJ72+AI72)/2</f>
        <v>7.9718741258741233</v>
      </c>
      <c r="AK70" s="667">
        <f t="shared" si="75"/>
        <v>8.7355349650349616</v>
      </c>
      <c r="AL70" s="667">
        <f t="shared" si="75"/>
        <v>9.2943111888111858</v>
      </c>
      <c r="AM70" s="667">
        <f t="shared" si="75"/>
        <v>9.804003195201588</v>
      </c>
      <c r="AN70" s="667">
        <f>(AN72+AM72)/2</f>
        <v>10.310447804700305</v>
      </c>
      <c r="AO70" s="667">
        <f>(AO72+AN72)/2</f>
        <v>10.692670151491789</v>
      </c>
      <c r="AP70" s="667">
        <f>(AP72+AO72)/2</f>
        <v>10.931559118236468</v>
      </c>
      <c r="AT70" s="1299">
        <f>((AM70/AH70)^(1/5)-1)*100</f>
        <v>10.604279775857339</v>
      </c>
    </row>
    <row r="71" spans="1:46" x14ac:dyDescent="0.2">
      <c r="A71" s="871" t="s">
        <v>23</v>
      </c>
      <c r="B71" s="866"/>
      <c r="C71" s="866"/>
      <c r="D71" s="866"/>
      <c r="E71" s="866"/>
      <c r="F71" s="866"/>
      <c r="G71" s="866"/>
      <c r="H71" s="866"/>
      <c r="I71" s="866"/>
      <c r="J71" s="866"/>
      <c r="K71" s="866"/>
      <c r="L71" s="866"/>
      <c r="M71" s="866"/>
      <c r="N71" s="866"/>
      <c r="O71" s="866"/>
      <c r="P71" s="866"/>
      <c r="Q71" s="866"/>
      <c r="R71" s="866"/>
      <c r="S71" s="866"/>
      <c r="T71" s="866"/>
      <c r="U71" s="866"/>
      <c r="V71" s="866"/>
      <c r="W71" s="866"/>
      <c r="X71" s="866"/>
      <c r="Y71" s="866"/>
      <c r="Z71" s="866"/>
      <c r="AA71" s="866"/>
      <c r="AB71" s="866">
        <f t="shared" ref="AB71:AM71" si="76">AB70/AA70-1</f>
        <v>1.0952380952380953</v>
      </c>
      <c r="AC71" s="866">
        <f t="shared" si="76"/>
        <v>0.15909090909090895</v>
      </c>
      <c r="AD71" s="866">
        <f t="shared" si="76"/>
        <v>0.21294117647058841</v>
      </c>
      <c r="AE71" s="866">
        <f t="shared" si="76"/>
        <v>0.20465567410281271</v>
      </c>
      <c r="AF71" s="866">
        <f t="shared" si="76"/>
        <v>0.16290928609769195</v>
      </c>
      <c r="AG71" s="866">
        <f t="shared" si="76"/>
        <v>0.14551119316870498</v>
      </c>
      <c r="AH71" s="866">
        <f t="shared" si="76"/>
        <v>0.1933168070974054</v>
      </c>
      <c r="AI71" s="866">
        <f t="shared" si="76"/>
        <v>0.18553459119496862</v>
      </c>
      <c r="AJ71" s="866">
        <f>AJ70/AI70-1</f>
        <v>0.13527851458885931</v>
      </c>
      <c r="AK71" s="866">
        <f t="shared" si="76"/>
        <v>9.5794392523364413E-2</v>
      </c>
      <c r="AL71" s="866">
        <f t="shared" si="76"/>
        <v>6.3965884861407307E-2</v>
      </c>
      <c r="AM71" s="866">
        <f t="shared" si="76"/>
        <v>5.4839137192220111E-2</v>
      </c>
      <c r="AN71" s="866">
        <f>AN70/AM70-1</f>
        <v>5.1656920077972623E-2</v>
      </c>
      <c r="AO71" s="866">
        <f>AO70/AN70-1</f>
        <v>3.707136237256714E-2</v>
      </c>
      <c r="AP71" s="866">
        <f>AP70/AO70-1</f>
        <v>2.2341376228775633E-2</v>
      </c>
    </row>
    <row r="72" spans="1:46" x14ac:dyDescent="0.2">
      <c r="A72" s="869" t="s">
        <v>33</v>
      </c>
      <c r="B72" s="885"/>
      <c r="C72" s="885"/>
      <c r="D72" s="885"/>
      <c r="E72" s="885"/>
      <c r="F72" s="885"/>
      <c r="G72" s="885"/>
      <c r="H72" s="885"/>
      <c r="I72" s="885"/>
      <c r="J72" s="885"/>
      <c r="K72" s="885"/>
      <c r="L72" s="885"/>
      <c r="M72" s="885"/>
      <c r="N72" s="885"/>
      <c r="O72" s="885"/>
      <c r="P72" s="886"/>
      <c r="Q72" s="886"/>
      <c r="R72" s="886"/>
      <c r="S72" s="886"/>
      <c r="T72" s="886"/>
      <c r="U72" s="886"/>
      <c r="V72" s="886"/>
      <c r="W72" s="886"/>
      <c r="X72" s="886"/>
      <c r="Y72" s="886"/>
      <c r="Z72" s="886"/>
      <c r="AA72" s="886">
        <f>stores!E$211</f>
        <v>2.1</v>
      </c>
      <c r="AB72" s="886">
        <f>stores!E$217</f>
        <v>2.2999999999999998</v>
      </c>
      <c r="AC72" s="886">
        <f>stores!E$223</f>
        <v>2.8</v>
      </c>
      <c r="AD72" s="886">
        <f>stores!E$229</f>
        <v>3.3860000000000001</v>
      </c>
      <c r="AE72" s="886">
        <f>stores!E$235</f>
        <v>4.0659999999999998</v>
      </c>
      <c r="AF72" s="886">
        <f>stores!E$241</f>
        <v>4.5999999999999996</v>
      </c>
      <c r="AG72" s="886">
        <f>stores!E$247</f>
        <v>5.3269999999999982</v>
      </c>
      <c r="AH72" s="886">
        <f>stores!$E$253</f>
        <v>6.5190559440559426</v>
      </c>
      <c r="AI72" s="886">
        <f>stores!$E$259</f>
        <v>7.524853146853145</v>
      </c>
      <c r="AJ72" s="886">
        <f>stores!$E$265</f>
        <v>8.4188951048951015</v>
      </c>
      <c r="AK72" s="886">
        <f>stores!$E$271</f>
        <v>9.0521748251748217</v>
      </c>
      <c r="AL72" s="886">
        <f>stores!$E$277</f>
        <v>9.536447552447548</v>
      </c>
      <c r="AM72" s="1142">
        <f>AL72/AL67*AM67</f>
        <v>10.071558837955626</v>
      </c>
      <c r="AN72" s="1142">
        <f>AM72/AM67*AN67</f>
        <v>10.549336771444983</v>
      </c>
      <c r="AO72" s="1142">
        <f>AN72/AN67*AO67</f>
        <v>10.836003531538596</v>
      </c>
      <c r="AP72" s="1142">
        <f>AO72/AO67*AP67</f>
        <v>11.027114704934339</v>
      </c>
      <c r="AQ72" s="368"/>
      <c r="AR72" s="1300"/>
    </row>
    <row r="73" spans="1:46" x14ac:dyDescent="0.2">
      <c r="A73" s="871" t="s">
        <v>23</v>
      </c>
      <c r="B73" s="866"/>
      <c r="C73" s="866"/>
      <c r="D73" s="866"/>
      <c r="E73" s="866"/>
      <c r="F73" s="866"/>
      <c r="G73" s="866"/>
      <c r="H73" s="866"/>
      <c r="I73" s="866"/>
      <c r="J73" s="866"/>
      <c r="K73" s="866"/>
      <c r="L73" s="866"/>
      <c r="M73" s="866"/>
      <c r="N73" s="866"/>
      <c r="O73" s="866"/>
      <c r="P73" s="866"/>
      <c r="Q73" s="866"/>
      <c r="R73" s="866"/>
      <c r="S73" s="866"/>
      <c r="T73" s="866"/>
      <c r="U73" s="866"/>
      <c r="V73" s="866"/>
      <c r="W73" s="866"/>
      <c r="X73" s="866"/>
      <c r="Y73" s="866"/>
      <c r="Z73" s="866"/>
      <c r="AA73" s="866"/>
      <c r="AB73" s="866">
        <f t="shared" ref="AB73:AM73" si="77">AB72/AA72-1</f>
        <v>9.5238095238095122E-2</v>
      </c>
      <c r="AC73" s="866">
        <f t="shared" si="77"/>
        <v>0.21739130434782616</v>
      </c>
      <c r="AD73" s="866">
        <f t="shared" si="77"/>
        <v>0.2092857142857143</v>
      </c>
      <c r="AE73" s="866">
        <f t="shared" si="77"/>
        <v>0.2008269344359126</v>
      </c>
      <c r="AF73" s="866">
        <f t="shared" si="77"/>
        <v>0.13133300541072312</v>
      </c>
      <c r="AG73" s="866">
        <f t="shared" si="77"/>
        <v>0.15804347826086929</v>
      </c>
      <c r="AH73" s="866">
        <f t="shared" si="77"/>
        <v>0.22377622377622397</v>
      </c>
      <c r="AI73" s="866">
        <f>AI72/AH72-1</f>
        <v>0.15428571428571436</v>
      </c>
      <c r="AJ73" s="866">
        <f t="shared" si="77"/>
        <v>0.1188118811881187</v>
      </c>
      <c r="AK73" s="866">
        <f t="shared" si="77"/>
        <v>7.5221238938053103E-2</v>
      </c>
      <c r="AL73" s="866">
        <f t="shared" si="77"/>
        <v>5.3497942386831143E-2</v>
      </c>
      <c r="AM73" s="866">
        <f t="shared" si="77"/>
        <v>5.611222444889763E-2</v>
      </c>
      <c r="AN73" s="866">
        <f>AN72/AM72-1</f>
        <v>4.7438330170778142E-2</v>
      </c>
      <c r="AO73" s="866">
        <f>AO72/AN72-1</f>
        <v>2.7173913043478271E-2</v>
      </c>
      <c r="AP73" s="866">
        <f>AP72/AO72-1</f>
        <v>1.763668430335108E-2</v>
      </c>
    </row>
    <row r="74" spans="1:46" ht="6.75" customHeight="1" x14ac:dyDescent="0.2">
      <c r="A74" s="607"/>
      <c r="B74" s="866"/>
      <c r="C74" s="866"/>
      <c r="D74" s="866"/>
      <c r="E74" s="866"/>
      <c r="F74" s="866"/>
      <c r="G74" s="866"/>
      <c r="H74" s="866"/>
      <c r="I74" s="866"/>
      <c r="J74" s="866"/>
      <c r="K74" s="866"/>
      <c r="L74" s="866"/>
      <c r="M74" s="866"/>
      <c r="N74" s="866"/>
      <c r="O74" s="866"/>
      <c r="P74" s="866"/>
      <c r="Q74" s="866"/>
      <c r="R74" s="866"/>
      <c r="S74" s="866"/>
      <c r="T74" s="866"/>
      <c r="U74" s="866"/>
      <c r="V74" s="866"/>
      <c r="W74" s="866"/>
      <c r="X74" s="866"/>
      <c r="Y74" s="866"/>
      <c r="Z74" s="866"/>
      <c r="AA74" s="866"/>
      <c r="AB74" s="866"/>
      <c r="AC74" s="866"/>
      <c r="AD74" s="866"/>
      <c r="AE74" s="866"/>
      <c r="AF74" s="866"/>
      <c r="AG74" s="866"/>
      <c r="AH74" s="866"/>
      <c r="AI74" s="866"/>
      <c r="AJ74" s="866"/>
      <c r="AK74" s="866"/>
      <c r="AL74" s="866"/>
      <c r="AM74" s="866"/>
      <c r="AN74" s="866"/>
      <c r="AO74" s="866"/>
      <c r="AP74" s="866"/>
    </row>
    <row r="75" spans="1:46" hidden="1" outlineLevel="1" x14ac:dyDescent="0.2">
      <c r="A75" s="504" t="s">
        <v>293</v>
      </c>
      <c r="B75" s="866"/>
      <c r="C75" s="866"/>
      <c r="D75" s="866"/>
      <c r="E75" s="866"/>
      <c r="F75" s="866"/>
      <c r="G75" s="866"/>
      <c r="H75" s="866"/>
      <c r="I75" s="866"/>
      <c r="J75" s="866"/>
      <c r="K75" s="866"/>
      <c r="L75" s="866"/>
      <c r="M75" s="866"/>
      <c r="N75" s="866"/>
      <c r="O75" s="866"/>
      <c r="P75" s="866"/>
      <c r="Q75" s="866"/>
      <c r="R75" s="866"/>
      <c r="S75" s="866"/>
      <c r="T75" s="866"/>
      <c r="U75" s="866"/>
      <c r="V75" s="866"/>
      <c r="W75" s="866"/>
      <c r="X75" s="866"/>
      <c r="Y75" s="866"/>
      <c r="Z75" s="866"/>
      <c r="AA75" s="866"/>
      <c r="AB75" s="866"/>
      <c r="AC75" s="866"/>
      <c r="AD75" s="866"/>
      <c r="AE75" s="866"/>
      <c r="AF75" s="866"/>
      <c r="AG75" s="866"/>
      <c r="AH75" s="866"/>
      <c r="AI75" s="866"/>
      <c r="AJ75" s="866"/>
      <c r="AK75" s="866"/>
      <c r="AL75" s="866"/>
      <c r="AM75" s="866"/>
      <c r="AN75" s="866"/>
      <c r="AO75" s="866"/>
      <c r="AP75" s="866"/>
    </row>
    <row r="76" spans="1:46" hidden="1" outlineLevel="1" x14ac:dyDescent="0.2">
      <c r="A76" s="239" t="s">
        <v>26</v>
      </c>
      <c r="B76" s="866"/>
      <c r="C76" s="866"/>
      <c r="D76" s="866"/>
      <c r="E76" s="866"/>
      <c r="F76" s="866"/>
      <c r="G76" s="866"/>
      <c r="H76" s="866"/>
      <c r="I76" s="866"/>
      <c r="J76" s="866"/>
      <c r="K76" s="866"/>
      <c r="L76" s="866"/>
      <c r="M76" s="866"/>
      <c r="N76" s="866"/>
      <c r="O76" s="866"/>
      <c r="P76" s="362">
        <f t="shared" ref="P76:W76" si="78">O78</f>
        <v>1</v>
      </c>
      <c r="Q76" s="362">
        <f t="shared" si="78"/>
        <v>0</v>
      </c>
      <c r="R76" s="362">
        <f t="shared" si="78"/>
        <v>0</v>
      </c>
      <c r="S76" s="362">
        <f t="shared" si="78"/>
        <v>0</v>
      </c>
      <c r="T76" s="362">
        <f t="shared" si="78"/>
        <v>0</v>
      </c>
      <c r="U76" s="362">
        <f t="shared" si="78"/>
        <v>0</v>
      </c>
      <c r="V76" s="362">
        <f t="shared" si="78"/>
        <v>0</v>
      </c>
      <c r="W76" s="362">
        <f t="shared" si="78"/>
        <v>0</v>
      </c>
      <c r="X76" s="362">
        <f t="shared" ref="X76:AC76" si="79">W78</f>
        <v>0</v>
      </c>
      <c r="Y76" s="362">
        <f t="shared" si="79"/>
        <v>0</v>
      </c>
      <c r="Z76" s="362">
        <f t="shared" si="79"/>
        <v>0</v>
      </c>
      <c r="AA76" s="362">
        <f t="shared" si="79"/>
        <v>0</v>
      </c>
      <c r="AB76" s="362">
        <f t="shared" si="79"/>
        <v>0</v>
      </c>
      <c r="AC76" s="362">
        <f t="shared" si="79"/>
        <v>0</v>
      </c>
      <c r="AD76" s="362">
        <f t="shared" ref="AD76:AM76" si="80">AC78</f>
        <v>0</v>
      </c>
      <c r="AE76" s="362">
        <f t="shared" si="80"/>
        <v>0</v>
      </c>
      <c r="AF76" s="362">
        <f t="shared" si="80"/>
        <v>0</v>
      </c>
      <c r="AG76" s="362">
        <f t="shared" si="80"/>
        <v>0</v>
      </c>
      <c r="AH76" s="362">
        <f t="shared" si="80"/>
        <v>0</v>
      </c>
      <c r="AI76" s="362">
        <f t="shared" si="80"/>
        <v>0</v>
      </c>
      <c r="AJ76" s="362">
        <f t="shared" si="80"/>
        <v>0</v>
      </c>
      <c r="AK76" s="362">
        <f t="shared" si="80"/>
        <v>0</v>
      </c>
      <c r="AL76" s="362">
        <f t="shared" si="80"/>
        <v>0</v>
      </c>
      <c r="AM76" s="362">
        <f t="shared" si="80"/>
        <v>0</v>
      </c>
      <c r="AN76" s="362">
        <f>AM78</f>
        <v>0</v>
      </c>
      <c r="AO76" s="362">
        <f>AN78</f>
        <v>0</v>
      </c>
      <c r="AP76" s="362">
        <f>AO78</f>
        <v>0</v>
      </c>
    </row>
    <row r="77" spans="1:46" hidden="1" outlineLevel="1" x14ac:dyDescent="0.2">
      <c r="A77" s="243" t="s">
        <v>242</v>
      </c>
      <c r="B77" s="866"/>
      <c r="C77" s="866"/>
      <c r="D77" s="866"/>
      <c r="E77" s="866"/>
      <c r="F77" s="866"/>
      <c r="G77" s="866"/>
      <c r="H77" s="866"/>
      <c r="I77" s="866"/>
      <c r="J77" s="866"/>
      <c r="K77" s="866"/>
      <c r="L77" s="866"/>
      <c r="M77" s="866"/>
      <c r="N77" s="866"/>
      <c r="O77" s="866"/>
      <c r="P77" s="362">
        <f t="shared" ref="P77:W77" si="81">P78-P76</f>
        <v>-1</v>
      </c>
      <c r="Q77" s="362">
        <f t="shared" si="81"/>
        <v>0</v>
      </c>
      <c r="R77" s="362">
        <f t="shared" si="81"/>
        <v>0</v>
      </c>
      <c r="S77" s="362">
        <f t="shared" si="81"/>
        <v>0</v>
      </c>
      <c r="T77" s="362">
        <f t="shared" si="81"/>
        <v>0</v>
      </c>
      <c r="U77" s="362">
        <f t="shared" si="81"/>
        <v>0</v>
      </c>
      <c r="V77" s="362">
        <f t="shared" si="81"/>
        <v>0</v>
      </c>
      <c r="W77" s="362">
        <f t="shared" si="81"/>
        <v>0</v>
      </c>
      <c r="X77" s="362">
        <f t="shared" ref="X77:AC77" si="82">X78-X76</f>
        <v>0</v>
      </c>
      <c r="Y77" s="362">
        <f t="shared" si="82"/>
        <v>0</v>
      </c>
      <c r="Z77" s="362">
        <f t="shared" si="82"/>
        <v>0</v>
      </c>
      <c r="AA77" s="362">
        <f t="shared" si="82"/>
        <v>0</v>
      </c>
      <c r="AB77" s="362">
        <f t="shared" si="82"/>
        <v>0</v>
      </c>
      <c r="AC77" s="362">
        <f t="shared" si="82"/>
        <v>0</v>
      </c>
      <c r="AD77" s="362">
        <f t="shared" ref="AD77:AK77" si="83">AD78-AD76</f>
        <v>0</v>
      </c>
      <c r="AE77" s="362">
        <f t="shared" si="83"/>
        <v>0</v>
      </c>
      <c r="AF77" s="362">
        <f t="shared" si="83"/>
        <v>0</v>
      </c>
      <c r="AG77" s="362">
        <f t="shared" si="83"/>
        <v>0</v>
      </c>
      <c r="AH77" s="362">
        <f t="shared" si="83"/>
        <v>0</v>
      </c>
      <c r="AI77" s="362">
        <f>AI78-AI76</f>
        <v>0</v>
      </c>
      <c r="AJ77" s="362">
        <f t="shared" si="83"/>
        <v>0</v>
      </c>
      <c r="AK77" s="362">
        <f t="shared" si="83"/>
        <v>0</v>
      </c>
      <c r="AL77" s="362">
        <f>AL78-AL76</f>
        <v>0</v>
      </c>
      <c r="AM77" s="362">
        <f>AM78-AM76</f>
        <v>0</v>
      </c>
      <c r="AN77" s="362">
        <f>AN78-AN76</f>
        <v>0</v>
      </c>
      <c r="AO77" s="362">
        <f>AO78-AO76</f>
        <v>0</v>
      </c>
      <c r="AP77" s="362">
        <f>AP78-AP76</f>
        <v>0</v>
      </c>
    </row>
    <row r="78" spans="1:46" hidden="1" outlineLevel="1" x14ac:dyDescent="0.2">
      <c r="A78" s="239" t="s">
        <v>27</v>
      </c>
      <c r="B78" s="362"/>
      <c r="C78" s="362"/>
      <c r="D78" s="362"/>
      <c r="E78" s="362"/>
      <c r="F78" s="362"/>
      <c r="G78" s="362"/>
      <c r="H78" s="362"/>
      <c r="I78" s="362"/>
      <c r="J78" s="362"/>
      <c r="K78" s="362"/>
      <c r="L78" s="362"/>
      <c r="M78" s="362"/>
      <c r="N78" s="362"/>
      <c r="O78" s="583">
        <v>1</v>
      </c>
      <c r="P78" s="362">
        <f>INDEX(stores!$G6:$G103,MATCH(P5,stores!$B6:$B103,0)+1)</f>
        <v>0</v>
      </c>
      <c r="Q78" s="362">
        <f>INDEX(stores!$G6:$G103,MATCH(Q5,stores!$B6:$B103,0)+4)</f>
        <v>0</v>
      </c>
      <c r="R78" s="362">
        <f>INDEX(stores!$G6:$G103,MATCH(R5,stores!$B6:$B103,0)+4)</f>
        <v>0</v>
      </c>
      <c r="S78" s="362">
        <f>INDEX(stores!$G6:$G103,MATCH(S5,stores!$B6:$B103,0)+4)</f>
        <v>0</v>
      </c>
      <c r="T78" s="362">
        <f>INDEX(stores!$G6:$G103,MATCH(T5,stores!$B6:$B103,0)+4)</f>
        <v>0</v>
      </c>
      <c r="U78" s="362">
        <f>INDEX(stores!$G6:$G103,MATCH(U5,stores!$B6:$B103,0)+4)</f>
        <v>0</v>
      </c>
      <c r="V78" s="362">
        <f>INDEX(stores!$G6:$G103,MATCH(V5,stores!$B6:$B103,0)+4)</f>
        <v>0</v>
      </c>
      <c r="W78" s="362">
        <f>INDEX(stores!$G6:$G103,MATCH(W5,stores!$B6:$B103,0)+4)</f>
        <v>0</v>
      </c>
      <c r="X78" s="362">
        <f>INDEX(stores!$G6:$G103,MATCH(X5,stores!$B6:$B103,0)+4)</f>
        <v>0</v>
      </c>
      <c r="Y78" s="362">
        <f>INDEX(stores!$G6:$G103,MATCH(Y5,stores!$B6:$B103,0)+4)</f>
        <v>0</v>
      </c>
      <c r="Z78" s="362">
        <f>INDEX(stores!$G6:$G103,MATCH(Z5,stores!$B6:$B103,0)+4)</f>
        <v>0</v>
      </c>
      <c r="AA78" s="362">
        <f>INDEX(stores!$G6:$G103,MATCH(AA5,stores!$B6:$B103,0)+4)</f>
        <v>0</v>
      </c>
      <c r="AB78" s="362">
        <f>INDEX(stores!$G6:$G103,MATCH(AB5,stores!$B6:$B103,0)+4)</f>
        <v>0</v>
      </c>
      <c r="AC78" s="362">
        <f>INDEX(stores!$G6:$G103,MATCH(AC5,stores!$B6:$B103,0)+4)</f>
        <v>0</v>
      </c>
      <c r="AD78" s="362">
        <f>INDEX(stores!$G6:$G103,MATCH(AD5,stores!$B6:$B103,0)+4)</f>
        <v>0</v>
      </c>
      <c r="AE78" s="362">
        <f>INDEX(stores!$G6:$G103,MATCH(AE5,stores!$B6:$B103,0)+4)</f>
        <v>0</v>
      </c>
      <c r="AF78" s="362">
        <f>INDEX(stores!$G6:$G103,MATCH(AF5,stores!$B6:$B103,0)+4)</f>
        <v>0</v>
      </c>
      <c r="AG78" s="362">
        <v>0</v>
      </c>
      <c r="AH78" s="362">
        <v>0</v>
      </c>
      <c r="AI78" s="362">
        <v>0</v>
      </c>
      <c r="AJ78" s="362">
        <v>0</v>
      </c>
      <c r="AK78" s="362">
        <v>0</v>
      </c>
      <c r="AL78" s="362">
        <v>0</v>
      </c>
      <c r="AM78" s="362">
        <v>0</v>
      </c>
      <c r="AN78" s="362">
        <v>0</v>
      </c>
      <c r="AO78" s="362">
        <v>0</v>
      </c>
      <c r="AP78" s="362">
        <v>0</v>
      </c>
    </row>
    <row r="79" spans="1:46" hidden="1" outlineLevel="1" x14ac:dyDescent="0.2">
      <c r="A79" s="239" t="s">
        <v>28</v>
      </c>
      <c r="B79" s="866"/>
      <c r="C79" s="866"/>
      <c r="D79" s="866"/>
      <c r="E79" s="866"/>
      <c r="F79" s="866"/>
      <c r="G79" s="866"/>
      <c r="H79" s="866"/>
      <c r="I79" s="866"/>
      <c r="J79" s="866"/>
      <c r="K79" s="866"/>
      <c r="L79" s="866"/>
      <c r="M79" s="866"/>
      <c r="N79" s="866"/>
      <c r="O79" s="866"/>
      <c r="P79" s="362">
        <f t="shared" ref="P79:W79" si="84">AVERAGE(P78,P76)</f>
        <v>0.5</v>
      </c>
      <c r="Q79" s="362">
        <f t="shared" si="84"/>
        <v>0</v>
      </c>
      <c r="R79" s="362">
        <f t="shared" si="84"/>
        <v>0</v>
      </c>
      <c r="S79" s="362">
        <f t="shared" si="84"/>
        <v>0</v>
      </c>
      <c r="T79" s="362">
        <f t="shared" si="84"/>
        <v>0</v>
      </c>
      <c r="U79" s="362">
        <f t="shared" si="84"/>
        <v>0</v>
      </c>
      <c r="V79" s="362">
        <f t="shared" si="84"/>
        <v>0</v>
      </c>
      <c r="W79" s="362">
        <f t="shared" si="84"/>
        <v>0</v>
      </c>
      <c r="X79" s="362">
        <f t="shared" ref="X79:AC79" si="85">AVERAGE(X78,X76)</f>
        <v>0</v>
      </c>
      <c r="Y79" s="362">
        <f t="shared" si="85"/>
        <v>0</v>
      </c>
      <c r="Z79" s="362">
        <f t="shared" si="85"/>
        <v>0</v>
      </c>
      <c r="AA79" s="362">
        <f t="shared" si="85"/>
        <v>0</v>
      </c>
      <c r="AB79" s="362">
        <f t="shared" si="85"/>
        <v>0</v>
      </c>
      <c r="AC79" s="362">
        <f t="shared" si="85"/>
        <v>0</v>
      </c>
      <c r="AD79" s="362">
        <f t="shared" ref="AD79:AK79" si="86">AVERAGE(AD78,AD76)</f>
        <v>0</v>
      </c>
      <c r="AE79" s="362">
        <f t="shared" si="86"/>
        <v>0</v>
      </c>
      <c r="AF79" s="362">
        <f t="shared" si="86"/>
        <v>0</v>
      </c>
      <c r="AG79" s="362">
        <f t="shared" si="86"/>
        <v>0</v>
      </c>
      <c r="AH79" s="362">
        <f t="shared" si="86"/>
        <v>0</v>
      </c>
      <c r="AI79" s="362">
        <f>AVERAGE(AI78,AI76)</f>
        <v>0</v>
      </c>
      <c r="AJ79" s="362">
        <f t="shared" si="86"/>
        <v>0</v>
      </c>
      <c r="AK79" s="362">
        <f t="shared" si="86"/>
        <v>0</v>
      </c>
      <c r="AL79" s="362">
        <f>AVERAGE(AL78,AL76)</f>
        <v>0</v>
      </c>
      <c r="AM79" s="362">
        <f>AVERAGE(AM78,AM76)</f>
        <v>0</v>
      </c>
      <c r="AN79" s="362">
        <f>AVERAGE(AN78,AN76)</f>
        <v>0</v>
      </c>
      <c r="AO79" s="362">
        <f>AVERAGE(AO78,AO76)</f>
        <v>0</v>
      </c>
      <c r="AP79" s="362">
        <f>AVERAGE(AP78,AP76)</f>
        <v>0</v>
      </c>
    </row>
    <row r="80" spans="1:46" hidden="1" outlineLevel="1" x14ac:dyDescent="0.2">
      <c r="A80" s="607" t="s">
        <v>24</v>
      </c>
      <c r="B80" s="866"/>
      <c r="C80" s="866"/>
      <c r="D80" s="866"/>
      <c r="E80" s="866"/>
      <c r="F80" s="866"/>
      <c r="G80" s="866"/>
      <c r="H80" s="866"/>
      <c r="I80" s="866"/>
      <c r="J80" s="866"/>
      <c r="K80" s="866"/>
      <c r="L80" s="866"/>
      <c r="M80" s="866"/>
      <c r="N80" s="866"/>
      <c r="O80" s="866"/>
      <c r="P80" s="866"/>
      <c r="Q80" s="866"/>
      <c r="R80" s="866"/>
      <c r="S80" s="866"/>
      <c r="T80" s="866"/>
      <c r="U80" s="866"/>
      <c r="V80" s="866"/>
      <c r="W80" s="866"/>
      <c r="X80" s="866"/>
      <c r="Y80" s="866"/>
      <c r="Z80" s="866"/>
      <c r="AA80" s="866"/>
      <c r="AB80" s="866"/>
      <c r="AC80" s="866"/>
      <c r="AD80" s="866"/>
      <c r="AE80" s="866"/>
      <c r="AF80" s="866"/>
      <c r="AG80" s="866"/>
      <c r="AH80" s="866"/>
      <c r="AI80" s="866"/>
      <c r="AJ80" s="866"/>
      <c r="AK80" s="866"/>
      <c r="AL80" s="866"/>
      <c r="AM80" s="866"/>
      <c r="AN80" s="866"/>
      <c r="AO80" s="866"/>
      <c r="AP80" s="866"/>
    </row>
    <row r="81" spans="1:42" ht="6.75" customHeight="1" collapsed="1" x14ac:dyDescent="0.2">
      <c r="A81" s="607"/>
      <c r="B81" s="866"/>
      <c r="C81" s="866"/>
      <c r="D81" s="866"/>
      <c r="E81" s="866"/>
      <c r="F81" s="866"/>
      <c r="G81" s="866"/>
      <c r="H81" s="866"/>
      <c r="I81" s="866"/>
      <c r="J81" s="866"/>
      <c r="K81" s="866"/>
      <c r="L81" s="866"/>
      <c r="M81" s="866"/>
      <c r="N81" s="866"/>
      <c r="O81" s="866"/>
      <c r="P81" s="866"/>
      <c r="Q81" s="866"/>
      <c r="R81" s="866"/>
      <c r="S81" s="866"/>
      <c r="T81" s="866"/>
      <c r="U81" s="866"/>
      <c r="V81" s="866"/>
      <c r="W81" s="866"/>
      <c r="X81" s="866"/>
      <c r="Y81" s="866"/>
      <c r="Z81" s="866"/>
      <c r="AA81" s="866"/>
      <c r="AB81" s="866"/>
      <c r="AC81" s="866"/>
      <c r="AD81" s="866"/>
      <c r="AE81" s="866"/>
      <c r="AF81" s="866"/>
      <c r="AG81" s="866"/>
      <c r="AH81" s="866"/>
      <c r="AI81" s="866"/>
      <c r="AJ81" s="866"/>
      <c r="AK81" s="866"/>
      <c r="AL81" s="866"/>
      <c r="AM81" s="866"/>
      <c r="AN81" s="866"/>
      <c r="AO81" s="866"/>
      <c r="AP81" s="866"/>
    </row>
    <row r="82" spans="1:42" x14ac:dyDescent="0.2">
      <c r="A82" s="871"/>
      <c r="W82" s="866"/>
      <c r="X82" s="866"/>
      <c r="Y82" s="866"/>
      <c r="Z82" s="866"/>
      <c r="AA82" s="866"/>
      <c r="AB82" s="866"/>
      <c r="AC82" s="866"/>
      <c r="AD82" s="866"/>
      <c r="AE82" s="866"/>
      <c r="AF82" s="866"/>
      <c r="AG82" s="866"/>
      <c r="AH82" s="866"/>
      <c r="AI82" s="866"/>
      <c r="AJ82" s="866"/>
      <c r="AK82" s="866"/>
      <c r="AL82" s="866"/>
      <c r="AM82" s="866"/>
      <c r="AN82" s="866"/>
      <c r="AO82" s="866"/>
      <c r="AP82" s="866"/>
    </row>
    <row r="83" spans="1:42" x14ac:dyDescent="0.2">
      <c r="A83" s="871"/>
      <c r="W83" s="866"/>
      <c r="X83" s="866"/>
      <c r="Y83" s="866"/>
      <c r="Z83" s="866"/>
      <c r="AA83" s="866"/>
      <c r="AB83" s="866"/>
      <c r="AC83" s="866"/>
      <c r="AD83" s="866"/>
      <c r="AE83" s="866"/>
      <c r="AF83" s="866"/>
      <c r="AG83" s="866"/>
      <c r="AH83" s="866"/>
      <c r="AI83" s="866"/>
      <c r="AJ83" s="866"/>
      <c r="AK83" s="866"/>
      <c r="AL83" s="866"/>
      <c r="AM83" s="866"/>
      <c r="AN83" s="866"/>
      <c r="AO83" s="866"/>
      <c r="AP83" s="866"/>
    </row>
    <row r="84" spans="1:42" x14ac:dyDescent="0.2">
      <c r="A84" s="871"/>
      <c r="W84" s="866"/>
      <c r="X84" s="866"/>
      <c r="Y84" s="866"/>
      <c r="Z84" s="866"/>
      <c r="AA84" s="866"/>
      <c r="AB84" s="866"/>
      <c r="AC84" s="866"/>
      <c r="AD84" s="866"/>
      <c r="AE84" s="866"/>
      <c r="AF84" s="866"/>
      <c r="AG84" s="866"/>
      <c r="AH84" s="866"/>
      <c r="AI84" s="866"/>
      <c r="AJ84" s="866"/>
      <c r="AK84" s="866"/>
      <c r="AL84" s="866"/>
      <c r="AM84" s="866"/>
      <c r="AN84" s="866"/>
      <c r="AO84" s="866"/>
      <c r="AP84" s="866"/>
    </row>
    <row r="86" spans="1:42" x14ac:dyDescent="0.2">
      <c r="A86" s="635" t="s">
        <v>77</v>
      </c>
    </row>
  </sheetData>
  <phoneticPr fontId="10" type="noConversion"/>
  <dataValidations disablePrompts="1" count="1">
    <dataValidation type="custom" allowBlank="1" showInputMessage="1" showErrorMessage="1" sqref="AR7 AR11 AR23 AR32">
      <formula1>-1</formula1>
    </dataValidation>
  </dataValidations>
  <pageMargins left="0.75" right="0.75" top="1" bottom="1" header="0.5" footer="0.5"/>
  <pageSetup scale="80" fitToHeight="0" orientation="landscape" horizontalDpi="300" verticalDpi="300" r:id="rId1"/>
  <headerFooter alignWithMargins="0"/>
  <rowBreaks count="1" manualBreakCount="1">
    <brk id="37" max="38" man="1"/>
  </rowBreaks>
  <colBreaks count="1" manualBreakCount="1">
    <brk id="16" max="79" man="1"/>
  </col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Z70"/>
  <sheetViews>
    <sheetView showGridLines="0" zoomScale="85" zoomScaleNormal="85" workbookViewId="0">
      <selection activeCell="AM42" sqref="AM42"/>
    </sheetView>
  </sheetViews>
  <sheetFormatPr defaultRowHeight="12.75" outlineLevelRow="1" outlineLevelCol="1" x14ac:dyDescent="0.2"/>
  <cols>
    <col min="1" max="1" width="35.5703125" style="239" customWidth="1"/>
    <col min="2" max="24" width="9.140625" style="239" hidden="1" customWidth="1" outlineLevel="1"/>
    <col min="25" max="29" width="9.7109375" style="239" hidden="1" customWidth="1" outlineLevel="1"/>
    <col min="30" max="30" width="9.7109375" style="239" customWidth="1" collapsed="1"/>
    <col min="31" max="36" width="9.7109375" style="239" customWidth="1"/>
    <col min="37" max="37" width="10.28515625" style="239" bestFit="1" customWidth="1"/>
    <col min="38" max="40" width="9.7109375" style="239" customWidth="1"/>
    <col min="41" max="42" width="9.7109375" style="239" hidden="1" customWidth="1" outlineLevel="1"/>
    <col min="43" max="43" width="2" style="239" customWidth="1" collapsed="1"/>
    <col min="44" max="44" width="7.140625" style="16" hidden="1" customWidth="1" outlineLevel="1"/>
    <col min="45" max="45" width="2.42578125" style="16" hidden="1" customWidth="1" outlineLevel="1"/>
    <col min="46" max="46" width="8" style="16" hidden="1" customWidth="1" outlineLevel="1"/>
    <col min="47" max="47" width="2.28515625" style="16" hidden="1" customWidth="1" outlineLevel="1"/>
    <col min="48" max="48" width="9.140625" style="239" collapsed="1"/>
    <col min="49" max="16384" width="9.140625" style="239"/>
  </cols>
  <sheetData>
    <row r="1" spans="1:50" x14ac:dyDescent="0.2">
      <c r="A1" s="504" t="s">
        <v>298</v>
      </c>
      <c r="Q1" s="504"/>
      <c r="R1" s="504"/>
      <c r="S1" s="504"/>
      <c r="T1" s="504"/>
      <c r="U1" s="504"/>
      <c r="V1" s="504"/>
      <c r="W1" s="504"/>
      <c r="X1" s="504"/>
      <c r="AF1" s="596"/>
      <c r="AG1" s="596"/>
      <c r="AH1" s="596"/>
      <c r="AI1" s="596"/>
      <c r="AJ1" s="596"/>
      <c r="AK1" s="596"/>
      <c r="AL1" s="596"/>
      <c r="AM1" s="596"/>
      <c r="AN1" s="596"/>
      <c r="AO1" s="596"/>
      <c r="AP1" s="596"/>
      <c r="AQ1" s="596"/>
    </row>
    <row r="2" spans="1:50" x14ac:dyDescent="0.2">
      <c r="A2" s="250" t="s">
        <v>595</v>
      </c>
      <c r="B2" s="240"/>
      <c r="C2" s="240"/>
      <c r="D2" s="240"/>
      <c r="E2" s="240"/>
      <c r="F2" s="240"/>
      <c r="G2" s="240"/>
      <c r="H2" s="240"/>
      <c r="I2" s="240"/>
      <c r="J2" s="240"/>
      <c r="K2" s="240"/>
      <c r="L2" s="240"/>
      <c r="M2" s="240"/>
      <c r="N2" s="240"/>
      <c r="O2" s="240"/>
      <c r="P2" s="240"/>
      <c r="Q2" s="240"/>
      <c r="R2" s="240"/>
      <c r="S2" s="240"/>
      <c r="T2" s="240"/>
      <c r="U2" s="240"/>
      <c r="V2" s="240"/>
      <c r="W2" s="240"/>
      <c r="X2" s="240"/>
      <c r="Y2" s="240"/>
      <c r="Z2" s="240"/>
      <c r="AA2" s="240"/>
      <c r="AB2" s="240"/>
      <c r="AC2" s="240"/>
      <c r="AD2" s="240"/>
      <c r="AE2" s="240"/>
      <c r="AF2" s="597"/>
      <c r="AG2" s="597"/>
      <c r="AH2" s="597"/>
      <c r="AI2" s="597"/>
      <c r="AJ2" s="597"/>
      <c r="AK2" s="597"/>
      <c r="AL2" s="597"/>
      <c r="AM2" s="597"/>
      <c r="AN2" s="597"/>
      <c r="AO2" s="597"/>
      <c r="AP2" s="597"/>
      <c r="AQ2" s="597"/>
      <c r="AR2" s="1279"/>
      <c r="AS2" s="1279"/>
      <c r="AT2" s="1279"/>
      <c r="AU2" s="1279"/>
    </row>
    <row r="3" spans="1:50" x14ac:dyDescent="0.2">
      <c r="A3" s="598" t="s">
        <v>31</v>
      </c>
      <c r="AF3" s="599"/>
      <c r="AG3" s="600"/>
      <c r="AH3" s="600"/>
      <c r="AI3" s="600"/>
      <c r="AJ3" s="600"/>
      <c r="AK3" s="255"/>
      <c r="AL3" s="600"/>
      <c r="AM3" s="600"/>
      <c r="AN3" s="600"/>
      <c r="AO3" s="600"/>
      <c r="AP3" s="600"/>
      <c r="AQ3" s="600"/>
    </row>
    <row r="4" spans="1:50" ht="12.75" customHeight="1" x14ac:dyDescent="0.2">
      <c r="AF4" s="704"/>
      <c r="AG4" s="704"/>
      <c r="AH4" s="704"/>
      <c r="AI4" s="704"/>
      <c r="AJ4" s="704"/>
      <c r="AK4" s="704"/>
      <c r="AL4" s="704"/>
      <c r="AM4" s="704"/>
      <c r="AN4" s="704"/>
      <c r="AO4" s="704"/>
      <c r="AP4" s="704"/>
      <c r="AQ4" s="600"/>
      <c r="AR4" s="1280"/>
      <c r="AS4" s="1281" t="s">
        <v>25</v>
      </c>
      <c r="AT4" s="1282"/>
      <c r="AU4" s="1283"/>
    </row>
    <row r="5" spans="1:50" ht="14.25" customHeight="1" x14ac:dyDescent="0.2">
      <c r="B5" s="602">
        <f t="shared" ref="B5:S5" si="0">C5-1</f>
        <v>1982</v>
      </c>
      <c r="C5" s="602">
        <f t="shared" si="0"/>
        <v>1983</v>
      </c>
      <c r="D5" s="602">
        <f t="shared" si="0"/>
        <v>1984</v>
      </c>
      <c r="E5" s="602">
        <f t="shared" si="0"/>
        <v>1985</v>
      </c>
      <c r="F5" s="602">
        <f t="shared" si="0"/>
        <v>1986</v>
      </c>
      <c r="G5" s="602">
        <f t="shared" si="0"/>
        <v>1987</v>
      </c>
      <c r="H5" s="602">
        <f t="shared" si="0"/>
        <v>1988</v>
      </c>
      <c r="I5" s="602">
        <f t="shared" si="0"/>
        <v>1989</v>
      </c>
      <c r="J5" s="602">
        <f t="shared" si="0"/>
        <v>1990</v>
      </c>
      <c r="K5" s="602">
        <f t="shared" si="0"/>
        <v>1991</v>
      </c>
      <c r="L5" s="602">
        <f t="shared" si="0"/>
        <v>1992</v>
      </c>
      <c r="M5" s="602">
        <f t="shared" si="0"/>
        <v>1993</v>
      </c>
      <c r="N5" s="602">
        <f t="shared" si="0"/>
        <v>1994</v>
      </c>
      <c r="O5" s="602">
        <f t="shared" si="0"/>
        <v>1995</v>
      </c>
      <c r="P5" s="602">
        <f t="shared" si="0"/>
        <v>1996</v>
      </c>
      <c r="Q5" s="602">
        <f t="shared" si="0"/>
        <v>1997</v>
      </c>
      <c r="R5" s="602">
        <f t="shared" si="0"/>
        <v>1998</v>
      </c>
      <c r="S5" s="602">
        <f t="shared" si="0"/>
        <v>1999</v>
      </c>
      <c r="T5" s="602">
        <v>2000</v>
      </c>
      <c r="U5" s="602">
        <v>2001</v>
      </c>
      <c r="V5" s="602">
        <v>2002</v>
      </c>
      <c r="W5" s="602">
        <v>2003</v>
      </c>
      <c r="X5" s="602">
        <v>2004</v>
      </c>
      <c r="Y5" s="602">
        <f>X5+1</f>
        <v>2005</v>
      </c>
      <c r="Z5" s="602">
        <f t="shared" ref="Z5:AH5" si="1">Y5+1</f>
        <v>2006</v>
      </c>
      <c r="AA5" s="602">
        <f t="shared" si="1"/>
        <v>2007</v>
      </c>
      <c r="AB5" s="602">
        <f t="shared" si="1"/>
        <v>2008</v>
      </c>
      <c r="AC5" s="602">
        <f t="shared" si="1"/>
        <v>2009</v>
      </c>
      <c r="AD5" s="602">
        <f t="shared" si="1"/>
        <v>2010</v>
      </c>
      <c r="AE5" s="602">
        <f t="shared" si="1"/>
        <v>2011</v>
      </c>
      <c r="AF5" s="602">
        <f t="shared" si="1"/>
        <v>2012</v>
      </c>
      <c r="AG5" s="602">
        <f t="shared" si="1"/>
        <v>2013</v>
      </c>
      <c r="AH5" s="602">
        <f t="shared" si="1"/>
        <v>2014</v>
      </c>
      <c r="AI5" s="602">
        <f t="shared" ref="AI5:AP5" si="2">AH5+1</f>
        <v>2015</v>
      </c>
      <c r="AJ5" s="861">
        <f t="shared" si="2"/>
        <v>2016</v>
      </c>
      <c r="AK5" s="861">
        <f t="shared" si="2"/>
        <v>2017</v>
      </c>
      <c r="AL5" s="862">
        <f t="shared" si="2"/>
        <v>2018</v>
      </c>
      <c r="AM5" s="862">
        <f t="shared" si="2"/>
        <v>2019</v>
      </c>
      <c r="AN5" s="862">
        <f t="shared" si="2"/>
        <v>2020</v>
      </c>
      <c r="AO5" s="862">
        <f t="shared" si="2"/>
        <v>2021</v>
      </c>
      <c r="AP5" s="862">
        <f t="shared" si="2"/>
        <v>2022</v>
      </c>
      <c r="AQ5" s="603"/>
      <c r="AR5" s="1284" t="s">
        <v>596</v>
      </c>
      <c r="AS5" s="1281"/>
      <c r="AT5" s="1285" t="s">
        <v>618</v>
      </c>
      <c r="AU5" s="1283"/>
    </row>
    <row r="6" spans="1:50" ht="9" customHeight="1" x14ac:dyDescent="0.2">
      <c r="Q6" s="596"/>
      <c r="R6" s="596"/>
      <c r="S6" s="596"/>
      <c r="T6" s="596"/>
      <c r="U6" s="596"/>
      <c r="V6" s="596"/>
      <c r="W6" s="596"/>
      <c r="X6" s="596"/>
      <c r="Y6" s="596"/>
      <c r="Z6" s="596"/>
      <c r="AA6" s="596"/>
      <c r="AB6" s="596"/>
      <c r="AC6" s="596"/>
      <c r="AD6" s="596"/>
      <c r="AE6" s="596"/>
      <c r="AF6" s="596"/>
      <c r="AG6" s="596"/>
      <c r="AH6" s="596"/>
      <c r="AI6" s="596"/>
      <c r="AJ6" s="596"/>
      <c r="AK6" s="596"/>
      <c r="AL6" s="596"/>
      <c r="AM6" s="596"/>
      <c r="AN6" s="596"/>
      <c r="AO6" s="596"/>
      <c r="AP6" s="596"/>
      <c r="AQ6" s="596"/>
      <c r="AR6" s="1286"/>
      <c r="AS6" s="1287"/>
      <c r="AT6" s="1287"/>
      <c r="AU6" s="1288"/>
    </row>
    <row r="7" spans="1:50" x14ac:dyDescent="0.2">
      <c r="A7" s="239" t="s">
        <v>308</v>
      </c>
      <c r="B7" s="604">
        <v>598.70000000000005</v>
      </c>
      <c r="C7" s="604">
        <v>768.7</v>
      </c>
      <c r="D7" s="604">
        <v>958.7</v>
      </c>
      <c r="E7" s="604">
        <v>1301.9000000000001</v>
      </c>
      <c r="F7" s="604">
        <v>1629.9179999999999</v>
      </c>
      <c r="G7" s="604">
        <v>1920.231</v>
      </c>
      <c r="H7" s="604">
        <v>2327.9459999999999</v>
      </c>
      <c r="I7" s="604">
        <v>2671.1570000000002</v>
      </c>
      <c r="J7" s="605">
        <f>INDEX('qtrP&amp;L'!14:14,MATCH(J5,'qtrP&amp;L'!6:6,0))</f>
        <v>2893.904</v>
      </c>
      <c r="K7" s="605">
        <f>INDEX('qtrP&amp;L'!14:14,MATCH(K5,'qtrP&amp;L'!6:6,0))</f>
        <v>3179.82</v>
      </c>
      <c r="L7" s="605">
        <f>INDEX('qtrP&amp;L'!14:14,MATCH(L5,'qtrP&amp;L'!6:6,0))</f>
        <v>3421.9790000000003</v>
      </c>
      <c r="M7" s="605">
        <f>INDEX('qtrP&amp;L'!14:14,MATCH(M5,'qtrP&amp;L'!6:6,0))</f>
        <v>3589.9380000000001</v>
      </c>
      <c r="N7" s="605">
        <f>INDEX('qtrP&amp;L'!14:14,MATCH(N5,'qtrP&amp;L'!6:6,0))</f>
        <v>3894.4780000000001</v>
      </c>
      <c r="O7" s="605">
        <f>INDEX('qtrP&amp;L'!14:14,MATCH(O5,'qtrP&amp;L'!6:6,0))</f>
        <v>4113.5159999999996</v>
      </c>
      <c r="P7" s="605">
        <f>INDEX('qtrP&amp;L'!14:14,MATCH(P5,'qtrP&amp;L'!6:6,0))</f>
        <v>4453.0630000000001</v>
      </c>
      <c r="Q7" s="605">
        <f>INDEX('qtrP&amp;L'!14:14,MATCH(Q5,'qtrP&amp;L'!6:6,0))</f>
        <v>4851.6239999999998</v>
      </c>
      <c r="R7" s="605">
        <f>INDEX('qtrP&amp;L'!14:14,MATCH(R5,'qtrP&amp;L'!6:6,0))</f>
        <v>5027.8900000000003</v>
      </c>
      <c r="S7" s="605">
        <f>INDEX('qtrP&amp;L'!14:14,MATCH(S5,'qtrP&amp;L'!6:6,0))</f>
        <v>5149</v>
      </c>
      <c r="T7" s="605">
        <f>INDEX('qtrP&amp;L'!14:14,MATCH(T5,'qtrP&amp;L'!6:6,0))</f>
        <v>5528.5370000000003</v>
      </c>
      <c r="U7" s="605">
        <f>INDEX('qtrP&amp;L'!14:14,MATCH(U5,'qtrP&amp;L'!6:6,0))</f>
        <v>5634.13</v>
      </c>
      <c r="V7" s="605">
        <f>INDEX('qtrP&amp;L'!14:14,MATCH(V5,'qtrP&amp;L'!6:6,0))</f>
        <v>5944.6559999999999</v>
      </c>
      <c r="W7" s="605">
        <f>INDEX('qtrP&amp;L'!14:14,MATCH(W5,'qtrP&amp;L'!6:6,0))</f>
        <v>6448.5719999999992</v>
      </c>
      <c r="X7" s="605">
        <f>INDEX('qtrP&amp;L'!14:14,MATCH(X5,'qtrP&amp;L'!6:6,0))</f>
        <v>7131.4129999999996</v>
      </c>
      <c r="Y7" s="605">
        <f>INDEX('qtrP&amp;L'!14:14,MATCH(Y5,'qtrP&amp;L'!6:6,0))</f>
        <v>7722.6120000000001</v>
      </c>
      <c r="Z7" s="605">
        <f>INDEX('qtrP&amp;L'!14:14,MATCH(Z5,'qtrP&amp;L'!6:6,0))</f>
        <v>8560.6980000000003</v>
      </c>
      <c r="AA7" s="605">
        <f>INDEX('qtrP&amp;L'!14:14,MATCH(AA5,'qtrP&amp;L'!6:6,0))</f>
        <v>8827.8140000000003</v>
      </c>
      <c r="AB7" s="605">
        <f>INDEX('qtrP&amp;L'!14:14,MATCH(AB5,'qtrP&amp;L'!6:6,0))</f>
        <v>8291</v>
      </c>
      <c r="AC7" s="605">
        <f>INDEX('qtrP&amp;L'!14:14,MATCH(AC5,'qtrP&amp;L'!6:6,0))</f>
        <v>8258</v>
      </c>
      <c r="AD7" s="605">
        <f>INDEX('qtrP&amp;L'!14:14,MATCH(AD5,'qtrP&amp;L'!6:6,0))</f>
        <v>9310</v>
      </c>
      <c r="AE7" s="605">
        <f>INDEX('qtrP&amp;L'!14:14,MATCH(AE5,'qtrP&amp;L'!6:6,0))</f>
        <v>10497</v>
      </c>
      <c r="AF7" s="605">
        <f>INDEX('qtrP&amp;L'!14:14,MATCH(AF5,'qtrP&amp;L'!6:6,0))</f>
        <v>11762</v>
      </c>
      <c r="AG7" s="605">
        <f>INDEX('qtrP&amp;L'!14:14,MATCH(AG5,'qtrP&amp;L'!6:6,0))</f>
        <v>12166</v>
      </c>
      <c r="AH7" s="605">
        <f>INDEX('qtrP&amp;L'!14:14,MATCH(AH5,'qtrP&amp;L'!6:6,0))</f>
        <v>13111</v>
      </c>
      <c r="AI7" s="605">
        <f>INDEX('qtrP&amp;L'!14:14,MATCH(AI5,'qtrP&amp;L'!6:6,0))</f>
        <v>14095</v>
      </c>
      <c r="AJ7" s="605">
        <f>INDEX('qtrP&amp;L'!14:14,MATCH(AJ5,'qtrP&amp;L'!6:6,0))</f>
        <v>14499</v>
      </c>
      <c r="AK7" s="605">
        <f>'qtrP&amp;L'!DH14</f>
        <v>15137</v>
      </c>
      <c r="AL7" s="605">
        <f>'qtrP&amp;L'!DL14</f>
        <v>15324.038457838597</v>
      </c>
      <c r="AM7" s="605">
        <f>yrSales!AM11</f>
        <v>15793.189685123163</v>
      </c>
      <c r="AN7" s="605">
        <f>yrSales!AN11</f>
        <v>16198.198393998615</v>
      </c>
      <c r="AO7" s="605">
        <f>yrSales!AO11</f>
        <v>16596.766507816799</v>
      </c>
      <c r="AP7" s="605">
        <f>yrSales!AP11</f>
        <v>16891.756163270493</v>
      </c>
      <c r="AQ7" s="605"/>
      <c r="AR7" s="1289">
        <f>RATE(5,,-AE7,AJ7)*100</f>
        <v>6.6730150964209534</v>
      </c>
      <c r="AS7" s="1264" t="s">
        <v>90</v>
      </c>
      <c r="AT7" s="1290">
        <f>RATE(6,,-AJ7,AP7)*100</f>
        <v>2.5784483961650193</v>
      </c>
      <c r="AU7" s="1270" t="s">
        <v>90</v>
      </c>
      <c r="AX7" s="254">
        <f>12.5*3.15</f>
        <v>39.375</v>
      </c>
    </row>
    <row r="8" spans="1:50" x14ac:dyDescent="0.2">
      <c r="A8" s="607" t="s">
        <v>20</v>
      </c>
      <c r="C8" s="608">
        <f t="shared" ref="C8:M8" si="3">C7/B7-1</f>
        <v>0.28394855520293971</v>
      </c>
      <c r="D8" s="608">
        <f t="shared" si="3"/>
        <v>0.24717054767789781</v>
      </c>
      <c r="E8" s="608">
        <f t="shared" si="3"/>
        <v>0.35798477104412219</v>
      </c>
      <c r="F8" s="608">
        <f t="shared" si="3"/>
        <v>0.25195329902450259</v>
      </c>
      <c r="G8" s="608">
        <f t="shared" si="3"/>
        <v>0.17811509536062564</v>
      </c>
      <c r="H8" s="608">
        <f t="shared" si="3"/>
        <v>0.21232601702607656</v>
      </c>
      <c r="I8" s="608">
        <f t="shared" si="3"/>
        <v>0.14743082528546636</v>
      </c>
      <c r="J8" s="608">
        <f t="shared" si="3"/>
        <v>8.3389707156861226E-2</v>
      </c>
      <c r="K8" s="608">
        <f t="shared" si="3"/>
        <v>9.8799407305840248E-2</v>
      </c>
      <c r="L8" s="608">
        <f t="shared" si="3"/>
        <v>7.6154939587775416E-2</v>
      </c>
      <c r="M8" s="608">
        <f t="shared" si="3"/>
        <v>4.9082416928917461E-2</v>
      </c>
      <c r="N8" s="608">
        <f>N7/M7-1</f>
        <v>8.4831548622845254E-2</v>
      </c>
      <c r="O8" s="608">
        <f>O7/N7-1</f>
        <v>5.6243224380776891E-2</v>
      </c>
      <c r="P8" s="608">
        <f>P7/O7-1</f>
        <v>8.2544227371426526E-2</v>
      </c>
      <c r="Q8" s="608">
        <f t="shared" ref="Q8:AI8" si="4">Q7/P7-1</f>
        <v>8.950266367217341E-2</v>
      </c>
      <c r="R8" s="608">
        <f t="shared" si="4"/>
        <v>3.6331339774063443E-2</v>
      </c>
      <c r="S8" s="608">
        <f t="shared" si="4"/>
        <v>2.4087639148827833E-2</v>
      </c>
      <c r="T8" s="608">
        <f t="shared" si="4"/>
        <v>7.3710817634492276E-2</v>
      </c>
      <c r="U8" s="608">
        <f>U7/T7-1</f>
        <v>1.9099627984763501E-2</v>
      </c>
      <c r="V8" s="608">
        <f>V7/U7-1</f>
        <v>5.5115164186839927E-2</v>
      </c>
      <c r="W8" s="608">
        <f>W7/V7-1</f>
        <v>8.4767899101310329E-2</v>
      </c>
      <c r="X8" s="608">
        <f t="shared" si="4"/>
        <v>0.105890265317655</v>
      </c>
      <c r="Y8" s="608">
        <f t="shared" si="4"/>
        <v>8.2900681814389365E-2</v>
      </c>
      <c r="Z8" s="608">
        <f t="shared" si="4"/>
        <v>0.10852364459071628</v>
      </c>
      <c r="AA8" s="608">
        <f t="shared" si="4"/>
        <v>3.1202595863094373E-2</v>
      </c>
      <c r="AB8" s="608">
        <f t="shared" si="4"/>
        <v>-6.0809391770148324E-2</v>
      </c>
      <c r="AC8" s="608">
        <f t="shared" si="4"/>
        <v>-3.9802195151369402E-3</v>
      </c>
      <c r="AD8" s="608">
        <f t="shared" si="4"/>
        <v>0.1273916202470331</v>
      </c>
      <c r="AE8" s="608">
        <f t="shared" si="4"/>
        <v>0.12749731471535974</v>
      </c>
      <c r="AF8" s="608">
        <f t="shared" si="4"/>
        <v>0.12051062208249985</v>
      </c>
      <c r="AG8" s="608">
        <f t="shared" si="4"/>
        <v>3.4347900017003941E-2</v>
      </c>
      <c r="AH8" s="608">
        <f t="shared" si="4"/>
        <v>7.7675489067894121E-2</v>
      </c>
      <c r="AI8" s="608">
        <f t="shared" si="4"/>
        <v>7.5051483487148296E-2</v>
      </c>
      <c r="AJ8" s="608">
        <f t="shared" ref="AJ8:AP8" si="5">AJ7/AI7-1</f>
        <v>2.8662646328485364E-2</v>
      </c>
      <c r="AK8" s="608">
        <f t="shared" si="5"/>
        <v>4.4003034692047693E-2</v>
      </c>
      <c r="AL8" s="608">
        <f t="shared" si="5"/>
        <v>1.2356375625196314E-2</v>
      </c>
      <c r="AM8" s="608">
        <f t="shared" si="5"/>
        <v>3.0615377831069379E-2</v>
      </c>
      <c r="AN8" s="608">
        <f t="shared" si="5"/>
        <v>2.5644516209221591E-2</v>
      </c>
      <c r="AO8" s="608">
        <f t="shared" si="5"/>
        <v>2.4605706395462557E-2</v>
      </c>
      <c r="AP8" s="608">
        <f t="shared" si="5"/>
        <v>1.7773923331075192E-2</v>
      </c>
      <c r="AQ8" s="608"/>
      <c r="AR8" s="1291"/>
      <c r="AS8" s="1264"/>
      <c r="AT8" s="1264"/>
      <c r="AU8" s="1270"/>
    </row>
    <row r="9" spans="1:50" x14ac:dyDescent="0.2">
      <c r="A9" s="607" t="s">
        <v>211</v>
      </c>
      <c r="B9" s="609">
        <v>0.08</v>
      </c>
      <c r="C9" s="609">
        <v>0.21</v>
      </c>
      <c r="D9" s="609">
        <v>0.11</v>
      </c>
      <c r="E9" s="609">
        <v>0.11</v>
      </c>
      <c r="F9" s="609">
        <v>0.14000000000000001</v>
      </c>
      <c r="G9" s="609">
        <v>0.11</v>
      </c>
      <c r="H9" s="609">
        <v>0.09</v>
      </c>
      <c r="I9" s="609">
        <v>0.08</v>
      </c>
      <c r="J9" s="609">
        <v>-4.0000000000000001E-3</v>
      </c>
      <c r="K9" s="609">
        <v>1.4E-2</v>
      </c>
      <c r="L9" s="609">
        <v>1.4E-2</v>
      </c>
      <c r="M9" s="608">
        <f>yrSales!M26</f>
        <v>2.6699999999999998E-2</v>
      </c>
      <c r="N9" s="608">
        <f>yrSales!N26</f>
        <v>4.3946778079116122E-2</v>
      </c>
      <c r="O9" s="608">
        <f>yrSales!O26</f>
        <v>-6.7070384556666375E-3</v>
      </c>
      <c r="P9" s="608">
        <f>yrSales!P26</f>
        <v>6.4808741758201035E-3</v>
      </c>
      <c r="Q9" s="608">
        <f>yrSales!Q26</f>
        <v>3.8380962127320666E-2</v>
      </c>
      <c r="R9" s="608">
        <f>yrSales!R26</f>
        <v>0</v>
      </c>
      <c r="S9" s="608">
        <f>yrSales!S26</f>
        <v>0</v>
      </c>
      <c r="T9" s="608">
        <f>yrSales!T26</f>
        <v>5.1341592674625011E-3</v>
      </c>
      <c r="U9" s="608">
        <f>yrSales!U26</f>
        <v>-5.9000000000000004E-2</v>
      </c>
      <c r="V9" s="608">
        <f>yrSales!V26</f>
        <v>1.3000000000000001E-2</v>
      </c>
      <c r="W9" s="608">
        <f>yrSales!W26</f>
        <v>4.0999999999999995E-2</v>
      </c>
      <c r="X9" s="608">
        <f>yrSales!X26</f>
        <v>8.5000000000000006E-2</v>
      </c>
      <c r="Y9" s="608">
        <f>yrSales!Y26</f>
        <v>0.06</v>
      </c>
      <c r="Z9" s="608">
        <f>yrSales!Z26</f>
        <v>7.4999999999999997E-2</v>
      </c>
      <c r="AA9" s="608">
        <f>yrSales!AA26</f>
        <v>3.9E-2</v>
      </c>
      <c r="AB9" s="608">
        <f>yrSales!AB26</f>
        <v>-0.09</v>
      </c>
      <c r="AC9" s="608">
        <f>yrSales!AC26</f>
        <v>-4.2000000000000003E-2</v>
      </c>
      <c r="AD9" s="608">
        <f>yrSales!AD26</f>
        <v>8.1000000000000003E-2</v>
      </c>
      <c r="AE9" s="608">
        <f>yrSales!AE26</f>
        <v>7.2000000000000008E-2</v>
      </c>
      <c r="AF9" s="608">
        <f>yrSales!AF26</f>
        <v>7.2999999999999995E-2</v>
      </c>
      <c r="AG9" s="608">
        <f>yrSales!AG26</f>
        <v>2.5000000000000001E-2</v>
      </c>
      <c r="AH9" s="608">
        <f>yrSales!AH26</f>
        <v>0.04</v>
      </c>
      <c r="AI9" s="608">
        <f>yrSales!AI26</f>
        <v>2.7000000000000003E-2</v>
      </c>
      <c r="AJ9" s="608">
        <f>yrSales!AJ26</f>
        <v>-4.0000000000000001E-3</v>
      </c>
      <c r="AK9" s="608">
        <f>yrSales!AK26</f>
        <v>8.0000000000000002E-3</v>
      </c>
      <c r="AL9" s="608">
        <f>yrSales!AL26</f>
        <v>5.4937506829665474E-3</v>
      </c>
      <c r="AM9" s="608">
        <f>yrSales!AM26</f>
        <v>0</v>
      </c>
      <c r="AN9" s="608">
        <f>yrSales!AN26</f>
        <v>0</v>
      </c>
      <c r="AO9" s="608">
        <f>yrSales!AO26</f>
        <v>0</v>
      </c>
      <c r="AP9" s="608">
        <f>yrSales!AP26</f>
        <v>0</v>
      </c>
      <c r="AQ9" s="608"/>
      <c r="AR9" s="1289"/>
      <c r="AS9" s="1264"/>
      <c r="AT9" s="1290"/>
      <c r="AU9" s="1270"/>
    </row>
    <row r="10" spans="1:50" x14ac:dyDescent="0.2">
      <c r="A10" s="607"/>
      <c r="B10" s="610"/>
      <c r="Q10" s="608"/>
      <c r="R10" s="608"/>
      <c r="S10" s="608"/>
      <c r="T10" s="608"/>
      <c r="U10" s="608"/>
      <c r="V10" s="608"/>
      <c r="W10" s="608"/>
      <c r="X10" s="608"/>
      <c r="Y10" s="608"/>
      <c r="Z10" s="608"/>
      <c r="AA10" s="608"/>
      <c r="AB10" s="608"/>
      <c r="AC10" s="608"/>
      <c r="AD10" s="608"/>
      <c r="AE10" s="608"/>
      <c r="AF10" s="608"/>
      <c r="AG10" s="611"/>
      <c r="AH10" s="611"/>
      <c r="AI10" s="611"/>
      <c r="AJ10" s="608"/>
      <c r="AK10" s="1132">
        <f t="shared" ref="AK10:AP10" si="6">AK8-AK9</f>
        <v>3.6003034692047693E-2</v>
      </c>
      <c r="AL10" s="1132">
        <f t="shared" si="6"/>
        <v>6.8626249422297668E-3</v>
      </c>
      <c r="AM10" s="1132">
        <f t="shared" si="6"/>
        <v>3.0615377831069379E-2</v>
      </c>
      <c r="AN10" s="1132">
        <f t="shared" si="6"/>
        <v>2.5644516209221591E-2</v>
      </c>
      <c r="AO10" s="1132">
        <f t="shared" si="6"/>
        <v>2.4605706395462557E-2</v>
      </c>
      <c r="AP10" s="1132">
        <f t="shared" si="6"/>
        <v>1.7773923331075192E-2</v>
      </c>
      <c r="AQ10" s="608"/>
      <c r="AR10" s="1291"/>
      <c r="AS10" s="1264"/>
      <c r="AT10" s="1290"/>
      <c r="AU10" s="1270"/>
    </row>
    <row r="11" spans="1:50" x14ac:dyDescent="0.2">
      <c r="A11" s="243" t="s">
        <v>301</v>
      </c>
      <c r="B11" s="610">
        <v>-14.3</v>
      </c>
      <c r="C11" s="610">
        <v>-19.2</v>
      </c>
      <c r="D11" s="610">
        <v>-26.6</v>
      </c>
      <c r="E11" s="610">
        <v>-36.6</v>
      </c>
      <c r="F11" s="610">
        <v>-49.478999999999999</v>
      </c>
      <c r="G11" s="610">
        <v>-53.825000000000003</v>
      </c>
      <c r="H11" s="610">
        <v>57.491999999999997</v>
      </c>
      <c r="I11" s="610">
        <v>55.957999999999998</v>
      </c>
      <c r="J11" s="612">
        <f>INDEX('qtrP&amp;L'!24:24,MATCH(J5,'qtrP&amp;L'!6:6,0))</f>
        <v>84.66</v>
      </c>
      <c r="K11" s="612">
        <f>INDEX('qtrP&amp;L'!24:24,MATCH(K5,'qtrP&amp;L'!6:6,0))</f>
        <v>87.442999999999998</v>
      </c>
      <c r="L11" s="612">
        <f>INDEX('qtrP&amp;L'!24:24,MATCH(L5,'qtrP&amp;L'!6:6,0))</f>
        <v>92.74</v>
      </c>
      <c r="M11" s="612">
        <f>INDEX('qtrP&amp;L'!24:24,MATCH(M5,'qtrP&amp;L'!6:6,0))</f>
        <v>88.509</v>
      </c>
      <c r="N11" s="612">
        <f>INDEX('qtrP&amp;L'!24:24,MATCH(N5,'qtrP&amp;L'!6:6,0))</f>
        <v>94.644000000000005</v>
      </c>
      <c r="O11" s="612">
        <f>INDEX('qtrP&amp;L'!24:24,MATCH(O5,'qtrP&amp;L'!6:6,0))</f>
        <v>125.13</v>
      </c>
      <c r="P11" s="612">
        <f>INDEX('qtrP&amp;L'!24:24,MATCH(P5,'qtrP&amp;L'!6:6,0))</f>
        <v>129.46899999999999</v>
      </c>
      <c r="Q11" s="612">
        <f>INDEX('qtrP&amp;L'!24:24,MATCH(Q5,'qtrP&amp;L'!6:6,0))</f>
        <v>108.58099999999999</v>
      </c>
      <c r="R11" s="612">
        <f>INDEX('qtrP&amp;L'!24:24,MATCH(R5,'qtrP&amp;L'!6:6,0))</f>
        <v>107.139</v>
      </c>
      <c r="S11" s="612">
        <f>INDEX('qtrP&amp;L'!24:24,MATCH(S5,'qtrP&amp;L'!6:6,0))</f>
        <v>116.783</v>
      </c>
      <c r="T11" s="612">
        <f>INDEX('qtrP&amp;L'!24:24,MATCH(T5,'qtrP&amp;L'!6:6,0))</f>
        <v>130.6</v>
      </c>
      <c r="U11" s="612">
        <f>INDEX('qtrP&amp;L'!24:24,MATCH(U5,'qtrP&amp;L'!6:6,0))</f>
        <v>133.88999999999999</v>
      </c>
      <c r="V11" s="612">
        <f>INDEX('qtrP&amp;L'!24:24,MATCH(V5,'qtrP&amp;L'!6:6,0))</f>
        <v>139.28899999999999</v>
      </c>
      <c r="W11" s="612">
        <f>INDEX('qtrP&amp;L'!24:24,MATCH(W5,'qtrP&amp;L'!6:6,0))</f>
        <v>155.09</v>
      </c>
      <c r="X11" s="612">
        <f>INDEX('qtrP&amp;L'!24:24,MATCH(X5,'qtrP&amp;L'!6:6,0))</f>
        <v>172.94200000000001</v>
      </c>
      <c r="Y11" s="612">
        <f>INDEX('qtrP&amp;L'!24:24,MATCH(Y5,'qtrP&amp;L'!6:6,0))</f>
        <v>196.35399999999998</v>
      </c>
      <c r="Z11" s="612">
        <f>INDEX('qtrP&amp;L'!24:24,MATCH(Z5,'qtrP&amp;L'!6:6,0))</f>
        <v>238.52500000000001</v>
      </c>
      <c r="AA11" s="612">
        <f>INDEX('qtrP&amp;L'!24:24,MATCH(AA5,'qtrP&amp;L'!6:6,0))</f>
        <v>270.94600000000003</v>
      </c>
      <c r="AB11" s="612">
        <f>INDEX('qtrP&amp;L'!24:24,MATCH(AB5,'qtrP&amp;L'!6:6,0))</f>
        <v>306</v>
      </c>
      <c r="AC11" s="612">
        <f>INDEX('qtrP&amp;L'!24:24,MATCH(AC5,'qtrP&amp;L'!6:6,0))</f>
        <v>369</v>
      </c>
      <c r="AD11" s="612">
        <f>INDEX('qtrP&amp;L'!24:24,MATCH(AD5,'qtrP&amp;L'!6:6,0))</f>
        <v>390</v>
      </c>
      <c r="AE11" s="612">
        <f>INDEX('qtrP&amp;L'!24:24,MATCH(AE5,'qtrP&amp;L'!6:6,0))</f>
        <v>380</v>
      </c>
      <c r="AF11" s="612">
        <f>INDEX('qtrP&amp;L'!24:24,MATCH(AF5,'qtrP&amp;L'!6:6,0))</f>
        <v>372</v>
      </c>
      <c r="AG11" s="612">
        <f>INDEX('qtrP&amp;L'!24:24,MATCH(AG5,'qtrP&amp;L'!6:6,0))</f>
        <v>374</v>
      </c>
      <c r="AH11" s="612">
        <f>INDEX('qtrP&amp;L'!24:24,MATCH(AH5,'qtrP&amp;L'!6:6,0))</f>
        <v>395</v>
      </c>
      <c r="AI11" s="612">
        <f>INDEX('qtrP&amp;L'!24:24,MATCH(AI5,'qtrP&amp;L'!6:6,0))</f>
        <v>342</v>
      </c>
      <c r="AJ11" s="612">
        <f>INDEX('qtrP&amp;L'!24:24,MATCH(AJ5,'qtrP&amp;L'!6:6,0))</f>
        <v>259</v>
      </c>
      <c r="AK11" s="612">
        <f>'qtrP&amp;L'!DH24</f>
        <v>341</v>
      </c>
      <c r="AL11" s="612">
        <f>'qtrP&amp;L'!DL24</f>
        <v>375.1</v>
      </c>
      <c r="AM11" s="1131">
        <f>AL11*1.075</f>
        <v>403.23250000000002</v>
      </c>
      <c r="AN11" s="1131">
        <f>AM11*1.075</f>
        <v>433.47493750000001</v>
      </c>
      <c r="AO11" s="1131">
        <f>AN11*1.07</f>
        <v>463.81818312500002</v>
      </c>
      <c r="AP11" s="1131">
        <f>AO11*1.075</f>
        <v>498.60454685937498</v>
      </c>
      <c r="AQ11" s="611"/>
      <c r="AR11" s="1291"/>
      <c r="AS11" s="1264"/>
      <c r="AT11" s="1264"/>
      <c r="AU11" s="1270"/>
    </row>
    <row r="12" spans="1:50" x14ac:dyDescent="0.2">
      <c r="A12" s="607" t="s">
        <v>20</v>
      </c>
      <c r="C12" s="608">
        <f t="shared" ref="C12:AK12" si="7">C11/B11-1</f>
        <v>0.34265734265734249</v>
      </c>
      <c r="D12" s="608">
        <f t="shared" si="7"/>
        <v>0.38541666666666674</v>
      </c>
      <c r="E12" s="608">
        <f t="shared" si="7"/>
        <v>0.37593984962406024</v>
      </c>
      <c r="F12" s="608">
        <f t="shared" si="7"/>
        <v>0.35188524590163928</v>
      </c>
      <c r="G12" s="608">
        <f t="shared" si="7"/>
        <v>8.7835243234503535E-2</v>
      </c>
      <c r="H12" s="608">
        <f t="shared" si="7"/>
        <v>-2.0681281932187643</v>
      </c>
      <c r="I12" s="608">
        <f t="shared" si="7"/>
        <v>-2.6681973144089599E-2</v>
      </c>
      <c r="J12" s="608">
        <f t="shared" si="7"/>
        <v>0.51292040458915622</v>
      </c>
      <c r="K12" s="608">
        <f t="shared" si="7"/>
        <v>3.2872667139144829E-2</v>
      </c>
      <c r="L12" s="608">
        <f t="shared" si="7"/>
        <v>6.057660418787103E-2</v>
      </c>
      <c r="M12" s="608">
        <f t="shared" si="7"/>
        <v>-4.5622169506146171E-2</v>
      </c>
      <c r="N12" s="608">
        <f t="shared" si="7"/>
        <v>6.9314984916788225E-2</v>
      </c>
      <c r="O12" s="608">
        <f t="shared" si="7"/>
        <v>0.32211233675668804</v>
      </c>
      <c r="P12" s="608">
        <f t="shared" si="7"/>
        <v>3.4675937025493431E-2</v>
      </c>
      <c r="Q12" s="608">
        <f t="shared" si="7"/>
        <v>-0.16133591825070104</v>
      </c>
      <c r="R12" s="608">
        <f t="shared" si="7"/>
        <v>-1.3280408174542457E-2</v>
      </c>
      <c r="S12" s="608">
        <f t="shared" si="7"/>
        <v>9.0013907167324714E-2</v>
      </c>
      <c r="T12" s="608">
        <f t="shared" si="7"/>
        <v>0.11831345315670938</v>
      </c>
      <c r="U12" s="608">
        <f t="shared" si="7"/>
        <v>2.5191424196018275E-2</v>
      </c>
      <c r="V12" s="608">
        <f t="shared" si="7"/>
        <v>4.0324146687579443E-2</v>
      </c>
      <c r="W12" s="608">
        <f t="shared" si="7"/>
        <v>0.11344040089310736</v>
      </c>
      <c r="X12" s="608">
        <f t="shared" si="7"/>
        <v>0.1151073570185055</v>
      </c>
      <c r="Y12" s="608">
        <f t="shared" si="7"/>
        <v>0.13537486556186451</v>
      </c>
      <c r="Z12" s="608">
        <f t="shared" si="7"/>
        <v>0.21477026187396242</v>
      </c>
      <c r="AA12" s="608">
        <f t="shared" si="7"/>
        <v>0.13592285923907355</v>
      </c>
      <c r="AB12" s="608">
        <f t="shared" si="7"/>
        <v>0.12937633329150455</v>
      </c>
      <c r="AC12" s="608">
        <f t="shared" si="7"/>
        <v>0.20588235294117641</v>
      </c>
      <c r="AD12" s="608">
        <f t="shared" si="7"/>
        <v>5.6910569105691033E-2</v>
      </c>
      <c r="AE12" s="608">
        <f t="shared" si="7"/>
        <v>-2.5641025641025661E-2</v>
      </c>
      <c r="AF12" s="608">
        <f t="shared" si="7"/>
        <v>-2.1052631578947323E-2</v>
      </c>
      <c r="AG12" s="608">
        <f t="shared" si="7"/>
        <v>5.3763440860215006E-3</v>
      </c>
      <c r="AH12" s="608">
        <f t="shared" si="7"/>
        <v>5.6149732620320858E-2</v>
      </c>
      <c r="AI12" s="608">
        <f t="shared" si="7"/>
        <v>-0.13417721518987347</v>
      </c>
      <c r="AJ12" s="608">
        <f t="shared" si="7"/>
        <v>-0.24269005847953218</v>
      </c>
      <c r="AK12" s="608">
        <f t="shared" si="7"/>
        <v>0.31660231660231664</v>
      </c>
      <c r="AL12" s="608">
        <f>AL11/AK11-1</f>
        <v>0.10000000000000009</v>
      </c>
      <c r="AM12" s="608">
        <f>AM11/AL11-1</f>
        <v>7.4999999999999956E-2</v>
      </c>
      <c r="AN12" s="608">
        <f>AN11/AM11-1</f>
        <v>7.4999999999999956E-2</v>
      </c>
      <c r="AO12" s="608">
        <f>AO11/AN11-1</f>
        <v>7.0000000000000062E-2</v>
      </c>
      <c r="AP12" s="608">
        <f>AP11/AO11-1</f>
        <v>7.4999999999999956E-2</v>
      </c>
      <c r="AQ12" s="608"/>
      <c r="AR12" s="1291"/>
      <c r="AS12" s="1264"/>
      <c r="AT12" s="1264"/>
      <c r="AU12" s="1270"/>
    </row>
    <row r="13" spans="1:50" x14ac:dyDescent="0.2">
      <c r="A13" s="607"/>
      <c r="Q13" s="608"/>
      <c r="R13" s="608"/>
      <c r="S13" s="608"/>
      <c r="T13" s="608"/>
      <c r="U13" s="608"/>
      <c r="V13" s="608"/>
      <c r="W13" s="608"/>
      <c r="X13" s="608"/>
      <c r="Y13" s="608"/>
      <c r="Z13" s="608"/>
      <c r="AA13" s="608"/>
      <c r="AB13" s="608"/>
      <c r="AC13" s="608"/>
      <c r="AD13" s="608"/>
      <c r="AE13" s="608"/>
      <c r="AF13" s="608"/>
      <c r="AG13" s="608"/>
      <c r="AH13" s="608"/>
      <c r="AI13" s="608"/>
      <c r="AJ13" s="608"/>
      <c r="AK13" s="608"/>
      <c r="AL13" s="608"/>
      <c r="AM13" s="608"/>
      <c r="AN13" s="608"/>
      <c r="AO13" s="608"/>
      <c r="AP13" s="608"/>
      <c r="AQ13" s="608"/>
      <c r="AR13" s="1291"/>
      <c r="AS13" s="1264"/>
      <c r="AT13" s="1264"/>
      <c r="AU13" s="1270"/>
    </row>
    <row r="14" spans="1:50" x14ac:dyDescent="0.2">
      <c r="A14" s="362" t="s">
        <v>311</v>
      </c>
      <c r="B14" s="605">
        <f>B11+B7</f>
        <v>584.40000000000009</v>
      </c>
      <c r="C14" s="605">
        <f t="shared" ref="C14:AG14" si="8">C11+C7</f>
        <v>749.5</v>
      </c>
      <c r="D14" s="605">
        <f t="shared" si="8"/>
        <v>932.1</v>
      </c>
      <c r="E14" s="605">
        <f t="shared" si="8"/>
        <v>1265.3000000000002</v>
      </c>
      <c r="F14" s="605">
        <f t="shared" si="8"/>
        <v>1580.4389999999999</v>
      </c>
      <c r="G14" s="605">
        <f t="shared" si="8"/>
        <v>1866.4059999999999</v>
      </c>
      <c r="H14" s="605">
        <f t="shared" si="8"/>
        <v>2385.4380000000001</v>
      </c>
      <c r="I14" s="605">
        <f t="shared" si="8"/>
        <v>2727.1150000000002</v>
      </c>
      <c r="J14" s="605">
        <f t="shared" si="8"/>
        <v>2978.5639999999999</v>
      </c>
      <c r="K14" s="605">
        <f t="shared" si="8"/>
        <v>3267.2630000000004</v>
      </c>
      <c r="L14" s="605">
        <f t="shared" si="8"/>
        <v>3514.7190000000001</v>
      </c>
      <c r="M14" s="605">
        <f t="shared" si="8"/>
        <v>3678.4470000000001</v>
      </c>
      <c r="N14" s="605">
        <f t="shared" si="8"/>
        <v>3989.1220000000003</v>
      </c>
      <c r="O14" s="605">
        <f t="shared" si="8"/>
        <v>4238.6459999999997</v>
      </c>
      <c r="P14" s="605">
        <f t="shared" si="8"/>
        <v>4582.5320000000002</v>
      </c>
      <c r="Q14" s="605">
        <f t="shared" si="8"/>
        <v>4960.2049999999999</v>
      </c>
      <c r="R14" s="605">
        <f t="shared" si="8"/>
        <v>5135.0290000000005</v>
      </c>
      <c r="S14" s="605">
        <f t="shared" si="8"/>
        <v>5265.7830000000004</v>
      </c>
      <c r="T14" s="605">
        <f t="shared" si="8"/>
        <v>5659.1370000000006</v>
      </c>
      <c r="U14" s="605">
        <f t="shared" si="8"/>
        <v>5768.02</v>
      </c>
      <c r="V14" s="605">
        <f t="shared" si="8"/>
        <v>6083.9449999999997</v>
      </c>
      <c r="W14" s="605">
        <f t="shared" si="8"/>
        <v>6603.6619999999994</v>
      </c>
      <c r="X14" s="605">
        <f t="shared" si="8"/>
        <v>7304.3549999999996</v>
      </c>
      <c r="Y14" s="605">
        <f t="shared" si="8"/>
        <v>7918.9660000000003</v>
      </c>
      <c r="Z14" s="605">
        <f t="shared" si="8"/>
        <v>8799.223</v>
      </c>
      <c r="AA14" s="605">
        <f t="shared" si="8"/>
        <v>9098.76</v>
      </c>
      <c r="AB14" s="605">
        <f t="shared" si="8"/>
        <v>8597</v>
      </c>
      <c r="AC14" s="605">
        <f t="shared" si="8"/>
        <v>8627</v>
      </c>
      <c r="AD14" s="605">
        <f t="shared" si="8"/>
        <v>9700</v>
      </c>
      <c r="AE14" s="605">
        <f t="shared" si="8"/>
        <v>10877</v>
      </c>
      <c r="AF14" s="605">
        <f t="shared" si="8"/>
        <v>12134</v>
      </c>
      <c r="AG14" s="605">
        <f t="shared" si="8"/>
        <v>12540</v>
      </c>
      <c r="AH14" s="605">
        <f t="shared" ref="AH14:AM14" si="9">AH11+AH7</f>
        <v>13506</v>
      </c>
      <c r="AI14" s="605">
        <f t="shared" si="9"/>
        <v>14437</v>
      </c>
      <c r="AJ14" s="605">
        <f t="shared" si="9"/>
        <v>14758</v>
      </c>
      <c r="AK14" s="605">
        <f t="shared" si="9"/>
        <v>15478</v>
      </c>
      <c r="AL14" s="605">
        <f t="shared" si="9"/>
        <v>15699.138457838597</v>
      </c>
      <c r="AM14" s="605">
        <f t="shared" si="9"/>
        <v>16196.422185123163</v>
      </c>
      <c r="AN14" s="605">
        <f>AN11+AN7</f>
        <v>16631.673331498616</v>
      </c>
      <c r="AO14" s="605">
        <f>AO11+AO7</f>
        <v>17060.5846909418</v>
      </c>
      <c r="AP14" s="605">
        <f>AP11+AP7</f>
        <v>17390.360710129869</v>
      </c>
      <c r="AQ14" s="605"/>
      <c r="AR14" s="1291"/>
      <c r="AS14" s="1264"/>
      <c r="AT14" s="1264"/>
      <c r="AU14" s="1270"/>
    </row>
    <row r="15" spans="1:50" x14ac:dyDescent="0.2">
      <c r="A15" s="607" t="s">
        <v>20</v>
      </c>
      <c r="C15" s="608">
        <f t="shared" ref="C15:AF15" si="10">C14/B14-1</f>
        <v>0.28251197809719342</v>
      </c>
      <c r="D15" s="608">
        <f t="shared" si="10"/>
        <v>0.24362908605737155</v>
      </c>
      <c r="E15" s="608">
        <f t="shared" si="10"/>
        <v>0.35747237420877598</v>
      </c>
      <c r="F15" s="608">
        <f t="shared" si="10"/>
        <v>0.24906267288390072</v>
      </c>
      <c r="G15" s="608">
        <f t="shared" si="10"/>
        <v>0.18094149790026703</v>
      </c>
      <c r="H15" s="608">
        <f t="shared" si="10"/>
        <v>0.27809169066108885</v>
      </c>
      <c r="I15" s="608">
        <f t="shared" si="10"/>
        <v>0.14323449194655247</v>
      </c>
      <c r="J15" s="608">
        <f t="shared" si="10"/>
        <v>9.2203299090797275E-2</v>
      </c>
      <c r="K15" s="608">
        <f t="shared" si="10"/>
        <v>9.6925565473832576E-2</v>
      </c>
      <c r="L15" s="608">
        <f t="shared" si="10"/>
        <v>7.5738010683559898E-2</v>
      </c>
      <c r="M15" s="608">
        <f t="shared" si="10"/>
        <v>4.6583524884919791E-2</v>
      </c>
      <c r="N15" s="608">
        <f t="shared" si="10"/>
        <v>8.4458196624825677E-2</v>
      </c>
      <c r="O15" s="608">
        <f t="shared" si="10"/>
        <v>6.2551107737492062E-2</v>
      </c>
      <c r="P15" s="608">
        <f t="shared" si="10"/>
        <v>8.1131097053162904E-2</v>
      </c>
      <c r="Q15" s="608">
        <f t="shared" si="10"/>
        <v>8.241579109540309E-2</v>
      </c>
      <c r="R15" s="608">
        <f t="shared" si="10"/>
        <v>3.5245317481838123E-2</v>
      </c>
      <c r="S15" s="608">
        <f t="shared" si="10"/>
        <v>2.5463147335682113E-2</v>
      </c>
      <c r="T15" s="608">
        <f t="shared" si="10"/>
        <v>7.4700001880062317E-2</v>
      </c>
      <c r="U15" s="608">
        <f t="shared" si="10"/>
        <v>1.9240212774491949E-2</v>
      </c>
      <c r="V15" s="608">
        <f t="shared" si="10"/>
        <v>5.4771828114326793E-2</v>
      </c>
      <c r="W15" s="608">
        <f t="shared" si="10"/>
        <v>8.542434226476403E-2</v>
      </c>
      <c r="X15" s="608">
        <f t="shared" si="10"/>
        <v>0.106106732900624</v>
      </c>
      <c r="Y15" s="608">
        <f t="shared" si="10"/>
        <v>8.4143089978512942E-2</v>
      </c>
      <c r="Z15" s="608">
        <f t="shared" si="10"/>
        <v>0.11115807291002389</v>
      </c>
      <c r="AA15" s="608">
        <f t="shared" si="10"/>
        <v>3.4041301146703562E-2</v>
      </c>
      <c r="AB15" s="608">
        <f t="shared" si="10"/>
        <v>-5.5145975935182445E-2</v>
      </c>
      <c r="AC15" s="608">
        <f t="shared" si="10"/>
        <v>3.489589391648229E-3</v>
      </c>
      <c r="AD15" s="608">
        <f t="shared" si="10"/>
        <v>0.12437695606815802</v>
      </c>
      <c r="AE15" s="608">
        <f t="shared" si="10"/>
        <v>0.12134020618556707</v>
      </c>
      <c r="AF15" s="608">
        <f t="shared" si="10"/>
        <v>0.11556495357175689</v>
      </c>
      <c r="AG15" s="608">
        <f t="shared" ref="AG15:AL15" si="11">AG14/AF14-1</f>
        <v>3.3459700016482685E-2</v>
      </c>
      <c r="AH15" s="608">
        <f t="shared" si="11"/>
        <v>7.7033492822966565E-2</v>
      </c>
      <c r="AI15" s="608">
        <f t="shared" si="11"/>
        <v>6.8932326373463582E-2</v>
      </c>
      <c r="AJ15" s="608">
        <f t="shared" si="11"/>
        <v>2.2234536260996141E-2</v>
      </c>
      <c r="AK15" s="608">
        <f t="shared" si="11"/>
        <v>4.8787098522835137E-2</v>
      </c>
      <c r="AL15" s="608">
        <f t="shared" si="11"/>
        <v>1.4287275994223858E-2</v>
      </c>
      <c r="AM15" s="608">
        <f>AM14/AL14-1</f>
        <v>3.1675860979254677E-2</v>
      </c>
      <c r="AN15" s="608">
        <f>AN14/AM14-1</f>
        <v>2.6873289755020124E-2</v>
      </c>
      <c r="AO15" s="608">
        <f>AO14/AN14-1</f>
        <v>2.5788827792262659E-2</v>
      </c>
      <c r="AP15" s="608">
        <f>AP14/AO14-1</f>
        <v>1.932970206836826E-2</v>
      </c>
      <c r="AQ15" s="608"/>
      <c r="AR15" s="1291"/>
      <c r="AS15" s="1264"/>
      <c r="AT15" s="1264"/>
      <c r="AU15" s="1270"/>
    </row>
    <row r="16" spans="1:50" x14ac:dyDescent="0.2">
      <c r="A16" s="607"/>
      <c r="Q16" s="608"/>
      <c r="R16" s="608"/>
      <c r="S16" s="608"/>
      <c r="T16" s="608"/>
      <c r="U16" s="608"/>
      <c r="V16" s="608"/>
      <c r="W16" s="608"/>
      <c r="X16" s="608"/>
      <c r="Y16" s="608"/>
      <c r="Z16" s="608"/>
      <c r="AA16" s="608"/>
      <c r="AB16" s="608"/>
      <c r="AC16" s="608"/>
      <c r="AD16" s="608"/>
      <c r="AE16" s="608"/>
      <c r="AF16" s="608"/>
      <c r="AG16" s="608"/>
      <c r="AH16" s="608"/>
      <c r="AI16" s="608"/>
      <c r="AJ16" s="608"/>
      <c r="AK16" s="608"/>
      <c r="AL16" s="608"/>
      <c r="AM16" s="608"/>
      <c r="AN16" s="608"/>
      <c r="AO16" s="608"/>
      <c r="AP16" s="608"/>
      <c r="AQ16" s="608"/>
      <c r="AR16" s="1291"/>
      <c r="AS16" s="1264"/>
      <c r="AT16" s="1264"/>
      <c r="AU16" s="1270"/>
    </row>
    <row r="17" spans="1:52" x14ac:dyDescent="0.2">
      <c r="A17" s="239" t="s">
        <v>254</v>
      </c>
      <c r="B17" s="610">
        <v>402.6</v>
      </c>
      <c r="C17" s="610">
        <v>509.1</v>
      </c>
      <c r="D17" s="610">
        <v>648.29999999999995</v>
      </c>
      <c r="E17" s="610">
        <v>893.9</v>
      </c>
      <c r="F17" s="610">
        <v>1095.5840000000001</v>
      </c>
      <c r="G17" s="610">
        <v>1300.883</v>
      </c>
      <c r="H17" s="610">
        <v>1564.056</v>
      </c>
      <c r="I17" s="610">
        <v>1829.383</v>
      </c>
      <c r="J17" s="612">
        <f>INDEX('qtrP&amp;L'!44:44,MATCH(J5,'qtrP&amp;L'!6:6,0))</f>
        <v>2000.25</v>
      </c>
      <c r="K17" s="612">
        <f>INDEX('qtrP&amp;L'!44:44,MATCH(K5,'qtrP&amp;L'!6:6,0))</f>
        <v>2169.4369999999999</v>
      </c>
      <c r="L17" s="612">
        <f>INDEX('qtrP&amp;L'!44:44,MATCH(L5,'qtrP&amp;L'!6:6,0))</f>
        <v>2339.0929999999998</v>
      </c>
      <c r="M17" s="612">
        <f>INDEX('qtrP&amp;L'!44:44,MATCH(M5,'qtrP&amp;L'!6:6,0))</f>
        <v>2469.3040000000001</v>
      </c>
      <c r="N17" s="612">
        <f>INDEX('qtrP&amp;L'!44:44,MATCH(N5,'qtrP&amp;L'!6:6,0))</f>
        <v>2599.5529999999999</v>
      </c>
      <c r="O17" s="612">
        <f>INDEX('qtrP&amp;L'!44:44,MATCH(O5,'qtrP&amp;L'!6:6,0))</f>
        <v>2806.268</v>
      </c>
      <c r="P17" s="612">
        <f>INDEX('qtrP&amp;L'!44:44,MATCH(P5,'qtrP&amp;L'!6:6,0))</f>
        <v>3082.0370000000003</v>
      </c>
      <c r="Q17" s="612">
        <f>INDEX('qtrP&amp;L'!44:44,MATCH(Q5,'qtrP&amp;L'!6:6,0))</f>
        <v>3295.8130000000001</v>
      </c>
      <c r="R17" s="612">
        <f>INDEX('qtrP&amp;L'!44:44,MATCH(R5,'qtrP&amp;L'!6:6,0))</f>
        <v>3344.9450000000002</v>
      </c>
      <c r="S17" s="612">
        <f>INDEX('qtrP&amp;L'!44:44,MATCH(S5,'qtrP&amp;L'!6:6,0))</f>
        <v>3359.76</v>
      </c>
      <c r="T17" s="612">
        <f>INDEX('qtrP&amp;L'!44:44,MATCH(T5,'qtrP&amp;L'!6:6,0))</f>
        <v>3649.5159999999996</v>
      </c>
      <c r="U17" s="612">
        <f>INDEX('qtrP&amp;L'!44:44,MATCH(U5,'qtrP&amp;L'!6:6,0))</f>
        <v>3765.8589999999999</v>
      </c>
      <c r="V17" s="612">
        <f>INDEX('qtrP&amp;L'!44:44,MATCH(V5,'qtrP&amp;L'!6:6,0))</f>
        <v>3970.0219999999999</v>
      </c>
      <c r="W17" s="612">
        <f>INDEX('qtrP&amp;L'!44:44,MATCH(W5,'qtrP&amp;L'!6:6,0))</f>
        <v>4215.3950000000004</v>
      </c>
      <c r="X17" s="612">
        <f>INDEX('qtrP&amp;L'!44:44,MATCH(X5,'qtrP&amp;L'!6:6,0))</f>
        <v>4559.3879999999999</v>
      </c>
      <c r="Y17" s="612">
        <f>INDEX('qtrP&amp;L'!44:44,MATCH(Y5,'qtrP&amp;L'!6:6,0))</f>
        <v>4888.023000000001</v>
      </c>
      <c r="Z17" s="612">
        <f>INDEX('qtrP&amp;L'!44:44,MATCH(Z5,'qtrP&amp;L'!6:6,0))</f>
        <v>5353.9490000000005</v>
      </c>
      <c r="AA17" s="612">
        <f>INDEX('qtrP&amp;L'!44:44,MATCH(AA5,'qtrP&amp;L'!6:6,0))</f>
        <v>5526.1779999999999</v>
      </c>
      <c r="AB17" s="612">
        <f>INDEX('qtrP&amp;L'!44:44,MATCH(AB5,'qtrP&amp;L'!6:6,0))</f>
        <v>5429.4830000000002</v>
      </c>
      <c r="AC17" s="612">
        <f>INDEX('qtrP&amp;L'!44:44,MATCH(AC5,'qtrP&amp;L'!6:6,0))</f>
        <v>5328</v>
      </c>
      <c r="AD17" s="612">
        <f>INDEX('qtrP&amp;L'!44:44,MATCH(AD5,'qtrP&amp;L'!6:6,0))</f>
        <v>5897</v>
      </c>
      <c r="AE17" s="612">
        <f>INDEX('qtrP&amp;L'!44:44,MATCH(AE5,'qtrP&amp;L'!6:6,0))</f>
        <v>6592</v>
      </c>
      <c r="AF17" s="612">
        <f>INDEX('qtrP&amp;L'!44:44,MATCH(AF5,'qtrP&amp;L'!6:6,0))</f>
        <v>7432</v>
      </c>
      <c r="AG17" s="612">
        <f>INDEX('qtrP&amp;L'!44:44,MATCH(AG5,'qtrP&amp;L'!6:6,0))</f>
        <v>7737</v>
      </c>
      <c r="AH17" s="612">
        <f>INDEX('qtrP&amp;L'!44:44,MATCH(AH5,'qtrP&amp;L'!6:6,0))</f>
        <v>8407</v>
      </c>
      <c r="AI17" s="612">
        <f>INDEX('qtrP&amp;L'!44:44,MATCH(AI5,'qtrP&amp;L'!6:6,0))</f>
        <v>9168</v>
      </c>
      <c r="AJ17" s="612">
        <f>INDEX('qtrP&amp;L'!44:44,MATCH(AJ5,'qtrP&amp;L'!6:6,0))</f>
        <v>9439</v>
      </c>
      <c r="AK17" s="612">
        <f>'qtrP&amp;L'!DH44</f>
        <v>9890</v>
      </c>
      <c r="AL17" s="612">
        <f>'qtrP&amp;L'!DL44</f>
        <v>10002.907894418451</v>
      </c>
      <c r="AM17" s="612">
        <f>(1-AM$18)*AM7</f>
        <v>10350.85651962972</v>
      </c>
      <c r="AN17" s="612">
        <f>(1-AN$18)*AN7</f>
        <v>10664.893822608688</v>
      </c>
      <c r="AO17" s="612">
        <f>(1-AO$18)*AO7</f>
        <v>10978.761044920813</v>
      </c>
      <c r="AP17" s="612">
        <f>(1-AP$18)*AP7</f>
        <v>11207.680214329972</v>
      </c>
      <c r="AQ17" s="612"/>
      <c r="AR17" s="1289">
        <f>RATE(5,,-AE17,AJ17)*100</f>
        <v>7.4438983936259024</v>
      </c>
      <c r="AS17" s="1264" t="s">
        <v>90</v>
      </c>
      <c r="AT17" s="1290">
        <f>RATE(6,,-AJ17,AP17)*100</f>
        <v>2.9038501314590981</v>
      </c>
      <c r="AU17" s="1270" t="s">
        <v>90</v>
      </c>
    </row>
    <row r="18" spans="1:52" x14ac:dyDescent="0.2">
      <c r="A18" s="607" t="s">
        <v>35</v>
      </c>
      <c r="B18" s="608">
        <f t="shared" ref="B18:AG18" si="12">1-B17/B7</f>
        <v>0.32754300985468521</v>
      </c>
      <c r="C18" s="608">
        <f t="shared" si="12"/>
        <v>0.33771302198516973</v>
      </c>
      <c r="D18" s="608">
        <f t="shared" si="12"/>
        <v>0.32377177427766779</v>
      </c>
      <c r="E18" s="608">
        <f t="shared" si="12"/>
        <v>0.31338812504800684</v>
      </c>
      <c r="F18" s="608">
        <f t="shared" si="12"/>
        <v>0.32782876193771704</v>
      </c>
      <c r="G18" s="608">
        <f t="shared" si="12"/>
        <v>0.32253827794676782</v>
      </c>
      <c r="H18" s="608">
        <f t="shared" si="12"/>
        <v>0.32813905477188898</v>
      </c>
      <c r="I18" s="608">
        <f t="shared" si="12"/>
        <v>0.31513460272084348</v>
      </c>
      <c r="J18" s="608">
        <f t="shared" si="12"/>
        <v>0.30880568256583496</v>
      </c>
      <c r="K18" s="608">
        <f t="shared" si="12"/>
        <v>0.31774848890817731</v>
      </c>
      <c r="L18" s="608">
        <f t="shared" si="12"/>
        <v>0.31645021784178118</v>
      </c>
      <c r="M18" s="608">
        <f t="shared" si="12"/>
        <v>0.31215970860778097</v>
      </c>
      <c r="N18" s="608">
        <f t="shared" si="12"/>
        <v>0.33250284120233831</v>
      </c>
      <c r="O18" s="608">
        <f t="shared" si="12"/>
        <v>0.3177933427267573</v>
      </c>
      <c r="P18" s="608">
        <f t="shared" si="12"/>
        <v>0.30788380941387983</v>
      </c>
      <c r="Q18" s="608">
        <f t="shared" si="12"/>
        <v>0.32067839552281874</v>
      </c>
      <c r="R18" s="608">
        <f t="shared" si="12"/>
        <v>0.33472192112397048</v>
      </c>
      <c r="S18" s="608">
        <f t="shared" si="12"/>
        <v>0.34749271703243345</v>
      </c>
      <c r="T18" s="608">
        <f t="shared" si="12"/>
        <v>0.3398767160281283</v>
      </c>
      <c r="U18" s="608">
        <f t="shared" si="12"/>
        <v>0.33159884489708258</v>
      </c>
      <c r="V18" s="608">
        <f t="shared" si="12"/>
        <v>0.33216959904828813</v>
      </c>
      <c r="W18" s="608">
        <f t="shared" si="12"/>
        <v>0.34630566271106211</v>
      </c>
      <c r="X18" s="608">
        <f t="shared" si="12"/>
        <v>0.36066134439275921</v>
      </c>
      <c r="Y18" s="608">
        <f t="shared" si="12"/>
        <v>0.36705055232607819</v>
      </c>
      <c r="Z18" s="608">
        <f t="shared" si="12"/>
        <v>0.37458966546886707</v>
      </c>
      <c r="AA18" s="608">
        <f t="shared" si="12"/>
        <v>0.37400380207376371</v>
      </c>
      <c r="AB18" s="608">
        <f t="shared" si="12"/>
        <v>0.34513532746351461</v>
      </c>
      <c r="AC18" s="608">
        <f t="shared" si="12"/>
        <v>0.35480745943327685</v>
      </c>
      <c r="AD18" s="608">
        <f t="shared" si="12"/>
        <v>0.36659505907626211</v>
      </c>
      <c r="AE18" s="608">
        <f>1-AE17/AE7</f>
        <v>0.37201105077641228</v>
      </c>
      <c r="AF18" s="608">
        <f t="shared" si="12"/>
        <v>0.36813467097432406</v>
      </c>
      <c r="AG18" s="608">
        <f t="shared" si="12"/>
        <v>0.36404734506000325</v>
      </c>
      <c r="AH18" s="608">
        <f>1-AH17/AH7</f>
        <v>0.35878270154831826</v>
      </c>
      <c r="AI18" s="608">
        <f>1-AI17/AI7</f>
        <v>0.34955658034764103</v>
      </c>
      <c r="AJ18" s="608">
        <f>1-AJ17/AJ7</f>
        <v>0.34898958548865444</v>
      </c>
      <c r="AK18" s="608">
        <f>1-AK17/AK7</f>
        <v>0.3466340754442756</v>
      </c>
      <c r="AL18" s="608">
        <f>1-AL17/AL7</f>
        <v>0.34724074714771191</v>
      </c>
      <c r="AM18" s="1133">
        <v>0.34460000000000002</v>
      </c>
      <c r="AN18" s="1133">
        <v>0.34160000000000001</v>
      </c>
      <c r="AO18" s="1133">
        <v>0.33850000000000002</v>
      </c>
      <c r="AP18" s="1133">
        <v>0.33650000000000002</v>
      </c>
      <c r="AQ18" s="613"/>
      <c r="AR18" s="1293"/>
      <c r="AS18" s="1264"/>
      <c r="AT18" s="1290"/>
      <c r="AU18" s="1270"/>
    </row>
    <row r="19" spans="1:52" x14ac:dyDescent="0.2">
      <c r="A19" s="607" t="s">
        <v>210</v>
      </c>
      <c r="B19" s="614"/>
      <c r="C19" s="614">
        <f t="shared" ref="C19:M19" si="13">IF(ISERROR((C18-B18)*10000)=TRUE,"NM",(C18-B18)*10000)</f>
        <v>101.70012130484518</v>
      </c>
      <c r="D19" s="614">
        <f t="shared" si="13"/>
        <v>-139.41247707501935</v>
      </c>
      <c r="E19" s="614">
        <f t="shared" si="13"/>
        <v>-103.83649229660952</v>
      </c>
      <c r="F19" s="614">
        <f t="shared" si="13"/>
        <v>144.406368897102</v>
      </c>
      <c r="G19" s="614">
        <f t="shared" si="13"/>
        <v>-52.904839909492239</v>
      </c>
      <c r="H19" s="614">
        <f t="shared" si="13"/>
        <v>56.007768251211672</v>
      </c>
      <c r="I19" s="614">
        <f t="shared" si="13"/>
        <v>-130.04452051045502</v>
      </c>
      <c r="J19" s="614">
        <f t="shared" si="13"/>
        <v>-63.289201550085217</v>
      </c>
      <c r="K19" s="614">
        <f t="shared" si="13"/>
        <v>89.428063423423467</v>
      </c>
      <c r="L19" s="614">
        <f t="shared" si="13"/>
        <v>-12.982710663961283</v>
      </c>
      <c r="M19" s="614">
        <f t="shared" si="13"/>
        <v>-42.905092340002057</v>
      </c>
      <c r="N19" s="614">
        <f>IF(ISERROR((N18-M18)*10000)=TRUE,"NM",(N18-M18)*10000)</f>
        <v>203.43132594557335</v>
      </c>
      <c r="O19" s="614">
        <f>IF(ISERROR((O18-N18)*10000)=TRUE,"NM",(O18-N18)*10000)</f>
        <v>-147.09498475581006</v>
      </c>
      <c r="P19" s="614">
        <f>IF(ISERROR((P18-O18)*10000)=TRUE,"NM",(P18-O18)*10000)</f>
        <v>-99.095333128774726</v>
      </c>
      <c r="Q19" s="614">
        <f>IF(ISERROR((Q18-P18)*10000)=TRUE,"NM",(Q18-P18)*10000)</f>
        <v>127.9458610893891</v>
      </c>
      <c r="R19" s="614">
        <f>IF(ISERROR((R18-Q18)*10000)=TRUE,"NM",(R18-Q18)*10000)</f>
        <v>140.4352560115174</v>
      </c>
      <c r="S19" s="614">
        <f t="shared" ref="S19:AF19" si="14">IF(ISERROR((S18-R18)*10000)=TRUE,"NM",(S18-R18)*10000)</f>
        <v>127.70795908462974</v>
      </c>
      <c r="T19" s="614">
        <f t="shared" si="14"/>
        <v>-76.1600100430515</v>
      </c>
      <c r="U19" s="614">
        <f>IF(ISERROR((U18-T18)*10000)=TRUE,"NM",(U18-T18)*10000)</f>
        <v>-82.778711310457226</v>
      </c>
      <c r="V19" s="614">
        <f t="shared" si="14"/>
        <v>5.7075415120555473</v>
      </c>
      <c r="W19" s="614">
        <f t="shared" si="14"/>
        <v>141.36063662773978</v>
      </c>
      <c r="X19" s="614">
        <f t="shared" si="14"/>
        <v>143.55681681697098</v>
      </c>
      <c r="Y19" s="614">
        <f t="shared" si="14"/>
        <v>63.892079333189855</v>
      </c>
      <c r="Z19" s="614">
        <f t="shared" si="14"/>
        <v>75.39113142788878</v>
      </c>
      <c r="AA19" s="614">
        <f t="shared" si="14"/>
        <v>-5.8586339510335872</v>
      </c>
      <c r="AB19" s="614">
        <f t="shared" si="14"/>
        <v>-288.68474610249109</v>
      </c>
      <c r="AC19" s="614">
        <f t="shared" si="14"/>
        <v>96.721319697622434</v>
      </c>
      <c r="AD19" s="1134">
        <f t="shared" si="14"/>
        <v>117.87599642985258</v>
      </c>
      <c r="AE19" s="1134">
        <f t="shared" si="14"/>
        <v>54.15991700150169</v>
      </c>
      <c r="AF19" s="1134">
        <f t="shared" si="14"/>
        <v>-38.763798020882149</v>
      </c>
      <c r="AG19" s="1134">
        <f t="shared" ref="AG19:AL19" si="15">IF(ISERROR((AG18-AF18)*10000)=TRUE,"NM",(AG18-AF18)*10000)</f>
        <v>-40.873259143208159</v>
      </c>
      <c r="AH19" s="1134">
        <f t="shared" si="15"/>
        <v>-52.646435116849858</v>
      </c>
      <c r="AI19" s="1134">
        <f t="shared" si="15"/>
        <v>-92.261212006772283</v>
      </c>
      <c r="AJ19" s="1134">
        <f t="shared" si="15"/>
        <v>-5.6699485898659141</v>
      </c>
      <c r="AK19" s="1134">
        <f t="shared" si="15"/>
        <v>-23.55510044378839</v>
      </c>
      <c r="AL19" s="1134">
        <f t="shared" si="15"/>
        <v>6.0667170343631227</v>
      </c>
      <c r="AM19" s="1134">
        <f>IF(ISERROR((AM18-AL18)*10000)=TRUE,"NM",(AM18-AL18)*10000)</f>
        <v>-26.407471477118971</v>
      </c>
      <c r="AN19" s="1134">
        <f>IF(ISERROR((AN18-AM18)*10000)=TRUE,"NM",(AN18-AM18)*10000)</f>
        <v>-30.000000000000028</v>
      </c>
      <c r="AO19" s="1134">
        <f>IF(ISERROR((AO18-AN18)*10000)=TRUE,"NM",(AO18-AN18)*10000)</f>
        <v>-30.999999999999915</v>
      </c>
      <c r="AP19" s="1134">
        <f>IF(ISERROR((AP18-AO18)*10000)=TRUE,"NM",(AP18-AO18)*10000)</f>
        <v>-20.000000000000018</v>
      </c>
      <c r="AQ19" s="614"/>
      <c r="AR19" s="1291"/>
      <c r="AS19" s="1264"/>
      <c r="AT19" s="1264"/>
      <c r="AU19" s="1270"/>
    </row>
    <row r="20" spans="1:52" x14ac:dyDescent="0.2">
      <c r="Q20" s="615"/>
      <c r="R20" s="615"/>
      <c r="S20" s="615"/>
      <c r="T20" s="615"/>
      <c r="U20" s="615"/>
      <c r="V20" s="615"/>
      <c r="W20" s="615"/>
      <c r="X20" s="615"/>
      <c r="Y20" s="615"/>
      <c r="Z20" s="615"/>
      <c r="AA20" s="615"/>
      <c r="AB20" s="615"/>
      <c r="AC20" s="615"/>
      <c r="AD20" s="615"/>
      <c r="AE20" s="615"/>
      <c r="AF20" s="615"/>
      <c r="AG20" s="615"/>
      <c r="AH20" s="615"/>
      <c r="AI20" s="615"/>
      <c r="AJ20" s="615"/>
      <c r="AK20" s="615"/>
      <c r="AL20" s="615"/>
      <c r="AM20" s="615"/>
      <c r="AN20" s="615"/>
      <c r="AO20" s="615"/>
      <c r="AP20" s="615"/>
      <c r="AQ20" s="615"/>
      <c r="AR20" s="1291"/>
      <c r="AS20" s="1264"/>
      <c r="AT20" s="1264"/>
      <c r="AU20" s="1270"/>
    </row>
    <row r="21" spans="1:52" x14ac:dyDescent="0.2">
      <c r="A21" s="239" t="s">
        <v>312</v>
      </c>
      <c r="B21" s="610">
        <v>150.6</v>
      </c>
      <c r="C21" s="610">
        <v>192.8</v>
      </c>
      <c r="D21" s="610">
        <v>243.8</v>
      </c>
      <c r="E21" s="610">
        <v>326.8</v>
      </c>
      <c r="F21" s="610">
        <v>408.66399999999999</v>
      </c>
      <c r="G21" s="610">
        <v>477.488</v>
      </c>
      <c r="H21" s="610">
        <v>582.97299999999996</v>
      </c>
      <c r="I21" s="610">
        <v>669.2</v>
      </c>
      <c r="J21" s="612">
        <f>INDEX('qtrP&amp;L'!54:54,MATCH(J5,'qtrP&amp;L'!6:6,0))</f>
        <v>747.77</v>
      </c>
      <c r="K21" s="612">
        <f>INDEX('qtrP&amp;L'!54:54,MATCH(K5,'qtrP&amp;L'!6:6,0))</f>
        <v>831.505</v>
      </c>
      <c r="L21" s="612">
        <f>INDEX('qtrP&amp;L'!54:54,MATCH(L5,'qtrP&amp;L'!6:6,0))</f>
        <v>902.09699999999998</v>
      </c>
      <c r="M21" s="612">
        <f>INDEX('qtrP&amp;L'!54:54,MATCH(M5,'qtrP&amp;L'!6:6,0))</f>
        <v>940.57899999999995</v>
      </c>
      <c r="N21" s="612">
        <f>INDEX('qtrP&amp;L'!54:54,MATCH(N5,'qtrP&amp;L'!6:6,0))</f>
        <v>1023.347</v>
      </c>
      <c r="O21" s="612">
        <f>INDEX('qtrP&amp;L'!54:54,MATCH(O5,'qtrP&amp;L'!6:6,0))</f>
        <v>1121.1379999999999</v>
      </c>
      <c r="P21" s="612">
        <f>INDEX('qtrP&amp;L'!54:54,MATCH(P5,'qtrP&amp;L'!6:6,0))</f>
        <v>1217.5899999999999</v>
      </c>
      <c r="Q21" s="612">
        <f>INDEX('qtrP&amp;L'!54:54,MATCH(Q5,'qtrP&amp;L'!6:6,0))</f>
        <v>1322.9290000000001</v>
      </c>
      <c r="R21" s="612">
        <f>INDEX('qtrP&amp;L'!54:54,MATCH(R5,'qtrP&amp;L'!6:6,0))</f>
        <v>1405.27</v>
      </c>
      <c r="S21" s="612">
        <f>INDEX('qtrP&amp;L'!54:54,MATCH(S5,'qtrP&amp;L'!6:6,0))</f>
        <v>1523.836</v>
      </c>
      <c r="T21" s="612">
        <f>INDEX('qtrP&amp;L'!54:54,MATCH(T5,'qtrP&amp;L'!6:6,0))</f>
        <v>1747.048</v>
      </c>
      <c r="U21" s="612">
        <f>INDEX('qtrP&amp;L'!54:54,MATCH(U5,'qtrP&amp;L'!6:6,0))</f>
        <v>1722.635</v>
      </c>
      <c r="V21" s="612">
        <f>INDEX('qtrP&amp;L'!54:54,MATCH(V5,'qtrP&amp;L'!6:6,0))</f>
        <v>1783.21</v>
      </c>
      <c r="W21" s="612">
        <f>INDEX('qtrP&amp;L'!54:54,MATCH(W5,'qtrP&amp;L'!6:6,0))</f>
        <v>1899.126</v>
      </c>
      <c r="X21" s="612">
        <f>INDEX('qtrP&amp;L'!54:54,MATCH(X5,'qtrP&amp;L'!6:6,0))</f>
        <v>2020.2329999999997</v>
      </c>
      <c r="Y21" s="612">
        <f>INDEX('qtrP&amp;L'!54:54,MATCH(Y5,'qtrP&amp;L'!6:6,0))</f>
        <v>2100.6660000000002</v>
      </c>
      <c r="Z21" s="612">
        <f>INDEX('qtrP&amp;L'!54:54,MATCH(Z5,'qtrP&amp;L'!6:6,0))</f>
        <v>2296.8629999999998</v>
      </c>
      <c r="AA21" s="612">
        <f>INDEX('qtrP&amp;L'!54:54,MATCH(AA5,'qtrP&amp;L'!6:6,0))</f>
        <v>2360</v>
      </c>
      <c r="AB21" s="612">
        <f>INDEX('qtrP&amp;L'!54:54,MATCH(AB5,'qtrP&amp;L'!6:6,0))</f>
        <v>2387.9659999999999</v>
      </c>
      <c r="AC21" s="612">
        <f>INDEX('qtrP&amp;L'!54:54,MATCH(AC5,'qtrP&amp;L'!6:6,0))</f>
        <v>2465</v>
      </c>
      <c r="AD21" s="612">
        <f>INDEX('qtrP&amp;L'!54:54,MATCH(AD5,'qtrP&amp;L'!6:6,0))</f>
        <v>2685</v>
      </c>
      <c r="AE21" s="612">
        <f>INDEX('qtrP&amp;L'!54:54,MATCH(AE5,'qtrP&amp;L'!6:6,0))</f>
        <v>3036</v>
      </c>
      <c r="AF21" s="612">
        <f>INDEX('qtrP&amp;L'!54:54,MATCH(AF5,'qtrP&amp;L'!6:6,0))</f>
        <v>3357</v>
      </c>
      <c r="AG21" s="612">
        <f>INDEX('qtrP&amp;L'!54:54,MATCH(AG5,'qtrP&amp;L'!6:6,0))</f>
        <v>3453</v>
      </c>
      <c r="AH21" s="612">
        <f>INDEX('qtrP&amp;L'!54:54,MATCH(AH5,'qtrP&amp;L'!6:6,0))</f>
        <v>3776</v>
      </c>
      <c r="AI21" s="612">
        <f>INDEX('qtrP&amp;L'!54:54,MATCH(AI5,'qtrP&amp;L'!6:6,0))</f>
        <v>4140</v>
      </c>
      <c r="AJ21" s="612">
        <f>INDEX('qtrP&amp;L'!54:54,MATCH(AJ5,'qtrP&amp;L'!6:6,0))</f>
        <v>4316</v>
      </c>
      <c r="AK21" s="612">
        <f>'qtrP&amp;L'!DH54</f>
        <v>4662</v>
      </c>
      <c r="AL21" s="612">
        <f>'qtrP&amp;L'!DL54</f>
        <v>4848.4949247441764</v>
      </c>
      <c r="AM21" s="612">
        <f>AM25+AM29</f>
        <v>5032.7058281753725</v>
      </c>
      <c r="AN21" s="612">
        <f>AN25+AN29</f>
        <v>5185.0468847091734</v>
      </c>
      <c r="AO21" s="612">
        <f>AO25+AO29</f>
        <v>5331.1899259153906</v>
      </c>
      <c r="AP21" s="612">
        <f>AP25+AP29</f>
        <v>5451.0643150061987</v>
      </c>
      <c r="AQ21" s="612"/>
      <c r="AR21" s="1289">
        <f>RATE(5,,-AE21,AJ21)*100</f>
        <v>7.2891819074207929</v>
      </c>
      <c r="AS21" s="1264" t="s">
        <v>90</v>
      </c>
      <c r="AT21" s="1290">
        <f>RATE(6,,-AJ21,AP21)*100</f>
        <v>3.9680691108912427</v>
      </c>
      <c r="AU21" s="1270" t="s">
        <v>90</v>
      </c>
    </row>
    <row r="22" spans="1:52" x14ac:dyDescent="0.2">
      <c r="A22" s="607" t="s">
        <v>212</v>
      </c>
      <c r="B22" s="608">
        <f t="shared" ref="B22:AE22" si="16">IF(B21=0,"NA",B21/B$7)</f>
        <v>0.25154501419742775</v>
      </c>
      <c r="C22" s="608">
        <f t="shared" si="16"/>
        <v>0.25081306101209833</v>
      </c>
      <c r="D22" s="608">
        <f t="shared" si="16"/>
        <v>0.25430270157504953</v>
      </c>
      <c r="E22" s="608">
        <f t="shared" si="16"/>
        <v>0.25101774329825638</v>
      </c>
      <c r="F22" s="608">
        <f t="shared" si="16"/>
        <v>0.25072672367566956</v>
      </c>
      <c r="G22" s="608">
        <f t="shared" si="16"/>
        <v>0.24866174954992395</v>
      </c>
      <c r="H22" s="608">
        <f t="shared" si="16"/>
        <v>0.25042376412511286</v>
      </c>
      <c r="I22" s="608">
        <f t="shared" si="16"/>
        <v>0.25052814192501599</v>
      </c>
      <c r="J22" s="608">
        <f t="shared" si="16"/>
        <v>0.25839488801287119</v>
      </c>
      <c r="K22" s="608">
        <f t="shared" si="16"/>
        <v>0.26149436131604931</v>
      </c>
      <c r="L22" s="608">
        <f t="shared" si="16"/>
        <v>0.26361850847126761</v>
      </c>
      <c r="M22" s="608">
        <f t="shared" si="16"/>
        <v>0.26200424631288893</v>
      </c>
      <c r="N22" s="608">
        <f t="shared" si="16"/>
        <v>0.26276872022386566</v>
      </c>
      <c r="O22" s="608">
        <f t="shared" si="16"/>
        <v>0.27254980897120612</v>
      </c>
      <c r="P22" s="608">
        <f t="shared" si="16"/>
        <v>0.27342752617692584</v>
      </c>
      <c r="Q22" s="608">
        <f t="shared" si="16"/>
        <v>0.27267756116302505</v>
      </c>
      <c r="R22" s="608">
        <f t="shared" si="16"/>
        <v>0.27949497701819248</v>
      </c>
      <c r="S22" s="608">
        <f t="shared" si="16"/>
        <v>0.29594795105845795</v>
      </c>
      <c r="T22" s="608">
        <f t="shared" si="16"/>
        <v>0.31600548210132262</v>
      </c>
      <c r="U22" s="608">
        <f t="shared" si="16"/>
        <v>0.30574995607130118</v>
      </c>
      <c r="V22" s="608">
        <f t="shared" si="16"/>
        <v>0.29996857681924743</v>
      </c>
      <c r="W22" s="608">
        <f t="shared" si="16"/>
        <v>0.29450334120484351</v>
      </c>
      <c r="X22" s="608">
        <f t="shared" si="16"/>
        <v>0.28328649595809413</v>
      </c>
      <c r="Y22" s="608">
        <f t="shared" si="16"/>
        <v>0.27201496074126219</v>
      </c>
      <c r="Z22" s="608">
        <f t="shared" si="16"/>
        <v>0.2683032388246846</v>
      </c>
      <c r="AA22" s="608">
        <f t="shared" si="16"/>
        <v>0.26733685145609093</v>
      </c>
      <c r="AB22" s="608">
        <f t="shared" si="16"/>
        <v>0.28801905680858764</v>
      </c>
      <c r="AC22" s="608">
        <f t="shared" si="16"/>
        <v>0.2984984257689513</v>
      </c>
      <c r="AD22" s="608">
        <f t="shared" si="16"/>
        <v>0.28839957035445757</v>
      </c>
      <c r="AE22" s="608">
        <f t="shared" si="16"/>
        <v>0.28922549299799943</v>
      </c>
      <c r="AF22" s="608">
        <f t="shared" ref="AF22:AK22" si="17">IF(AF21=0,"NA",AF21/AF$7)</f>
        <v>0.28541064444822312</v>
      </c>
      <c r="AG22" s="608">
        <f t="shared" si="17"/>
        <v>0.2838237711655433</v>
      </c>
      <c r="AH22" s="608">
        <f>IF(AH21=0,"NA",AH21/AH$7)</f>
        <v>0.28800244069865</v>
      </c>
      <c r="AI22" s="608">
        <f>IF(AI21=0,"NA",AI21/AI$7)</f>
        <v>0.29372117772259665</v>
      </c>
      <c r="AJ22" s="608">
        <f>IF(AJ21=0,"NA",AJ21/AJ$7)</f>
        <v>0.29767570177253605</v>
      </c>
      <c r="AK22" s="608">
        <f t="shared" si="17"/>
        <v>0.30798705159542844</v>
      </c>
      <c r="AL22" s="608">
        <f>IF(AL21=0,"NA",AL21/AL$7)</f>
        <v>0.31639798725929591</v>
      </c>
      <c r="AM22" s="1135">
        <f>IF(AM21=0,"NA",AM21/AM$7)</f>
        <v>0.31866303948188951</v>
      </c>
      <c r="AN22" s="1135">
        <f>IF(AN21=0,"NA",AN21/AN$7)</f>
        <v>0.32010022093754686</v>
      </c>
      <c r="AO22" s="1135">
        <f>IF(AO21=0,"NA",AO21/AO$7)</f>
        <v>0.32121858938031628</v>
      </c>
      <c r="AP22" s="1135">
        <f>IF(AP21=0,"NA",AP21/AP$7)</f>
        <v>0.32270560043123381</v>
      </c>
      <c r="AQ22" s="608"/>
      <c r="AR22" s="1291"/>
      <c r="AS22" s="1264"/>
      <c r="AT22" s="1264"/>
      <c r="AU22" s="1270"/>
    </row>
    <row r="23" spans="1:52" x14ac:dyDescent="0.2">
      <c r="A23" s="607" t="s">
        <v>210</v>
      </c>
      <c r="B23" s="614"/>
      <c r="C23" s="614">
        <f t="shared" ref="C23:M23" si="18">IF(ISERROR((C22-B22)*10000)=TRUE,"NM",(C22-B22)*10000)</f>
        <v>-7.3195318532942588</v>
      </c>
      <c r="D23" s="614">
        <f t="shared" si="18"/>
        <v>34.896405629512017</v>
      </c>
      <c r="E23" s="614">
        <f t="shared" si="18"/>
        <v>-32.849582767931487</v>
      </c>
      <c r="F23" s="614">
        <f t="shared" si="18"/>
        <v>-2.910196225868189</v>
      </c>
      <c r="G23" s="614">
        <f t="shared" si="18"/>
        <v>-20.649741257456057</v>
      </c>
      <c r="H23" s="614">
        <f t="shared" si="18"/>
        <v>17.620145751889027</v>
      </c>
      <c r="I23" s="614">
        <f t="shared" si="18"/>
        <v>1.0437779990313256</v>
      </c>
      <c r="J23" s="614">
        <f t="shared" si="18"/>
        <v>78.667460878552035</v>
      </c>
      <c r="K23" s="614">
        <f t="shared" si="18"/>
        <v>30.994733031781131</v>
      </c>
      <c r="L23" s="614">
        <f t="shared" si="18"/>
        <v>21.241471552183032</v>
      </c>
      <c r="M23" s="614">
        <f t="shared" si="18"/>
        <v>-16.142621583786763</v>
      </c>
      <c r="N23" s="614">
        <f t="shared" ref="N23:V23" si="19">IF(ISERROR((N22-M22)*10000)=TRUE,"NM",(N22-M22)*10000)</f>
        <v>7.6447391097672623</v>
      </c>
      <c r="O23" s="614">
        <f t="shared" si="19"/>
        <v>97.810887473404605</v>
      </c>
      <c r="P23" s="614">
        <f t="shared" si="19"/>
        <v>8.7771720571971912</v>
      </c>
      <c r="Q23" s="614">
        <f t="shared" si="19"/>
        <v>-7.4996501390078851</v>
      </c>
      <c r="R23" s="614">
        <f t="shared" si="19"/>
        <v>68.174158551674296</v>
      </c>
      <c r="S23" s="614">
        <f t="shared" si="19"/>
        <v>164.52974040265468</v>
      </c>
      <c r="T23" s="614">
        <f t="shared" si="19"/>
        <v>200.57531042864673</v>
      </c>
      <c r="U23" s="614">
        <f t="shared" si="19"/>
        <v>-102.55526030021444</v>
      </c>
      <c r="V23" s="614">
        <f t="shared" si="19"/>
        <v>-57.813792520537419</v>
      </c>
      <c r="W23" s="614" t="str">
        <f>IF(ISERROR((W22-#REF!)*10000)=TRUE,"NM",(W22-#REF!)*10000)</f>
        <v>NM</v>
      </c>
      <c r="X23" s="614">
        <f t="shared" ref="X23:AF23" si="20">IF(ISERROR((X22-W22)*10000)=TRUE,"NM",(X22-W22)*10000)</f>
        <v>-112.16845246749374</v>
      </c>
      <c r="Y23" s="614">
        <f t="shared" si="20"/>
        <v>-112.7153521683194</v>
      </c>
      <c r="Z23" s="614">
        <f t="shared" si="20"/>
        <v>-37.117219165775929</v>
      </c>
      <c r="AA23" s="614">
        <f t="shared" si="20"/>
        <v>-9.6638736859366858</v>
      </c>
      <c r="AB23" s="614">
        <f t="shared" si="20"/>
        <v>206.82205352496709</v>
      </c>
      <c r="AC23" s="614">
        <f t="shared" si="20"/>
        <v>104.79368960363666</v>
      </c>
      <c r="AD23" s="614">
        <f t="shared" si="20"/>
        <v>-100.98855414493735</v>
      </c>
      <c r="AE23" s="614">
        <f t="shared" si="20"/>
        <v>8.259226435418654</v>
      </c>
      <c r="AF23" s="614">
        <f t="shared" si="20"/>
        <v>-38.148485497763176</v>
      </c>
      <c r="AG23" s="614">
        <f t="shared" ref="AG23:AP23" si="21">IF(ISERROR((AG22-AF22)*10000)=TRUE,"NM",(AG22-AF22)*10000)</f>
        <v>-15.868732826798126</v>
      </c>
      <c r="AH23" s="614">
        <f t="shared" si="21"/>
        <v>41.786695331066937</v>
      </c>
      <c r="AI23" s="614">
        <f t="shared" si="21"/>
        <v>57.187370239466517</v>
      </c>
      <c r="AJ23" s="614">
        <f t="shared" si="21"/>
        <v>39.545240499394005</v>
      </c>
      <c r="AK23" s="614">
        <f t="shared" si="21"/>
        <v>103.1134982289239</v>
      </c>
      <c r="AL23" s="614">
        <f t="shared" si="21"/>
        <v>84.109356638674697</v>
      </c>
      <c r="AM23" s="614">
        <f t="shared" si="21"/>
        <v>22.650522225935998</v>
      </c>
      <c r="AN23" s="614">
        <f t="shared" si="21"/>
        <v>14.371814556573547</v>
      </c>
      <c r="AO23" s="614">
        <f t="shared" si="21"/>
        <v>11.183684427694129</v>
      </c>
      <c r="AP23" s="614">
        <f t="shared" si="21"/>
        <v>14.870110509175305</v>
      </c>
      <c r="AQ23" s="614"/>
      <c r="AR23" s="1291"/>
      <c r="AS23" s="1264"/>
      <c r="AT23" s="1264"/>
      <c r="AU23" s="1270"/>
    </row>
    <row r="24" spans="1:52" x14ac:dyDescent="0.2">
      <c r="Q24" s="255"/>
      <c r="R24" s="255"/>
      <c r="S24" s="255"/>
      <c r="T24" s="255"/>
      <c r="U24" s="255"/>
      <c r="V24" s="255"/>
      <c r="W24" s="255"/>
      <c r="X24" s="255"/>
      <c r="Y24" s="255"/>
      <c r="Z24" s="255"/>
      <c r="AA24" s="255"/>
      <c r="AB24" s="255"/>
      <c r="AC24" s="255"/>
      <c r="AD24" s="616"/>
      <c r="AE24" s="616"/>
      <c r="AF24" s="616"/>
      <c r="AG24" s="616"/>
      <c r="AH24" s="616"/>
      <c r="AI24" s="616"/>
      <c r="AJ24" s="616"/>
      <c r="AK24" s="616"/>
      <c r="AL24" s="616"/>
      <c r="AM24" s="616"/>
      <c r="AN24" s="616"/>
      <c r="AO24" s="616"/>
      <c r="AP24" s="616"/>
      <c r="AQ24" s="616"/>
      <c r="AR24" s="1291"/>
      <c r="AS24" s="1264"/>
      <c r="AT24" s="1264"/>
      <c r="AU24" s="1270"/>
    </row>
    <row r="25" spans="1:52" x14ac:dyDescent="0.2">
      <c r="A25" s="239" t="s">
        <v>303</v>
      </c>
      <c r="B25" s="610"/>
      <c r="C25" s="610"/>
      <c r="D25" s="610"/>
      <c r="E25" s="610"/>
      <c r="F25" s="610"/>
      <c r="G25" s="610"/>
      <c r="H25" s="610"/>
      <c r="I25" s="610"/>
      <c r="J25" s="612"/>
      <c r="K25" s="612"/>
      <c r="L25" s="612"/>
      <c r="M25" s="612"/>
      <c r="N25" s="612"/>
      <c r="O25" s="612"/>
      <c r="P25" s="612"/>
      <c r="Q25" s="612"/>
      <c r="R25" s="612"/>
      <c r="S25" s="612"/>
      <c r="T25" s="612"/>
      <c r="U25" s="612"/>
      <c r="V25" s="612"/>
      <c r="W25" s="612"/>
      <c r="X25" s="612"/>
      <c r="Y25" s="612"/>
      <c r="Z25" s="612"/>
      <c r="AA25" s="612">
        <f>INDEX('qtrP&amp;L'!64:64,MATCH(AA5,'qtrP&amp;L'!6:6,0))</f>
        <v>2183</v>
      </c>
      <c r="AB25" s="612">
        <f>INDEX('qtrP&amp;L'!64:64,MATCH(AB5,'qtrP&amp;L'!6:6,0))</f>
        <v>2113.9659999999999</v>
      </c>
      <c r="AC25" s="612">
        <f>INDEX('qtrP&amp;L'!64:64,MATCH(AC5,'qtrP&amp;L'!6:6,0))</f>
        <v>2109</v>
      </c>
      <c r="AD25" s="612">
        <f>INDEX('qtrP&amp;L'!64:64,MATCH(AD5,'qtrP&amp;L'!6:6,0))</f>
        <v>2412</v>
      </c>
      <c r="AE25" s="612">
        <f>INDEX('qtrP&amp;L'!64:64,MATCH(AE5,'qtrP&amp;L'!6:6,0))</f>
        <v>2807</v>
      </c>
      <c r="AF25" s="612">
        <f>INDEX('qtrP&amp;L'!64:64,MATCH(AF5,'qtrP&amp;L'!6:6,0))</f>
        <v>3172</v>
      </c>
      <c r="AG25" s="612">
        <f>INDEX('qtrP&amp;L'!64:64,MATCH(AG5,'qtrP&amp;L'!6:6,0))</f>
        <v>3272</v>
      </c>
      <c r="AH25" s="612">
        <f>INDEX('qtrP&amp;L'!64:64,MATCH(AH5,'qtrP&amp;L'!6:6,0))</f>
        <v>3589</v>
      </c>
      <c r="AI25" s="612">
        <f>INDEX('qtrP&amp;L'!64:64,MATCH(AI5,'qtrP&amp;L'!6:6,0))</f>
        <v>3955</v>
      </c>
      <c r="AJ25" s="612">
        <f>INDEX('qtrP&amp;L'!64:64,MATCH(AJ5,'qtrP&amp;L'!6:6,0))</f>
        <v>4153</v>
      </c>
      <c r="AK25" s="612">
        <f>'qtrP&amp;L'!DH64</f>
        <v>4508</v>
      </c>
      <c r="AL25" s="1317">
        <f>'qtrP&amp;L'!DL64</f>
        <v>4684.4949247441764</v>
      </c>
      <c r="AM25" s="612">
        <f>AM26*AM7</f>
        <v>4856.4058281753723</v>
      </c>
      <c r="AN25" s="612">
        <f>AN26*AN7</f>
        <v>4995.5243847091733</v>
      </c>
      <c r="AO25" s="612">
        <f>AO26*AO7</f>
        <v>5128.4008509153909</v>
      </c>
      <c r="AP25" s="612">
        <f>AP26*AP7</f>
        <v>5233.066059381199</v>
      </c>
      <c r="AQ25" s="612"/>
      <c r="AR25" s="1289">
        <f>RATE(5,,-AE25,AJ25)*100</f>
        <v>8.149347537761626</v>
      </c>
      <c r="AS25" s="1264" t="s">
        <v>90</v>
      </c>
      <c r="AT25" s="1290">
        <f>RATE(6,,-AJ25,AP25)*100</f>
        <v>3.9279548270231612</v>
      </c>
      <c r="AU25" s="1270" t="s">
        <v>90</v>
      </c>
    </row>
    <row r="26" spans="1:52" x14ac:dyDescent="0.2">
      <c r="A26" s="607" t="s">
        <v>212</v>
      </c>
      <c r="B26" s="608"/>
      <c r="C26" s="608"/>
      <c r="D26" s="608"/>
      <c r="E26" s="608"/>
      <c r="F26" s="608"/>
      <c r="G26" s="608"/>
      <c r="H26" s="608"/>
      <c r="I26" s="608"/>
      <c r="J26" s="608"/>
      <c r="K26" s="608"/>
      <c r="L26" s="608"/>
      <c r="M26" s="608"/>
      <c r="N26" s="608"/>
      <c r="O26" s="608"/>
      <c r="P26" s="608"/>
      <c r="Q26" s="608"/>
      <c r="R26" s="608"/>
      <c r="S26" s="608"/>
      <c r="T26" s="608"/>
      <c r="U26" s="608"/>
      <c r="V26" s="608"/>
      <c r="W26" s="608"/>
      <c r="X26" s="608"/>
      <c r="Y26" s="608"/>
      <c r="Z26" s="608"/>
      <c r="AA26" s="608">
        <f t="shared" ref="AA26:AG26" si="22">IF(AA25=0,"NA",AA25/AA$7)</f>
        <v>0.2472865875968841</v>
      </c>
      <c r="AB26" s="608">
        <f t="shared" si="22"/>
        <v>0.25497117356169341</v>
      </c>
      <c r="AC26" s="608">
        <f t="shared" si="22"/>
        <v>0.25538871397432794</v>
      </c>
      <c r="AD26" s="608">
        <f t="shared" si="22"/>
        <v>0.25907626208378087</v>
      </c>
      <c r="AE26" s="608">
        <f t="shared" si="22"/>
        <v>0.26740973611508051</v>
      </c>
      <c r="AF26" s="608">
        <f t="shared" si="22"/>
        <v>0.2696820268661792</v>
      </c>
      <c r="AG26" s="608">
        <f t="shared" si="22"/>
        <v>0.26894624362978792</v>
      </c>
      <c r="AH26" s="608">
        <f>IF(AH25=0,"NA",AH25/AH$7)</f>
        <v>0.27373960796277935</v>
      </c>
      <c r="AI26" s="608">
        <f>IF(AI25=0,"NA",AI25/AI$7)</f>
        <v>0.28059595601277049</v>
      </c>
      <c r="AJ26" s="608">
        <f>IF(AJ25=0,"NA",AJ25/AJ$7)</f>
        <v>0.28643354714118213</v>
      </c>
      <c r="AK26" s="608">
        <f>IF(AK25=0,"NA",AK25/AK$7)</f>
        <v>0.2978133051463302</v>
      </c>
      <c r="AL26" s="608">
        <f>IF(AL25=0,"NA",AL25/AL$7)</f>
        <v>0.30569584758174173</v>
      </c>
      <c r="AM26" s="1135">
        <v>0.3075</v>
      </c>
      <c r="AN26" s="1135">
        <v>0.30840000000000001</v>
      </c>
      <c r="AO26" s="1135">
        <v>0.309</v>
      </c>
      <c r="AP26" s="1135">
        <v>0.30980000000000002</v>
      </c>
      <c r="AQ26" s="617"/>
      <c r="AR26" s="1291"/>
      <c r="AS26" s="1264"/>
      <c r="AT26" s="1264"/>
      <c r="AU26" s="1270"/>
    </row>
    <row r="27" spans="1:52" x14ac:dyDescent="0.2">
      <c r="A27" s="607" t="s">
        <v>210</v>
      </c>
      <c r="B27" s="614"/>
      <c r="C27" s="614"/>
      <c r="D27" s="614"/>
      <c r="E27" s="614"/>
      <c r="F27" s="614"/>
      <c r="G27" s="614"/>
      <c r="H27" s="614"/>
      <c r="I27" s="614"/>
      <c r="J27" s="614"/>
      <c r="K27" s="614"/>
      <c r="L27" s="614"/>
      <c r="M27" s="614"/>
      <c r="N27" s="614"/>
      <c r="O27" s="614"/>
      <c r="P27" s="614"/>
      <c r="Q27" s="614"/>
      <c r="R27" s="614"/>
      <c r="S27" s="614"/>
      <c r="T27" s="614"/>
      <c r="U27" s="614"/>
      <c r="V27" s="614"/>
      <c r="W27" s="614"/>
      <c r="X27" s="614"/>
      <c r="Y27" s="614"/>
      <c r="Z27" s="614"/>
      <c r="AA27" s="614"/>
      <c r="AB27" s="614">
        <f t="shared" ref="AB27:AM27" si="23">IF(ISERROR((AB26-AA26)*10000)=TRUE,"NM",(AB26-AA26)*10000)</f>
        <v>76.845859648093096</v>
      </c>
      <c r="AC27" s="614">
        <f t="shared" si="23"/>
        <v>4.1754041263453168</v>
      </c>
      <c r="AD27" s="614">
        <f t="shared" si="23"/>
        <v>36.87548109452932</v>
      </c>
      <c r="AE27" s="614">
        <f t="shared" si="23"/>
        <v>83.334740312996374</v>
      </c>
      <c r="AF27" s="614">
        <f t="shared" si="23"/>
        <v>22.722907510986936</v>
      </c>
      <c r="AG27" s="614">
        <f t="shared" si="23"/>
        <v>-7.3578323639128529</v>
      </c>
      <c r="AH27" s="614">
        <f t="shared" si="23"/>
        <v>47.933643329914347</v>
      </c>
      <c r="AI27" s="614">
        <f t="shared" si="23"/>
        <v>68.56348049991135</v>
      </c>
      <c r="AJ27" s="614">
        <f t="shared" si="23"/>
        <v>58.375911284116455</v>
      </c>
      <c r="AK27" s="614">
        <f t="shared" si="23"/>
        <v>113.79758005148067</v>
      </c>
      <c r="AL27" s="614">
        <f t="shared" si="23"/>
        <v>78.825424354115327</v>
      </c>
      <c r="AM27" s="618">
        <f t="shared" si="23"/>
        <v>18.041524182582648</v>
      </c>
      <c r="AN27" s="618">
        <f>IF(ISERROR((AN26-AM26)*10000)=TRUE,"NM",(AN26-AM26)*10000)</f>
        <v>9.000000000000119</v>
      </c>
      <c r="AO27" s="618">
        <f>IF(ISERROR((AO26-AN26)*10000)=TRUE,"NM",(AO26-AN26)*10000)</f>
        <v>5.9999999999998943</v>
      </c>
      <c r="AP27" s="618">
        <f>IF(ISERROR((AP26-AO26)*10000)=TRUE,"NM",(AP26-AO26)*10000)</f>
        <v>8.0000000000002292</v>
      </c>
      <c r="AQ27" s="618"/>
      <c r="AR27" s="1291"/>
      <c r="AS27" s="1264"/>
      <c r="AT27" s="1264"/>
      <c r="AU27" s="1270"/>
    </row>
    <row r="28" spans="1:52" x14ac:dyDescent="0.2">
      <c r="Q28" s="255"/>
      <c r="R28" s="255"/>
      <c r="S28" s="255"/>
      <c r="T28" s="255"/>
      <c r="U28" s="255"/>
      <c r="V28" s="255"/>
      <c r="W28" s="255"/>
      <c r="X28" s="255"/>
      <c r="Y28" s="255"/>
      <c r="Z28" s="255"/>
      <c r="AA28" s="255"/>
      <c r="AB28" s="255"/>
      <c r="AC28" s="255"/>
      <c r="AD28" s="255"/>
      <c r="AE28" s="255"/>
      <c r="AF28" s="255"/>
      <c r="AG28" s="255"/>
      <c r="AH28" s="255"/>
      <c r="AI28" s="619"/>
      <c r="AJ28" s="619"/>
      <c r="AL28" s="615"/>
      <c r="AM28" s="615">
        <f>AM25/AL25-1</f>
        <v>3.6697852424417698E-2</v>
      </c>
      <c r="AN28" s="615"/>
      <c r="AO28" s="615"/>
      <c r="AP28" s="615"/>
      <c r="AQ28" s="255"/>
      <c r="AR28" s="1303"/>
      <c r="AS28" s="1264"/>
      <c r="AT28" s="1264"/>
      <c r="AU28" s="1270"/>
      <c r="AZ28" s="254">
        <f>12.5*AL58</f>
        <v>41.217659450446853</v>
      </c>
    </row>
    <row r="29" spans="1:52" x14ac:dyDescent="0.2">
      <c r="A29" s="239" t="s">
        <v>314</v>
      </c>
      <c r="B29" s="610"/>
      <c r="C29" s="610"/>
      <c r="D29" s="610"/>
      <c r="E29" s="610"/>
      <c r="F29" s="610"/>
      <c r="G29" s="610"/>
      <c r="H29" s="610"/>
      <c r="I29" s="610"/>
      <c r="J29" s="612"/>
      <c r="K29" s="612"/>
      <c r="L29" s="612"/>
      <c r="M29" s="612"/>
      <c r="N29" s="612"/>
      <c r="O29" s="612"/>
      <c r="P29" s="612"/>
      <c r="Q29" s="612"/>
      <c r="R29" s="612"/>
      <c r="S29" s="612"/>
      <c r="T29" s="612"/>
      <c r="U29" s="612"/>
      <c r="V29" s="612"/>
      <c r="W29" s="612"/>
      <c r="X29" s="612"/>
      <c r="Y29" s="612"/>
      <c r="Z29" s="612"/>
      <c r="AA29" s="612">
        <f>INDEX('qtrP&amp;L'!74:74,MATCH(AA5,'qtrP&amp;L'!6:6,0))</f>
        <v>177</v>
      </c>
      <c r="AB29" s="612">
        <f>INDEX('qtrP&amp;L'!74:74,MATCH(AB5,'qtrP&amp;L'!6:6,0))</f>
        <v>274</v>
      </c>
      <c r="AC29" s="612">
        <f>INDEX('qtrP&amp;L'!74:74,MATCH(AC5,'qtrP&amp;L'!6:6,0))</f>
        <v>356</v>
      </c>
      <c r="AD29" s="612">
        <f>INDEX('qtrP&amp;L'!74:74,MATCH(AD5,'qtrP&amp;L'!6:6,0))</f>
        <v>273</v>
      </c>
      <c r="AE29" s="612">
        <f>INDEX('qtrP&amp;L'!74:74,MATCH(AE5,'qtrP&amp;L'!6:6,0))</f>
        <v>229</v>
      </c>
      <c r="AF29" s="612">
        <f>INDEX('qtrP&amp;L'!74:74,MATCH(AF5,'qtrP&amp;L'!6:6,0))</f>
        <v>190</v>
      </c>
      <c r="AG29" s="612">
        <f>INDEX('qtrP&amp;L'!74:74,MATCH(AG5,'qtrP&amp;L'!6:6,0))</f>
        <v>182</v>
      </c>
      <c r="AH29" s="612">
        <f>INDEX('qtrP&amp;L'!74:74,MATCH(AH5,'qtrP&amp;L'!6:6,0))</f>
        <v>193</v>
      </c>
      <c r="AI29" s="612">
        <f>INDEX('qtrP&amp;L'!74:74,MATCH(AI5,'qtrP&amp;L'!6:6,0))</f>
        <v>188</v>
      </c>
      <c r="AJ29" s="612">
        <f>INDEX('qtrP&amp;L'!74:74,MATCH(AJ5,'qtrP&amp;L'!6:6,0))</f>
        <v>163</v>
      </c>
      <c r="AK29" s="612">
        <f>'qtrP&amp;L'!DH74</f>
        <v>160</v>
      </c>
      <c r="AL29" s="612">
        <f>'qtrP&amp;L'!DL74</f>
        <v>164</v>
      </c>
      <c r="AM29" s="612">
        <f>AM30*AM11</f>
        <v>176.29999999999998</v>
      </c>
      <c r="AN29" s="612">
        <f>AN30*AN11</f>
        <v>189.52249999999998</v>
      </c>
      <c r="AO29" s="612">
        <f>AO30*AO11</f>
        <v>202.789075</v>
      </c>
      <c r="AP29" s="612">
        <f>AP30*AP11</f>
        <v>217.99825562499996</v>
      </c>
      <c r="AQ29" s="612"/>
      <c r="AR29" s="1289">
        <f>RATE(5,,-AE29,AJ29)*100</f>
        <v>-6.5734257688167945</v>
      </c>
      <c r="AS29" s="1264" t="s">
        <v>90</v>
      </c>
      <c r="AT29" s="1290">
        <f>RATE(6,,-AJ29,AP29)*100</f>
        <v>4.9649336730289111</v>
      </c>
      <c r="AU29" s="1270" t="s">
        <v>90</v>
      </c>
    </row>
    <row r="30" spans="1:52" x14ac:dyDescent="0.2">
      <c r="A30" s="607" t="s">
        <v>212</v>
      </c>
      <c r="B30" s="608"/>
      <c r="C30" s="608"/>
      <c r="D30" s="608"/>
      <c r="E30" s="608"/>
      <c r="F30" s="608"/>
      <c r="G30" s="608"/>
      <c r="H30" s="608"/>
      <c r="I30" s="608"/>
      <c r="J30" s="608"/>
      <c r="K30" s="608"/>
      <c r="L30" s="608"/>
      <c r="M30" s="608"/>
      <c r="N30" s="608"/>
      <c r="O30" s="608"/>
      <c r="P30" s="608"/>
      <c r="Q30" s="608"/>
      <c r="R30" s="608"/>
      <c r="S30" s="608"/>
      <c r="T30" s="608"/>
      <c r="U30" s="608"/>
      <c r="V30" s="608"/>
      <c r="W30" s="608"/>
      <c r="X30" s="608"/>
      <c r="Y30" s="608"/>
      <c r="Z30" s="608"/>
      <c r="AA30" s="608">
        <f t="shared" ref="AA30:AG30" si="24">IF(AA29=0,"NA",AA29/AA$11)</f>
        <v>0.65326670259018393</v>
      </c>
      <c r="AB30" s="608">
        <f t="shared" si="24"/>
        <v>0.89542483660130723</v>
      </c>
      <c r="AC30" s="608">
        <f t="shared" si="24"/>
        <v>0.964769647696477</v>
      </c>
      <c r="AD30" s="608">
        <f t="shared" si="24"/>
        <v>0.7</v>
      </c>
      <c r="AE30" s="608">
        <f t="shared" si="24"/>
        <v>0.60263157894736841</v>
      </c>
      <c r="AF30" s="608">
        <f t="shared" si="24"/>
        <v>0.510752688172043</v>
      </c>
      <c r="AG30" s="608">
        <f t="shared" si="24"/>
        <v>0.48663101604278075</v>
      </c>
      <c r="AH30" s="608">
        <f>IF(AH29=0,"NA",AH29/AH$11)</f>
        <v>0.48860759493670886</v>
      </c>
      <c r="AI30" s="608">
        <f>IF(AI29=0,"NA",AI29/AI$11)</f>
        <v>0.54970760233918126</v>
      </c>
      <c r="AJ30" s="608">
        <f>IF(AJ29=0,"NA",AJ29/AJ$11)</f>
        <v>0.62934362934362931</v>
      </c>
      <c r="AK30" s="608">
        <f>IF(AK29=0,"NA",AK29/AK$11)</f>
        <v>0.46920821114369504</v>
      </c>
      <c r="AL30" s="1318">
        <f>IF(AL29=0,"NA",AL29/AL$11)</f>
        <v>0.4372167422020794</v>
      </c>
      <c r="AM30" s="1135">
        <f>AL30</f>
        <v>0.4372167422020794</v>
      </c>
      <c r="AN30" s="1135">
        <f>AM30</f>
        <v>0.4372167422020794</v>
      </c>
      <c r="AO30" s="1135">
        <f>AN30</f>
        <v>0.4372167422020794</v>
      </c>
      <c r="AP30" s="1135">
        <f>AO30</f>
        <v>0.4372167422020794</v>
      </c>
      <c r="AQ30" s="617"/>
      <c r="AR30" s="1291"/>
      <c r="AS30" s="1264"/>
      <c r="AT30" s="1264"/>
      <c r="AU30" s="1270"/>
    </row>
    <row r="31" spans="1:52" x14ac:dyDescent="0.2">
      <c r="A31" s="607" t="s">
        <v>210</v>
      </c>
      <c r="B31" s="614"/>
      <c r="C31" s="614"/>
      <c r="D31" s="614"/>
      <c r="E31" s="614"/>
      <c r="F31" s="614"/>
      <c r="G31" s="614"/>
      <c r="H31" s="614"/>
      <c r="I31" s="614"/>
      <c r="J31" s="614"/>
      <c r="K31" s="614"/>
      <c r="L31" s="614"/>
      <c r="M31" s="614"/>
      <c r="N31" s="614"/>
      <c r="O31" s="614"/>
      <c r="P31" s="614"/>
      <c r="Q31" s="614"/>
      <c r="R31" s="614"/>
      <c r="S31" s="614"/>
      <c r="T31" s="614"/>
      <c r="U31" s="614"/>
      <c r="V31" s="614"/>
      <c r="W31" s="614"/>
      <c r="X31" s="614"/>
      <c r="Y31" s="614"/>
      <c r="Z31" s="614"/>
      <c r="AA31" s="614"/>
      <c r="AB31" s="614">
        <f t="shared" ref="AB31:AL31" si="25">IF(ISERROR((AB30-AA30)*10000)=TRUE,"NM",(AB30-AA30)*10000)</f>
        <v>2421.5813401112327</v>
      </c>
      <c r="AC31" s="614">
        <f t="shared" si="25"/>
        <v>693.44811095169769</v>
      </c>
      <c r="AD31" s="614">
        <f t="shared" si="25"/>
        <v>-2647.6964769647702</v>
      </c>
      <c r="AE31" s="614">
        <f t="shared" si="25"/>
        <v>-973.6842105263155</v>
      </c>
      <c r="AF31" s="614">
        <f t="shared" si="25"/>
        <v>-918.78890775325408</v>
      </c>
      <c r="AG31" s="614">
        <f t="shared" si="25"/>
        <v>-241.21672129262251</v>
      </c>
      <c r="AH31" s="614">
        <f t="shared" si="25"/>
        <v>19.765788939281048</v>
      </c>
      <c r="AI31" s="614">
        <f t="shared" si="25"/>
        <v>611.00007402472397</v>
      </c>
      <c r="AJ31" s="614">
        <f t="shared" si="25"/>
        <v>796.36027004448056</v>
      </c>
      <c r="AK31" s="614">
        <f t="shared" si="25"/>
        <v>-1601.3541819993427</v>
      </c>
      <c r="AL31" s="525">
        <f t="shared" si="25"/>
        <v>-319.91468941615642</v>
      </c>
      <c r="AM31" s="525">
        <v>0.1</v>
      </c>
      <c r="AN31" s="525">
        <v>0.1</v>
      </c>
      <c r="AO31" s="525">
        <v>0.1</v>
      </c>
      <c r="AP31" s="525">
        <v>0.1</v>
      </c>
      <c r="AQ31" s="525"/>
      <c r="AR31" s="1291"/>
      <c r="AS31" s="1264"/>
      <c r="AT31" s="1264"/>
      <c r="AU31" s="1270"/>
    </row>
    <row r="32" spans="1:52" ht="12.75" hidden="1" customHeight="1" outlineLevel="1" x14ac:dyDescent="0.2">
      <c r="A32" s="607" t="s">
        <v>332</v>
      </c>
      <c r="Q32" s="255"/>
      <c r="R32" s="255"/>
      <c r="S32" s="255"/>
      <c r="T32" s="255"/>
      <c r="U32" s="255"/>
      <c r="V32" s="255"/>
      <c r="W32" s="255"/>
      <c r="X32" s="255"/>
      <c r="Y32" s="255"/>
      <c r="Z32" s="255"/>
      <c r="AA32" s="255"/>
      <c r="AB32" s="612">
        <f t="shared" ref="AB32:AG32" si="26">AB11-AB29</f>
        <v>32</v>
      </c>
      <c r="AC32" s="612">
        <f t="shared" si="26"/>
        <v>13</v>
      </c>
      <c r="AD32" s="612">
        <f t="shared" si="26"/>
        <v>117</v>
      </c>
      <c r="AE32" s="612">
        <f t="shared" si="26"/>
        <v>151</v>
      </c>
      <c r="AF32" s="612">
        <f t="shared" si="26"/>
        <v>182</v>
      </c>
      <c r="AG32" s="612">
        <f t="shared" si="26"/>
        <v>192</v>
      </c>
      <c r="AH32" s="612">
        <f t="shared" ref="AH32:AM32" si="27">AH11-AH29</f>
        <v>202</v>
      </c>
      <c r="AI32" s="612">
        <f t="shared" si="27"/>
        <v>154</v>
      </c>
      <c r="AJ32" s="612">
        <f>AJ11-AJ29</f>
        <v>96</v>
      </c>
      <c r="AK32" s="612">
        <f>AK11-AK29</f>
        <v>181</v>
      </c>
      <c r="AL32" s="612">
        <f>AL11-AL29</f>
        <v>211.10000000000002</v>
      </c>
      <c r="AM32" s="612">
        <f t="shared" si="27"/>
        <v>226.93250000000003</v>
      </c>
      <c r="AN32" s="612">
        <f>AN11-AN29</f>
        <v>243.95243750000003</v>
      </c>
      <c r="AO32" s="612">
        <f>AO11-AO29</f>
        <v>261.02910812499999</v>
      </c>
      <c r="AP32" s="612">
        <f>AP11-AP29</f>
        <v>280.60629123437502</v>
      </c>
      <c r="AQ32" s="612"/>
      <c r="AR32" s="1291"/>
      <c r="AS32" s="1264"/>
      <c r="AT32" s="1264"/>
      <c r="AU32" s="1270"/>
    </row>
    <row r="33" spans="1:47" collapsed="1" x14ac:dyDescent="0.2">
      <c r="Q33" s="255"/>
      <c r="R33" s="255"/>
      <c r="S33" s="255"/>
      <c r="T33" s="255"/>
      <c r="U33" s="255"/>
      <c r="V33" s="255"/>
      <c r="W33" s="255"/>
      <c r="X33" s="255"/>
      <c r="Y33" s="255"/>
      <c r="Z33" s="255"/>
      <c r="AA33" s="255"/>
      <c r="AB33" s="255"/>
      <c r="AC33" s="255"/>
      <c r="AD33" s="255"/>
      <c r="AE33" s="612"/>
      <c r="AF33" s="532"/>
      <c r="AG33" s="532"/>
      <c r="AH33" s="532"/>
      <c r="AI33" s="532"/>
      <c r="AJ33" s="532"/>
      <c r="AK33" s="532"/>
      <c r="AL33" s="532"/>
      <c r="AM33" s="532"/>
      <c r="AN33" s="532"/>
      <c r="AO33" s="532"/>
      <c r="AP33" s="532"/>
      <c r="AQ33" s="612"/>
      <c r="AR33" s="1291"/>
      <c r="AS33" s="1264"/>
      <c r="AT33" s="1264"/>
      <c r="AU33" s="1270"/>
    </row>
    <row r="34" spans="1:47" x14ac:dyDescent="0.2">
      <c r="A34" s="239" t="s">
        <v>315</v>
      </c>
      <c r="B34" s="612">
        <f t="shared" ref="B34:AE34" si="28">B14-B17-B21</f>
        <v>31.200000000000074</v>
      </c>
      <c r="C34" s="612">
        <f t="shared" si="28"/>
        <v>47.599999999999966</v>
      </c>
      <c r="D34" s="612">
        <f t="shared" si="28"/>
        <v>40.000000000000057</v>
      </c>
      <c r="E34" s="612">
        <f t="shared" si="28"/>
        <v>44.600000000000193</v>
      </c>
      <c r="F34" s="612">
        <f t="shared" si="28"/>
        <v>76.190999999999804</v>
      </c>
      <c r="G34" s="612">
        <f t="shared" si="28"/>
        <v>88.034999999999911</v>
      </c>
      <c r="H34" s="612">
        <f t="shared" si="28"/>
        <v>238.40900000000011</v>
      </c>
      <c r="I34" s="612">
        <f t="shared" si="28"/>
        <v>228.53200000000015</v>
      </c>
      <c r="J34" s="612">
        <f t="shared" si="28"/>
        <v>230.54399999999987</v>
      </c>
      <c r="K34" s="612">
        <f t="shared" si="28"/>
        <v>266.32100000000048</v>
      </c>
      <c r="L34" s="612">
        <f t="shared" si="28"/>
        <v>273.52900000000022</v>
      </c>
      <c r="M34" s="612">
        <f t="shared" si="28"/>
        <v>268.56400000000008</v>
      </c>
      <c r="N34" s="612">
        <f t="shared" si="28"/>
        <v>366.22200000000043</v>
      </c>
      <c r="O34" s="612">
        <f t="shared" si="28"/>
        <v>311.23999999999978</v>
      </c>
      <c r="P34" s="612">
        <f t="shared" si="28"/>
        <v>282.90499999999997</v>
      </c>
      <c r="Q34" s="612">
        <f t="shared" si="28"/>
        <v>341.46299999999974</v>
      </c>
      <c r="R34" s="612">
        <f t="shared" si="28"/>
        <v>384.81400000000031</v>
      </c>
      <c r="S34" s="612">
        <f t="shared" si="28"/>
        <v>382.18700000000013</v>
      </c>
      <c r="T34" s="612">
        <f t="shared" si="28"/>
        <v>262.573000000001</v>
      </c>
      <c r="U34" s="612">
        <f t="shared" si="28"/>
        <v>279.52600000000052</v>
      </c>
      <c r="V34" s="612">
        <f t="shared" si="28"/>
        <v>330.71299999999974</v>
      </c>
      <c r="W34" s="612">
        <f t="shared" si="28"/>
        <v>489.14099999999894</v>
      </c>
      <c r="X34" s="612">
        <f t="shared" si="28"/>
        <v>724.73399999999992</v>
      </c>
      <c r="Y34" s="612">
        <f t="shared" si="28"/>
        <v>930.27699999999913</v>
      </c>
      <c r="Z34" s="612">
        <f t="shared" si="28"/>
        <v>1148.4109999999996</v>
      </c>
      <c r="AA34" s="612">
        <f t="shared" si="28"/>
        <v>1212.5820000000003</v>
      </c>
      <c r="AB34" s="612">
        <f t="shared" si="28"/>
        <v>779.55099999999993</v>
      </c>
      <c r="AC34" s="612">
        <f t="shared" si="28"/>
        <v>834</v>
      </c>
      <c r="AD34" s="612">
        <f t="shared" si="28"/>
        <v>1118</v>
      </c>
      <c r="AE34" s="612">
        <f t="shared" si="28"/>
        <v>1249</v>
      </c>
      <c r="AF34" s="612">
        <f>AF14-AF17-AF21</f>
        <v>1345</v>
      </c>
      <c r="AG34" s="612">
        <f>AG14-AG17-AG21</f>
        <v>1350</v>
      </c>
      <c r="AH34" s="612">
        <f t="shared" ref="AH34:AM34" si="29">AH14-AH17-AH21</f>
        <v>1323</v>
      </c>
      <c r="AI34" s="612">
        <f t="shared" si="29"/>
        <v>1129</v>
      </c>
      <c r="AJ34" s="612">
        <f t="shared" si="29"/>
        <v>1003</v>
      </c>
      <c r="AK34" s="612">
        <f t="shared" si="29"/>
        <v>926</v>
      </c>
      <c r="AL34" s="612">
        <f t="shared" si="29"/>
        <v>847.73563867596931</v>
      </c>
      <c r="AM34" s="612">
        <f t="shared" si="29"/>
        <v>812.85983731807028</v>
      </c>
      <c r="AN34" s="612">
        <f>AN14-AN17-AN21</f>
        <v>781.7326241807541</v>
      </c>
      <c r="AO34" s="612">
        <f>AO14-AO17-AO21</f>
        <v>750.63372010559578</v>
      </c>
      <c r="AP34" s="612">
        <f>AP14-AP17-AP21</f>
        <v>731.61618079369873</v>
      </c>
      <c r="AQ34" s="612"/>
      <c r="AR34" s="1293"/>
      <c r="AS34" s="1264"/>
      <c r="AT34" s="1290"/>
      <c r="AU34" s="1270"/>
    </row>
    <row r="35" spans="1:47" x14ac:dyDescent="0.2">
      <c r="A35" s="607" t="s">
        <v>37</v>
      </c>
      <c r="B35" s="608">
        <f>IF(B34=0,"NA",B34/B$14)</f>
        <v>5.3388090349076094E-2</v>
      </c>
      <c r="C35" s="608">
        <f t="shared" ref="C35:AK35" si="30">IF(C34=0,"NA",C34/C$14)</f>
        <v>6.3509006004002624E-2</v>
      </c>
      <c r="D35" s="608">
        <f t="shared" si="30"/>
        <v>4.2913850445231258E-2</v>
      </c>
      <c r="E35" s="608">
        <f t="shared" si="30"/>
        <v>3.5248557654311376E-2</v>
      </c>
      <c r="F35" s="608">
        <f t="shared" si="30"/>
        <v>4.8208757187085241E-2</v>
      </c>
      <c r="G35" s="608">
        <f t="shared" si="30"/>
        <v>4.7168193844211767E-2</v>
      </c>
      <c r="H35" s="608">
        <f t="shared" si="30"/>
        <v>9.9943490461709791E-2</v>
      </c>
      <c r="I35" s="608">
        <f t="shared" si="30"/>
        <v>8.3799913094974046E-2</v>
      </c>
      <c r="J35" s="608">
        <f t="shared" si="30"/>
        <v>7.7401056347958241E-2</v>
      </c>
      <c r="K35" s="608">
        <f t="shared" si="30"/>
        <v>8.1511956643833219E-2</v>
      </c>
      <c r="L35" s="608">
        <f t="shared" si="30"/>
        <v>7.7823860172036574E-2</v>
      </c>
      <c r="M35" s="608">
        <f t="shared" si="30"/>
        <v>7.3010158906734304E-2</v>
      </c>
      <c r="N35" s="608">
        <f t="shared" si="30"/>
        <v>9.1805164143889409E-2</v>
      </c>
      <c r="O35" s="608">
        <f t="shared" si="30"/>
        <v>7.3429109201381709E-2</v>
      </c>
      <c r="P35" s="608">
        <f t="shared" si="30"/>
        <v>6.1735520886706294E-2</v>
      </c>
      <c r="Q35" s="608">
        <f t="shared" si="30"/>
        <v>6.8840501551851133E-2</v>
      </c>
      <c r="R35" s="608">
        <f t="shared" si="30"/>
        <v>7.4939012028948676E-2</v>
      </c>
      <c r="S35" s="608">
        <f t="shared" si="30"/>
        <v>7.2579329607771553E-2</v>
      </c>
      <c r="T35" s="608">
        <f t="shared" si="30"/>
        <v>4.6398063874403636E-2</v>
      </c>
      <c r="U35" s="608">
        <f t="shared" si="30"/>
        <v>4.8461343754009262E-2</v>
      </c>
      <c r="V35" s="608">
        <f t="shared" si="30"/>
        <v>5.4358315205019068E-2</v>
      </c>
      <c r="W35" s="608">
        <f t="shared" si="30"/>
        <v>7.4071174448358951E-2</v>
      </c>
      <c r="X35" s="608">
        <f t="shared" si="30"/>
        <v>9.9219438266623133E-2</v>
      </c>
      <c r="Y35" s="608">
        <f t="shared" si="30"/>
        <v>0.1174745541273948</v>
      </c>
      <c r="Z35" s="608">
        <f>IF(Z34=0,"NA",Z34/Z$14)</f>
        <v>0.13051277368467643</v>
      </c>
      <c r="AA35" s="608">
        <f t="shared" si="30"/>
        <v>0.13326892895295625</v>
      </c>
      <c r="AB35" s="608">
        <f t="shared" si="30"/>
        <v>9.0677096661626141E-2</v>
      </c>
      <c r="AC35" s="608">
        <f t="shared" si="30"/>
        <v>9.6673235191839568E-2</v>
      </c>
      <c r="AD35" s="608">
        <f t="shared" si="30"/>
        <v>0.11525773195876289</v>
      </c>
      <c r="AE35" s="608">
        <f t="shared" si="30"/>
        <v>0.11482945665165027</v>
      </c>
      <c r="AF35" s="608">
        <f t="shared" si="30"/>
        <v>0.11084555793637713</v>
      </c>
      <c r="AG35" s="608">
        <f>IF(AG34=0,"NA",AG34/AG$14)</f>
        <v>0.1076555023923445</v>
      </c>
      <c r="AH35" s="608">
        <f>IF(AH34=0,"NA",AH34/AH$14)</f>
        <v>9.7956463793869394E-2</v>
      </c>
      <c r="AI35" s="608">
        <f>IF(AI34=0,"NA",AI34/AI$14)</f>
        <v>7.8201842488051537E-2</v>
      </c>
      <c r="AJ35" s="608">
        <f t="shared" si="30"/>
        <v>6.7963138636671638E-2</v>
      </c>
      <c r="AK35" s="608">
        <f t="shared" si="30"/>
        <v>5.9826851014342937E-2</v>
      </c>
      <c r="AL35" s="608">
        <f>IF(AL34=0,"NA",AL34/AL$14)</f>
        <v>5.3998863756290649E-2</v>
      </c>
      <c r="AM35" s="608">
        <f>IF(AM34=0,"NA",AM34/AM$14)</f>
        <v>5.0187617242078514E-2</v>
      </c>
      <c r="AN35" s="608">
        <f>IF(AN34=0,"NA",AN34/AN$14)</f>
        <v>4.7002644207798136E-2</v>
      </c>
      <c r="AO35" s="608">
        <f>IF(AO34=0,"NA",AO34/AO$14)</f>
        <v>4.3998123962547403E-2</v>
      </c>
      <c r="AP35" s="608">
        <f>IF(AP34=0,"NA",AP34/AP$14)</f>
        <v>4.2070213090377874E-2</v>
      </c>
      <c r="AQ35" s="608"/>
      <c r="AR35" s="1293"/>
      <c r="AS35" s="1264"/>
      <c r="AT35" s="1290"/>
      <c r="AU35" s="1270"/>
    </row>
    <row r="36" spans="1:47" x14ac:dyDescent="0.2">
      <c r="A36" s="504"/>
      <c r="Q36" s="504"/>
      <c r="R36" s="504"/>
      <c r="S36" s="504"/>
      <c r="T36" s="504"/>
      <c r="U36" s="504"/>
      <c r="V36" s="504"/>
      <c r="W36" s="504"/>
      <c r="X36" s="504"/>
      <c r="Y36" s="504"/>
      <c r="Z36" s="504"/>
      <c r="AA36" s="504"/>
      <c r="AB36" s="504"/>
      <c r="AC36" s="504"/>
      <c r="AD36" s="504"/>
      <c r="AE36" s="620"/>
      <c r="AF36" s="620"/>
      <c r="AG36" s="621"/>
      <c r="AH36" s="621"/>
      <c r="AI36" s="621"/>
      <c r="AJ36" s="621"/>
      <c r="AK36" s="621"/>
      <c r="AL36" s="621"/>
      <c r="AM36" s="621"/>
      <c r="AN36" s="621"/>
      <c r="AO36" s="621"/>
      <c r="AP36" s="621"/>
      <c r="AQ36" s="621"/>
      <c r="AR36" s="1293"/>
      <c r="AS36" s="1264"/>
      <c r="AT36" s="1290"/>
      <c r="AU36" s="1270"/>
    </row>
    <row r="37" spans="1:47" x14ac:dyDescent="0.2">
      <c r="A37" s="239" t="s">
        <v>453</v>
      </c>
      <c r="B37" s="622">
        <v>11.4</v>
      </c>
      <c r="C37" s="622">
        <v>12.1</v>
      </c>
      <c r="D37" s="622">
        <v>20.7</v>
      </c>
      <c r="E37" s="622">
        <v>30.5</v>
      </c>
      <c r="F37" s="622">
        <v>34.909999999999997</v>
      </c>
      <c r="G37" s="622">
        <v>32.951999999999998</v>
      </c>
      <c r="H37" s="622">
        <v>39.976999999999997</v>
      </c>
      <c r="I37" s="622">
        <v>49.121000000000002</v>
      </c>
      <c r="J37" s="612">
        <f>INDEX('qtrP&amp;L'!94:94,MATCH(J5,'qtrP&amp;L'!6:6,0))</f>
        <v>52.228000000000002</v>
      </c>
      <c r="K37" s="612">
        <f>INDEX('qtrP&amp;L'!94:94,MATCH(K5,'qtrP&amp;L'!6:6,0))</f>
        <v>49.106000000000002</v>
      </c>
      <c r="L37" s="612">
        <f>INDEX('qtrP&amp;L'!94:94,MATCH(L5,'qtrP&amp;L'!6:6,0))</f>
        <v>44.81</v>
      </c>
      <c r="M37" s="612">
        <f>INDEX('qtrP&amp;L'!94:94,MATCH(M5,'qtrP&amp;L'!6:6,0))</f>
        <v>37.646000000000001</v>
      </c>
      <c r="N37" s="612">
        <f>INDEX('qtrP&amp;L'!94:94,MATCH(N5,'qtrP&amp;L'!6:6,0))</f>
        <v>30.664000000000001</v>
      </c>
      <c r="O37" s="612">
        <f>INDEX('qtrP&amp;L'!94:94,MATCH(O5,'qtrP&amp;L'!6:6,0))</f>
        <v>38.929000000000002</v>
      </c>
      <c r="P37" s="612">
        <f>INDEX('qtrP&amp;L'!94:94,MATCH(P5,'qtrP&amp;L'!6:6,0))</f>
        <v>37.048000000000002</v>
      </c>
      <c r="Q37" s="612">
        <f>INDEX('qtrP&amp;L'!94:94,MATCH(Q5,'qtrP&amp;L'!6:6,0))</f>
        <v>34.25</v>
      </c>
      <c r="R37" s="612">
        <f>INDEX('qtrP&amp;L'!94:94,MATCH(R5,'qtrP&amp;L'!6:6,0))</f>
        <v>47.091000000000008</v>
      </c>
      <c r="S37" s="612">
        <f>INDEX('qtrP&amp;L'!94:94,MATCH(S5,'qtrP&amp;L'!6:6,0))</f>
        <v>50.396000000000001</v>
      </c>
      <c r="T37" s="612">
        <f>INDEX('qtrP&amp;L'!94:94,MATCH(T5,'qtrP&amp;L'!6:6,0))</f>
        <v>62.697999999999993</v>
      </c>
      <c r="U37" s="612">
        <f>INDEX('qtrP&amp;L'!94:94,MATCH(U5,'qtrP&amp;L'!6:6,0))</f>
        <v>75.037999999999997</v>
      </c>
      <c r="V37" s="612">
        <f>INDEX('qtrP&amp;L'!94:94,MATCH(V5,'qtrP&amp;L'!6:6,0))</f>
        <v>81.920999999999992</v>
      </c>
      <c r="W37" s="612">
        <f>INDEX('qtrP&amp;L'!94:94,MATCH(W5,'qtrP&amp;L'!6:6,0))</f>
        <v>90.951999999999998</v>
      </c>
      <c r="X37" s="612">
        <f>INDEX('qtrP&amp;L'!94:94,MATCH(X5,'qtrP&amp;L'!6:6,0))</f>
        <v>77.427999999999997</v>
      </c>
      <c r="Y37" s="612">
        <f>INDEX('qtrP&amp;L'!94:94,MATCH(Y5,'qtrP&amp;L'!6:6,0))</f>
        <v>45.3</v>
      </c>
      <c r="Z37" s="612">
        <f>INDEX('qtrP&amp;L'!94:94,MATCH(Z5,'qtrP&amp;L'!6:6,0))</f>
        <v>42.758000000000003</v>
      </c>
      <c r="AA37" s="612">
        <f>INDEX('qtrP&amp;L'!94:94,MATCH(AA5,'qtrP&amp;L'!6:6,0))</f>
        <v>74.430999999999997</v>
      </c>
      <c r="AB37" s="612">
        <f>INDEX('qtrP&amp;L'!94:94,MATCH(AB5,'qtrP&amp;L'!6:6,0))</f>
        <v>131</v>
      </c>
      <c r="AC37" s="612">
        <f>INDEX('qtrP&amp;L'!94:94,MATCH(AC5,'qtrP&amp;L'!6:6,0))</f>
        <v>138</v>
      </c>
      <c r="AD37" s="612">
        <f>INDEX('qtrP&amp;L'!94:94,MATCH(AD5,'qtrP&amp;L'!6:6,0))</f>
        <v>127</v>
      </c>
      <c r="AE37" s="612">
        <f>INDEX('qtrP&amp;L'!94:94,MATCH(AE5,'qtrP&amp;L'!6:6,0))</f>
        <v>130</v>
      </c>
      <c r="AF37" s="612">
        <f>INDEX('qtrP&amp;L'!94:94,MATCH(AF5,'qtrP&amp;L'!6:6,0))</f>
        <v>160</v>
      </c>
      <c r="AG37" s="612">
        <f>INDEX('qtrP&amp;L'!94:94,MATCH(AG5,'qtrP&amp;L'!6:6,0))</f>
        <v>161</v>
      </c>
      <c r="AH37" s="612">
        <f>INDEX('qtrP&amp;L'!94:94,MATCH(AH5,'qtrP&amp;L'!6:6,0))</f>
        <v>138</v>
      </c>
      <c r="AI37" s="612">
        <f>INDEX('qtrP&amp;L'!94:94,MATCH(AI5,'qtrP&amp;L'!6:6,0))</f>
        <v>125</v>
      </c>
      <c r="AJ37" s="612">
        <f>INDEX('qtrP&amp;L'!94:94,MATCH(AJ5,'qtrP&amp;L'!6:6,0))</f>
        <v>122</v>
      </c>
      <c r="AK37" s="612">
        <f>'qtrP&amp;L'!DH94</f>
        <v>136</v>
      </c>
      <c r="AL37" s="612">
        <f>'qtrP&amp;L'!DL94</f>
        <v>105</v>
      </c>
      <c r="AM37" s="1136">
        <f>AL37</f>
        <v>105</v>
      </c>
      <c r="AN37" s="1136">
        <f>AM37</f>
        <v>105</v>
      </c>
      <c r="AO37" s="1136">
        <f>AN37</f>
        <v>105</v>
      </c>
      <c r="AP37" s="1136">
        <f>AO37</f>
        <v>105</v>
      </c>
      <c r="AQ37" s="623"/>
      <c r="AR37" s="1289">
        <f>RATE(5,,-AE37,AJ37)*100</f>
        <v>-1.2622342621666496</v>
      </c>
      <c r="AS37" s="1264" t="s">
        <v>90</v>
      </c>
      <c r="AT37" s="1290">
        <f>RATE(6,,-AJ37,AP37)*100</f>
        <v>-2.4699953924638733</v>
      </c>
      <c r="AU37" s="1270" t="s">
        <v>90</v>
      </c>
    </row>
    <row r="38" spans="1:47" x14ac:dyDescent="0.2">
      <c r="A38" s="607" t="s">
        <v>206</v>
      </c>
      <c r="C38" s="608">
        <f t="shared" ref="C38:I38" si="31">C37/B37-1</f>
        <v>6.1403508771929793E-2</v>
      </c>
      <c r="D38" s="608">
        <f t="shared" si="31"/>
        <v>0.71074380165289264</v>
      </c>
      <c r="E38" s="608">
        <f t="shared" si="31"/>
        <v>0.47342995169082136</v>
      </c>
      <c r="F38" s="608">
        <f t="shared" si="31"/>
        <v>0.14459016393442603</v>
      </c>
      <c r="G38" s="608">
        <f t="shared" si="31"/>
        <v>-5.6087081065597233E-2</v>
      </c>
      <c r="H38" s="608">
        <f t="shared" si="31"/>
        <v>0.21318888079630982</v>
      </c>
      <c r="I38" s="608">
        <f t="shared" si="31"/>
        <v>0.2287315206243592</v>
      </c>
      <c r="J38" s="608">
        <f t="shared" ref="J38:AI38" si="32">J37/I37-1</f>
        <v>6.3251969626025417E-2</v>
      </c>
      <c r="K38" s="608">
        <f t="shared" si="32"/>
        <v>-5.9776365168109025E-2</v>
      </c>
      <c r="L38" s="608">
        <f t="shared" si="32"/>
        <v>-8.7484217814523646E-2</v>
      </c>
      <c r="M38" s="608">
        <f t="shared" si="32"/>
        <v>-0.15987502789555907</v>
      </c>
      <c r="N38" s="608">
        <f t="shared" si="32"/>
        <v>-0.18546459119162728</v>
      </c>
      <c r="O38" s="608">
        <f t="shared" si="32"/>
        <v>0.26953430733107231</v>
      </c>
      <c r="P38" s="608">
        <f t="shared" si="32"/>
        <v>-4.8318734105679551E-2</v>
      </c>
      <c r="Q38" s="608">
        <f t="shared" si="32"/>
        <v>-7.5523645001079776E-2</v>
      </c>
      <c r="R38" s="608">
        <f t="shared" si="32"/>
        <v>0.37491970802919727</v>
      </c>
      <c r="S38" s="608">
        <f t="shared" si="32"/>
        <v>7.0183262194474461E-2</v>
      </c>
      <c r="T38" s="608">
        <f t="shared" si="32"/>
        <v>0.24410667513294682</v>
      </c>
      <c r="U38" s="608">
        <f>U37/T37-1</f>
        <v>0.19681648537433416</v>
      </c>
      <c r="V38" s="608">
        <f t="shared" si="32"/>
        <v>9.1726858391748101E-2</v>
      </c>
      <c r="W38" s="608">
        <f t="shared" si="32"/>
        <v>0.11024035351130967</v>
      </c>
      <c r="X38" s="608">
        <f t="shared" si="32"/>
        <v>-0.14869381651860325</v>
      </c>
      <c r="Y38" s="608">
        <f t="shared" si="32"/>
        <v>-0.41494033166296429</v>
      </c>
      <c r="Z38" s="608">
        <f t="shared" si="32"/>
        <v>-5.6114790286975635E-2</v>
      </c>
      <c r="AA38" s="608">
        <f t="shared" si="32"/>
        <v>0.74075026895551699</v>
      </c>
      <c r="AB38" s="608">
        <f t="shared" si="32"/>
        <v>0.76001934677755245</v>
      </c>
      <c r="AC38" s="608">
        <f t="shared" si="32"/>
        <v>5.3435114503816772E-2</v>
      </c>
      <c r="AD38" s="608">
        <f t="shared" si="32"/>
        <v>-7.9710144927536253E-2</v>
      </c>
      <c r="AE38" s="608">
        <f t="shared" si="32"/>
        <v>2.3622047244094446E-2</v>
      </c>
      <c r="AF38" s="608">
        <f t="shared" si="32"/>
        <v>0.23076923076923084</v>
      </c>
      <c r="AG38" s="608">
        <f t="shared" si="32"/>
        <v>6.2500000000000888E-3</v>
      </c>
      <c r="AH38" s="608">
        <f t="shared" si="32"/>
        <v>-0.1428571428571429</v>
      </c>
      <c r="AI38" s="608">
        <f t="shared" si="32"/>
        <v>-9.4202898550724612E-2</v>
      </c>
      <c r="AJ38" s="608">
        <f t="shared" ref="AJ38:AP38" si="33">AJ37/AI37-1</f>
        <v>-2.4000000000000021E-2</v>
      </c>
      <c r="AK38" s="608">
        <f t="shared" si="33"/>
        <v>0.11475409836065564</v>
      </c>
      <c r="AL38" s="608">
        <f t="shared" si="33"/>
        <v>-0.2279411764705882</v>
      </c>
      <c r="AM38" s="608">
        <f t="shared" si="33"/>
        <v>0</v>
      </c>
      <c r="AN38" s="608">
        <f t="shared" si="33"/>
        <v>0</v>
      </c>
      <c r="AO38" s="608">
        <f t="shared" si="33"/>
        <v>0</v>
      </c>
      <c r="AP38" s="608">
        <f t="shared" si="33"/>
        <v>0</v>
      </c>
      <c r="AQ38" s="608"/>
      <c r="AR38" s="1291"/>
      <c r="AS38" s="1264"/>
      <c r="AT38" s="1264"/>
      <c r="AU38" s="1270"/>
    </row>
    <row r="39" spans="1:47" x14ac:dyDescent="0.2">
      <c r="A39" s="504"/>
      <c r="Q39" s="624"/>
      <c r="R39" s="624"/>
      <c r="S39" s="624"/>
      <c r="T39" s="624"/>
      <c r="U39" s="624"/>
      <c r="V39" s="624"/>
      <c r="W39" s="624"/>
      <c r="X39" s="624"/>
      <c r="Y39" s="624"/>
      <c r="Z39" s="624"/>
      <c r="AA39" s="624"/>
      <c r="AB39" s="624"/>
      <c r="AC39" s="624"/>
      <c r="AD39" s="624"/>
      <c r="AE39" s="624"/>
      <c r="AF39" s="624"/>
      <c r="AG39" s="624"/>
      <c r="AH39" s="624"/>
      <c r="AI39" s="624"/>
      <c r="AJ39" s="624"/>
      <c r="AK39" s="624"/>
      <c r="AL39" s="624"/>
      <c r="AM39" s="624"/>
      <c r="AN39" s="624"/>
      <c r="AO39" s="624"/>
      <c r="AP39" s="624"/>
      <c r="AQ39" s="624"/>
      <c r="AR39" s="1293"/>
      <c r="AS39" s="1264"/>
      <c r="AT39" s="1290"/>
      <c r="AU39" s="1270"/>
    </row>
    <row r="40" spans="1:47" x14ac:dyDescent="0.2">
      <c r="A40" s="362" t="s">
        <v>454</v>
      </c>
      <c r="B40" s="622">
        <v>0</v>
      </c>
      <c r="C40" s="622">
        <v>0</v>
      </c>
      <c r="D40" s="622">
        <v>0</v>
      </c>
      <c r="E40" s="622">
        <v>0</v>
      </c>
      <c r="F40" s="622">
        <v>0</v>
      </c>
      <c r="G40" s="622">
        <v>0</v>
      </c>
      <c r="H40" s="622">
        <v>0</v>
      </c>
      <c r="I40" s="622">
        <v>0</v>
      </c>
      <c r="J40" s="612">
        <f>INDEX('qtrP&amp;L'!104:104,MATCH(J5,'qtrP&amp;L'!6:6,0))</f>
        <v>0</v>
      </c>
      <c r="K40" s="612">
        <f>INDEX('qtrP&amp;L'!104:104,MATCH(K5,'qtrP&amp;L'!6:6,0))</f>
        <v>0</v>
      </c>
      <c r="L40" s="612">
        <f>INDEX('qtrP&amp;L'!104:104,MATCH(L5,'qtrP&amp;L'!6:6,0))</f>
        <v>0</v>
      </c>
      <c r="M40" s="612">
        <f>INDEX('qtrP&amp;L'!104:104,MATCH(M5,'qtrP&amp;L'!6:6,0))</f>
        <v>0</v>
      </c>
      <c r="N40" s="612">
        <f>INDEX('qtrP&amp;L'!104:104,MATCH(N5,'qtrP&amp;L'!6:6,0))</f>
        <v>0</v>
      </c>
      <c r="O40" s="612">
        <f>INDEX('qtrP&amp;L'!104:104,MATCH(O5,'qtrP&amp;L'!6:6,0))</f>
        <v>0</v>
      </c>
      <c r="P40" s="612">
        <f>INDEX('qtrP&amp;L'!104:104,MATCH(P5,'qtrP&amp;L'!6:6,0))</f>
        <v>0</v>
      </c>
      <c r="Q40" s="612">
        <f>INDEX('qtrP&amp;L'!104:104,MATCH(Q5,'qtrP&amp;L'!6:6,0))</f>
        <v>0</v>
      </c>
      <c r="R40" s="612">
        <f>INDEX('qtrP&amp;L'!104:104,MATCH(R5,'qtrP&amp;L'!6:6,0))</f>
        <v>0</v>
      </c>
      <c r="S40" s="612">
        <f>INDEX('qtrP&amp;L'!104:104,MATCH(S5,'qtrP&amp;L'!6:6,0))</f>
        <v>0</v>
      </c>
      <c r="T40" s="612">
        <f>INDEX('qtrP&amp;L'!104:104,MATCH(T5,'qtrP&amp;L'!6:6,0))</f>
        <v>32.856999999999999</v>
      </c>
      <c r="U40" s="612">
        <f>INDEX('qtrP&amp;L'!104:104,MATCH(U5,'qtrP&amp;L'!6:6,0))</f>
        <v>0</v>
      </c>
      <c r="V40" s="612">
        <f>INDEX('qtrP&amp;L'!104:104,MATCH(V5,'qtrP&amp;L'!6:6,0))</f>
        <v>16.100000000000001</v>
      </c>
      <c r="W40" s="612">
        <f>INDEX('qtrP&amp;L'!104:104,MATCH(W5,'qtrP&amp;L'!6:6,0))</f>
        <v>0</v>
      </c>
      <c r="X40" s="612">
        <f>INDEX('qtrP&amp;L'!104:104,MATCH(X5,'qtrP&amp;L'!6:6,0))</f>
        <v>0</v>
      </c>
      <c r="Y40" s="612">
        <f>INDEX('qtrP&amp;L'!104:104,MATCH(Y5,'qtrP&amp;L'!6:6,0))</f>
        <v>0</v>
      </c>
      <c r="Z40" s="612">
        <f>INDEX('qtrP&amp;L'!104:104,MATCH(Z5,'qtrP&amp;L'!6:6,0))</f>
        <v>0</v>
      </c>
      <c r="AA40" s="612">
        <f>INDEX('qtrP&amp;L'!104:104,MATCH(AA5,'qtrP&amp;L'!6:6,0))</f>
        <v>0</v>
      </c>
      <c r="AB40" s="612">
        <f>INDEX('qtrP&amp;L'!104:104,MATCH(AB5,'qtrP&amp;L'!6:6,0))</f>
        <v>0</v>
      </c>
      <c r="AC40" s="612">
        <f>INDEX('qtrP&amp;L'!104:104,MATCH(AC5,'qtrP&amp;L'!6:6,0))</f>
        <v>0</v>
      </c>
      <c r="AD40" s="612">
        <f>INDEX('qtrP&amp;L'!104:104,MATCH(AD5,'qtrP&amp;L'!6:6,0))</f>
        <v>0</v>
      </c>
      <c r="AE40" s="612">
        <f>INDEX('qtrP&amp;L'!104:104,MATCH(AE5,'qtrP&amp;L'!6:6,0))</f>
        <v>0</v>
      </c>
      <c r="AF40" s="612">
        <f>INDEX('qtrP&amp;L'!104:104,MATCH(AF5,'qtrP&amp;L'!6:6,0))</f>
        <v>0</v>
      </c>
      <c r="AG40" s="612">
        <f>INDEX('qtrP&amp;L'!104:104,MATCH(AG5,'qtrP&amp;L'!6:6,0))</f>
        <v>0</v>
      </c>
      <c r="AH40" s="612">
        <f>INDEX('qtrP&amp;L'!104:104,MATCH(AH5,'qtrP&amp;L'!6:6,0))</f>
        <v>0</v>
      </c>
      <c r="AI40" s="612">
        <f>INDEX('qtrP&amp;L'!104:104,MATCH(AI5,'qtrP&amp;L'!6:6,0))</f>
        <v>0</v>
      </c>
      <c r="AJ40" s="612">
        <f>'qtrP&amp;L'!DD104</f>
        <v>0</v>
      </c>
      <c r="AK40" s="612">
        <f>'qtrP&amp;L'!DH104</f>
        <v>0</v>
      </c>
      <c r="AL40" s="612">
        <f>'qtrP&amp;L'!DL104</f>
        <v>0</v>
      </c>
      <c r="AM40" s="525">
        <v>0</v>
      </c>
      <c r="AN40" s="525">
        <v>0</v>
      </c>
      <c r="AO40" s="525">
        <v>0</v>
      </c>
      <c r="AP40" s="525">
        <v>0</v>
      </c>
      <c r="AQ40" s="525"/>
      <c r="AR40" s="1293"/>
      <c r="AS40" s="1264"/>
      <c r="AT40" s="1290"/>
      <c r="AU40" s="1270"/>
    </row>
    <row r="41" spans="1:47" x14ac:dyDescent="0.2">
      <c r="A41" s="504"/>
      <c r="Q41" s="624"/>
      <c r="R41" s="624"/>
      <c r="S41" s="624"/>
      <c r="T41" s="624"/>
      <c r="U41" s="624"/>
      <c r="V41" s="624"/>
      <c r="W41" s="624"/>
      <c r="X41" s="624"/>
      <c r="Y41" s="624"/>
      <c r="Z41" s="624"/>
      <c r="AA41" s="624"/>
      <c r="AB41" s="624"/>
      <c r="AC41" s="624"/>
      <c r="AD41" s="624"/>
      <c r="AE41" s="624"/>
      <c r="AF41" s="624"/>
      <c r="AG41" s="624"/>
      <c r="AH41" s="624"/>
      <c r="AI41" s="624"/>
      <c r="AJ41" s="624"/>
      <c r="AK41" s="624"/>
      <c r="AL41" s="624"/>
      <c r="AM41" s="624"/>
      <c r="AN41" s="624"/>
      <c r="AO41" s="624"/>
      <c r="AP41" s="624"/>
      <c r="AQ41" s="624"/>
      <c r="AR41" s="1293"/>
      <c r="AS41" s="1264"/>
      <c r="AT41" s="1290"/>
      <c r="AU41" s="1270"/>
    </row>
    <row r="42" spans="1:47" x14ac:dyDescent="0.2">
      <c r="A42" s="239" t="s">
        <v>455</v>
      </c>
      <c r="B42" s="612">
        <f t="shared" ref="B42:L42" si="34">B34-B37-B40</f>
        <v>19.800000000000075</v>
      </c>
      <c r="C42" s="612">
        <f t="shared" si="34"/>
        <v>35.499999999999964</v>
      </c>
      <c r="D42" s="612">
        <f t="shared" si="34"/>
        <v>19.300000000000058</v>
      </c>
      <c r="E42" s="612">
        <f t="shared" si="34"/>
        <v>14.100000000000193</v>
      </c>
      <c r="F42" s="612">
        <f t="shared" si="34"/>
        <v>41.280999999999807</v>
      </c>
      <c r="G42" s="612">
        <f t="shared" si="34"/>
        <v>55.082999999999913</v>
      </c>
      <c r="H42" s="612">
        <f t="shared" si="34"/>
        <v>198.4320000000001</v>
      </c>
      <c r="I42" s="612">
        <f t="shared" si="34"/>
        <v>179.41100000000014</v>
      </c>
      <c r="J42" s="612">
        <f t="shared" si="34"/>
        <v>178.31599999999986</v>
      </c>
      <c r="K42" s="612">
        <f t="shared" si="34"/>
        <v>217.21500000000049</v>
      </c>
      <c r="L42" s="612">
        <f t="shared" si="34"/>
        <v>228.71900000000022</v>
      </c>
      <c r="M42" s="612">
        <f t="shared" ref="M42:AG42" si="35">M34-M37-M40</f>
        <v>230.91800000000006</v>
      </c>
      <c r="N42" s="612">
        <f t="shared" si="35"/>
        <v>335.55800000000045</v>
      </c>
      <c r="O42" s="612">
        <f t="shared" si="35"/>
        <v>272.31099999999981</v>
      </c>
      <c r="P42" s="612">
        <f t="shared" si="35"/>
        <v>245.85699999999997</v>
      </c>
      <c r="Q42" s="612">
        <f t="shared" si="35"/>
        <v>307.21299999999974</v>
      </c>
      <c r="R42" s="612">
        <f t="shared" si="35"/>
        <v>337.7230000000003</v>
      </c>
      <c r="S42" s="612">
        <f t="shared" si="35"/>
        <v>331.79100000000011</v>
      </c>
      <c r="T42" s="612">
        <f t="shared" si="35"/>
        <v>167.01800000000102</v>
      </c>
      <c r="U42" s="612">
        <f t="shared" si="35"/>
        <v>204.48800000000051</v>
      </c>
      <c r="V42" s="612">
        <f t="shared" si="35"/>
        <v>232.69199999999975</v>
      </c>
      <c r="W42" s="612">
        <f t="shared" si="35"/>
        <v>398.18899999999894</v>
      </c>
      <c r="X42" s="612">
        <f t="shared" si="35"/>
        <v>647.30599999999993</v>
      </c>
      <c r="Y42" s="612">
        <f t="shared" si="35"/>
        <v>884.97699999999918</v>
      </c>
      <c r="Z42" s="612">
        <f t="shared" si="35"/>
        <v>1105.6529999999996</v>
      </c>
      <c r="AA42" s="612">
        <f t="shared" si="35"/>
        <v>1138.1510000000003</v>
      </c>
      <c r="AB42" s="612">
        <f t="shared" si="35"/>
        <v>648.55099999999993</v>
      </c>
      <c r="AC42" s="612">
        <f t="shared" si="35"/>
        <v>696</v>
      </c>
      <c r="AD42" s="612">
        <f t="shared" si="35"/>
        <v>991</v>
      </c>
      <c r="AE42" s="612">
        <f t="shared" si="35"/>
        <v>1119</v>
      </c>
      <c r="AF42" s="612">
        <f t="shared" si="35"/>
        <v>1185</v>
      </c>
      <c r="AG42" s="612">
        <f t="shared" si="35"/>
        <v>1189</v>
      </c>
      <c r="AH42" s="612">
        <f t="shared" ref="AH42:AM42" si="36">AH34-AH37-AH40</f>
        <v>1185</v>
      </c>
      <c r="AI42" s="612">
        <f t="shared" si="36"/>
        <v>1004</v>
      </c>
      <c r="AJ42" s="612">
        <f>AJ34-AJ37-AJ40</f>
        <v>881</v>
      </c>
      <c r="AK42" s="612">
        <f>AK34-AK37-AK40</f>
        <v>790</v>
      </c>
      <c r="AL42" s="1364">
        <f t="shared" si="36"/>
        <v>742.73563867596931</v>
      </c>
      <c r="AM42" s="612">
        <f t="shared" si="36"/>
        <v>707.85983731807028</v>
      </c>
      <c r="AN42" s="612">
        <f>AN34-AN37-AN40</f>
        <v>676.7326241807541</v>
      </c>
      <c r="AO42" s="612">
        <f>AO34-AO37-AO40</f>
        <v>645.63372010559578</v>
      </c>
      <c r="AP42" s="612">
        <f>AP34-AP37-AP40</f>
        <v>626.61618079369873</v>
      </c>
      <c r="AQ42" s="612"/>
      <c r="AR42" s="1289">
        <f>RATE(5,,-AE42,AJ42)*100</f>
        <v>-4.6700940899179981</v>
      </c>
      <c r="AS42" s="1264" t="s">
        <v>90</v>
      </c>
      <c r="AT42" s="1290">
        <f>RATE(6,,-AJ42,AP42)*100</f>
        <v>-5.5204934991652905</v>
      </c>
      <c r="AU42" s="1270" t="s">
        <v>90</v>
      </c>
    </row>
    <row r="43" spans="1:47" x14ac:dyDescent="0.2">
      <c r="A43" s="607" t="s">
        <v>36</v>
      </c>
      <c r="B43" s="608">
        <f>IF(B42=0,"NA",B42/B$14)</f>
        <v>3.3880903490759874E-2</v>
      </c>
      <c r="C43" s="608">
        <f t="shared" ref="C43:AK43" si="37">IF(C42=0,"NA",C42/C$14)</f>
        <v>4.7364909939959926E-2</v>
      </c>
      <c r="D43" s="608">
        <f t="shared" si="37"/>
        <v>2.0705932839824113E-2</v>
      </c>
      <c r="E43" s="608">
        <f t="shared" si="37"/>
        <v>1.1143602307753252E-2</v>
      </c>
      <c r="F43" s="608">
        <f t="shared" si="37"/>
        <v>2.611995780919087E-2</v>
      </c>
      <c r="G43" s="608">
        <f t="shared" si="37"/>
        <v>2.9512871261665422E-2</v>
      </c>
      <c r="H43" s="608">
        <f t="shared" si="37"/>
        <v>8.3184723308675421E-2</v>
      </c>
      <c r="I43" s="608">
        <f t="shared" si="37"/>
        <v>6.5787838063301379E-2</v>
      </c>
      <c r="J43" s="608">
        <f t="shared" si="37"/>
        <v>5.9866432280790298E-2</v>
      </c>
      <c r="K43" s="608">
        <f t="shared" si="37"/>
        <v>6.6482251352278796E-2</v>
      </c>
      <c r="L43" s="608">
        <f t="shared" si="37"/>
        <v>6.5074619052049462E-2</v>
      </c>
      <c r="M43" s="608">
        <f t="shared" si="37"/>
        <v>6.2775948654418573E-2</v>
      </c>
      <c r="N43" s="608">
        <f t="shared" si="37"/>
        <v>8.4118259607001339E-2</v>
      </c>
      <c r="O43" s="608">
        <f t="shared" si="37"/>
        <v>6.4244808365690326E-2</v>
      </c>
      <c r="P43" s="608">
        <f t="shared" si="37"/>
        <v>5.3650907402283274E-2</v>
      </c>
      <c r="Q43" s="608">
        <f t="shared" si="37"/>
        <v>6.193554500267625E-2</v>
      </c>
      <c r="R43" s="608">
        <f t="shared" si="37"/>
        <v>6.5768469856742826E-2</v>
      </c>
      <c r="S43" s="608">
        <f t="shared" si="37"/>
        <v>6.3008863069366913E-2</v>
      </c>
      <c r="T43" s="608">
        <f t="shared" si="37"/>
        <v>2.9512980512753272E-2</v>
      </c>
      <c r="U43" s="608">
        <f t="shared" si="37"/>
        <v>3.5452026865371564E-2</v>
      </c>
      <c r="V43" s="608">
        <f t="shared" si="37"/>
        <v>3.8246894079417185E-2</v>
      </c>
      <c r="W43" s="608">
        <f t="shared" si="37"/>
        <v>6.029821029604468E-2</v>
      </c>
      <c r="X43" s="608">
        <f t="shared" si="37"/>
        <v>8.8619186772822517E-2</v>
      </c>
      <c r="Y43" s="608">
        <f t="shared" si="37"/>
        <v>0.11175411032197879</v>
      </c>
      <c r="Z43" s="608">
        <f t="shared" si="37"/>
        <v>0.12565348099485599</v>
      </c>
      <c r="AA43" s="608">
        <f t="shared" si="37"/>
        <v>0.12508858349929003</v>
      </c>
      <c r="AB43" s="608">
        <f t="shared" si="37"/>
        <v>7.5439222984762119E-2</v>
      </c>
      <c r="AC43" s="608">
        <f t="shared" si="37"/>
        <v>8.06769444766431E-2</v>
      </c>
      <c r="AD43" s="608">
        <f t="shared" si="37"/>
        <v>0.10216494845360825</v>
      </c>
      <c r="AE43" s="608">
        <f t="shared" si="37"/>
        <v>0.10287763169991726</v>
      </c>
      <c r="AF43" s="608">
        <f t="shared" si="37"/>
        <v>9.765946925993077E-2</v>
      </c>
      <c r="AG43" s="608">
        <f t="shared" si="37"/>
        <v>9.4816586921850077E-2</v>
      </c>
      <c r="AH43" s="608">
        <f>IF(AH42=0,"NA",AH42/AH$14)</f>
        <v>8.7738782763216353E-2</v>
      </c>
      <c r="AI43" s="608">
        <f>IF(AI42=0,"NA",AI42/AI$14)</f>
        <v>6.9543533975202604E-2</v>
      </c>
      <c r="AJ43" s="608">
        <f>IF(AJ42=0,"NA",AJ42/AJ$14)</f>
        <v>5.9696435831413472E-2</v>
      </c>
      <c r="AK43" s="608">
        <f t="shared" si="37"/>
        <v>5.1040186070551753E-2</v>
      </c>
      <c r="AL43" s="608">
        <f>IF(AL42=0,"NA",AL42/AL$14)</f>
        <v>4.7310598646585003E-2</v>
      </c>
      <c r="AM43" s="608">
        <f>IF(AM42=0,"NA",AM42/AM$14)</f>
        <v>4.3704703991246784E-2</v>
      </c>
      <c r="AN43" s="608">
        <f>IF(AN42=0,"NA",AN42/AN$14)</f>
        <v>4.0689388896251025E-2</v>
      </c>
      <c r="AO43" s="608">
        <f>IF(AO42=0,"NA",AO42/AO$14)</f>
        <v>3.784358694625458E-2</v>
      </c>
      <c r="AP43" s="608">
        <f>IF(AP42=0,"NA",AP42/AP$14)</f>
        <v>3.6032385482878189E-2</v>
      </c>
      <c r="AQ43" s="608"/>
      <c r="AR43" s="1291"/>
      <c r="AS43" s="1264"/>
      <c r="AT43" s="1264"/>
      <c r="AU43" s="1270"/>
    </row>
    <row r="44" spans="1:47" x14ac:dyDescent="0.2">
      <c r="A44" s="504"/>
      <c r="Q44" s="624"/>
      <c r="R44" s="624"/>
      <c r="S44" s="624"/>
      <c r="T44" s="624"/>
      <c r="U44" s="624"/>
      <c r="V44" s="624"/>
      <c r="W44" s="624"/>
      <c r="X44" s="624"/>
      <c r="Y44" s="624"/>
      <c r="Z44" s="624"/>
      <c r="AA44" s="624"/>
      <c r="AB44" s="624"/>
      <c r="AC44" s="624"/>
      <c r="AD44" s="624"/>
      <c r="AE44" s="624"/>
      <c r="AF44" s="624"/>
      <c r="AG44" s="624"/>
      <c r="AH44" s="624"/>
      <c r="AI44" s="624"/>
      <c r="AJ44" s="624"/>
      <c r="AK44" s="624"/>
      <c r="AL44" s="624"/>
      <c r="AM44" s="624"/>
      <c r="AN44" s="624"/>
      <c r="AO44" s="624"/>
      <c r="AP44" s="624"/>
      <c r="AQ44" s="624"/>
      <c r="AR44" s="1291"/>
      <c r="AS44" s="1264"/>
      <c r="AT44" s="1264"/>
      <c r="AU44" s="1270"/>
    </row>
    <row r="45" spans="1:47" x14ac:dyDescent="0.2">
      <c r="A45" s="239" t="s">
        <v>456</v>
      </c>
      <c r="B45" s="625">
        <v>21.3</v>
      </c>
      <c r="C45" s="625">
        <v>33.700000000000003</v>
      </c>
      <c r="D45" s="625">
        <v>31.8</v>
      </c>
      <c r="E45" s="625">
        <v>37.299999999999997</v>
      </c>
      <c r="F45" s="625">
        <v>67.3</v>
      </c>
      <c r="G45" s="625">
        <v>70</v>
      </c>
      <c r="H45" s="625">
        <v>75.099999999999994</v>
      </c>
      <c r="I45" s="625">
        <v>64.5</v>
      </c>
      <c r="J45" s="612">
        <f>INDEX('qtrP&amp;L'!124:124,MATCH(J5,'qtrP&amp;L'!6:6,0))</f>
        <v>62.5</v>
      </c>
      <c r="K45" s="612">
        <f>INDEX('qtrP&amp;L'!124:124,MATCH(K5,'qtrP&amp;L'!6:6,0))</f>
        <v>81.400000000000006</v>
      </c>
      <c r="L45" s="612">
        <f>INDEX('qtrP&amp;L'!124:124,MATCH(L5,'qtrP&amp;L'!6:6,0))</f>
        <v>88.034400000000005</v>
      </c>
      <c r="M45" s="612">
        <f>INDEX('qtrP&amp;L'!124:124,MATCH(M5,'qtrP&amp;L'!6:6,0))</f>
        <v>90.5</v>
      </c>
      <c r="N45" s="612">
        <f>INDEX('qtrP&amp;L'!124:124,MATCH(N5,'qtrP&amp;L'!6:6,0))</f>
        <v>132.6</v>
      </c>
      <c r="O45" s="612">
        <f>INDEX('qtrP&amp;L'!124:124,MATCH(O5,'qtrP&amp;L'!6:6,0))</f>
        <v>107.2</v>
      </c>
      <c r="P45" s="612">
        <f>INDEX('qtrP&amp;L'!124:124,MATCH(P5,'qtrP&amp;L'!6:6,0))</f>
        <v>96.9</v>
      </c>
      <c r="Q45" s="612">
        <f>INDEX('qtrP&amp;L'!124:124,MATCH(Q5,'qtrP&amp;L'!6:6,0))</f>
        <v>121.02800200000001</v>
      </c>
      <c r="R45" s="612">
        <f>INDEX('qtrP&amp;L'!124:124,MATCH(R5,'qtrP&amp;L'!6:6,0))</f>
        <v>130.92711899999995</v>
      </c>
      <c r="S45" s="612">
        <f>INDEX('qtrP&amp;L'!124:124,MATCH(S5,'qtrP&amp;L'!6:6,0))</f>
        <v>129.5</v>
      </c>
      <c r="T45" s="612">
        <f>INDEX('qtrP&amp;L'!124:124,MATCH(T5,'qtrP&amp;L'!6:6,0))</f>
        <v>65.099999999999994</v>
      </c>
      <c r="U45" s="612">
        <f>INDEX('qtrP&amp;L'!124:124,MATCH(U5,'qtrP&amp;L'!6:6,0))</f>
        <v>79.8</v>
      </c>
      <c r="V45" s="612">
        <f>INDEX('qtrP&amp;L'!124:124,MATCH(V5,'qtrP&amp;L'!6:6,0))</f>
        <v>89.283000000000001</v>
      </c>
      <c r="W45" s="612">
        <f>INDEX('qtrP&amp;L'!124:124,MATCH(W5,'qtrP&amp;L'!6:6,0))</f>
        <v>155.30000000000001</v>
      </c>
      <c r="X45" s="612">
        <f>INDEX('qtrP&amp;L'!124:124,MATCH(X5,'qtrP&amp;L'!6:6,0))</f>
        <v>253.83100000000002</v>
      </c>
      <c r="Y45" s="612">
        <f>INDEX('qtrP&amp;L'!124:124,MATCH(Y5,'qtrP&amp;L'!6:6,0))</f>
        <v>333.79678224168083</v>
      </c>
      <c r="Z45" s="612">
        <f>INDEX('qtrP&amp;L'!124:124,MATCH(Z5,'qtrP&amp;L'!6:6,0))</f>
        <v>427.65399999999994</v>
      </c>
      <c r="AA45" s="612">
        <f>INDEX('qtrP&amp;L'!124:124,MATCH(AA5,'qtrP&amp;L'!6:6,0))</f>
        <v>444.34500000000003</v>
      </c>
      <c r="AB45" s="612">
        <f>INDEX('qtrP&amp;L'!124:124,MATCH(AB5,'qtrP&amp;L'!6:6,0))</f>
        <v>254</v>
      </c>
      <c r="AC45" s="612">
        <f>INDEX('qtrP&amp;L'!124:124,MATCH(AC5,'qtrP&amp;L'!6:6,0))</f>
        <v>268</v>
      </c>
      <c r="AD45" s="612">
        <f>INDEX('qtrP&amp;L'!124:124,MATCH(AD5,'qtrP&amp;L'!6:6,0))</f>
        <v>378</v>
      </c>
      <c r="AE45" s="612">
        <f>INDEX('qtrP&amp;L'!124:124,MATCH(AE5,'qtrP&amp;L'!6:6,0))</f>
        <v>436</v>
      </c>
      <c r="AF45" s="612">
        <f>INDEX('qtrP&amp;L'!124:124,MATCH(AF5,'qtrP&amp;L'!6:6,0))</f>
        <v>450</v>
      </c>
      <c r="AG45" s="612">
        <f>INDEX('qtrP&amp;L'!124:124,MATCH(AG5,'qtrP&amp;L'!6:6,0))</f>
        <v>455</v>
      </c>
      <c r="AH45" s="612">
        <f>INDEX('qtrP&amp;L'!124:124,MATCH(AH5,'qtrP&amp;L'!6:6,0))</f>
        <v>464.5</v>
      </c>
      <c r="AI45" s="612">
        <f>INDEX('qtrP&amp;L'!124:124,MATCH(AI5,'qtrP&amp;L'!6:6,0))</f>
        <v>374.26</v>
      </c>
      <c r="AJ45" s="612">
        <f>INDEX('qtrP&amp;L'!124:124,MATCH(AJ5,'qtrP&amp;L'!6:6,0))</f>
        <v>330.03999999999996</v>
      </c>
      <c r="AK45" s="612">
        <f>'qtrP&amp;L'!DH124</f>
        <v>309.64999999999998</v>
      </c>
      <c r="AL45" s="1363">
        <f>'qtrP&amp;L'!DL124</f>
        <v>204.19806559426587</v>
      </c>
      <c r="AM45" s="612">
        <f>AM46*AM42</f>
        <v>194.60976687464597</v>
      </c>
      <c r="AN45" s="612">
        <f>AN46*AN42</f>
        <v>186.05205619132525</v>
      </c>
      <c r="AO45" s="612">
        <f>AO46*AO42</f>
        <v>177.50212843295174</v>
      </c>
      <c r="AP45" s="612">
        <f>AP46*AP42</f>
        <v>172.2736937953263</v>
      </c>
      <c r="AQ45" s="612"/>
      <c r="AR45" s="1289">
        <f>RATE(5,,-AE45,AJ45)*100</f>
        <v>-5.4163612529002343</v>
      </c>
      <c r="AS45" s="1264" t="s">
        <v>90</v>
      </c>
      <c r="AT45" s="1290">
        <f>RATE(6,,-AJ45,AP45)*100</f>
        <v>-10.269091569518569</v>
      </c>
      <c r="AU45" s="1270" t="s">
        <v>90</v>
      </c>
    </row>
    <row r="46" spans="1:47" x14ac:dyDescent="0.2">
      <c r="A46" s="607" t="s">
        <v>21</v>
      </c>
      <c r="B46" s="626">
        <f t="shared" ref="B46:AG46" si="38">B45/B42</f>
        <v>1.0757575757575717</v>
      </c>
      <c r="C46" s="626">
        <f t="shared" si="38"/>
        <v>0.94929577464788839</v>
      </c>
      <c r="D46" s="626">
        <f t="shared" si="38"/>
        <v>1.6476683937823786</v>
      </c>
      <c r="E46" s="626">
        <f t="shared" si="38"/>
        <v>2.6453900709219496</v>
      </c>
      <c r="F46" s="626">
        <f t="shared" si="38"/>
        <v>1.6302899639059207</v>
      </c>
      <c r="G46" s="626">
        <f t="shared" si="38"/>
        <v>1.2708095056551043</v>
      </c>
      <c r="H46" s="626">
        <f t="shared" si="38"/>
        <v>0.37846718271246549</v>
      </c>
      <c r="I46" s="626">
        <f t="shared" si="38"/>
        <v>0.35950972905786127</v>
      </c>
      <c r="J46" s="626">
        <f t="shared" si="38"/>
        <v>0.35050135714125513</v>
      </c>
      <c r="K46" s="626">
        <f t="shared" si="38"/>
        <v>0.37474391731694323</v>
      </c>
      <c r="L46" s="626">
        <f t="shared" si="38"/>
        <v>0.38490199764776833</v>
      </c>
      <c r="M46" s="626">
        <f t="shared" si="38"/>
        <v>0.39191401276643645</v>
      </c>
      <c r="N46" s="626">
        <f t="shared" si="38"/>
        <v>0.39516268424534601</v>
      </c>
      <c r="O46" s="626">
        <f t="shared" si="38"/>
        <v>0.39366753454689701</v>
      </c>
      <c r="P46" s="626">
        <f t="shared" si="38"/>
        <v>0.39413154801368283</v>
      </c>
      <c r="Q46" s="626">
        <f t="shared" si="38"/>
        <v>0.39395468941744038</v>
      </c>
      <c r="R46" s="626">
        <f t="shared" si="38"/>
        <v>0.38767605108328373</v>
      </c>
      <c r="S46" s="626">
        <f t="shared" si="38"/>
        <v>0.39030594561033893</v>
      </c>
      <c r="T46" s="626">
        <f t="shared" si="38"/>
        <v>0.38977834724400723</v>
      </c>
      <c r="U46" s="626">
        <f t="shared" si="38"/>
        <v>0.39024294824146061</v>
      </c>
      <c r="V46" s="626">
        <f t="shared" si="38"/>
        <v>0.38369604455675355</v>
      </c>
      <c r="W46" s="626">
        <f t="shared" si="38"/>
        <v>0.39001579651873963</v>
      </c>
      <c r="X46" s="626">
        <f t="shared" si="38"/>
        <v>0.39213447735692247</v>
      </c>
      <c r="Y46" s="626">
        <f t="shared" si="38"/>
        <v>0.37718130780989917</v>
      </c>
      <c r="Z46" s="626">
        <f t="shared" si="38"/>
        <v>0.38678862174660594</v>
      </c>
      <c r="AA46" s="626">
        <f t="shared" si="38"/>
        <v>0.39040953265427863</v>
      </c>
      <c r="AB46" s="626">
        <f t="shared" si="38"/>
        <v>0.39164229181668059</v>
      </c>
      <c r="AC46" s="626">
        <f t="shared" si="38"/>
        <v>0.38505747126436779</v>
      </c>
      <c r="AD46" s="608">
        <f t="shared" si="38"/>
        <v>0.38143289606458125</v>
      </c>
      <c r="AE46" s="608">
        <f t="shared" si="38"/>
        <v>0.3896336014298481</v>
      </c>
      <c r="AF46" s="608">
        <f t="shared" si="38"/>
        <v>0.379746835443038</v>
      </c>
      <c r="AG46" s="608">
        <f t="shared" si="38"/>
        <v>0.3826745164003364</v>
      </c>
      <c r="AH46" s="608">
        <f>AH45/AH42</f>
        <v>0.3919831223628692</v>
      </c>
      <c r="AI46" s="608">
        <f>AI45/AI42</f>
        <v>0.37276892430278885</v>
      </c>
      <c r="AJ46" s="608">
        <f>AJ45/AJ42</f>
        <v>0.37461975028376843</v>
      </c>
      <c r="AK46" s="608">
        <f>AK45/AK42</f>
        <v>0.39196202531645569</v>
      </c>
      <c r="AL46" s="608">
        <f>AL45/AL42</f>
        <v>0.27492697934661869</v>
      </c>
      <c r="AM46" s="1137">
        <f>AL46</f>
        <v>0.27492697934661869</v>
      </c>
      <c r="AN46" s="1137">
        <f>AM46</f>
        <v>0.27492697934661869</v>
      </c>
      <c r="AO46" s="1137">
        <f>AN46</f>
        <v>0.27492697934661869</v>
      </c>
      <c r="AP46" s="1137">
        <f>AO46</f>
        <v>0.27492697934661869</v>
      </c>
      <c r="AQ46" s="627"/>
      <c r="AR46" s="1291"/>
      <c r="AS46" s="1264"/>
      <c r="AT46" s="1264"/>
      <c r="AU46" s="1270"/>
    </row>
    <row r="47" spans="1:47" x14ac:dyDescent="0.2">
      <c r="A47" s="607"/>
      <c r="B47" s="626"/>
      <c r="C47" s="626"/>
      <c r="D47" s="626"/>
      <c r="E47" s="626"/>
      <c r="F47" s="626"/>
      <c r="G47" s="626"/>
      <c r="H47" s="626"/>
      <c r="I47" s="626"/>
      <c r="J47" s="626"/>
      <c r="K47" s="626"/>
      <c r="L47" s="626"/>
      <c r="M47" s="626"/>
      <c r="N47" s="626"/>
      <c r="O47" s="626"/>
      <c r="P47" s="626"/>
      <c r="Q47" s="626"/>
      <c r="R47" s="626"/>
      <c r="S47" s="626"/>
      <c r="T47" s="626"/>
      <c r="U47" s="626"/>
      <c r="V47" s="626"/>
      <c r="W47" s="626"/>
      <c r="X47" s="626"/>
      <c r="Y47" s="626"/>
      <c r="Z47" s="626"/>
      <c r="AA47" s="626"/>
      <c r="AB47" s="626"/>
      <c r="AC47" s="626"/>
      <c r="AD47" s="626"/>
      <c r="AE47" s="626"/>
      <c r="AF47" s="626"/>
      <c r="AG47" s="627"/>
      <c r="AH47" s="627"/>
      <c r="AI47" s="627"/>
      <c r="AJ47" s="627"/>
      <c r="AK47" s="627"/>
      <c r="AL47" s="627"/>
      <c r="AM47" s="627"/>
      <c r="AN47" s="627"/>
      <c r="AO47" s="627"/>
      <c r="AP47" s="627"/>
      <c r="AQ47" s="627"/>
      <c r="AR47" s="1291"/>
      <c r="AS47" s="1264"/>
      <c r="AT47" s="1264"/>
      <c r="AU47" s="1270"/>
    </row>
    <row r="48" spans="1:47" x14ac:dyDescent="0.2">
      <c r="A48" s="239" t="s">
        <v>445</v>
      </c>
      <c r="B48" s="622">
        <v>0</v>
      </c>
      <c r="C48" s="622">
        <v>0</v>
      </c>
      <c r="D48" s="622">
        <v>0</v>
      </c>
      <c r="E48" s="622">
        <v>0</v>
      </c>
      <c r="F48" s="622">
        <v>0</v>
      </c>
      <c r="G48" s="622">
        <v>0</v>
      </c>
      <c r="H48" s="622">
        <v>0</v>
      </c>
      <c r="I48" s="622">
        <v>0</v>
      </c>
      <c r="J48" s="612">
        <f>INDEX('qtrP&amp;L'!134:134,MATCH(J5,'qtrP&amp;L'!6:6,0))</f>
        <v>0</v>
      </c>
      <c r="K48" s="612">
        <f>INDEX('qtrP&amp;L'!134:134,MATCH(K5,'qtrP&amp;L'!6:6,0))</f>
        <v>0</v>
      </c>
      <c r="L48" s="612">
        <f>INDEX('qtrP&amp;L'!134:134,MATCH(L5,'qtrP&amp;L'!6:6,0))</f>
        <v>0</v>
      </c>
      <c r="M48" s="612">
        <f>INDEX('qtrP&amp;L'!134:134,MATCH(M5,'qtrP&amp;L'!6:6,0))</f>
        <v>0</v>
      </c>
      <c r="N48" s="612">
        <f>INDEX('qtrP&amp;L'!134:134,MATCH(N5,'qtrP&amp;L'!6:6,0))</f>
        <v>0</v>
      </c>
      <c r="O48" s="612">
        <f>INDEX('qtrP&amp;L'!134:134,MATCH(O5,'qtrP&amp;L'!6:6,0))</f>
        <v>0</v>
      </c>
      <c r="P48" s="612">
        <f>INDEX('qtrP&amp;L'!134:134,MATCH(P5,'qtrP&amp;L'!6:6,0))</f>
        <v>0</v>
      </c>
      <c r="Q48" s="612">
        <f>INDEX('qtrP&amp;L'!134:134,MATCH(Q5,'qtrP&amp;L'!6:6,0))</f>
        <v>0</v>
      </c>
      <c r="R48" s="612">
        <f>INDEX('qtrP&amp;L'!134:134,MATCH(R5,'qtrP&amp;L'!6:6,0))</f>
        <v>0</v>
      </c>
      <c r="S48" s="612">
        <f>INDEX('qtrP&amp;L'!134:134,MATCH(S5,'qtrP&amp;L'!6:6,0))</f>
        <v>0</v>
      </c>
      <c r="T48" s="612">
        <f>INDEX('qtrP&amp;L'!134:134,MATCH(T5,'qtrP&amp;L'!6:6,0))</f>
        <v>0</v>
      </c>
      <c r="U48" s="612">
        <f>INDEX('qtrP&amp;L'!134:134,MATCH(U5,'qtrP&amp;L'!6:6,0))</f>
        <v>0</v>
      </c>
      <c r="V48" s="612">
        <f>INDEX('qtrP&amp;L'!134:134,MATCH(V5,'qtrP&amp;L'!6:6,0))</f>
        <v>53.167999999999999</v>
      </c>
      <c r="W48" s="612">
        <f>INDEX('qtrP&amp;L'!134:134,MATCH(W5,'qtrP&amp;L'!6:6,0))</f>
        <v>0</v>
      </c>
      <c r="X48" s="612">
        <f>INDEX('qtrP&amp;L'!134:134,MATCH(X5,'qtrP&amp;L'!6:6,0))</f>
        <v>0</v>
      </c>
      <c r="Y48" s="612">
        <f>INDEX('qtrP&amp;L'!134:134,MATCH(Y5,'qtrP&amp;L'!6:6,0))</f>
        <v>0</v>
      </c>
      <c r="Z48" s="612">
        <f>INDEX('qtrP&amp;L'!134:134,MATCH(Z5,'qtrP&amp;L'!6:6,0))</f>
        <v>0</v>
      </c>
      <c r="AA48" s="612">
        <f>INDEX('qtrP&amp;L'!134:134,MATCH(AA5,'qtrP&amp;L'!6:6,0))</f>
        <v>0</v>
      </c>
      <c r="AB48" s="612">
        <f>INDEX('qtrP&amp;L'!134:134,MATCH(AB5,'qtrP&amp;L'!6:6,0))</f>
        <v>0</v>
      </c>
      <c r="AC48" s="612">
        <f>INDEX('qtrP&amp;L'!134:134,MATCH(AC5,'qtrP&amp;L'!6:6,0))</f>
        <v>0</v>
      </c>
      <c r="AD48" s="612">
        <f>INDEX('qtrP&amp;L'!134:134,MATCH(AD5,'qtrP&amp;L'!6:6,0))</f>
        <v>0</v>
      </c>
      <c r="AE48" s="612">
        <f>INDEX('qtrP&amp;L'!134:134,MATCH(AE5,'qtrP&amp;L'!6:6,0))</f>
        <v>0</v>
      </c>
      <c r="AF48" s="612">
        <f>INDEX('qtrP&amp;L'!134:134,MATCH(AF5,'qtrP&amp;L'!6:6,0))</f>
        <v>0</v>
      </c>
      <c r="AG48" s="612">
        <f t="shared" ref="AG48:AL48" si="39">AG49*AG45</f>
        <v>0</v>
      </c>
      <c r="AH48" s="612">
        <f>AH49*AH45</f>
        <v>0</v>
      </c>
      <c r="AI48" s="612">
        <f>AI49*AI45</f>
        <v>0</v>
      </c>
      <c r="AJ48" s="612">
        <f t="shared" si="39"/>
        <v>0</v>
      </c>
      <c r="AK48" s="612">
        <f t="shared" si="39"/>
        <v>0</v>
      </c>
      <c r="AL48" s="612">
        <f t="shared" si="39"/>
        <v>0</v>
      </c>
      <c r="AM48" s="612">
        <f>AM49*AM45</f>
        <v>0</v>
      </c>
      <c r="AN48" s="612">
        <f>AN49*AN45</f>
        <v>0</v>
      </c>
      <c r="AO48" s="612">
        <f>AO49*AO45</f>
        <v>0</v>
      </c>
      <c r="AP48" s="612">
        <f>AP49*AP45</f>
        <v>0</v>
      </c>
      <c r="AQ48" s="612"/>
      <c r="AR48" s="1293"/>
      <c r="AS48" s="1264"/>
      <c r="AT48" s="1290"/>
      <c r="AU48" s="1270"/>
    </row>
    <row r="49" spans="1:51" x14ac:dyDescent="0.2">
      <c r="A49" s="504"/>
      <c r="Q49" s="504"/>
      <c r="R49" s="504"/>
      <c r="S49" s="504"/>
      <c r="T49" s="504"/>
      <c r="U49" s="504"/>
      <c r="V49" s="504"/>
      <c r="W49" s="504"/>
      <c r="X49" s="504"/>
      <c r="Y49" s="504"/>
      <c r="Z49" s="504"/>
      <c r="AA49" s="504"/>
      <c r="AB49" s="504"/>
      <c r="AC49" s="504"/>
      <c r="AD49" s="504"/>
      <c r="AE49" s="504"/>
      <c r="AF49" s="504"/>
      <c r="AG49" s="504"/>
      <c r="AH49" s="504"/>
      <c r="AI49" s="504"/>
      <c r="AJ49" s="504"/>
      <c r="AK49" s="504"/>
      <c r="AL49" s="504"/>
      <c r="AM49" s="504"/>
      <c r="AN49" s="504"/>
      <c r="AO49" s="504"/>
      <c r="AP49" s="504"/>
      <c r="AQ49" s="504"/>
      <c r="AR49" s="1291"/>
      <c r="AS49" s="1264"/>
      <c r="AT49" s="1264"/>
      <c r="AU49" s="1270"/>
    </row>
    <row r="50" spans="1:51" x14ac:dyDescent="0.2">
      <c r="A50" s="239" t="s">
        <v>457</v>
      </c>
      <c r="B50" s="612">
        <f>B42-B45-B48</f>
        <v>-1.4999999999999254</v>
      </c>
      <c r="C50" s="612">
        <f t="shared" ref="C50:AH50" si="40">C42-C45-C48</f>
        <v>1.7999999999999616</v>
      </c>
      <c r="D50" s="612">
        <f t="shared" si="40"/>
        <v>-12.499999999999943</v>
      </c>
      <c r="E50" s="612">
        <f t="shared" si="40"/>
        <v>-23.199999999999804</v>
      </c>
      <c r="F50" s="612">
        <f t="shared" si="40"/>
        <v>-26.01900000000019</v>
      </c>
      <c r="G50" s="612">
        <f t="shared" si="40"/>
        <v>-14.917000000000087</v>
      </c>
      <c r="H50" s="612">
        <f t="shared" si="40"/>
        <v>123.33200000000011</v>
      </c>
      <c r="I50" s="612">
        <f t="shared" si="40"/>
        <v>114.91100000000014</v>
      </c>
      <c r="J50" s="612">
        <f t="shared" si="40"/>
        <v>115.81599999999986</v>
      </c>
      <c r="K50" s="612">
        <f t="shared" si="40"/>
        <v>135.81500000000048</v>
      </c>
      <c r="L50" s="612">
        <f t="shared" si="40"/>
        <v>140.68460000000022</v>
      </c>
      <c r="M50" s="612">
        <f t="shared" si="40"/>
        <v>140.41800000000006</v>
      </c>
      <c r="N50" s="612">
        <f t="shared" si="40"/>
        <v>202.95800000000045</v>
      </c>
      <c r="O50" s="612">
        <f t="shared" si="40"/>
        <v>165.11099999999982</v>
      </c>
      <c r="P50" s="612">
        <f t="shared" si="40"/>
        <v>148.95699999999997</v>
      </c>
      <c r="Q50" s="612">
        <f t="shared" si="40"/>
        <v>186.18499799999972</v>
      </c>
      <c r="R50" s="612">
        <f t="shared" si="40"/>
        <v>206.79588100000035</v>
      </c>
      <c r="S50" s="612">
        <f>S42-S45-S48-0.24</f>
        <v>202.0510000000001</v>
      </c>
      <c r="T50" s="612">
        <f t="shared" si="40"/>
        <v>101.91800000000103</v>
      </c>
      <c r="U50" s="612">
        <f t="shared" si="40"/>
        <v>124.68800000000051</v>
      </c>
      <c r="V50" s="612">
        <f t="shared" si="40"/>
        <v>90.240999999999758</v>
      </c>
      <c r="W50" s="612">
        <f t="shared" si="40"/>
        <v>242.88899999999893</v>
      </c>
      <c r="X50" s="612">
        <f t="shared" si="40"/>
        <v>393.47499999999991</v>
      </c>
      <c r="Y50" s="612">
        <f t="shared" si="40"/>
        <v>551.18021775831835</v>
      </c>
      <c r="Z50" s="612">
        <f t="shared" si="40"/>
        <v>677.99899999999957</v>
      </c>
      <c r="AA50" s="612">
        <f t="shared" si="40"/>
        <v>693.80600000000027</v>
      </c>
      <c r="AB50" s="612">
        <f t="shared" si="40"/>
        <v>394.55099999999993</v>
      </c>
      <c r="AC50" s="612">
        <f t="shared" si="40"/>
        <v>428</v>
      </c>
      <c r="AD50" s="612">
        <f t="shared" si="40"/>
        <v>613</v>
      </c>
      <c r="AE50" s="612">
        <f t="shared" si="40"/>
        <v>683</v>
      </c>
      <c r="AF50" s="612">
        <f t="shared" si="40"/>
        <v>735</v>
      </c>
      <c r="AG50" s="612">
        <f t="shared" si="40"/>
        <v>734</v>
      </c>
      <c r="AH50" s="612">
        <f t="shared" si="40"/>
        <v>720.5</v>
      </c>
      <c r="AI50" s="612">
        <f t="shared" ref="AI50:AO50" si="41">AI42-AI45-AI48</f>
        <v>629.74</v>
      </c>
      <c r="AJ50" s="612">
        <f t="shared" si="41"/>
        <v>550.96</v>
      </c>
      <c r="AK50" s="612">
        <f t="shared" si="41"/>
        <v>480.35</v>
      </c>
      <c r="AL50" s="612">
        <f t="shared" si="41"/>
        <v>538.53757308170339</v>
      </c>
      <c r="AM50" s="612">
        <f t="shared" si="41"/>
        <v>513.25007044342431</v>
      </c>
      <c r="AN50" s="612">
        <f t="shared" si="41"/>
        <v>490.68056798942882</v>
      </c>
      <c r="AO50" s="612">
        <f t="shared" si="41"/>
        <v>468.13159167264405</v>
      </c>
      <c r="AP50" s="612">
        <f>AP42-AP45-AP48</f>
        <v>454.34248699837246</v>
      </c>
      <c r="AQ50" s="612"/>
      <c r="AR50" s="1289">
        <f>RATE(5,,-AE50,AJ50)*100</f>
        <v>-4.2056547782890092</v>
      </c>
      <c r="AS50" s="1264" t="s">
        <v>90</v>
      </c>
      <c r="AT50" s="1290">
        <f>RATE(6,,-AJ50,AP50)*100</f>
        <v>-3.1624306119207262</v>
      </c>
      <c r="AU50" s="1270" t="s">
        <v>90</v>
      </c>
    </row>
    <row r="51" spans="1:51" x14ac:dyDescent="0.2">
      <c r="A51" s="607" t="s">
        <v>36</v>
      </c>
      <c r="B51" s="608">
        <f t="shared" ref="B51:AK51" si="42">B50/B7</f>
        <v>-2.5054284282611081E-3</v>
      </c>
      <c r="C51" s="608">
        <f t="shared" si="42"/>
        <v>2.3416157148431916E-3</v>
      </c>
      <c r="D51" s="608">
        <f t="shared" si="42"/>
        <v>-1.3038489621362202E-2</v>
      </c>
      <c r="E51" s="608">
        <f t="shared" si="42"/>
        <v>-1.7820109071357094E-2</v>
      </c>
      <c r="F51" s="608">
        <f t="shared" si="42"/>
        <v>-1.596337975284658E-2</v>
      </c>
      <c r="G51" s="608">
        <f t="shared" si="42"/>
        <v>-7.7683362053836682E-3</v>
      </c>
      <c r="H51" s="608">
        <f t="shared" si="42"/>
        <v>5.2978892122068175E-2</v>
      </c>
      <c r="I51" s="608">
        <f t="shared" si="42"/>
        <v>4.3019186068059698E-2</v>
      </c>
      <c r="J51" s="608">
        <f t="shared" si="42"/>
        <v>4.0020677949233925E-2</v>
      </c>
      <c r="K51" s="608">
        <f t="shared" si="42"/>
        <v>4.271153713103272E-2</v>
      </c>
      <c r="L51" s="608">
        <f t="shared" si="42"/>
        <v>4.1112058256348213E-2</v>
      </c>
      <c r="M51" s="608">
        <f t="shared" si="42"/>
        <v>3.9114324537081156E-2</v>
      </c>
      <c r="N51" s="608">
        <f t="shared" si="42"/>
        <v>5.2114301326134198E-2</v>
      </c>
      <c r="O51" s="608">
        <f t="shared" si="42"/>
        <v>4.0138655106726179E-2</v>
      </c>
      <c r="P51" s="608">
        <f t="shared" si="42"/>
        <v>3.3450458706737352E-2</v>
      </c>
      <c r="Q51" s="608">
        <f t="shared" si="42"/>
        <v>3.8375809419691168E-2</v>
      </c>
      <c r="R51" s="608">
        <f t="shared" si="42"/>
        <v>4.1129754429790694E-2</v>
      </c>
      <c r="S51" s="608">
        <f t="shared" si="42"/>
        <v>3.9240823460866207E-2</v>
      </c>
      <c r="T51" s="608">
        <f t="shared" si="42"/>
        <v>1.8434895163042416E-2</v>
      </c>
      <c r="U51" s="608">
        <f t="shared" si="42"/>
        <v>2.2130834751771883E-2</v>
      </c>
      <c r="V51" s="608">
        <f t="shared" si="42"/>
        <v>1.5180188727488985E-2</v>
      </c>
      <c r="W51" s="608">
        <f t="shared" si="42"/>
        <v>3.7665548279525909E-2</v>
      </c>
      <c r="X51" s="608">
        <f t="shared" si="42"/>
        <v>5.5174900121476619E-2</v>
      </c>
      <c r="Y51" s="608">
        <f t="shared" si="42"/>
        <v>7.1372253035413197E-2</v>
      </c>
      <c r="Z51" s="608">
        <f t="shared" si="42"/>
        <v>7.9199032602248032E-2</v>
      </c>
      <c r="AA51" s="608">
        <f t="shared" si="42"/>
        <v>7.859318286497656E-2</v>
      </c>
      <c r="AB51" s="608">
        <f t="shared" si="42"/>
        <v>4.758786636111445E-2</v>
      </c>
      <c r="AC51" s="608">
        <f t="shared" si="42"/>
        <v>5.1828529910389928E-2</v>
      </c>
      <c r="AD51" s="608">
        <f t="shared" si="42"/>
        <v>6.5843179377013963E-2</v>
      </c>
      <c r="AE51" s="608">
        <f t="shared" si="42"/>
        <v>6.5066209393159949E-2</v>
      </c>
      <c r="AF51" s="608">
        <f t="shared" si="42"/>
        <v>6.248937255568781E-2</v>
      </c>
      <c r="AG51" s="608">
        <f t="shared" si="42"/>
        <v>6.0332072990300842E-2</v>
      </c>
      <c r="AH51" s="608">
        <f>AH50/AH7</f>
        <v>5.4953855541148657E-2</v>
      </c>
      <c r="AI51" s="608">
        <f>AI50/AI7</f>
        <v>4.4678254700248318E-2</v>
      </c>
      <c r="AJ51" s="608">
        <f t="shared" si="42"/>
        <v>3.7999862059452376E-2</v>
      </c>
      <c r="AK51" s="608">
        <f t="shared" si="42"/>
        <v>3.1733500693664533E-2</v>
      </c>
      <c r="AL51" s="608">
        <f>AL50/AL7</f>
        <v>3.5143319077630547E-2</v>
      </c>
      <c r="AM51" s="608">
        <f>AM50/AM7</f>
        <v>3.2498189452311498E-2</v>
      </c>
      <c r="AN51" s="608">
        <f>AN50/AN7</f>
        <v>3.029229276332512E-2</v>
      </c>
      <c r="AO51" s="608">
        <f>AO50/AO7</f>
        <v>2.8206192540707366E-2</v>
      </c>
      <c r="AP51" s="608">
        <f>AP50/AP7</f>
        <v>2.6897291353654318E-2</v>
      </c>
      <c r="AQ51" s="608"/>
      <c r="AR51" s="1293"/>
      <c r="AS51" s="1264"/>
      <c r="AT51" s="1290"/>
      <c r="AU51" s="1270"/>
    </row>
    <row r="52" spans="1:51" x14ac:dyDescent="0.2">
      <c r="A52" s="504"/>
      <c r="Q52" s="624"/>
      <c r="R52" s="624"/>
      <c r="S52" s="624"/>
      <c r="T52" s="624"/>
      <c r="U52" s="624"/>
      <c r="V52" s="624"/>
      <c r="W52" s="624"/>
      <c r="X52" s="624"/>
      <c r="Y52" s="624"/>
      <c r="Z52" s="624"/>
      <c r="AA52" s="624"/>
      <c r="AB52" s="624"/>
      <c r="AC52" s="624"/>
      <c r="AD52" s="624"/>
      <c r="AE52" s="624"/>
      <c r="AF52" s="624"/>
      <c r="AG52" s="624"/>
      <c r="AH52" s="624"/>
      <c r="AI52" s="624"/>
      <c r="AJ52" s="624"/>
      <c r="AK52" s="624"/>
      <c r="AL52" s="624"/>
      <c r="AM52" s="624"/>
      <c r="AN52" s="624"/>
      <c r="AO52" s="624"/>
      <c r="AP52" s="624"/>
      <c r="AQ52" s="624"/>
      <c r="AR52" s="1291"/>
      <c r="AS52" s="1264"/>
      <c r="AT52" s="1264"/>
      <c r="AU52" s="1270"/>
    </row>
    <row r="53" spans="1:51" x14ac:dyDescent="0.2">
      <c r="A53" s="239" t="s">
        <v>458</v>
      </c>
      <c r="B53" s="622">
        <v>0</v>
      </c>
      <c r="C53" s="622">
        <v>0</v>
      </c>
      <c r="D53" s="622">
        <v>0</v>
      </c>
      <c r="E53" s="622">
        <v>0</v>
      </c>
      <c r="F53" s="622">
        <v>0</v>
      </c>
      <c r="G53" s="622">
        <v>0</v>
      </c>
      <c r="H53" s="622">
        <v>0</v>
      </c>
      <c r="I53" s="622">
        <v>0</v>
      </c>
      <c r="J53" s="628">
        <f>INDEX('qtrP&amp;L'!154:154,MATCH(J5,'qtrP&amp;L'!6:6,0))</f>
        <v>0</v>
      </c>
      <c r="K53" s="628">
        <f>INDEX('qtrP&amp;L'!154:154,MATCH(K5,'qtrP&amp;L'!6:6,0))</f>
        <v>0</v>
      </c>
      <c r="L53" s="628">
        <f>INDEX('qtrP&amp;L'!154:154,MATCH(L5,'qtrP&amp;L'!6:6,0))</f>
        <v>4.0655999999999999</v>
      </c>
      <c r="M53" s="628">
        <f>INDEX('qtrP&amp;L'!154:154,MATCH(M5,'qtrP&amp;L'!6:6,0))</f>
        <v>0</v>
      </c>
      <c r="N53" s="628">
        <f>INDEX('qtrP&amp;L'!154:154,MATCH(N5,'qtrP&amp;L'!6:6,0))</f>
        <v>0</v>
      </c>
      <c r="O53" s="628">
        <f>INDEX('qtrP&amp;L'!154:154,MATCH(O5,'qtrP&amp;L'!6:6,0))</f>
        <v>0</v>
      </c>
      <c r="P53" s="628">
        <f>INDEX('qtrP&amp;L'!154:154,MATCH(P5,'qtrP&amp;L'!6:6,0))</f>
        <v>1.452</v>
      </c>
      <c r="Q53" s="628">
        <f>INDEX('qtrP&amp;L'!154:154,MATCH(Q5,'qtrP&amp;L'!6:6,0))</f>
        <v>0</v>
      </c>
      <c r="R53" s="628">
        <f>INDEX('qtrP&amp;L'!154:154,MATCH(R5,'qtrP&amp;L'!6:6,0))</f>
        <v>0</v>
      </c>
      <c r="S53" s="628">
        <f>INDEX('qtrP&amp;L'!154:154,MATCH(S5,'qtrP&amp;L'!6:6,0))</f>
        <v>0</v>
      </c>
      <c r="T53" s="628">
        <f>INDEX('qtrP&amp;L'!154:154,MATCH(T5,'qtrP&amp;L'!6:6,0))</f>
        <v>0</v>
      </c>
      <c r="U53" s="628">
        <f>INDEX('qtrP&amp;L'!154:154,MATCH(U5,'qtrP&amp;L'!6:6,0))</f>
        <v>0</v>
      </c>
      <c r="V53" s="628">
        <f>INDEX('qtrP&amp;L'!154:154,MATCH(V5,'qtrP&amp;L'!6:6,0))</f>
        <v>0</v>
      </c>
      <c r="W53" s="628">
        <f>INDEX('qtrP&amp;L'!154:154,MATCH(W5,'qtrP&amp;L'!6:6,0))</f>
        <v>0</v>
      </c>
      <c r="X53" s="628">
        <f>INDEX('qtrP&amp;L'!154:154,MATCH(X5,'qtrP&amp;L'!6:6,0))</f>
        <v>0</v>
      </c>
      <c r="Y53" s="628">
        <f>INDEX('qtrP&amp;L'!154:154,MATCH(Y5,'qtrP&amp;L'!6:6,0))</f>
        <v>0</v>
      </c>
      <c r="Z53" s="628">
        <f>INDEX('qtrP&amp;L'!154:154,MATCH(Z5,'qtrP&amp;L'!6:6,0))</f>
        <v>0</v>
      </c>
      <c r="AA53" s="628">
        <f>INDEX('qtrP&amp;L'!154:154,MATCH(AA5,'qtrP&amp;L'!6:6,0))</f>
        <v>-20.925000000000001</v>
      </c>
      <c r="AB53" s="628">
        <f>INDEX('qtrP&amp;L'!154:154,MATCH(AB5,'qtrP&amp;L'!6:6,0))</f>
        <v>-7.7659999999999982</v>
      </c>
      <c r="AC53" s="628">
        <f>INDEX('qtrP&amp;L'!154:154,MATCH(AC5,'qtrP&amp;L'!6:6,0))</f>
        <v>-13</v>
      </c>
      <c r="AD53" s="628">
        <f>INDEX('qtrP&amp;L'!154:154,MATCH(AD5,'qtrP&amp;L'!6:6,0))</f>
        <v>0</v>
      </c>
      <c r="AE53" s="628">
        <f>INDEX('qtrP&amp;L'!154:154,MATCH(AE5,'qtrP&amp;L'!6:6,0))</f>
        <v>0</v>
      </c>
      <c r="AF53" s="628">
        <f>INDEX('qtrP&amp;L'!154:154,MATCH(AF5,'qtrP&amp;L'!6:6,0))</f>
        <v>0</v>
      </c>
      <c r="AG53" s="628">
        <f>INDEX('qtrP&amp;L'!154:154,MATCH(AG5,'qtrP&amp;L'!6:6,0))</f>
        <v>0</v>
      </c>
      <c r="AH53" s="628">
        <f>INDEX('qtrP&amp;L'!154:154,MATCH(AH5,'qtrP&amp;L'!6:6,0))</f>
        <v>0</v>
      </c>
      <c r="AI53" s="628">
        <v>29</v>
      </c>
      <c r="AJ53" s="628">
        <v>197</v>
      </c>
      <c r="AK53" s="628">
        <f>'qtrP&amp;L'!DH154</f>
        <v>43</v>
      </c>
      <c r="AL53" s="628">
        <f>'qtrP&amp;L'!DL154</f>
        <v>0</v>
      </c>
      <c r="AM53" s="1131">
        <v>0</v>
      </c>
      <c r="AN53" s="1131">
        <v>0</v>
      </c>
      <c r="AO53" s="1131">
        <v>0</v>
      </c>
      <c r="AP53" s="1131">
        <v>0</v>
      </c>
      <c r="AQ53" s="611"/>
      <c r="AR53" s="1291"/>
      <c r="AS53" s="1264"/>
      <c r="AT53" s="1264"/>
      <c r="AU53" s="1270"/>
    </row>
    <row r="54" spans="1:51" x14ac:dyDescent="0.2">
      <c r="A54" s="504"/>
      <c r="Q54" s="624"/>
      <c r="R54" s="624"/>
      <c r="S54" s="624"/>
      <c r="T54" s="624"/>
      <c r="U54" s="624"/>
      <c r="V54" s="624"/>
      <c r="W54" s="624"/>
      <c r="X54" s="624"/>
      <c r="Y54" s="624"/>
      <c r="Z54" s="624"/>
      <c r="AA54" s="624"/>
      <c r="AB54" s="624"/>
      <c r="AC54" s="624"/>
      <c r="AD54" s="624"/>
      <c r="AE54" s="624"/>
      <c r="AF54" s="624"/>
      <c r="AG54" s="624"/>
      <c r="AH54" s="624"/>
      <c r="AI54" s="624"/>
      <c r="AJ54" s="624"/>
      <c r="AK54" s="624"/>
      <c r="AL54" s="624"/>
      <c r="AM54" s="624"/>
      <c r="AN54" s="624"/>
      <c r="AO54" s="624"/>
      <c r="AP54" s="624"/>
      <c r="AQ54" s="624"/>
      <c r="AR54" s="1293"/>
      <c r="AS54" s="1264"/>
      <c r="AT54" s="1290"/>
      <c r="AU54" s="1270"/>
    </row>
    <row r="55" spans="1:51" x14ac:dyDescent="0.2">
      <c r="A55" s="239" t="s">
        <v>459</v>
      </c>
      <c r="B55" s="612">
        <f>B50-B53</f>
        <v>-1.4999999999999254</v>
      </c>
      <c r="C55" s="612">
        <f t="shared" ref="C55:AF55" si="43">C50-C53</f>
        <v>1.7999999999999616</v>
      </c>
      <c r="D55" s="612">
        <f t="shared" si="43"/>
        <v>-12.499999999999943</v>
      </c>
      <c r="E55" s="612">
        <f t="shared" si="43"/>
        <v>-23.199999999999804</v>
      </c>
      <c r="F55" s="612">
        <f t="shared" si="43"/>
        <v>-26.01900000000019</v>
      </c>
      <c r="G55" s="612">
        <f t="shared" si="43"/>
        <v>-14.917000000000087</v>
      </c>
      <c r="H55" s="612">
        <f t="shared" si="43"/>
        <v>123.33200000000011</v>
      </c>
      <c r="I55" s="612">
        <f t="shared" si="43"/>
        <v>114.91100000000014</v>
      </c>
      <c r="J55" s="612">
        <f t="shared" si="43"/>
        <v>115.81599999999986</v>
      </c>
      <c r="K55" s="612">
        <f t="shared" si="43"/>
        <v>135.81500000000048</v>
      </c>
      <c r="L55" s="612">
        <f t="shared" si="43"/>
        <v>136.61900000000023</v>
      </c>
      <c r="M55" s="612">
        <f t="shared" si="43"/>
        <v>140.41800000000006</v>
      </c>
      <c r="N55" s="612">
        <f t="shared" si="43"/>
        <v>202.95800000000045</v>
      </c>
      <c r="O55" s="612">
        <f t="shared" si="43"/>
        <v>165.11099999999982</v>
      </c>
      <c r="P55" s="612">
        <f t="shared" si="43"/>
        <v>147.50499999999997</v>
      </c>
      <c r="Q55" s="612">
        <f t="shared" si="43"/>
        <v>186.18499799999972</v>
      </c>
      <c r="R55" s="612">
        <f t="shared" si="43"/>
        <v>206.79588100000035</v>
      </c>
      <c r="S55" s="612">
        <f t="shared" si="43"/>
        <v>202.0510000000001</v>
      </c>
      <c r="T55" s="612">
        <f t="shared" si="43"/>
        <v>101.91800000000103</v>
      </c>
      <c r="U55" s="612">
        <f t="shared" si="43"/>
        <v>124.68800000000051</v>
      </c>
      <c r="V55" s="612">
        <f t="shared" si="43"/>
        <v>90.240999999999758</v>
      </c>
      <c r="W55" s="612">
        <f t="shared" si="43"/>
        <v>242.88899999999893</v>
      </c>
      <c r="X55" s="612">
        <f t="shared" si="43"/>
        <v>393.47499999999991</v>
      </c>
      <c r="Y55" s="612">
        <f t="shared" si="43"/>
        <v>551.18021775831835</v>
      </c>
      <c r="Z55" s="612">
        <f t="shared" si="43"/>
        <v>677.99899999999957</v>
      </c>
      <c r="AA55" s="612">
        <f t="shared" si="43"/>
        <v>714.73100000000022</v>
      </c>
      <c r="AB55" s="612">
        <f t="shared" si="43"/>
        <v>402.31699999999995</v>
      </c>
      <c r="AC55" s="612">
        <f t="shared" si="43"/>
        <v>441</v>
      </c>
      <c r="AD55" s="612">
        <f t="shared" si="43"/>
        <v>613</v>
      </c>
      <c r="AE55" s="612">
        <f t="shared" si="43"/>
        <v>683</v>
      </c>
      <c r="AF55" s="612">
        <f t="shared" si="43"/>
        <v>735</v>
      </c>
      <c r="AG55" s="612">
        <f t="shared" ref="AG55:AL55" si="44">AG50-AG53</f>
        <v>734</v>
      </c>
      <c r="AH55" s="612">
        <f t="shared" si="44"/>
        <v>720.5</v>
      </c>
      <c r="AI55" s="612">
        <f t="shared" si="44"/>
        <v>600.74</v>
      </c>
      <c r="AJ55" s="612">
        <f t="shared" si="44"/>
        <v>353.96000000000004</v>
      </c>
      <c r="AK55" s="612">
        <f t="shared" si="44"/>
        <v>437.35</v>
      </c>
      <c r="AL55" s="612">
        <f t="shared" si="44"/>
        <v>538.53757308170339</v>
      </c>
      <c r="AM55" s="612">
        <f>AM50-AM53</f>
        <v>513.25007044342431</v>
      </c>
      <c r="AN55" s="612">
        <f>AN50-AN53</f>
        <v>490.68056798942882</v>
      </c>
      <c r="AO55" s="612">
        <f>AO50-AO53</f>
        <v>468.13159167264405</v>
      </c>
      <c r="AP55" s="612">
        <f>AP50-AP53</f>
        <v>454.34248699837246</v>
      </c>
      <c r="AQ55" s="612"/>
      <c r="AR55" s="1289">
        <f>RATE(5,,-AE55,AJ55)*100</f>
        <v>-12.318757271508598</v>
      </c>
      <c r="AS55" s="1264" t="s">
        <v>90</v>
      </c>
      <c r="AT55" s="1290">
        <f>RATE(6,,-AJ55,AP55)*100</f>
        <v>4.2489111101670813</v>
      </c>
      <c r="AU55" s="1270" t="s">
        <v>90</v>
      </c>
    </row>
    <row r="56" spans="1:51" x14ac:dyDescent="0.2">
      <c r="A56" s="607" t="s">
        <v>22</v>
      </c>
      <c r="B56" s="608">
        <f>B55/B14</f>
        <v>-2.5667351129362169E-3</v>
      </c>
      <c r="C56" s="608">
        <f t="shared" ref="C56:AK56" si="45">C55/C14</f>
        <v>2.4016010673782008E-3</v>
      </c>
      <c r="D56" s="608">
        <f t="shared" si="45"/>
        <v>-1.3410578264134687E-2</v>
      </c>
      <c r="E56" s="608">
        <f t="shared" si="45"/>
        <v>-1.8335572591480123E-2</v>
      </c>
      <c r="F56" s="608">
        <f t="shared" si="45"/>
        <v>-1.6463147264779085E-2</v>
      </c>
      <c r="G56" s="608">
        <f t="shared" si="45"/>
        <v>-7.9923660768343469E-3</v>
      </c>
      <c r="H56" s="608">
        <f t="shared" si="45"/>
        <v>5.1702035433325078E-2</v>
      </c>
      <c r="I56" s="608">
        <f t="shared" si="45"/>
        <v>4.2136470225861443E-2</v>
      </c>
      <c r="J56" s="608">
        <f t="shared" si="45"/>
        <v>3.8883166519168254E-2</v>
      </c>
      <c r="K56" s="608">
        <f t="shared" si="45"/>
        <v>4.1568432048476191E-2</v>
      </c>
      <c r="L56" s="608">
        <f t="shared" si="45"/>
        <v>3.8870532750982435E-2</v>
      </c>
      <c r="M56" s="608">
        <f t="shared" si="45"/>
        <v>3.8173174712045614E-2</v>
      </c>
      <c r="N56" s="608">
        <f t="shared" si="45"/>
        <v>5.0877862346651828E-2</v>
      </c>
      <c r="O56" s="608">
        <f t="shared" si="45"/>
        <v>3.8953713048931152E-2</v>
      </c>
      <c r="P56" s="608">
        <f t="shared" si="45"/>
        <v>3.2188536817637052E-2</v>
      </c>
      <c r="Q56" s="608">
        <f t="shared" si="45"/>
        <v>3.7535746607247025E-2</v>
      </c>
      <c r="R56" s="608">
        <f t="shared" si="45"/>
        <v>4.0271609176890787E-2</v>
      </c>
      <c r="S56" s="608">
        <f t="shared" si="45"/>
        <v>3.8370551919818967E-2</v>
      </c>
      <c r="T56" s="608">
        <f t="shared" si="45"/>
        <v>1.8009459746247708E-2</v>
      </c>
      <c r="U56" s="608">
        <f t="shared" si="45"/>
        <v>2.16171233802935E-2</v>
      </c>
      <c r="V56" s="608">
        <f t="shared" si="45"/>
        <v>1.4832645594264867E-2</v>
      </c>
      <c r="W56" s="608">
        <f t="shared" si="45"/>
        <v>3.6780955778778344E-2</v>
      </c>
      <c r="X56" s="608">
        <f t="shared" si="45"/>
        <v>5.3868548283866259E-2</v>
      </c>
      <c r="Y56" s="608">
        <f t="shared" si="45"/>
        <v>6.9602548837603084E-2</v>
      </c>
      <c r="Z56" s="608">
        <f t="shared" si="45"/>
        <v>7.7052144263192276E-2</v>
      </c>
      <c r="AA56" s="608">
        <f t="shared" si="45"/>
        <v>7.8552571998821846E-2</v>
      </c>
      <c r="AB56" s="608">
        <f t="shared" si="45"/>
        <v>4.6797371175991621E-2</v>
      </c>
      <c r="AC56" s="608">
        <f t="shared" si="45"/>
        <v>5.1118581198562649E-2</v>
      </c>
      <c r="AD56" s="608">
        <f t="shared" si="45"/>
        <v>6.3195876288659789E-2</v>
      </c>
      <c r="AE56" s="608">
        <f t="shared" si="45"/>
        <v>6.2793049554104988E-2</v>
      </c>
      <c r="AF56" s="608">
        <f t="shared" si="45"/>
        <v>6.0573594857425417E-2</v>
      </c>
      <c r="AG56" s="608">
        <f t="shared" si="45"/>
        <v>5.8532695374800638E-2</v>
      </c>
      <c r="AH56" s="608">
        <f>AH55/AH14</f>
        <v>5.3346660743373318E-2</v>
      </c>
      <c r="AI56" s="608">
        <f>AI55/AI14</f>
        <v>4.1611138048070928E-2</v>
      </c>
      <c r="AJ56" s="608">
        <f t="shared" si="45"/>
        <v>2.39842797126982E-2</v>
      </c>
      <c r="AK56" s="608">
        <f t="shared" si="45"/>
        <v>2.8256234655640266E-2</v>
      </c>
      <c r="AL56" s="608">
        <f>AL55/AL14</f>
        <v>3.4303638669599158E-2</v>
      </c>
      <c r="AM56" s="608">
        <f>AM55/AM14</f>
        <v>3.1689101739695198E-2</v>
      </c>
      <c r="AN56" s="608">
        <f>AN55/AN14</f>
        <v>2.9502778115544883E-2</v>
      </c>
      <c r="AO56" s="608">
        <f>AO55/AO14</f>
        <v>2.7439363899479676E-2</v>
      </c>
      <c r="AP56" s="608">
        <f>AP55/AP14</f>
        <v>2.6126110583417534E-2</v>
      </c>
      <c r="AQ56" s="608"/>
      <c r="AR56" s="1291"/>
      <c r="AS56" s="1264"/>
      <c r="AT56" s="1264"/>
      <c r="AU56" s="1270"/>
    </row>
    <row r="57" spans="1:51" x14ac:dyDescent="0.2">
      <c r="A57" s="504"/>
      <c r="B57" s="504"/>
      <c r="C57" s="504"/>
      <c r="D57" s="504"/>
      <c r="E57" s="504"/>
      <c r="F57" s="504"/>
      <c r="G57" s="504"/>
      <c r="H57" s="504"/>
      <c r="I57" s="504"/>
      <c r="J57" s="504"/>
      <c r="K57" s="504"/>
      <c r="L57" s="504"/>
      <c r="M57" s="504"/>
      <c r="N57" s="504"/>
      <c r="O57" s="504"/>
      <c r="P57" s="504"/>
      <c r="Q57" s="504"/>
      <c r="R57" s="504"/>
      <c r="S57" s="504"/>
      <c r="T57" s="504"/>
      <c r="U57" s="504"/>
      <c r="V57" s="504"/>
      <c r="W57" s="504"/>
      <c r="X57" s="504"/>
      <c r="Y57" s="504"/>
      <c r="Z57" s="504"/>
      <c r="AA57" s="504"/>
      <c r="AB57" s="504"/>
      <c r="AC57" s="504"/>
      <c r="AD57" s="504"/>
      <c r="AE57" s="504"/>
      <c r="AF57" s="504"/>
      <c r="AG57" s="504"/>
      <c r="AH57" s="504"/>
      <c r="AI57" s="504"/>
      <c r="AJ57" s="504"/>
      <c r="AK57" s="504"/>
      <c r="AL57" s="504"/>
      <c r="AM57" s="504"/>
      <c r="AN57" s="504"/>
      <c r="AO57" s="504"/>
      <c r="AP57" s="504"/>
      <c r="AQ57" s="504"/>
      <c r="AR57" s="1304"/>
      <c r="AS57" s="1305"/>
      <c r="AT57" s="1305"/>
      <c r="AU57" s="1306"/>
    </row>
    <row r="58" spans="1:51" x14ac:dyDescent="0.2">
      <c r="A58" s="239" t="s">
        <v>460</v>
      </c>
      <c r="B58" s="629">
        <f t="shared" ref="B58:AK58" si="46">(B$50)/B$64</f>
        <v>-1.0153740080066203E-2</v>
      </c>
      <c r="C58" s="629">
        <f t="shared" si="46"/>
        <v>1.2138963618446758E-2</v>
      </c>
      <c r="D58" s="629">
        <f t="shared" si="46"/>
        <v>-8.402524424861281E-2</v>
      </c>
      <c r="E58" s="629">
        <f t="shared" si="46"/>
        <v>-0.1556955192654938</v>
      </c>
      <c r="F58" s="629">
        <f t="shared" si="46"/>
        <v>-0.16064736188247633</v>
      </c>
      <c r="G58" s="629">
        <f t="shared" si="46"/>
        <v>-9.1225430839418822E-2</v>
      </c>
      <c r="H58" s="629">
        <f t="shared" si="46"/>
        <v>0.75741210268536097</v>
      </c>
      <c r="I58" s="629">
        <f t="shared" si="46"/>
        <v>0.70497546012270029</v>
      </c>
      <c r="J58" s="629">
        <f t="shared" si="46"/>
        <v>0.7100156251133185</v>
      </c>
      <c r="K58" s="629">
        <f t="shared" si="46"/>
        <v>0.83031286129312309</v>
      </c>
      <c r="L58" s="629">
        <f t="shared" si="46"/>
        <v>0.85916268015108299</v>
      </c>
      <c r="M58" s="629">
        <f t="shared" si="46"/>
        <v>0.85678348306837648</v>
      </c>
      <c r="N58" s="629">
        <f t="shared" si="46"/>
        <v>1.2368722867659885</v>
      </c>
      <c r="O58" s="629">
        <f t="shared" si="46"/>
        <v>1.0077621815285398</v>
      </c>
      <c r="P58" s="629">
        <f t="shared" si="46"/>
        <v>0.92120514464349956</v>
      </c>
      <c r="Q58" s="629">
        <f t="shared" si="46"/>
        <v>1.2002240757809552</v>
      </c>
      <c r="R58" s="629">
        <f t="shared" si="46"/>
        <v>1.4076365524928753</v>
      </c>
      <c r="S58" s="629">
        <f t="shared" si="46"/>
        <v>1.4596424056348209</v>
      </c>
      <c r="T58" s="629">
        <f t="shared" si="46"/>
        <v>0.77644266937879214</v>
      </c>
      <c r="U58" s="629">
        <f t="shared" si="46"/>
        <v>0.46398124546486502</v>
      </c>
      <c r="V58" s="629">
        <f t="shared" si="46"/>
        <v>0.33229431140094801</v>
      </c>
      <c r="W58" s="629">
        <f t="shared" si="46"/>
        <v>0.88174338254112217</v>
      </c>
      <c r="X58" s="629">
        <f t="shared" si="46"/>
        <v>1.3831814139226841</v>
      </c>
      <c r="Y58" s="629">
        <f t="shared" si="46"/>
        <v>1.9842614832034384</v>
      </c>
      <c r="Z58" s="629">
        <f t="shared" si="46"/>
        <v>2.5514990549466869</v>
      </c>
      <c r="AA58" s="629">
        <f t="shared" si="46"/>
        <v>2.7879678008175377</v>
      </c>
      <c r="AB58" s="629">
        <f t="shared" si="46"/>
        <v>1.8013971007875809</v>
      </c>
      <c r="AC58" s="629">
        <f t="shared" si="46"/>
        <v>1.9485545185522422</v>
      </c>
      <c r="AD58" s="629">
        <f t="shared" si="46"/>
        <v>2.7532000898270828</v>
      </c>
      <c r="AE58" s="629">
        <f t="shared" si="46"/>
        <v>3.137705294590559</v>
      </c>
      <c r="AF58" s="629">
        <f t="shared" si="46"/>
        <v>3.5558780841799713</v>
      </c>
      <c r="AG58" s="629">
        <f t="shared" si="46"/>
        <v>3.7126960040465353</v>
      </c>
      <c r="AH58" s="629">
        <f t="shared" si="46"/>
        <v>3.7215909090909092</v>
      </c>
      <c r="AI58" s="629">
        <f t="shared" si="46"/>
        <v>3.3179135932560588</v>
      </c>
      <c r="AJ58" s="629">
        <f t="shared" si="46"/>
        <v>3.1501429388221847</v>
      </c>
      <c r="AK58" s="629">
        <f t="shared" si="46"/>
        <v>2.8425599905317038</v>
      </c>
      <c r="AL58" s="629">
        <f>(AL$50)/AL$64</f>
        <v>3.2974127560357482</v>
      </c>
      <c r="AM58" s="629">
        <f>(AM$50)/AM$64</f>
        <v>3.2520973597878888</v>
      </c>
      <c r="AN58" s="629">
        <f>(AN$50)/AN$64</f>
        <v>3.2003428617326617</v>
      </c>
      <c r="AO58" s="629">
        <f>(AO$50)/AO$64</f>
        <v>3.1455964230420324</v>
      </c>
      <c r="AP58" s="629">
        <f>(AP$50)/AP$64</f>
        <v>3.1481329810985734</v>
      </c>
      <c r="AQ58" s="629"/>
      <c r="AR58" s="1289">
        <f>RATE(5,,-AE58,AJ58)*100</f>
        <v>7.9153196737678941E-2</v>
      </c>
      <c r="AS58" s="1264" t="s">
        <v>90</v>
      </c>
      <c r="AT58" s="1290">
        <f>RATE(6,,-AJ58,AP58)*100</f>
        <v>-1.0637042662202058E-2</v>
      </c>
      <c r="AU58" s="1270" t="s">
        <v>90</v>
      </c>
    </row>
    <row r="59" spans="1:51" x14ac:dyDescent="0.2">
      <c r="A59" s="607" t="s">
        <v>207</v>
      </c>
      <c r="B59" s="608"/>
      <c r="C59" s="608">
        <f t="shared" ref="C59:O59" si="47">C58/B58-1</f>
        <v>-2.1955164818802029</v>
      </c>
      <c r="D59" s="608">
        <f t="shared" si="47"/>
        <v>-7.9219454715990212</v>
      </c>
      <c r="E59" s="608">
        <f t="shared" si="47"/>
        <v>0.85296122204445957</v>
      </c>
      <c r="F59" s="608">
        <f t="shared" si="47"/>
        <v>3.1804657194653085E-2</v>
      </c>
      <c r="G59" s="608">
        <f t="shared" si="47"/>
        <v>-0.43213863103363026</v>
      </c>
      <c r="H59" s="608">
        <f t="shared" si="47"/>
        <v>-9.3026421000807229</v>
      </c>
      <c r="I59" s="608">
        <f t="shared" si="47"/>
        <v>-6.9231323841736359E-2</v>
      </c>
      <c r="J59" s="608">
        <f t="shared" si="47"/>
        <v>7.1494190588434758E-3</v>
      </c>
      <c r="K59" s="608">
        <f t="shared" si="47"/>
        <v>0.16942899835564207</v>
      </c>
      <c r="L59" s="608">
        <f t="shared" si="47"/>
        <v>3.4745720803396107E-2</v>
      </c>
      <c r="M59" s="608">
        <f t="shared" si="47"/>
        <v>-2.7692044099123514E-3</v>
      </c>
      <c r="N59" s="608">
        <f t="shared" si="47"/>
        <v>0.44362293532598196</v>
      </c>
      <c r="O59" s="608">
        <f t="shared" si="47"/>
        <v>-0.1852334373474368</v>
      </c>
      <c r="P59" s="608">
        <f>P58/O58-1</f>
        <v>-8.5890340470758164E-2</v>
      </c>
      <c r="Q59" s="608">
        <f t="shared" ref="Q59:W59" si="48">Q58/P58-1</f>
        <v>0.30288468617425512</v>
      </c>
      <c r="R59" s="608">
        <f t="shared" si="48"/>
        <v>0.17281146154059779</v>
      </c>
      <c r="S59" s="608">
        <f t="shared" si="48"/>
        <v>3.6945512000128966E-2</v>
      </c>
      <c r="T59" s="608">
        <f t="shared" si="48"/>
        <v>-0.46805966558562317</v>
      </c>
      <c r="U59" s="608">
        <f>U58/T58-1</f>
        <v>-0.40242690959258831</v>
      </c>
      <c r="V59" s="608">
        <f t="shared" si="48"/>
        <v>-0.28381951932556937</v>
      </c>
      <c r="W59" s="608">
        <f t="shared" si="48"/>
        <v>1.6535012857238054</v>
      </c>
      <c r="X59" s="608">
        <f t="shared" ref="X59:AP59" si="49">X58/W58-1</f>
        <v>0.56868930497267001</v>
      </c>
      <c r="Y59" s="608">
        <f t="shared" si="49"/>
        <v>0.43456343703758948</v>
      </c>
      <c r="Z59" s="608">
        <f t="shared" si="49"/>
        <v>0.28586835784741771</v>
      </c>
      <c r="AA59" s="608">
        <f t="shared" si="49"/>
        <v>9.2678359183555159E-2</v>
      </c>
      <c r="AB59" s="608">
        <f t="shared" si="49"/>
        <v>-0.35386732219097261</v>
      </c>
      <c r="AC59" s="608">
        <f t="shared" si="49"/>
        <v>8.1690715334405306E-2</v>
      </c>
      <c r="AD59" s="608">
        <f t="shared" si="49"/>
        <v>0.41294485918345503</v>
      </c>
      <c r="AE59" s="608">
        <f t="shared" si="49"/>
        <v>0.13965755928317791</v>
      </c>
      <c r="AF59" s="608">
        <f t="shared" si="49"/>
        <v>0.13327344359278959</v>
      </c>
      <c r="AG59" s="608">
        <f t="shared" si="49"/>
        <v>4.4101039505331618E-2</v>
      </c>
      <c r="AH59" s="608">
        <f t="shared" si="49"/>
        <v>2.3958075303442961E-3</v>
      </c>
      <c r="AI59" s="608">
        <f t="shared" si="49"/>
        <v>-0.10846901921669261</v>
      </c>
      <c r="AJ59" s="608">
        <f>AJ58/AI58-1</f>
        <v>-5.0565106570250151E-2</v>
      </c>
      <c r="AK59" s="608">
        <f>AK58/AJ58-1</f>
        <v>-9.7640949716867098E-2</v>
      </c>
      <c r="AL59" s="608">
        <f>AL58/AK58-1</f>
        <v>0.16001518596586028</v>
      </c>
      <c r="AM59" s="608">
        <f t="shared" si="49"/>
        <v>-1.3742712726792172E-2</v>
      </c>
      <c r="AN59" s="608">
        <f t="shared" si="49"/>
        <v>-1.5914190852700294E-2</v>
      </c>
      <c r="AO59" s="608">
        <f t="shared" si="49"/>
        <v>-1.7106429234581944E-2</v>
      </c>
      <c r="AP59" s="608">
        <f t="shared" si="49"/>
        <v>8.0638381896691591E-4</v>
      </c>
      <c r="AQ59" s="608"/>
      <c r="AR59" s="1291"/>
      <c r="AS59" s="1264"/>
      <c r="AT59" s="1264"/>
      <c r="AU59" s="1270"/>
    </row>
    <row r="60" spans="1:51" outlineLevel="1" x14ac:dyDescent="0.2">
      <c r="A60" s="504"/>
      <c r="P60" s="630"/>
      <c r="Q60" s="630"/>
      <c r="R60" s="630"/>
      <c r="S60" s="630"/>
      <c r="T60" s="630"/>
      <c r="U60" s="630"/>
      <c r="V60" s="630"/>
      <c r="X60" s="630"/>
      <c r="Y60" s="630"/>
      <c r="Z60" s="630"/>
      <c r="AA60" s="630"/>
      <c r="AB60" s="630"/>
      <c r="AC60" s="630"/>
      <c r="AD60" s="630"/>
      <c r="AE60" s="630"/>
      <c r="AF60" s="630"/>
      <c r="AG60" s="630"/>
      <c r="AH60" s="630"/>
      <c r="AI60" s="630"/>
      <c r="AJ60" s="504"/>
      <c r="AK60" s="504"/>
      <c r="AL60" s="504"/>
      <c r="AM60" s="504"/>
      <c r="AN60" s="504"/>
      <c r="AO60" s="504"/>
      <c r="AP60" s="504"/>
      <c r="AQ60" s="504"/>
      <c r="AR60" s="1293"/>
      <c r="AS60" s="1264"/>
      <c r="AT60" s="1290"/>
      <c r="AU60" s="1270"/>
    </row>
    <row r="61" spans="1:51" outlineLevel="1" x14ac:dyDescent="0.2">
      <c r="A61" s="239" t="s">
        <v>461</v>
      </c>
      <c r="B61" s="629">
        <f t="shared" ref="B61:AG61" si="50">B55/B64</f>
        <v>-1.0153740080066203E-2</v>
      </c>
      <c r="C61" s="629">
        <f t="shared" si="50"/>
        <v>1.2138963618446758E-2</v>
      </c>
      <c r="D61" s="629">
        <f t="shared" si="50"/>
        <v>-8.402524424861281E-2</v>
      </c>
      <c r="E61" s="629">
        <f t="shared" si="50"/>
        <v>-0.1556955192654938</v>
      </c>
      <c r="F61" s="629">
        <f t="shared" si="50"/>
        <v>-0.16064736188247633</v>
      </c>
      <c r="G61" s="629">
        <f t="shared" si="50"/>
        <v>-9.1225430839418822E-2</v>
      </c>
      <c r="H61" s="629">
        <f t="shared" si="50"/>
        <v>0.75741210268536097</v>
      </c>
      <c r="I61" s="629">
        <f t="shared" si="50"/>
        <v>0.70497546012270029</v>
      </c>
      <c r="J61" s="629">
        <f t="shared" si="50"/>
        <v>0.7100156251133185</v>
      </c>
      <c r="K61" s="629">
        <f t="shared" si="50"/>
        <v>0.83031286129312309</v>
      </c>
      <c r="L61" s="629">
        <f t="shared" si="50"/>
        <v>0.83433400812569969</v>
      </c>
      <c r="M61" s="629">
        <f t="shared" si="50"/>
        <v>0.85678348306837648</v>
      </c>
      <c r="N61" s="629">
        <f t="shared" si="50"/>
        <v>1.2368722867659885</v>
      </c>
      <c r="O61" s="629">
        <f t="shared" si="50"/>
        <v>1.0077621815285398</v>
      </c>
      <c r="P61" s="629">
        <f t="shared" si="50"/>
        <v>0.91222543996347538</v>
      </c>
      <c r="Q61" s="629">
        <f t="shared" si="50"/>
        <v>1.2002240757809552</v>
      </c>
      <c r="R61" s="629">
        <f t="shared" si="50"/>
        <v>1.4076365524928753</v>
      </c>
      <c r="S61" s="629">
        <f t="shared" si="50"/>
        <v>1.4596424056348209</v>
      </c>
      <c r="T61" s="629">
        <f t="shared" si="50"/>
        <v>0.77644266937879214</v>
      </c>
      <c r="U61" s="629">
        <f t="shared" si="50"/>
        <v>0.46398124546486502</v>
      </c>
      <c r="V61" s="629">
        <f t="shared" si="50"/>
        <v>0.33229431140094801</v>
      </c>
      <c r="W61" s="629">
        <f t="shared" si="50"/>
        <v>0.88174338254112217</v>
      </c>
      <c r="X61" s="629">
        <f t="shared" si="50"/>
        <v>1.3831814139226841</v>
      </c>
      <c r="Y61" s="629">
        <f t="shared" si="50"/>
        <v>1.9842614832034384</v>
      </c>
      <c r="Z61" s="629">
        <f t="shared" si="50"/>
        <v>2.5514990549466869</v>
      </c>
      <c r="AA61" s="629">
        <f t="shared" si="50"/>
        <v>2.872052150379385</v>
      </c>
      <c r="AB61" s="629">
        <f t="shared" si="50"/>
        <v>1.8368542403835175</v>
      </c>
      <c r="AC61" s="629">
        <f t="shared" si="50"/>
        <v>2.0077395857045297</v>
      </c>
      <c r="AD61" s="629">
        <f t="shared" si="50"/>
        <v>2.7532000898270828</v>
      </c>
      <c r="AE61" s="629">
        <f t="shared" si="50"/>
        <v>3.137705294590559</v>
      </c>
      <c r="AF61" s="629">
        <f t="shared" si="50"/>
        <v>3.5558780841799713</v>
      </c>
      <c r="AG61" s="629">
        <f t="shared" si="50"/>
        <v>3.7126960040465353</v>
      </c>
      <c r="AH61" s="629">
        <f t="shared" ref="AH61:AM61" si="51">AH55/AH64</f>
        <v>3.7215909090909092</v>
      </c>
      <c r="AI61" s="629">
        <f t="shared" si="51"/>
        <v>3.165121180189673</v>
      </c>
      <c r="AJ61" s="629">
        <f t="shared" si="51"/>
        <v>2.0237850200114358</v>
      </c>
      <c r="AK61" s="629">
        <f t="shared" si="51"/>
        <v>2.5880995354617271</v>
      </c>
      <c r="AL61" s="629">
        <f t="shared" si="51"/>
        <v>3.2974127560357482</v>
      </c>
      <c r="AM61" s="629">
        <f t="shared" si="51"/>
        <v>3.2520973597878888</v>
      </c>
      <c r="AN61" s="629">
        <f>AN55/AN64</f>
        <v>3.2003428617326617</v>
      </c>
      <c r="AO61" s="629">
        <f>AO55/AO64</f>
        <v>3.1455964230420324</v>
      </c>
      <c r="AP61" s="629">
        <f>AP55/AP64</f>
        <v>3.1481329810985734</v>
      </c>
      <c r="AQ61" s="629"/>
      <c r="AR61" s="1289">
        <f>RATE(5,,-AE61,AJ61)*100</f>
        <v>-8.3968421810578864</v>
      </c>
      <c r="AS61" s="1264" t="s">
        <v>90</v>
      </c>
      <c r="AT61" s="1290">
        <f>RATE(6,,-AJ61,AP61)*100</f>
        <v>7.6419232409284872</v>
      </c>
      <c r="AU61" s="1270" t="s">
        <v>90</v>
      </c>
      <c r="AV61" s="606"/>
      <c r="AY61" s="254"/>
    </row>
    <row r="62" spans="1:51" outlineLevel="1" x14ac:dyDescent="0.2">
      <c r="A62" s="607" t="s">
        <v>207</v>
      </c>
      <c r="B62" s="608"/>
      <c r="C62" s="608">
        <f t="shared" ref="C62:O62" si="52">C61/B61-1</f>
        <v>-2.1955164818802029</v>
      </c>
      <c r="D62" s="608">
        <f t="shared" si="52"/>
        <v>-7.9219454715990212</v>
      </c>
      <c r="E62" s="608">
        <f t="shared" si="52"/>
        <v>0.85296122204445957</v>
      </c>
      <c r="F62" s="608">
        <f t="shared" si="52"/>
        <v>3.1804657194653085E-2</v>
      </c>
      <c r="G62" s="608">
        <f t="shared" si="52"/>
        <v>-0.43213863103363026</v>
      </c>
      <c r="H62" s="608">
        <f t="shared" si="52"/>
        <v>-9.3026421000807229</v>
      </c>
      <c r="I62" s="608">
        <f t="shared" si="52"/>
        <v>-6.9231323841736359E-2</v>
      </c>
      <c r="J62" s="608">
        <f t="shared" si="52"/>
        <v>7.1494190588434758E-3</v>
      </c>
      <c r="K62" s="608">
        <f t="shared" si="52"/>
        <v>0.16942899835564207</v>
      </c>
      <c r="L62" s="608">
        <f t="shared" si="52"/>
        <v>4.8429297196650456E-3</v>
      </c>
      <c r="M62" s="608">
        <f t="shared" si="52"/>
        <v>2.6907059671592126E-2</v>
      </c>
      <c r="N62" s="608">
        <f t="shared" si="52"/>
        <v>0.44362293532598196</v>
      </c>
      <c r="O62" s="608">
        <f t="shared" si="52"/>
        <v>-0.1852334373474368</v>
      </c>
      <c r="P62" s="608">
        <f>P61/O61-1</f>
        <v>-9.4800879926013382E-2</v>
      </c>
      <c r="Q62" s="608">
        <f t="shared" ref="Q62:W62" si="53">Q61/P61-1</f>
        <v>0.31570993660186786</v>
      </c>
      <c r="R62" s="608">
        <f t="shared" si="53"/>
        <v>0.17281146154059779</v>
      </c>
      <c r="S62" s="608">
        <f t="shared" si="53"/>
        <v>3.6945512000128966E-2</v>
      </c>
      <c r="T62" s="608">
        <f t="shared" si="53"/>
        <v>-0.46805966558562317</v>
      </c>
      <c r="U62" s="608">
        <f>U61/T61-1</f>
        <v>-0.40242690959258831</v>
      </c>
      <c r="V62" s="608">
        <f t="shared" si="53"/>
        <v>-0.28381951932556937</v>
      </c>
      <c r="W62" s="608">
        <f t="shared" si="53"/>
        <v>1.6535012857238054</v>
      </c>
      <c r="X62" s="608">
        <f t="shared" ref="X62:AL62" si="54">X61/W61-1</f>
        <v>0.56868930497267001</v>
      </c>
      <c r="Y62" s="608">
        <f t="shared" si="54"/>
        <v>0.43456343703758948</v>
      </c>
      <c r="Z62" s="608">
        <f t="shared" si="54"/>
        <v>0.28586835784741771</v>
      </c>
      <c r="AA62" s="608">
        <f t="shared" si="54"/>
        <v>0.12563324090253136</v>
      </c>
      <c r="AB62" s="608">
        <f t="shared" si="54"/>
        <v>-0.36043840981756636</v>
      </c>
      <c r="AC62" s="608">
        <f t="shared" si="54"/>
        <v>9.3031521807268147E-2</v>
      </c>
      <c r="AD62" s="608">
        <f t="shared" si="54"/>
        <v>0.37129342342521277</v>
      </c>
      <c r="AE62" s="608">
        <f t="shared" si="54"/>
        <v>0.13965755928317791</v>
      </c>
      <c r="AF62" s="608">
        <f t="shared" si="54"/>
        <v>0.13327344359278959</v>
      </c>
      <c r="AG62" s="608">
        <f t="shared" si="54"/>
        <v>4.4101039505331618E-2</v>
      </c>
      <c r="AH62" s="608">
        <f t="shared" si="54"/>
        <v>2.3958075303442961E-3</v>
      </c>
      <c r="AI62" s="608">
        <f t="shared" si="54"/>
        <v>-0.14952469051391992</v>
      </c>
      <c r="AJ62" s="608">
        <f t="shared" si="54"/>
        <v>-0.36059793455043687</v>
      </c>
      <c r="AK62" s="608">
        <f t="shared" si="54"/>
        <v>0.27884113671673605</v>
      </c>
      <c r="AL62" s="608">
        <f t="shared" si="54"/>
        <v>0.27406721065211159</v>
      </c>
      <c r="AM62" s="608">
        <f>AM61/AL61-1</f>
        <v>-1.3742712726792172E-2</v>
      </c>
      <c r="AN62" s="608">
        <f>AN61/AM61-1</f>
        <v>-1.5914190852700294E-2</v>
      </c>
      <c r="AO62" s="608">
        <f>AO61/AN61-1</f>
        <v>-1.7106429234581944E-2</v>
      </c>
      <c r="AP62" s="608">
        <f>AP61/AO61-1</f>
        <v>8.0638381896691591E-4</v>
      </c>
      <c r="AQ62" s="608"/>
      <c r="AR62" s="1291"/>
      <c r="AS62" s="1264"/>
      <c r="AT62" s="1264"/>
      <c r="AU62" s="1270"/>
      <c r="AY62" s="254"/>
    </row>
    <row r="63" spans="1:51" x14ac:dyDescent="0.2">
      <c r="A63" s="607"/>
      <c r="O63" s="596"/>
      <c r="P63" s="596"/>
      <c r="Q63" s="596"/>
      <c r="R63" s="596"/>
      <c r="S63" s="596"/>
      <c r="T63" s="596"/>
      <c r="U63" s="596"/>
      <c r="V63" s="596"/>
      <c r="W63" s="596"/>
      <c r="X63" s="596"/>
      <c r="Y63" s="596"/>
      <c r="Z63" s="596"/>
      <c r="AA63" s="596"/>
      <c r="AB63" s="596"/>
      <c r="AC63" s="596"/>
      <c r="AD63" s="596"/>
      <c r="AE63" s="596"/>
      <c r="AF63" s="596"/>
      <c r="AG63" s="608"/>
      <c r="AH63" s="608"/>
      <c r="AI63" s="631"/>
      <c r="AJ63" s="631"/>
      <c r="AK63" s="631"/>
      <c r="AL63" s="631"/>
      <c r="AM63" s="631"/>
      <c r="AN63" s="631"/>
      <c r="AO63" s="631"/>
      <c r="AP63" s="631"/>
      <c r="AQ63" s="608"/>
      <c r="AR63" s="1291"/>
      <c r="AS63" s="1264"/>
      <c r="AT63" s="1264"/>
      <c r="AU63" s="1270"/>
    </row>
    <row r="64" spans="1:51" x14ac:dyDescent="0.2">
      <c r="A64" s="239" t="s">
        <v>462</v>
      </c>
      <c r="B64" s="632">
        <v>147.72881599999999</v>
      </c>
      <c r="C64" s="632">
        <v>148.28283999999999</v>
      </c>
      <c r="D64" s="632">
        <v>148.764816</v>
      </c>
      <c r="E64" s="632">
        <v>149.00878399999999</v>
      </c>
      <c r="F64" s="632">
        <v>161.96344400000001</v>
      </c>
      <c r="G64" s="632">
        <v>163.518</v>
      </c>
      <c r="H64" s="632">
        <v>162.833416</v>
      </c>
      <c r="I64" s="632">
        <v>163</v>
      </c>
      <c r="J64" s="633">
        <f>INDEX('qtrP&amp;L'!194:194,MATCH(J5,'qtrP&amp;L'!6:6,0))</f>
        <v>163.117537</v>
      </c>
      <c r="K64" s="633">
        <f>INDEX('qtrP&amp;L'!194:194,MATCH(K5,'qtrP&amp;L'!6:6,0))</f>
        <v>163.5708735</v>
      </c>
      <c r="L64" s="633">
        <f>INDEX('qtrP&amp;L'!194:194,MATCH(L5,'qtrP&amp;L'!6:6,0))</f>
        <v>163.746172</v>
      </c>
      <c r="M64" s="633">
        <f>INDEX('qtrP&amp;L'!194:194,MATCH(M5,'qtrP&amp;L'!6:6,0))</f>
        <v>163.889714</v>
      </c>
      <c r="N64" s="633">
        <f>INDEX('qtrP&amp;L'!194:194,MATCH(N5,'qtrP&amp;L'!6:6,0))</f>
        <v>164.089698</v>
      </c>
      <c r="O64" s="633">
        <f>INDEX('qtrP&amp;L'!194:194,MATCH(O5,'qtrP&amp;L'!6:6,0))</f>
        <v>163.83924999999999</v>
      </c>
      <c r="P64" s="633">
        <f>INDEX('qtrP&amp;L'!194:194,MATCH(P5,'qtrP&amp;L'!6:6,0))</f>
        <v>161.697968</v>
      </c>
      <c r="Q64" s="633">
        <f>INDEX('qtrP&amp;L'!194:194,MATCH(Q5,'qtrP&amp;L'!6:6,0))</f>
        <v>155.12519850000001</v>
      </c>
      <c r="R64" s="633">
        <f>INDEX('qtrP&amp;L'!194:194,MATCH(R5,'qtrP&amp;L'!6:6,0))</f>
        <v>146.90999649999998</v>
      </c>
      <c r="S64" s="633">
        <f>INDEX('qtrP&amp;L'!194:194,MATCH(S5,'qtrP&amp;L'!6:6,0))</f>
        <v>138.42500000000001</v>
      </c>
      <c r="T64" s="633">
        <f>INDEX('qtrP&amp;L'!194:194,MATCH(T5,'qtrP&amp;L'!6:6,0))</f>
        <v>131.26274999999998</v>
      </c>
      <c r="U64" s="633">
        <f>INDEX('qtrP&amp;L'!194:194,MATCH(U5,'qtrP&amp;L'!6:6,0))</f>
        <v>268.73500000000001</v>
      </c>
      <c r="V64" s="633">
        <f>INDEX('qtrP&amp;L'!194:194,MATCH(V5,'qtrP&amp;L'!6:6,0))</f>
        <v>271.56950000000001</v>
      </c>
      <c r="W64" s="633">
        <f>INDEX('qtrP&amp;L'!194:194,MATCH(W5,'qtrP&amp;L'!6:6,0))</f>
        <v>275.46449999999999</v>
      </c>
      <c r="X64" s="633">
        <f>INDEX('qtrP&amp;L'!194:194,MATCH(X5,'qtrP&amp;L'!6:6,0))</f>
        <v>284.471</v>
      </c>
      <c r="Y64" s="633">
        <f>INDEX('qtrP&amp;L'!194:194,MATCH(Y5,'qtrP&amp;L'!6:6,0))</f>
        <v>277.77600000000001</v>
      </c>
      <c r="Z64" s="633">
        <f>INDEX('qtrP&amp;L'!194:194,MATCH(Z5,'qtrP&amp;L'!6:6,0))</f>
        <v>265.72575000000001</v>
      </c>
      <c r="AA64" s="633">
        <f>INDEX('qtrP&amp;L'!194:194,MATCH(AA5,'qtrP&amp;L'!6:6,0))</f>
        <v>248.85725000000002</v>
      </c>
      <c r="AB64" s="633">
        <f>INDEX('qtrP&amp;L'!194:194,MATCH(AB5,'qtrP&amp;L'!6:6,0))</f>
        <v>219.02500000000001</v>
      </c>
      <c r="AC64" s="633">
        <f>INDEX('qtrP&amp;L'!194:194,MATCH(AC5,'qtrP&amp;L'!6:6,0))</f>
        <v>219.65</v>
      </c>
      <c r="AD64" s="633">
        <f>INDEX('qtrP&amp;L'!194:194,MATCH(AD5,'qtrP&amp;L'!6:6,0))</f>
        <v>222.65</v>
      </c>
      <c r="AE64" s="633">
        <f>INDEX('qtrP&amp;L'!194:194,MATCH(AE5,'qtrP&amp;L'!6:6,0))</f>
        <v>217.67500000000001</v>
      </c>
      <c r="AF64" s="633">
        <f>INDEX('qtrP&amp;L'!194:194,MATCH(AF5,'qtrP&amp;L'!6:6,0))</f>
        <v>206.7</v>
      </c>
      <c r="AG64" s="633">
        <f>INDEX('qtrP&amp;L'!194:194,MATCH(AG5,'qtrP&amp;L'!6:6,0))</f>
        <v>197.7</v>
      </c>
      <c r="AH64" s="633">
        <f>INDEX('qtrP&amp;L'!194:194,MATCH(AH5,'qtrP&amp;L'!6:6,0))</f>
        <v>193.6</v>
      </c>
      <c r="AI64" s="633">
        <f>INDEX('qtrP&amp;L'!194:194,MATCH(AI5,'qtrP&amp;L'!6:6,0))</f>
        <v>189.8</v>
      </c>
      <c r="AJ64" s="633">
        <f>INDEX('qtrP&amp;L'!194:194,MATCH(AJ5,'qtrP&amp;L'!6:6,0))</f>
        <v>174.89999999999998</v>
      </c>
      <c r="AK64" s="633">
        <f>'qtrP&amp;L'!DH194</f>
        <v>168.98500000000001</v>
      </c>
      <c r="AL64" s="1319">
        <f>'qtrP&amp;L'!DL194</f>
        <v>163.32124999999999</v>
      </c>
      <c r="AM64" s="1138">
        <f>sumry!FV40</f>
        <v>157.82124999999999</v>
      </c>
      <c r="AN64" s="1139">
        <f>sumry!FW40</f>
        <v>153.32124999999999</v>
      </c>
      <c r="AO64" s="1139">
        <f>sumry!FX40</f>
        <v>148.82124999999999</v>
      </c>
      <c r="AP64" s="1139">
        <f>sumry!FY40</f>
        <v>144.32124999999999</v>
      </c>
      <c r="AQ64" s="634"/>
      <c r="AR64" s="1301">
        <f>RATE(5,,-AE64,AJ64)*100</f>
        <v>-4.2814190949451998</v>
      </c>
      <c r="AS64" s="1279" t="s">
        <v>90</v>
      </c>
      <c r="AT64" s="1302">
        <f>RATE(6,,-AJ64,AP64)*100</f>
        <v>-3.1521288625526354</v>
      </c>
      <c r="AU64" s="1295" t="s">
        <v>90</v>
      </c>
    </row>
    <row r="65" spans="1:49" x14ac:dyDescent="0.2">
      <c r="Z65" s="532"/>
      <c r="AA65" s="532"/>
      <c r="AB65" s="532"/>
      <c r="AC65" s="532"/>
      <c r="AD65" s="532"/>
      <c r="AE65" s="532"/>
      <c r="AJ65" s="532"/>
      <c r="AK65" s="633"/>
      <c r="AL65" s="532"/>
      <c r="AM65" s="532"/>
      <c r="AN65" s="532"/>
      <c r="AO65" s="532"/>
      <c r="AP65" s="532"/>
      <c r="AQ65" s="532"/>
    </row>
    <row r="66" spans="1:49" x14ac:dyDescent="0.2">
      <c r="A66" s="635" t="s">
        <v>77</v>
      </c>
      <c r="Z66" s="532"/>
      <c r="AA66" s="532"/>
      <c r="AB66" s="532"/>
      <c r="AC66" s="532"/>
      <c r="AD66" s="532"/>
      <c r="AE66" s="532"/>
      <c r="AR66" s="1264"/>
      <c r="AS66" s="1264"/>
      <c r="AT66" s="1264"/>
      <c r="AU66" s="1264"/>
    </row>
    <row r="67" spans="1:49" x14ac:dyDescent="0.2">
      <c r="AK67" s="1330"/>
      <c r="AL67" s="1330"/>
      <c r="AM67" s="1330"/>
      <c r="AN67" s="1330"/>
      <c r="AO67" s="1330"/>
      <c r="AP67" s="1330"/>
    </row>
    <row r="68" spans="1:49" x14ac:dyDescent="0.2">
      <c r="AK68" s="254"/>
    </row>
    <row r="69" spans="1:49" x14ac:dyDescent="0.2">
      <c r="AK69" s="615"/>
      <c r="AL69" s="615"/>
      <c r="AM69" s="615"/>
      <c r="AN69" s="615"/>
      <c r="AO69" s="615"/>
      <c r="AP69" s="615"/>
      <c r="AQ69" s="615"/>
      <c r="AW69" s="254"/>
    </row>
    <row r="70" spans="1:49" x14ac:dyDescent="0.2">
      <c r="AK70" s="254"/>
    </row>
  </sheetData>
  <phoneticPr fontId="10" type="noConversion"/>
  <conditionalFormatting sqref="B31:AF31 B19:AG19 B23:AG23 B27:AF27 AJ23:AK23 AJ19:AK19">
    <cfRule type="cellIs" dxfId="37" priority="41" stopIfTrue="1" operator="greaterThan">
      <formula>0</formula>
    </cfRule>
    <cfRule type="cellIs" dxfId="36" priority="42" stopIfTrue="1" operator="lessThan">
      <formula>0</formula>
    </cfRule>
  </conditionalFormatting>
  <conditionalFormatting sqref="AL19 AL23:AM23">
    <cfRule type="cellIs" dxfId="35" priority="35" stopIfTrue="1" operator="greaterThan">
      <formula>0</formula>
    </cfRule>
    <cfRule type="cellIs" dxfId="34" priority="36" stopIfTrue="1" operator="lessThan">
      <formula>0</formula>
    </cfRule>
  </conditionalFormatting>
  <conditionalFormatting sqref="AH19 AH23">
    <cfRule type="cellIs" dxfId="33" priority="33" stopIfTrue="1" operator="greaterThan">
      <formula>0</formula>
    </cfRule>
    <cfRule type="cellIs" dxfId="32" priority="34" stopIfTrue="1" operator="lessThan">
      <formula>0</formula>
    </cfRule>
  </conditionalFormatting>
  <conditionalFormatting sqref="AI19 AI23">
    <cfRule type="cellIs" dxfId="31" priority="31" stopIfTrue="1" operator="greaterThan">
      <formula>0</formula>
    </cfRule>
    <cfRule type="cellIs" dxfId="30" priority="32" stopIfTrue="1" operator="lessThan">
      <formula>0</formula>
    </cfRule>
  </conditionalFormatting>
  <conditionalFormatting sqref="AQ23 AM19 AQ19">
    <cfRule type="cellIs" dxfId="29" priority="29" stopIfTrue="1" operator="greaterThan">
      <formula>0</formula>
    </cfRule>
    <cfRule type="cellIs" dxfId="28" priority="30" stopIfTrue="1" operator="lessThan">
      <formula>0</formula>
    </cfRule>
  </conditionalFormatting>
  <conditionalFormatting sqref="AG27:AH27">
    <cfRule type="cellIs" dxfId="27" priority="27" stopIfTrue="1" operator="greaterThan">
      <formula>0</formula>
    </cfRule>
    <cfRule type="cellIs" dxfId="26" priority="28" stopIfTrue="1" operator="lessThan">
      <formula>0</formula>
    </cfRule>
  </conditionalFormatting>
  <conditionalFormatting sqref="AG31:AH31">
    <cfRule type="cellIs" dxfId="25" priority="25" stopIfTrue="1" operator="greaterThan">
      <formula>0</formula>
    </cfRule>
    <cfRule type="cellIs" dxfId="24" priority="26" stopIfTrue="1" operator="lessThan">
      <formula>0</formula>
    </cfRule>
  </conditionalFormatting>
  <conditionalFormatting sqref="AN23">
    <cfRule type="cellIs" dxfId="23" priority="23" stopIfTrue="1" operator="greaterThan">
      <formula>0</formula>
    </cfRule>
    <cfRule type="cellIs" dxfId="22" priority="24" stopIfTrue="1" operator="lessThan">
      <formula>0</formula>
    </cfRule>
  </conditionalFormatting>
  <conditionalFormatting sqref="AN19">
    <cfRule type="cellIs" dxfId="21" priority="21" stopIfTrue="1" operator="greaterThan">
      <formula>0</formula>
    </cfRule>
    <cfRule type="cellIs" dxfId="20" priority="22" stopIfTrue="1" operator="lessThan">
      <formula>0</formula>
    </cfRule>
  </conditionalFormatting>
  <conditionalFormatting sqref="AO23">
    <cfRule type="cellIs" dxfId="19" priority="19" stopIfTrue="1" operator="greaterThan">
      <formula>0</formula>
    </cfRule>
    <cfRule type="cellIs" dxfId="18" priority="20" stopIfTrue="1" operator="lessThan">
      <formula>0</formula>
    </cfRule>
  </conditionalFormatting>
  <conditionalFormatting sqref="AO19">
    <cfRule type="cellIs" dxfId="17" priority="17" stopIfTrue="1" operator="greaterThan">
      <formula>0</formula>
    </cfRule>
    <cfRule type="cellIs" dxfId="16" priority="18" stopIfTrue="1" operator="lessThan">
      <formula>0</formula>
    </cfRule>
  </conditionalFormatting>
  <conditionalFormatting sqref="AI27">
    <cfRule type="cellIs" dxfId="15" priority="15" stopIfTrue="1" operator="greaterThan">
      <formula>0</formula>
    </cfRule>
    <cfRule type="cellIs" dxfId="14" priority="16" stopIfTrue="1" operator="lessThan">
      <formula>0</formula>
    </cfRule>
  </conditionalFormatting>
  <conditionalFormatting sqref="AJ27">
    <cfRule type="cellIs" dxfId="13" priority="13" stopIfTrue="1" operator="greaterThan">
      <formula>0</formula>
    </cfRule>
    <cfRule type="cellIs" dxfId="12" priority="14" stopIfTrue="1" operator="lessThan">
      <formula>0</formula>
    </cfRule>
  </conditionalFormatting>
  <conditionalFormatting sqref="AI31">
    <cfRule type="cellIs" dxfId="11" priority="11" stopIfTrue="1" operator="greaterThan">
      <formula>0</formula>
    </cfRule>
    <cfRule type="cellIs" dxfId="10" priority="12" stopIfTrue="1" operator="lessThan">
      <formula>0</formula>
    </cfRule>
  </conditionalFormatting>
  <conditionalFormatting sqref="AJ31:AK31">
    <cfRule type="cellIs" dxfId="9" priority="9" stopIfTrue="1" operator="greaterThan">
      <formula>0</formula>
    </cfRule>
    <cfRule type="cellIs" dxfId="8" priority="10" stopIfTrue="1" operator="lessThan">
      <formula>0</formula>
    </cfRule>
  </conditionalFormatting>
  <conditionalFormatting sqref="AK27">
    <cfRule type="cellIs" dxfId="7" priority="7" stopIfTrue="1" operator="greaterThan">
      <formula>0</formula>
    </cfRule>
    <cfRule type="cellIs" dxfId="6" priority="8" stopIfTrue="1" operator="lessThan">
      <formula>0</formula>
    </cfRule>
  </conditionalFormatting>
  <conditionalFormatting sqref="AP23">
    <cfRule type="cellIs" dxfId="5" priority="5" stopIfTrue="1" operator="greaterThan">
      <formula>0</formula>
    </cfRule>
    <cfRule type="cellIs" dxfId="4" priority="6" stopIfTrue="1" operator="lessThan">
      <formula>0</formula>
    </cfRule>
  </conditionalFormatting>
  <conditionalFormatting sqref="AP19">
    <cfRule type="cellIs" dxfId="3" priority="3" stopIfTrue="1" operator="greaterThan">
      <formula>0</formula>
    </cfRule>
    <cfRule type="cellIs" dxfId="2" priority="4" stopIfTrue="1" operator="lessThan">
      <formula>0</formula>
    </cfRule>
  </conditionalFormatting>
  <conditionalFormatting sqref="AL27">
    <cfRule type="cellIs" dxfId="1" priority="1" stopIfTrue="1" operator="greaterThan">
      <formula>0</formula>
    </cfRule>
    <cfRule type="cellIs" dxfId="0" priority="2" stopIfTrue="1" operator="lessThan">
      <formula>0</formula>
    </cfRule>
  </conditionalFormatting>
  <dataValidations disablePrompts="1" count="1">
    <dataValidation type="custom" allowBlank="1" showInputMessage="1" showErrorMessage="1" sqref="AR7 AR9 AR17 AR21 AR25 AR29 AR37 AR42 AR45 AR50 AR55 AR58 AR61 AR64">
      <formula1>-1</formula1>
    </dataValidation>
  </dataValidations>
  <pageMargins left="0.01" right="0.01" top="1" bottom="1" header="0.5" footer="0.5"/>
  <pageSetup scale="54" orientation="landscape" horizontalDpi="300" verticalDpi="300" r:id="rId1"/>
  <headerFooter alignWithMargins="0"/>
  <rowBreaks count="1" manualBreakCount="1">
    <brk id="64" max="35"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BA74"/>
  <sheetViews>
    <sheetView zoomScaleNormal="100" workbookViewId="0">
      <selection activeCell="AN38" sqref="AN38"/>
    </sheetView>
  </sheetViews>
  <sheetFormatPr defaultRowHeight="12.75" outlineLevelRow="1" outlineLevelCol="1" x14ac:dyDescent="0.2"/>
  <cols>
    <col min="1" max="1" width="1.85546875" style="8" customWidth="1"/>
    <col min="2" max="2" width="4" style="8" customWidth="1"/>
    <col min="3" max="3" width="27.140625" style="8" customWidth="1"/>
    <col min="4" max="4" width="2.140625" style="8" customWidth="1"/>
    <col min="5" max="18" width="0" style="8" hidden="1" customWidth="1" outlineLevel="1"/>
    <col min="19" max="22" width="9.42578125" style="8" hidden="1" customWidth="1" outlineLevel="1"/>
    <col min="23" max="23" width="9.28515625" style="8" hidden="1" customWidth="1" outlineLevel="1"/>
    <col min="24" max="25" width="9.42578125" style="8" hidden="1" customWidth="1" outlineLevel="1"/>
    <col min="26" max="26" width="9.28515625" style="8" hidden="1" customWidth="1" collapsed="1"/>
    <col min="27" max="27" width="9.28515625" style="8" hidden="1" customWidth="1"/>
    <col min="28" max="32" width="9.28515625" style="8" hidden="1" customWidth="1" outlineLevel="1"/>
    <col min="33" max="33" width="9.28515625" style="8" bestFit="1" customWidth="1" collapsed="1"/>
    <col min="34" max="34" width="9" style="8" customWidth="1"/>
    <col min="35" max="35" width="12.140625" style="8" customWidth="1"/>
    <col min="36" max="41" width="10.140625" style="8" bestFit="1" customWidth="1"/>
    <col min="42" max="43" width="10.140625" style="8" customWidth="1"/>
    <col min="44" max="45" width="10.140625" style="8" hidden="1" customWidth="1" outlineLevel="1"/>
    <col min="46" max="46" width="9.140625" style="8" collapsed="1"/>
    <col min="47" max="47" width="9.140625" style="8"/>
    <col min="48" max="48" width="35.140625" hidden="1" customWidth="1" outlineLevel="1"/>
    <col min="49" max="52" width="9.140625" hidden="1" customWidth="1" outlineLevel="1"/>
    <col min="53" max="53" width="9.140625" collapsed="1"/>
    <col min="54" max="16384" width="9.140625" style="8"/>
  </cols>
  <sheetData>
    <row r="1" spans="1:53" s="239" customFormat="1" x14ac:dyDescent="0.2">
      <c r="A1" s="504" t="s">
        <v>298</v>
      </c>
      <c r="AT1" s="550"/>
      <c r="AU1" s="550"/>
      <c r="AV1"/>
      <c r="AW1"/>
      <c r="AX1"/>
      <c r="AY1"/>
      <c r="AZ1"/>
      <c r="BA1"/>
    </row>
    <row r="2" spans="1:53" s="239" customFormat="1" x14ac:dyDescent="0.2">
      <c r="A2" s="505" t="s">
        <v>599</v>
      </c>
      <c r="B2" s="240"/>
      <c r="C2" s="240"/>
      <c r="D2" s="240"/>
      <c r="E2" s="240"/>
      <c r="F2" s="240"/>
      <c r="G2" s="240"/>
      <c r="H2" s="240"/>
      <c r="I2" s="240"/>
      <c r="J2" s="240"/>
      <c r="K2" s="240"/>
      <c r="L2" s="240"/>
      <c r="M2" s="240"/>
      <c r="N2" s="240"/>
      <c r="O2" s="240"/>
      <c r="P2" s="240"/>
      <c r="Q2" s="240"/>
      <c r="R2" s="240"/>
      <c r="S2" s="240"/>
      <c r="T2" s="240"/>
      <c r="U2" s="240"/>
      <c r="V2" s="240"/>
      <c r="W2" s="240"/>
      <c r="X2" s="240"/>
      <c r="Y2" s="240"/>
      <c r="Z2" s="240"/>
      <c r="AA2" s="240"/>
      <c r="AB2" s="240"/>
      <c r="AC2" s="240"/>
      <c r="AD2" s="240"/>
      <c r="AE2" s="240"/>
      <c r="AF2" s="240"/>
      <c r="AG2" s="240"/>
      <c r="AH2" s="240"/>
      <c r="AI2" s="240"/>
      <c r="AJ2" s="240"/>
      <c r="AK2" s="240"/>
      <c r="AL2" s="240"/>
      <c r="AM2" s="240"/>
      <c r="AN2" s="240"/>
      <c r="AO2" s="240"/>
      <c r="AP2" s="240"/>
      <c r="AQ2" s="240"/>
      <c r="AR2" s="240"/>
      <c r="AS2" s="240"/>
      <c r="AT2" s="550"/>
      <c r="AU2" s="550"/>
      <c r="AV2"/>
      <c r="AW2"/>
      <c r="AX2"/>
      <c r="AY2"/>
      <c r="AZ2"/>
      <c r="BA2"/>
    </row>
    <row r="3" spans="1:53" s="239" customFormat="1" x14ac:dyDescent="0.2">
      <c r="A3" s="506" t="s">
        <v>84</v>
      </c>
      <c r="AI3" s="255"/>
      <c r="AJ3" s="255"/>
      <c r="AK3" s="255"/>
      <c r="AL3" s="255"/>
      <c r="AM3" s="255"/>
      <c r="AN3" s="255"/>
      <c r="AO3" s="255"/>
      <c r="AP3" s="255"/>
      <c r="AQ3" s="255"/>
      <c r="AR3" s="255"/>
      <c r="AS3" s="255"/>
      <c r="AT3" s="550"/>
      <c r="AU3" s="550"/>
      <c r="AV3"/>
      <c r="AW3"/>
      <c r="AX3"/>
      <c r="AY3"/>
      <c r="AZ3"/>
      <c r="BA3"/>
    </row>
    <row r="4" spans="1:53" s="239" customFormat="1" x14ac:dyDescent="0.2">
      <c r="A4" s="506" t="s">
        <v>85</v>
      </c>
      <c r="Y4" s="252"/>
      <c r="Z4" s="252"/>
      <c r="AI4" s="599"/>
      <c r="AJ4" s="599"/>
      <c r="AK4" s="980"/>
      <c r="AL4" s="616"/>
      <c r="AM4" s="616"/>
      <c r="AN4" s="616"/>
      <c r="AO4" s="981"/>
      <c r="AP4" s="981"/>
      <c r="AQ4" s="981"/>
      <c r="AR4" s="981"/>
      <c r="AS4" s="981"/>
      <c r="AT4" s="550"/>
      <c r="AU4" s="550"/>
      <c r="AV4"/>
      <c r="AW4"/>
      <c r="AX4"/>
      <c r="AY4"/>
      <c r="AZ4"/>
      <c r="BA4"/>
    </row>
    <row r="5" spans="1:53" s="239" customFormat="1" ht="7.5" customHeight="1" x14ac:dyDescent="0.2">
      <c r="AI5" s="252"/>
      <c r="AJ5" s="256"/>
      <c r="AK5" s="256"/>
      <c r="AL5" s="256"/>
      <c r="AM5" s="256"/>
      <c r="AN5" s="256"/>
      <c r="AO5" s="256"/>
      <c r="AP5" s="256"/>
      <c r="AQ5" s="256"/>
      <c r="AR5" s="256"/>
      <c r="AS5" s="256"/>
      <c r="AT5" s="550"/>
      <c r="AU5" s="550"/>
      <c r="AV5"/>
      <c r="AW5"/>
      <c r="AX5"/>
      <c r="AY5"/>
      <c r="AZ5"/>
      <c r="BA5"/>
    </row>
    <row r="6" spans="1:53" s="239" customFormat="1" x14ac:dyDescent="0.2">
      <c r="E6" s="640">
        <f t="shared" ref="E6:N6" si="0">F6-1</f>
        <v>1982</v>
      </c>
      <c r="F6" s="640">
        <f t="shared" si="0"/>
        <v>1983</v>
      </c>
      <c r="G6" s="640">
        <f t="shared" si="0"/>
        <v>1984</v>
      </c>
      <c r="H6" s="640">
        <f t="shared" si="0"/>
        <v>1985</v>
      </c>
      <c r="I6" s="640">
        <f t="shared" si="0"/>
        <v>1986</v>
      </c>
      <c r="J6" s="640">
        <f t="shared" si="0"/>
        <v>1987</v>
      </c>
      <c r="K6" s="640">
        <f t="shared" si="0"/>
        <v>1988</v>
      </c>
      <c r="L6" s="640">
        <f t="shared" si="0"/>
        <v>1989</v>
      </c>
      <c r="M6" s="640">
        <f t="shared" si="0"/>
        <v>1990</v>
      </c>
      <c r="N6" s="640">
        <f t="shared" si="0"/>
        <v>1991</v>
      </c>
      <c r="O6" s="640">
        <v>1992</v>
      </c>
      <c r="P6" s="640">
        <f t="shared" ref="P6:AJ6" si="1">O6+1</f>
        <v>1993</v>
      </c>
      <c r="Q6" s="640">
        <f t="shared" si="1"/>
        <v>1994</v>
      </c>
      <c r="R6" s="640">
        <f t="shared" si="1"/>
        <v>1995</v>
      </c>
      <c r="S6" s="640">
        <f t="shared" si="1"/>
        <v>1996</v>
      </c>
      <c r="T6" s="640">
        <f t="shared" si="1"/>
        <v>1997</v>
      </c>
      <c r="U6" s="640">
        <f t="shared" si="1"/>
        <v>1998</v>
      </c>
      <c r="V6" s="640">
        <f t="shared" si="1"/>
        <v>1999</v>
      </c>
      <c r="W6" s="640">
        <f t="shared" si="1"/>
        <v>2000</v>
      </c>
      <c r="X6" s="640">
        <f t="shared" si="1"/>
        <v>2001</v>
      </c>
      <c r="Y6" s="640">
        <f t="shared" si="1"/>
        <v>2002</v>
      </c>
      <c r="Z6" s="640">
        <f t="shared" si="1"/>
        <v>2003</v>
      </c>
      <c r="AA6" s="640">
        <f t="shared" si="1"/>
        <v>2004</v>
      </c>
      <c r="AB6" s="640">
        <f t="shared" si="1"/>
        <v>2005</v>
      </c>
      <c r="AC6" s="640">
        <f t="shared" si="1"/>
        <v>2006</v>
      </c>
      <c r="AD6" s="640">
        <f t="shared" si="1"/>
        <v>2007</v>
      </c>
      <c r="AE6" s="640">
        <f t="shared" si="1"/>
        <v>2008</v>
      </c>
      <c r="AF6" s="640">
        <f t="shared" si="1"/>
        <v>2009</v>
      </c>
      <c r="AG6" s="640">
        <f t="shared" si="1"/>
        <v>2010</v>
      </c>
      <c r="AH6" s="640">
        <f t="shared" si="1"/>
        <v>2011</v>
      </c>
      <c r="AI6" s="640">
        <f t="shared" si="1"/>
        <v>2012</v>
      </c>
      <c r="AJ6" s="640">
        <f t="shared" si="1"/>
        <v>2013</v>
      </c>
      <c r="AK6" s="640">
        <f t="shared" ref="AK6:AS6" si="2">AJ6+1</f>
        <v>2014</v>
      </c>
      <c r="AL6" s="640">
        <f t="shared" si="2"/>
        <v>2015</v>
      </c>
      <c r="AM6" s="640">
        <f t="shared" si="2"/>
        <v>2016</v>
      </c>
      <c r="AN6" s="640">
        <f t="shared" si="2"/>
        <v>2017</v>
      </c>
      <c r="AO6" s="1226">
        <f t="shared" si="2"/>
        <v>2018</v>
      </c>
      <c r="AP6" s="1226">
        <f t="shared" si="2"/>
        <v>2019</v>
      </c>
      <c r="AQ6" s="1226">
        <f t="shared" si="2"/>
        <v>2020</v>
      </c>
      <c r="AR6" s="1226">
        <f t="shared" si="2"/>
        <v>2021</v>
      </c>
      <c r="AS6" s="1226">
        <f t="shared" si="2"/>
        <v>2022</v>
      </c>
      <c r="AT6" s="550"/>
      <c r="AU6" s="550"/>
      <c r="AV6"/>
      <c r="AW6"/>
      <c r="AX6"/>
      <c r="AY6"/>
      <c r="AZ6"/>
      <c r="BA6"/>
    </row>
    <row r="7" spans="1:53" s="239" customFormat="1" x14ac:dyDescent="0.2">
      <c r="E7" s="596"/>
      <c r="F7" s="596"/>
      <c r="G7" s="596"/>
      <c r="H7" s="596"/>
      <c r="I7" s="596"/>
      <c r="J7" s="596"/>
      <c r="K7" s="596"/>
      <c r="L7" s="596"/>
      <c r="M7" s="596"/>
      <c r="N7" s="596"/>
      <c r="O7" s="596"/>
      <c r="P7" s="596"/>
      <c r="Q7" s="596"/>
      <c r="R7" s="596"/>
      <c r="S7" s="596"/>
      <c r="T7" s="596"/>
      <c r="U7" s="596"/>
      <c r="V7" s="596"/>
      <c r="W7" s="596"/>
      <c r="X7" s="596"/>
      <c r="Y7" s="596"/>
      <c r="Z7" s="596"/>
      <c r="AA7" s="596"/>
      <c r="AB7" s="596"/>
      <c r="AC7" s="596"/>
      <c r="AD7" s="596"/>
      <c r="AE7" s="596"/>
      <c r="AF7" s="596"/>
      <c r="AG7" s="596"/>
      <c r="AH7" s="596"/>
      <c r="AT7" s="550"/>
      <c r="AU7" s="550"/>
      <c r="AV7"/>
      <c r="AW7"/>
      <c r="AX7"/>
      <c r="AY7"/>
      <c r="AZ7"/>
      <c r="BA7"/>
    </row>
    <row r="8" spans="1:53" s="239" customFormat="1" x14ac:dyDescent="0.2">
      <c r="A8" s="880" t="s">
        <v>117</v>
      </c>
      <c r="F8" s="605"/>
      <c r="G8" s="605"/>
      <c r="H8" s="605"/>
      <c r="I8" s="605"/>
      <c r="J8" s="605"/>
      <c r="K8" s="605"/>
      <c r="L8" s="605"/>
      <c r="M8" s="605"/>
      <c r="N8" s="605"/>
      <c r="O8" s="605"/>
      <c r="P8" s="605"/>
      <c r="Q8" s="605"/>
      <c r="R8" s="605"/>
      <c r="S8" s="605"/>
      <c r="T8" s="605"/>
      <c r="U8" s="605"/>
      <c r="V8" s="605"/>
      <c r="W8" s="605"/>
      <c r="X8" s="605"/>
      <c r="Y8" s="605"/>
      <c r="Z8" s="605"/>
      <c r="AA8" s="605"/>
      <c r="AB8" s="605"/>
      <c r="AC8" s="605"/>
      <c r="AD8" s="605"/>
      <c r="AE8" s="254"/>
      <c r="AF8" s="254"/>
      <c r="AG8" s="254"/>
      <c r="AH8" s="255"/>
      <c r="AI8" s="255"/>
      <c r="AJ8" s="255"/>
      <c r="AM8" s="255"/>
      <c r="AN8" s="255"/>
      <c r="AO8" s="255"/>
      <c r="AT8" s="550"/>
      <c r="AU8" s="550"/>
      <c r="AV8"/>
      <c r="AW8"/>
      <c r="AX8"/>
      <c r="AY8"/>
      <c r="AZ8"/>
      <c r="BA8"/>
    </row>
    <row r="9" spans="1:53" s="239" customFormat="1" x14ac:dyDescent="0.2">
      <c r="B9" s="239" t="s">
        <v>9</v>
      </c>
      <c r="D9" s="582"/>
      <c r="E9" s="604">
        <v>11.193</v>
      </c>
      <c r="F9" s="604">
        <v>2.6259999999999999</v>
      </c>
      <c r="G9" s="604">
        <v>7.806</v>
      </c>
      <c r="H9" s="604">
        <v>8.0559999999999992</v>
      </c>
      <c r="I9" s="604">
        <v>28.286999999999999</v>
      </c>
      <c r="J9" s="604">
        <v>4.9490000000000007</v>
      </c>
      <c r="K9" s="604">
        <v>16.058</v>
      </c>
      <c r="L9" s="604">
        <v>33.051000000000002</v>
      </c>
      <c r="M9" s="604">
        <v>24.661999999999999</v>
      </c>
      <c r="N9" s="604">
        <v>14.651</v>
      </c>
      <c r="O9" s="604">
        <v>29.135999999999999</v>
      </c>
      <c r="P9" s="604">
        <v>91.221999999999994</v>
      </c>
      <c r="Q9" s="604">
        <v>32.497</v>
      </c>
      <c r="R9" s="604">
        <v>24.516999999999999</v>
      </c>
      <c r="S9" s="604">
        <v>28.283999999999999</v>
      </c>
      <c r="T9" s="605">
        <f>flow!S41</f>
        <v>25.480997999999779</v>
      </c>
      <c r="U9" s="605">
        <f>flow!T41</f>
        <v>242.13387900000004</v>
      </c>
      <c r="V9" s="605">
        <f>flow!U41</f>
        <v>27.238879000000168</v>
      </c>
      <c r="W9" s="605">
        <f>flow!V41</f>
        <v>25.777879000001178</v>
      </c>
      <c r="X9" s="605">
        <f>flow!W41</f>
        <v>353.54687900000164</v>
      </c>
      <c r="Y9" s="605">
        <f>flow!X41</f>
        <v>124.53207900000135</v>
      </c>
      <c r="Z9" s="605">
        <f>flow!Y41</f>
        <v>340.60807900000032</v>
      </c>
      <c r="AA9" s="605">
        <f>flow!Z41</f>
        <v>360.47507900000045</v>
      </c>
      <c r="AB9" s="605">
        <f>flow!AA41</f>
        <v>462.34929675831876</v>
      </c>
      <c r="AC9" s="605">
        <f>flow!AB41</f>
        <v>402.25229675831849</v>
      </c>
      <c r="AD9" s="605">
        <f>flow!AC41</f>
        <v>356.98329675831872</v>
      </c>
      <c r="AE9" s="605">
        <f>flow!AD41</f>
        <v>72.300296758318723</v>
      </c>
      <c r="AF9" s="605">
        <f>flow!AE41</f>
        <v>795.30029675831872</v>
      </c>
      <c r="AG9" s="605">
        <f>flow!AF41</f>
        <v>1506.3002967583188</v>
      </c>
      <c r="AH9" s="605">
        <f>flow!AG41</f>
        <v>1877.3002967583188</v>
      </c>
      <c r="AI9" s="605">
        <f>flow!AH41</f>
        <v>1285.3002967583188</v>
      </c>
      <c r="AJ9" s="605">
        <f>flow!AI41</f>
        <v>1194.3002967583188</v>
      </c>
      <c r="AK9" s="605">
        <f>flow!AJ41+0.2</f>
        <v>827.00029675831888</v>
      </c>
      <c r="AL9" s="605">
        <f>flow!AK41</f>
        <v>595.04029675831885</v>
      </c>
      <c r="AM9" s="605">
        <f>flow!AL41</f>
        <v>1007.0002967583189</v>
      </c>
      <c r="AN9" s="605">
        <f>flow!AM41</f>
        <v>1181.3502967583188</v>
      </c>
      <c r="AO9" s="605">
        <f>flow!AN41</f>
        <v>1039.4743838795378</v>
      </c>
      <c r="AP9" s="605">
        <f>flow!AO41</f>
        <v>1054.3465938404356</v>
      </c>
      <c r="AQ9" s="605">
        <f>flow!AP41</f>
        <v>1097.091934188079</v>
      </c>
      <c r="AR9" s="605">
        <f>flow!AQ41</f>
        <v>1114.0977441464486</v>
      </c>
      <c r="AS9" s="605">
        <f>flow!AR41</f>
        <v>1121.864327142086</v>
      </c>
      <c r="AT9" s="550"/>
      <c r="AU9" s="550"/>
      <c r="AV9"/>
      <c r="AW9"/>
      <c r="AX9"/>
      <c r="AY9"/>
      <c r="AZ9"/>
      <c r="BA9"/>
    </row>
    <row r="10" spans="1:53" s="239" customFormat="1" x14ac:dyDescent="0.2">
      <c r="B10" s="239" t="s">
        <v>15</v>
      </c>
      <c r="E10" s="982">
        <v>120.15600000000001</v>
      </c>
      <c r="F10" s="982">
        <v>162.61000000000001</v>
      </c>
      <c r="G10" s="982">
        <v>214.83099999999999</v>
      </c>
      <c r="H10" s="982">
        <v>296.02999999999997</v>
      </c>
      <c r="I10" s="982">
        <v>344.04500000000002</v>
      </c>
      <c r="J10" s="982">
        <v>404.61500000000001</v>
      </c>
      <c r="K10" s="982">
        <v>481.58</v>
      </c>
      <c r="L10" s="982">
        <v>536.274</v>
      </c>
      <c r="M10" s="982">
        <v>575.50800000000004</v>
      </c>
      <c r="N10" s="982">
        <v>608.22699999999998</v>
      </c>
      <c r="O10" s="982">
        <v>603.19799999999998</v>
      </c>
      <c r="P10" s="982">
        <v>586.44100000000003</v>
      </c>
      <c r="Q10" s="982">
        <v>675.89099999999996</v>
      </c>
      <c r="R10" s="982">
        <v>893.92700000000002</v>
      </c>
      <c r="S10" s="982">
        <v>714.58900000000006</v>
      </c>
      <c r="T10" s="982">
        <v>664.44799999999998</v>
      </c>
      <c r="U10" s="982">
        <v>587.13499999999999</v>
      </c>
      <c r="V10" s="982">
        <v>616.98900000000003</v>
      </c>
      <c r="W10" s="982">
        <v>721.95299999999997</v>
      </c>
      <c r="X10" s="982">
        <v>698.47500000000002</v>
      </c>
      <c r="Y10" s="982">
        <v>764.173</v>
      </c>
      <c r="Z10" s="982">
        <v>666.81100000000004</v>
      </c>
      <c r="AA10" s="982">
        <v>645.66300000000001</v>
      </c>
      <c r="AB10" s="982">
        <v>639.55799999999999</v>
      </c>
      <c r="AC10" s="982">
        <v>684.37599999999998</v>
      </c>
      <c r="AD10" s="982">
        <v>1788</v>
      </c>
      <c r="AE10" s="982">
        <v>1942</v>
      </c>
      <c r="AF10" s="982">
        <v>2035</v>
      </c>
      <c r="AG10" s="1117">
        <v>2026</v>
      </c>
      <c r="AH10" s="1117">
        <v>2033</v>
      </c>
      <c r="AI10" s="1117">
        <v>2129</v>
      </c>
      <c r="AJ10" s="1117">
        <v>2177</v>
      </c>
      <c r="AK10" s="1117">
        <v>2306</v>
      </c>
      <c r="AL10" s="1117">
        <v>196</v>
      </c>
      <c r="AM10" s="1117">
        <v>199</v>
      </c>
      <c r="AN10" s="1117">
        <v>145</v>
      </c>
      <c r="AO10" s="1130">
        <f>AO68/365*AO59</f>
        <v>226.71180184199571</v>
      </c>
      <c r="AP10" s="1130">
        <f>AP68/365*AP59</f>
        <v>233.65266931415093</v>
      </c>
      <c r="AQ10" s="1130">
        <f t="shared" ref="AQ10:AS11" si="3">AQ68/365*AQ59</f>
        <v>239.64457897970556</v>
      </c>
      <c r="AR10" s="983">
        <f t="shared" si="3"/>
        <v>245.54120312934444</v>
      </c>
      <c r="AS10" s="983">
        <f t="shared" si="3"/>
        <v>249.90543364838538</v>
      </c>
      <c r="AT10" s="550"/>
      <c r="AU10" s="550"/>
      <c r="AV10"/>
      <c r="AW10"/>
      <c r="AX10"/>
      <c r="AY10"/>
      <c r="AZ10"/>
      <c r="BA10"/>
    </row>
    <row r="11" spans="1:53" s="239" customFormat="1" x14ac:dyDescent="0.2">
      <c r="B11" s="239" t="s">
        <v>10</v>
      </c>
      <c r="E11" s="610">
        <v>103.67400000000001</v>
      </c>
      <c r="F11" s="610">
        <v>129.58799999999999</v>
      </c>
      <c r="G11" s="610">
        <v>162.36099999999999</v>
      </c>
      <c r="H11" s="610">
        <v>226.017</v>
      </c>
      <c r="I11" s="610">
        <v>257.334</v>
      </c>
      <c r="J11" s="610">
        <v>312.69600000000003</v>
      </c>
      <c r="K11" s="610">
        <v>403.79500000000002</v>
      </c>
      <c r="L11" s="610">
        <v>419.976</v>
      </c>
      <c r="M11" s="610">
        <v>448.34399999999999</v>
      </c>
      <c r="N11" s="610">
        <v>506.63200000000001</v>
      </c>
      <c r="O11" s="610">
        <v>536.73900000000003</v>
      </c>
      <c r="P11" s="610">
        <v>585.60199999999998</v>
      </c>
      <c r="Q11" s="610">
        <v>627.92999999999995</v>
      </c>
      <c r="R11" s="610">
        <v>626.303</v>
      </c>
      <c r="S11" s="610">
        <v>719.58900000000006</v>
      </c>
      <c r="T11" s="610">
        <v>826.04499999999996</v>
      </c>
      <c r="U11" s="610">
        <v>750.26900000000001</v>
      </c>
      <c r="V11" s="610">
        <v>797.84500000000003</v>
      </c>
      <c r="W11" s="610">
        <v>945.68700000000001</v>
      </c>
      <c r="X11" s="610">
        <v>888.17200000000003</v>
      </c>
      <c r="Y11" s="610">
        <v>953.11199999999997</v>
      </c>
      <c r="Z11" s="610">
        <v>901.32300000000009</v>
      </c>
      <c r="AA11" s="610">
        <v>917.18200000000002</v>
      </c>
      <c r="AB11" s="610">
        <v>955.97799999999995</v>
      </c>
      <c r="AC11" s="610">
        <v>997.28899999999999</v>
      </c>
      <c r="AD11" s="610">
        <v>956</v>
      </c>
      <c r="AE11" s="610">
        <v>900</v>
      </c>
      <c r="AF11" s="610">
        <v>898</v>
      </c>
      <c r="AG11" s="1118">
        <v>977</v>
      </c>
      <c r="AH11" s="1118">
        <v>1148</v>
      </c>
      <c r="AI11" s="1118">
        <v>1360</v>
      </c>
      <c r="AJ11" s="1118">
        <v>1531</v>
      </c>
      <c r="AK11" s="1118">
        <v>1733</v>
      </c>
      <c r="AL11" s="1118">
        <v>1945</v>
      </c>
      <c r="AM11" s="1118">
        <v>1896</v>
      </c>
      <c r="AN11" s="1118">
        <v>2027</v>
      </c>
      <c r="AO11" s="1143">
        <f>AO69/365*AO60</f>
        <v>2110.2024873156734</v>
      </c>
      <c r="AP11" s="1143">
        <f>AP69/365*AP60</f>
        <v>2183.6053479766806</v>
      </c>
      <c r="AQ11" s="1143">
        <f t="shared" si="3"/>
        <v>2249.8543132626546</v>
      </c>
      <c r="AR11" s="782">
        <f t="shared" si="3"/>
        <v>2316.0673985175413</v>
      </c>
      <c r="AS11" s="782">
        <f t="shared" si="3"/>
        <v>2364.3599356257751</v>
      </c>
      <c r="AT11" s="550"/>
      <c r="AU11" s="550"/>
      <c r="AV11"/>
      <c r="AW11"/>
      <c r="AX11"/>
      <c r="AY11"/>
      <c r="AZ11"/>
      <c r="BA11"/>
    </row>
    <row r="12" spans="1:53" s="239" customFormat="1" x14ac:dyDescent="0.2">
      <c r="A12" s="249"/>
      <c r="B12" s="249" t="s">
        <v>240</v>
      </c>
      <c r="C12" s="249"/>
      <c r="D12" s="249"/>
      <c r="E12" s="984">
        <v>2.9129999999999998</v>
      </c>
      <c r="F12" s="984">
        <v>5.2569999999999997</v>
      </c>
      <c r="G12" s="984">
        <v>5.3529999999999998</v>
      </c>
      <c r="H12" s="984">
        <v>7.5229999999999997</v>
      </c>
      <c r="I12" s="984">
        <v>7.0430000000000001</v>
      </c>
      <c r="J12" s="984">
        <v>7.9219999999999997</v>
      </c>
      <c r="K12" s="984">
        <v>12.553000000000001</v>
      </c>
      <c r="L12" s="984">
        <v>21.847000000000001</v>
      </c>
      <c r="M12" s="984">
        <v>41.865000000000002</v>
      </c>
      <c r="N12" s="984">
        <v>48.128</v>
      </c>
      <c r="O12" s="984">
        <v>50.771000000000001</v>
      </c>
      <c r="P12" s="984">
        <v>51.649000000000001</v>
      </c>
      <c r="Q12" s="984">
        <v>61.395000000000003</v>
      </c>
      <c r="R12" s="984">
        <v>68.028999999999996</v>
      </c>
      <c r="S12" s="984">
        <v>69.606999999999999</v>
      </c>
      <c r="T12" s="984">
        <v>79.709999999999994</v>
      </c>
      <c r="U12" s="984">
        <v>74.227999999999994</v>
      </c>
      <c r="V12" s="984">
        <v>97.245000000000005</v>
      </c>
      <c r="W12" s="984">
        <v>120.083</v>
      </c>
      <c r="X12" s="984">
        <v>115.124</v>
      </c>
      <c r="Y12" s="984">
        <v>136.399</v>
      </c>
      <c r="Z12" s="984">
        <v>615.12799999999993</v>
      </c>
      <c r="AA12" s="984">
        <v>648.976</v>
      </c>
      <c r="AB12" s="984">
        <v>815.96500000000003</v>
      </c>
      <c r="AC12" s="984">
        <v>658.46900000000005</v>
      </c>
      <c r="AD12" s="984">
        <v>260</v>
      </c>
      <c r="AE12" s="984">
        <v>303</v>
      </c>
      <c r="AF12" s="984">
        <v>326</v>
      </c>
      <c r="AG12" s="1119">
        <v>315</v>
      </c>
      <c r="AH12" s="1119">
        <v>502</v>
      </c>
      <c r="AI12" s="1119">
        <f>227+80</f>
        <v>307</v>
      </c>
      <c r="AJ12" s="1119">
        <f>239+87</f>
        <v>326</v>
      </c>
      <c r="AK12" s="1119">
        <f>256+102</f>
        <v>358</v>
      </c>
      <c r="AL12" s="1119">
        <v>278</v>
      </c>
      <c r="AM12" s="1119">
        <v>140</v>
      </c>
      <c r="AN12" s="1119">
        <v>150</v>
      </c>
      <c r="AO12" s="1369">
        <f>AN12/AN$59*AO$59*0.95</f>
        <v>144.26078352659047</v>
      </c>
      <c r="AP12" s="1369">
        <f>AO12/AO$59*AP$59*0.95</f>
        <v>141.24351282444002</v>
      </c>
      <c r="AQ12" s="1369">
        <f>AP12/AP$59*AQ$59*0.95</f>
        <v>137.62235265958807</v>
      </c>
      <c r="AR12" s="985">
        <f>AQ12/AQ$59*AR$59*0.95</f>
        <v>133.95821546945359</v>
      </c>
      <c r="AS12" s="985">
        <f>AR12/AR$59*AS$59*0.95</f>
        <v>129.52221959473655</v>
      </c>
      <c r="AT12" s="550"/>
      <c r="AU12" s="550"/>
      <c r="AV12"/>
      <c r="AW12"/>
      <c r="AX12"/>
      <c r="AY12"/>
      <c r="AZ12"/>
      <c r="BA12"/>
    </row>
    <row r="13" spans="1:53" s="239" customFormat="1" x14ac:dyDescent="0.2">
      <c r="B13" s="239" t="s">
        <v>318</v>
      </c>
      <c r="E13" s="986">
        <v>3.2329999999999868</v>
      </c>
      <c r="F13" s="986">
        <v>8.9580000000000037</v>
      </c>
      <c r="G13" s="986">
        <v>12.547000000000063</v>
      </c>
      <c r="H13" s="986">
        <v>9.1299999999999635</v>
      </c>
      <c r="I13" s="986">
        <v>8.6169999999999689</v>
      </c>
      <c r="J13" s="986">
        <v>0</v>
      </c>
      <c r="K13" s="986">
        <v>0</v>
      </c>
      <c r="L13" s="986">
        <v>0</v>
      </c>
      <c r="M13" s="986">
        <v>0</v>
      </c>
      <c r="N13" s="986">
        <v>0</v>
      </c>
      <c r="O13" s="986">
        <v>0</v>
      </c>
      <c r="P13" s="986">
        <v>0</v>
      </c>
      <c r="Q13" s="986">
        <v>0</v>
      </c>
      <c r="R13" s="986">
        <v>0</v>
      </c>
      <c r="S13" s="986">
        <v>0</v>
      </c>
      <c r="T13" s="986">
        <v>0</v>
      </c>
      <c r="U13" s="986">
        <v>0</v>
      </c>
      <c r="V13" s="986">
        <v>0</v>
      </c>
      <c r="W13" s="986">
        <v>0</v>
      </c>
      <c r="X13" s="986">
        <v>0</v>
      </c>
      <c r="Y13" s="986">
        <v>0</v>
      </c>
      <c r="Z13" s="986">
        <v>0</v>
      </c>
      <c r="AA13" s="986">
        <v>0</v>
      </c>
      <c r="AB13" s="986">
        <v>0</v>
      </c>
      <c r="AC13" s="986">
        <v>0</v>
      </c>
      <c r="AD13" s="986">
        <v>0</v>
      </c>
      <c r="AE13" s="986">
        <v>0</v>
      </c>
      <c r="AF13" s="986">
        <v>0</v>
      </c>
      <c r="AG13" s="1120">
        <v>0</v>
      </c>
      <c r="AH13" s="1120">
        <v>0</v>
      </c>
      <c r="AI13" s="1120">
        <v>0</v>
      </c>
      <c r="AJ13" s="1120">
        <v>0</v>
      </c>
      <c r="AK13" s="1120">
        <v>0</v>
      </c>
      <c r="AL13" s="1120">
        <v>0</v>
      </c>
      <c r="AM13" s="1120">
        <v>0</v>
      </c>
      <c r="AN13" s="987">
        <v>0</v>
      </c>
      <c r="AO13" s="987">
        <v>0</v>
      </c>
      <c r="AP13" s="987">
        <v>0</v>
      </c>
      <c r="AQ13" s="987">
        <v>0</v>
      </c>
      <c r="AR13" s="987">
        <v>0</v>
      </c>
      <c r="AS13" s="987">
        <v>0</v>
      </c>
      <c r="AT13" s="550"/>
      <c r="AU13" s="550"/>
      <c r="AV13"/>
      <c r="AW13"/>
      <c r="AX13"/>
      <c r="AY13"/>
      <c r="AZ13"/>
      <c r="BA13"/>
    </row>
    <row r="14" spans="1:53" s="239" customFormat="1" x14ac:dyDescent="0.2">
      <c r="C14" s="239" t="s">
        <v>16</v>
      </c>
      <c r="E14" s="605">
        <f>SUM(E9:E13)</f>
        <v>241.16900000000001</v>
      </c>
      <c r="F14" s="605">
        <f t="shared" ref="F14:AN14" si="4">SUM(F9:F13)</f>
        <v>309.03900000000004</v>
      </c>
      <c r="G14" s="605">
        <f t="shared" si="4"/>
        <v>402.89800000000008</v>
      </c>
      <c r="H14" s="605">
        <f t="shared" si="4"/>
        <v>546.75599999999997</v>
      </c>
      <c r="I14" s="605">
        <f t="shared" si="4"/>
        <v>645.32599999999991</v>
      </c>
      <c r="J14" s="605">
        <f t="shared" si="4"/>
        <v>730.18200000000002</v>
      </c>
      <c r="K14" s="605">
        <f t="shared" si="4"/>
        <v>913.98599999999999</v>
      </c>
      <c r="L14" s="605">
        <f t="shared" si="4"/>
        <v>1011.148</v>
      </c>
      <c r="M14" s="605">
        <f t="shared" si="4"/>
        <v>1090.3790000000001</v>
      </c>
      <c r="N14" s="605">
        <f t="shared" si="4"/>
        <v>1177.6379999999999</v>
      </c>
      <c r="O14" s="605">
        <f t="shared" si="4"/>
        <v>1219.8439999999998</v>
      </c>
      <c r="P14" s="605">
        <f t="shared" si="4"/>
        <v>1314.9139999999998</v>
      </c>
      <c r="Q14" s="605">
        <f t="shared" si="4"/>
        <v>1397.7129999999997</v>
      </c>
      <c r="R14" s="605">
        <f t="shared" si="4"/>
        <v>1612.7760000000001</v>
      </c>
      <c r="S14" s="605">
        <f t="shared" si="4"/>
        <v>1532.069</v>
      </c>
      <c r="T14" s="605">
        <f t="shared" si="4"/>
        <v>1595.6839979999997</v>
      </c>
      <c r="U14" s="605">
        <f t="shared" si="4"/>
        <v>1653.765879</v>
      </c>
      <c r="V14" s="605">
        <f t="shared" si="4"/>
        <v>1539.3178790000002</v>
      </c>
      <c r="W14" s="605">
        <f t="shared" si="4"/>
        <v>1813.5008790000011</v>
      </c>
      <c r="X14" s="605">
        <f t="shared" si="4"/>
        <v>2055.3178790000015</v>
      </c>
      <c r="Y14" s="605">
        <f t="shared" si="4"/>
        <v>1978.2160790000012</v>
      </c>
      <c r="Z14" s="605">
        <f t="shared" si="4"/>
        <v>2523.8700790000003</v>
      </c>
      <c r="AA14" s="605">
        <f t="shared" si="4"/>
        <v>2572.2960790000006</v>
      </c>
      <c r="AB14" s="605">
        <f t="shared" si="4"/>
        <v>2873.850296758319</v>
      </c>
      <c r="AC14" s="605">
        <f t="shared" si="4"/>
        <v>2742.3862967583182</v>
      </c>
      <c r="AD14" s="605">
        <f t="shared" si="4"/>
        <v>3360.9832967583188</v>
      </c>
      <c r="AE14" s="605">
        <f t="shared" si="4"/>
        <v>3217.3002967583188</v>
      </c>
      <c r="AF14" s="605">
        <f t="shared" si="4"/>
        <v>4054.3002967583188</v>
      </c>
      <c r="AG14" s="605">
        <f t="shared" si="4"/>
        <v>4824.3002967583188</v>
      </c>
      <c r="AH14" s="605">
        <f t="shared" si="4"/>
        <v>5560.3002967583188</v>
      </c>
      <c r="AI14" s="605">
        <f t="shared" si="4"/>
        <v>5081.3002967583188</v>
      </c>
      <c r="AJ14" s="605">
        <f t="shared" si="4"/>
        <v>5228.3002967583188</v>
      </c>
      <c r="AK14" s="605">
        <f t="shared" si="4"/>
        <v>5224.0002967583187</v>
      </c>
      <c r="AL14" s="605">
        <f t="shared" si="4"/>
        <v>3014.0402967583186</v>
      </c>
      <c r="AM14" s="605">
        <f t="shared" si="4"/>
        <v>3242.0002967583187</v>
      </c>
      <c r="AN14" s="605">
        <f t="shared" si="4"/>
        <v>3503.350296758319</v>
      </c>
      <c r="AO14" s="605">
        <f>SUM(AO9:AO13)</f>
        <v>3520.6494565637972</v>
      </c>
      <c r="AP14" s="605">
        <f>SUM(AP9:AP13)</f>
        <v>3612.8481239557073</v>
      </c>
      <c r="AQ14" s="605">
        <f>SUM(AQ9:AQ13)</f>
        <v>3724.2131790900271</v>
      </c>
      <c r="AR14" s="605">
        <f>SUM(AR9:AR13)</f>
        <v>3809.6645612627881</v>
      </c>
      <c r="AS14" s="605">
        <f>SUM(AS9:AS13)</f>
        <v>3865.6519160109833</v>
      </c>
      <c r="AT14" s="550"/>
      <c r="AU14" s="550"/>
      <c r="AV14"/>
      <c r="AW14"/>
      <c r="AX14"/>
      <c r="AY14"/>
      <c r="AZ14"/>
      <c r="BA14"/>
    </row>
    <row r="15" spans="1:53" s="239" customFormat="1" x14ac:dyDescent="0.2">
      <c r="E15" s="368"/>
      <c r="F15" s="368"/>
      <c r="G15" s="368"/>
      <c r="H15" s="368"/>
      <c r="I15" s="368"/>
      <c r="J15" s="368"/>
      <c r="K15" s="368"/>
      <c r="L15" s="368"/>
      <c r="M15" s="368"/>
      <c r="N15" s="368"/>
      <c r="O15" s="368"/>
      <c r="P15" s="368"/>
      <c r="Q15" s="368"/>
      <c r="R15" s="368"/>
      <c r="S15" s="368"/>
      <c r="T15" s="368"/>
      <c r="U15" s="368"/>
      <c r="V15" s="368"/>
      <c r="W15" s="368"/>
      <c r="X15" s="368"/>
      <c r="Y15" s="368"/>
      <c r="Z15" s="368"/>
      <c r="AA15" s="368"/>
      <c r="AB15" s="368"/>
      <c r="AC15" s="368"/>
      <c r="AD15" s="368"/>
      <c r="AE15" s="368"/>
      <c r="AF15" s="368"/>
      <c r="AG15" s="368"/>
      <c r="AH15" s="368"/>
      <c r="AI15" s="368"/>
      <c r="AJ15" s="368"/>
      <c r="AK15" s="368"/>
      <c r="AL15" s="368"/>
      <c r="AM15" s="368"/>
      <c r="AN15" s="368"/>
      <c r="AO15" s="368"/>
      <c r="AP15" s="368"/>
      <c r="AQ15" s="368"/>
      <c r="AR15" s="368"/>
      <c r="AS15" s="368"/>
      <c r="AT15" s="550"/>
      <c r="AU15" s="550"/>
      <c r="AV15"/>
      <c r="AW15"/>
      <c r="AX15"/>
      <c r="AY15"/>
      <c r="AZ15"/>
      <c r="BA15"/>
    </row>
    <row r="16" spans="1:53" s="239" customFormat="1" hidden="1" outlineLevel="1" x14ac:dyDescent="0.2">
      <c r="B16" s="239" t="s">
        <v>319</v>
      </c>
      <c r="E16" s="982">
        <v>223.89500000000001</v>
      </c>
      <c r="F16" s="982">
        <v>277.46600000000001</v>
      </c>
      <c r="G16" s="982">
        <v>403.04500000000002</v>
      </c>
      <c r="H16" s="982">
        <v>514.73400000000004</v>
      </c>
      <c r="I16" s="982">
        <v>578.50400000000002</v>
      </c>
      <c r="J16" s="982">
        <v>696.10199999999998</v>
      </c>
      <c r="K16" s="982">
        <v>837.61300000000006</v>
      </c>
      <c r="L16" s="982">
        <v>1006.385</v>
      </c>
      <c r="M16" s="982">
        <v>1184.8689999999999</v>
      </c>
      <c r="N16" s="982">
        <v>1327.22</v>
      </c>
      <c r="O16" s="982">
        <v>1385.0740000000001</v>
      </c>
      <c r="P16" s="982">
        <v>1499.6219999999998</v>
      </c>
      <c r="Q16" s="982">
        <v>1730.9069999999999</v>
      </c>
      <c r="R16" s="982"/>
      <c r="S16" s="982"/>
      <c r="T16" s="982"/>
      <c r="U16" s="982"/>
      <c r="V16" s="982"/>
      <c r="W16" s="982"/>
      <c r="X16" s="982"/>
      <c r="Y16" s="982"/>
      <c r="Z16" s="982"/>
      <c r="AA16" s="982"/>
      <c r="AB16" s="982"/>
      <c r="AC16" s="982"/>
      <c r="AD16" s="982"/>
      <c r="AE16" s="982"/>
      <c r="AF16" s="982"/>
      <c r="AG16" s="982"/>
      <c r="AH16" s="982"/>
      <c r="AI16" s="982"/>
      <c r="AJ16" s="982"/>
      <c r="AK16" s="982"/>
      <c r="AL16" s="982"/>
      <c r="AM16" s="982"/>
      <c r="AN16" s="982"/>
      <c r="AO16" s="982"/>
      <c r="AP16" s="982"/>
      <c r="AQ16" s="982"/>
      <c r="AR16" s="982"/>
      <c r="AS16" s="982"/>
      <c r="AT16" s="550"/>
      <c r="AU16" s="550"/>
      <c r="AV16"/>
      <c r="AW16"/>
      <c r="AX16"/>
      <c r="AY16"/>
      <c r="AZ16"/>
      <c r="BA16"/>
    </row>
    <row r="17" spans="1:53" s="239" customFormat="1" hidden="1" outlineLevel="1" x14ac:dyDescent="0.2">
      <c r="B17" s="239" t="s">
        <v>320</v>
      </c>
      <c r="E17" s="982">
        <v>59.938000000000002</v>
      </c>
      <c r="F17" s="982">
        <v>71.869</v>
      </c>
      <c r="G17" s="982">
        <v>89.227000000000004</v>
      </c>
      <c r="H17" s="982">
        <v>117.354</v>
      </c>
      <c r="I17" s="982">
        <v>154.27600000000001</v>
      </c>
      <c r="J17" s="982">
        <v>193.441</v>
      </c>
      <c r="K17" s="982">
        <v>243.57499999999999</v>
      </c>
      <c r="L17" s="982">
        <v>314.44799999999998</v>
      </c>
      <c r="M17" s="982">
        <v>378.678</v>
      </c>
      <c r="N17" s="982">
        <v>470.81599999999997</v>
      </c>
      <c r="O17" s="982">
        <v>560.93200000000002</v>
      </c>
      <c r="P17" s="982">
        <v>654.02599999999995</v>
      </c>
      <c r="Q17" s="982">
        <v>746.71199999999999</v>
      </c>
      <c r="R17" s="982"/>
      <c r="S17" s="982"/>
      <c r="T17" s="982"/>
      <c r="U17" s="982"/>
      <c r="V17" s="982"/>
      <c r="W17" s="982"/>
      <c r="X17" s="982"/>
      <c r="Y17" s="982"/>
      <c r="Z17" s="982"/>
      <c r="AA17" s="982"/>
      <c r="AB17" s="982"/>
      <c r="AC17" s="982"/>
      <c r="AD17" s="982"/>
      <c r="AE17" s="982"/>
      <c r="AF17" s="982"/>
      <c r="AG17" s="982"/>
      <c r="AH17" s="982"/>
      <c r="AI17" s="982"/>
      <c r="AJ17" s="982"/>
      <c r="AK17" s="982"/>
      <c r="AL17" s="982"/>
      <c r="AM17" s="982"/>
      <c r="AN17" s="982"/>
      <c r="AO17" s="982"/>
      <c r="AP17" s="982"/>
      <c r="AQ17" s="982"/>
      <c r="AR17" s="982"/>
      <c r="AS17" s="982"/>
      <c r="AT17" s="550"/>
      <c r="AU17" s="550"/>
      <c r="AV17"/>
      <c r="AW17"/>
      <c r="AX17"/>
      <c r="AY17"/>
      <c r="AZ17"/>
      <c r="BA17"/>
    </row>
    <row r="18" spans="1:53" s="239" customFormat="1" collapsed="1" x14ac:dyDescent="0.2">
      <c r="B18" s="239" t="s">
        <v>11</v>
      </c>
      <c r="E18" s="605">
        <f>E16-E17</f>
        <v>163.95699999999999</v>
      </c>
      <c r="F18" s="605">
        <f t="shared" ref="F18:Q18" si="5">F16-F17</f>
        <v>205.59700000000001</v>
      </c>
      <c r="G18" s="605">
        <f t="shared" si="5"/>
        <v>313.81799999999998</v>
      </c>
      <c r="H18" s="605">
        <f t="shared" si="5"/>
        <v>397.38000000000005</v>
      </c>
      <c r="I18" s="605">
        <f t="shared" si="5"/>
        <v>424.22800000000001</v>
      </c>
      <c r="J18" s="605">
        <f t="shared" si="5"/>
        <v>502.66099999999994</v>
      </c>
      <c r="K18" s="605">
        <f t="shared" si="5"/>
        <v>594.03800000000001</v>
      </c>
      <c r="L18" s="605">
        <f t="shared" si="5"/>
        <v>691.93700000000001</v>
      </c>
      <c r="M18" s="605">
        <f t="shared" si="5"/>
        <v>806.19099999999992</v>
      </c>
      <c r="N18" s="605">
        <f t="shared" si="5"/>
        <v>856.404</v>
      </c>
      <c r="O18" s="605">
        <f t="shared" si="5"/>
        <v>824.14200000000005</v>
      </c>
      <c r="P18" s="605">
        <f t="shared" si="5"/>
        <v>845.59599999999989</v>
      </c>
      <c r="Q18" s="605">
        <f t="shared" si="5"/>
        <v>984.19499999999994</v>
      </c>
      <c r="R18" s="605">
        <v>1103.298</v>
      </c>
      <c r="S18" s="605">
        <v>1152.78</v>
      </c>
      <c r="T18" s="605">
        <v>1252.51</v>
      </c>
      <c r="U18" s="605">
        <v>1378.0060000000001</v>
      </c>
      <c r="V18" s="605">
        <v>1429.492</v>
      </c>
      <c r="W18" s="605">
        <v>1600</v>
      </c>
      <c r="X18" s="605">
        <v>1761.0820000000001</v>
      </c>
      <c r="Y18" s="605">
        <v>1761.5440000000001</v>
      </c>
      <c r="Z18" s="605">
        <v>1807.778</v>
      </c>
      <c r="AA18" s="605">
        <v>1780.366</v>
      </c>
      <c r="AB18" s="604">
        <v>1773.8710000000001</v>
      </c>
      <c r="AC18" s="604">
        <v>1757.2149999999999</v>
      </c>
      <c r="AD18" s="604">
        <v>1983</v>
      </c>
      <c r="AE18" s="604">
        <v>2221</v>
      </c>
      <c r="AF18" s="604">
        <v>2242</v>
      </c>
      <c r="AG18" s="1121">
        <v>2318</v>
      </c>
      <c r="AH18" s="1121">
        <v>2469</v>
      </c>
      <c r="AI18" s="1121">
        <v>2579</v>
      </c>
      <c r="AJ18" s="1121">
        <v>2949</v>
      </c>
      <c r="AK18" s="1121">
        <v>3340</v>
      </c>
      <c r="AL18" s="1121">
        <v>3735</v>
      </c>
      <c r="AM18" s="1121">
        <v>3897</v>
      </c>
      <c r="AN18" s="1121">
        <v>3939</v>
      </c>
      <c r="AO18" s="605">
        <f>AN18-flow!AN10-flow!AN15-flow!AN12</f>
        <v>4037</v>
      </c>
      <c r="AP18" s="605">
        <f>AO18-flow!AO10-flow!AO15-flow!AO12</f>
        <v>4025</v>
      </c>
      <c r="AQ18" s="605">
        <f>AP18-flow!AP10-flow!AP15-flow!AP12</f>
        <v>4023</v>
      </c>
      <c r="AR18" s="605">
        <f>AQ18-flow!AQ10-flow!AQ15-flow!AQ12</f>
        <v>4031</v>
      </c>
      <c r="AS18" s="605">
        <f>AR18-flow!AR10-flow!AR15-flow!AR12</f>
        <v>4049</v>
      </c>
      <c r="AT18" s="550"/>
      <c r="AU18" s="550"/>
      <c r="AV18"/>
      <c r="AW18"/>
      <c r="AX18"/>
      <c r="AY18"/>
      <c r="AZ18"/>
      <c r="BA18"/>
    </row>
    <row r="19" spans="1:53" s="239" customFormat="1" x14ac:dyDescent="0.2">
      <c r="B19" s="239" t="s">
        <v>204</v>
      </c>
      <c r="E19" s="982">
        <v>0</v>
      </c>
      <c r="F19" s="982">
        <v>4.3000000000000003E-2</v>
      </c>
      <c r="G19" s="982">
        <v>0.84100000000000108</v>
      </c>
      <c r="H19" s="982">
        <v>1.744</v>
      </c>
      <c r="I19" s="982">
        <v>1.57</v>
      </c>
      <c r="J19" s="982">
        <v>1.4239999999999999</v>
      </c>
      <c r="K19" s="982">
        <v>3.6789999999999998</v>
      </c>
      <c r="L19" s="982">
        <v>4.335</v>
      </c>
      <c r="M19" s="982">
        <v>6.0190000000000001</v>
      </c>
      <c r="N19" s="982">
        <v>7.8330000000000002</v>
      </c>
      <c r="O19" s="982">
        <v>9.1839999999999993</v>
      </c>
      <c r="P19" s="982">
        <v>16.971</v>
      </c>
      <c r="Q19" s="982">
        <v>14.875</v>
      </c>
      <c r="R19" s="982">
        <v>16.545000000000002</v>
      </c>
      <c r="S19" s="982">
        <v>17.654</v>
      </c>
      <c r="T19" s="982">
        <v>17.652999999999999</v>
      </c>
      <c r="U19" s="982">
        <v>56.994</v>
      </c>
      <c r="V19" s="982">
        <v>67.941000000000003</v>
      </c>
      <c r="W19" s="982">
        <v>195.58299999999997</v>
      </c>
      <c r="X19" s="982">
        <v>233.09899999999999</v>
      </c>
      <c r="Y19" s="982">
        <v>356.83499999999998</v>
      </c>
      <c r="Z19" s="982">
        <v>236.61199999999999</v>
      </c>
      <c r="AA19" s="982">
        <v>252.58</v>
      </c>
      <c r="AB19" s="982">
        <v>252.58</v>
      </c>
      <c r="AC19" s="982">
        <v>322.17</v>
      </c>
      <c r="AD19" s="982">
        <v>256</v>
      </c>
      <c r="AE19" s="982">
        <v>223</v>
      </c>
      <c r="AF19" s="982">
        <v>283</v>
      </c>
      <c r="AG19" s="1117">
        <v>320</v>
      </c>
      <c r="AH19" s="1117">
        <v>462</v>
      </c>
      <c r="AI19" s="1117">
        <f>175+254</f>
        <v>429</v>
      </c>
      <c r="AJ19" s="1117">
        <f>175+222</f>
        <v>397</v>
      </c>
      <c r="AK19" s="1117">
        <f>435+246</f>
        <v>681</v>
      </c>
      <c r="AL19" s="1117">
        <f>435+514</f>
        <v>949</v>
      </c>
      <c r="AM19" s="1117">
        <f>238+481</f>
        <v>719</v>
      </c>
      <c r="AN19" s="1117">
        <f>238+435</f>
        <v>673</v>
      </c>
      <c r="AO19" s="1130">
        <f>AN19</f>
        <v>673</v>
      </c>
      <c r="AP19" s="1130">
        <f>AO19</f>
        <v>673</v>
      </c>
      <c r="AQ19" s="1130">
        <f>AP19</f>
        <v>673</v>
      </c>
      <c r="AR19" s="983">
        <f>AQ19</f>
        <v>673</v>
      </c>
      <c r="AS19" s="983">
        <f>AR19</f>
        <v>673</v>
      </c>
      <c r="AT19" s="550"/>
      <c r="AU19" s="550"/>
      <c r="AV19"/>
      <c r="AW19"/>
      <c r="AX19"/>
      <c r="AY19"/>
      <c r="AZ19"/>
      <c r="BA19"/>
    </row>
    <row r="20" spans="1:53" s="239" customFormat="1" x14ac:dyDescent="0.2">
      <c r="A20" s="239" t="s">
        <v>108</v>
      </c>
      <c r="E20" s="988">
        <f t="shared" ref="E20:N20" si="6">SUM(E18:E19)+E14</f>
        <v>405.12599999999998</v>
      </c>
      <c r="F20" s="988">
        <f t="shared" si="6"/>
        <v>514.67900000000009</v>
      </c>
      <c r="G20" s="988">
        <f t="shared" si="6"/>
        <v>717.55700000000002</v>
      </c>
      <c r="H20" s="988">
        <f t="shared" si="6"/>
        <v>945.88000000000011</v>
      </c>
      <c r="I20" s="988">
        <f t="shared" si="6"/>
        <v>1071.1239999999998</v>
      </c>
      <c r="J20" s="988">
        <f t="shared" si="6"/>
        <v>1234.2669999999998</v>
      </c>
      <c r="K20" s="988">
        <f t="shared" si="6"/>
        <v>1511.703</v>
      </c>
      <c r="L20" s="988">
        <f t="shared" si="6"/>
        <v>1707.42</v>
      </c>
      <c r="M20" s="988">
        <f t="shared" si="6"/>
        <v>1902.5889999999999</v>
      </c>
      <c r="N20" s="988">
        <f t="shared" si="6"/>
        <v>2041.875</v>
      </c>
      <c r="O20" s="988">
        <f t="shared" ref="O20:AH20" si="7">SUM(O18:O19)+O14</f>
        <v>2053.17</v>
      </c>
      <c r="P20" s="988">
        <f t="shared" si="7"/>
        <v>2177.4809999999998</v>
      </c>
      <c r="Q20" s="988">
        <f t="shared" si="7"/>
        <v>2396.7829999999994</v>
      </c>
      <c r="R20" s="988">
        <f t="shared" si="7"/>
        <v>2732.6190000000001</v>
      </c>
      <c r="S20" s="988">
        <f t="shared" si="7"/>
        <v>2702.5029999999997</v>
      </c>
      <c r="T20" s="988">
        <f t="shared" si="7"/>
        <v>2865.846998</v>
      </c>
      <c r="U20" s="988">
        <f t="shared" si="7"/>
        <v>3088.765879</v>
      </c>
      <c r="V20" s="988">
        <f t="shared" si="7"/>
        <v>3036.7508790000002</v>
      </c>
      <c r="W20" s="988">
        <f t="shared" si="7"/>
        <v>3609.0838790000012</v>
      </c>
      <c r="X20" s="988">
        <f t="shared" si="7"/>
        <v>4049.4988790000016</v>
      </c>
      <c r="Y20" s="988">
        <f t="shared" si="7"/>
        <v>4096.5950790000006</v>
      </c>
      <c r="Z20" s="988">
        <f t="shared" si="7"/>
        <v>4568.2600790000006</v>
      </c>
      <c r="AA20" s="988">
        <f t="shared" si="7"/>
        <v>4605.2420790000006</v>
      </c>
      <c r="AB20" s="988">
        <f t="shared" si="7"/>
        <v>4900.301296758319</v>
      </c>
      <c r="AC20" s="988">
        <f t="shared" si="7"/>
        <v>4821.7712967583175</v>
      </c>
      <c r="AD20" s="988">
        <f t="shared" si="7"/>
        <v>5599.9832967583188</v>
      </c>
      <c r="AE20" s="988">
        <f t="shared" si="7"/>
        <v>5661.3002967583188</v>
      </c>
      <c r="AF20" s="988">
        <f t="shared" si="7"/>
        <v>6579.3002967583188</v>
      </c>
      <c r="AG20" s="988">
        <f t="shared" si="7"/>
        <v>7462.3002967583188</v>
      </c>
      <c r="AH20" s="988">
        <f t="shared" si="7"/>
        <v>8491.3002967583197</v>
      </c>
      <c r="AI20" s="988">
        <f t="shared" ref="AI20:AN20" si="8">SUM(AI18:AI19)+AI14</f>
        <v>8089.3002967583188</v>
      </c>
      <c r="AJ20" s="988">
        <f t="shared" si="8"/>
        <v>8574.3002967583197</v>
      </c>
      <c r="AK20" s="988">
        <f t="shared" si="8"/>
        <v>9245.0002967583187</v>
      </c>
      <c r="AL20" s="988">
        <f t="shared" si="8"/>
        <v>7698.0402967583186</v>
      </c>
      <c r="AM20" s="988">
        <f t="shared" si="8"/>
        <v>7858.0002967583187</v>
      </c>
      <c r="AN20" s="988">
        <f t="shared" si="8"/>
        <v>8115.350296758319</v>
      </c>
      <c r="AO20" s="988">
        <f>SUM(AO18:AO19)+AO14</f>
        <v>8230.6494565637968</v>
      </c>
      <c r="AP20" s="988">
        <f>SUM(AP18:AP19)+AP14</f>
        <v>8310.8481239557077</v>
      </c>
      <c r="AQ20" s="988">
        <f>SUM(AQ18:AQ19)+AQ14</f>
        <v>8420.2131790900276</v>
      </c>
      <c r="AR20" s="988">
        <f>SUM(AR18:AR19)+AR14</f>
        <v>8513.6645612627872</v>
      </c>
      <c r="AS20" s="988">
        <f>SUM(AS18:AS19)+AS14</f>
        <v>8587.6519160109838</v>
      </c>
      <c r="AT20" s="550"/>
      <c r="AU20" s="550"/>
      <c r="AV20"/>
      <c r="AW20"/>
      <c r="AX20"/>
      <c r="AY20"/>
      <c r="AZ20"/>
      <c r="BA20"/>
    </row>
    <row r="21" spans="1:53" s="239" customFormat="1" ht="4.5" customHeight="1" x14ac:dyDescent="0.2">
      <c r="E21" s="368"/>
      <c r="F21" s="368"/>
      <c r="G21" s="368"/>
      <c r="H21" s="368"/>
      <c r="I21" s="368"/>
      <c r="J21" s="368"/>
      <c r="K21" s="368"/>
      <c r="L21" s="368"/>
      <c r="M21" s="368"/>
      <c r="N21" s="368"/>
      <c r="O21" s="368"/>
      <c r="P21" s="368"/>
      <c r="Q21" s="368"/>
      <c r="R21" s="368"/>
      <c r="S21" s="368"/>
      <c r="T21" s="368"/>
      <c r="U21" s="368"/>
      <c r="V21" s="368"/>
      <c r="W21" s="368"/>
      <c r="X21" s="368"/>
      <c r="Y21" s="368"/>
      <c r="Z21" s="368"/>
      <c r="AA21" s="368"/>
      <c r="AB21" s="368"/>
      <c r="AC21" s="368"/>
      <c r="AD21" s="368"/>
      <c r="AE21" s="368"/>
      <c r="AF21" s="368"/>
      <c r="AG21" s="368"/>
      <c r="AH21" s="368"/>
      <c r="AI21" s="368"/>
      <c r="AJ21" s="368"/>
      <c r="AK21" s="368"/>
      <c r="AL21" s="368"/>
      <c r="AM21" s="368"/>
      <c r="AN21" s="368"/>
      <c r="AO21" s="368"/>
      <c r="AP21" s="368"/>
      <c r="AQ21" s="368"/>
      <c r="AR21" s="368"/>
      <c r="AS21" s="368"/>
      <c r="AT21" s="368"/>
      <c r="AU21" s="368"/>
      <c r="AV21"/>
      <c r="AW21"/>
      <c r="AX21"/>
      <c r="AY21"/>
      <c r="AZ21"/>
      <c r="BA21"/>
    </row>
    <row r="22" spans="1:53" s="239" customFormat="1" x14ac:dyDescent="0.2">
      <c r="A22" s="880" t="s">
        <v>17</v>
      </c>
      <c r="E22" s="630"/>
      <c r="F22" s="630"/>
      <c r="G22" s="630"/>
      <c r="H22" s="630"/>
      <c r="I22" s="630"/>
      <c r="J22" s="630"/>
      <c r="K22" s="630"/>
      <c r="L22" s="630"/>
      <c r="M22" s="630"/>
      <c r="N22" s="630"/>
      <c r="O22" s="630"/>
      <c r="P22" s="630"/>
      <c r="Q22" s="630"/>
      <c r="R22" s="630"/>
      <c r="S22" s="630"/>
      <c r="T22" s="630"/>
      <c r="U22" s="630"/>
      <c r="V22" s="630"/>
      <c r="W22" s="630"/>
      <c r="X22" s="630"/>
      <c r="Y22" s="630"/>
      <c r="Z22" s="630"/>
      <c r="AA22" s="630"/>
      <c r="AB22" s="630"/>
      <c r="AC22" s="368"/>
      <c r="AD22" s="368"/>
      <c r="AE22" s="368"/>
      <c r="AF22" s="368"/>
      <c r="AG22" s="368"/>
      <c r="AH22" s="989"/>
      <c r="AI22" s="989"/>
      <c r="AJ22" s="989"/>
      <c r="AK22" s="989"/>
      <c r="AL22" s="989"/>
      <c r="AM22" s="989"/>
      <c r="AN22" s="989"/>
      <c r="AO22" s="989"/>
      <c r="AP22" s="989"/>
      <c r="AQ22" s="989"/>
      <c r="AR22" s="989"/>
      <c r="AS22" s="989"/>
      <c r="AT22" s="368"/>
      <c r="AU22" s="368"/>
      <c r="AV22"/>
      <c r="AW22"/>
      <c r="AX22"/>
      <c r="AY22"/>
      <c r="AZ22"/>
      <c r="BA22"/>
    </row>
    <row r="23" spans="1:53" s="239" customFormat="1" x14ac:dyDescent="0.2">
      <c r="B23" s="239" t="s">
        <v>257</v>
      </c>
      <c r="E23" s="604">
        <v>42.076999999999998</v>
      </c>
      <c r="F23" s="604">
        <v>56.533999999999999</v>
      </c>
      <c r="G23" s="604">
        <v>74.055000000000007</v>
      </c>
      <c r="H23" s="604">
        <v>94.912999999999997</v>
      </c>
      <c r="I23" s="604">
        <v>117.259</v>
      </c>
      <c r="J23" s="604">
        <v>166.524</v>
      </c>
      <c r="K23" s="604">
        <v>190.755</v>
      </c>
      <c r="L23" s="604">
        <v>195.33799999999999</v>
      </c>
      <c r="M23" s="604">
        <v>204.26599999999999</v>
      </c>
      <c r="N23" s="604">
        <v>216.43199999999999</v>
      </c>
      <c r="O23" s="604">
        <v>220.17599999999999</v>
      </c>
      <c r="P23" s="604">
        <v>264.05500000000001</v>
      </c>
      <c r="Q23" s="604">
        <v>273.084</v>
      </c>
      <c r="R23" s="604">
        <v>277.584</v>
      </c>
      <c r="S23" s="604">
        <v>310.43</v>
      </c>
      <c r="T23" s="604">
        <v>321.31099999999998</v>
      </c>
      <c r="U23" s="604">
        <v>339.63499999999999</v>
      </c>
      <c r="V23" s="604">
        <v>390.68799999999999</v>
      </c>
      <c r="W23" s="604">
        <v>466.476</v>
      </c>
      <c r="X23" s="604">
        <v>490.988</v>
      </c>
      <c r="Y23" s="604">
        <v>429.80799999999999</v>
      </c>
      <c r="Z23" s="604">
        <v>458.52300000000002</v>
      </c>
      <c r="AA23" s="604">
        <v>482.39400000000001</v>
      </c>
      <c r="AB23" s="604">
        <v>540.01900000000001</v>
      </c>
      <c r="AC23" s="604">
        <v>576.79600000000005</v>
      </c>
      <c r="AD23" s="604">
        <v>556</v>
      </c>
      <c r="AE23" s="604">
        <v>563</v>
      </c>
      <c r="AF23" s="604">
        <v>726</v>
      </c>
      <c r="AG23" s="1121">
        <v>846</v>
      </c>
      <c r="AH23" s="1121">
        <v>917</v>
      </c>
      <c r="AI23" s="1121">
        <v>1011</v>
      </c>
      <c r="AJ23" s="1121">
        <v>1263</v>
      </c>
      <c r="AK23" s="1121">
        <v>1328</v>
      </c>
      <c r="AL23" s="1121">
        <v>1324</v>
      </c>
      <c r="AM23" s="1121">
        <v>1340</v>
      </c>
      <c r="AN23" s="1121">
        <v>1409</v>
      </c>
      <c r="AO23" s="1129">
        <f>AO70/365*AO60</f>
        <v>1452.477036723775</v>
      </c>
      <c r="AP23" s="1129">
        <f>AP70/365*AP60</f>
        <v>1503.0010836722606</v>
      </c>
      <c r="AQ23" s="1129">
        <f>AQ70/365*AQ60</f>
        <v>1548.6010208171519</v>
      </c>
      <c r="AR23" s="990">
        <f>AR70/365*AR60</f>
        <v>1594.1762613172687</v>
      </c>
      <c r="AS23" s="990">
        <f>AS70/365*AS60</f>
        <v>1627.4165790670916</v>
      </c>
      <c r="AT23" s="550"/>
      <c r="AU23" s="550"/>
      <c r="AV23"/>
      <c r="AW23"/>
      <c r="AX23"/>
      <c r="AY23"/>
      <c r="AZ23"/>
      <c r="BA23"/>
    </row>
    <row r="24" spans="1:53" s="239" customFormat="1" x14ac:dyDescent="0.2">
      <c r="B24" s="239" t="s">
        <v>322</v>
      </c>
      <c r="E24" s="991">
        <v>46.417000000000002</v>
      </c>
      <c r="F24" s="991">
        <v>61.618000000000002</v>
      </c>
      <c r="G24" s="991">
        <v>160.126</v>
      </c>
      <c r="H24" s="991">
        <v>165.99700000000001</v>
      </c>
      <c r="I24" s="991">
        <v>152.43800000000002</v>
      </c>
      <c r="J24" s="991">
        <v>118.28899999999999</v>
      </c>
      <c r="K24" s="991">
        <v>141.81100000000001</v>
      </c>
      <c r="L24" s="991">
        <v>164.178</v>
      </c>
      <c r="M24" s="991">
        <v>187.63300000000001</v>
      </c>
      <c r="N24" s="991">
        <v>193.935</v>
      </c>
      <c r="O24" s="991">
        <v>211.38499999999999</v>
      </c>
      <c r="P24" s="991">
        <v>220.929</v>
      </c>
      <c r="Q24" s="991">
        <v>254.01499999999999</v>
      </c>
      <c r="R24" s="991">
        <v>248.018</v>
      </c>
      <c r="S24" s="991">
        <v>243.88499999999999</v>
      </c>
      <c r="T24" s="991">
        <v>256.40499999999997</v>
      </c>
      <c r="U24" s="991">
        <v>297.10500000000002</v>
      </c>
      <c r="V24" s="991">
        <v>346.69600000000003</v>
      </c>
      <c r="W24" s="991">
        <v>388.44600000000003</v>
      </c>
      <c r="X24" s="991">
        <v>378.37299999999999</v>
      </c>
      <c r="Y24" s="991">
        <v>449.548</v>
      </c>
      <c r="Z24" s="991">
        <v>656.91700000000003</v>
      </c>
      <c r="AA24" s="991">
        <v>757.66100000000006</v>
      </c>
      <c r="AB24" s="991">
        <v>776.67499999999995</v>
      </c>
      <c r="AC24" s="991">
        <v>849.54700000000003</v>
      </c>
      <c r="AD24" s="991">
        <v>818</v>
      </c>
      <c r="AE24" s="991">
        <v>739</v>
      </c>
      <c r="AF24" s="991">
        <v>932</v>
      </c>
      <c r="AG24" s="1122">
        <v>1027</v>
      </c>
      <c r="AH24" s="1122">
        <v>1152</v>
      </c>
      <c r="AI24" s="1122">
        <f>804+404</f>
        <v>1208</v>
      </c>
      <c r="AJ24" s="1122">
        <f>395+876</f>
        <v>1271</v>
      </c>
      <c r="AK24" s="1122">
        <f>416+1048</f>
        <v>1464</v>
      </c>
      <c r="AL24" s="1122">
        <f>416+1161</f>
        <v>1577</v>
      </c>
      <c r="AM24" s="1122">
        <f>1223+455</f>
        <v>1678</v>
      </c>
      <c r="AN24" s="1122">
        <f>1246+578</f>
        <v>1824</v>
      </c>
      <c r="AO24" s="1128">
        <f t="shared" ref="AO24:AS25" si="9">AN24</f>
        <v>1824</v>
      </c>
      <c r="AP24" s="1128">
        <f t="shared" si="9"/>
        <v>1824</v>
      </c>
      <c r="AQ24" s="1128">
        <f t="shared" si="9"/>
        <v>1824</v>
      </c>
      <c r="AR24" s="992">
        <f t="shared" si="9"/>
        <v>1824</v>
      </c>
      <c r="AS24" s="992">
        <f t="shared" si="9"/>
        <v>1824</v>
      </c>
      <c r="AT24" s="993"/>
      <c r="AU24" s="993"/>
      <c r="AV24"/>
      <c r="AW24"/>
      <c r="AX24"/>
      <c r="AY24"/>
      <c r="AZ24"/>
      <c r="BA24"/>
    </row>
    <row r="25" spans="1:53" s="239" customFormat="1" x14ac:dyDescent="0.2">
      <c r="A25" s="249"/>
      <c r="B25" s="249" t="s">
        <v>238</v>
      </c>
      <c r="C25" s="249"/>
      <c r="D25" s="249"/>
      <c r="E25" s="991">
        <v>2.0950000000000002</v>
      </c>
      <c r="F25" s="991">
        <v>3.597</v>
      </c>
      <c r="G25" s="991">
        <v>5.15</v>
      </c>
      <c r="H25" s="991">
        <v>4.9390000000000001</v>
      </c>
      <c r="I25" s="991">
        <v>5</v>
      </c>
      <c r="J25" s="991">
        <v>21.091000000000001</v>
      </c>
      <c r="K25" s="991">
        <v>19.696000000000002</v>
      </c>
      <c r="L25" s="991">
        <v>27.798999999999999</v>
      </c>
      <c r="M25" s="991">
        <v>10.43</v>
      </c>
      <c r="N25" s="991">
        <v>8.8010000000000002</v>
      </c>
      <c r="O25" s="991">
        <v>41.316000000000003</v>
      </c>
      <c r="P25" s="991">
        <v>102.164</v>
      </c>
      <c r="Q25" s="991">
        <v>75.966999999999999</v>
      </c>
      <c r="R25" s="991">
        <v>74.209999999999994</v>
      </c>
      <c r="S25" s="991">
        <v>51.302</v>
      </c>
      <c r="T25" s="991">
        <v>101.129</v>
      </c>
      <c r="U25" s="991">
        <v>63.341000000000001</v>
      </c>
      <c r="V25" s="991">
        <v>58.191000000000003</v>
      </c>
      <c r="W25" s="991">
        <v>12.586</v>
      </c>
      <c r="X25" s="991">
        <v>78.227000000000004</v>
      </c>
      <c r="Y25" s="991">
        <v>5.5449999999999999</v>
      </c>
      <c r="Z25" s="991">
        <v>6.8330000000000002</v>
      </c>
      <c r="AA25" s="991">
        <v>101.09699999999999</v>
      </c>
      <c r="AB25" s="991">
        <v>306.61799999999999</v>
      </c>
      <c r="AC25" s="991">
        <v>6.8</v>
      </c>
      <c r="AD25" s="991">
        <v>261</v>
      </c>
      <c r="AE25" s="991">
        <v>24</v>
      </c>
      <c r="AF25" s="991">
        <v>356</v>
      </c>
      <c r="AG25" s="1122">
        <v>6</v>
      </c>
      <c r="AH25" s="1122">
        <v>506</v>
      </c>
      <c r="AI25" s="1122">
        <v>7</v>
      </c>
      <c r="AJ25" s="1122">
        <v>7</v>
      </c>
      <c r="AK25" s="1122">
        <v>8</v>
      </c>
      <c r="AL25" s="1122">
        <v>10</v>
      </c>
      <c r="AM25" s="1122">
        <v>661</v>
      </c>
      <c r="AN25" s="1122">
        <v>56</v>
      </c>
      <c r="AO25" s="1128">
        <f t="shared" si="9"/>
        <v>56</v>
      </c>
      <c r="AP25" s="1128">
        <f t="shared" si="9"/>
        <v>56</v>
      </c>
      <c r="AQ25" s="1128">
        <f t="shared" si="9"/>
        <v>56</v>
      </c>
      <c r="AR25" s="992">
        <f t="shared" si="9"/>
        <v>56</v>
      </c>
      <c r="AS25" s="992">
        <f t="shared" si="9"/>
        <v>56</v>
      </c>
      <c r="AT25" s="550"/>
      <c r="AU25" s="550"/>
      <c r="AV25"/>
      <c r="AW25"/>
      <c r="AX25"/>
      <c r="AY25"/>
      <c r="AZ25"/>
      <c r="BA25"/>
    </row>
    <row r="26" spans="1:53" s="239" customFormat="1" x14ac:dyDescent="0.2">
      <c r="B26" s="239" t="s">
        <v>321</v>
      </c>
      <c r="E26" s="986">
        <v>0.746</v>
      </c>
      <c r="F26" s="986">
        <v>42.878999999999998</v>
      </c>
      <c r="G26" s="986">
        <v>0</v>
      </c>
      <c r="H26" s="986">
        <v>73.653999999999996</v>
      </c>
      <c r="I26" s="986">
        <v>50</v>
      </c>
      <c r="J26" s="986">
        <v>88.795000000000002</v>
      </c>
      <c r="K26" s="986">
        <v>95.903000000000006</v>
      </c>
      <c r="L26" s="986">
        <v>102.57299999999999</v>
      </c>
      <c r="M26" s="986">
        <v>149.506</v>
      </c>
      <c r="N26" s="986">
        <v>134.73500000000001</v>
      </c>
      <c r="O26" s="986">
        <v>38.319000000000003</v>
      </c>
      <c r="P26" s="986">
        <v>40.337000000000003</v>
      </c>
      <c r="Q26" s="986">
        <v>87.388000000000005</v>
      </c>
      <c r="R26" s="986">
        <v>232.501</v>
      </c>
      <c r="S26" s="986">
        <v>163.77000000000001</v>
      </c>
      <c r="T26" s="986">
        <v>263.767</v>
      </c>
      <c r="U26" s="986">
        <v>78.783000000000001</v>
      </c>
      <c r="V26" s="986">
        <v>70.933999999999997</v>
      </c>
      <c r="W26" s="986">
        <v>83.06</v>
      </c>
      <c r="X26" s="986">
        <v>0.14799999999999999</v>
      </c>
      <c r="Y26" s="986">
        <v>0.24399999999999999</v>
      </c>
      <c r="Z26" s="986">
        <v>0.28599999999999998</v>
      </c>
      <c r="AA26" s="986">
        <v>0</v>
      </c>
      <c r="AB26" s="986">
        <v>0</v>
      </c>
      <c r="AC26" s="986">
        <v>0</v>
      </c>
      <c r="AD26" s="986">
        <v>0</v>
      </c>
      <c r="AE26" s="986">
        <v>275</v>
      </c>
      <c r="AF26" s="986">
        <v>0</v>
      </c>
      <c r="AG26" s="1120">
        <v>0</v>
      </c>
      <c r="AH26" s="1120">
        <v>0</v>
      </c>
      <c r="AI26" s="1120">
        <v>0</v>
      </c>
      <c r="AJ26" s="1120">
        <v>0</v>
      </c>
      <c r="AK26" s="1120">
        <v>0</v>
      </c>
      <c r="AL26" s="1120">
        <v>0</v>
      </c>
      <c r="AM26" s="1120">
        <v>0</v>
      </c>
      <c r="AN26" s="986">
        <v>0</v>
      </c>
      <c r="AO26" s="986">
        <v>0</v>
      </c>
      <c r="AP26" s="986">
        <v>0</v>
      </c>
      <c r="AQ26" s="986">
        <v>0</v>
      </c>
      <c r="AR26" s="986">
        <v>0</v>
      </c>
      <c r="AS26" s="986">
        <v>0</v>
      </c>
      <c r="AT26" s="550"/>
      <c r="AU26" s="550"/>
      <c r="AV26"/>
      <c r="AW26"/>
      <c r="AX26"/>
      <c r="AY26"/>
      <c r="AZ26"/>
      <c r="BA26"/>
    </row>
    <row r="27" spans="1:53" s="239" customFormat="1" x14ac:dyDescent="0.2">
      <c r="C27" s="239" t="s">
        <v>12</v>
      </c>
      <c r="D27" s="605"/>
      <c r="E27" s="605">
        <f t="shared" ref="E27:AH27" si="10">SUM(E23:E26)</f>
        <v>91.334999999999994</v>
      </c>
      <c r="F27" s="605">
        <f t="shared" si="10"/>
        <v>164.62799999999999</v>
      </c>
      <c r="G27" s="605">
        <f t="shared" si="10"/>
        <v>239.33100000000002</v>
      </c>
      <c r="H27" s="605">
        <f t="shared" si="10"/>
        <v>339.50300000000004</v>
      </c>
      <c r="I27" s="605">
        <f t="shared" si="10"/>
        <v>324.697</v>
      </c>
      <c r="J27" s="605">
        <f t="shared" si="10"/>
        <v>394.69900000000001</v>
      </c>
      <c r="K27" s="605">
        <f t="shared" si="10"/>
        <v>448.16500000000008</v>
      </c>
      <c r="L27" s="605">
        <f t="shared" si="10"/>
        <v>489.88799999999992</v>
      </c>
      <c r="M27" s="605">
        <f t="shared" si="10"/>
        <v>551.83500000000004</v>
      </c>
      <c r="N27" s="605">
        <f t="shared" si="10"/>
        <v>553.90300000000002</v>
      </c>
      <c r="O27" s="605">
        <f t="shared" si="10"/>
        <v>511.19599999999997</v>
      </c>
      <c r="P27" s="605">
        <f t="shared" si="10"/>
        <v>627.48500000000001</v>
      </c>
      <c r="Q27" s="605">
        <f t="shared" si="10"/>
        <v>690.45399999999995</v>
      </c>
      <c r="R27" s="605">
        <f t="shared" si="10"/>
        <v>832.31299999999999</v>
      </c>
      <c r="S27" s="605">
        <f t="shared" si="10"/>
        <v>769.38700000000006</v>
      </c>
      <c r="T27" s="605">
        <f t="shared" si="10"/>
        <v>942.61199999999985</v>
      </c>
      <c r="U27" s="605">
        <f t="shared" si="10"/>
        <v>778.86400000000003</v>
      </c>
      <c r="V27" s="605">
        <f t="shared" si="10"/>
        <v>866.50900000000001</v>
      </c>
      <c r="W27" s="605">
        <f t="shared" si="10"/>
        <v>950.56799999999998</v>
      </c>
      <c r="X27" s="605">
        <f t="shared" si="10"/>
        <v>947.73599999999999</v>
      </c>
      <c r="Y27" s="605">
        <f t="shared" si="10"/>
        <v>885.14499999999998</v>
      </c>
      <c r="Z27" s="605">
        <f t="shared" si="10"/>
        <v>1122.5590000000002</v>
      </c>
      <c r="AA27" s="605">
        <f t="shared" si="10"/>
        <v>1341.152</v>
      </c>
      <c r="AB27" s="605">
        <f t="shared" si="10"/>
        <v>1623.3119999999999</v>
      </c>
      <c r="AC27" s="605">
        <f t="shared" si="10"/>
        <v>1433.143</v>
      </c>
      <c r="AD27" s="605">
        <f t="shared" si="10"/>
        <v>1635</v>
      </c>
      <c r="AE27" s="605">
        <f t="shared" si="10"/>
        <v>1601</v>
      </c>
      <c r="AF27" s="605">
        <f t="shared" si="10"/>
        <v>2014</v>
      </c>
      <c r="AG27" s="605">
        <f t="shared" si="10"/>
        <v>1879</v>
      </c>
      <c r="AH27" s="605">
        <f t="shared" si="10"/>
        <v>2575</v>
      </c>
      <c r="AI27" s="605">
        <f t="shared" ref="AI27:AN27" si="11">SUM(AI23:AI26)</f>
        <v>2226</v>
      </c>
      <c r="AJ27" s="605">
        <f t="shared" si="11"/>
        <v>2541</v>
      </c>
      <c r="AK27" s="605">
        <f t="shared" si="11"/>
        <v>2800</v>
      </c>
      <c r="AL27" s="605">
        <f t="shared" si="11"/>
        <v>2911</v>
      </c>
      <c r="AM27" s="605">
        <f t="shared" si="11"/>
        <v>3679</v>
      </c>
      <c r="AN27" s="605">
        <f t="shared" si="11"/>
        <v>3289</v>
      </c>
      <c r="AO27" s="605">
        <f>SUM(AO23:AO26)</f>
        <v>3332.4770367237752</v>
      </c>
      <c r="AP27" s="605">
        <f>SUM(AP23:AP26)</f>
        <v>3383.0010836722604</v>
      </c>
      <c r="AQ27" s="605">
        <f>SUM(AQ23:AQ26)</f>
        <v>3428.6010208171519</v>
      </c>
      <c r="AR27" s="605">
        <f>SUM(AR23:AR26)</f>
        <v>3474.1762613172687</v>
      </c>
      <c r="AS27" s="605">
        <f>SUM(AS23:AS26)</f>
        <v>3507.4165790670913</v>
      </c>
      <c r="AT27" s="550"/>
      <c r="AU27" s="550"/>
      <c r="AV27"/>
      <c r="AW27"/>
      <c r="AX27"/>
      <c r="AY27"/>
      <c r="AZ27"/>
      <c r="BA27"/>
    </row>
    <row r="28" spans="1:53" s="239" customFormat="1" x14ac:dyDescent="0.2">
      <c r="E28" s="368"/>
      <c r="F28" s="368"/>
      <c r="G28" s="368"/>
      <c r="H28" s="368"/>
      <c r="I28" s="368"/>
      <c r="J28" s="368"/>
      <c r="K28" s="368"/>
      <c r="L28" s="368"/>
      <c r="M28" s="368"/>
      <c r="N28" s="368"/>
      <c r="O28" s="368"/>
      <c r="P28" s="368"/>
      <c r="Q28" s="368"/>
      <c r="R28" s="368"/>
      <c r="S28" s="368"/>
      <c r="T28" s="368"/>
      <c r="U28" s="368"/>
      <c r="V28" s="368"/>
      <c r="W28" s="368"/>
      <c r="X28" s="368"/>
      <c r="Y28" s="368"/>
      <c r="Z28" s="368"/>
      <c r="AA28" s="368"/>
      <c r="AB28" s="368"/>
      <c r="AC28" s="368"/>
      <c r="AD28" s="368"/>
      <c r="AE28" s="368"/>
      <c r="AF28" s="368"/>
      <c r="AG28" s="368"/>
      <c r="AH28" s="368"/>
      <c r="AI28" s="368"/>
      <c r="AJ28" s="368"/>
      <c r="AK28" s="368"/>
      <c r="AL28" s="368"/>
      <c r="AM28" s="368"/>
      <c r="AN28" s="368"/>
      <c r="AO28" s="368"/>
      <c r="AP28" s="368"/>
      <c r="AQ28" s="368"/>
      <c r="AR28" s="368"/>
      <c r="AS28" s="368"/>
      <c r="AT28" s="550"/>
      <c r="AU28" s="550"/>
      <c r="AV28"/>
      <c r="AW28"/>
      <c r="AX28"/>
      <c r="AY28"/>
      <c r="AZ28"/>
      <c r="BA28"/>
    </row>
    <row r="29" spans="1:53" s="239" customFormat="1" x14ac:dyDescent="0.2">
      <c r="B29" s="239" t="s">
        <v>323</v>
      </c>
      <c r="E29" s="604">
        <v>110.85</v>
      </c>
      <c r="F29" s="604">
        <v>109.53400000000001</v>
      </c>
      <c r="G29" s="604">
        <v>199.387</v>
      </c>
      <c r="H29" s="604">
        <v>250.45399999999998</v>
      </c>
      <c r="I29" s="604">
        <v>246.24899999999997</v>
      </c>
      <c r="J29" s="604">
        <v>215.3</v>
      </c>
      <c r="K29" s="604">
        <v>346.471</v>
      </c>
      <c r="L29" s="604">
        <v>418.53300000000002</v>
      </c>
      <c r="M29" s="604">
        <v>457.71800000000002</v>
      </c>
      <c r="N29" s="604">
        <v>482.27499999999998</v>
      </c>
      <c r="O29" s="604">
        <v>440.62900000000002</v>
      </c>
      <c r="P29" s="604">
        <v>336.41</v>
      </c>
      <c r="Q29" s="604">
        <v>297.94299999999998</v>
      </c>
      <c r="R29" s="604">
        <v>365.733</v>
      </c>
      <c r="S29" s="604">
        <v>329.33</v>
      </c>
      <c r="T29" s="604">
        <v>319.73599999999999</v>
      </c>
      <c r="U29" s="604">
        <v>804.89300000000003</v>
      </c>
      <c r="V29" s="604">
        <v>746.79100000000005</v>
      </c>
      <c r="W29" s="604">
        <v>1099.71</v>
      </c>
      <c r="X29" s="604">
        <v>1351.0440000000001</v>
      </c>
      <c r="Y29" s="604">
        <v>1345.05</v>
      </c>
      <c r="Z29" s="604">
        <v>1227.4100000000001</v>
      </c>
      <c r="AA29" s="604">
        <v>929.01</v>
      </c>
      <c r="AB29" s="604">
        <v>627.77599999999995</v>
      </c>
      <c r="AC29" s="604">
        <v>623.65200000000004</v>
      </c>
      <c r="AD29" s="604">
        <v>2236</v>
      </c>
      <c r="AE29" s="604">
        <v>2214</v>
      </c>
      <c r="AF29" s="604">
        <v>2257</v>
      </c>
      <c r="AG29" s="1121">
        <v>2775</v>
      </c>
      <c r="AH29" s="1121">
        <v>3141</v>
      </c>
      <c r="AI29" s="1121">
        <v>3124</v>
      </c>
      <c r="AJ29" s="1121">
        <v>3106</v>
      </c>
      <c r="AK29" s="1121">
        <v>3123</v>
      </c>
      <c r="AL29" s="1121">
        <f>2795</f>
        <v>2795</v>
      </c>
      <c r="AM29" s="1121">
        <v>2113</v>
      </c>
      <c r="AN29" s="1121">
        <v>2681</v>
      </c>
      <c r="AO29" s="1129">
        <f>AN29+flow!AN30+flow!AN31+0.35</f>
        <v>2681.35</v>
      </c>
      <c r="AP29" s="1129">
        <f>AO29+flow!AO30+flow!AO31</f>
        <v>2681.35</v>
      </c>
      <c r="AQ29" s="1129">
        <f>AP29+flow!AP30+flow!AP31</f>
        <v>2681.35</v>
      </c>
      <c r="AR29" s="990">
        <f>AQ29+flow!AQ30+flow!AQ31</f>
        <v>2681.35</v>
      </c>
      <c r="AS29" s="990">
        <f>AR29+flow!AR30+flow!AR31</f>
        <v>2681.35</v>
      </c>
      <c r="AT29" s="550"/>
      <c r="AU29" s="550"/>
      <c r="AV29"/>
      <c r="AW29"/>
      <c r="AX29"/>
      <c r="AY29"/>
      <c r="AZ29"/>
      <c r="BA29"/>
    </row>
    <row r="30" spans="1:53" s="239" customFormat="1" x14ac:dyDescent="0.2">
      <c r="B30" s="239" t="s">
        <v>255</v>
      </c>
      <c r="E30" s="610">
        <v>1.268</v>
      </c>
      <c r="F30" s="610">
        <v>2.7829999999999999</v>
      </c>
      <c r="G30" s="610">
        <v>7.13</v>
      </c>
      <c r="H30" s="610">
        <v>15.839</v>
      </c>
      <c r="I30" s="610">
        <v>24.177</v>
      </c>
      <c r="J30" s="610">
        <v>67.106999999999999</v>
      </c>
      <c r="K30" s="610">
        <v>54.076999999999998</v>
      </c>
      <c r="L30" s="610">
        <v>43.668999999999997</v>
      </c>
      <c r="M30" s="610">
        <v>45.601999999999997</v>
      </c>
      <c r="N30" s="610">
        <v>46.542000000000002</v>
      </c>
      <c r="O30" s="610">
        <v>49.314</v>
      </c>
      <c r="P30" s="610">
        <v>47.082000000000001</v>
      </c>
      <c r="Q30" s="610">
        <v>64.585999999999999</v>
      </c>
      <c r="R30" s="610">
        <v>111.601</v>
      </c>
      <c r="S30" s="610">
        <v>130.59800000000001</v>
      </c>
      <c r="T30" s="991">
        <v>128.46299999999999</v>
      </c>
      <c r="U30" s="991">
        <v>204.46099999999998</v>
      </c>
      <c r="V30" s="991">
        <v>238.06700000000004</v>
      </c>
      <c r="W30" s="991">
        <v>329.35700000000003</v>
      </c>
      <c r="X30" s="991">
        <v>436.80900000000003</v>
      </c>
      <c r="Y30" s="991">
        <v>493.548</v>
      </c>
      <c r="Z30" s="991">
        <v>585.255</v>
      </c>
      <c r="AA30" s="991">
        <v>546.28507899999977</v>
      </c>
      <c r="AB30" s="991">
        <v>556.73129675831888</v>
      </c>
      <c r="AC30" s="991">
        <v>596.65429675831865</v>
      </c>
      <c r="AD30" s="991">
        <v>614.4022967583187</v>
      </c>
      <c r="AE30" s="991">
        <v>635.61929675831834</v>
      </c>
      <c r="AF30" s="991">
        <v>736</v>
      </c>
      <c r="AG30" s="1122">
        <v>787</v>
      </c>
      <c r="AH30" s="1122">
        <v>819</v>
      </c>
      <c r="AI30" s="1122">
        <f>485+341</f>
        <v>826</v>
      </c>
      <c r="AJ30" s="1122">
        <f>498+349</f>
        <v>847</v>
      </c>
      <c r="AK30" s="1122">
        <f>510+372</f>
        <v>882</v>
      </c>
      <c r="AL30" s="1122">
        <f>540+581</f>
        <v>1121</v>
      </c>
      <c r="AM30" s="1122">
        <f>521+675</f>
        <v>1196</v>
      </c>
      <c r="AN30" s="1122">
        <f>495+673</f>
        <v>1168</v>
      </c>
      <c r="AO30" s="1128">
        <f>AN30+25</f>
        <v>1193</v>
      </c>
      <c r="AP30" s="1128">
        <f>AO30</f>
        <v>1193</v>
      </c>
      <c r="AQ30" s="1128">
        <f>AP30</f>
        <v>1193</v>
      </c>
      <c r="AR30" s="992">
        <f>AQ30</f>
        <v>1193</v>
      </c>
      <c r="AS30" s="992">
        <f>AR30</f>
        <v>1193</v>
      </c>
      <c r="AT30" s="550"/>
      <c r="AU30" s="550"/>
      <c r="AV30"/>
      <c r="AW30"/>
      <c r="AX30"/>
      <c r="AY30"/>
      <c r="AZ30"/>
      <c r="BA30"/>
    </row>
    <row r="31" spans="1:53" s="239" customFormat="1" x14ac:dyDescent="0.2">
      <c r="B31" s="239" t="s">
        <v>324</v>
      </c>
      <c r="E31" s="986">
        <v>0</v>
      </c>
      <c r="F31" s="986">
        <v>0</v>
      </c>
      <c r="G31" s="986">
        <v>0</v>
      </c>
      <c r="H31" s="986">
        <v>25.965</v>
      </c>
      <c r="I31" s="986">
        <v>24.805</v>
      </c>
      <c r="J31" s="986">
        <v>23.952000000000002</v>
      </c>
      <c r="K31" s="986">
        <v>23.048999999999999</v>
      </c>
      <c r="L31" s="986">
        <v>22.08</v>
      </c>
      <c r="M31" s="986">
        <v>21.024000000000001</v>
      </c>
      <c r="N31" s="986">
        <v>19.923999999999999</v>
      </c>
      <c r="O31" s="986">
        <v>0</v>
      </c>
      <c r="P31" s="986">
        <v>0</v>
      </c>
      <c r="Q31" s="986">
        <v>0</v>
      </c>
      <c r="R31" s="986">
        <v>0</v>
      </c>
      <c r="S31" s="986">
        <v>0</v>
      </c>
      <c r="T31" s="986">
        <v>0</v>
      </c>
      <c r="U31" s="986">
        <v>0</v>
      </c>
      <c r="V31" s="986">
        <v>0</v>
      </c>
      <c r="W31" s="986">
        <v>0</v>
      </c>
      <c r="X31" s="986">
        <v>0</v>
      </c>
      <c r="Y31" s="986">
        <v>0</v>
      </c>
      <c r="Z31" s="986">
        <v>0</v>
      </c>
      <c r="AA31" s="986">
        <v>0</v>
      </c>
      <c r="AB31" s="986">
        <v>0</v>
      </c>
      <c r="AC31" s="986">
        <v>0</v>
      </c>
      <c r="AD31" s="986">
        <v>0</v>
      </c>
      <c r="AE31" s="986">
        <v>0</v>
      </c>
      <c r="AF31" s="986">
        <v>0</v>
      </c>
      <c r="AG31" s="1120">
        <v>0</v>
      </c>
      <c r="AH31" s="1120">
        <v>0</v>
      </c>
      <c r="AI31" s="1120">
        <v>0</v>
      </c>
      <c r="AJ31" s="1120">
        <v>0</v>
      </c>
      <c r="AK31" s="1120">
        <v>0</v>
      </c>
      <c r="AL31" s="1120">
        <v>0</v>
      </c>
      <c r="AM31" s="1120">
        <v>0</v>
      </c>
      <c r="AN31" s="986">
        <v>0</v>
      </c>
      <c r="AO31" s="986">
        <v>0</v>
      </c>
      <c r="AP31" s="986">
        <v>0</v>
      </c>
      <c r="AQ31" s="986">
        <v>0</v>
      </c>
      <c r="AR31" s="986">
        <v>0</v>
      </c>
      <c r="AS31" s="986">
        <v>0</v>
      </c>
      <c r="AT31" s="550"/>
      <c r="AU31" s="550"/>
      <c r="AV31"/>
      <c r="AW31"/>
      <c r="AX31"/>
      <c r="AY31"/>
      <c r="AZ31"/>
      <c r="BA31"/>
    </row>
    <row r="32" spans="1:53" s="239" customFormat="1" x14ac:dyDescent="0.2">
      <c r="C32" s="239" t="s">
        <v>13</v>
      </c>
      <c r="E32" s="605">
        <f t="shared" ref="E32:N32" si="12">SUM(E29:E31)</f>
        <v>112.11799999999999</v>
      </c>
      <c r="F32" s="605">
        <f t="shared" si="12"/>
        <v>112.31700000000001</v>
      </c>
      <c r="G32" s="605">
        <f t="shared" si="12"/>
        <v>206.517</v>
      </c>
      <c r="H32" s="605">
        <f t="shared" si="12"/>
        <v>292.25799999999998</v>
      </c>
      <c r="I32" s="605">
        <f t="shared" si="12"/>
        <v>295.23099999999999</v>
      </c>
      <c r="J32" s="605">
        <f t="shared" si="12"/>
        <v>306.35900000000004</v>
      </c>
      <c r="K32" s="605">
        <f t="shared" si="12"/>
        <v>423.59699999999998</v>
      </c>
      <c r="L32" s="605">
        <f t="shared" si="12"/>
        <v>484.28199999999998</v>
      </c>
      <c r="M32" s="605">
        <f t="shared" si="12"/>
        <v>524.34400000000005</v>
      </c>
      <c r="N32" s="605">
        <f t="shared" si="12"/>
        <v>548.74099999999999</v>
      </c>
      <c r="O32" s="605">
        <f t="shared" ref="O32:AH32" si="13">SUM(O29:O31)</f>
        <v>489.94300000000004</v>
      </c>
      <c r="P32" s="605">
        <f t="shared" si="13"/>
        <v>383.49200000000002</v>
      </c>
      <c r="Q32" s="605">
        <f t="shared" si="13"/>
        <v>362.529</v>
      </c>
      <c r="R32" s="605">
        <f t="shared" si="13"/>
        <v>477.334</v>
      </c>
      <c r="S32" s="605">
        <f t="shared" si="13"/>
        <v>459.928</v>
      </c>
      <c r="T32" s="605">
        <f t="shared" si="13"/>
        <v>448.19899999999996</v>
      </c>
      <c r="U32" s="605">
        <f t="shared" si="13"/>
        <v>1009.354</v>
      </c>
      <c r="V32" s="605">
        <f t="shared" si="13"/>
        <v>984.85800000000006</v>
      </c>
      <c r="W32" s="605">
        <f t="shared" si="13"/>
        <v>1429.067</v>
      </c>
      <c r="X32" s="605">
        <f t="shared" si="13"/>
        <v>1787.8530000000001</v>
      </c>
      <c r="Y32" s="605">
        <f t="shared" si="13"/>
        <v>1838.598</v>
      </c>
      <c r="Z32" s="605">
        <f t="shared" si="13"/>
        <v>1812.665</v>
      </c>
      <c r="AA32" s="605">
        <f t="shared" si="13"/>
        <v>1475.2950789999998</v>
      </c>
      <c r="AB32" s="605">
        <f t="shared" si="13"/>
        <v>1184.5072967583187</v>
      </c>
      <c r="AC32" s="605">
        <f t="shared" si="13"/>
        <v>1220.3062967583187</v>
      </c>
      <c r="AD32" s="605">
        <f t="shared" si="13"/>
        <v>2850.4022967583187</v>
      </c>
      <c r="AE32" s="605">
        <f t="shared" si="13"/>
        <v>2849.6192967583183</v>
      </c>
      <c r="AF32" s="605">
        <f t="shared" si="13"/>
        <v>2993</v>
      </c>
      <c r="AG32" s="605">
        <f t="shared" si="13"/>
        <v>3562</v>
      </c>
      <c r="AH32" s="605">
        <f t="shared" si="13"/>
        <v>3960</v>
      </c>
      <c r="AI32" s="605">
        <f t="shared" ref="AI32:AN32" si="14">SUM(AI29:AI31)</f>
        <v>3950</v>
      </c>
      <c r="AJ32" s="605">
        <f t="shared" si="14"/>
        <v>3953</v>
      </c>
      <c r="AK32" s="605">
        <f t="shared" si="14"/>
        <v>4005</v>
      </c>
      <c r="AL32" s="605">
        <f t="shared" si="14"/>
        <v>3916</v>
      </c>
      <c r="AM32" s="605">
        <f t="shared" si="14"/>
        <v>3309</v>
      </c>
      <c r="AN32" s="605">
        <f t="shared" si="14"/>
        <v>3849</v>
      </c>
      <c r="AO32" s="605">
        <f>SUM(AO29:AO31)</f>
        <v>3874.35</v>
      </c>
      <c r="AP32" s="605">
        <f>SUM(AP29:AP31)</f>
        <v>3874.35</v>
      </c>
      <c r="AQ32" s="605">
        <f>SUM(AQ29:AQ31)</f>
        <v>3874.35</v>
      </c>
      <c r="AR32" s="605">
        <f>SUM(AR29:AR31)</f>
        <v>3874.35</v>
      </c>
      <c r="AS32" s="605">
        <f>SUM(AS29:AS31)</f>
        <v>3874.35</v>
      </c>
      <c r="AT32" s="550"/>
      <c r="AU32" s="550"/>
      <c r="AV32"/>
      <c r="AW32"/>
      <c r="AX32"/>
      <c r="AY32"/>
      <c r="AZ32"/>
      <c r="BA32"/>
    </row>
    <row r="33" spans="1:53" s="239" customFormat="1" ht="4.5" customHeight="1" x14ac:dyDescent="0.2">
      <c r="E33" s="994"/>
      <c r="F33" s="994"/>
      <c r="G33" s="994"/>
      <c r="H33" s="994"/>
      <c r="I33" s="994"/>
      <c r="J33" s="994"/>
      <c r="K33" s="994"/>
      <c r="L33" s="994"/>
      <c r="M33" s="994"/>
      <c r="N33" s="994"/>
      <c r="O33" s="994"/>
      <c r="P33" s="994"/>
      <c r="Q33" s="994"/>
      <c r="R33" s="994"/>
      <c r="S33" s="994"/>
      <c r="T33" s="994"/>
      <c r="U33" s="994"/>
      <c r="V33" s="994"/>
      <c r="W33" s="994"/>
      <c r="X33" s="994"/>
      <c r="Y33" s="994"/>
      <c r="Z33" s="994"/>
      <c r="AA33" s="994"/>
      <c r="AB33" s="994"/>
      <c r="AC33" s="994"/>
      <c r="AD33" s="994"/>
      <c r="AE33" s="994"/>
      <c r="AF33" s="994"/>
      <c r="AG33" s="994"/>
      <c r="AH33" s="994"/>
      <c r="AI33" s="994"/>
      <c r="AJ33" s="994"/>
      <c r="AK33" s="994"/>
      <c r="AL33" s="994"/>
      <c r="AM33" s="994"/>
      <c r="AN33" s="994"/>
      <c r="AO33" s="994"/>
      <c r="AP33" s="994"/>
      <c r="AQ33" s="994"/>
      <c r="AR33" s="994"/>
      <c r="AS33" s="994"/>
      <c r="AT33" s="550"/>
      <c r="AU33" s="550"/>
      <c r="AV33"/>
      <c r="AW33"/>
      <c r="AX33"/>
      <c r="AY33"/>
      <c r="AZ33"/>
      <c r="BA33"/>
    </row>
    <row r="34" spans="1:53" s="239" customFormat="1" x14ac:dyDescent="0.2">
      <c r="A34" s="239" t="s">
        <v>18</v>
      </c>
      <c r="E34" s="988">
        <f t="shared" ref="E34:N34" si="15">E32+E27</f>
        <v>203.45299999999997</v>
      </c>
      <c r="F34" s="988">
        <f t="shared" si="15"/>
        <v>276.94499999999999</v>
      </c>
      <c r="G34" s="988">
        <f t="shared" si="15"/>
        <v>445.84800000000001</v>
      </c>
      <c r="H34" s="988">
        <f t="shared" si="15"/>
        <v>631.76099999999997</v>
      </c>
      <c r="I34" s="988">
        <f t="shared" si="15"/>
        <v>619.928</v>
      </c>
      <c r="J34" s="988">
        <f t="shared" si="15"/>
        <v>701.05799999999999</v>
      </c>
      <c r="K34" s="988">
        <f t="shared" si="15"/>
        <v>871.76200000000006</v>
      </c>
      <c r="L34" s="988">
        <f t="shared" si="15"/>
        <v>974.16999999999985</v>
      </c>
      <c r="M34" s="988">
        <f t="shared" si="15"/>
        <v>1076.1790000000001</v>
      </c>
      <c r="N34" s="988">
        <f t="shared" si="15"/>
        <v>1102.644</v>
      </c>
      <c r="O34" s="988">
        <f t="shared" ref="O34:AH34" si="16">O32+O27</f>
        <v>1001.139</v>
      </c>
      <c r="P34" s="988">
        <f t="shared" si="16"/>
        <v>1010.9770000000001</v>
      </c>
      <c r="Q34" s="988">
        <f t="shared" si="16"/>
        <v>1052.9829999999999</v>
      </c>
      <c r="R34" s="988">
        <f t="shared" si="16"/>
        <v>1309.6469999999999</v>
      </c>
      <c r="S34" s="988">
        <f t="shared" si="16"/>
        <v>1229.3150000000001</v>
      </c>
      <c r="T34" s="988">
        <f t="shared" si="16"/>
        <v>1390.8109999999997</v>
      </c>
      <c r="U34" s="988">
        <f t="shared" si="16"/>
        <v>1788.2180000000001</v>
      </c>
      <c r="V34" s="988">
        <f t="shared" si="16"/>
        <v>1851.3670000000002</v>
      </c>
      <c r="W34" s="988">
        <f t="shared" si="16"/>
        <v>2379.6350000000002</v>
      </c>
      <c r="X34" s="988">
        <f t="shared" si="16"/>
        <v>2735.5889999999999</v>
      </c>
      <c r="Y34" s="988">
        <f t="shared" si="16"/>
        <v>2723.7429999999999</v>
      </c>
      <c r="Z34" s="988">
        <f t="shared" si="16"/>
        <v>2935.2240000000002</v>
      </c>
      <c r="AA34" s="988">
        <f t="shared" si="16"/>
        <v>2816.4470789999996</v>
      </c>
      <c r="AB34" s="988">
        <f t="shared" si="16"/>
        <v>2807.8192967583186</v>
      </c>
      <c r="AC34" s="988">
        <f t="shared" si="16"/>
        <v>2653.4492967583187</v>
      </c>
      <c r="AD34" s="988">
        <f t="shared" si="16"/>
        <v>4485.4022967583187</v>
      </c>
      <c r="AE34" s="988">
        <f t="shared" si="16"/>
        <v>4450.6192967583183</v>
      </c>
      <c r="AF34" s="988">
        <f t="shared" si="16"/>
        <v>5007</v>
      </c>
      <c r="AG34" s="988">
        <f t="shared" si="16"/>
        <v>5441</v>
      </c>
      <c r="AH34" s="988">
        <f t="shared" si="16"/>
        <v>6535</v>
      </c>
      <c r="AI34" s="988">
        <f t="shared" ref="AI34:AN34" si="17">AI32+AI27</f>
        <v>6176</v>
      </c>
      <c r="AJ34" s="988">
        <f t="shared" si="17"/>
        <v>6494</v>
      </c>
      <c r="AK34" s="988">
        <f t="shared" si="17"/>
        <v>6805</v>
      </c>
      <c r="AL34" s="988">
        <f t="shared" si="17"/>
        <v>6827</v>
      </c>
      <c r="AM34" s="988">
        <f t="shared" si="17"/>
        <v>6988</v>
      </c>
      <c r="AN34" s="988">
        <f t="shared" si="17"/>
        <v>7138</v>
      </c>
      <c r="AO34" s="988">
        <f>AO32+AO27</f>
        <v>7206.8270367237747</v>
      </c>
      <c r="AP34" s="988">
        <f>AP32+AP27</f>
        <v>7257.3510836722598</v>
      </c>
      <c r="AQ34" s="988">
        <f>AQ32+AQ27</f>
        <v>7302.9510208171523</v>
      </c>
      <c r="AR34" s="988">
        <f>AR32+AR27</f>
        <v>7348.526261317269</v>
      </c>
      <c r="AS34" s="988">
        <f>AS32+AS27</f>
        <v>7381.7665790670908</v>
      </c>
      <c r="AT34" s="550"/>
      <c r="AU34" s="550"/>
      <c r="AV34"/>
      <c r="AW34"/>
      <c r="AX34"/>
      <c r="AY34"/>
      <c r="AZ34"/>
      <c r="BA34"/>
    </row>
    <row r="35" spans="1:53" s="239" customFormat="1" ht="4.5" customHeight="1" x14ac:dyDescent="0.2">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8"/>
      <c r="AI35" s="368"/>
      <c r="AJ35" s="368"/>
      <c r="AK35" s="368"/>
      <c r="AL35" s="368"/>
      <c r="AM35" s="368"/>
      <c r="AN35" s="368"/>
      <c r="AO35" s="368"/>
      <c r="AP35" s="368"/>
      <c r="AQ35" s="368"/>
      <c r="AR35" s="368"/>
      <c r="AS35" s="368"/>
      <c r="AT35" s="368"/>
      <c r="AU35" s="368"/>
      <c r="AV35"/>
      <c r="AW35"/>
      <c r="AX35"/>
      <c r="AY35"/>
      <c r="AZ35"/>
      <c r="BA35"/>
    </row>
    <row r="36" spans="1:53" s="239" customFormat="1" x14ac:dyDescent="0.2">
      <c r="A36" s="880" t="s">
        <v>102</v>
      </c>
      <c r="E36" s="368"/>
      <c r="F36" s="368"/>
      <c r="G36" s="368"/>
      <c r="H36" s="368"/>
      <c r="I36" s="368"/>
      <c r="J36" s="368"/>
      <c r="K36" s="368"/>
      <c r="L36" s="368"/>
      <c r="M36" s="368"/>
      <c r="N36" s="368"/>
      <c r="O36" s="368"/>
      <c r="P36" s="368"/>
      <c r="Q36" s="368"/>
      <c r="R36" s="368"/>
      <c r="S36" s="368"/>
      <c r="T36" s="368"/>
      <c r="U36" s="368"/>
      <c r="V36" s="368"/>
      <c r="W36" s="368"/>
      <c r="X36" s="630"/>
      <c r="Y36" s="368"/>
      <c r="Z36" s="368"/>
      <c r="AA36" s="368"/>
      <c r="AB36" s="368"/>
      <c r="AC36" s="368"/>
      <c r="AD36" s="368"/>
      <c r="AE36" s="368"/>
      <c r="AF36" s="368"/>
      <c r="AG36" s="368"/>
      <c r="AH36" s="368"/>
      <c r="AI36" s="368"/>
      <c r="AJ36" s="368"/>
      <c r="AK36" s="368"/>
      <c r="AL36" s="368"/>
      <c r="AM36" s="368"/>
      <c r="AN36" s="368"/>
      <c r="AO36" s="368"/>
      <c r="AP36" s="368"/>
      <c r="AQ36" s="368"/>
      <c r="AR36" s="368"/>
      <c r="AS36" s="368"/>
      <c r="AT36" s="368"/>
      <c r="AU36" s="368"/>
      <c r="AV36"/>
      <c r="AW36"/>
      <c r="AX36"/>
      <c r="AY36"/>
      <c r="AZ36"/>
      <c r="BA36"/>
    </row>
    <row r="37" spans="1:53" s="239" customFormat="1" x14ac:dyDescent="0.2">
      <c r="B37" s="239" t="s">
        <v>239</v>
      </c>
      <c r="E37" s="610">
        <v>65.057999999999993</v>
      </c>
      <c r="F37" s="610">
        <v>66.983000000000004</v>
      </c>
      <c r="G37" s="610">
        <v>67.671999999999997</v>
      </c>
      <c r="H37" s="610">
        <v>68.19</v>
      </c>
      <c r="I37" s="610">
        <v>142.43199999999999</v>
      </c>
      <c r="J37" s="610">
        <v>146.31700000000001</v>
      </c>
      <c r="K37" s="610">
        <v>147.62899999999999</v>
      </c>
      <c r="L37" s="610">
        <v>148.857</v>
      </c>
      <c r="M37" s="610">
        <v>150.69900000000001</v>
      </c>
      <c r="N37" s="610">
        <v>153.05500000000001</v>
      </c>
      <c r="O37" s="610">
        <v>155.43899999999999</v>
      </c>
      <c r="P37" s="610">
        <v>157.374</v>
      </c>
      <c r="Q37" s="610">
        <v>163.334</v>
      </c>
      <c r="R37" s="610">
        <v>168.44</v>
      </c>
      <c r="S37" s="610">
        <v>183.398</v>
      </c>
      <c r="T37" s="610">
        <v>201.05</v>
      </c>
      <c r="U37" s="610">
        <v>230.761</v>
      </c>
      <c r="V37" s="610">
        <v>247.559</v>
      </c>
      <c r="W37" s="610">
        <v>330.39400000000001</v>
      </c>
      <c r="X37" s="610">
        <v>341.31599999999997</v>
      </c>
      <c r="Y37" s="610">
        <v>358.06900000000002</v>
      </c>
      <c r="Z37" s="610">
        <v>424.64499999999998</v>
      </c>
      <c r="AA37" s="610">
        <v>552.65499999999997</v>
      </c>
      <c r="AB37" s="610">
        <v>685.93399999999997</v>
      </c>
      <c r="AC37" s="610">
        <v>826.42100000000005</v>
      </c>
      <c r="AD37" s="610">
        <v>936</v>
      </c>
      <c r="AE37" s="610">
        <v>997</v>
      </c>
      <c r="AF37" s="610">
        <v>1066</v>
      </c>
      <c r="AG37" s="1118">
        <v>1139</v>
      </c>
      <c r="AH37" s="1118">
        <v>1484</v>
      </c>
      <c r="AI37" s="1118">
        <v>1645</v>
      </c>
      <c r="AJ37" s="1118">
        <v>1827</v>
      </c>
      <c r="AK37" s="1118">
        <v>2338</v>
      </c>
      <c r="AL37" s="1118">
        <v>2539</v>
      </c>
      <c r="AM37" s="1118">
        <v>2707</v>
      </c>
      <c r="AN37" s="1118">
        <v>2816</v>
      </c>
      <c r="AO37" s="612">
        <f>AN37</f>
        <v>2816</v>
      </c>
      <c r="AP37" s="612">
        <f>AO37</f>
        <v>2816</v>
      </c>
      <c r="AQ37" s="612">
        <f>AP37</f>
        <v>2816</v>
      </c>
      <c r="AR37" s="612">
        <f>AQ37</f>
        <v>2816</v>
      </c>
      <c r="AS37" s="612">
        <f>AR37</f>
        <v>2816</v>
      </c>
      <c r="AT37" s="550"/>
      <c r="AU37" s="550"/>
      <c r="AV37"/>
      <c r="AW37"/>
      <c r="AX37"/>
      <c r="AY37"/>
      <c r="AZ37"/>
      <c r="BA37"/>
    </row>
    <row r="38" spans="1:53" s="239" customFormat="1" x14ac:dyDescent="0.2">
      <c r="B38" s="239" t="s">
        <v>256</v>
      </c>
      <c r="E38" s="986">
        <v>136.61500000000001</v>
      </c>
      <c r="F38" s="986">
        <v>170.751</v>
      </c>
      <c r="G38" s="986">
        <v>204.03700000000001</v>
      </c>
      <c r="H38" s="986">
        <v>245.929</v>
      </c>
      <c r="I38" s="986">
        <v>308.76400000000001</v>
      </c>
      <c r="J38" s="986">
        <v>386.892</v>
      </c>
      <c r="K38" s="986">
        <v>492.31200000000001</v>
      </c>
      <c r="L38" s="986">
        <v>584.39300000000003</v>
      </c>
      <c r="M38" s="986">
        <v>675.71100000000001</v>
      </c>
      <c r="N38" s="986">
        <v>786.17600000000004</v>
      </c>
      <c r="O38" s="986">
        <v>896.59199999999998</v>
      </c>
      <c r="P38" s="986">
        <v>1009.13</v>
      </c>
      <c r="Q38" s="986">
        <v>1180.4659999999999</v>
      </c>
      <c r="R38" s="995">
        <f>R39-R37</f>
        <v>1254.5319999999999</v>
      </c>
      <c r="S38" s="986">
        <f>1289.794-0.00400000000036016</f>
        <v>1289.7899999999997</v>
      </c>
      <c r="T38" s="986">
        <f>1274-0.0140019999998913</f>
        <v>1273.9859980000001</v>
      </c>
      <c r="U38" s="986">
        <f>1069.784+0.00287899999966612</f>
        <v>1069.7868789999998</v>
      </c>
      <c r="V38" s="986">
        <v>937.8248789999999</v>
      </c>
      <c r="W38" s="986">
        <v>899.05487900000094</v>
      </c>
      <c r="X38" s="986">
        <v>972.59387900000092</v>
      </c>
      <c r="Y38" s="986">
        <v>1014.7830790000006</v>
      </c>
      <c r="Z38" s="986">
        <v>1208.3910790000014</v>
      </c>
      <c r="AA38" s="986">
        <v>1236.1400000000001</v>
      </c>
      <c r="AB38" s="986">
        <v>1406.5480000000014</v>
      </c>
      <c r="AC38" s="986">
        <v>1341.9010000000012</v>
      </c>
      <c r="AD38" s="986">
        <v>178.58100000000013</v>
      </c>
      <c r="AE38" s="986">
        <v>213.68100000000049</v>
      </c>
      <c r="AF38" s="986">
        <v>506.30029675831884</v>
      </c>
      <c r="AG38" s="1120">
        <v>882.30029675831884</v>
      </c>
      <c r="AH38" s="1120">
        <v>472.30029675832048</v>
      </c>
      <c r="AI38" s="1120">
        <f>315-47+0.3</f>
        <v>268.3</v>
      </c>
      <c r="AJ38" s="1120">
        <f>292-39+0.3</f>
        <v>253.3</v>
      </c>
      <c r="AK38" s="1120">
        <f>166-64</f>
        <v>102</v>
      </c>
      <c r="AL38" s="1120">
        <f>-1610-58</f>
        <v>-1668</v>
      </c>
      <c r="AM38" s="1120">
        <f>-1794-43</f>
        <v>-1837</v>
      </c>
      <c r="AN38" s="1120">
        <f>-1810-29</f>
        <v>-1839</v>
      </c>
      <c r="AO38" s="1127">
        <f>AN38+flow!AN8+flow!AN33+flow!AN32+flow!AN34</f>
        <v>-1792.1778769182965</v>
      </c>
      <c r="AP38" s="1127">
        <f>AO38+flow!AO8+flow!AO33+flow!AO32+flow!AO34</f>
        <v>-1762.5032564748724</v>
      </c>
      <c r="AQ38" s="1127">
        <f>AP38+flow!AP8+flow!AP33+flow!AP32+flow!AP34</f>
        <v>-1698.7381384854434</v>
      </c>
      <c r="AR38" s="996">
        <f>AQ38+flow!AQ8+flow!AQ33+flow!AQ32+flow!AQ34</f>
        <v>-1650.8619968127996</v>
      </c>
      <c r="AS38" s="996">
        <f>AR38+flow!AR8+flow!AR33+flow!AR32+flow!AR34</f>
        <v>-1610.1149598144273</v>
      </c>
      <c r="AT38" s="550"/>
      <c r="AU38" s="550"/>
      <c r="AV38"/>
      <c r="AW38"/>
      <c r="AX38"/>
      <c r="AY38"/>
      <c r="AZ38"/>
      <c r="BA38"/>
    </row>
    <row r="39" spans="1:53" s="239" customFormat="1" x14ac:dyDescent="0.2">
      <c r="C39" s="239" t="s">
        <v>14</v>
      </c>
      <c r="E39" s="605">
        <f t="shared" ref="E39:N39" si="18">SUM(E37:E38)</f>
        <v>201.673</v>
      </c>
      <c r="F39" s="605">
        <f t="shared" si="18"/>
        <v>237.73400000000001</v>
      </c>
      <c r="G39" s="605">
        <f t="shared" si="18"/>
        <v>271.709</v>
      </c>
      <c r="H39" s="605">
        <f t="shared" si="18"/>
        <v>314.11900000000003</v>
      </c>
      <c r="I39" s="605">
        <f t="shared" si="18"/>
        <v>451.19600000000003</v>
      </c>
      <c r="J39" s="605">
        <f t="shared" si="18"/>
        <v>533.20900000000006</v>
      </c>
      <c r="K39" s="605">
        <f t="shared" si="18"/>
        <v>639.94100000000003</v>
      </c>
      <c r="L39" s="605">
        <f t="shared" si="18"/>
        <v>733.25</v>
      </c>
      <c r="M39" s="605">
        <f t="shared" si="18"/>
        <v>826.41000000000008</v>
      </c>
      <c r="N39" s="605">
        <f t="shared" si="18"/>
        <v>939.23099999999999</v>
      </c>
      <c r="O39" s="605">
        <f>SUM(O37:O38)</f>
        <v>1052.0309999999999</v>
      </c>
      <c r="P39" s="605">
        <f>SUM(P37:P38)</f>
        <v>1166.5039999999999</v>
      </c>
      <c r="Q39" s="605">
        <f>SUM(Q37:Q38)</f>
        <v>1343.8</v>
      </c>
      <c r="R39" s="604">
        <v>1422.972</v>
      </c>
      <c r="S39" s="605">
        <f t="shared" ref="S39:AH39" si="19">SUM(S37:S38)</f>
        <v>1473.1879999999996</v>
      </c>
      <c r="T39" s="605">
        <f t="shared" si="19"/>
        <v>1475.0359980000001</v>
      </c>
      <c r="U39" s="605">
        <f t="shared" si="19"/>
        <v>1300.5478789999997</v>
      </c>
      <c r="V39" s="605">
        <f t="shared" si="19"/>
        <v>1185.383879</v>
      </c>
      <c r="W39" s="605">
        <f t="shared" si="19"/>
        <v>1229.4488790000009</v>
      </c>
      <c r="X39" s="605">
        <f t="shared" si="19"/>
        <v>1313.909879000001</v>
      </c>
      <c r="Y39" s="605">
        <f t="shared" si="19"/>
        <v>1372.8520790000007</v>
      </c>
      <c r="Z39" s="605">
        <f t="shared" si="19"/>
        <v>1633.0360790000013</v>
      </c>
      <c r="AA39" s="605">
        <f t="shared" si="19"/>
        <v>1788.7950000000001</v>
      </c>
      <c r="AB39" s="605">
        <f t="shared" si="19"/>
        <v>2092.4820000000013</v>
      </c>
      <c r="AC39" s="605">
        <f t="shared" si="19"/>
        <v>2168.322000000001</v>
      </c>
      <c r="AD39" s="605">
        <f t="shared" si="19"/>
        <v>1114.5810000000001</v>
      </c>
      <c r="AE39" s="605">
        <f t="shared" si="19"/>
        <v>1210.6810000000005</v>
      </c>
      <c r="AF39" s="605">
        <f t="shared" si="19"/>
        <v>1572.3002967583188</v>
      </c>
      <c r="AG39" s="605">
        <f t="shared" si="19"/>
        <v>2021.3002967583188</v>
      </c>
      <c r="AH39" s="605">
        <f t="shared" si="19"/>
        <v>1956.3002967583204</v>
      </c>
      <c r="AI39" s="605">
        <f t="shared" ref="AI39:AN39" si="20">SUM(AI37:AI38)</f>
        <v>1913.3</v>
      </c>
      <c r="AJ39" s="605">
        <f t="shared" si="20"/>
        <v>2080.3000000000002</v>
      </c>
      <c r="AK39" s="605">
        <f t="shared" si="20"/>
        <v>2440</v>
      </c>
      <c r="AL39" s="605">
        <f t="shared" si="20"/>
        <v>871</v>
      </c>
      <c r="AM39" s="605">
        <f t="shared" si="20"/>
        <v>870</v>
      </c>
      <c r="AN39" s="605">
        <f t="shared" si="20"/>
        <v>977</v>
      </c>
      <c r="AO39" s="605">
        <f>SUM(AO37:AO38)</f>
        <v>1023.8221230817035</v>
      </c>
      <c r="AP39" s="605">
        <f>SUM(AP37:AP38)</f>
        <v>1053.4967435251276</v>
      </c>
      <c r="AQ39" s="605">
        <f>SUM(AQ37:AQ38)</f>
        <v>1117.2618615145566</v>
      </c>
      <c r="AR39" s="605">
        <f>SUM(AR37:AR38)</f>
        <v>1165.1380031872004</v>
      </c>
      <c r="AS39" s="605">
        <f>SUM(AS37:AS38)</f>
        <v>1205.8850401855727</v>
      </c>
      <c r="AT39" s="605"/>
      <c r="AU39" s="605"/>
      <c r="AV39"/>
      <c r="AW39"/>
      <c r="AX39"/>
      <c r="AY39"/>
      <c r="AZ39"/>
      <c r="BA39"/>
    </row>
    <row r="40" spans="1:53" s="239" customFormat="1" ht="4.5" customHeight="1" x14ac:dyDescent="0.2">
      <c r="E40" s="368"/>
      <c r="F40" s="368"/>
      <c r="G40" s="368"/>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8"/>
      <c r="AI40" s="368"/>
      <c r="AJ40" s="368"/>
      <c r="AK40" s="368"/>
      <c r="AL40" s="368"/>
      <c r="AM40" s="368"/>
      <c r="AN40" s="368"/>
      <c r="AO40" s="368"/>
      <c r="AP40" s="368"/>
      <c r="AQ40" s="368"/>
      <c r="AR40" s="368"/>
      <c r="AS40" s="368"/>
      <c r="AT40" s="550"/>
      <c r="AU40" s="550"/>
      <c r="AV40"/>
      <c r="AW40"/>
      <c r="AX40"/>
      <c r="AY40"/>
      <c r="AZ40"/>
      <c r="BA40"/>
    </row>
    <row r="41" spans="1:53" s="239" customFormat="1" x14ac:dyDescent="0.2">
      <c r="A41" s="239" t="s">
        <v>119</v>
      </c>
      <c r="E41" s="988">
        <f t="shared" ref="E41:N41" si="21">E39+E34</f>
        <v>405.12599999999998</v>
      </c>
      <c r="F41" s="988">
        <f t="shared" si="21"/>
        <v>514.67899999999997</v>
      </c>
      <c r="G41" s="988">
        <f t="shared" si="21"/>
        <v>717.55700000000002</v>
      </c>
      <c r="H41" s="988">
        <f t="shared" si="21"/>
        <v>945.88</v>
      </c>
      <c r="I41" s="988">
        <f t="shared" si="21"/>
        <v>1071.124</v>
      </c>
      <c r="J41" s="988">
        <f t="shared" si="21"/>
        <v>1234.2670000000001</v>
      </c>
      <c r="K41" s="988">
        <f t="shared" si="21"/>
        <v>1511.703</v>
      </c>
      <c r="L41" s="988">
        <f t="shared" si="21"/>
        <v>1707.4199999999998</v>
      </c>
      <c r="M41" s="988">
        <f t="shared" si="21"/>
        <v>1902.5890000000002</v>
      </c>
      <c r="N41" s="988">
        <f t="shared" si="21"/>
        <v>2041.875</v>
      </c>
      <c r="O41" s="988">
        <f t="shared" ref="O41:AH41" si="22">O39+O34</f>
        <v>2053.17</v>
      </c>
      <c r="P41" s="988">
        <f t="shared" si="22"/>
        <v>2177.4809999999998</v>
      </c>
      <c r="Q41" s="988">
        <f t="shared" si="22"/>
        <v>2396.7829999999999</v>
      </c>
      <c r="R41" s="988">
        <f t="shared" si="22"/>
        <v>2732.6189999999997</v>
      </c>
      <c r="S41" s="988">
        <f t="shared" si="22"/>
        <v>2702.5029999999997</v>
      </c>
      <c r="T41" s="988">
        <f t="shared" si="22"/>
        <v>2865.846998</v>
      </c>
      <c r="U41" s="988">
        <f t="shared" si="22"/>
        <v>3088.7658789999996</v>
      </c>
      <c r="V41" s="988">
        <f t="shared" si="22"/>
        <v>3036.7508790000002</v>
      </c>
      <c r="W41" s="988">
        <f t="shared" si="22"/>
        <v>3609.0838790000012</v>
      </c>
      <c r="X41" s="988">
        <f t="shared" si="22"/>
        <v>4049.4988790000007</v>
      </c>
      <c r="Y41" s="988">
        <f t="shared" si="22"/>
        <v>4096.5950790000006</v>
      </c>
      <c r="Z41" s="988">
        <f t="shared" si="22"/>
        <v>4568.2600790000015</v>
      </c>
      <c r="AA41" s="988">
        <f t="shared" si="22"/>
        <v>4605.2420789999996</v>
      </c>
      <c r="AB41" s="988">
        <f t="shared" si="22"/>
        <v>4900.3012967583199</v>
      </c>
      <c r="AC41" s="988">
        <f t="shared" si="22"/>
        <v>4821.7712967583193</v>
      </c>
      <c r="AD41" s="988">
        <f t="shared" si="22"/>
        <v>5599.9832967583188</v>
      </c>
      <c r="AE41" s="988">
        <f t="shared" si="22"/>
        <v>5661.3002967583188</v>
      </c>
      <c r="AF41" s="988">
        <f t="shared" si="22"/>
        <v>6579.3002967583188</v>
      </c>
      <c r="AG41" s="988">
        <f t="shared" si="22"/>
        <v>7462.3002967583188</v>
      </c>
      <c r="AH41" s="988">
        <f t="shared" si="22"/>
        <v>8491.3002967583197</v>
      </c>
      <c r="AI41" s="988">
        <f t="shared" ref="AI41:AN41" si="23">AI39+AI34</f>
        <v>8089.3</v>
      </c>
      <c r="AJ41" s="988">
        <f t="shared" si="23"/>
        <v>8574.2999999999993</v>
      </c>
      <c r="AK41" s="988">
        <f t="shared" si="23"/>
        <v>9245</v>
      </c>
      <c r="AL41" s="988">
        <f t="shared" si="23"/>
        <v>7698</v>
      </c>
      <c r="AM41" s="988">
        <f t="shared" si="23"/>
        <v>7858</v>
      </c>
      <c r="AN41" s="988">
        <f t="shared" si="23"/>
        <v>8115</v>
      </c>
      <c r="AO41" s="988">
        <f>AO39+AO34</f>
        <v>8230.6491598054781</v>
      </c>
      <c r="AP41" s="988">
        <f>AP39+AP34</f>
        <v>8310.8478271973872</v>
      </c>
      <c r="AQ41" s="988">
        <f>AQ39+AQ34</f>
        <v>8420.2128823317089</v>
      </c>
      <c r="AR41" s="988">
        <f>AR39+AR34</f>
        <v>8513.6642645044703</v>
      </c>
      <c r="AS41" s="988">
        <f>AS39+AS34</f>
        <v>8587.6516192526633</v>
      </c>
      <c r="AT41" s="550"/>
      <c r="AU41" s="550"/>
      <c r="AV41"/>
      <c r="AW41"/>
      <c r="AX41"/>
      <c r="AY41"/>
      <c r="AZ41"/>
      <c r="BA41"/>
    </row>
    <row r="42" spans="1:53" s="239" customFormat="1" x14ac:dyDescent="0.2">
      <c r="E42" s="286"/>
      <c r="F42" s="286"/>
      <c r="G42" s="286"/>
      <c r="H42" s="286"/>
      <c r="I42" s="286"/>
      <c r="J42" s="286"/>
      <c r="K42" s="286"/>
      <c r="L42" s="286"/>
      <c r="M42" s="286"/>
      <c r="N42" s="286"/>
      <c r="O42" s="286"/>
      <c r="P42" s="286"/>
      <c r="Q42" s="286"/>
      <c r="R42" s="286"/>
      <c r="S42" s="286"/>
      <c r="T42" s="286"/>
      <c r="U42" s="286"/>
      <c r="V42" s="286"/>
      <c r="W42" s="286"/>
      <c r="X42" s="286"/>
      <c r="Y42" s="286"/>
      <c r="Z42" s="286"/>
      <c r="AA42" s="286"/>
      <c r="AB42" s="286"/>
      <c r="AC42" s="286"/>
      <c r="AD42" s="286"/>
      <c r="AE42" s="286"/>
      <c r="AF42" s="286"/>
      <c r="AG42" s="286"/>
      <c r="AH42" s="286"/>
      <c r="AI42" s="286"/>
      <c r="AJ42" s="286"/>
      <c r="AK42" s="286"/>
      <c r="AL42" s="286"/>
      <c r="AM42" s="286"/>
      <c r="AN42" s="286"/>
      <c r="AO42" s="286"/>
      <c r="AP42" s="286"/>
      <c r="AQ42" s="286"/>
      <c r="AR42" s="286"/>
      <c r="AS42" s="286"/>
      <c r="AT42" s="550"/>
      <c r="AU42" s="550"/>
      <c r="AV42"/>
      <c r="AW42"/>
      <c r="AX42"/>
      <c r="AY42"/>
      <c r="AZ42"/>
      <c r="BA42"/>
    </row>
    <row r="43" spans="1:53" s="239" customFormat="1" outlineLevel="1" x14ac:dyDescent="0.2">
      <c r="A43" s="997" t="s">
        <v>8</v>
      </c>
      <c r="B43" s="997"/>
      <c r="C43" s="997"/>
      <c r="D43" s="286"/>
      <c r="E43" s="286">
        <f t="shared" ref="E43:AI43" si="24">E41-E20</f>
        <v>0</v>
      </c>
      <c r="F43" s="286">
        <f t="shared" si="24"/>
        <v>0</v>
      </c>
      <c r="G43" s="286">
        <f t="shared" si="24"/>
        <v>0</v>
      </c>
      <c r="H43" s="286">
        <f t="shared" si="24"/>
        <v>0</v>
      </c>
      <c r="I43" s="286">
        <f t="shared" si="24"/>
        <v>0</v>
      </c>
      <c r="J43" s="286">
        <f t="shared" si="24"/>
        <v>0</v>
      </c>
      <c r="K43" s="286">
        <f t="shared" si="24"/>
        <v>0</v>
      </c>
      <c r="L43" s="286">
        <f t="shared" si="24"/>
        <v>0</v>
      </c>
      <c r="M43" s="286">
        <f t="shared" si="24"/>
        <v>0</v>
      </c>
      <c r="N43" s="286">
        <f t="shared" si="24"/>
        <v>0</v>
      </c>
      <c r="O43" s="286">
        <f t="shared" si="24"/>
        <v>0</v>
      </c>
      <c r="P43" s="286">
        <f t="shared" si="24"/>
        <v>0</v>
      </c>
      <c r="Q43" s="286">
        <f t="shared" si="24"/>
        <v>0</v>
      </c>
      <c r="R43" s="286">
        <f t="shared" si="24"/>
        <v>0</v>
      </c>
      <c r="S43" s="286">
        <f t="shared" si="24"/>
        <v>0</v>
      </c>
      <c r="T43" s="286">
        <f t="shared" si="24"/>
        <v>0</v>
      </c>
      <c r="U43" s="286">
        <f t="shared" si="24"/>
        <v>0</v>
      </c>
      <c r="V43" s="286">
        <f t="shared" si="24"/>
        <v>0</v>
      </c>
      <c r="W43" s="286">
        <f t="shared" si="24"/>
        <v>0</v>
      </c>
      <c r="X43" s="286">
        <f t="shared" si="24"/>
        <v>0</v>
      </c>
      <c r="Y43" s="286">
        <f t="shared" si="24"/>
        <v>0</v>
      </c>
      <c r="Z43" s="286">
        <f t="shared" si="24"/>
        <v>0</v>
      </c>
      <c r="AA43" s="286">
        <f t="shared" si="24"/>
        <v>0</v>
      </c>
      <c r="AB43" s="286">
        <f t="shared" si="24"/>
        <v>0</v>
      </c>
      <c r="AC43" s="286">
        <f t="shared" si="24"/>
        <v>0</v>
      </c>
      <c r="AD43" s="286">
        <f t="shared" si="24"/>
        <v>0</v>
      </c>
      <c r="AE43" s="286">
        <f t="shared" si="24"/>
        <v>0</v>
      </c>
      <c r="AF43" s="286">
        <f t="shared" si="24"/>
        <v>0</v>
      </c>
      <c r="AG43" s="286">
        <f t="shared" si="24"/>
        <v>0</v>
      </c>
      <c r="AH43" s="286">
        <f t="shared" si="24"/>
        <v>0</v>
      </c>
      <c r="AI43" s="1027">
        <f t="shared" si="24"/>
        <v>-2.9675831865461078E-4</v>
      </c>
      <c r="AJ43" s="286">
        <f t="shared" ref="AJ43:AO43" si="25">AJ41-AJ20</f>
        <v>-2.9675832047360018E-4</v>
      </c>
      <c r="AK43" s="286">
        <f t="shared" si="25"/>
        <v>-2.9675831865461078E-4</v>
      </c>
      <c r="AL43" s="286">
        <f t="shared" si="25"/>
        <v>-4.0296758318618231E-2</v>
      </c>
      <c r="AM43" s="286">
        <f t="shared" si="25"/>
        <v>-2.9675831865461078E-4</v>
      </c>
      <c r="AN43" s="286">
        <f t="shared" si="25"/>
        <v>-0.35029675831901841</v>
      </c>
      <c r="AO43" s="286">
        <f t="shared" si="25"/>
        <v>-2.9675831865461078E-4</v>
      </c>
      <c r="AP43" s="286">
        <f>AP41-AP20</f>
        <v>-2.9675832047360018E-4</v>
      </c>
      <c r="AQ43" s="286">
        <f>AQ41-AQ20</f>
        <v>-2.9675831865461078E-4</v>
      </c>
      <c r="AR43" s="286">
        <f>AR41-AR20</f>
        <v>-2.9675831683562137E-4</v>
      </c>
      <c r="AS43" s="286">
        <f>AS41-AS20</f>
        <v>-2.9675832047360018E-4</v>
      </c>
      <c r="AT43" s="550"/>
      <c r="AU43" s="550"/>
      <c r="AV43"/>
      <c r="AW43"/>
      <c r="AX43"/>
      <c r="AY43"/>
      <c r="AZ43"/>
      <c r="BA43"/>
    </row>
    <row r="44" spans="1:53" s="239" customFormat="1" x14ac:dyDescent="0.2">
      <c r="A44" s="239" t="s">
        <v>77</v>
      </c>
      <c r="E44" s="368"/>
      <c r="F44" s="368"/>
      <c r="G44" s="368"/>
      <c r="H44" s="368"/>
      <c r="I44" s="368"/>
      <c r="J44" s="368"/>
      <c r="K44" s="368"/>
      <c r="L44" s="368"/>
      <c r="M44" s="368"/>
      <c r="N44" s="368"/>
      <c r="O44" s="368"/>
      <c r="P44" s="368"/>
      <c r="Q44" s="368"/>
      <c r="R44" s="368"/>
      <c r="S44" s="368"/>
      <c r="T44" s="887"/>
      <c r="U44" s="887"/>
      <c r="V44" s="887"/>
      <c r="W44" s="887"/>
      <c r="X44" s="887"/>
      <c r="Y44" s="887"/>
      <c r="Z44" s="887"/>
      <c r="AA44" s="368"/>
      <c r="AB44" s="368"/>
      <c r="AC44" s="368"/>
      <c r="AD44" s="368"/>
      <c r="AE44" s="887"/>
      <c r="AF44" s="887"/>
      <c r="AG44" s="887"/>
      <c r="AH44" s="887"/>
      <c r="AI44" s="368"/>
      <c r="AJ44" s="368"/>
      <c r="AK44" s="368"/>
      <c r="AL44" s="368"/>
      <c r="AM44" s="368"/>
      <c r="AN44" s="368"/>
      <c r="AO44" s="368"/>
      <c r="AP44" s="368"/>
      <c r="AQ44" s="368"/>
      <c r="AR44" s="368"/>
      <c r="AS44" s="368"/>
      <c r="AT44" s="550"/>
      <c r="AU44" s="550"/>
      <c r="AV44"/>
      <c r="AW44"/>
      <c r="AX44"/>
      <c r="AY44"/>
      <c r="AZ44"/>
      <c r="BA44"/>
    </row>
    <row r="45" spans="1:53" s="239" customFormat="1" x14ac:dyDescent="0.2">
      <c r="E45" s="368"/>
      <c r="F45" s="368"/>
      <c r="G45" s="368"/>
      <c r="H45" s="368"/>
      <c r="I45" s="368"/>
      <c r="J45" s="368"/>
      <c r="K45" s="368"/>
      <c r="L45" s="368"/>
      <c r="M45" s="368"/>
      <c r="N45" s="368"/>
      <c r="O45" s="368"/>
      <c r="P45" s="368"/>
      <c r="Q45" s="368"/>
      <c r="R45" s="368"/>
      <c r="S45" s="368"/>
      <c r="T45" s="887"/>
      <c r="U45" s="887"/>
      <c r="V45" s="887"/>
      <c r="W45" s="887"/>
      <c r="X45" s="887"/>
      <c r="Y45" s="887"/>
      <c r="Z45" s="887"/>
      <c r="AA45" s="368"/>
      <c r="AB45" s="368"/>
      <c r="AC45" s="368"/>
      <c r="AD45" s="368"/>
      <c r="AE45" s="887"/>
      <c r="AF45" s="887"/>
      <c r="AG45" s="887"/>
      <c r="AH45" s="887"/>
      <c r="AI45" s="368"/>
      <c r="AJ45" s="368"/>
      <c r="AK45" s="368"/>
      <c r="AL45" s="368"/>
      <c r="AM45" s="368"/>
      <c r="AN45" s="368"/>
      <c r="AO45" s="368"/>
      <c r="AP45" s="368"/>
      <c r="AQ45" s="368"/>
      <c r="AR45" s="368"/>
      <c r="AS45" s="368"/>
      <c r="AT45" s="550"/>
      <c r="AU45" s="550"/>
      <c r="AV45"/>
      <c r="AW45"/>
      <c r="AX45"/>
      <c r="AY45"/>
      <c r="AZ45"/>
      <c r="BA45"/>
    </row>
    <row r="46" spans="1:53" hidden="1" outlineLevel="1" x14ac:dyDescent="0.2">
      <c r="A46" s="234"/>
      <c r="B46" s="234"/>
      <c r="C46" s="234"/>
      <c r="D46" s="234"/>
      <c r="E46" s="234">
        <v>0</v>
      </c>
      <c r="F46" s="234">
        <v>0</v>
      </c>
      <c r="G46" s="234">
        <v>0</v>
      </c>
      <c r="H46" s="234">
        <v>0</v>
      </c>
      <c r="I46" s="234">
        <v>0</v>
      </c>
      <c r="J46" s="234">
        <v>0</v>
      </c>
      <c r="K46" s="234">
        <v>0</v>
      </c>
      <c r="L46" s="234">
        <v>0</v>
      </c>
      <c r="M46" s="234">
        <v>0</v>
      </c>
      <c r="N46" s="234">
        <v>0</v>
      </c>
      <c r="O46" s="234">
        <v>0</v>
      </c>
      <c r="P46" s="234">
        <v>0</v>
      </c>
      <c r="Q46" s="234">
        <v>0</v>
      </c>
      <c r="R46" s="234">
        <v>0</v>
      </c>
      <c r="S46" s="234">
        <v>0</v>
      </c>
      <c r="T46" s="234">
        <v>0</v>
      </c>
      <c r="U46" s="234">
        <v>0</v>
      </c>
      <c r="V46" s="234">
        <v>0</v>
      </c>
      <c r="W46" s="234">
        <v>0</v>
      </c>
      <c r="X46" s="234">
        <v>0</v>
      </c>
      <c r="Y46" s="234">
        <v>0</v>
      </c>
      <c r="Z46" s="234">
        <v>0</v>
      </c>
      <c r="AA46" s="234">
        <v>0</v>
      </c>
      <c r="AB46" s="234">
        <v>0</v>
      </c>
      <c r="AC46" s="234">
        <v>0</v>
      </c>
      <c r="AD46" s="234">
        <v>0</v>
      </c>
      <c r="AE46" s="234">
        <v>0</v>
      </c>
      <c r="AF46" s="234">
        <v>0</v>
      </c>
      <c r="AG46" s="234">
        <v>0</v>
      </c>
      <c r="AH46" s="234">
        <v>0</v>
      </c>
      <c r="AI46" s="234">
        <v>0</v>
      </c>
      <c r="AJ46" s="234">
        <v>0</v>
      </c>
      <c r="AK46" s="234">
        <v>0</v>
      </c>
      <c r="AL46" s="234">
        <v>0</v>
      </c>
      <c r="AM46" s="234">
        <v>0</v>
      </c>
      <c r="AN46" s="234">
        <v>0</v>
      </c>
      <c r="AO46" s="234">
        <v>0</v>
      </c>
      <c r="AP46" s="234">
        <v>0</v>
      </c>
      <c r="AQ46" s="234">
        <v>0</v>
      </c>
      <c r="AR46" s="234">
        <v>0</v>
      </c>
      <c r="AS46" s="234">
        <v>0</v>
      </c>
    </row>
    <row r="47" spans="1:53" s="239" customFormat="1" collapsed="1" x14ac:dyDescent="0.2">
      <c r="E47" s="368"/>
      <c r="F47" s="368"/>
      <c r="G47" s="368"/>
      <c r="H47" s="368"/>
      <c r="I47" s="368"/>
      <c r="J47" s="368"/>
      <c r="K47" s="368"/>
      <c r="L47" s="368"/>
      <c r="M47" s="368"/>
      <c r="N47" s="368"/>
      <c r="O47" s="368"/>
      <c r="P47" s="368"/>
      <c r="Q47" s="368"/>
      <c r="R47" s="368"/>
      <c r="S47" s="368"/>
      <c r="T47" s="368"/>
      <c r="U47" s="368"/>
      <c r="V47" s="368"/>
      <c r="W47" s="368"/>
      <c r="X47" s="368"/>
      <c r="Y47" s="368"/>
      <c r="Z47" s="368"/>
      <c r="AA47" s="368"/>
      <c r="AB47" s="368"/>
      <c r="AC47" s="368"/>
      <c r="AD47" s="368"/>
      <c r="AE47" s="368"/>
      <c r="AF47" s="368"/>
      <c r="AG47" s="368"/>
      <c r="AH47" s="368"/>
      <c r="AI47" s="368"/>
      <c r="AJ47" s="368"/>
      <c r="AK47" s="368"/>
      <c r="AL47" s="368"/>
      <c r="AM47" s="368"/>
      <c r="AN47" s="368"/>
      <c r="AO47" s="368"/>
      <c r="AP47" s="368"/>
      <c r="AQ47" s="368"/>
      <c r="AR47" s="368"/>
      <c r="AS47" s="368"/>
      <c r="AT47" s="550"/>
      <c r="AU47" s="550"/>
      <c r="AV47"/>
      <c r="AW47"/>
      <c r="AX47"/>
      <c r="AY47"/>
      <c r="AZ47"/>
      <c r="BA47"/>
    </row>
    <row r="48" spans="1:53" s="239" customFormat="1" x14ac:dyDescent="0.2">
      <c r="A48" s="239" t="s">
        <v>138</v>
      </c>
      <c r="E48" s="368"/>
      <c r="F48" s="368"/>
      <c r="G48" s="368"/>
      <c r="H48" s="368"/>
      <c r="I48" s="368"/>
      <c r="J48" s="368"/>
      <c r="K48" s="368"/>
      <c r="L48" s="368"/>
      <c r="M48" s="368"/>
      <c r="N48" s="368"/>
      <c r="O48" s="368"/>
      <c r="P48" s="368"/>
      <c r="Q48" s="368"/>
      <c r="R48" s="368"/>
      <c r="S48" s="368"/>
      <c r="T48" s="368"/>
      <c r="U48" s="368"/>
      <c r="V48" s="368"/>
      <c r="W48" s="368"/>
      <c r="X48" s="368"/>
      <c r="Y48" s="368"/>
      <c r="Z48" s="368"/>
      <c r="AA48" s="368"/>
      <c r="AB48" s="368"/>
      <c r="AC48" s="368"/>
      <c r="AD48" s="368"/>
      <c r="AE48" s="368"/>
      <c r="AF48" s="368"/>
      <c r="AG48" s="368"/>
      <c r="AH48" s="368"/>
      <c r="AI48" s="368"/>
      <c r="AJ48" s="368"/>
      <c r="AK48" s="368"/>
      <c r="AL48" s="368"/>
      <c r="AM48" s="368"/>
      <c r="AN48" s="368"/>
      <c r="AO48" s="368"/>
      <c r="AP48" s="368"/>
      <c r="AQ48" s="368"/>
      <c r="AR48" s="368"/>
      <c r="AS48" s="368"/>
      <c r="AU48" s="998"/>
      <c r="AV48"/>
      <c r="AW48"/>
      <c r="AX48"/>
      <c r="AY48"/>
      <c r="AZ48"/>
      <c r="BA48"/>
    </row>
    <row r="49" spans="1:53" x14ac:dyDescent="0.2">
      <c r="A49" s="235" t="s">
        <v>221</v>
      </c>
      <c r="B49" s="236"/>
      <c r="C49" s="236"/>
      <c r="D49" s="236"/>
      <c r="E49" s="236"/>
      <c r="F49" s="236"/>
      <c r="G49" s="236"/>
      <c r="H49" s="236"/>
      <c r="I49" s="236"/>
      <c r="J49" s="236"/>
      <c r="K49" s="236"/>
      <c r="L49" s="236"/>
      <c r="M49" s="236"/>
      <c r="N49" s="236"/>
      <c r="O49" s="236"/>
      <c r="P49" s="236"/>
      <c r="Q49" s="236"/>
      <c r="R49" s="236"/>
      <c r="S49" s="236"/>
      <c r="T49" s="236"/>
      <c r="U49" s="236"/>
      <c r="V49" s="236"/>
      <c r="W49" s="236"/>
      <c r="X49" s="236"/>
      <c r="Y49" s="236"/>
      <c r="Z49" s="236"/>
      <c r="AA49" s="236"/>
      <c r="AB49" s="236"/>
      <c r="AC49" s="236"/>
      <c r="AD49" s="236"/>
      <c r="AE49" s="236"/>
      <c r="AF49" s="236"/>
      <c r="AG49" s="236"/>
      <c r="AH49" s="236"/>
      <c r="AI49" s="236"/>
      <c r="AJ49" s="236"/>
      <c r="AK49" s="236"/>
      <c r="AL49" s="236"/>
      <c r="AM49" s="236"/>
      <c r="AN49" s="236"/>
      <c r="AO49" s="236"/>
      <c r="AP49" s="236"/>
      <c r="AQ49" s="236"/>
      <c r="AR49" s="236"/>
      <c r="AS49" s="236"/>
      <c r="AU49" s="15"/>
    </row>
    <row r="50" spans="1:53" s="239" customFormat="1" x14ac:dyDescent="0.2">
      <c r="B50" s="999" t="s">
        <v>100</v>
      </c>
      <c r="D50" s="256"/>
      <c r="E50" s="256">
        <f t="shared" ref="E50:N50" si="26">E29+E25+E26+E31</f>
        <v>113.69099999999999</v>
      </c>
      <c r="F50" s="256">
        <f t="shared" si="26"/>
        <v>156.01</v>
      </c>
      <c r="G50" s="256">
        <f t="shared" si="26"/>
        <v>204.53700000000001</v>
      </c>
      <c r="H50" s="256">
        <f t="shared" si="26"/>
        <v>355.01199999999994</v>
      </c>
      <c r="I50" s="256">
        <f t="shared" si="26"/>
        <v>326.05399999999997</v>
      </c>
      <c r="J50" s="256">
        <f t="shared" si="26"/>
        <v>349.13800000000003</v>
      </c>
      <c r="K50" s="256">
        <f t="shared" si="26"/>
        <v>485.11900000000003</v>
      </c>
      <c r="L50" s="256">
        <f t="shared" si="26"/>
        <v>570.98500000000001</v>
      </c>
      <c r="M50" s="256">
        <f t="shared" si="26"/>
        <v>638.678</v>
      </c>
      <c r="N50" s="256">
        <f t="shared" si="26"/>
        <v>645.7349999999999</v>
      </c>
      <c r="O50" s="256">
        <f>O29+O25+O26+O31</f>
        <v>520.26400000000001</v>
      </c>
      <c r="P50" s="256">
        <f t="shared" ref="P50:AH50" si="27">P29+P25+P26+P31</f>
        <v>478.911</v>
      </c>
      <c r="Q50" s="256">
        <f t="shared" si="27"/>
        <v>461.298</v>
      </c>
      <c r="R50" s="256">
        <f t="shared" si="27"/>
        <v>672.44399999999996</v>
      </c>
      <c r="S50" s="256">
        <f t="shared" si="27"/>
        <v>544.40200000000004</v>
      </c>
      <c r="T50" s="256">
        <f t="shared" si="27"/>
        <v>684.63200000000006</v>
      </c>
      <c r="U50" s="256">
        <f t="shared" si="27"/>
        <v>947.01700000000005</v>
      </c>
      <c r="V50" s="256">
        <f t="shared" si="27"/>
        <v>875.91600000000005</v>
      </c>
      <c r="W50" s="256">
        <f t="shared" si="27"/>
        <v>1195.356</v>
      </c>
      <c r="X50" s="256">
        <f t="shared" si="27"/>
        <v>1429.4190000000001</v>
      </c>
      <c r="Y50" s="256">
        <f t="shared" si="27"/>
        <v>1350.8389999999999</v>
      </c>
      <c r="Z50" s="256">
        <f t="shared" si="27"/>
        <v>1234.5290000000002</v>
      </c>
      <c r="AA50" s="256">
        <f t="shared" si="27"/>
        <v>1030.107</v>
      </c>
      <c r="AB50" s="256">
        <f t="shared" si="27"/>
        <v>934.39400000000001</v>
      </c>
      <c r="AC50" s="256">
        <f t="shared" si="27"/>
        <v>630.452</v>
      </c>
      <c r="AD50" s="256">
        <f t="shared" si="27"/>
        <v>2497</v>
      </c>
      <c r="AE50" s="256">
        <f t="shared" si="27"/>
        <v>2513</v>
      </c>
      <c r="AF50" s="256">
        <f t="shared" si="27"/>
        <v>2613</v>
      </c>
      <c r="AG50" s="256">
        <f t="shared" si="27"/>
        <v>2781</v>
      </c>
      <c r="AH50" s="256">
        <f t="shared" si="27"/>
        <v>3647</v>
      </c>
      <c r="AI50" s="256">
        <f t="shared" ref="AI50:AN50" si="28">AI29+AI25+AI26+AI31</f>
        <v>3131</v>
      </c>
      <c r="AJ50" s="256">
        <f t="shared" si="28"/>
        <v>3113</v>
      </c>
      <c r="AK50" s="256">
        <f t="shared" si="28"/>
        <v>3131</v>
      </c>
      <c r="AL50" s="256">
        <f t="shared" si="28"/>
        <v>2805</v>
      </c>
      <c r="AM50" s="256">
        <f t="shared" si="28"/>
        <v>2774</v>
      </c>
      <c r="AN50" s="256">
        <f t="shared" si="28"/>
        <v>2737</v>
      </c>
      <c r="AO50" s="256">
        <f>AO29+AO25+AO26+AO31</f>
        <v>2737.35</v>
      </c>
      <c r="AP50" s="256">
        <f>AP29+AP25+AP26+AP31</f>
        <v>2737.35</v>
      </c>
      <c r="AQ50" s="256">
        <f>AQ29+AQ25+AQ26+AQ31</f>
        <v>2737.35</v>
      </c>
      <c r="AR50" s="256">
        <f>AR29+AR25+AR26+AR31</f>
        <v>2737.35</v>
      </c>
      <c r="AS50" s="256">
        <f>AS29+AS25+AS26+AS31</f>
        <v>2737.35</v>
      </c>
      <c r="AT50" s="550"/>
      <c r="AU50" s="550"/>
      <c r="AV50"/>
      <c r="AW50"/>
      <c r="AX50"/>
      <c r="AY50"/>
      <c r="AZ50"/>
      <c r="BA50"/>
    </row>
    <row r="51" spans="1:53" s="239" customFormat="1" x14ac:dyDescent="0.2">
      <c r="A51" s="249"/>
      <c r="B51" s="999" t="s">
        <v>215</v>
      </c>
      <c r="C51" s="249"/>
      <c r="D51" s="249"/>
      <c r="E51" s="256">
        <f t="shared" ref="E51:AN51" si="29">E50-E9</f>
        <v>102.49799999999999</v>
      </c>
      <c r="F51" s="256">
        <f t="shared" si="29"/>
        <v>153.38399999999999</v>
      </c>
      <c r="G51" s="256">
        <f t="shared" si="29"/>
        <v>196.73099999999999</v>
      </c>
      <c r="H51" s="256">
        <f t="shared" si="29"/>
        <v>346.95599999999996</v>
      </c>
      <c r="I51" s="256">
        <f t="shared" si="29"/>
        <v>297.767</v>
      </c>
      <c r="J51" s="256">
        <f t="shared" si="29"/>
        <v>344.18900000000002</v>
      </c>
      <c r="K51" s="256">
        <f t="shared" si="29"/>
        <v>469.06100000000004</v>
      </c>
      <c r="L51" s="256">
        <f t="shared" si="29"/>
        <v>537.93399999999997</v>
      </c>
      <c r="M51" s="256">
        <f t="shared" si="29"/>
        <v>614.01599999999996</v>
      </c>
      <c r="N51" s="256">
        <f t="shared" si="29"/>
        <v>631.08399999999995</v>
      </c>
      <c r="O51" s="256">
        <f t="shared" si="29"/>
        <v>491.12799999999999</v>
      </c>
      <c r="P51" s="256">
        <f t="shared" si="29"/>
        <v>387.68900000000002</v>
      </c>
      <c r="Q51" s="256">
        <f t="shared" si="29"/>
        <v>428.80099999999999</v>
      </c>
      <c r="R51" s="256">
        <f t="shared" si="29"/>
        <v>647.92699999999991</v>
      </c>
      <c r="S51" s="256">
        <f t="shared" si="29"/>
        <v>516.11800000000005</v>
      </c>
      <c r="T51" s="256">
        <f t="shared" si="29"/>
        <v>659.15100200000029</v>
      </c>
      <c r="U51" s="256">
        <f t="shared" si="29"/>
        <v>704.88312100000007</v>
      </c>
      <c r="V51" s="256">
        <f t="shared" si="29"/>
        <v>848.67712099999994</v>
      </c>
      <c r="W51" s="256">
        <f t="shared" si="29"/>
        <v>1169.5781209999989</v>
      </c>
      <c r="X51" s="256">
        <f t="shared" si="29"/>
        <v>1075.8721209999985</v>
      </c>
      <c r="Y51" s="256">
        <f t="shared" si="29"/>
        <v>1226.3069209999985</v>
      </c>
      <c r="Z51" s="256">
        <f t="shared" si="29"/>
        <v>893.92092099999991</v>
      </c>
      <c r="AA51" s="256">
        <f t="shared" si="29"/>
        <v>669.63192099999947</v>
      </c>
      <c r="AB51" s="256">
        <f t="shared" si="29"/>
        <v>472.04470324168125</v>
      </c>
      <c r="AC51" s="256">
        <f t="shared" si="29"/>
        <v>228.1997032416815</v>
      </c>
      <c r="AD51" s="256">
        <f t="shared" si="29"/>
        <v>2140.0167032416812</v>
      </c>
      <c r="AE51" s="256">
        <f t="shared" si="29"/>
        <v>2440.6997032416812</v>
      </c>
      <c r="AF51" s="256">
        <f t="shared" si="29"/>
        <v>1817.6997032416812</v>
      </c>
      <c r="AG51" s="256">
        <f t="shared" si="29"/>
        <v>1274.6997032416812</v>
      </c>
      <c r="AH51" s="256">
        <f t="shared" si="29"/>
        <v>1769.6997032416812</v>
      </c>
      <c r="AI51" s="256">
        <f t="shared" si="29"/>
        <v>1845.6997032416812</v>
      </c>
      <c r="AJ51" s="256">
        <f t="shared" si="29"/>
        <v>1918.6997032416812</v>
      </c>
      <c r="AK51" s="256">
        <f t="shared" si="29"/>
        <v>2303.9997032416813</v>
      </c>
      <c r="AL51" s="256">
        <f t="shared" si="29"/>
        <v>2209.9597032416814</v>
      </c>
      <c r="AM51" s="256">
        <f t="shared" si="29"/>
        <v>1766.9997032416811</v>
      </c>
      <c r="AN51" s="256">
        <f t="shared" si="29"/>
        <v>1555.6497032416812</v>
      </c>
      <c r="AO51" s="256">
        <f>AO50-AO9</f>
        <v>1697.8756161204622</v>
      </c>
      <c r="AP51" s="256">
        <f>AP50-AP9</f>
        <v>1683.0034061595643</v>
      </c>
      <c r="AQ51" s="256">
        <f>AQ50-AQ9</f>
        <v>1640.2580658119209</v>
      </c>
      <c r="AR51" s="256">
        <f>AR50-AR9</f>
        <v>1623.2522558535513</v>
      </c>
      <c r="AS51" s="256">
        <f>AS50-AS9</f>
        <v>1615.4856728579139</v>
      </c>
      <c r="AT51" s="550"/>
      <c r="AU51" s="550"/>
      <c r="AV51"/>
      <c r="AW51"/>
      <c r="AX51"/>
      <c r="AY51"/>
      <c r="AZ51"/>
      <c r="BA51"/>
    </row>
    <row r="52" spans="1:53" s="239" customFormat="1" x14ac:dyDescent="0.2">
      <c r="B52" s="1000" t="s">
        <v>216</v>
      </c>
      <c r="E52" s="256">
        <f t="shared" ref="E52:AL52" si="30">E50+E39</f>
        <v>315.36399999999998</v>
      </c>
      <c r="F52" s="256">
        <f t="shared" si="30"/>
        <v>393.74400000000003</v>
      </c>
      <c r="G52" s="256">
        <f t="shared" si="30"/>
        <v>476.24599999999998</v>
      </c>
      <c r="H52" s="256">
        <f t="shared" si="30"/>
        <v>669.13099999999997</v>
      </c>
      <c r="I52" s="256">
        <f t="shared" si="30"/>
        <v>777.25</v>
      </c>
      <c r="J52" s="256">
        <f t="shared" si="30"/>
        <v>882.34700000000009</v>
      </c>
      <c r="K52" s="256">
        <f t="shared" si="30"/>
        <v>1125.06</v>
      </c>
      <c r="L52" s="256">
        <f t="shared" si="30"/>
        <v>1304.2350000000001</v>
      </c>
      <c r="M52" s="256">
        <f t="shared" si="30"/>
        <v>1465.0880000000002</v>
      </c>
      <c r="N52" s="256">
        <f t="shared" si="30"/>
        <v>1584.9659999999999</v>
      </c>
      <c r="O52" s="256">
        <f t="shared" si="30"/>
        <v>1572.2950000000001</v>
      </c>
      <c r="P52" s="256">
        <f t="shared" si="30"/>
        <v>1645.415</v>
      </c>
      <c r="Q52" s="256">
        <f t="shared" si="30"/>
        <v>1805.098</v>
      </c>
      <c r="R52" s="256">
        <f t="shared" si="30"/>
        <v>2095.4160000000002</v>
      </c>
      <c r="S52" s="256">
        <f t="shared" si="30"/>
        <v>2017.5899999999997</v>
      </c>
      <c r="T52" s="256">
        <f t="shared" si="30"/>
        <v>2159.6679979999999</v>
      </c>
      <c r="U52" s="256">
        <f t="shared" si="30"/>
        <v>2247.5648789999996</v>
      </c>
      <c r="V52" s="256">
        <f t="shared" si="30"/>
        <v>2061.2998790000001</v>
      </c>
      <c r="W52" s="256">
        <f t="shared" si="30"/>
        <v>2424.8048790000012</v>
      </c>
      <c r="X52" s="256">
        <f t="shared" si="30"/>
        <v>2743.3288790000011</v>
      </c>
      <c r="Y52" s="256">
        <f t="shared" si="30"/>
        <v>2723.6910790000006</v>
      </c>
      <c r="Z52" s="256">
        <f t="shared" si="30"/>
        <v>2867.5650790000018</v>
      </c>
      <c r="AA52" s="256">
        <f t="shared" si="30"/>
        <v>2818.902</v>
      </c>
      <c r="AB52" s="256">
        <f t="shared" si="30"/>
        <v>3026.8760000000011</v>
      </c>
      <c r="AC52" s="256">
        <f t="shared" si="30"/>
        <v>2798.7740000000013</v>
      </c>
      <c r="AD52" s="256">
        <f t="shared" si="30"/>
        <v>3611.5810000000001</v>
      </c>
      <c r="AE52" s="256">
        <f t="shared" si="30"/>
        <v>3723.6810000000005</v>
      </c>
      <c r="AF52" s="256">
        <f t="shared" si="30"/>
        <v>4185.3002967583188</v>
      </c>
      <c r="AG52" s="256">
        <f t="shared" si="30"/>
        <v>4802.3002967583188</v>
      </c>
      <c r="AH52" s="256">
        <f t="shared" si="30"/>
        <v>5603.3002967583207</v>
      </c>
      <c r="AI52" s="256">
        <f>AI50+AI39</f>
        <v>5044.3</v>
      </c>
      <c r="AJ52" s="256">
        <f t="shared" si="30"/>
        <v>5193.3</v>
      </c>
      <c r="AK52" s="256">
        <f t="shared" si="30"/>
        <v>5571</v>
      </c>
      <c r="AL52" s="256">
        <f t="shared" si="30"/>
        <v>3676</v>
      </c>
      <c r="AM52" s="256">
        <f t="shared" ref="AM52:AR52" si="31">AM50+AM39</f>
        <v>3644</v>
      </c>
      <c r="AN52" s="256">
        <f t="shared" si="31"/>
        <v>3714</v>
      </c>
      <c r="AO52" s="256">
        <f t="shared" si="31"/>
        <v>3761.1721230817034</v>
      </c>
      <c r="AP52" s="256">
        <f t="shared" si="31"/>
        <v>3790.8467435251277</v>
      </c>
      <c r="AQ52" s="256">
        <f t="shared" si="31"/>
        <v>3854.6118615145565</v>
      </c>
      <c r="AR52" s="256">
        <f t="shared" si="31"/>
        <v>3902.4880031872003</v>
      </c>
      <c r="AS52" s="256">
        <f>AS50+AS39</f>
        <v>3943.2350401855729</v>
      </c>
      <c r="AT52" s="550"/>
      <c r="AU52" s="550"/>
      <c r="AV52"/>
      <c r="AW52"/>
      <c r="AX52"/>
      <c r="AY52"/>
      <c r="AZ52"/>
      <c r="BA52"/>
    </row>
    <row r="53" spans="1:53" s="239" customFormat="1" x14ac:dyDescent="0.2">
      <c r="B53" s="1000" t="s">
        <v>217</v>
      </c>
      <c r="E53" s="256">
        <f>E14-E9+E18+E19-E23-E24-E30</f>
        <v>304.17099999999999</v>
      </c>
      <c r="F53" s="256">
        <f t="shared" ref="F53:AH53" si="32">F14-F9+F18+F19-F23-F24-F30</f>
        <v>391.11800000000011</v>
      </c>
      <c r="G53" s="256">
        <f t="shared" si="32"/>
        <v>468.44000000000017</v>
      </c>
      <c r="H53" s="256">
        <f t="shared" si="32"/>
        <v>661.07499999999993</v>
      </c>
      <c r="I53" s="256">
        <f t="shared" si="32"/>
        <v>748.96299999999974</v>
      </c>
      <c r="J53" s="256">
        <f t="shared" si="32"/>
        <v>877.39799999999991</v>
      </c>
      <c r="K53" s="256">
        <f t="shared" si="32"/>
        <v>1109.002</v>
      </c>
      <c r="L53" s="256">
        <f t="shared" si="32"/>
        <v>1271.184</v>
      </c>
      <c r="M53" s="256">
        <f t="shared" si="32"/>
        <v>1440.4259999999997</v>
      </c>
      <c r="N53" s="256">
        <f t="shared" si="32"/>
        <v>1570.3150000000001</v>
      </c>
      <c r="O53" s="256">
        <f t="shared" si="32"/>
        <v>1543.1589999999999</v>
      </c>
      <c r="P53" s="256">
        <f t="shared" si="32"/>
        <v>1554.1929999999993</v>
      </c>
      <c r="Q53" s="256">
        <f t="shared" si="32"/>
        <v>1772.6009999999999</v>
      </c>
      <c r="R53" s="256">
        <f t="shared" si="32"/>
        <v>2070.8989999999999</v>
      </c>
      <c r="S53" s="256">
        <f t="shared" si="32"/>
        <v>1989.3059999999996</v>
      </c>
      <c r="T53" s="256">
        <f t="shared" si="32"/>
        <v>2134.1869999999994</v>
      </c>
      <c r="U53" s="256">
        <f t="shared" si="32"/>
        <v>2005.4310000000003</v>
      </c>
      <c r="V53" s="256">
        <f t="shared" si="32"/>
        <v>2034.0609999999997</v>
      </c>
      <c r="W53" s="256">
        <f t="shared" si="32"/>
        <v>2399.027</v>
      </c>
      <c r="X53" s="256">
        <f t="shared" si="32"/>
        <v>2389.7820000000002</v>
      </c>
      <c r="Y53" s="256">
        <f t="shared" si="32"/>
        <v>2599.1590000000006</v>
      </c>
      <c r="Z53" s="256">
        <f t="shared" si="32"/>
        <v>2526.9569999999999</v>
      </c>
      <c r="AA53" s="256">
        <f t="shared" si="32"/>
        <v>2458.4269210000007</v>
      </c>
      <c r="AB53" s="256">
        <f t="shared" si="32"/>
        <v>2564.5267032416809</v>
      </c>
      <c r="AC53" s="256">
        <f t="shared" si="32"/>
        <v>2396.5217032416804</v>
      </c>
      <c r="AD53" s="256">
        <f t="shared" si="32"/>
        <v>3254.5977032416813</v>
      </c>
      <c r="AE53" s="256">
        <f t="shared" si="32"/>
        <v>3651.3807032416817</v>
      </c>
      <c r="AF53" s="256">
        <f t="shared" si="32"/>
        <v>3390</v>
      </c>
      <c r="AG53" s="256">
        <f t="shared" si="32"/>
        <v>3296</v>
      </c>
      <c r="AH53" s="256">
        <f t="shared" si="32"/>
        <v>3726</v>
      </c>
      <c r="AI53" s="256">
        <f t="shared" ref="AI53:AN53" si="33">AI14-AI9+AI18+AI19-AI23-AI24-AI30</f>
        <v>3759</v>
      </c>
      <c r="AJ53" s="256">
        <f t="shared" si="33"/>
        <v>3999</v>
      </c>
      <c r="AK53" s="256">
        <f t="shared" si="33"/>
        <v>4744</v>
      </c>
      <c r="AL53" s="256">
        <f t="shared" si="33"/>
        <v>3081</v>
      </c>
      <c r="AM53" s="256">
        <f t="shared" si="33"/>
        <v>2637</v>
      </c>
      <c r="AN53" s="256">
        <f t="shared" si="33"/>
        <v>2533</v>
      </c>
      <c r="AO53" s="256">
        <f>AO14-AO9+AO18+AO19-AO23-AO24-AO30</f>
        <v>2721.698035960484</v>
      </c>
      <c r="AP53" s="256">
        <f>AP14-AP9+AP18+AP19-AP23-AP24-AP30</f>
        <v>2736.5004464430112</v>
      </c>
      <c r="AQ53" s="256">
        <f>AQ14-AQ9+AQ18+AQ19-AQ23-AQ24-AQ30</f>
        <v>2757.5202240847957</v>
      </c>
      <c r="AR53" s="256">
        <f>AR14-AR9+AR18+AR19-AR23-AR24-AR30</f>
        <v>2788.3905557990711</v>
      </c>
      <c r="AS53" s="256">
        <f>AS14-AS9+AS18+AS19-AS23-AS24-AS30</f>
        <v>2821.3710098018064</v>
      </c>
      <c r="AT53" s="550"/>
      <c r="AU53" s="550"/>
      <c r="AV53"/>
      <c r="AW53"/>
      <c r="AX53"/>
      <c r="AY53"/>
      <c r="AZ53"/>
      <c r="BA53"/>
    </row>
    <row r="54" spans="1:53" s="239" customFormat="1" x14ac:dyDescent="0.2">
      <c r="B54" s="1001" t="s">
        <v>218</v>
      </c>
      <c r="E54" s="1002">
        <f t="shared" ref="E54:AL54" si="34">E50/E39</f>
        <v>0.56373932058332044</v>
      </c>
      <c r="F54" s="1002">
        <f t="shared" si="34"/>
        <v>0.65623764375310212</v>
      </c>
      <c r="G54" s="1002">
        <f t="shared" si="34"/>
        <v>0.75277962820517541</v>
      </c>
      <c r="H54" s="1002">
        <f t="shared" si="34"/>
        <v>1.1301831471512387</v>
      </c>
      <c r="I54" s="1002">
        <f t="shared" si="34"/>
        <v>0.72264381776434183</v>
      </c>
      <c r="J54" s="1002">
        <f t="shared" si="34"/>
        <v>0.65478639707881903</v>
      </c>
      <c r="K54" s="1002">
        <f t="shared" si="34"/>
        <v>0.75806832192342732</v>
      </c>
      <c r="L54" s="1002">
        <f t="shared" si="34"/>
        <v>0.77870439822707127</v>
      </c>
      <c r="M54" s="1002">
        <f t="shared" si="34"/>
        <v>0.77283430742609593</v>
      </c>
      <c r="N54" s="1002">
        <f t="shared" si="34"/>
        <v>0.6875145730922424</v>
      </c>
      <c r="O54" s="1002">
        <f t="shared" si="34"/>
        <v>0.49453295577791911</v>
      </c>
      <c r="P54" s="1002">
        <f t="shared" si="34"/>
        <v>0.41055238558976226</v>
      </c>
      <c r="Q54" s="1002">
        <f t="shared" si="34"/>
        <v>0.34327876172049415</v>
      </c>
      <c r="R54" s="1002">
        <f t="shared" si="34"/>
        <v>0.47256305816277477</v>
      </c>
      <c r="S54" s="1002">
        <f t="shared" si="34"/>
        <v>0.36954007227862307</v>
      </c>
      <c r="T54" s="1002">
        <f t="shared" si="34"/>
        <v>0.46414596045675627</v>
      </c>
      <c r="U54" s="1002">
        <f t="shared" si="34"/>
        <v>0.7281677324545468</v>
      </c>
      <c r="V54" s="1002">
        <f t="shared" si="34"/>
        <v>0.73893024489157921</v>
      </c>
      <c r="W54" s="1002">
        <f t="shared" si="34"/>
        <v>0.97226978723366597</v>
      </c>
      <c r="X54" s="1002">
        <f t="shared" si="34"/>
        <v>1.0879125142798314</v>
      </c>
      <c r="Y54" s="1002">
        <f t="shared" si="34"/>
        <v>0.98396544002319952</v>
      </c>
      <c r="Z54" s="1002">
        <f t="shared" si="34"/>
        <v>0.75597166276691874</v>
      </c>
      <c r="AA54" s="1002">
        <f t="shared" si="34"/>
        <v>0.57586643522594816</v>
      </c>
      <c r="AB54" s="1002">
        <f t="shared" si="34"/>
        <v>0.44654816624467947</v>
      </c>
      <c r="AC54" s="1002">
        <f t="shared" si="34"/>
        <v>0.29075570879232865</v>
      </c>
      <c r="AD54" s="1002">
        <f t="shared" si="34"/>
        <v>2.240303755402254</v>
      </c>
      <c r="AE54" s="1002">
        <f t="shared" si="34"/>
        <v>2.0756912844919504</v>
      </c>
      <c r="AF54" s="1002">
        <f t="shared" si="34"/>
        <v>1.6618962709523988</v>
      </c>
      <c r="AG54" s="1002">
        <f t="shared" si="34"/>
        <v>1.3758470250363379</v>
      </c>
      <c r="AH54" s="1002">
        <f t="shared" si="34"/>
        <v>1.8642332192267448</v>
      </c>
      <c r="AI54" s="1002">
        <f>AI50/AI39</f>
        <v>1.6364396592275128</v>
      </c>
      <c r="AJ54" s="1002">
        <f t="shared" si="34"/>
        <v>1.4964187857520548</v>
      </c>
      <c r="AK54" s="1002">
        <f t="shared" si="34"/>
        <v>1.2831967213114754</v>
      </c>
      <c r="AL54" s="1002">
        <f t="shared" si="34"/>
        <v>3.2204362801377728</v>
      </c>
      <c r="AM54" s="1002">
        <f t="shared" ref="AM54:AR54" si="35">AM50/AM39</f>
        <v>3.1885057471264369</v>
      </c>
      <c r="AN54" s="1002">
        <f t="shared" si="35"/>
        <v>2.8014329580348005</v>
      </c>
      <c r="AO54" s="1002">
        <f t="shared" si="35"/>
        <v>2.6736577949308025</v>
      </c>
      <c r="AP54" s="1002">
        <f t="shared" si="35"/>
        <v>2.5983469021845247</v>
      </c>
      <c r="AQ54" s="1002">
        <f t="shared" si="35"/>
        <v>2.4500523058124055</v>
      </c>
      <c r="AR54" s="1002">
        <f t="shared" si="35"/>
        <v>2.3493783504718415</v>
      </c>
      <c r="AS54" s="1002">
        <f>AS50/AS39</f>
        <v>2.2699925024185981</v>
      </c>
      <c r="AT54" s="550"/>
      <c r="AU54" s="550"/>
      <c r="AV54"/>
      <c r="AW54"/>
      <c r="AX54"/>
      <c r="AY54"/>
      <c r="AZ54"/>
      <c r="BA54"/>
    </row>
    <row r="55" spans="1:53" s="239" customFormat="1" x14ac:dyDescent="0.2">
      <c r="B55" s="1001" t="s">
        <v>219</v>
      </c>
      <c r="E55" s="1002">
        <f t="shared" ref="E55:N55" si="36">E50/E52</f>
        <v>0.36050722339899288</v>
      </c>
      <c r="F55" s="1002">
        <f t="shared" si="36"/>
        <v>0.39622191068308338</v>
      </c>
      <c r="G55" s="1002">
        <f t="shared" si="36"/>
        <v>0.4294776229091688</v>
      </c>
      <c r="H55" s="1002">
        <f t="shared" si="36"/>
        <v>0.5305567968006264</v>
      </c>
      <c r="I55" s="1002">
        <f t="shared" si="36"/>
        <v>0.41949694435509804</v>
      </c>
      <c r="J55" s="1002">
        <f t="shared" si="36"/>
        <v>0.39569239766214426</v>
      </c>
      <c r="K55" s="1002">
        <f t="shared" si="36"/>
        <v>0.43119389188132196</v>
      </c>
      <c r="L55" s="1002">
        <f t="shared" si="36"/>
        <v>0.43779303576426026</v>
      </c>
      <c r="M55" s="1002">
        <f t="shared" si="36"/>
        <v>0.43593149353485927</v>
      </c>
      <c r="N55" s="1002">
        <f t="shared" si="36"/>
        <v>0.4074125249374434</v>
      </c>
      <c r="O55" s="1002">
        <f>O50/O52</f>
        <v>0.33089464763291876</v>
      </c>
      <c r="P55" s="1002">
        <f t="shared" ref="P55:AH55" si="37">P50/P52</f>
        <v>0.29105787901532443</v>
      </c>
      <c r="Q55" s="1002">
        <f t="shared" si="37"/>
        <v>0.25555288410933924</v>
      </c>
      <c r="R55" s="1002">
        <f t="shared" si="37"/>
        <v>0.32091193347764829</v>
      </c>
      <c r="S55" s="1002">
        <f t="shared" si="37"/>
        <v>0.26982786393667701</v>
      </c>
      <c r="T55" s="1002">
        <f t="shared" si="37"/>
        <v>0.31700798485416093</v>
      </c>
      <c r="U55" s="1002">
        <f t="shared" si="37"/>
        <v>0.42135246410388505</v>
      </c>
      <c r="V55" s="1002">
        <f t="shared" si="37"/>
        <v>0.42493380459757935</v>
      </c>
      <c r="W55" s="1002">
        <f t="shared" si="37"/>
        <v>0.49296997476059573</v>
      </c>
      <c r="X55" s="1002">
        <f t="shared" si="37"/>
        <v>0.52105272938367209</v>
      </c>
      <c r="Y55" s="1002">
        <f t="shared" si="37"/>
        <v>0.49595896187168137</v>
      </c>
      <c r="Z55" s="1002">
        <f t="shared" si="37"/>
        <v>0.43051472799721574</v>
      </c>
      <c r="AA55" s="1002">
        <f t="shared" si="37"/>
        <v>0.36542845405764368</v>
      </c>
      <c r="AB55" s="1002">
        <f t="shared" si="37"/>
        <v>0.30869913402465105</v>
      </c>
      <c r="AC55" s="1002">
        <f t="shared" si="37"/>
        <v>0.2252600602978303</v>
      </c>
      <c r="AD55" s="1002">
        <f t="shared" si="37"/>
        <v>0.69138695767864544</v>
      </c>
      <c r="AE55" s="1002">
        <f t="shared" si="37"/>
        <v>0.67486983981710558</v>
      </c>
      <c r="AF55" s="1002">
        <f t="shared" si="37"/>
        <v>0.62432796089300269</v>
      </c>
      <c r="AG55" s="1002">
        <f t="shared" si="37"/>
        <v>0.57909747998834005</v>
      </c>
      <c r="AH55" s="1002">
        <f t="shared" si="37"/>
        <v>0.65086641922616573</v>
      </c>
      <c r="AI55" s="1002">
        <f t="shared" ref="AI55:AN55" si="38">AI50/AI52</f>
        <v>0.62070059274825051</v>
      </c>
      <c r="AJ55" s="1002">
        <f t="shared" si="38"/>
        <v>0.59942618373673773</v>
      </c>
      <c r="AK55" s="1002">
        <f t="shared" si="38"/>
        <v>0.56201759109675098</v>
      </c>
      <c r="AL55" s="1002">
        <f t="shared" si="38"/>
        <v>0.76305767138193692</v>
      </c>
      <c r="AM55" s="1002">
        <f t="shared" si="38"/>
        <v>0.7612513721185511</v>
      </c>
      <c r="AN55" s="1002">
        <f t="shared" si="38"/>
        <v>0.73694130317716744</v>
      </c>
      <c r="AO55" s="1002">
        <f>AO50/AO52</f>
        <v>0.72779173896385296</v>
      </c>
      <c r="AP55" s="1002">
        <f>AP50/AP52</f>
        <v>0.72209460977958828</v>
      </c>
      <c r="AQ55" s="1002">
        <f>AQ50/AQ52</f>
        <v>0.71014932199280856</v>
      </c>
      <c r="AR55" s="1002">
        <f>AR50/AR52</f>
        <v>0.70143713389109186</v>
      </c>
      <c r="AS55" s="1002">
        <f>AS50/AS52</f>
        <v>0.69418890127106836</v>
      </c>
      <c r="AT55" s="550"/>
      <c r="AU55" s="550"/>
      <c r="AV55"/>
      <c r="AW55"/>
      <c r="AX55"/>
      <c r="AY55"/>
      <c r="AZ55"/>
      <c r="BA55"/>
    </row>
    <row r="56" spans="1:53" s="239" customFormat="1" x14ac:dyDescent="0.2">
      <c r="B56" s="1001" t="s">
        <v>220</v>
      </c>
      <c r="E56" s="1002">
        <f t="shared" ref="E56:N56" si="39">E51/E52</f>
        <v>0.32501490341319872</v>
      </c>
      <c r="F56" s="1002">
        <f t="shared" si="39"/>
        <v>0.38955260270632691</v>
      </c>
      <c r="G56" s="1002">
        <f t="shared" si="39"/>
        <v>0.41308693406348818</v>
      </c>
      <c r="H56" s="1002">
        <f t="shared" si="39"/>
        <v>0.51851730079760161</v>
      </c>
      <c r="I56" s="1002">
        <f t="shared" si="39"/>
        <v>0.38310324863300094</v>
      </c>
      <c r="J56" s="1002">
        <f t="shared" si="39"/>
        <v>0.39008349322885438</v>
      </c>
      <c r="K56" s="1002">
        <f t="shared" si="39"/>
        <v>0.41692087533109351</v>
      </c>
      <c r="L56" s="1002">
        <f t="shared" si="39"/>
        <v>0.41245174374250032</v>
      </c>
      <c r="M56" s="1002">
        <f t="shared" si="39"/>
        <v>0.41909837497815822</v>
      </c>
      <c r="N56" s="1002">
        <f t="shared" si="39"/>
        <v>0.39816879352617029</v>
      </c>
      <c r="O56" s="1002">
        <f>O51/O52</f>
        <v>0.31236377397371357</v>
      </c>
      <c r="P56" s="1002">
        <f t="shared" ref="P56:AH56" si="40">P51/P52</f>
        <v>0.23561776208433741</v>
      </c>
      <c r="Q56" s="1002">
        <f t="shared" si="40"/>
        <v>0.23754998343580239</v>
      </c>
      <c r="R56" s="1002">
        <f t="shared" si="40"/>
        <v>0.30921163148510838</v>
      </c>
      <c r="S56" s="1002">
        <f t="shared" si="40"/>
        <v>0.25580915845141983</v>
      </c>
      <c r="T56" s="1002">
        <f t="shared" si="40"/>
        <v>0.30520941302571469</v>
      </c>
      <c r="U56" s="1002">
        <f t="shared" si="40"/>
        <v>0.31362081138837739</v>
      </c>
      <c r="V56" s="1002">
        <f t="shared" si="40"/>
        <v>0.4117193862213388</v>
      </c>
      <c r="W56" s="1002">
        <f t="shared" si="40"/>
        <v>0.48233906617770306</v>
      </c>
      <c r="X56" s="1002">
        <f t="shared" si="40"/>
        <v>0.39217759461351048</v>
      </c>
      <c r="Y56" s="1002">
        <f t="shared" si="40"/>
        <v>0.45023715444639756</v>
      </c>
      <c r="Z56" s="1002">
        <f t="shared" si="40"/>
        <v>0.31173518172139775</v>
      </c>
      <c r="AA56" s="1002">
        <f t="shared" si="40"/>
        <v>0.23755062112836822</v>
      </c>
      <c r="AB56" s="1002">
        <f t="shared" si="40"/>
        <v>0.15595112031073657</v>
      </c>
      <c r="AC56" s="1002">
        <f t="shared" si="40"/>
        <v>8.1535594957535484E-2</v>
      </c>
      <c r="AD56" s="1002">
        <f t="shared" si="40"/>
        <v>0.59254290662224696</v>
      </c>
      <c r="AE56" s="1002">
        <f t="shared" si="40"/>
        <v>0.65545348896473166</v>
      </c>
      <c r="AF56" s="1002">
        <f t="shared" si="40"/>
        <v>0.43430568283225979</v>
      </c>
      <c r="AG56" s="1002">
        <f t="shared" si="40"/>
        <v>0.26543523404859493</v>
      </c>
      <c r="AH56" s="1002">
        <f t="shared" si="40"/>
        <v>0.31583167232095455</v>
      </c>
      <c r="AI56" s="1002">
        <f t="shared" ref="AI56:AN56" si="41">AI51/AI52</f>
        <v>0.36589808362739745</v>
      </c>
      <c r="AJ56" s="1002">
        <f t="shared" si="41"/>
        <v>0.36945674296529779</v>
      </c>
      <c r="AK56" s="1002">
        <f t="shared" si="41"/>
        <v>0.41357022136809934</v>
      </c>
      <c r="AL56" s="1002">
        <f t="shared" si="41"/>
        <v>0.60118599108859672</v>
      </c>
      <c r="AM56" s="1002">
        <f t="shared" si="41"/>
        <v>0.48490661450101019</v>
      </c>
      <c r="AN56" s="1002">
        <f t="shared" si="41"/>
        <v>0.41886098633324748</v>
      </c>
      <c r="AO56" s="1002">
        <f>AO51/AO52</f>
        <v>0.45142193990561474</v>
      </c>
      <c r="AP56" s="1002">
        <f>AP51/AP52</f>
        <v>0.44396503473377846</v>
      </c>
      <c r="AQ56" s="1002">
        <f>AQ51/AQ52</f>
        <v>0.42553131800082972</v>
      </c>
      <c r="AR56" s="1002">
        <f>AR51/AR52</f>
        <v>0.41595317001047161</v>
      </c>
      <c r="AS56" s="1002">
        <f>AS51/AS52</f>
        <v>0.40968536148478923</v>
      </c>
      <c r="AT56" s="550"/>
      <c r="AU56" s="550"/>
      <c r="AV56"/>
      <c r="AW56"/>
      <c r="AX56"/>
      <c r="AY56"/>
      <c r="AZ56"/>
      <c r="BA56"/>
    </row>
    <row r="57" spans="1:53" s="239" customFormat="1" x14ac:dyDescent="0.2">
      <c r="B57" s="1001"/>
      <c r="E57" s="1004"/>
      <c r="F57" s="1004"/>
      <c r="G57" s="1004"/>
      <c r="H57" s="1004"/>
      <c r="I57" s="1004"/>
      <c r="J57" s="1004"/>
      <c r="K57" s="1004"/>
      <c r="L57" s="1004"/>
      <c r="M57" s="1004"/>
      <c r="N57" s="1004"/>
      <c r="O57" s="1004"/>
      <c r="P57" s="1004"/>
      <c r="Q57" s="1004"/>
      <c r="R57" s="1004"/>
      <c r="S57" s="1004"/>
      <c r="T57" s="1004"/>
      <c r="U57" s="1004"/>
      <c r="V57" s="1004"/>
      <c r="W57" s="1004"/>
      <c r="X57" s="1004"/>
      <c r="Y57" s="1004"/>
      <c r="Z57" s="1004"/>
      <c r="AA57" s="1004"/>
      <c r="AB57" s="1004"/>
      <c r="AC57" s="1004"/>
      <c r="AD57" s="1004"/>
      <c r="AE57" s="1004"/>
      <c r="AF57" s="1004"/>
      <c r="AG57" s="1004"/>
      <c r="AH57" s="1004"/>
      <c r="AI57" s="1004"/>
      <c r="AJ57" s="1004"/>
      <c r="AK57" s="1004"/>
      <c r="AL57" s="1004"/>
      <c r="AM57" s="1004"/>
      <c r="AN57" s="1004"/>
      <c r="AO57" s="1004"/>
      <c r="AP57" s="1004"/>
      <c r="AQ57" s="1004"/>
      <c r="AR57" s="1004"/>
      <c r="AS57" s="1004"/>
      <c r="AT57" s="550"/>
      <c r="AU57" s="550"/>
      <c r="AV57"/>
      <c r="AW57"/>
      <c r="AX57"/>
      <c r="AY57"/>
      <c r="AZ57"/>
      <c r="BA57"/>
    </row>
    <row r="58" spans="1:53" x14ac:dyDescent="0.2">
      <c r="A58" s="235" t="s">
        <v>222</v>
      </c>
      <c r="B58" s="236"/>
      <c r="C58" s="236"/>
      <c r="D58" s="236"/>
      <c r="E58" s="236"/>
      <c r="F58" s="236"/>
      <c r="G58" s="236"/>
      <c r="H58" s="236"/>
      <c r="I58" s="236"/>
      <c r="J58" s="236"/>
      <c r="K58" s="236"/>
      <c r="L58" s="236"/>
      <c r="M58" s="236"/>
      <c r="N58" s="236"/>
      <c r="O58" s="236"/>
      <c r="P58" s="236"/>
      <c r="Q58" s="236"/>
      <c r="R58" s="236"/>
      <c r="S58" s="236"/>
      <c r="T58" s="236"/>
      <c r="U58" s="236"/>
      <c r="V58" s="236"/>
      <c r="W58" s="236"/>
      <c r="X58" s="236"/>
      <c r="Y58" s="236"/>
      <c r="Z58" s="236"/>
      <c r="AA58" s="236"/>
      <c r="AB58" s="236"/>
      <c r="AC58" s="236"/>
      <c r="AD58" s="236"/>
      <c r="AE58" s="236"/>
      <c r="AF58" s="236"/>
      <c r="AG58" s="236"/>
      <c r="AH58" s="236"/>
      <c r="AI58" s="236"/>
      <c r="AJ58" s="236"/>
      <c r="AK58" s="236"/>
      <c r="AL58" s="236"/>
      <c r="AM58" s="236"/>
      <c r="AN58" s="236"/>
      <c r="AO58" s="236"/>
      <c r="AP58" s="236"/>
      <c r="AQ58" s="236"/>
      <c r="AR58" s="236"/>
      <c r="AS58" s="236"/>
      <c r="AT58" s="15"/>
      <c r="AU58" s="15"/>
    </row>
    <row r="59" spans="1:53" s="239" customFormat="1" outlineLevel="1" x14ac:dyDescent="0.2">
      <c r="B59" s="239" t="s">
        <v>273</v>
      </c>
      <c r="E59" s="605">
        <f>'yrP&amp;L'!B7</f>
        <v>598.70000000000005</v>
      </c>
      <c r="F59" s="605">
        <f>'yrP&amp;L'!C7</f>
        <v>768.7</v>
      </c>
      <c r="G59" s="605">
        <f>'yrP&amp;L'!D7</f>
        <v>958.7</v>
      </c>
      <c r="H59" s="605">
        <f>'yrP&amp;L'!E7</f>
        <v>1301.9000000000001</v>
      </c>
      <c r="I59" s="605">
        <f>'yrP&amp;L'!F7</f>
        <v>1629.9179999999999</v>
      </c>
      <c r="J59" s="605">
        <f>'yrP&amp;L'!G7</f>
        <v>1920.231</v>
      </c>
      <c r="K59" s="605">
        <f>'yrP&amp;L'!H7</f>
        <v>2327.9459999999999</v>
      </c>
      <c r="L59" s="605">
        <f>'yrP&amp;L'!I7</f>
        <v>2671.1570000000002</v>
      </c>
      <c r="M59" s="605">
        <f>'yrP&amp;L'!J7</f>
        <v>2893.904</v>
      </c>
      <c r="N59" s="605">
        <f>'yrP&amp;L'!K7</f>
        <v>3179.82</v>
      </c>
      <c r="O59" s="605">
        <f>'yrP&amp;L'!L7</f>
        <v>3421.9790000000003</v>
      </c>
      <c r="P59" s="605">
        <f>'yrP&amp;L'!M7</f>
        <v>3589.9380000000001</v>
      </c>
      <c r="Q59" s="605">
        <f>'yrP&amp;L'!N7</f>
        <v>3894.4780000000001</v>
      </c>
      <c r="R59" s="605">
        <f>'yrP&amp;L'!O7</f>
        <v>4113.5159999999996</v>
      </c>
      <c r="S59" s="605">
        <f>'yrP&amp;L'!P7</f>
        <v>4453.0630000000001</v>
      </c>
      <c r="T59" s="605">
        <f>'yrP&amp;L'!Q7</f>
        <v>4851.6239999999998</v>
      </c>
      <c r="U59" s="605">
        <f>'yrP&amp;L'!R7</f>
        <v>5027.8900000000003</v>
      </c>
      <c r="V59" s="605">
        <f>'yrP&amp;L'!S7</f>
        <v>5149</v>
      </c>
      <c r="W59" s="605">
        <f>'yrP&amp;L'!T7</f>
        <v>5528.5370000000003</v>
      </c>
      <c r="X59" s="605">
        <f>'yrP&amp;L'!U7</f>
        <v>5634.13</v>
      </c>
      <c r="Y59" s="605">
        <f>'yrP&amp;L'!V7</f>
        <v>5944.6559999999999</v>
      </c>
      <c r="Z59" s="605">
        <f>'yrP&amp;L'!W7</f>
        <v>6448.5719999999992</v>
      </c>
      <c r="AA59" s="605">
        <f>'yrP&amp;L'!X7</f>
        <v>7131.4129999999996</v>
      </c>
      <c r="AB59" s="605">
        <f>'yrP&amp;L'!Y7</f>
        <v>7722.6120000000001</v>
      </c>
      <c r="AC59" s="605">
        <f>'yrP&amp;L'!Z7</f>
        <v>8560.6980000000003</v>
      </c>
      <c r="AD59" s="605">
        <f>'yrP&amp;L'!AA7</f>
        <v>8827.8140000000003</v>
      </c>
      <c r="AE59" s="605">
        <f>'yrP&amp;L'!AB7</f>
        <v>8291</v>
      </c>
      <c r="AF59" s="605">
        <f>'yrP&amp;L'!AC7</f>
        <v>8258</v>
      </c>
      <c r="AG59" s="605">
        <f>'yrP&amp;L'!AD7</f>
        <v>9310</v>
      </c>
      <c r="AH59" s="605">
        <f>'yrP&amp;L'!AE7</f>
        <v>10497</v>
      </c>
      <c r="AI59" s="605">
        <f>'yrP&amp;L'!AF7</f>
        <v>11762</v>
      </c>
      <c r="AJ59" s="605">
        <f>'yrP&amp;L'!AG7</f>
        <v>12166</v>
      </c>
      <c r="AK59" s="605">
        <f>'yrP&amp;L'!AH7</f>
        <v>13111</v>
      </c>
      <c r="AL59" s="605">
        <f>'yrP&amp;L'!AI7</f>
        <v>14095</v>
      </c>
      <c r="AM59" s="605">
        <f>'yrP&amp;L'!AJ7</f>
        <v>14499</v>
      </c>
      <c r="AN59" s="605">
        <f>'yrP&amp;L'!AK7</f>
        <v>15137</v>
      </c>
      <c r="AO59" s="605">
        <f>'yrP&amp;L'!AL7</f>
        <v>15324.038457838597</v>
      </c>
      <c r="AP59" s="605">
        <f>'yrP&amp;L'!AM7</f>
        <v>15793.189685123163</v>
      </c>
      <c r="AQ59" s="605">
        <f>'yrP&amp;L'!AN7</f>
        <v>16198.198393998615</v>
      </c>
      <c r="AR59" s="605">
        <f>'yrP&amp;L'!AO7</f>
        <v>16596.766507816799</v>
      </c>
      <c r="AS59" s="605">
        <f>'yrP&amp;L'!AP7</f>
        <v>16891.756163270493</v>
      </c>
      <c r="AT59" s="550"/>
      <c r="AU59" s="550"/>
      <c r="AV59"/>
      <c r="AW59"/>
      <c r="AX59"/>
      <c r="AY59"/>
      <c r="AZ59"/>
      <c r="BA59"/>
    </row>
    <row r="60" spans="1:53" s="239" customFormat="1" outlineLevel="1" x14ac:dyDescent="0.2">
      <c r="B60" s="239" t="s">
        <v>139</v>
      </c>
      <c r="D60" s="612"/>
      <c r="E60" s="612">
        <f>'yrP&amp;L'!B17</f>
        <v>402.6</v>
      </c>
      <c r="F60" s="612">
        <f>'yrP&amp;L'!C17</f>
        <v>509.1</v>
      </c>
      <c r="G60" s="612">
        <f>'yrP&amp;L'!D17</f>
        <v>648.29999999999995</v>
      </c>
      <c r="H60" s="612">
        <f>'yrP&amp;L'!E17</f>
        <v>893.9</v>
      </c>
      <c r="I60" s="612">
        <f>'yrP&amp;L'!F17</f>
        <v>1095.5840000000001</v>
      </c>
      <c r="J60" s="612">
        <f>'yrP&amp;L'!G17</f>
        <v>1300.883</v>
      </c>
      <c r="K60" s="612">
        <f>'yrP&amp;L'!H17</f>
        <v>1564.056</v>
      </c>
      <c r="L60" s="612">
        <f>'yrP&amp;L'!I17</f>
        <v>1829.383</v>
      </c>
      <c r="M60" s="612">
        <f>'yrP&amp;L'!J17</f>
        <v>2000.25</v>
      </c>
      <c r="N60" s="612">
        <f>'yrP&amp;L'!K17</f>
        <v>2169.4369999999999</v>
      </c>
      <c r="O60" s="612">
        <f>'yrP&amp;L'!L17</f>
        <v>2339.0929999999998</v>
      </c>
      <c r="P60" s="612">
        <f>'yrP&amp;L'!M17</f>
        <v>2469.3040000000001</v>
      </c>
      <c r="Q60" s="612">
        <f>'yrP&amp;L'!N17</f>
        <v>2599.5529999999999</v>
      </c>
      <c r="R60" s="612">
        <f>'yrP&amp;L'!O17</f>
        <v>2806.268</v>
      </c>
      <c r="S60" s="612">
        <f>'yrP&amp;L'!P17</f>
        <v>3082.0370000000003</v>
      </c>
      <c r="T60" s="612">
        <f>'yrP&amp;L'!Q17</f>
        <v>3295.8130000000001</v>
      </c>
      <c r="U60" s="612">
        <f>'yrP&amp;L'!R17</f>
        <v>3344.9450000000002</v>
      </c>
      <c r="V60" s="612">
        <f>'yrP&amp;L'!S17</f>
        <v>3359.76</v>
      </c>
      <c r="W60" s="612">
        <f>'yrP&amp;L'!T17</f>
        <v>3649.5159999999996</v>
      </c>
      <c r="X60" s="612">
        <f>'yrP&amp;L'!U17</f>
        <v>3765.8589999999999</v>
      </c>
      <c r="Y60" s="612">
        <f>'yrP&amp;L'!V17</f>
        <v>3970.0219999999999</v>
      </c>
      <c r="Z60" s="612">
        <f>'yrP&amp;L'!W17</f>
        <v>4215.3950000000004</v>
      </c>
      <c r="AA60" s="612">
        <f>'yrP&amp;L'!X17</f>
        <v>4559.3879999999999</v>
      </c>
      <c r="AB60" s="612">
        <f>'yrP&amp;L'!Y17</f>
        <v>4888.023000000001</v>
      </c>
      <c r="AC60" s="612">
        <f>'yrP&amp;L'!Z17</f>
        <v>5353.9490000000005</v>
      </c>
      <c r="AD60" s="612">
        <f>'yrP&amp;L'!AA17</f>
        <v>5526.1779999999999</v>
      </c>
      <c r="AE60" s="612">
        <f>'yrP&amp;L'!AB17</f>
        <v>5429.4830000000002</v>
      </c>
      <c r="AF60" s="612">
        <f>'yrP&amp;L'!AC17</f>
        <v>5328</v>
      </c>
      <c r="AG60" s="612">
        <f>'yrP&amp;L'!AD17</f>
        <v>5897</v>
      </c>
      <c r="AH60" s="612">
        <f>'yrP&amp;L'!AE17</f>
        <v>6592</v>
      </c>
      <c r="AI60" s="612">
        <f>'yrP&amp;L'!AF17</f>
        <v>7432</v>
      </c>
      <c r="AJ60" s="612">
        <f>'yrP&amp;L'!AG17</f>
        <v>7737</v>
      </c>
      <c r="AK60" s="612">
        <f>'yrP&amp;L'!AH17</f>
        <v>8407</v>
      </c>
      <c r="AL60" s="612">
        <f>'yrP&amp;L'!AI17</f>
        <v>9168</v>
      </c>
      <c r="AM60" s="612">
        <f>'yrP&amp;L'!AJ17</f>
        <v>9439</v>
      </c>
      <c r="AN60" s="612">
        <f>'yrP&amp;L'!AK17</f>
        <v>9890</v>
      </c>
      <c r="AO60" s="612">
        <f>'yrP&amp;L'!AL17</f>
        <v>10002.907894418451</v>
      </c>
      <c r="AP60" s="612">
        <f>'yrP&amp;L'!AM17</f>
        <v>10350.85651962972</v>
      </c>
      <c r="AQ60" s="612">
        <f>'yrP&amp;L'!AN17</f>
        <v>10664.893822608688</v>
      </c>
      <c r="AR60" s="612">
        <f>'yrP&amp;L'!AO17</f>
        <v>10978.761044920813</v>
      </c>
      <c r="AS60" s="612">
        <f>'yrP&amp;L'!AP17</f>
        <v>11207.680214329972</v>
      </c>
      <c r="AT60" s="550"/>
      <c r="AU60" s="550"/>
      <c r="AV60"/>
      <c r="AW60"/>
      <c r="AX60"/>
      <c r="AY60"/>
      <c r="AZ60"/>
      <c r="BA60"/>
    </row>
    <row r="61" spans="1:53" s="239" customFormat="1" outlineLevel="1" x14ac:dyDescent="0.2">
      <c r="B61" s="239" t="s">
        <v>140</v>
      </c>
      <c r="E61" s="612">
        <f>'yrP&amp;L'!B21</f>
        <v>150.6</v>
      </c>
      <c r="F61" s="612">
        <f>'yrP&amp;L'!C21</f>
        <v>192.8</v>
      </c>
      <c r="G61" s="612">
        <f>'yrP&amp;L'!D21</f>
        <v>243.8</v>
      </c>
      <c r="H61" s="612">
        <f>'yrP&amp;L'!E21</f>
        <v>326.8</v>
      </c>
      <c r="I61" s="612">
        <f>'yrP&amp;L'!F21</f>
        <v>408.66399999999999</v>
      </c>
      <c r="J61" s="612">
        <f>'yrP&amp;L'!G21</f>
        <v>477.488</v>
      </c>
      <c r="K61" s="612">
        <f>'yrP&amp;L'!H21</f>
        <v>582.97299999999996</v>
      </c>
      <c r="L61" s="612">
        <f>'yrP&amp;L'!I21</f>
        <v>669.2</v>
      </c>
      <c r="M61" s="612">
        <f>'yrP&amp;L'!J21</f>
        <v>747.77</v>
      </c>
      <c r="N61" s="612">
        <f>'yrP&amp;L'!K21</f>
        <v>831.505</v>
      </c>
      <c r="O61" s="612">
        <f>'yrP&amp;L'!L21</f>
        <v>902.09699999999998</v>
      </c>
      <c r="P61" s="612">
        <f>'yrP&amp;L'!M21</f>
        <v>940.57899999999995</v>
      </c>
      <c r="Q61" s="612">
        <f>'yrP&amp;L'!N21</f>
        <v>1023.347</v>
      </c>
      <c r="R61" s="612">
        <f>'yrP&amp;L'!O21</f>
        <v>1121.1379999999999</v>
      </c>
      <c r="S61" s="612">
        <f>'yrP&amp;L'!P21</f>
        <v>1217.5899999999999</v>
      </c>
      <c r="T61" s="612">
        <f>'yrP&amp;L'!Q21</f>
        <v>1322.9290000000001</v>
      </c>
      <c r="U61" s="612">
        <f>'yrP&amp;L'!R21</f>
        <v>1405.27</v>
      </c>
      <c r="V61" s="612">
        <f>'yrP&amp;L'!S21</f>
        <v>1523.836</v>
      </c>
      <c r="W61" s="612">
        <f>'yrP&amp;L'!T21</f>
        <v>1747.048</v>
      </c>
      <c r="X61" s="612">
        <f>'yrP&amp;L'!U21</f>
        <v>1722.635</v>
      </c>
      <c r="Y61" s="612">
        <f>'yrP&amp;L'!V21</f>
        <v>1783.21</v>
      </c>
      <c r="Z61" s="612">
        <f>'yrP&amp;L'!W21</f>
        <v>1899.126</v>
      </c>
      <c r="AA61" s="612">
        <f>'yrP&amp;L'!X21</f>
        <v>2020.2329999999997</v>
      </c>
      <c r="AB61" s="612">
        <f>'yrP&amp;L'!Y21</f>
        <v>2100.6660000000002</v>
      </c>
      <c r="AC61" s="612">
        <f>'yrP&amp;L'!Z21</f>
        <v>2296.8629999999998</v>
      </c>
      <c r="AD61" s="612">
        <f>'yrP&amp;L'!AA21</f>
        <v>2360</v>
      </c>
      <c r="AE61" s="612">
        <f>'yrP&amp;L'!AB21</f>
        <v>2387.9659999999999</v>
      </c>
      <c r="AF61" s="612">
        <f>'yrP&amp;L'!AC21</f>
        <v>2465</v>
      </c>
      <c r="AG61" s="612">
        <f>'yrP&amp;L'!AD21</f>
        <v>2685</v>
      </c>
      <c r="AH61" s="612">
        <f>'yrP&amp;L'!AE21</f>
        <v>3036</v>
      </c>
      <c r="AI61" s="612">
        <f>'yrP&amp;L'!AF21</f>
        <v>3357</v>
      </c>
      <c r="AJ61" s="612">
        <f>'yrP&amp;L'!AG21</f>
        <v>3453</v>
      </c>
      <c r="AK61" s="612">
        <f>'yrP&amp;L'!AH21</f>
        <v>3776</v>
      </c>
      <c r="AL61" s="612">
        <f>'yrP&amp;L'!AI21</f>
        <v>4140</v>
      </c>
      <c r="AM61" s="612">
        <f>'yrP&amp;L'!AJ21</f>
        <v>4316</v>
      </c>
      <c r="AN61" s="612">
        <f>'yrP&amp;L'!AK21</f>
        <v>4662</v>
      </c>
      <c r="AO61" s="612">
        <f>'yrP&amp;L'!AL21</f>
        <v>4848.4949247441764</v>
      </c>
      <c r="AP61" s="612">
        <f>'yrP&amp;L'!AM21</f>
        <v>5032.7058281753725</v>
      </c>
      <c r="AQ61" s="612">
        <f>'yrP&amp;L'!AN21</f>
        <v>5185.0468847091734</v>
      </c>
      <c r="AR61" s="612">
        <f>'yrP&amp;L'!AO21</f>
        <v>5331.1899259153906</v>
      </c>
      <c r="AS61" s="612">
        <f>'yrP&amp;L'!AP21</f>
        <v>5451.0643150061987</v>
      </c>
      <c r="AT61" s="550"/>
      <c r="AU61" s="550"/>
      <c r="AV61"/>
      <c r="AW61"/>
      <c r="AX61"/>
      <c r="AY61"/>
      <c r="AZ61"/>
      <c r="BA61"/>
    </row>
    <row r="62" spans="1:53" s="239" customFormat="1" outlineLevel="1" x14ac:dyDescent="0.2">
      <c r="B62" s="239" t="s">
        <v>141</v>
      </c>
      <c r="E62" s="612">
        <f>'yrP&amp;L'!B50</f>
        <v>-1.4999999999999254</v>
      </c>
      <c r="F62" s="612">
        <f>'yrP&amp;L'!C50</f>
        <v>1.7999999999999616</v>
      </c>
      <c r="G62" s="612">
        <f>'yrP&amp;L'!D50</f>
        <v>-12.499999999999943</v>
      </c>
      <c r="H62" s="612">
        <f>'yrP&amp;L'!E50</f>
        <v>-23.199999999999804</v>
      </c>
      <c r="I62" s="612">
        <f>'yrP&amp;L'!F50</f>
        <v>-26.01900000000019</v>
      </c>
      <c r="J62" s="612">
        <f>'yrP&amp;L'!G50</f>
        <v>-14.917000000000087</v>
      </c>
      <c r="K62" s="612">
        <f>'yrP&amp;L'!H50</f>
        <v>123.33200000000011</v>
      </c>
      <c r="L62" s="612">
        <f>'yrP&amp;L'!I50</f>
        <v>114.91100000000014</v>
      </c>
      <c r="M62" s="612">
        <f>'yrP&amp;L'!J50</f>
        <v>115.81599999999986</v>
      </c>
      <c r="N62" s="612">
        <f>'yrP&amp;L'!K50</f>
        <v>135.81500000000048</v>
      </c>
      <c r="O62" s="612">
        <f>'yrP&amp;L'!L50</f>
        <v>140.68460000000022</v>
      </c>
      <c r="P62" s="612">
        <f>'yrP&amp;L'!M50</f>
        <v>140.41800000000006</v>
      </c>
      <c r="Q62" s="612">
        <f>'yrP&amp;L'!N50</f>
        <v>202.95800000000045</v>
      </c>
      <c r="R62" s="612">
        <f>'yrP&amp;L'!O50</f>
        <v>165.11099999999982</v>
      </c>
      <c r="S62" s="612">
        <f>'yrP&amp;L'!P50</f>
        <v>148.95699999999997</v>
      </c>
      <c r="T62" s="612">
        <f>'yrP&amp;L'!Q50</f>
        <v>186.18499799999972</v>
      </c>
      <c r="U62" s="612">
        <f>'yrP&amp;L'!R50</f>
        <v>206.79588100000035</v>
      </c>
      <c r="V62" s="612">
        <f>'yrP&amp;L'!S50</f>
        <v>202.0510000000001</v>
      </c>
      <c r="W62" s="612">
        <f>'yrP&amp;L'!T50</f>
        <v>101.91800000000103</v>
      </c>
      <c r="X62" s="612">
        <f>'yrP&amp;L'!U50</f>
        <v>124.68800000000051</v>
      </c>
      <c r="Y62" s="612">
        <f>'yrP&amp;L'!V50</f>
        <v>90.240999999999758</v>
      </c>
      <c r="Z62" s="612">
        <f>'yrP&amp;L'!W50</f>
        <v>242.88899999999893</v>
      </c>
      <c r="AA62" s="612">
        <f>'yrP&amp;L'!X50</f>
        <v>393.47499999999991</v>
      </c>
      <c r="AB62" s="612">
        <f>'yrP&amp;L'!Y50</f>
        <v>551.18021775831835</v>
      </c>
      <c r="AC62" s="612">
        <f>'yrP&amp;L'!Z50</f>
        <v>677.99899999999957</v>
      </c>
      <c r="AD62" s="612">
        <f>'yrP&amp;L'!AA50</f>
        <v>693.80600000000027</v>
      </c>
      <c r="AE62" s="612">
        <f>'yrP&amp;L'!AB50</f>
        <v>394.55099999999993</v>
      </c>
      <c r="AF62" s="612">
        <f>'yrP&amp;L'!AC50</f>
        <v>428</v>
      </c>
      <c r="AG62" s="612">
        <f>'yrP&amp;L'!AD50</f>
        <v>613</v>
      </c>
      <c r="AH62" s="612">
        <f>'yrP&amp;L'!AE50</f>
        <v>683</v>
      </c>
      <c r="AI62" s="612">
        <f>'yrP&amp;L'!AF50</f>
        <v>735</v>
      </c>
      <c r="AJ62" s="612">
        <f>'yrP&amp;L'!AG50</f>
        <v>734</v>
      </c>
      <c r="AK62" s="612">
        <f>'yrP&amp;L'!AH50</f>
        <v>720.5</v>
      </c>
      <c r="AL62" s="612">
        <f>'yrP&amp;L'!AI50</f>
        <v>629.74</v>
      </c>
      <c r="AM62" s="612">
        <f>'yrP&amp;L'!AJ50</f>
        <v>550.96</v>
      </c>
      <c r="AN62" s="612">
        <f>'yrP&amp;L'!AK50</f>
        <v>480.35</v>
      </c>
      <c r="AO62" s="612">
        <f>'yrP&amp;L'!AL50</f>
        <v>538.53757308170339</v>
      </c>
      <c r="AP62" s="612">
        <f>'yrP&amp;L'!AM50</f>
        <v>513.25007044342431</v>
      </c>
      <c r="AQ62" s="612">
        <f>'yrP&amp;L'!AN50</f>
        <v>490.68056798942882</v>
      </c>
      <c r="AR62" s="612">
        <f>'yrP&amp;L'!AO50</f>
        <v>468.13159167264405</v>
      </c>
      <c r="AS62" s="612">
        <f>'yrP&amp;L'!AP50</f>
        <v>454.34248699837246</v>
      </c>
      <c r="AT62" s="550"/>
      <c r="AU62" s="550"/>
      <c r="AV62"/>
      <c r="AW62"/>
      <c r="AX62"/>
      <c r="AY62"/>
      <c r="AZ62"/>
      <c r="BA62"/>
    </row>
    <row r="63" spans="1:53" s="239" customFormat="1" x14ac:dyDescent="0.2">
      <c r="AT63" s="550"/>
      <c r="AU63" s="550"/>
      <c r="AV63"/>
      <c r="AW63"/>
      <c r="AX63"/>
      <c r="AY63"/>
      <c r="AZ63"/>
      <c r="BA63"/>
    </row>
    <row r="64" spans="1:53" s="239" customFormat="1" x14ac:dyDescent="0.2">
      <c r="B64" s="239" t="s">
        <v>213</v>
      </c>
      <c r="E64" s="1005">
        <f t="shared" ref="E64:AB64" si="42">IF(ISERROR(E59/E10),"NA ",E59/E10)</f>
        <v>4.982689170744699</v>
      </c>
      <c r="F64" s="1005">
        <f t="shared" si="42"/>
        <v>4.7272615460303795</v>
      </c>
      <c r="G64" s="1005">
        <f t="shared" si="42"/>
        <v>4.4625775609665279</v>
      </c>
      <c r="H64" s="1005">
        <f t="shared" si="42"/>
        <v>4.3978650812417666</v>
      </c>
      <c r="I64" s="1005">
        <f t="shared" si="42"/>
        <v>4.7375139879957562</v>
      </c>
      <c r="J64" s="1005">
        <f t="shared" si="42"/>
        <v>4.7458225720746885</v>
      </c>
      <c r="K64" s="1005">
        <f t="shared" si="42"/>
        <v>4.8339756634411728</v>
      </c>
      <c r="L64" s="1005">
        <f t="shared" si="42"/>
        <v>4.9809556308901799</v>
      </c>
      <c r="M64" s="1005">
        <f t="shared" si="42"/>
        <v>5.0284340096054265</v>
      </c>
      <c r="N64" s="1005">
        <f t="shared" si="42"/>
        <v>5.2280151982730141</v>
      </c>
      <c r="O64" s="1005">
        <f t="shared" si="42"/>
        <v>5.6730609186369989</v>
      </c>
      <c r="P64" s="1005">
        <f t="shared" si="42"/>
        <v>6.1215672164804298</v>
      </c>
      <c r="Q64" s="1005">
        <f t="shared" si="42"/>
        <v>5.7619912086416303</v>
      </c>
      <c r="R64" s="1005">
        <f t="shared" si="42"/>
        <v>4.6016240699743935</v>
      </c>
      <c r="S64" s="1005">
        <f t="shared" si="42"/>
        <v>6.2316422447028987</v>
      </c>
      <c r="T64" s="1005">
        <f t="shared" si="42"/>
        <v>7.3017361780003851</v>
      </c>
      <c r="U64" s="1005">
        <f t="shared" si="42"/>
        <v>8.5634308974937632</v>
      </c>
      <c r="V64" s="1005">
        <f t="shared" si="42"/>
        <v>8.3453675835387653</v>
      </c>
      <c r="W64" s="1005">
        <f t="shared" si="42"/>
        <v>7.6577519589225345</v>
      </c>
      <c r="X64" s="1005">
        <f t="shared" si="42"/>
        <v>8.0663302194065647</v>
      </c>
      <c r="Y64" s="1005">
        <f t="shared" si="42"/>
        <v>7.7792018299521182</v>
      </c>
      <c r="Z64" s="1005">
        <f t="shared" si="42"/>
        <v>9.6707642795334792</v>
      </c>
      <c r="AA64" s="1005">
        <f t="shared" si="42"/>
        <v>11.045100927263912</v>
      </c>
      <c r="AB64" s="1005">
        <f t="shared" si="42"/>
        <v>12.074920491964763</v>
      </c>
      <c r="AC64" s="1005">
        <f t="shared" ref="AC64:AK64" si="43">IF(ISERROR(AC59/AC10),"NM ",AC59/AC10)</f>
        <v>12.508764188107124</v>
      </c>
      <c r="AD64" s="1005">
        <f t="shared" si="43"/>
        <v>4.93725615212528</v>
      </c>
      <c r="AE64" s="1005">
        <f t="shared" si="43"/>
        <v>4.2693099897013385</v>
      </c>
      <c r="AF64" s="1005">
        <f t="shared" si="43"/>
        <v>4.0579852579852576</v>
      </c>
      <c r="AG64" s="1005">
        <f t="shared" si="43"/>
        <v>4.5952615992102661</v>
      </c>
      <c r="AH64" s="1005">
        <f t="shared" si="43"/>
        <v>5.1633054599114612</v>
      </c>
      <c r="AI64" s="1005">
        <f>IF(ISERROR(AI59/AI10),"NM ",AI59/AI10)</f>
        <v>5.5246594645373417</v>
      </c>
      <c r="AJ64" s="1005">
        <f t="shared" si="43"/>
        <v>5.588424437299035</v>
      </c>
      <c r="AK64" s="1005">
        <f t="shared" si="43"/>
        <v>5.6856027753686034</v>
      </c>
      <c r="AL64" s="1005">
        <f>IF(ISERROR(AL59/AL10),"NM ",AL59/AL10)</f>
        <v>71.913265306122454</v>
      </c>
      <c r="AM64" s="1005">
        <f>IF(ISERROR(AM59/AM10),"NM ",AM59/AM10)</f>
        <v>72.859296482412063</v>
      </c>
      <c r="AN64" s="1005">
        <f>IF(ISERROR(AN59/AN10),"NM ",AN59/AN10)</f>
        <v>104.39310344827587</v>
      </c>
      <c r="AO64" s="1005">
        <f>IF(ISERROR(AO59/AO10),"NM ",AO59/AO10)</f>
        <v>67.592592592592581</v>
      </c>
      <c r="AP64" s="1005">
        <f>AO64</f>
        <v>67.592592592592581</v>
      </c>
      <c r="AQ64" s="1005">
        <f>AP64</f>
        <v>67.592592592592581</v>
      </c>
      <c r="AR64" s="1005">
        <f>AQ64</f>
        <v>67.592592592592581</v>
      </c>
      <c r="AS64" s="1005">
        <f>AR64</f>
        <v>67.592592592592581</v>
      </c>
      <c r="AT64" s="550"/>
      <c r="AU64" s="550"/>
      <c r="AV64"/>
      <c r="AW64"/>
      <c r="AX64"/>
      <c r="AY64"/>
      <c r="AZ64"/>
      <c r="BA64"/>
    </row>
    <row r="65" spans="1:53" s="239" customFormat="1" x14ac:dyDescent="0.2">
      <c r="B65" s="239" t="s">
        <v>191</v>
      </c>
      <c r="D65" s="1006"/>
      <c r="E65" s="1005">
        <f t="shared" ref="E65:S65" si="44">IF(ISERROR(E60/E11),"NA ",E60/E11)</f>
        <v>3.8833265813993867</v>
      </c>
      <c r="F65" s="1005">
        <f t="shared" si="44"/>
        <v>3.9286045004167054</v>
      </c>
      <c r="G65" s="1005">
        <f t="shared" si="44"/>
        <v>3.9929539729368506</v>
      </c>
      <c r="H65" s="1005">
        <f t="shared" si="44"/>
        <v>3.9550122335930484</v>
      </c>
      <c r="I65" s="1005">
        <f t="shared" si="44"/>
        <v>4.2574397475654209</v>
      </c>
      <c r="J65" s="1005">
        <f t="shared" si="44"/>
        <v>4.1602163123289069</v>
      </c>
      <c r="K65" s="1005">
        <f t="shared" si="44"/>
        <v>3.8733912009806954</v>
      </c>
      <c r="L65" s="1005">
        <f t="shared" si="44"/>
        <v>4.3559227193934893</v>
      </c>
      <c r="M65" s="1005">
        <f t="shared" si="44"/>
        <v>4.4614180183073708</v>
      </c>
      <c r="N65" s="1005">
        <f t="shared" si="44"/>
        <v>4.2820765368156763</v>
      </c>
      <c r="O65" s="1005">
        <f t="shared" si="44"/>
        <v>4.3579710063923054</v>
      </c>
      <c r="P65" s="1005">
        <f t="shared" si="44"/>
        <v>4.2166932489984665</v>
      </c>
      <c r="Q65" s="1005">
        <f t="shared" si="44"/>
        <v>4.1398770563597855</v>
      </c>
      <c r="R65" s="1005">
        <f t="shared" si="44"/>
        <v>4.4806874627776017</v>
      </c>
      <c r="S65" s="1005">
        <f t="shared" si="44"/>
        <v>4.2830518532106518</v>
      </c>
      <c r="T65" s="1006">
        <f t="shared" ref="T65:AL65" si="45">T60/T11</f>
        <v>3.9898710118698135</v>
      </c>
      <c r="U65" s="1006">
        <f t="shared" si="45"/>
        <v>4.4583276131627461</v>
      </c>
      <c r="V65" s="1006">
        <f t="shared" si="45"/>
        <v>4.2110434984238792</v>
      </c>
      <c r="W65" s="1006">
        <f t="shared" si="45"/>
        <v>3.8591161769168862</v>
      </c>
      <c r="X65" s="1006">
        <f t="shared" si="45"/>
        <v>4.2400109438261957</v>
      </c>
      <c r="Y65" s="1006">
        <f t="shared" si="45"/>
        <v>4.1653257959190526</v>
      </c>
      <c r="Z65" s="1006">
        <f t="shared" si="45"/>
        <v>4.6768971833626791</v>
      </c>
      <c r="AA65" s="1006">
        <f t="shared" si="45"/>
        <v>4.9710831656094427</v>
      </c>
      <c r="AB65" s="1006">
        <f t="shared" si="45"/>
        <v>5.1131124356418258</v>
      </c>
      <c r="AC65" s="1006">
        <f t="shared" si="45"/>
        <v>5.3685030116646235</v>
      </c>
      <c r="AD65" s="1006">
        <f t="shared" si="45"/>
        <v>5.7805209205020915</v>
      </c>
      <c r="AE65" s="1006">
        <f t="shared" si="45"/>
        <v>6.032758888888889</v>
      </c>
      <c r="AF65" s="1006">
        <f t="shared" si="45"/>
        <v>5.9331848552338533</v>
      </c>
      <c r="AG65" s="1006">
        <f t="shared" si="45"/>
        <v>6.03582395087001</v>
      </c>
      <c r="AH65" s="1006">
        <f t="shared" si="45"/>
        <v>5.7421602787456445</v>
      </c>
      <c r="AI65" s="1006">
        <f>AI60/AI11</f>
        <v>5.4647058823529413</v>
      </c>
      <c r="AJ65" s="1006">
        <f t="shared" si="45"/>
        <v>5.0535597648595685</v>
      </c>
      <c r="AK65" s="1006">
        <f t="shared" si="45"/>
        <v>4.8511252163877669</v>
      </c>
      <c r="AL65" s="1006">
        <f t="shared" si="45"/>
        <v>4.7136246786632388</v>
      </c>
      <c r="AM65" s="1006">
        <f t="shared" ref="AM65:AR65" si="46">AM60/AM11</f>
        <v>4.9783755274261603</v>
      </c>
      <c r="AN65" s="1006">
        <f t="shared" si="46"/>
        <v>4.8791317217562904</v>
      </c>
      <c r="AO65" s="1006">
        <f t="shared" si="46"/>
        <v>4.7402597402597397</v>
      </c>
      <c r="AP65" s="1006">
        <f t="shared" si="46"/>
        <v>4.7402597402597406</v>
      </c>
      <c r="AQ65" s="1006">
        <f t="shared" si="46"/>
        <v>4.7402597402597406</v>
      </c>
      <c r="AR65" s="1006">
        <f t="shared" si="46"/>
        <v>4.7402597402597406</v>
      </c>
      <c r="AS65" s="1006">
        <f>AS60/AS11</f>
        <v>4.7402597402597397</v>
      </c>
      <c r="AT65" s="550"/>
      <c r="AU65" s="550"/>
      <c r="AV65"/>
      <c r="AW65"/>
      <c r="AX65"/>
      <c r="AY65"/>
      <c r="AZ65"/>
      <c r="BA65"/>
    </row>
    <row r="66" spans="1:53" s="239" customFormat="1" x14ac:dyDescent="0.2">
      <c r="B66" s="239" t="s">
        <v>214</v>
      </c>
      <c r="E66" s="1005">
        <f t="shared" ref="E66:AA66" si="47">IF(ISERROR(E61/E23),"NA ",E61/E23)</f>
        <v>3.5791525061197329</v>
      </c>
      <c r="F66" s="1005">
        <f t="shared" si="47"/>
        <v>3.4103371422506812</v>
      </c>
      <c r="G66" s="1005">
        <f t="shared" si="47"/>
        <v>3.29214772803997</v>
      </c>
      <c r="H66" s="1005">
        <f t="shared" si="47"/>
        <v>3.4431532034600112</v>
      </c>
      <c r="I66" s="1005">
        <f t="shared" si="47"/>
        <v>3.4851397334106551</v>
      </c>
      <c r="J66" s="1005">
        <f t="shared" si="47"/>
        <v>2.8673824794023686</v>
      </c>
      <c r="K66" s="1005">
        <f t="shared" si="47"/>
        <v>3.0561348326387248</v>
      </c>
      <c r="L66" s="1005">
        <f t="shared" si="47"/>
        <v>3.4258567201466179</v>
      </c>
      <c r="M66" s="1005">
        <f t="shared" si="47"/>
        <v>3.6607658641183556</v>
      </c>
      <c r="N66" s="1005">
        <f t="shared" si="47"/>
        <v>3.8418764323205443</v>
      </c>
      <c r="O66" s="1005">
        <f t="shared" si="47"/>
        <v>4.0971631785480707</v>
      </c>
      <c r="P66" s="1005">
        <f t="shared" si="47"/>
        <v>3.5620571471852451</v>
      </c>
      <c r="Q66" s="1005">
        <f t="shared" si="47"/>
        <v>3.7473707723630825</v>
      </c>
      <c r="R66" s="1005">
        <f t="shared" si="47"/>
        <v>4.0389143466482214</v>
      </c>
      <c r="S66" s="1005">
        <f t="shared" si="47"/>
        <v>3.9222691105885383</v>
      </c>
      <c r="T66" s="1005">
        <f t="shared" si="47"/>
        <v>4.1172851225137022</v>
      </c>
      <c r="U66" s="1005">
        <f t="shared" si="47"/>
        <v>4.1375888821823432</v>
      </c>
      <c r="V66" s="1005">
        <f t="shared" si="47"/>
        <v>3.9003911049225981</v>
      </c>
      <c r="W66" s="1005">
        <f t="shared" si="47"/>
        <v>3.7452044692545812</v>
      </c>
      <c r="X66" s="1005">
        <f t="shared" si="47"/>
        <v>3.5085073362281767</v>
      </c>
      <c r="Y66" s="1005">
        <f t="shared" si="47"/>
        <v>4.1488525108885828</v>
      </c>
      <c r="Z66" s="1005">
        <f t="shared" si="47"/>
        <v>4.1418336702848055</v>
      </c>
      <c r="AA66" s="1005">
        <f t="shared" si="47"/>
        <v>4.1879314419333564</v>
      </c>
      <c r="AB66" s="1005">
        <f>IF(ISERROR(AB60/AB23),"NA ",AB60/AB23)</f>
        <v>9.0515759630679682</v>
      </c>
      <c r="AC66" s="1005">
        <f t="shared" ref="AC66:AN66" si="48">IF(ISERROR(AC60/AC23),"NA ",AC60/AC23)</f>
        <v>9.2822228309488963</v>
      </c>
      <c r="AD66" s="1005">
        <f t="shared" si="48"/>
        <v>9.9391690647482012</v>
      </c>
      <c r="AE66" s="1005">
        <f t="shared" si="48"/>
        <v>9.64384191829485</v>
      </c>
      <c r="AF66" s="1005">
        <f t="shared" si="48"/>
        <v>7.338842975206612</v>
      </c>
      <c r="AG66" s="1005">
        <f t="shared" si="48"/>
        <v>6.9704491725768323</v>
      </c>
      <c r="AH66" s="1005">
        <f t="shared" si="48"/>
        <v>7.1886586695746999</v>
      </c>
      <c r="AI66" s="1005">
        <f t="shared" si="48"/>
        <v>7.3511374876360041</v>
      </c>
      <c r="AJ66" s="1005">
        <f t="shared" si="48"/>
        <v>6.1258907363420425</v>
      </c>
      <c r="AK66" s="1005">
        <f t="shared" si="48"/>
        <v>6.3305722891566267</v>
      </c>
      <c r="AL66" s="1005">
        <f t="shared" si="48"/>
        <v>6.9244712990936552</v>
      </c>
      <c r="AM66" s="1005">
        <f t="shared" si="48"/>
        <v>7.0440298507462691</v>
      </c>
      <c r="AN66" s="1005">
        <f t="shared" si="48"/>
        <v>7.01916252661462</v>
      </c>
      <c r="AO66" s="1005">
        <f>IF(ISERROR(AO60/AO23),"NA ",AO60/AO23)</f>
        <v>6.8867924528301891</v>
      </c>
      <c r="AP66" s="1005">
        <f>IF(ISERROR(AP60/AP23),"NA ",AP60/AP23)</f>
        <v>6.8867924528301891</v>
      </c>
      <c r="AQ66" s="1005">
        <f>IF(ISERROR(AQ60/AQ23),"NA ",AQ60/AQ23)</f>
        <v>6.8867924528301891</v>
      </c>
      <c r="AR66" s="1005">
        <f>IF(ISERROR(AR60/AR23),"NA ",AR60/AR23)</f>
        <v>6.8867924528301891</v>
      </c>
      <c r="AS66" s="1005">
        <f>IF(ISERROR(AS60/AS23),"NA ",AS60/AS23)</f>
        <v>6.88679245283019</v>
      </c>
      <c r="AT66" s="550"/>
      <c r="AU66" s="550"/>
      <c r="AV66"/>
      <c r="AW66"/>
      <c r="AX66"/>
      <c r="AY66"/>
      <c r="AZ66"/>
      <c r="BA66"/>
    </row>
    <row r="67" spans="1:53" s="239" customFormat="1" x14ac:dyDescent="0.2">
      <c r="AT67" s="550"/>
      <c r="AU67" s="550"/>
      <c r="AV67"/>
      <c r="AW67"/>
      <c r="AX67"/>
      <c r="AY67"/>
      <c r="AZ67"/>
      <c r="BA67"/>
    </row>
    <row r="68" spans="1:53" s="239" customFormat="1" x14ac:dyDescent="0.2">
      <c r="B68" s="1007" t="s">
        <v>225</v>
      </c>
      <c r="E68" s="1008">
        <f t="shared" ref="E68:S68" si="49">IF(ISERROR(365/E64),"NA ",365/E64)</f>
        <v>73.253616168364786</v>
      </c>
      <c r="F68" s="1008">
        <f t="shared" si="49"/>
        <v>77.211721087550401</v>
      </c>
      <c r="G68" s="1008">
        <f t="shared" si="49"/>
        <v>81.791295504328758</v>
      </c>
      <c r="H68" s="1008">
        <f t="shared" si="49"/>
        <v>82.994815269989999</v>
      </c>
      <c r="I68" s="1008">
        <f t="shared" si="49"/>
        <v>77.044627398433548</v>
      </c>
      <c r="J68" s="1008">
        <f t="shared" si="49"/>
        <v>76.909744192235195</v>
      </c>
      <c r="K68" s="1008">
        <f t="shared" si="49"/>
        <v>75.507206782287909</v>
      </c>
      <c r="L68" s="1008">
        <f t="shared" si="49"/>
        <v>73.279110887154886</v>
      </c>
      <c r="M68" s="1008">
        <f t="shared" si="49"/>
        <v>72.587210909553335</v>
      </c>
      <c r="N68" s="1008">
        <f t="shared" si="49"/>
        <v>69.816170412161682</v>
      </c>
      <c r="O68" s="1008">
        <f t="shared" si="49"/>
        <v>64.339164559455213</v>
      </c>
      <c r="P68" s="1008">
        <f t="shared" si="49"/>
        <v>59.625253973745515</v>
      </c>
      <c r="Q68" s="1008">
        <f t="shared" si="49"/>
        <v>63.346157045950697</v>
      </c>
      <c r="R68" s="1008">
        <f t="shared" si="49"/>
        <v>79.319821534667668</v>
      </c>
      <c r="S68" s="1008">
        <f t="shared" si="49"/>
        <v>58.572040188966568</v>
      </c>
      <c r="T68" s="1008">
        <f t="shared" ref="T68:AH68" si="50">IF(ISERROR(365/T64),"NA ",365/T64)</f>
        <v>49.988111197405239</v>
      </c>
      <c r="U68" s="1008">
        <f t="shared" si="50"/>
        <v>42.623103329627334</v>
      </c>
      <c r="V68" s="1008">
        <f t="shared" si="50"/>
        <v>43.73683919207614</v>
      </c>
      <c r="W68" s="1008">
        <f t="shared" si="50"/>
        <v>47.664118916089372</v>
      </c>
      <c r="X68" s="1008">
        <f t="shared" si="50"/>
        <v>45.249821179135019</v>
      </c>
      <c r="Y68" s="1008">
        <f t="shared" si="50"/>
        <v>46.919980735638866</v>
      </c>
      <c r="Z68" s="1008">
        <f t="shared" si="50"/>
        <v>37.742621932421635</v>
      </c>
      <c r="AA68" s="1008">
        <f t="shared" si="50"/>
        <v>33.04632546172828</v>
      </c>
      <c r="AB68" s="1008">
        <f t="shared" si="50"/>
        <v>30.22794230760266</v>
      </c>
      <c r="AC68" s="1008">
        <f t="shared" si="50"/>
        <v>29.179541200962817</v>
      </c>
      <c r="AD68" s="1008">
        <f t="shared" si="50"/>
        <v>73.927701693760199</v>
      </c>
      <c r="AE68" s="1008">
        <f t="shared" si="50"/>
        <v>85.493909058014722</v>
      </c>
      <c r="AF68" s="1008">
        <f t="shared" si="50"/>
        <v>89.946112860256733</v>
      </c>
      <c r="AG68" s="1008">
        <f t="shared" si="50"/>
        <v>79.429645542427508</v>
      </c>
      <c r="AH68" s="1008">
        <f t="shared" si="50"/>
        <v>70.691149852338754</v>
      </c>
      <c r="AI68" s="1008">
        <f>IF(ISERROR(365/AI64),"NA ",365/AI64)</f>
        <v>66.067420506716545</v>
      </c>
      <c r="AJ68" s="1008">
        <f>IF(ISERROR(365/AJ64),"NA ",365/AJ64)</f>
        <v>65.313578826237062</v>
      </c>
      <c r="AK68" s="1008">
        <f>IF(ISERROR(365/AK64),"NA ",365/AK64)</f>
        <v>64.197238959652211</v>
      </c>
      <c r="AL68" s="1008">
        <f>IF(ISERROR(365/AL64),"NA ",365/AL64)</f>
        <v>5.0755587087619718</v>
      </c>
      <c r="AM68" s="1123">
        <v>5.4</v>
      </c>
      <c r="AN68" s="1125">
        <f t="shared" ref="AN68:AS68" si="51">AM68</f>
        <v>5.4</v>
      </c>
      <c r="AO68" s="1125">
        <f t="shared" si="51"/>
        <v>5.4</v>
      </c>
      <c r="AP68" s="1125">
        <f t="shared" si="51"/>
        <v>5.4</v>
      </c>
      <c r="AQ68" s="1009">
        <f t="shared" si="51"/>
        <v>5.4</v>
      </c>
      <c r="AR68" s="1009">
        <f t="shared" si="51"/>
        <v>5.4</v>
      </c>
      <c r="AS68" s="1009">
        <f t="shared" si="51"/>
        <v>5.4</v>
      </c>
      <c r="AT68" s="550"/>
      <c r="AU68" s="550"/>
      <c r="AV68"/>
      <c r="AW68"/>
      <c r="AX68"/>
      <c r="AY68"/>
      <c r="AZ68"/>
      <c r="BA68"/>
    </row>
    <row r="69" spans="1:53" s="239" customFormat="1" x14ac:dyDescent="0.2">
      <c r="B69" s="1007" t="s">
        <v>223</v>
      </c>
      <c r="E69" s="633">
        <f t="shared" ref="E69:S69" si="52">365/E65</f>
        <v>93.991579731743656</v>
      </c>
      <c r="F69" s="633">
        <f t="shared" si="52"/>
        <v>92.908308780200343</v>
      </c>
      <c r="G69" s="633">
        <f t="shared" si="52"/>
        <v>91.411021132191891</v>
      </c>
      <c r="H69" s="633">
        <f t="shared" si="52"/>
        <v>92.287957265913406</v>
      </c>
      <c r="I69" s="633">
        <f t="shared" si="52"/>
        <v>85.732276119402982</v>
      </c>
      <c r="J69" s="633">
        <f t="shared" si="52"/>
        <v>87.735822514399842</v>
      </c>
      <c r="K69" s="633">
        <f t="shared" si="52"/>
        <v>94.232671336576189</v>
      </c>
      <c r="L69" s="633">
        <f t="shared" si="52"/>
        <v>83.793956760284743</v>
      </c>
      <c r="M69" s="633">
        <f t="shared" si="52"/>
        <v>81.812553430821154</v>
      </c>
      <c r="N69" s="633">
        <f t="shared" si="52"/>
        <v>85.239018233762962</v>
      </c>
      <c r="O69" s="633">
        <f t="shared" si="52"/>
        <v>83.754572819464656</v>
      </c>
      <c r="P69" s="633">
        <f t="shared" si="52"/>
        <v>86.560719133812611</v>
      </c>
      <c r="Q69" s="633">
        <f t="shared" si="52"/>
        <v>88.166869457941416</v>
      </c>
      <c r="R69" s="633">
        <f t="shared" si="52"/>
        <v>81.460714015910085</v>
      </c>
      <c r="S69" s="633">
        <f t="shared" si="52"/>
        <v>85.219608006003824</v>
      </c>
      <c r="T69" s="633">
        <f t="shared" ref="T69:AA69" si="53">365/T65</f>
        <v>91.481654147246829</v>
      </c>
      <c r="U69" s="633">
        <f t="shared" si="53"/>
        <v>81.86926391913768</v>
      </c>
      <c r="V69" s="633">
        <f t="shared" si="53"/>
        <v>86.67685340619569</v>
      </c>
      <c r="W69" s="633">
        <f t="shared" si="53"/>
        <v>94.581241731780338</v>
      </c>
      <c r="X69" s="633">
        <f t="shared" si="53"/>
        <v>86.084683467968404</v>
      </c>
      <c r="Y69" s="633">
        <f t="shared" si="53"/>
        <v>87.628199541463502</v>
      </c>
      <c r="Z69" s="633">
        <f t="shared" si="53"/>
        <v>78.043195240303689</v>
      </c>
      <c r="AA69" s="633">
        <f t="shared" si="53"/>
        <v>73.42464164050088</v>
      </c>
      <c r="AB69" s="633">
        <f t="shared" ref="AB69:AH69" si="54">365/AB65</f>
        <v>71.385091682260892</v>
      </c>
      <c r="AC69" s="633">
        <f t="shared" si="54"/>
        <v>67.989158096201507</v>
      </c>
      <c r="AD69" s="633">
        <f t="shared" si="54"/>
        <v>63.143098177438375</v>
      </c>
      <c r="AE69" s="633">
        <f t="shared" si="54"/>
        <v>60.50299816759717</v>
      </c>
      <c r="AF69" s="633">
        <f t="shared" si="54"/>
        <v>61.518393393393389</v>
      </c>
      <c r="AG69" s="633">
        <f t="shared" si="54"/>
        <v>60.472274037646265</v>
      </c>
      <c r="AH69" s="633">
        <f t="shared" si="54"/>
        <v>63.564927184466022</v>
      </c>
      <c r="AI69" s="633">
        <f t="shared" ref="AI69:AK70" si="55">365/AI65</f>
        <v>66.792249730893431</v>
      </c>
      <c r="AJ69" s="633">
        <f t="shared" si="55"/>
        <v>72.226315109215463</v>
      </c>
      <c r="AK69" s="633">
        <f t="shared" si="55"/>
        <v>75.240275960509095</v>
      </c>
      <c r="AL69" s="633">
        <f>365/AL65</f>
        <v>77.435100349040141</v>
      </c>
      <c r="AM69" s="1124">
        <v>78</v>
      </c>
      <c r="AN69" s="1126">
        <v>77</v>
      </c>
      <c r="AO69" s="1126">
        <v>77</v>
      </c>
      <c r="AP69" s="1126">
        <v>77</v>
      </c>
      <c r="AQ69" s="634">
        <v>77</v>
      </c>
      <c r="AR69" s="634">
        <v>77</v>
      </c>
      <c r="AS69" s="634">
        <v>77</v>
      </c>
      <c r="AT69" s="550"/>
      <c r="AU69" s="550"/>
      <c r="AV69"/>
      <c r="AW69"/>
      <c r="AX69"/>
      <c r="AY69"/>
      <c r="AZ69"/>
      <c r="BA69"/>
    </row>
    <row r="70" spans="1:53" s="239" customFormat="1" x14ac:dyDescent="0.2">
      <c r="A70" s="249"/>
      <c r="B70" s="1010" t="s">
        <v>224</v>
      </c>
      <c r="C70" s="1011"/>
      <c r="D70" s="249"/>
      <c r="E70" s="633">
        <f t="shared" ref="E70:S70" si="56">365/E66</f>
        <v>101.97944887118194</v>
      </c>
      <c r="F70" s="633">
        <f t="shared" si="56"/>
        <v>107.02754149377593</v>
      </c>
      <c r="G70" s="633">
        <f t="shared" si="56"/>
        <v>110.86987284659558</v>
      </c>
      <c r="H70" s="633">
        <f t="shared" si="56"/>
        <v>106.00748164014686</v>
      </c>
      <c r="I70" s="633">
        <f t="shared" si="56"/>
        <v>104.73037752285497</v>
      </c>
      <c r="J70" s="633">
        <f t="shared" si="56"/>
        <v>127.29379586502696</v>
      </c>
      <c r="K70" s="633">
        <f t="shared" si="56"/>
        <v>119.43190336430676</v>
      </c>
      <c r="L70" s="633">
        <f t="shared" si="56"/>
        <v>106.54269276748356</v>
      </c>
      <c r="M70" s="633">
        <f t="shared" si="56"/>
        <v>99.705912245744003</v>
      </c>
      <c r="N70" s="633">
        <f t="shared" si="56"/>
        <v>95.005658414561537</v>
      </c>
      <c r="O70" s="633">
        <f t="shared" si="56"/>
        <v>89.086029551145828</v>
      </c>
      <c r="P70" s="633">
        <f t="shared" si="56"/>
        <v>102.46887821225012</v>
      </c>
      <c r="Q70" s="633">
        <f t="shared" si="56"/>
        <v>97.401624277981952</v>
      </c>
      <c r="R70" s="633">
        <f t="shared" si="56"/>
        <v>90.370819649320609</v>
      </c>
      <c r="S70" s="633">
        <f t="shared" si="56"/>
        <v>93.058377614796441</v>
      </c>
      <c r="T70" s="633">
        <f t="shared" ref="T70:AH70" si="57">365/T66</f>
        <v>88.650649430165927</v>
      </c>
      <c r="U70" s="633">
        <f t="shared" si="57"/>
        <v>88.215627601813168</v>
      </c>
      <c r="V70" s="633">
        <f t="shared" si="57"/>
        <v>93.580359041261659</v>
      </c>
      <c r="W70" s="633">
        <f t="shared" si="57"/>
        <v>97.457963375934725</v>
      </c>
      <c r="X70" s="633">
        <f t="shared" si="57"/>
        <v>104.03284503101354</v>
      </c>
      <c r="Y70" s="633">
        <f t="shared" si="57"/>
        <v>87.976132928819382</v>
      </c>
      <c r="Z70" s="633">
        <f t="shared" si="57"/>
        <v>88.12521917977007</v>
      </c>
      <c r="AA70" s="633">
        <f t="shared" si="57"/>
        <v>87.155199425016832</v>
      </c>
      <c r="AB70" s="633">
        <f t="shared" si="57"/>
        <v>40.324469627086444</v>
      </c>
      <c r="AC70" s="633">
        <f t="shared" si="57"/>
        <v>39.322477670220621</v>
      </c>
      <c r="AD70" s="633">
        <f t="shared" si="57"/>
        <v>36.723391827045745</v>
      </c>
      <c r="AE70" s="633">
        <f t="shared" si="57"/>
        <v>37.847986631508007</v>
      </c>
      <c r="AF70" s="633">
        <f t="shared" si="57"/>
        <v>49.73536036036036</v>
      </c>
      <c r="AG70" s="633">
        <f t="shared" si="57"/>
        <v>52.363913854502286</v>
      </c>
      <c r="AH70" s="633">
        <f t="shared" si="57"/>
        <v>50.774423543689323</v>
      </c>
      <c r="AI70" s="633">
        <f t="shared" si="55"/>
        <v>49.652179763186219</v>
      </c>
      <c r="AJ70" s="633">
        <f t="shared" si="55"/>
        <v>59.583171772004654</v>
      </c>
      <c r="AK70" s="633">
        <f t="shared" si="55"/>
        <v>57.65671464255977</v>
      </c>
      <c r="AL70" s="633">
        <f>365/AL66</f>
        <v>52.711605584642236</v>
      </c>
      <c r="AM70" s="1124">
        <v>54</v>
      </c>
      <c r="AN70" s="1126">
        <v>53</v>
      </c>
      <c r="AO70" s="1126">
        <v>53</v>
      </c>
      <c r="AP70" s="1126">
        <v>53</v>
      </c>
      <c r="AQ70" s="634">
        <v>53</v>
      </c>
      <c r="AR70" s="634">
        <v>53</v>
      </c>
      <c r="AS70" s="634">
        <v>53</v>
      </c>
      <c r="AT70" s="550"/>
      <c r="AU70" s="550"/>
      <c r="AV70"/>
      <c r="AW70"/>
      <c r="AX70"/>
      <c r="AY70"/>
      <c r="AZ70"/>
      <c r="BA70"/>
    </row>
    <row r="71" spans="1:53" s="239" customFormat="1" x14ac:dyDescent="0.2">
      <c r="AK71" s="252"/>
      <c r="AL71" s="252"/>
      <c r="AM71" s="252"/>
      <c r="AN71" s="252"/>
      <c r="AO71" s="252"/>
      <c r="AP71" s="252"/>
      <c r="AQ71" s="252"/>
      <c r="AR71" s="252"/>
      <c r="AS71" s="252"/>
      <c r="AT71" s="550"/>
      <c r="AU71" s="550"/>
      <c r="AV71"/>
      <c r="AW71"/>
      <c r="AX71"/>
      <c r="AY71"/>
      <c r="AZ71"/>
      <c r="BA71"/>
    </row>
    <row r="72" spans="1:53" s="239" customFormat="1" x14ac:dyDescent="0.2">
      <c r="B72" s="239" t="s">
        <v>192</v>
      </c>
      <c r="E72" s="541">
        <f t="shared" ref="E72:N72" si="58">E23/E11</f>
        <v>0.40585874954183299</v>
      </c>
      <c r="F72" s="541">
        <f t="shared" si="58"/>
        <v>0.4362595302034139</v>
      </c>
      <c r="G72" s="541">
        <f t="shared" si="58"/>
        <v>0.45611322916217573</v>
      </c>
      <c r="H72" s="541">
        <f t="shared" si="58"/>
        <v>0.4199374383342846</v>
      </c>
      <c r="I72" s="541">
        <f t="shared" si="58"/>
        <v>0.45566850863080666</v>
      </c>
      <c r="J72" s="541">
        <f t="shared" si="58"/>
        <v>0.5325427891626372</v>
      </c>
      <c r="K72" s="541">
        <f t="shared" si="58"/>
        <v>0.47240555232234177</v>
      </c>
      <c r="L72" s="541">
        <f t="shared" si="58"/>
        <v>0.46511705430786521</v>
      </c>
      <c r="M72" s="541">
        <f t="shared" si="58"/>
        <v>0.45560105633174525</v>
      </c>
      <c r="N72" s="541">
        <f t="shared" si="58"/>
        <v>0.4271976503655513</v>
      </c>
      <c r="O72" s="541">
        <f t="shared" ref="O72:AL72" si="59">O23/O11</f>
        <v>0.41021054926137279</v>
      </c>
      <c r="P72" s="541">
        <f t="shared" si="59"/>
        <v>0.45091205289599423</v>
      </c>
      <c r="Q72" s="541">
        <f t="shared" si="59"/>
        <v>0.43489560938321153</v>
      </c>
      <c r="R72" s="541">
        <f t="shared" si="59"/>
        <v>0.44321039496856951</v>
      </c>
      <c r="S72" s="541">
        <f t="shared" si="59"/>
        <v>0.43139903472676761</v>
      </c>
      <c r="T72" s="541">
        <f t="shared" si="59"/>
        <v>0.38897517689714239</v>
      </c>
      <c r="U72" s="541">
        <f t="shared" si="59"/>
        <v>0.45268430389633585</v>
      </c>
      <c r="V72" s="541">
        <f t="shared" si="59"/>
        <v>0.48967907300290153</v>
      </c>
      <c r="W72" s="541">
        <f t="shared" si="59"/>
        <v>0.49326679969165271</v>
      </c>
      <c r="X72" s="541">
        <f t="shared" si="59"/>
        <v>0.55280733911899949</v>
      </c>
      <c r="Y72" s="541">
        <f t="shared" si="59"/>
        <v>0.45095224905362646</v>
      </c>
      <c r="Z72" s="541">
        <f t="shared" si="59"/>
        <v>0.50872217839775524</v>
      </c>
      <c r="AA72" s="541">
        <f t="shared" si="59"/>
        <v>0.5259523191689327</v>
      </c>
      <c r="AB72" s="541">
        <f t="shared" si="59"/>
        <v>0.56488643044086795</v>
      </c>
      <c r="AC72" s="541">
        <f t="shared" si="59"/>
        <v>0.57836394465395691</v>
      </c>
      <c r="AD72" s="541">
        <f t="shared" si="59"/>
        <v>0.58158995815899583</v>
      </c>
      <c r="AE72" s="541">
        <f t="shared" si="59"/>
        <v>0.62555555555555553</v>
      </c>
      <c r="AF72" s="541">
        <f t="shared" si="59"/>
        <v>0.80846325167037858</v>
      </c>
      <c r="AG72" s="541">
        <f t="shared" si="59"/>
        <v>0.86591606960081879</v>
      </c>
      <c r="AH72" s="541">
        <f t="shared" si="59"/>
        <v>0.79878048780487809</v>
      </c>
      <c r="AI72" s="541">
        <f>AI23/AI11</f>
        <v>0.74338235294117649</v>
      </c>
      <c r="AJ72" s="541">
        <f t="shared" si="59"/>
        <v>0.82495101241018942</v>
      </c>
      <c r="AK72" s="541">
        <f t="shared" si="59"/>
        <v>0.76630121177149457</v>
      </c>
      <c r="AL72" s="541">
        <f t="shared" si="59"/>
        <v>0.68071979434447305</v>
      </c>
      <c r="AM72" s="541">
        <f t="shared" ref="AM72:AR72" si="60">AM23/AM11</f>
        <v>0.7067510548523207</v>
      </c>
      <c r="AN72" s="541">
        <f t="shared" si="60"/>
        <v>0.6951159348791317</v>
      </c>
      <c r="AO72" s="541">
        <f t="shared" si="60"/>
        <v>0.68831168831168821</v>
      </c>
      <c r="AP72" s="541">
        <f t="shared" si="60"/>
        <v>0.68831168831168832</v>
      </c>
      <c r="AQ72" s="541">
        <f t="shared" si="60"/>
        <v>0.68831168831168832</v>
      </c>
      <c r="AR72" s="541">
        <f t="shared" si="60"/>
        <v>0.68831168831168832</v>
      </c>
      <c r="AS72" s="541">
        <f>AS23/AS11</f>
        <v>0.68831168831168821</v>
      </c>
      <c r="AT72" s="550"/>
      <c r="AU72" s="550"/>
      <c r="AV72"/>
      <c r="AW72"/>
      <c r="AX72"/>
      <c r="AY72"/>
      <c r="AZ72"/>
      <c r="BA72"/>
    </row>
    <row r="73" spans="1:53" s="239" customFormat="1" x14ac:dyDescent="0.2">
      <c r="D73" s="1003"/>
      <c r="E73" s="1012"/>
      <c r="F73" s="1012"/>
      <c r="G73" s="1012"/>
      <c r="H73" s="1012"/>
      <c r="I73" s="1012"/>
      <c r="J73" s="1012"/>
      <c r="K73" s="1012"/>
      <c r="L73" s="1012"/>
      <c r="M73" s="1012"/>
      <c r="N73" s="1012"/>
      <c r="O73" s="1012"/>
      <c r="P73" s="1012"/>
      <c r="Q73" s="1012"/>
      <c r="R73" s="1012"/>
      <c r="S73" s="1012"/>
      <c r="T73" s="1012"/>
      <c r="U73" s="1012"/>
      <c r="V73" s="1012"/>
      <c r="W73" s="1012"/>
      <c r="X73" s="1012"/>
      <c r="Y73" s="1012"/>
      <c r="Z73" s="1012"/>
      <c r="AA73" s="1012"/>
      <c r="AB73" s="1012"/>
      <c r="AC73" s="1012"/>
      <c r="AD73" s="1012"/>
      <c r="AE73" s="1012"/>
      <c r="AF73" s="1012"/>
      <c r="AG73" s="1012"/>
      <c r="AH73" s="1012"/>
      <c r="AI73" s="1012"/>
      <c r="AJ73" s="1012"/>
      <c r="AK73" s="1012"/>
      <c r="AL73" s="1012"/>
      <c r="AM73" s="1012"/>
      <c r="AN73" s="1012"/>
      <c r="AO73" s="1012"/>
      <c r="AP73" s="1012"/>
      <c r="AQ73" s="1012"/>
      <c r="AR73" s="1012"/>
      <c r="AS73" s="1012"/>
      <c r="AT73" s="550"/>
      <c r="AU73" s="550"/>
      <c r="AV73"/>
      <c r="AW73"/>
      <c r="AX73"/>
      <c r="AY73"/>
      <c r="AZ73"/>
      <c r="BA73"/>
    </row>
    <row r="74" spans="1:53" customFormat="1" x14ac:dyDescent="0.2"/>
  </sheetData>
  <phoneticPr fontId="10" type="noConversion"/>
  <pageMargins left="0" right="0" top="0" bottom="0" header="0" footer="0"/>
  <pageSetup paperSize="5" orientation="landscape" horizontalDpi="300" verticalDpi="300" r:id="rId1"/>
  <headerFooter alignWithMargins="0"/>
  <rowBreaks count="1" manualBreakCount="1">
    <brk id="44" max="38" man="1"/>
  </rowBreaks>
  <colBreaks count="1" manualBreakCount="1">
    <brk id="40" max="73" man="1"/>
  </colBreak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BC73"/>
  <sheetViews>
    <sheetView zoomScale="85" zoomScaleNormal="85" workbookViewId="0">
      <selection activeCell="AS63" sqref="AS63"/>
    </sheetView>
  </sheetViews>
  <sheetFormatPr defaultRowHeight="12.75" outlineLevelCol="1" x14ac:dyDescent="0.2"/>
  <cols>
    <col min="1" max="1" width="1.85546875" style="239" customWidth="1"/>
    <col min="2" max="2" width="4" style="239" customWidth="1"/>
    <col min="3" max="3" width="29.140625" style="239" customWidth="1"/>
    <col min="4" max="4" width="2.85546875" style="239" customWidth="1"/>
    <col min="5" max="31" width="9.140625" style="239" hidden="1" customWidth="1" outlineLevel="1"/>
    <col min="32" max="32" width="9.140625" style="239" collapsed="1"/>
    <col min="33" max="37" width="9.140625" style="239"/>
    <col min="38" max="38" width="10.28515625" style="239" bestFit="1" customWidth="1"/>
    <col min="39" max="39" width="10.28515625" style="239" customWidth="1"/>
    <col min="40" max="40" width="9.140625" style="239"/>
    <col min="41" max="42" width="9.140625" style="239" customWidth="1"/>
    <col min="43" max="44" width="9.140625" style="239" hidden="1" customWidth="1" outlineLevel="1"/>
    <col min="45" max="45" width="9.140625" style="239" collapsed="1"/>
    <col min="46" max="48" width="9.140625" style="239"/>
    <col min="49" max="49" width="41.28515625" hidden="1" customWidth="1" outlineLevel="1"/>
    <col min="50" max="54" width="9.140625" hidden="1" customWidth="1" outlineLevel="1"/>
    <col min="55" max="55" width="9.140625" style="239" collapsed="1"/>
    <col min="56" max="16384" width="9.140625" style="239"/>
  </cols>
  <sheetData>
    <row r="1" spans="1:48" x14ac:dyDescent="0.2">
      <c r="A1" s="504" t="s">
        <v>298</v>
      </c>
    </row>
    <row r="2" spans="1:48" x14ac:dyDescent="0.2">
      <c r="A2" s="505" t="s">
        <v>598</v>
      </c>
      <c r="B2" s="240"/>
      <c r="C2" s="240"/>
      <c r="D2" s="240"/>
      <c r="E2" s="240"/>
      <c r="F2" s="240"/>
      <c r="G2" s="240"/>
      <c r="H2" s="240"/>
      <c r="I2" s="240"/>
      <c r="J2" s="240"/>
      <c r="K2" s="240"/>
      <c r="L2" s="240"/>
      <c r="M2" s="240"/>
      <c r="N2" s="240"/>
      <c r="O2" s="240"/>
      <c r="P2" s="240"/>
      <c r="Q2" s="240"/>
      <c r="R2" s="240"/>
      <c r="S2" s="240"/>
      <c r="T2" s="240"/>
      <c r="U2" s="240"/>
      <c r="V2" s="240"/>
      <c r="W2" s="240"/>
      <c r="X2" s="240"/>
      <c r="Y2" s="240"/>
      <c r="Z2" s="240"/>
      <c r="AA2" s="240"/>
      <c r="AB2" s="240"/>
      <c r="AC2" s="240"/>
      <c r="AD2" s="240"/>
      <c r="AE2" s="240"/>
      <c r="AF2" s="240"/>
      <c r="AG2" s="240"/>
      <c r="AH2" s="240"/>
      <c r="AI2" s="240"/>
      <c r="AJ2" s="240"/>
      <c r="AK2" s="240"/>
      <c r="AL2" s="240"/>
      <c r="AM2" s="240"/>
      <c r="AN2" s="240"/>
      <c r="AO2" s="240"/>
      <c r="AP2" s="240"/>
      <c r="AQ2" s="240"/>
      <c r="AR2" s="240"/>
      <c r="AS2" s="240"/>
      <c r="AT2" s="240"/>
      <c r="AU2" s="240"/>
      <c r="AV2" s="240"/>
    </row>
    <row r="3" spans="1:48" x14ac:dyDescent="0.2">
      <c r="A3" s="506" t="s">
        <v>84</v>
      </c>
      <c r="AJ3" s="255"/>
      <c r="AK3" s="255"/>
      <c r="AL3" s="255"/>
      <c r="AM3" s="255"/>
      <c r="AN3" s="255"/>
      <c r="AO3" s="255"/>
      <c r="AP3" s="255"/>
      <c r="AQ3" s="255"/>
      <c r="AR3" s="255"/>
    </row>
    <row r="4" spans="1:48" x14ac:dyDescent="0.2">
      <c r="A4" s="506" t="s">
        <v>85</v>
      </c>
      <c r="D4" s="249"/>
      <c r="E4" s="249"/>
      <c r="F4" s="249"/>
      <c r="G4" s="249"/>
      <c r="H4" s="249"/>
      <c r="I4" s="249"/>
      <c r="J4" s="249"/>
      <c r="K4" s="249"/>
      <c r="L4" s="249"/>
      <c r="M4" s="249"/>
      <c r="N4" s="249"/>
      <c r="O4" s="249"/>
      <c r="P4" s="249"/>
      <c r="Q4" s="249"/>
      <c r="R4" s="249"/>
      <c r="S4" s="249"/>
      <c r="T4" s="249"/>
      <c r="U4" s="249"/>
      <c r="V4" s="249"/>
      <c r="W4" s="249"/>
      <c r="X4" s="249"/>
      <c r="Y4" s="249"/>
      <c r="Z4" s="249"/>
      <c r="AA4" s="249"/>
      <c r="AH4" s="252"/>
      <c r="AI4" s="254"/>
      <c r="AJ4" s="619"/>
      <c r="AK4" s="619"/>
      <c r="AL4" s="619"/>
      <c r="AM4" s="619"/>
      <c r="AN4" s="619"/>
      <c r="AO4" s="619"/>
      <c r="AP4" s="619"/>
      <c r="AQ4" s="619"/>
      <c r="AR4" s="619"/>
    </row>
    <row r="5" spans="1:48" x14ac:dyDescent="0.2">
      <c r="D5" s="249"/>
      <c r="E5" s="249"/>
      <c r="F5" s="249"/>
      <c r="G5" s="249"/>
      <c r="H5" s="249"/>
      <c r="I5" s="249"/>
      <c r="J5" s="249"/>
      <c r="K5" s="249"/>
      <c r="L5" s="249"/>
      <c r="M5" s="249"/>
      <c r="N5" s="249"/>
      <c r="O5" s="249"/>
      <c r="P5" s="249"/>
      <c r="Q5" s="249"/>
      <c r="R5" s="249"/>
      <c r="S5" s="249"/>
      <c r="T5" s="249"/>
      <c r="U5" s="249"/>
      <c r="V5" s="249"/>
      <c r="W5" s="249"/>
      <c r="X5" s="249"/>
      <c r="Y5" s="249"/>
      <c r="Z5" s="249"/>
      <c r="AA5" s="249"/>
      <c r="AH5" s="636"/>
      <c r="AI5" s="255"/>
      <c r="AJ5" s="255"/>
      <c r="AK5" s="255"/>
      <c r="AL5" s="703"/>
      <c r="AM5" s="255"/>
      <c r="AN5" s="636"/>
      <c r="AO5" s="636"/>
      <c r="AP5" s="636"/>
      <c r="AQ5" s="636"/>
      <c r="AR5" s="636"/>
      <c r="AS5" s="636"/>
      <c r="AT5" s="636"/>
      <c r="AU5" s="636"/>
      <c r="AV5" s="636"/>
    </row>
    <row r="6" spans="1:48" x14ac:dyDescent="0.2">
      <c r="D6" s="249"/>
      <c r="E6" s="638">
        <f t="shared" ref="E6:S6" si="0">F6-1</f>
        <v>1983</v>
      </c>
      <c r="F6" s="638">
        <f t="shared" si="0"/>
        <v>1984</v>
      </c>
      <c r="G6" s="638">
        <f t="shared" si="0"/>
        <v>1985</v>
      </c>
      <c r="H6" s="638">
        <f t="shared" si="0"/>
        <v>1986</v>
      </c>
      <c r="I6" s="638">
        <f t="shared" si="0"/>
        <v>1987</v>
      </c>
      <c r="J6" s="638">
        <f t="shared" si="0"/>
        <v>1988</v>
      </c>
      <c r="K6" s="638">
        <f t="shared" si="0"/>
        <v>1989</v>
      </c>
      <c r="L6" s="638">
        <f t="shared" si="0"/>
        <v>1990</v>
      </c>
      <c r="M6" s="638">
        <f t="shared" si="0"/>
        <v>1991</v>
      </c>
      <c r="N6" s="638">
        <f t="shared" si="0"/>
        <v>1992</v>
      </c>
      <c r="O6" s="638">
        <f t="shared" si="0"/>
        <v>1993</v>
      </c>
      <c r="P6" s="638">
        <f t="shared" si="0"/>
        <v>1994</v>
      </c>
      <c r="Q6" s="638">
        <f t="shared" si="0"/>
        <v>1995</v>
      </c>
      <c r="R6" s="638">
        <f t="shared" si="0"/>
        <v>1996</v>
      </c>
      <c r="S6" s="638">
        <f t="shared" si="0"/>
        <v>1997</v>
      </c>
      <c r="T6" s="638">
        <v>1998</v>
      </c>
      <c r="U6" s="638">
        <v>1999</v>
      </c>
      <c r="V6" s="638">
        <v>2000</v>
      </c>
      <c r="W6" s="638">
        <v>2001</v>
      </c>
      <c r="X6" s="638">
        <v>2002</v>
      </c>
      <c r="Y6" s="638">
        <v>2003</v>
      </c>
      <c r="Z6" s="638">
        <v>2004</v>
      </c>
      <c r="AA6" s="638">
        <v>2005</v>
      </c>
      <c r="AB6" s="638">
        <v>2006</v>
      </c>
      <c r="AC6" s="638">
        <v>2007</v>
      </c>
      <c r="AD6" s="638">
        <v>2008</v>
      </c>
      <c r="AE6" s="638">
        <v>2009</v>
      </c>
      <c r="AF6" s="638">
        <v>2010</v>
      </c>
      <c r="AG6" s="638">
        <v>2011</v>
      </c>
      <c r="AH6" s="638">
        <v>2012</v>
      </c>
      <c r="AI6" s="638">
        <v>2013</v>
      </c>
      <c r="AJ6" s="638">
        <v>2014</v>
      </c>
      <c r="AK6" s="638">
        <v>2015</v>
      </c>
      <c r="AL6" s="1089">
        <v>2016</v>
      </c>
      <c r="AM6" s="1089">
        <v>2017</v>
      </c>
      <c r="AN6" s="639">
        <v>2018</v>
      </c>
      <c r="AO6" s="639">
        <v>2019</v>
      </c>
      <c r="AP6" s="639">
        <v>2020</v>
      </c>
      <c r="AQ6" s="639">
        <v>2021</v>
      </c>
      <c r="AR6" s="639">
        <v>2022</v>
      </c>
      <c r="AS6" s="639"/>
      <c r="AT6" s="639"/>
      <c r="AU6" s="639"/>
      <c r="AV6" s="639"/>
    </row>
    <row r="7" spans="1:48" x14ac:dyDescent="0.2">
      <c r="D7" s="249"/>
      <c r="E7" s="641"/>
      <c r="F7" s="641"/>
      <c r="G7" s="641"/>
      <c r="H7" s="641"/>
      <c r="I7" s="641"/>
      <c r="J7" s="641"/>
      <c r="K7" s="641"/>
      <c r="L7" s="641"/>
      <c r="M7" s="641"/>
      <c r="N7" s="641"/>
      <c r="O7" s="641"/>
      <c r="P7" s="641"/>
      <c r="Q7" s="641"/>
      <c r="R7" s="641"/>
      <c r="S7" s="641"/>
      <c r="T7" s="641"/>
      <c r="U7" s="641"/>
      <c r="V7" s="641"/>
      <c r="W7" s="641"/>
      <c r="X7" s="641"/>
      <c r="Y7" s="641"/>
      <c r="Z7" s="641"/>
      <c r="AA7" s="641"/>
      <c r="AB7" s="641"/>
      <c r="AC7" s="641"/>
      <c r="AD7" s="641"/>
      <c r="AE7" s="641"/>
      <c r="AF7" s="641"/>
      <c r="AG7" s="641"/>
      <c r="AH7" s="641"/>
      <c r="AI7" s="641"/>
      <c r="AJ7" s="641"/>
      <c r="AK7" s="641"/>
      <c r="AL7" s="641"/>
      <c r="AM7" s="641"/>
      <c r="AN7" s="641"/>
      <c r="AO7" s="641"/>
      <c r="AP7" s="641"/>
      <c r="AQ7" s="641"/>
      <c r="AR7" s="641"/>
      <c r="AS7" s="641"/>
      <c r="AT7" s="641"/>
      <c r="AU7" s="641"/>
      <c r="AV7" s="641"/>
    </row>
    <row r="8" spans="1:48" x14ac:dyDescent="0.2">
      <c r="B8" s="239" t="s">
        <v>141</v>
      </c>
      <c r="D8" s="249"/>
      <c r="E8" s="637">
        <f>'yrP&amp;L'!C55</f>
        <v>1.7999999999999616</v>
      </c>
      <c r="F8" s="637">
        <f>'yrP&amp;L'!D55</f>
        <v>-12.499999999999943</v>
      </c>
      <c r="G8" s="637">
        <f>'yrP&amp;L'!E55</f>
        <v>-23.199999999999804</v>
      </c>
      <c r="H8" s="637">
        <f>'yrP&amp;L'!F55</f>
        <v>-26.01900000000019</v>
      </c>
      <c r="I8" s="637">
        <f>'yrP&amp;L'!G55</f>
        <v>-14.917000000000087</v>
      </c>
      <c r="J8" s="637">
        <f>'yrP&amp;L'!H55</f>
        <v>123.33200000000011</v>
      </c>
      <c r="K8" s="637">
        <f>'yrP&amp;L'!I55</f>
        <v>114.91100000000014</v>
      </c>
      <c r="L8" s="637">
        <f>'yrP&amp;L'!J55</f>
        <v>115.81599999999986</v>
      </c>
      <c r="M8" s="637">
        <f>'yrP&amp;L'!K55</f>
        <v>135.81500000000048</v>
      </c>
      <c r="N8" s="637">
        <f>'yrP&amp;L'!L55</f>
        <v>136.61900000000023</v>
      </c>
      <c r="O8" s="637">
        <f>'yrP&amp;L'!M55</f>
        <v>140.41800000000006</v>
      </c>
      <c r="P8" s="637">
        <f>'yrP&amp;L'!N55</f>
        <v>202.95800000000045</v>
      </c>
      <c r="Q8" s="637">
        <f>'yrP&amp;L'!O55</f>
        <v>165.11099999999982</v>
      </c>
      <c r="R8" s="637">
        <f>'yrP&amp;L'!P55</f>
        <v>147.50499999999997</v>
      </c>
      <c r="S8" s="637">
        <f>'yrP&amp;L'!Q55</f>
        <v>186.18499799999972</v>
      </c>
      <c r="T8" s="637">
        <f>'yrP&amp;L'!R55</f>
        <v>206.79588100000035</v>
      </c>
      <c r="U8" s="637">
        <f>'yrP&amp;L'!S55</f>
        <v>202.0510000000001</v>
      </c>
      <c r="V8" s="637">
        <f>'yrP&amp;L'!T55</f>
        <v>101.91800000000103</v>
      </c>
      <c r="W8" s="637">
        <f>'yrP&amp;L'!U55</f>
        <v>124.68800000000051</v>
      </c>
      <c r="X8" s="637">
        <f>'yrP&amp;L'!V55</f>
        <v>90.240999999999758</v>
      </c>
      <c r="Y8" s="637">
        <f>'yrP&amp;L'!W55</f>
        <v>242.88899999999893</v>
      </c>
      <c r="Z8" s="637">
        <f>'yrP&amp;L'!X55</f>
        <v>393.47499999999991</v>
      </c>
      <c r="AA8" s="637">
        <f>'yrP&amp;L'!Y55</f>
        <v>551.18021775831835</v>
      </c>
      <c r="AB8" s="637">
        <f>'yrP&amp;L'!Z55</f>
        <v>677.99899999999957</v>
      </c>
      <c r="AC8" s="637">
        <f>'yrP&amp;L'!AA55</f>
        <v>714.73100000000022</v>
      </c>
      <c r="AD8" s="637">
        <f>'yrP&amp;L'!AB55</f>
        <v>402.31699999999995</v>
      </c>
      <c r="AE8" s="637">
        <f>'yrP&amp;L'!AC55</f>
        <v>441</v>
      </c>
      <c r="AF8" s="637">
        <f>'yrP&amp;L'!AD55</f>
        <v>613</v>
      </c>
      <c r="AG8" s="637">
        <f>'yrP&amp;L'!AE55</f>
        <v>683</v>
      </c>
      <c r="AH8" s="637">
        <f>'yrP&amp;L'!AF55</f>
        <v>735</v>
      </c>
      <c r="AI8" s="637">
        <f>'yrP&amp;L'!AG55</f>
        <v>734</v>
      </c>
      <c r="AJ8" s="637">
        <f>'yrP&amp;L'!AH55</f>
        <v>720.5</v>
      </c>
      <c r="AK8" s="637">
        <f>'yrP&amp;L'!AI55</f>
        <v>600.74</v>
      </c>
      <c r="AL8" s="637">
        <f>'yrP&amp;L'!AJ55</f>
        <v>353.96000000000004</v>
      </c>
      <c r="AM8" s="637">
        <f>'yrP&amp;L'!AK55</f>
        <v>437.35</v>
      </c>
      <c r="AN8" s="637">
        <f>'yrP&amp;L'!AL55</f>
        <v>538.53757308170339</v>
      </c>
      <c r="AO8" s="637">
        <f>'yrP&amp;L'!AM55</f>
        <v>513.25007044342431</v>
      </c>
      <c r="AP8" s="637">
        <f>'yrP&amp;L'!AN55</f>
        <v>490.68056798942882</v>
      </c>
      <c r="AQ8" s="637">
        <f>'yrP&amp;L'!AO55</f>
        <v>468.13159167264405</v>
      </c>
      <c r="AR8" s="637">
        <f>'yrP&amp;L'!AP55</f>
        <v>454.34248699837246</v>
      </c>
      <c r="AS8" s="637"/>
      <c r="AT8" s="637"/>
      <c r="AU8" s="637"/>
      <c r="AV8" s="637"/>
    </row>
    <row r="9" spans="1:48" x14ac:dyDescent="0.2">
      <c r="D9" s="249"/>
      <c r="E9" s="642"/>
      <c r="F9" s="642"/>
      <c r="G9" s="642"/>
      <c r="H9" s="642"/>
      <c r="I9" s="642"/>
      <c r="J9" s="642"/>
      <c r="K9" s="642"/>
      <c r="L9" s="642"/>
      <c r="M9" s="642"/>
      <c r="N9" s="642"/>
      <c r="O9" s="642"/>
      <c r="P9" s="642"/>
      <c r="Q9" s="642"/>
      <c r="R9" s="642"/>
      <c r="S9" s="642"/>
      <c r="T9" s="642"/>
      <c r="U9" s="642"/>
      <c r="V9" s="642"/>
      <c r="W9" s="642"/>
      <c r="X9" s="642"/>
      <c r="Y9" s="642"/>
      <c r="Z9" s="642"/>
      <c r="AA9" s="642"/>
      <c r="AB9" s="642"/>
      <c r="AC9" s="642"/>
      <c r="AD9" s="642"/>
      <c r="AE9" s="642"/>
      <c r="AF9" s="642"/>
      <c r="AG9" s="642"/>
      <c r="AH9" s="643"/>
      <c r="AI9" s="643"/>
      <c r="AJ9" s="643"/>
      <c r="AK9" s="643"/>
      <c r="AL9" s="642"/>
      <c r="AM9" s="642"/>
      <c r="AN9" s="642"/>
      <c r="AO9" s="642"/>
      <c r="AP9" s="642"/>
      <c r="AQ9" s="642"/>
      <c r="AR9" s="642"/>
      <c r="AS9" s="642"/>
      <c r="AT9" s="642"/>
      <c r="AU9" s="642"/>
      <c r="AV9" s="642"/>
    </row>
    <row r="10" spans="1:48" x14ac:dyDescent="0.2">
      <c r="B10" s="239" t="s">
        <v>258</v>
      </c>
      <c r="D10" s="644"/>
      <c r="E10" s="645">
        <v>19.704999999999998</v>
      </c>
      <c r="F10" s="645">
        <v>26.367000000000001</v>
      </c>
      <c r="G10" s="645">
        <v>37.536999999999999</v>
      </c>
      <c r="H10" s="645">
        <v>46.835000000000001</v>
      </c>
      <c r="I10" s="645">
        <v>50.09</v>
      </c>
      <c r="J10" s="645">
        <v>60.598999999999997</v>
      </c>
      <c r="K10" s="645">
        <v>70.873000000000005</v>
      </c>
      <c r="L10" s="645">
        <v>85.614999999999995</v>
      </c>
      <c r="M10" s="645">
        <v>96.034000000000006</v>
      </c>
      <c r="N10" s="645">
        <v>102.76300000000001</v>
      </c>
      <c r="O10" s="645">
        <v>103.46599999999999</v>
      </c>
      <c r="P10" s="645">
        <v>110.789</v>
      </c>
      <c r="Q10" s="645">
        <v>134.34700000000001</v>
      </c>
      <c r="R10" s="645">
        <v>156.12200000000001</v>
      </c>
      <c r="S10" s="645">
        <v>159.72499999999999</v>
      </c>
      <c r="T10" s="645">
        <v>180.655</v>
      </c>
      <c r="U10" s="645">
        <v>193.71799999999999</v>
      </c>
      <c r="V10" s="645">
        <v>191.95</v>
      </c>
      <c r="W10" s="645">
        <v>213.089</v>
      </c>
      <c r="X10" s="645">
        <v>233.93100000000001</v>
      </c>
      <c r="Y10" s="645">
        <v>250.68299999999999</v>
      </c>
      <c r="Z10" s="645">
        <v>264.76900000000001</v>
      </c>
      <c r="AA10" s="645">
        <v>276.32799999999997</v>
      </c>
      <c r="AB10" s="645">
        <v>284.52</v>
      </c>
      <c r="AC10" s="645">
        <v>269</v>
      </c>
      <c r="AD10" s="645">
        <v>302</v>
      </c>
      <c r="AE10" s="645">
        <v>313</v>
      </c>
      <c r="AF10" s="1101">
        <v>327</v>
      </c>
      <c r="AG10" s="1101">
        <v>371</v>
      </c>
      <c r="AH10" s="1101">
        <v>429</v>
      </c>
      <c r="AI10" s="1101">
        <v>454</v>
      </c>
      <c r="AJ10" s="1101">
        <v>508</v>
      </c>
      <c r="AK10" s="1101">
        <v>576</v>
      </c>
      <c r="AL10" s="1101">
        <v>645</v>
      </c>
      <c r="AM10" s="1101">
        <v>666</v>
      </c>
      <c r="AN10" s="1110">
        <f>'qtrP&amp;L'!DL224</f>
        <v>642</v>
      </c>
      <c r="AO10" s="1110">
        <f>AN10-10</f>
        <v>632</v>
      </c>
      <c r="AP10" s="1110">
        <f>AO10-10</f>
        <v>622</v>
      </c>
      <c r="AQ10" s="1110">
        <f>AP10-10</f>
        <v>612</v>
      </c>
      <c r="AR10" s="1110">
        <f>AQ10-10</f>
        <v>602</v>
      </c>
      <c r="AS10" s="646"/>
      <c r="AT10" s="646"/>
      <c r="AU10" s="646"/>
      <c r="AV10" s="646"/>
    </row>
    <row r="11" spans="1:48" x14ac:dyDescent="0.2">
      <c r="A11" s="249"/>
      <c r="B11" s="249" t="s">
        <v>325</v>
      </c>
      <c r="C11" s="249"/>
      <c r="D11" s="249"/>
      <c r="E11" s="645"/>
      <c r="F11" s="645"/>
      <c r="G11" s="645"/>
      <c r="H11" s="645"/>
      <c r="I11" s="645"/>
      <c r="J11" s="645"/>
      <c r="K11" s="645"/>
      <c r="L11" s="645"/>
      <c r="M11" s="645"/>
      <c r="N11" s="645"/>
      <c r="O11" s="645"/>
      <c r="P11" s="645"/>
      <c r="Q11" s="645"/>
      <c r="R11" s="645"/>
      <c r="S11" s="645">
        <v>-1.8460000000000001</v>
      </c>
      <c r="T11" s="645">
        <v>6.5360000000000014</v>
      </c>
      <c r="U11" s="645">
        <v>-25.914999999999999</v>
      </c>
      <c r="V11" s="645">
        <v>46.33</v>
      </c>
      <c r="W11" s="645">
        <v>29.972000000000001</v>
      </c>
      <c r="X11" s="645">
        <v>65.183199999999999</v>
      </c>
      <c r="Y11" s="645">
        <v>28.355</v>
      </c>
      <c r="Z11" s="645">
        <v>18.214000000000002</v>
      </c>
      <c r="AA11" s="645">
        <v>30.706999999999997</v>
      </c>
      <c r="AB11" s="645">
        <v>-34.881999999999998</v>
      </c>
      <c r="AC11" s="645">
        <v>23</v>
      </c>
      <c r="AD11" s="645">
        <v>143</v>
      </c>
      <c r="AE11" s="645">
        <v>182</v>
      </c>
      <c r="AF11" s="1101">
        <v>138</v>
      </c>
      <c r="AG11" s="1101">
        <v>117</v>
      </c>
      <c r="AH11" s="1101">
        <f>-63+22+53+23-24+56</f>
        <v>67</v>
      </c>
      <c r="AI11" s="1101">
        <f>-58+12+58+21-23+52</f>
        <v>62</v>
      </c>
      <c r="AJ11" s="1101">
        <f>-76+7+68+20-22+41</f>
        <v>38</v>
      </c>
      <c r="AK11" s="1101">
        <f>+-79+142+70+15-15+26</f>
        <v>159</v>
      </c>
      <c r="AL11" s="1101">
        <f>-75-15+91-1-5+197</f>
        <v>192</v>
      </c>
      <c r="AM11" s="1101">
        <f>-82+11+77+39</f>
        <v>45</v>
      </c>
      <c r="AN11" s="647">
        <f>+bal!AO24-bal!AN24+bal!AO30-bal!AN30-(bal!AO19-bal!AN19)</f>
        <v>25</v>
      </c>
      <c r="AO11" s="647">
        <f>+bal!AP24-bal!AO24+bal!AP30-bal!AO30-(bal!AP19-bal!AO19)</f>
        <v>0</v>
      </c>
      <c r="AP11" s="647">
        <f>+bal!AQ24-bal!AP24+bal!AQ30-bal!AP30-(bal!AQ19-bal!AP19)</f>
        <v>0</v>
      </c>
      <c r="AQ11" s="647">
        <f>+bal!AR24-bal!AQ24+bal!AR30-bal!AQ30-(bal!AR19-bal!AQ19)</f>
        <v>0</v>
      </c>
      <c r="AR11" s="647">
        <f>+bal!AS24-bal!AR24+bal!AS30-bal!AR30-(bal!AS19-bal!AR19)</f>
        <v>0</v>
      </c>
      <c r="AS11" s="648"/>
      <c r="AT11" s="647"/>
      <c r="AU11" s="647"/>
      <c r="AV11" s="647"/>
    </row>
    <row r="12" spans="1:48" x14ac:dyDescent="0.2">
      <c r="B12" s="239" t="s">
        <v>326</v>
      </c>
      <c r="D12" s="249"/>
      <c r="E12" s="649"/>
      <c r="F12" s="649"/>
      <c r="G12" s="649"/>
      <c r="H12" s="649"/>
      <c r="I12" s="649"/>
      <c r="J12" s="649"/>
      <c r="K12" s="649"/>
      <c r="L12" s="649"/>
      <c r="M12" s="649"/>
      <c r="N12" s="649"/>
      <c r="O12" s="649"/>
      <c r="P12" s="649"/>
      <c r="Q12" s="649"/>
      <c r="R12" s="649"/>
      <c r="S12" s="649">
        <v>-4.9000000000000002E-2</v>
      </c>
      <c r="T12" s="649">
        <v>39.155999999999999</v>
      </c>
      <c r="U12" s="649">
        <v>114.458</v>
      </c>
      <c r="V12" s="649">
        <v>6.7520000000000016</v>
      </c>
      <c r="W12" s="649">
        <v>123.279</v>
      </c>
      <c r="X12" s="649">
        <v>-160.98400000000012</v>
      </c>
      <c r="Y12" s="649">
        <v>-51.282999999999923</v>
      </c>
      <c r="Z12" s="649">
        <v>136.81800000000013</v>
      </c>
      <c r="AA12" s="649">
        <v>-20.433999999999983</v>
      </c>
      <c r="AB12" s="649">
        <v>46.157000000000018</v>
      </c>
      <c r="AC12" s="649">
        <v>80</v>
      </c>
      <c r="AD12" s="649">
        <v>-229</v>
      </c>
      <c r="AE12" s="649">
        <v>-181</v>
      </c>
      <c r="AF12" s="1102">
        <v>-63</v>
      </c>
      <c r="AG12" s="1102">
        <v>-217</v>
      </c>
      <c r="AH12" s="1102">
        <f>200-42-14</f>
        <v>144</v>
      </c>
      <c r="AI12" s="1102">
        <f>0-6-13</f>
        <v>-19</v>
      </c>
      <c r="AJ12" s="1102">
        <f>-8-20</f>
        <v>-28</v>
      </c>
      <c r="AK12" s="1102">
        <f>34+14</f>
        <v>48</v>
      </c>
      <c r="AL12" s="1102">
        <v>0</v>
      </c>
      <c r="AM12" s="650">
        <v>0</v>
      </c>
      <c r="AN12" s="650">
        <v>0</v>
      </c>
      <c r="AO12" s="650">
        <v>0</v>
      </c>
      <c r="AP12" s="650">
        <v>0</v>
      </c>
      <c r="AQ12" s="650">
        <v>0</v>
      </c>
      <c r="AR12" s="650">
        <v>0</v>
      </c>
      <c r="AS12" s="644"/>
      <c r="AT12" s="644"/>
      <c r="AU12" s="644"/>
      <c r="AV12" s="644"/>
    </row>
    <row r="13" spans="1:48" x14ac:dyDescent="0.2">
      <c r="A13" s="239" t="s">
        <v>142</v>
      </c>
      <c r="D13" s="249"/>
      <c r="E13" s="651"/>
      <c r="F13" s="651"/>
      <c r="G13" s="651"/>
      <c r="H13" s="651"/>
      <c r="I13" s="651"/>
      <c r="J13" s="651"/>
      <c r="K13" s="651"/>
      <c r="L13" s="651"/>
      <c r="M13" s="651"/>
      <c r="N13" s="651"/>
      <c r="O13" s="651"/>
      <c r="P13" s="651"/>
      <c r="Q13" s="651"/>
      <c r="R13" s="651"/>
      <c r="S13" s="651">
        <f>SUM(S8:S12)</f>
        <v>344.01499799999976</v>
      </c>
      <c r="T13" s="651">
        <f t="shared" ref="T13:AM13" si="1">SUM(T8:T12)</f>
        <v>433.14288100000033</v>
      </c>
      <c r="U13" s="651">
        <f t="shared" si="1"/>
        <v>484.31200000000013</v>
      </c>
      <c r="V13" s="651">
        <f t="shared" si="1"/>
        <v>346.95000000000101</v>
      </c>
      <c r="W13" s="651">
        <f t="shared" si="1"/>
        <v>491.02800000000047</v>
      </c>
      <c r="X13" s="651">
        <f t="shared" si="1"/>
        <v>228.37119999999967</v>
      </c>
      <c r="Y13" s="651">
        <f t="shared" si="1"/>
        <v>470.64399999999898</v>
      </c>
      <c r="Z13" s="651">
        <f t="shared" si="1"/>
        <v>813.27600000000007</v>
      </c>
      <c r="AA13" s="651">
        <f t="shared" si="1"/>
        <v>837.78121775831835</v>
      </c>
      <c r="AB13" s="651">
        <f t="shared" si="1"/>
        <v>973.79399999999964</v>
      </c>
      <c r="AC13" s="651">
        <f t="shared" si="1"/>
        <v>1086.7310000000002</v>
      </c>
      <c r="AD13" s="651">
        <f t="shared" si="1"/>
        <v>618.31700000000001</v>
      </c>
      <c r="AE13" s="651">
        <f t="shared" si="1"/>
        <v>755</v>
      </c>
      <c r="AF13" s="651">
        <f t="shared" si="1"/>
        <v>1015</v>
      </c>
      <c r="AG13" s="651">
        <f t="shared" si="1"/>
        <v>954</v>
      </c>
      <c r="AH13" s="651">
        <f t="shared" si="1"/>
        <v>1375</v>
      </c>
      <c r="AI13" s="651">
        <f t="shared" si="1"/>
        <v>1231</v>
      </c>
      <c r="AJ13" s="651">
        <f t="shared" si="1"/>
        <v>1238.5</v>
      </c>
      <c r="AK13" s="651">
        <f>SUM(AK8:AK12)</f>
        <v>1383.74</v>
      </c>
      <c r="AL13" s="651">
        <f t="shared" si="1"/>
        <v>1190.96</v>
      </c>
      <c r="AM13" s="651">
        <f t="shared" si="1"/>
        <v>1148.3499999999999</v>
      </c>
      <c r="AN13" s="651">
        <f>SUM(AN8:AN12)</f>
        <v>1205.5375730817034</v>
      </c>
      <c r="AO13" s="651">
        <f>SUM(AO8:AO12)</f>
        <v>1145.2500704434242</v>
      </c>
      <c r="AP13" s="651">
        <f>SUM(AP8:AP12)</f>
        <v>1112.6805679894287</v>
      </c>
      <c r="AQ13" s="651">
        <f>SUM(AQ8:AQ12)</f>
        <v>1080.1315916726439</v>
      </c>
      <c r="AR13" s="651">
        <f>SUM(AR8:AR12)</f>
        <v>1056.3424869983724</v>
      </c>
      <c r="AS13" s="651"/>
      <c r="AT13" s="651"/>
      <c r="AU13" s="651"/>
      <c r="AV13" s="651"/>
    </row>
    <row r="14" spans="1:48" ht="4.5" customHeight="1" x14ac:dyDescent="0.2">
      <c r="D14" s="249"/>
      <c r="E14" s="298"/>
      <c r="F14" s="298"/>
      <c r="G14" s="298"/>
      <c r="H14" s="298"/>
      <c r="I14" s="298"/>
      <c r="J14" s="298"/>
      <c r="K14" s="298"/>
      <c r="L14" s="298"/>
      <c r="M14" s="298"/>
      <c r="N14" s="298"/>
      <c r="O14" s="298"/>
      <c r="P14" s="298"/>
      <c r="Q14" s="298"/>
      <c r="R14" s="298"/>
      <c r="S14" s="298"/>
      <c r="T14" s="298"/>
      <c r="U14" s="298"/>
      <c r="V14" s="298"/>
      <c r="W14" s="298"/>
      <c r="X14" s="298"/>
      <c r="Y14" s="298"/>
      <c r="Z14" s="298"/>
      <c r="AA14" s="298"/>
      <c r="AB14" s="300"/>
      <c r="AC14" s="300"/>
      <c r="AD14" s="300"/>
      <c r="AE14" s="300"/>
      <c r="AF14" s="300"/>
      <c r="AG14" s="300"/>
      <c r="AH14" s="300"/>
      <c r="AI14" s="300"/>
      <c r="AJ14" s="300"/>
      <c r="AK14" s="300"/>
      <c r="AL14" s="300"/>
      <c r="AM14" s="300"/>
      <c r="AN14" s="300"/>
      <c r="AO14" s="300"/>
      <c r="AP14" s="300"/>
      <c r="AQ14" s="300"/>
      <c r="AR14" s="300"/>
      <c r="AS14" s="300"/>
      <c r="AT14" s="300"/>
      <c r="AU14" s="300"/>
      <c r="AV14" s="300"/>
    </row>
    <row r="15" spans="1:48" x14ac:dyDescent="0.2">
      <c r="B15" s="239" t="s">
        <v>478</v>
      </c>
      <c r="D15" s="249"/>
      <c r="E15" s="652"/>
      <c r="F15" s="652"/>
      <c r="G15" s="652"/>
      <c r="H15" s="652"/>
      <c r="I15" s="652"/>
      <c r="J15" s="652"/>
      <c r="K15" s="652"/>
      <c r="L15" s="652"/>
      <c r="M15" s="652"/>
      <c r="N15" s="652"/>
      <c r="O15" s="652"/>
      <c r="P15" s="652"/>
      <c r="Q15" s="652"/>
      <c r="R15" s="652"/>
      <c r="S15" s="652">
        <v>-259.935</v>
      </c>
      <c r="T15" s="652">
        <v>-306.73700000000002</v>
      </c>
      <c r="U15" s="652">
        <v>-305.05200000000002</v>
      </c>
      <c r="V15" s="652">
        <v>-330.34699999999998</v>
      </c>
      <c r="W15" s="652">
        <v>-396.048</v>
      </c>
      <c r="X15" s="652">
        <v>-328.166</v>
      </c>
      <c r="Y15" s="652">
        <v>-258.31400000000002</v>
      </c>
      <c r="Z15" s="652">
        <v>-246.851</v>
      </c>
      <c r="AA15" s="652">
        <v>-271.65899999999999</v>
      </c>
      <c r="AB15" s="652">
        <v>-264.43700000000001</v>
      </c>
      <c r="AC15" s="652">
        <v>-501</v>
      </c>
      <c r="AD15" s="652">
        <v>-563</v>
      </c>
      <c r="AE15" s="652">
        <v>-360</v>
      </c>
      <c r="AF15" s="1103">
        <v>-399</v>
      </c>
      <c r="AG15" s="1103">
        <v>-511</v>
      </c>
      <c r="AH15" s="1103">
        <v>-513</v>
      </c>
      <c r="AI15" s="1103">
        <v>-803</v>
      </c>
      <c r="AJ15" s="1103">
        <v>-861</v>
      </c>
      <c r="AK15" s="1103">
        <v>-1082</v>
      </c>
      <c r="AL15" s="1103">
        <v>-846</v>
      </c>
      <c r="AM15" s="1103">
        <v>-731</v>
      </c>
      <c r="AN15" s="1111">
        <v>-740</v>
      </c>
      <c r="AO15" s="1111">
        <v>-620</v>
      </c>
      <c r="AP15" s="1111">
        <v>-620</v>
      </c>
      <c r="AQ15" s="1111">
        <v>-620</v>
      </c>
      <c r="AR15" s="1111">
        <v>-620</v>
      </c>
      <c r="AS15" s="653"/>
      <c r="AT15" s="653"/>
      <c r="AU15" s="653"/>
      <c r="AV15" s="653"/>
    </row>
    <row r="16" spans="1:48" ht="4.5" customHeight="1" x14ac:dyDescent="0.2">
      <c r="D16" s="249"/>
      <c r="E16" s="654"/>
      <c r="F16" s="654"/>
      <c r="G16" s="654"/>
      <c r="H16" s="654"/>
      <c r="I16" s="654"/>
      <c r="J16" s="654"/>
      <c r="K16" s="654"/>
      <c r="L16" s="654"/>
      <c r="M16" s="654"/>
      <c r="N16" s="654"/>
      <c r="O16" s="654"/>
      <c r="P16" s="654"/>
      <c r="Q16" s="654"/>
      <c r="R16" s="654"/>
      <c r="S16" s="654"/>
      <c r="T16" s="654"/>
      <c r="U16" s="654"/>
      <c r="V16" s="654"/>
      <c r="W16" s="654"/>
      <c r="X16" s="654"/>
      <c r="Y16" s="654"/>
      <c r="Z16" s="654"/>
      <c r="AA16" s="654"/>
      <c r="AB16" s="655"/>
      <c r="AC16" s="655"/>
      <c r="AD16" s="655"/>
      <c r="AE16" s="655"/>
      <c r="AF16" s="1104"/>
      <c r="AG16" s="1104"/>
      <c r="AH16" s="1104"/>
      <c r="AI16" s="1104"/>
      <c r="AJ16" s="1104"/>
      <c r="AK16" s="1104"/>
      <c r="AL16" s="1104"/>
      <c r="AM16" s="655"/>
      <c r="AN16" s="655"/>
      <c r="AO16" s="655"/>
      <c r="AP16" s="655"/>
      <c r="AQ16" s="655"/>
      <c r="AR16" s="655"/>
      <c r="AS16" s="655"/>
      <c r="AT16" s="655"/>
      <c r="AU16" s="655"/>
      <c r="AV16" s="655"/>
    </row>
    <row r="17" spans="1:48" x14ac:dyDescent="0.2">
      <c r="B17" s="239" t="s">
        <v>149</v>
      </c>
      <c r="D17" s="249"/>
      <c r="E17" s="654"/>
      <c r="F17" s="654"/>
      <c r="G17" s="654"/>
      <c r="H17" s="654"/>
      <c r="I17" s="654"/>
      <c r="J17" s="654"/>
      <c r="K17" s="654"/>
      <c r="L17" s="654"/>
      <c r="M17" s="654"/>
      <c r="N17" s="654"/>
      <c r="O17" s="654"/>
      <c r="P17" s="654"/>
      <c r="Q17" s="654"/>
      <c r="R17" s="654"/>
      <c r="S17" s="654"/>
      <c r="T17" s="654"/>
      <c r="U17" s="654"/>
      <c r="V17" s="654"/>
      <c r="W17" s="654"/>
      <c r="X17" s="654"/>
      <c r="Y17" s="654"/>
      <c r="Z17" s="654"/>
      <c r="AA17" s="654"/>
      <c r="AB17" s="655"/>
      <c r="AC17" s="655"/>
      <c r="AD17" s="655"/>
      <c r="AE17" s="655"/>
      <c r="AF17" s="1104"/>
      <c r="AG17" s="1104"/>
      <c r="AH17" s="1104"/>
      <c r="AI17" s="1105"/>
      <c r="AJ17" s="1104"/>
      <c r="AK17" s="1104"/>
      <c r="AL17" s="1104"/>
      <c r="AM17" s="655"/>
      <c r="AN17" s="655"/>
      <c r="AO17" s="655"/>
      <c r="AP17" s="655"/>
      <c r="AQ17" s="655"/>
      <c r="AR17" s="655"/>
      <c r="AS17" s="655"/>
      <c r="AT17" s="655"/>
      <c r="AU17" s="655"/>
      <c r="AV17" s="655"/>
    </row>
    <row r="18" spans="1:48" x14ac:dyDescent="0.2">
      <c r="B18" s="239" t="s">
        <v>15</v>
      </c>
      <c r="D18" s="249"/>
      <c r="E18" s="656"/>
      <c r="F18" s="656"/>
      <c r="G18" s="656"/>
      <c r="H18" s="656"/>
      <c r="I18" s="656"/>
      <c r="J18" s="656"/>
      <c r="K18" s="656"/>
      <c r="L18" s="656"/>
      <c r="M18" s="656"/>
      <c r="N18" s="656"/>
      <c r="O18" s="656"/>
      <c r="P18" s="656"/>
      <c r="Q18" s="656"/>
      <c r="R18" s="656"/>
      <c r="S18" s="656">
        <v>50.1</v>
      </c>
      <c r="T18" s="656">
        <v>77.313000000000002</v>
      </c>
      <c r="U18" s="656">
        <v>-29.853999999999999</v>
      </c>
      <c r="V18" s="656">
        <v>-102.94499999999999</v>
      </c>
      <c r="W18" s="656">
        <v>28.167999999999999</v>
      </c>
      <c r="X18" s="656">
        <v>-24.227</v>
      </c>
      <c r="Y18" s="656">
        <v>-30.677</v>
      </c>
      <c r="Z18" s="656">
        <v>-2.95</v>
      </c>
      <c r="AA18" s="656">
        <v>-15.14</v>
      </c>
      <c r="AB18" s="656">
        <v>-61.301000000000002</v>
      </c>
      <c r="AC18" s="656">
        <v>-1083</v>
      </c>
      <c r="AD18" s="656">
        <v>-93</v>
      </c>
      <c r="AE18" s="656">
        <v>-159</v>
      </c>
      <c r="AF18" s="1106">
        <v>-74</v>
      </c>
      <c r="AG18" s="1106">
        <v>-98</v>
      </c>
      <c r="AH18" s="1106">
        <v>-113</v>
      </c>
      <c r="AI18" s="1106">
        <v>-93</v>
      </c>
      <c r="AJ18" s="1106">
        <v>-161</v>
      </c>
      <c r="AK18" s="1106">
        <v>-56</v>
      </c>
      <c r="AL18" s="1106">
        <v>-3</v>
      </c>
      <c r="AM18" s="1101">
        <v>1</v>
      </c>
      <c r="AN18" s="296">
        <f>-bal!AO10+bal!AN10</f>
        <v>-81.711801841995708</v>
      </c>
      <c r="AO18" s="296">
        <f>-bal!AP10+bal!AO10</f>
        <v>-6.9408674721552188</v>
      </c>
      <c r="AP18" s="296">
        <f>-bal!AQ10+bal!AP10</f>
        <v>-5.9919096655546298</v>
      </c>
      <c r="AQ18" s="296">
        <f>-bal!AR10+bal!AQ10</f>
        <v>-5.8966241496388818</v>
      </c>
      <c r="AR18" s="296">
        <f>-bal!AS10+bal!AR10</f>
        <v>-4.3642305190409445</v>
      </c>
      <c r="AS18" s="296"/>
      <c r="AT18" s="296"/>
      <c r="AU18" s="296"/>
      <c r="AV18" s="296"/>
    </row>
    <row r="19" spans="1:48" x14ac:dyDescent="0.2">
      <c r="B19" s="239" t="s">
        <v>10</v>
      </c>
      <c r="D19" s="249"/>
      <c r="E19" s="645"/>
      <c r="F19" s="645"/>
      <c r="G19" s="645"/>
      <c r="H19" s="645"/>
      <c r="I19" s="645"/>
      <c r="J19" s="645"/>
      <c r="K19" s="645"/>
      <c r="L19" s="645"/>
      <c r="M19" s="645"/>
      <c r="N19" s="645"/>
      <c r="O19" s="645"/>
      <c r="P19" s="645"/>
      <c r="Q19" s="645"/>
      <c r="R19" s="645"/>
      <c r="S19" s="645">
        <v>-106.126</v>
      </c>
      <c r="T19" s="645">
        <v>75.775999999999996</v>
      </c>
      <c r="U19" s="645">
        <v>79.894000000000005</v>
      </c>
      <c r="V19" s="645">
        <v>-120.729</v>
      </c>
      <c r="W19" s="645">
        <v>80.245999999999995</v>
      </c>
      <c r="X19" s="645">
        <v>-117.379</v>
      </c>
      <c r="Y19" s="645">
        <v>28.213000000000001</v>
      </c>
      <c r="Z19" s="645">
        <v>-11.771000000000001</v>
      </c>
      <c r="AA19" s="645">
        <v>-20.803999999999998</v>
      </c>
      <c r="AB19" s="645">
        <v>-38.649000000000001</v>
      </c>
      <c r="AC19" s="645">
        <v>0</v>
      </c>
      <c r="AD19" s="645">
        <v>53</v>
      </c>
      <c r="AE19" s="645">
        <v>-1</v>
      </c>
      <c r="AF19" s="1101">
        <v>-80</v>
      </c>
      <c r="AG19" s="1101">
        <v>-137</v>
      </c>
      <c r="AH19" s="1106">
        <v>-170</v>
      </c>
      <c r="AI19" s="1106">
        <v>-157</v>
      </c>
      <c r="AJ19" s="1106">
        <v>-176</v>
      </c>
      <c r="AK19" s="1106">
        <v>-203</v>
      </c>
      <c r="AL19" s="1106">
        <v>31</v>
      </c>
      <c r="AM19" s="1101">
        <v>-62</v>
      </c>
      <c r="AN19" s="296">
        <f>-bal!AO11+bal!AN11</f>
        <v>-83.202487315673352</v>
      </c>
      <c r="AO19" s="296">
        <f>-bal!AP11+bal!AO11</f>
        <v>-73.402860661007253</v>
      </c>
      <c r="AP19" s="296">
        <f>-bal!AQ11+bal!AP11</f>
        <v>-66.248965285974009</v>
      </c>
      <c r="AQ19" s="296">
        <f>-bal!AR11+bal!AQ11</f>
        <v>-66.213085254886664</v>
      </c>
      <c r="AR19" s="296">
        <f>-bal!AS11+bal!AR11</f>
        <v>-48.292537108233773</v>
      </c>
      <c r="AS19" s="296"/>
      <c r="AT19" s="296"/>
      <c r="AU19" s="296"/>
      <c r="AV19" s="296"/>
    </row>
    <row r="20" spans="1:48" x14ac:dyDescent="0.2">
      <c r="B20" s="239" t="s">
        <v>240</v>
      </c>
      <c r="D20" s="249"/>
      <c r="E20" s="645"/>
      <c r="F20" s="645"/>
      <c r="G20" s="645"/>
      <c r="H20" s="645"/>
      <c r="I20" s="645"/>
      <c r="J20" s="645"/>
      <c r="K20" s="645"/>
      <c r="L20" s="645"/>
      <c r="M20" s="645"/>
      <c r="N20" s="645"/>
      <c r="O20" s="645"/>
      <c r="P20" s="645"/>
      <c r="Q20" s="645"/>
      <c r="R20" s="645"/>
      <c r="S20" s="645">
        <v>-11.616</v>
      </c>
      <c r="T20" s="645">
        <v>15.356999999999999</v>
      </c>
      <c r="U20" s="645">
        <v>-15.856000000000002</v>
      </c>
      <c r="V20" s="645">
        <v>-5.0120000000000005</v>
      </c>
      <c r="W20" s="645">
        <v>-24.683</v>
      </c>
      <c r="X20" s="645">
        <v>-63.662000000000006</v>
      </c>
      <c r="Y20" s="645">
        <v>-151.28700000000001</v>
      </c>
      <c r="Z20" s="645">
        <v>-161.27600000000001</v>
      </c>
      <c r="AA20" s="645">
        <v>-140.298</v>
      </c>
      <c r="AB20" s="645">
        <v>115.6</v>
      </c>
      <c r="AC20" s="645">
        <v>384</v>
      </c>
      <c r="AD20" s="645">
        <v>38</v>
      </c>
      <c r="AE20" s="645">
        <v>-38</v>
      </c>
      <c r="AF20" s="1101">
        <v>1</v>
      </c>
      <c r="AG20" s="1101">
        <v>0</v>
      </c>
      <c r="AH20" s="1106">
        <v>5</v>
      </c>
      <c r="AI20" s="1106">
        <v>-6</v>
      </c>
      <c r="AJ20" s="1106">
        <v>-4</v>
      </c>
      <c r="AK20" s="1106">
        <v>-126</v>
      </c>
      <c r="AL20" s="1106">
        <v>100</v>
      </c>
      <c r="AM20" s="1101">
        <v>-21</v>
      </c>
      <c r="AN20" s="644">
        <v>0</v>
      </c>
      <c r="AO20" s="644">
        <v>0</v>
      </c>
      <c r="AP20" s="644">
        <v>0</v>
      </c>
      <c r="AQ20" s="644">
        <v>0</v>
      </c>
      <c r="AR20" s="644">
        <v>0</v>
      </c>
      <c r="AS20" s="644"/>
      <c r="AT20" s="644"/>
      <c r="AU20" s="644"/>
      <c r="AV20" s="644"/>
    </row>
    <row r="21" spans="1:48" x14ac:dyDescent="0.2">
      <c r="B21" s="239" t="s">
        <v>150</v>
      </c>
      <c r="D21" s="249"/>
      <c r="E21" s="645"/>
      <c r="F21" s="645"/>
      <c r="G21" s="645"/>
      <c r="H21" s="645"/>
      <c r="I21" s="645"/>
      <c r="J21" s="645"/>
      <c r="K21" s="645"/>
      <c r="L21" s="645"/>
      <c r="M21" s="645"/>
      <c r="N21" s="645"/>
      <c r="O21" s="645"/>
      <c r="P21" s="645"/>
      <c r="Q21" s="645"/>
      <c r="R21" s="645"/>
      <c r="S21" s="645"/>
      <c r="T21" s="645"/>
      <c r="U21" s="645"/>
      <c r="V21" s="645"/>
      <c r="W21" s="645"/>
      <c r="X21" s="645"/>
      <c r="Y21" s="645"/>
      <c r="Z21" s="645"/>
      <c r="AA21" s="645"/>
      <c r="AB21" s="645"/>
      <c r="AC21" s="645"/>
      <c r="AD21" s="645"/>
      <c r="AE21" s="645"/>
      <c r="AF21" s="1101"/>
      <c r="AG21" s="1101"/>
      <c r="AH21" s="1101"/>
      <c r="AI21" s="1101"/>
      <c r="AJ21" s="1101"/>
      <c r="AK21" s="1101"/>
      <c r="AL21" s="1101"/>
      <c r="AM21" s="645"/>
      <c r="AN21" s="645"/>
      <c r="AO21" s="645"/>
      <c r="AP21" s="645"/>
      <c r="AQ21" s="645"/>
      <c r="AR21" s="645"/>
      <c r="AS21" s="645"/>
      <c r="AT21" s="645"/>
      <c r="AU21" s="645"/>
      <c r="AV21" s="645"/>
    </row>
    <row r="22" spans="1:48" x14ac:dyDescent="0.2">
      <c r="B22" s="239" t="s">
        <v>341</v>
      </c>
      <c r="D22" s="249"/>
      <c r="E22" s="656"/>
      <c r="F22" s="656"/>
      <c r="G22" s="656"/>
      <c r="H22" s="656"/>
      <c r="I22" s="656"/>
      <c r="J22" s="656"/>
      <c r="K22" s="656"/>
      <c r="L22" s="656"/>
      <c r="M22" s="656"/>
      <c r="N22" s="656"/>
      <c r="O22" s="656"/>
      <c r="P22" s="656"/>
      <c r="Q22" s="656"/>
      <c r="R22" s="656"/>
      <c r="S22" s="656">
        <v>10.881</v>
      </c>
      <c r="T22" s="656">
        <v>18.324000000000002</v>
      </c>
      <c r="U22" s="656">
        <v>-76.417000000000002</v>
      </c>
      <c r="V22" s="656">
        <v>58.212000000000003</v>
      </c>
      <c r="W22" s="656">
        <v>-11.85</v>
      </c>
      <c r="X22" s="656">
        <v>6.1029999999999998</v>
      </c>
      <c r="Y22" s="656">
        <v>75.736000000000004</v>
      </c>
      <c r="Z22" s="656">
        <v>23.93</v>
      </c>
      <c r="AA22" s="656">
        <v>31.721</v>
      </c>
      <c r="AB22" s="656">
        <v>84.290999999999997</v>
      </c>
      <c r="AC22" s="656">
        <v>-19</v>
      </c>
      <c r="AD22" s="656">
        <v>16</v>
      </c>
      <c r="AE22" s="656">
        <v>168</v>
      </c>
      <c r="AF22" s="1106">
        <v>72</v>
      </c>
      <c r="AG22" s="1106">
        <v>54</v>
      </c>
      <c r="AH22" s="1106">
        <v>48</v>
      </c>
      <c r="AI22" s="1106">
        <v>167</v>
      </c>
      <c r="AJ22" s="1106">
        <v>15</v>
      </c>
      <c r="AK22" s="1106">
        <v>-2</v>
      </c>
      <c r="AL22" s="1106">
        <v>16</v>
      </c>
      <c r="AM22" s="1101">
        <v>77</v>
      </c>
      <c r="AN22" s="296">
        <f>bal!AO23-bal!AN23</f>
        <v>43.477036723774972</v>
      </c>
      <c r="AO22" s="296">
        <f>bal!AP23-bal!AO23</f>
        <v>50.524046948485648</v>
      </c>
      <c r="AP22" s="296">
        <f>bal!AQ23-bal!AP23</f>
        <v>45.599937144891328</v>
      </c>
      <c r="AQ22" s="296">
        <f>bal!AR23-bal!AQ23</f>
        <v>45.575240500116706</v>
      </c>
      <c r="AR22" s="296">
        <f>bal!AS23-bal!AR23</f>
        <v>33.240317749822907</v>
      </c>
      <c r="AS22" s="296"/>
      <c r="AT22" s="296"/>
      <c r="AU22" s="296"/>
      <c r="AV22" s="296"/>
    </row>
    <row r="23" spans="1:48" x14ac:dyDescent="0.2">
      <c r="B23" s="239" t="s">
        <v>259</v>
      </c>
      <c r="D23" s="249"/>
      <c r="E23" s="645"/>
      <c r="F23" s="645"/>
      <c r="G23" s="645"/>
      <c r="H23" s="645"/>
      <c r="I23" s="645"/>
      <c r="J23" s="645"/>
      <c r="K23" s="645"/>
      <c r="L23" s="645"/>
      <c r="M23" s="645"/>
      <c r="N23" s="645"/>
      <c r="O23" s="645"/>
      <c r="P23" s="645"/>
      <c r="Q23" s="645"/>
      <c r="R23" s="645"/>
      <c r="S23" s="645">
        <v>14.04</v>
      </c>
      <c r="T23" s="645">
        <v>20.625999999999998</v>
      </c>
      <c r="U23" s="645">
        <v>41.119</v>
      </c>
      <c r="V23" s="645">
        <v>15.975</v>
      </c>
      <c r="W23" s="645">
        <v>1.9450000000000001</v>
      </c>
      <c r="X23" s="645">
        <v>200.89699999999999</v>
      </c>
      <c r="Y23" s="645">
        <v>155.41800000000001</v>
      </c>
      <c r="Z23" s="645">
        <v>81.48</v>
      </c>
      <c r="AA23" s="645">
        <v>62.378999999999998</v>
      </c>
      <c r="AB23" s="645">
        <v>114.78700000000001</v>
      </c>
      <c r="AC23" s="645">
        <v>23</v>
      </c>
      <c r="AD23" s="645">
        <v>-12</v>
      </c>
      <c r="AE23" s="645">
        <v>345</v>
      </c>
      <c r="AF23" s="1101">
        <v>180</v>
      </c>
      <c r="AG23" s="1101">
        <v>187</v>
      </c>
      <c r="AH23" s="1101">
        <f>13+36+58+2</f>
        <v>109</v>
      </c>
      <c r="AI23" s="1101">
        <f>-12+60+89+22</f>
        <v>159</v>
      </c>
      <c r="AJ23" s="1101">
        <f>18+155+110-3</f>
        <v>280</v>
      </c>
      <c r="AK23" s="1101">
        <f>+-2+50+156+2</f>
        <v>206</v>
      </c>
      <c r="AL23" s="1101">
        <f>33+181+65+34</f>
        <v>313</v>
      </c>
      <c r="AM23" s="1101">
        <f>121+48+64+24</f>
        <v>257</v>
      </c>
      <c r="AN23" s="296">
        <f>-bal!AO12+bal!AN12</f>
        <v>5.7392164734095275</v>
      </c>
      <c r="AO23" s="296">
        <f>-bal!AP12+bal!AO12</f>
        <v>3.017270702150455</v>
      </c>
      <c r="AP23" s="296">
        <f>-bal!AQ12+bal!AP12</f>
        <v>3.6211601648519434</v>
      </c>
      <c r="AQ23" s="296">
        <f>-bal!AR12+bal!AQ12</f>
        <v>3.6641371901344826</v>
      </c>
      <c r="AR23" s="296">
        <f>-bal!AS12+bal!AR12</f>
        <v>4.4359958747170367</v>
      </c>
      <c r="AS23" s="296"/>
      <c r="AT23" s="296"/>
      <c r="AU23" s="296"/>
      <c r="AV23" s="296"/>
    </row>
    <row r="24" spans="1:48" x14ac:dyDescent="0.2">
      <c r="B24" s="239" t="s">
        <v>143</v>
      </c>
      <c r="D24" s="249"/>
      <c r="E24" s="651"/>
      <c r="F24" s="651"/>
      <c r="G24" s="651"/>
      <c r="H24" s="651"/>
      <c r="I24" s="651"/>
      <c r="J24" s="651"/>
      <c r="K24" s="651"/>
      <c r="L24" s="651"/>
      <c r="M24" s="651"/>
      <c r="N24" s="651"/>
      <c r="O24" s="651"/>
      <c r="P24" s="651"/>
      <c r="Q24" s="651"/>
      <c r="R24" s="651"/>
      <c r="S24" s="651">
        <f t="shared" ref="S24:AG24" si="2">SUM(S18:S23)</f>
        <v>-42.720999999999997</v>
      </c>
      <c r="T24" s="651">
        <f t="shared" si="2"/>
        <v>207.39600000000002</v>
      </c>
      <c r="U24" s="651">
        <f t="shared" si="2"/>
        <v>-1.1139999999999972</v>
      </c>
      <c r="V24" s="651">
        <f t="shared" si="2"/>
        <v>-154.499</v>
      </c>
      <c r="W24" s="651">
        <f t="shared" si="2"/>
        <v>73.825999999999993</v>
      </c>
      <c r="X24" s="651">
        <f t="shared" si="2"/>
        <v>1.7319999999999993</v>
      </c>
      <c r="Y24" s="651">
        <f t="shared" si="2"/>
        <v>77.403000000000006</v>
      </c>
      <c r="Z24" s="651">
        <f t="shared" si="2"/>
        <v>-70.587000000000003</v>
      </c>
      <c r="AA24" s="651">
        <f t="shared" si="2"/>
        <v>-82.142000000000024</v>
      </c>
      <c r="AB24" s="657">
        <f t="shared" si="2"/>
        <v>214.72800000000001</v>
      </c>
      <c r="AC24" s="657">
        <f t="shared" si="2"/>
        <v>-695</v>
      </c>
      <c r="AD24" s="657">
        <f t="shared" si="2"/>
        <v>2</v>
      </c>
      <c r="AE24" s="657">
        <f t="shared" si="2"/>
        <v>315</v>
      </c>
      <c r="AF24" s="657">
        <f t="shared" si="2"/>
        <v>99</v>
      </c>
      <c r="AG24" s="657">
        <f t="shared" si="2"/>
        <v>6</v>
      </c>
      <c r="AH24" s="657">
        <f t="shared" ref="AH24:AO24" si="3">SUM(AH18:AH23)</f>
        <v>-121</v>
      </c>
      <c r="AI24" s="657">
        <f t="shared" si="3"/>
        <v>70</v>
      </c>
      <c r="AJ24" s="657">
        <f t="shared" si="3"/>
        <v>-46</v>
      </c>
      <c r="AK24" s="657">
        <f t="shared" si="3"/>
        <v>-181</v>
      </c>
      <c r="AL24" s="657">
        <f t="shared" si="3"/>
        <v>457</v>
      </c>
      <c r="AM24" s="657">
        <f t="shared" si="3"/>
        <v>252</v>
      </c>
      <c r="AN24" s="657">
        <f t="shared" si="3"/>
        <v>-115.69803596048456</v>
      </c>
      <c r="AO24" s="657">
        <f t="shared" si="3"/>
        <v>-26.802410482526369</v>
      </c>
      <c r="AP24" s="657">
        <f>SUM(AP18:AP23)</f>
        <v>-23.019777641785367</v>
      </c>
      <c r="AQ24" s="657">
        <f>SUM(AQ18:AQ23)</f>
        <v>-22.870331714274357</v>
      </c>
      <c r="AR24" s="657">
        <f>SUM(AR18:AR23)</f>
        <v>-14.980454002734774</v>
      </c>
      <c r="AS24" s="657"/>
      <c r="AT24" s="657"/>
      <c r="AU24" s="657"/>
      <c r="AV24" s="657"/>
    </row>
    <row r="25" spans="1:48" ht="4.5" customHeight="1" x14ac:dyDescent="0.2">
      <c r="D25" s="249"/>
      <c r="E25" s="298"/>
      <c r="F25" s="298"/>
      <c r="G25" s="298"/>
      <c r="H25" s="298"/>
      <c r="I25" s="298"/>
      <c r="J25" s="298"/>
      <c r="K25" s="298"/>
      <c r="L25" s="298"/>
      <c r="M25" s="298"/>
      <c r="N25" s="298"/>
      <c r="O25" s="298"/>
      <c r="P25" s="298"/>
      <c r="Q25" s="298"/>
      <c r="R25" s="298"/>
      <c r="S25" s="298"/>
      <c r="T25" s="298"/>
      <c r="U25" s="298"/>
      <c r="V25" s="298"/>
      <c r="W25" s="298"/>
      <c r="X25" s="298"/>
      <c r="Y25" s="298"/>
      <c r="Z25" s="298"/>
      <c r="AA25" s="298"/>
      <c r="AB25" s="300"/>
      <c r="AC25" s="300"/>
      <c r="AD25" s="300"/>
      <c r="AE25" s="300"/>
      <c r="AF25" s="300"/>
      <c r="AG25" s="300"/>
      <c r="AH25" s="300"/>
      <c r="AI25" s="300"/>
      <c r="AJ25" s="300"/>
      <c r="AK25" s="300"/>
      <c r="AL25" s="300"/>
      <c r="AM25" s="300"/>
      <c r="AN25" s="300"/>
      <c r="AO25" s="300"/>
      <c r="AP25" s="300"/>
      <c r="AQ25" s="300"/>
      <c r="AR25" s="300"/>
      <c r="AS25" s="300"/>
      <c r="AT25" s="300"/>
      <c r="AU25" s="300"/>
      <c r="AV25" s="300"/>
    </row>
    <row r="26" spans="1:48" x14ac:dyDescent="0.2">
      <c r="A26" s="239" t="s">
        <v>144</v>
      </c>
      <c r="D26" s="249"/>
      <c r="E26" s="298"/>
      <c r="F26" s="298"/>
      <c r="G26" s="298"/>
      <c r="H26" s="298"/>
      <c r="I26" s="298"/>
      <c r="J26" s="298"/>
      <c r="K26" s="298"/>
      <c r="L26" s="298"/>
      <c r="M26" s="298"/>
      <c r="N26" s="298"/>
      <c r="O26" s="298"/>
      <c r="P26" s="298"/>
      <c r="Q26" s="298"/>
      <c r="R26" s="298"/>
      <c r="S26" s="298">
        <f>SUM(S15:S15)+S24</f>
        <v>-302.65600000000001</v>
      </c>
      <c r="T26" s="298">
        <f t="shared" ref="T26:AG26" si="4">SUM(T15:T15)+T24</f>
        <v>-99.341000000000008</v>
      </c>
      <c r="U26" s="298">
        <f t="shared" si="4"/>
        <v>-306.166</v>
      </c>
      <c r="V26" s="298">
        <f t="shared" si="4"/>
        <v>-484.846</v>
      </c>
      <c r="W26" s="298">
        <f t="shared" si="4"/>
        <v>-322.22199999999998</v>
      </c>
      <c r="X26" s="298">
        <f t="shared" si="4"/>
        <v>-326.43399999999997</v>
      </c>
      <c r="Y26" s="298">
        <f t="shared" si="4"/>
        <v>-180.911</v>
      </c>
      <c r="Z26" s="298">
        <f t="shared" si="4"/>
        <v>-317.43799999999999</v>
      </c>
      <c r="AA26" s="298">
        <f t="shared" si="4"/>
        <v>-353.80100000000004</v>
      </c>
      <c r="AB26" s="300">
        <f t="shared" si="4"/>
        <v>-49.709000000000003</v>
      </c>
      <c r="AC26" s="300">
        <f t="shared" si="4"/>
        <v>-1196</v>
      </c>
      <c r="AD26" s="300">
        <f t="shared" si="4"/>
        <v>-561</v>
      </c>
      <c r="AE26" s="300">
        <f t="shared" si="4"/>
        <v>-45</v>
      </c>
      <c r="AF26" s="300">
        <f t="shared" si="4"/>
        <v>-300</v>
      </c>
      <c r="AG26" s="300">
        <f t="shared" si="4"/>
        <v>-505</v>
      </c>
      <c r="AH26" s="300">
        <f t="shared" ref="AH26:AM26" si="5">SUM(AH15:AH15)+AH24</f>
        <v>-634</v>
      </c>
      <c r="AI26" s="300">
        <f t="shared" si="5"/>
        <v>-733</v>
      </c>
      <c r="AJ26" s="300">
        <f>SUM(AJ15:AJ15)+AJ24</f>
        <v>-907</v>
      </c>
      <c r="AK26" s="300">
        <f>SUM(AK15:AK15)+AK24</f>
        <v>-1263</v>
      </c>
      <c r="AL26" s="300">
        <f t="shared" si="5"/>
        <v>-389</v>
      </c>
      <c r="AM26" s="300">
        <f t="shared" si="5"/>
        <v>-479</v>
      </c>
      <c r="AN26" s="300">
        <f>SUM(AN15:AN15)+AN24</f>
        <v>-855.6980359604845</v>
      </c>
      <c r="AO26" s="300">
        <f>SUM(AO15:AO15)+AO24</f>
        <v>-646.8024104825264</v>
      </c>
      <c r="AP26" s="300">
        <f>SUM(AP15:AP15)+AP24</f>
        <v>-643.01977764178537</v>
      </c>
      <c r="AQ26" s="300">
        <f>SUM(AQ15:AQ15)+AQ24</f>
        <v>-642.87033171427436</v>
      </c>
      <c r="AR26" s="300">
        <f>SUM(AR15:AR15)+AR24</f>
        <v>-634.98045400273475</v>
      </c>
      <c r="AS26" s="300"/>
      <c r="AT26" s="300"/>
      <c r="AU26" s="300"/>
      <c r="AV26" s="300"/>
    </row>
    <row r="27" spans="1:48" ht="4.5" customHeight="1" x14ac:dyDescent="0.2">
      <c r="D27" s="249"/>
      <c r="E27" s="298"/>
      <c r="F27" s="298"/>
      <c r="G27" s="298"/>
      <c r="H27" s="298"/>
      <c r="I27" s="298"/>
      <c r="J27" s="298"/>
      <c r="K27" s="298"/>
      <c r="L27" s="298"/>
      <c r="M27" s="298"/>
      <c r="N27" s="298"/>
      <c r="O27" s="298"/>
      <c r="P27" s="298"/>
      <c r="Q27" s="298"/>
      <c r="R27" s="298"/>
      <c r="S27" s="298"/>
      <c r="T27" s="298"/>
      <c r="U27" s="298"/>
      <c r="V27" s="298"/>
      <c r="W27" s="298"/>
      <c r="X27" s="298"/>
      <c r="Y27" s="298"/>
      <c r="Z27" s="298"/>
      <c r="AA27" s="298"/>
      <c r="AB27" s="300"/>
      <c r="AC27" s="300"/>
      <c r="AD27" s="300"/>
      <c r="AE27" s="300"/>
      <c r="AF27" s="300"/>
      <c r="AG27" s="300"/>
      <c r="AH27" s="300"/>
      <c r="AI27" s="300"/>
      <c r="AJ27" s="300"/>
      <c r="AK27" s="300"/>
      <c r="AL27" s="300"/>
      <c r="AM27" s="300"/>
      <c r="AN27" s="300"/>
      <c r="AO27" s="300"/>
      <c r="AP27" s="300"/>
      <c r="AQ27" s="300"/>
      <c r="AR27" s="300"/>
      <c r="AS27" s="300"/>
      <c r="AT27" s="300"/>
      <c r="AU27" s="300"/>
      <c r="AV27" s="300"/>
    </row>
    <row r="28" spans="1:48" x14ac:dyDescent="0.2">
      <c r="A28" s="671" t="s">
        <v>145</v>
      </c>
      <c r="B28" s="671"/>
      <c r="C28" s="671"/>
      <c r="D28" s="672"/>
      <c r="E28" s="672"/>
      <c r="F28" s="672"/>
      <c r="G28" s="672"/>
      <c r="H28" s="672"/>
      <c r="I28" s="672"/>
      <c r="J28" s="672"/>
      <c r="K28" s="672"/>
      <c r="L28" s="672"/>
      <c r="M28" s="672"/>
      <c r="N28" s="672"/>
      <c r="O28" s="672"/>
      <c r="P28" s="672"/>
      <c r="Q28" s="672"/>
      <c r="R28" s="672"/>
      <c r="S28" s="672">
        <f>S13+S15+S24</f>
        <v>41.358997999999765</v>
      </c>
      <c r="T28" s="672">
        <f t="shared" ref="T28:AG28" si="6">T13+T15+T24</f>
        <v>333.80188100000032</v>
      </c>
      <c r="U28" s="672">
        <f t="shared" si="6"/>
        <v>178.1460000000001</v>
      </c>
      <c r="V28" s="672">
        <f t="shared" si="6"/>
        <v>-137.89599999999896</v>
      </c>
      <c r="W28" s="672">
        <f t="shared" si="6"/>
        <v>168.80600000000047</v>
      </c>
      <c r="X28" s="672">
        <f t="shared" si="6"/>
        <v>-98.062800000000323</v>
      </c>
      <c r="Y28" s="672">
        <f t="shared" si="6"/>
        <v>289.73299999999898</v>
      </c>
      <c r="Z28" s="672">
        <f t="shared" si="6"/>
        <v>495.83800000000008</v>
      </c>
      <c r="AA28" s="672">
        <f t="shared" si="6"/>
        <v>483.9802177583183</v>
      </c>
      <c r="AB28" s="672">
        <f t="shared" si="6"/>
        <v>924.08499999999958</v>
      </c>
      <c r="AC28" s="672">
        <f t="shared" si="6"/>
        <v>-109.26899999999978</v>
      </c>
      <c r="AD28" s="672">
        <f t="shared" si="6"/>
        <v>57.317000000000007</v>
      </c>
      <c r="AE28" s="672">
        <f t="shared" si="6"/>
        <v>710</v>
      </c>
      <c r="AF28" s="672">
        <f t="shared" si="6"/>
        <v>715</v>
      </c>
      <c r="AG28" s="672">
        <f t="shared" si="6"/>
        <v>449</v>
      </c>
      <c r="AH28" s="672">
        <f t="shared" ref="AH28:AM28" si="7">AH13+AH15+AH24</f>
        <v>741</v>
      </c>
      <c r="AI28" s="672">
        <f t="shared" si="7"/>
        <v>498</v>
      </c>
      <c r="AJ28" s="672">
        <f t="shared" si="7"/>
        <v>331.5</v>
      </c>
      <c r="AK28" s="672">
        <f>AK13+AK15+AK24</f>
        <v>120.74000000000001</v>
      </c>
      <c r="AL28" s="672">
        <f t="shared" si="7"/>
        <v>801.96</v>
      </c>
      <c r="AM28" s="672">
        <f t="shared" si="7"/>
        <v>669.34999999999991</v>
      </c>
      <c r="AN28" s="672">
        <f>AN13+AN15+AN24</f>
        <v>349.83953712121883</v>
      </c>
      <c r="AO28" s="672">
        <f>AO13+AO15+AO24</f>
        <v>498.44765996089779</v>
      </c>
      <c r="AP28" s="672">
        <f>AP13+AP15+AP24</f>
        <v>469.66079034764334</v>
      </c>
      <c r="AQ28" s="672">
        <f>AQ13+AQ15+AQ24</f>
        <v>437.26125995836958</v>
      </c>
      <c r="AR28" s="672">
        <f>AR13+AR15+AR24</f>
        <v>421.36203299563761</v>
      </c>
      <c r="AS28" s="651"/>
      <c r="AT28" s="651"/>
      <c r="AU28" s="651"/>
      <c r="AV28" s="651"/>
    </row>
    <row r="29" spans="1:48" ht="4.5" customHeight="1" x14ac:dyDescent="0.2">
      <c r="D29" s="249"/>
      <c r="E29" s="298"/>
      <c r="F29" s="298"/>
      <c r="G29" s="298"/>
      <c r="H29" s="298"/>
      <c r="I29" s="298"/>
      <c r="J29" s="298"/>
      <c r="K29" s="298"/>
      <c r="L29" s="298"/>
      <c r="M29" s="298"/>
      <c r="N29" s="298"/>
      <c r="O29" s="298"/>
      <c r="P29" s="298"/>
      <c r="Q29" s="298"/>
      <c r="R29" s="298"/>
      <c r="S29" s="298"/>
      <c r="T29" s="298"/>
      <c r="U29" s="298"/>
      <c r="V29" s="298"/>
      <c r="W29" s="298"/>
      <c r="X29" s="298"/>
      <c r="Y29" s="298"/>
      <c r="Z29" s="298"/>
      <c r="AA29" s="298"/>
      <c r="AB29" s="300"/>
      <c r="AC29" s="300"/>
      <c r="AD29" s="300"/>
      <c r="AE29" s="300"/>
      <c r="AF29" s="300"/>
      <c r="AG29" s="300"/>
      <c r="AH29" s="300"/>
      <c r="AI29" s="300"/>
      <c r="AJ29" s="300"/>
      <c r="AK29" s="300"/>
      <c r="AL29" s="300"/>
      <c r="AM29" s="300"/>
      <c r="AN29" s="300"/>
      <c r="AO29" s="300"/>
      <c r="AP29" s="300"/>
      <c r="AQ29" s="300"/>
      <c r="AR29" s="300"/>
      <c r="AS29" s="300"/>
      <c r="AT29" s="300"/>
      <c r="AU29" s="300"/>
      <c r="AV29" s="300"/>
    </row>
    <row r="30" spans="1:48" x14ac:dyDescent="0.2">
      <c r="C30" s="239" t="s">
        <v>260</v>
      </c>
      <c r="D30" s="249"/>
      <c r="E30" s="658"/>
      <c r="F30" s="658"/>
      <c r="G30" s="658"/>
      <c r="H30" s="658"/>
      <c r="I30" s="658"/>
      <c r="J30" s="658"/>
      <c r="K30" s="658"/>
      <c r="L30" s="658"/>
      <c r="M30" s="658"/>
      <c r="N30" s="658"/>
      <c r="O30" s="658"/>
      <c r="P30" s="658"/>
      <c r="Q30" s="658"/>
      <c r="R30" s="658"/>
      <c r="S30" s="658">
        <v>91.644000000000005</v>
      </c>
      <c r="T30" s="658">
        <v>544.16499999999996</v>
      </c>
      <c r="U30" s="658">
        <v>0</v>
      </c>
      <c r="V30" s="658">
        <v>308.26600000000002</v>
      </c>
      <c r="W30" s="658">
        <v>300</v>
      </c>
      <c r="X30" s="658">
        <v>0</v>
      </c>
      <c r="Y30" s="658">
        <v>0</v>
      </c>
      <c r="Z30" s="658">
        <v>0</v>
      </c>
      <c r="AA30" s="658">
        <v>0</v>
      </c>
      <c r="AB30" s="658">
        <v>0</v>
      </c>
      <c r="AC30" s="658">
        <v>2510</v>
      </c>
      <c r="AD30" s="658">
        <v>425</v>
      </c>
      <c r="AE30" s="658">
        <v>124</v>
      </c>
      <c r="AF30" s="1107">
        <v>498</v>
      </c>
      <c r="AG30" s="1107">
        <v>824</v>
      </c>
      <c r="AH30" s="1107">
        <v>0</v>
      </c>
      <c r="AI30" s="1107">
        <v>399</v>
      </c>
      <c r="AJ30" s="1107">
        <v>34</v>
      </c>
      <c r="AK30" s="1107">
        <v>16</v>
      </c>
      <c r="AL30" s="1108">
        <v>0</v>
      </c>
      <c r="AM30" s="1107">
        <v>635</v>
      </c>
      <c r="AN30" s="1112">
        <v>0</v>
      </c>
      <c r="AO30" s="1112">
        <v>0</v>
      </c>
      <c r="AP30" s="1112">
        <v>0</v>
      </c>
      <c r="AQ30" s="1112">
        <v>0</v>
      </c>
      <c r="AR30" s="1112">
        <v>0</v>
      </c>
      <c r="AS30" s="659"/>
      <c r="AT30" s="659"/>
      <c r="AU30" s="659"/>
      <c r="AV30" s="659"/>
    </row>
    <row r="31" spans="1:48" x14ac:dyDescent="0.2">
      <c r="C31" s="239" t="s">
        <v>261</v>
      </c>
      <c r="D31" s="249"/>
      <c r="E31" s="656"/>
      <c r="F31" s="656"/>
      <c r="G31" s="656"/>
      <c r="H31" s="656"/>
      <c r="I31" s="656"/>
      <c r="J31" s="656"/>
      <c r="K31" s="656"/>
      <c r="L31" s="656"/>
      <c r="M31" s="656"/>
      <c r="N31" s="656"/>
      <c r="O31" s="656"/>
      <c r="P31" s="656"/>
      <c r="Q31" s="656"/>
      <c r="R31" s="656"/>
      <c r="S31" s="656">
        <v>-51.21</v>
      </c>
      <c r="T31" s="656">
        <v>-101.16500000000001</v>
      </c>
      <c r="U31" s="656">
        <v>-63.341000000000001</v>
      </c>
      <c r="V31" s="656">
        <v>-58.191000000000003</v>
      </c>
      <c r="W31" s="656">
        <v>-18.64</v>
      </c>
      <c r="X31" s="656">
        <v>-88.980999999999995</v>
      </c>
      <c r="Y31" s="656">
        <v>-111.43899999999999</v>
      </c>
      <c r="Z31" s="656">
        <v>-205.25200000000001</v>
      </c>
      <c r="AA31" s="656">
        <v>-101.047</v>
      </c>
      <c r="AB31" s="656">
        <v>-307.55900000000003</v>
      </c>
      <c r="AC31" s="656">
        <v>-680</v>
      </c>
      <c r="AD31" s="656">
        <v>-410</v>
      </c>
      <c r="AE31" s="656">
        <v>-25</v>
      </c>
      <c r="AF31" s="1106">
        <v>-356</v>
      </c>
      <c r="AG31" s="1106">
        <v>-6</v>
      </c>
      <c r="AH31" s="1106">
        <v>-506</v>
      </c>
      <c r="AI31" s="1106">
        <v>-407</v>
      </c>
      <c r="AJ31" s="1106">
        <v>-7</v>
      </c>
      <c r="AK31" s="1106">
        <f>+-8-339</f>
        <v>-347</v>
      </c>
      <c r="AL31" s="1106">
        <v>-10</v>
      </c>
      <c r="AM31" s="1106">
        <v>-661</v>
      </c>
      <c r="AN31" s="1113">
        <v>0</v>
      </c>
      <c r="AO31" s="1113">
        <v>0</v>
      </c>
      <c r="AP31" s="1113">
        <v>0</v>
      </c>
      <c r="AQ31" s="1113">
        <v>0</v>
      </c>
      <c r="AR31" s="1113">
        <v>0</v>
      </c>
      <c r="AS31" s="660"/>
      <c r="AT31" s="660"/>
      <c r="AU31" s="660"/>
      <c r="AV31" s="660"/>
    </row>
    <row r="32" spans="1:48" x14ac:dyDescent="0.2">
      <c r="C32" s="239" t="s">
        <v>262</v>
      </c>
      <c r="D32" s="249"/>
      <c r="E32" s="656"/>
      <c r="F32" s="656"/>
      <c r="G32" s="656"/>
      <c r="H32" s="656"/>
      <c r="I32" s="656"/>
      <c r="J32" s="656"/>
      <c r="K32" s="656"/>
      <c r="L32" s="656"/>
      <c r="M32" s="656"/>
      <c r="N32" s="656"/>
      <c r="O32" s="656"/>
      <c r="P32" s="656"/>
      <c r="Q32" s="656"/>
      <c r="R32" s="656"/>
      <c r="S32" s="656">
        <v>17.405999999999999</v>
      </c>
      <c r="T32" s="656">
        <v>14.971</v>
      </c>
      <c r="U32" s="656">
        <v>9.577</v>
      </c>
      <c r="V32" s="656">
        <v>5.6779999999999999</v>
      </c>
      <c r="W32" s="656">
        <v>10.09</v>
      </c>
      <c r="X32" s="656">
        <v>0</v>
      </c>
      <c r="Y32" s="656">
        <v>57.459000000000003</v>
      </c>
      <c r="Z32" s="656">
        <v>0</v>
      </c>
      <c r="AA32" s="656">
        <v>0</v>
      </c>
      <c r="AB32" s="656">
        <v>0</v>
      </c>
      <c r="AC32" s="656">
        <v>0</v>
      </c>
      <c r="AD32" s="656">
        <v>0</v>
      </c>
      <c r="AE32" s="656">
        <v>0</v>
      </c>
      <c r="AF32" s="1106">
        <v>0</v>
      </c>
      <c r="AG32" s="1106">
        <v>0</v>
      </c>
      <c r="AH32" s="1106">
        <v>91</v>
      </c>
      <c r="AI32" s="1106">
        <v>103</v>
      </c>
      <c r="AJ32" s="1106">
        <v>141</v>
      </c>
      <c r="AK32" s="1106">
        <v>94</v>
      </c>
      <c r="AL32" s="1106">
        <v>83</v>
      </c>
      <c r="AM32" s="1106">
        <v>39</v>
      </c>
      <c r="AN32" s="1114">
        <v>100</v>
      </c>
      <c r="AO32" s="1114">
        <v>100</v>
      </c>
      <c r="AP32" s="1114">
        <v>100</v>
      </c>
      <c r="AQ32" s="1114">
        <v>100</v>
      </c>
      <c r="AR32" s="1114">
        <v>100</v>
      </c>
      <c r="AS32" s="642"/>
      <c r="AT32" s="642"/>
      <c r="AU32" s="642"/>
      <c r="AV32" s="642"/>
    </row>
    <row r="33" spans="1:48" x14ac:dyDescent="0.2">
      <c r="C33" s="239" t="s">
        <v>263</v>
      </c>
      <c r="D33" s="249"/>
      <c r="E33" s="645"/>
      <c r="F33" s="645"/>
      <c r="G33" s="645"/>
      <c r="H33" s="645"/>
      <c r="I33" s="645"/>
      <c r="J33" s="645"/>
      <c r="K33" s="645"/>
      <c r="L33" s="645"/>
      <c r="M33" s="645"/>
      <c r="N33" s="645"/>
      <c r="O33" s="645"/>
      <c r="P33" s="645"/>
      <c r="Q33" s="645"/>
      <c r="R33" s="645"/>
      <c r="S33" s="645">
        <v>-160.83099999999999</v>
      </c>
      <c r="T33" s="645">
        <v>-346.077</v>
      </c>
      <c r="U33" s="645">
        <v>-302.96499999999997</v>
      </c>
      <c r="V33" s="645">
        <v>-85.509</v>
      </c>
      <c r="W33" s="645">
        <v>-1.31</v>
      </c>
      <c r="X33" s="645">
        <v>0</v>
      </c>
      <c r="Y33" s="645">
        <v>0</v>
      </c>
      <c r="Z33" s="645">
        <v>-300</v>
      </c>
      <c r="AA33" s="645">
        <v>-287.08</v>
      </c>
      <c r="AB33" s="645">
        <v>-621.52700000000004</v>
      </c>
      <c r="AC33" s="645">
        <v>-1702</v>
      </c>
      <c r="AD33" s="645">
        <v>-264</v>
      </c>
      <c r="AE33" s="645">
        <v>0</v>
      </c>
      <c r="AF33" s="1101">
        <v>-84</v>
      </c>
      <c r="AG33" s="1101">
        <v>-840</v>
      </c>
      <c r="AH33" s="1101">
        <v>-725</v>
      </c>
      <c r="AI33" s="1101">
        <v>-515</v>
      </c>
      <c r="AJ33" s="1101">
        <v>-610</v>
      </c>
      <c r="AK33" s="1101">
        <v>-1192</v>
      </c>
      <c r="AL33" s="1101">
        <v>-277</v>
      </c>
      <c r="AM33" s="1101">
        <v>-211</v>
      </c>
      <c r="AN33" s="1114">
        <v>-350</v>
      </c>
      <c r="AO33" s="1114">
        <v>-350</v>
      </c>
      <c r="AP33" s="1114">
        <v>-300</v>
      </c>
      <c r="AQ33" s="1114">
        <v>-300</v>
      </c>
      <c r="AR33" s="1114">
        <v>-300</v>
      </c>
      <c r="AS33" s="661"/>
      <c r="AT33" s="661"/>
      <c r="AU33" s="661"/>
      <c r="AV33" s="661"/>
    </row>
    <row r="34" spans="1:48" x14ac:dyDescent="0.2">
      <c r="C34" s="239" t="s">
        <v>264</v>
      </c>
      <c r="D34" s="249"/>
      <c r="E34" s="645"/>
      <c r="F34" s="645"/>
      <c r="G34" s="645"/>
      <c r="H34" s="645"/>
      <c r="I34" s="645"/>
      <c r="J34" s="645"/>
      <c r="K34" s="645"/>
      <c r="L34" s="645"/>
      <c r="M34" s="645"/>
      <c r="N34" s="645"/>
      <c r="O34" s="645"/>
      <c r="P34" s="645"/>
      <c r="Q34" s="645"/>
      <c r="R34" s="645"/>
      <c r="S34" s="645">
        <v>-41.167999999999999</v>
      </c>
      <c r="T34" s="645">
        <v>-44.058999999999997</v>
      </c>
      <c r="U34" s="645">
        <v>-44.463000000000001</v>
      </c>
      <c r="V34" s="645">
        <v>-45.935000000000002</v>
      </c>
      <c r="W34" s="645">
        <v>-48.265000000000001</v>
      </c>
      <c r="X34" s="645">
        <v>-51.322000000000003</v>
      </c>
      <c r="Y34" s="645">
        <v>-55.853000000000002</v>
      </c>
      <c r="Z34" s="645">
        <v>-67.239999999999995</v>
      </c>
      <c r="AA34" s="645">
        <v>-87.195999999999998</v>
      </c>
      <c r="AB34" s="645">
        <v>-110.158</v>
      </c>
      <c r="AC34" s="645">
        <v>-134</v>
      </c>
      <c r="AD34" s="645">
        <v>-138</v>
      </c>
      <c r="AE34" s="645">
        <v>-139</v>
      </c>
      <c r="AF34" s="1101">
        <v>-167</v>
      </c>
      <c r="AG34" s="1101">
        <v>-197</v>
      </c>
      <c r="AH34" s="1101">
        <v>-220</v>
      </c>
      <c r="AI34" s="1101">
        <v>-234</v>
      </c>
      <c r="AJ34" s="1101">
        <v>-251</v>
      </c>
      <c r="AK34" s="1101">
        <v>-1185</v>
      </c>
      <c r="AL34" s="1101">
        <v>-256</v>
      </c>
      <c r="AM34" s="1101">
        <v>-247</v>
      </c>
      <c r="AN34" s="1114">
        <f>-AN47*'yrP&amp;L'!AL64</f>
        <v>-241.71544999999998</v>
      </c>
      <c r="AO34" s="1114">
        <f>-AO47*'yrP&amp;L'!AM64</f>
        <v>-233.57544999999999</v>
      </c>
      <c r="AP34" s="1114">
        <f>-AP47*'yrP&amp;L'!AN64</f>
        <v>-226.91544999999999</v>
      </c>
      <c r="AQ34" s="1114">
        <f>-AQ47*'yrP&amp;L'!AO64</f>
        <v>-220.25545</v>
      </c>
      <c r="AR34" s="1114">
        <f>-AR47*'yrP&amp;L'!AP64</f>
        <v>-213.59545</v>
      </c>
      <c r="AS34" s="661"/>
      <c r="AT34" s="661"/>
      <c r="AU34" s="661"/>
      <c r="AV34" s="661"/>
    </row>
    <row r="35" spans="1:48" x14ac:dyDescent="0.2">
      <c r="C35" s="239" t="s">
        <v>205</v>
      </c>
      <c r="D35" s="249"/>
      <c r="E35" s="645"/>
      <c r="F35" s="645"/>
      <c r="G35" s="645"/>
      <c r="H35" s="645"/>
      <c r="I35" s="645"/>
      <c r="J35" s="645"/>
      <c r="K35" s="645"/>
      <c r="L35" s="645"/>
      <c r="M35" s="645"/>
      <c r="N35" s="645"/>
      <c r="O35" s="645"/>
      <c r="P35" s="645"/>
      <c r="Q35" s="645"/>
      <c r="R35" s="645"/>
      <c r="S35" s="645">
        <v>99.997</v>
      </c>
      <c r="T35" s="645">
        <v>-184.98400000000001</v>
      </c>
      <c r="U35" s="645">
        <v>8.1509999999999998</v>
      </c>
      <c r="V35" s="645">
        <v>12.125999999999999</v>
      </c>
      <c r="W35" s="645">
        <v>-82.912000000000006</v>
      </c>
      <c r="X35" s="645">
        <v>9.3509999999999991</v>
      </c>
      <c r="Y35" s="645">
        <v>36.176000000000002</v>
      </c>
      <c r="Z35" s="645">
        <v>96.521000000000001</v>
      </c>
      <c r="AA35" s="645">
        <v>93.216999999999985</v>
      </c>
      <c r="AB35" s="645">
        <v>55.061999999999998</v>
      </c>
      <c r="AC35" s="645">
        <v>70</v>
      </c>
      <c r="AD35" s="645">
        <v>45</v>
      </c>
      <c r="AE35" s="645">
        <v>53</v>
      </c>
      <c r="AF35" s="1101">
        <v>105</v>
      </c>
      <c r="AG35" s="1101">
        <v>141</v>
      </c>
      <c r="AH35" s="1101">
        <f>5+24-2</f>
        <v>27</v>
      </c>
      <c r="AI35" s="1101">
        <f>47+23-5</f>
        <v>65</v>
      </c>
      <c r="AJ35" s="1101">
        <f>-4+22-23-1</f>
        <v>-6</v>
      </c>
      <c r="AK35" s="1101">
        <f>23+15+37+1297+890</f>
        <v>2262</v>
      </c>
      <c r="AL35" s="1101">
        <f>55+4+5+6</f>
        <v>70</v>
      </c>
      <c r="AM35" s="1101">
        <f>31+16-55-7-35</f>
        <v>-50</v>
      </c>
      <c r="AN35" s="1115">
        <v>0</v>
      </c>
      <c r="AO35" s="644"/>
      <c r="AP35" s="644"/>
      <c r="AQ35" s="644"/>
      <c r="AR35" s="644"/>
      <c r="AS35" s="644"/>
      <c r="AT35" s="644"/>
      <c r="AU35" s="644"/>
      <c r="AV35" s="644"/>
    </row>
    <row r="36" spans="1:48" ht="4.5" customHeight="1" x14ac:dyDescent="0.2">
      <c r="D36" s="249"/>
      <c r="E36" s="654"/>
      <c r="F36" s="654"/>
      <c r="G36" s="654"/>
      <c r="H36" s="654"/>
      <c r="I36" s="654"/>
      <c r="J36" s="654"/>
      <c r="K36" s="654"/>
      <c r="L36" s="654"/>
      <c r="M36" s="654"/>
      <c r="N36" s="654"/>
      <c r="O36" s="654"/>
      <c r="P36" s="654"/>
      <c r="Q36" s="654"/>
      <c r="R36" s="654"/>
      <c r="S36" s="654"/>
      <c r="T36" s="654"/>
      <c r="U36" s="654"/>
      <c r="V36" s="654"/>
      <c r="W36" s="654"/>
      <c r="X36" s="654"/>
      <c r="Y36" s="654"/>
      <c r="Z36" s="654"/>
      <c r="AA36" s="654"/>
      <c r="AB36" s="655"/>
      <c r="AC36" s="655"/>
      <c r="AD36" s="655"/>
      <c r="AE36" s="655"/>
      <c r="AF36" s="655"/>
      <c r="AG36" s="655"/>
      <c r="AH36" s="655"/>
      <c r="AI36" s="655"/>
      <c r="AJ36" s="655"/>
      <c r="AK36" s="655"/>
      <c r="AL36" s="655"/>
      <c r="AM36" s="655"/>
      <c r="AN36" s="655"/>
      <c r="AO36" s="655"/>
      <c r="AP36" s="655"/>
      <c r="AQ36" s="655"/>
      <c r="AR36" s="655"/>
      <c r="AS36" s="655"/>
      <c r="AT36" s="655"/>
      <c r="AU36" s="655"/>
      <c r="AV36" s="655"/>
    </row>
    <row r="37" spans="1:48" x14ac:dyDescent="0.2">
      <c r="A37" s="239" t="s">
        <v>146</v>
      </c>
      <c r="D37" s="249"/>
      <c r="E37" s="298"/>
      <c r="F37" s="298"/>
      <c r="G37" s="298"/>
      <c r="H37" s="298"/>
      <c r="I37" s="298"/>
      <c r="J37" s="298"/>
      <c r="K37" s="298"/>
      <c r="L37" s="298"/>
      <c r="M37" s="298"/>
      <c r="N37" s="298"/>
      <c r="O37" s="298"/>
      <c r="P37" s="298"/>
      <c r="Q37" s="298"/>
      <c r="R37" s="298"/>
      <c r="S37" s="298">
        <f t="shared" ref="S37:AK37" si="8">SUM(S30:S35)</f>
        <v>-44.161999999999992</v>
      </c>
      <c r="T37" s="298">
        <f t="shared" si="8"/>
        <v>-117.14900000000006</v>
      </c>
      <c r="U37" s="298">
        <f t="shared" si="8"/>
        <v>-393.041</v>
      </c>
      <c r="V37" s="298">
        <f t="shared" si="8"/>
        <v>136.43500000000003</v>
      </c>
      <c r="W37" s="298">
        <f t="shared" si="8"/>
        <v>158.96299999999999</v>
      </c>
      <c r="X37" s="298">
        <f t="shared" si="8"/>
        <v>-130.952</v>
      </c>
      <c r="Y37" s="298">
        <f t="shared" si="8"/>
        <v>-73.656999999999996</v>
      </c>
      <c r="Z37" s="298">
        <f t="shared" si="8"/>
        <v>-475.97099999999995</v>
      </c>
      <c r="AA37" s="298">
        <f t="shared" si="8"/>
        <v>-382.10599999999999</v>
      </c>
      <c r="AB37" s="300">
        <f t="shared" si="8"/>
        <v>-984.1819999999999</v>
      </c>
      <c r="AC37" s="300">
        <f t="shared" si="8"/>
        <v>64</v>
      </c>
      <c r="AD37" s="300">
        <f t="shared" si="8"/>
        <v>-342</v>
      </c>
      <c r="AE37" s="300">
        <f t="shared" si="8"/>
        <v>13</v>
      </c>
      <c r="AF37" s="300">
        <f t="shared" si="8"/>
        <v>-4</v>
      </c>
      <c r="AG37" s="300">
        <f t="shared" si="8"/>
        <v>-78</v>
      </c>
      <c r="AH37" s="300">
        <f t="shared" si="8"/>
        <v>-1333</v>
      </c>
      <c r="AI37" s="300">
        <f t="shared" si="8"/>
        <v>-589</v>
      </c>
      <c r="AJ37" s="300">
        <f t="shared" si="8"/>
        <v>-699</v>
      </c>
      <c r="AK37" s="300">
        <f t="shared" si="8"/>
        <v>-352</v>
      </c>
      <c r="AL37" s="300">
        <f t="shared" ref="AL37:AQ37" si="9">SUM(AL30:AL35)</f>
        <v>-390</v>
      </c>
      <c r="AM37" s="300">
        <f t="shared" si="9"/>
        <v>-495</v>
      </c>
      <c r="AN37" s="300">
        <f t="shared" si="9"/>
        <v>-491.71544999999998</v>
      </c>
      <c r="AO37" s="300">
        <f t="shared" si="9"/>
        <v>-483.57544999999999</v>
      </c>
      <c r="AP37" s="300">
        <f t="shared" si="9"/>
        <v>-426.91544999999996</v>
      </c>
      <c r="AQ37" s="300">
        <f t="shared" si="9"/>
        <v>-420.25545</v>
      </c>
      <c r="AR37" s="300">
        <f>SUM(AR30:AR35)</f>
        <v>-413.59545000000003</v>
      </c>
      <c r="AS37" s="300"/>
      <c r="AT37" s="300"/>
      <c r="AU37" s="300"/>
      <c r="AV37" s="300"/>
    </row>
    <row r="38" spans="1:48" ht="4.5" customHeight="1" x14ac:dyDescent="0.2">
      <c r="D38" s="249"/>
      <c r="E38" s="298"/>
      <c r="F38" s="298"/>
      <c r="G38" s="298"/>
      <c r="H38" s="298"/>
      <c r="I38" s="298"/>
      <c r="J38" s="298"/>
      <c r="K38" s="298"/>
      <c r="L38" s="298"/>
      <c r="M38" s="298"/>
      <c r="N38" s="298"/>
      <c r="O38" s="298"/>
      <c r="P38" s="298"/>
      <c r="Q38" s="298"/>
      <c r="R38" s="298"/>
      <c r="S38" s="298"/>
      <c r="T38" s="298"/>
      <c r="U38" s="298"/>
      <c r="V38" s="298"/>
      <c r="W38" s="298"/>
      <c r="X38" s="298"/>
      <c r="Y38" s="298"/>
      <c r="Z38" s="298"/>
      <c r="AA38" s="298"/>
      <c r="AB38" s="300"/>
      <c r="AC38" s="300"/>
      <c r="AD38" s="300"/>
      <c r="AE38" s="300"/>
      <c r="AF38" s="300"/>
      <c r="AG38" s="300"/>
      <c r="AH38" s="300"/>
      <c r="AI38" s="300"/>
      <c r="AJ38" s="300"/>
      <c r="AK38" s="300"/>
      <c r="AL38" s="300"/>
      <c r="AM38" s="300"/>
      <c r="AN38" s="300"/>
      <c r="AO38" s="300"/>
      <c r="AP38" s="300"/>
      <c r="AQ38" s="300"/>
      <c r="AR38" s="300"/>
      <c r="AS38" s="300"/>
      <c r="AT38" s="300"/>
      <c r="AU38" s="300"/>
      <c r="AV38" s="300"/>
    </row>
    <row r="39" spans="1:48" x14ac:dyDescent="0.2">
      <c r="B39" s="239" t="s">
        <v>147</v>
      </c>
      <c r="D39" s="249"/>
      <c r="E39" s="662"/>
      <c r="F39" s="662"/>
      <c r="G39" s="662"/>
      <c r="H39" s="662"/>
      <c r="I39" s="662"/>
      <c r="J39" s="662"/>
      <c r="K39" s="662"/>
      <c r="L39" s="662"/>
      <c r="M39" s="662"/>
      <c r="N39" s="662"/>
      <c r="O39" s="662"/>
      <c r="P39" s="662"/>
      <c r="Q39" s="662"/>
      <c r="R39" s="662"/>
      <c r="S39" s="652">
        <v>28.283999999999999</v>
      </c>
      <c r="T39" s="662">
        <f t="shared" ref="T39:AQ39" si="10">S41</f>
        <v>25.480997999999779</v>
      </c>
      <c r="U39" s="662">
        <f t="shared" si="10"/>
        <v>242.13387900000004</v>
      </c>
      <c r="V39" s="662">
        <f t="shared" si="10"/>
        <v>27.238879000000168</v>
      </c>
      <c r="W39" s="662">
        <f t="shared" si="10"/>
        <v>25.777879000001178</v>
      </c>
      <c r="X39" s="662">
        <f t="shared" si="10"/>
        <v>353.54687900000164</v>
      </c>
      <c r="Y39" s="662">
        <f t="shared" si="10"/>
        <v>124.53207900000135</v>
      </c>
      <c r="Z39" s="662">
        <f t="shared" si="10"/>
        <v>340.60807900000032</v>
      </c>
      <c r="AA39" s="662">
        <f t="shared" si="10"/>
        <v>360.47507900000045</v>
      </c>
      <c r="AB39" s="662">
        <f t="shared" si="10"/>
        <v>462.34929675831876</v>
      </c>
      <c r="AC39" s="662">
        <f t="shared" si="10"/>
        <v>402.25229675831849</v>
      </c>
      <c r="AD39" s="662">
        <f t="shared" si="10"/>
        <v>356.98329675831872</v>
      </c>
      <c r="AE39" s="662">
        <f t="shared" si="10"/>
        <v>72.300296758318723</v>
      </c>
      <c r="AF39" s="662">
        <f t="shared" si="10"/>
        <v>795.30029675831872</v>
      </c>
      <c r="AG39" s="662">
        <f t="shared" si="10"/>
        <v>1506.3002967583188</v>
      </c>
      <c r="AH39" s="662">
        <f t="shared" si="10"/>
        <v>1877.3002967583188</v>
      </c>
      <c r="AI39" s="662">
        <f t="shared" si="10"/>
        <v>1285.3002967583188</v>
      </c>
      <c r="AJ39" s="662">
        <f t="shared" si="10"/>
        <v>1194.3002967583188</v>
      </c>
      <c r="AK39" s="662">
        <f t="shared" si="10"/>
        <v>826.80029675831884</v>
      </c>
      <c r="AL39" s="662">
        <f t="shared" si="10"/>
        <v>595.04029675831885</v>
      </c>
      <c r="AM39" s="662">
        <f t="shared" si="10"/>
        <v>1007.0002967583189</v>
      </c>
      <c r="AN39" s="662">
        <f t="shared" si="10"/>
        <v>1181.3502967583188</v>
      </c>
      <c r="AO39" s="662">
        <f t="shared" si="10"/>
        <v>1039.4743838795378</v>
      </c>
      <c r="AP39" s="662">
        <f t="shared" si="10"/>
        <v>1054.3465938404356</v>
      </c>
      <c r="AQ39" s="662">
        <f t="shared" si="10"/>
        <v>1097.091934188079</v>
      </c>
      <c r="AR39" s="662">
        <f>AQ41</f>
        <v>1114.0977441464486</v>
      </c>
      <c r="AS39" s="662"/>
      <c r="AT39" s="662"/>
      <c r="AU39" s="662"/>
      <c r="AV39" s="662"/>
    </row>
    <row r="40" spans="1:48" x14ac:dyDescent="0.2">
      <c r="A40" s="504"/>
      <c r="B40" s="504"/>
      <c r="C40" s="239" t="s">
        <v>148</v>
      </c>
      <c r="D40" s="248"/>
      <c r="E40" s="298"/>
      <c r="F40" s="298"/>
      <c r="G40" s="298"/>
      <c r="H40" s="298"/>
      <c r="I40" s="298"/>
      <c r="J40" s="298"/>
      <c r="K40" s="298"/>
      <c r="L40" s="298"/>
      <c r="M40" s="298"/>
      <c r="N40" s="298"/>
      <c r="O40" s="298"/>
      <c r="P40" s="298"/>
      <c r="Q40" s="298"/>
      <c r="R40" s="298"/>
      <c r="S40" s="298">
        <f>S37+S13+S26</f>
        <v>-2.8030020000002196</v>
      </c>
      <c r="T40" s="298">
        <f>T37+T13+T26</f>
        <v>216.65288100000026</v>
      </c>
      <c r="U40" s="298">
        <f>U37+U13+U26</f>
        <v>-214.89499999999987</v>
      </c>
      <c r="V40" s="298">
        <f t="shared" ref="V40:AK40" si="11">V37+V13+V26</f>
        <v>-1.4609999999989896</v>
      </c>
      <c r="W40" s="298">
        <f t="shared" si="11"/>
        <v>327.76900000000046</v>
      </c>
      <c r="X40" s="298">
        <f t="shared" si="11"/>
        <v>-229.01480000000029</v>
      </c>
      <c r="Y40" s="298">
        <f t="shared" si="11"/>
        <v>216.075999999999</v>
      </c>
      <c r="Z40" s="298">
        <f t="shared" si="11"/>
        <v>19.867000000000132</v>
      </c>
      <c r="AA40" s="298">
        <f t="shared" si="11"/>
        <v>101.87421775831831</v>
      </c>
      <c r="AB40" s="298">
        <f t="shared" si="11"/>
        <v>-60.097000000000264</v>
      </c>
      <c r="AC40" s="298">
        <f t="shared" si="11"/>
        <v>-45.268999999999778</v>
      </c>
      <c r="AD40" s="298">
        <f t="shared" si="11"/>
        <v>-284.68299999999999</v>
      </c>
      <c r="AE40" s="298">
        <f t="shared" si="11"/>
        <v>723</v>
      </c>
      <c r="AF40" s="298">
        <f t="shared" si="11"/>
        <v>711</v>
      </c>
      <c r="AG40" s="298">
        <f t="shared" si="11"/>
        <v>371</v>
      </c>
      <c r="AH40" s="298">
        <f t="shared" si="11"/>
        <v>-592</v>
      </c>
      <c r="AI40" s="298">
        <f t="shared" si="11"/>
        <v>-91</v>
      </c>
      <c r="AJ40" s="298">
        <f t="shared" si="11"/>
        <v>-367.5</v>
      </c>
      <c r="AK40" s="298">
        <f t="shared" si="11"/>
        <v>-231.26</v>
      </c>
      <c r="AL40" s="298">
        <f t="shared" ref="AL40:AQ40" si="12">AL37+AL13+AL26</f>
        <v>411.96000000000004</v>
      </c>
      <c r="AM40" s="298">
        <f t="shared" si="12"/>
        <v>174.34999999999991</v>
      </c>
      <c r="AN40" s="298">
        <f t="shared" si="12"/>
        <v>-141.87591287878104</v>
      </c>
      <c r="AO40" s="298">
        <f t="shared" si="12"/>
        <v>14.872209960897749</v>
      </c>
      <c r="AP40" s="298">
        <f t="shared" si="12"/>
        <v>42.745340347643378</v>
      </c>
      <c r="AQ40" s="298">
        <f t="shared" si="12"/>
        <v>17.005809958369582</v>
      </c>
      <c r="AR40" s="298">
        <f>AR37+AR13+AR26</f>
        <v>7.7665829956375774</v>
      </c>
      <c r="AS40" s="298"/>
      <c r="AT40" s="298"/>
      <c r="AU40" s="298"/>
      <c r="AV40" s="298"/>
    </row>
    <row r="41" spans="1:48" x14ac:dyDescent="0.2">
      <c r="B41" s="239" t="s">
        <v>151</v>
      </c>
      <c r="D41" s="249"/>
      <c r="E41" s="662"/>
      <c r="F41" s="662"/>
      <c r="G41" s="662"/>
      <c r="H41" s="662"/>
      <c r="I41" s="662"/>
      <c r="J41" s="662"/>
      <c r="K41" s="662"/>
      <c r="L41" s="662"/>
      <c r="M41" s="662"/>
      <c r="N41" s="662"/>
      <c r="O41" s="662"/>
      <c r="P41" s="662"/>
      <c r="Q41" s="662"/>
      <c r="R41" s="662"/>
      <c r="S41" s="662">
        <f>S39+S40</f>
        <v>25.480997999999779</v>
      </c>
      <c r="T41" s="662">
        <f>T39+T40</f>
        <v>242.13387900000004</v>
      </c>
      <c r="U41" s="662">
        <f>U39+U40</f>
        <v>27.238879000000168</v>
      </c>
      <c r="V41" s="662">
        <f t="shared" ref="V41:AM41" si="13">V39+V40</f>
        <v>25.777879000001178</v>
      </c>
      <c r="W41" s="662">
        <f t="shared" si="13"/>
        <v>353.54687900000164</v>
      </c>
      <c r="X41" s="662">
        <f t="shared" si="13"/>
        <v>124.53207900000135</v>
      </c>
      <c r="Y41" s="662">
        <f t="shared" si="13"/>
        <v>340.60807900000032</v>
      </c>
      <c r="Z41" s="662">
        <f t="shared" si="13"/>
        <v>360.47507900000045</v>
      </c>
      <c r="AA41" s="662">
        <f t="shared" si="13"/>
        <v>462.34929675831876</v>
      </c>
      <c r="AB41" s="662">
        <f t="shared" si="13"/>
        <v>402.25229675831849</v>
      </c>
      <c r="AC41" s="662">
        <f t="shared" si="13"/>
        <v>356.98329675831872</v>
      </c>
      <c r="AD41" s="662">
        <f t="shared" si="13"/>
        <v>72.300296758318723</v>
      </c>
      <c r="AE41" s="662">
        <f t="shared" si="13"/>
        <v>795.30029675831872</v>
      </c>
      <c r="AF41" s="662">
        <f t="shared" si="13"/>
        <v>1506.3002967583188</v>
      </c>
      <c r="AG41" s="662">
        <f t="shared" si="13"/>
        <v>1877.3002967583188</v>
      </c>
      <c r="AH41" s="662">
        <f t="shared" si="13"/>
        <v>1285.3002967583188</v>
      </c>
      <c r="AI41" s="662">
        <f t="shared" si="13"/>
        <v>1194.3002967583188</v>
      </c>
      <c r="AJ41" s="662">
        <f t="shared" si="13"/>
        <v>826.80029675831884</v>
      </c>
      <c r="AK41" s="662">
        <f>AK39+AK40-0.5</f>
        <v>595.04029675831885</v>
      </c>
      <c r="AL41" s="662">
        <f t="shared" si="13"/>
        <v>1007.0002967583189</v>
      </c>
      <c r="AM41" s="662">
        <f t="shared" si="13"/>
        <v>1181.3502967583188</v>
      </c>
      <c r="AN41" s="662">
        <f>AN39+AN40</f>
        <v>1039.4743838795378</v>
      </c>
      <c r="AO41" s="662">
        <f>AO39+AO40</f>
        <v>1054.3465938404356</v>
      </c>
      <c r="AP41" s="662">
        <f>AP39+AP40</f>
        <v>1097.091934188079</v>
      </c>
      <c r="AQ41" s="662">
        <f>AQ39+AQ40</f>
        <v>1114.0977441464486</v>
      </c>
      <c r="AR41" s="662">
        <f>AR39+AR40</f>
        <v>1121.864327142086</v>
      </c>
      <c r="AS41" s="662"/>
      <c r="AT41" s="662"/>
      <c r="AU41" s="662"/>
      <c r="AV41" s="662"/>
    </row>
    <row r="42" spans="1:48" x14ac:dyDescent="0.2">
      <c r="D42" s="249"/>
      <c r="S42" s="663"/>
      <c r="T42" s="663"/>
      <c r="U42" s="663"/>
      <c r="V42" s="663"/>
      <c r="W42" s="663"/>
      <c r="X42" s="663"/>
      <c r="Y42" s="663"/>
      <c r="Z42" s="663"/>
      <c r="AA42" s="663"/>
      <c r="AB42" s="663"/>
      <c r="AC42" s="663"/>
      <c r="AD42" s="663"/>
      <c r="AE42" s="663"/>
      <c r="AF42" s="663"/>
      <c r="AG42" s="663"/>
      <c r="AH42" s="663"/>
      <c r="AI42" s="663"/>
      <c r="AJ42" s="663"/>
      <c r="AK42" s="663"/>
      <c r="AL42" s="663"/>
      <c r="AM42" s="663"/>
      <c r="AN42" s="663"/>
      <c r="AO42" s="663"/>
      <c r="AP42" s="663"/>
      <c r="AQ42" s="663"/>
      <c r="AR42" s="663"/>
      <c r="AS42" s="663"/>
      <c r="AT42" s="663"/>
      <c r="AU42" s="663"/>
      <c r="AV42" s="663"/>
    </row>
    <row r="43" spans="1:48" ht="4.5" customHeight="1" x14ac:dyDescent="0.2">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row>
    <row r="44" spans="1:48" x14ac:dyDescent="0.2">
      <c r="A44" s="239" t="s">
        <v>152</v>
      </c>
      <c r="D44" s="249"/>
      <c r="E44" s="651"/>
      <c r="F44" s="651"/>
      <c r="G44" s="651"/>
      <c r="H44" s="651"/>
      <c r="I44" s="651"/>
      <c r="J44" s="651"/>
      <c r="K44" s="651"/>
      <c r="L44" s="651"/>
      <c r="M44" s="651"/>
      <c r="N44" s="651"/>
      <c r="O44" s="651"/>
      <c r="P44" s="651"/>
      <c r="Q44" s="651"/>
      <c r="R44" s="651"/>
      <c r="S44" s="651">
        <f t="shared" ref="S44:AK44" si="14">-S37+S40</f>
        <v>41.358997999999772</v>
      </c>
      <c r="T44" s="651">
        <f t="shared" si="14"/>
        <v>333.80188100000032</v>
      </c>
      <c r="U44" s="651">
        <f t="shared" si="14"/>
        <v>178.14600000000013</v>
      </c>
      <c r="V44" s="651">
        <f t="shared" si="14"/>
        <v>-137.89599999999902</v>
      </c>
      <c r="W44" s="651">
        <f t="shared" si="14"/>
        <v>168.80600000000047</v>
      </c>
      <c r="X44" s="651">
        <f t="shared" si="14"/>
        <v>-98.062800000000294</v>
      </c>
      <c r="Y44" s="651">
        <f t="shared" si="14"/>
        <v>289.73299999999898</v>
      </c>
      <c r="Z44" s="651">
        <f t="shared" si="14"/>
        <v>495.83800000000008</v>
      </c>
      <c r="AA44" s="651">
        <f t="shared" si="14"/>
        <v>483.9802177583183</v>
      </c>
      <c r="AB44" s="657">
        <f t="shared" si="14"/>
        <v>924.08499999999958</v>
      </c>
      <c r="AC44" s="657">
        <f t="shared" si="14"/>
        <v>-109.26899999999978</v>
      </c>
      <c r="AD44" s="657">
        <f t="shared" si="14"/>
        <v>57.317000000000007</v>
      </c>
      <c r="AE44" s="657">
        <f t="shared" si="14"/>
        <v>710</v>
      </c>
      <c r="AF44" s="657">
        <f t="shared" si="14"/>
        <v>715</v>
      </c>
      <c r="AG44" s="657">
        <f t="shared" si="14"/>
        <v>449</v>
      </c>
      <c r="AH44" s="657">
        <f t="shared" si="14"/>
        <v>741</v>
      </c>
      <c r="AI44" s="657">
        <f t="shared" si="14"/>
        <v>498</v>
      </c>
      <c r="AJ44" s="657">
        <f t="shared" si="14"/>
        <v>331.5</v>
      </c>
      <c r="AK44" s="664">
        <f t="shared" si="14"/>
        <v>120.74000000000001</v>
      </c>
      <c r="AL44" s="657">
        <f t="shared" ref="AL44:AQ44" si="15">-AL37+AL40</f>
        <v>801.96</v>
      </c>
      <c r="AM44" s="657">
        <f t="shared" si="15"/>
        <v>669.34999999999991</v>
      </c>
      <c r="AN44" s="657">
        <f t="shared" si="15"/>
        <v>349.83953712121894</v>
      </c>
      <c r="AO44" s="657">
        <f t="shared" si="15"/>
        <v>498.44765996089774</v>
      </c>
      <c r="AP44" s="657">
        <f t="shared" si="15"/>
        <v>469.66079034764334</v>
      </c>
      <c r="AQ44" s="657">
        <f t="shared" si="15"/>
        <v>437.26125995836958</v>
      </c>
      <c r="AR44" s="657">
        <f>-AR37+AR40</f>
        <v>421.36203299563761</v>
      </c>
      <c r="AS44" s="657"/>
      <c r="AT44" s="657"/>
      <c r="AU44" s="657"/>
      <c r="AV44" s="657"/>
    </row>
    <row r="45" spans="1:48" ht="4.5" customHeight="1" x14ac:dyDescent="0.2">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row>
    <row r="46" spans="1:48" x14ac:dyDescent="0.2">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row>
    <row r="47" spans="1:48" x14ac:dyDescent="0.2">
      <c r="A47" s="239" t="s">
        <v>243</v>
      </c>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G47" s="665"/>
      <c r="AH47" s="1109">
        <f>0.27*4</f>
        <v>1.08</v>
      </c>
      <c r="AI47" s="1109">
        <f>0.3*4</f>
        <v>1.2</v>
      </c>
      <c r="AJ47" s="1109">
        <f>0.33*4</f>
        <v>1.32</v>
      </c>
      <c r="AK47" s="1109">
        <f>0.37*4</f>
        <v>1.48</v>
      </c>
      <c r="AL47" s="1109">
        <f>AK47</f>
        <v>1.48</v>
      </c>
      <c r="AM47" s="1109">
        <f>AL47*1</f>
        <v>1.48</v>
      </c>
      <c r="AN47" s="1116">
        <f>AM47</f>
        <v>1.48</v>
      </c>
      <c r="AO47" s="1116">
        <f>AN47</f>
        <v>1.48</v>
      </c>
      <c r="AP47" s="1116">
        <f>AO47</f>
        <v>1.48</v>
      </c>
      <c r="AQ47" s="1116">
        <f>AP47</f>
        <v>1.48</v>
      </c>
      <c r="AR47" s="1116">
        <f>AQ47</f>
        <v>1.48</v>
      </c>
      <c r="AS47" s="666"/>
      <c r="AT47" s="666"/>
      <c r="AU47" s="666"/>
      <c r="AV47" s="666"/>
    </row>
    <row r="48" spans="1:48" x14ac:dyDescent="0.2">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H48" s="255"/>
      <c r="AI48" s="255"/>
      <c r="AJ48" s="255"/>
      <c r="AK48" s="255"/>
      <c r="AL48" s="532"/>
      <c r="AM48" s="532"/>
      <c r="AN48" s="532"/>
      <c r="AO48" s="532"/>
      <c r="AP48" s="532"/>
      <c r="AQ48" s="532"/>
      <c r="AR48" s="532"/>
    </row>
    <row r="49" spans="1:48" x14ac:dyDescent="0.2">
      <c r="A49" s="239" t="s">
        <v>138</v>
      </c>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F49" s="667"/>
      <c r="AG49" s="667"/>
    </row>
    <row r="50" spans="1:48" x14ac:dyDescent="0.2">
      <c r="B50" s="239" t="s">
        <v>153</v>
      </c>
      <c r="D50" s="249"/>
      <c r="E50" s="668"/>
      <c r="F50" s="668"/>
      <c r="G50" s="668"/>
      <c r="H50" s="668"/>
      <c r="I50" s="668"/>
      <c r="J50" s="668"/>
      <c r="K50" s="668"/>
      <c r="L50" s="668"/>
      <c r="M50" s="668"/>
      <c r="N50" s="668"/>
      <c r="O50" s="668"/>
      <c r="P50" s="668"/>
      <c r="Q50" s="668"/>
      <c r="R50" s="668"/>
      <c r="S50" s="668">
        <f>-S15/bal!T59</f>
        <v>5.3576905382610035E-2</v>
      </c>
      <c r="T50" s="668">
        <f>-T15/bal!U59</f>
        <v>6.1007102382908136E-2</v>
      </c>
      <c r="U50" s="668">
        <f>-U15/bal!V59</f>
        <v>5.9244901922703444E-2</v>
      </c>
      <c r="V50" s="668">
        <f>-V15/bal!W59</f>
        <v>5.9753059444116942E-2</v>
      </c>
      <c r="W50" s="668">
        <f>-W15/bal!X59</f>
        <v>7.0294437650533448E-2</v>
      </c>
      <c r="X50" s="668">
        <f>-X15/bal!Y59</f>
        <v>5.5203530700514883E-2</v>
      </c>
      <c r="Y50" s="668">
        <f>-Y15/bal!Z59</f>
        <v>4.0057550725959179E-2</v>
      </c>
      <c r="Z50" s="668">
        <f>-Z15/bal!AA59</f>
        <v>3.461459881793412E-2</v>
      </c>
      <c r="AA50" s="668">
        <f>-AA15/bal!AB59</f>
        <v>3.517708775217504E-2</v>
      </c>
      <c r="AB50" s="668">
        <f>-AB15/bal!AC59</f>
        <v>3.0889654091290221E-2</v>
      </c>
      <c r="AC50" s="668">
        <f>-AC15/bal!AD59</f>
        <v>5.6752441770975236E-2</v>
      </c>
      <c r="AD50" s="668">
        <f>-AD15/bal!AE59</f>
        <v>6.7904957182487027E-2</v>
      </c>
      <c r="AE50" s="668">
        <f>-AE15/bal!AF59</f>
        <v>4.359409057883265E-2</v>
      </c>
      <c r="AF50" s="668">
        <f>-AF15/bal!AG59</f>
        <v>4.2857142857142858E-2</v>
      </c>
      <c r="AG50" s="668">
        <f>-AG15/bal!AH59</f>
        <v>4.868057540249595E-2</v>
      </c>
      <c r="AH50" s="668">
        <f>-AH15/bal!AI59</f>
        <v>4.3615031457235165E-2</v>
      </c>
      <c r="AI50" s="668">
        <f>-AI15/bal!AJ59</f>
        <v>6.6003616636528026E-2</v>
      </c>
      <c r="AJ50" s="668">
        <f>-AJ15/bal!AK59</f>
        <v>6.5670048051254676E-2</v>
      </c>
      <c r="AK50" s="668">
        <f>-AK15/bal!AL59</f>
        <v>7.6764810216388785E-2</v>
      </c>
      <c r="AL50" s="668">
        <f>-AL15/bal!AM59</f>
        <v>5.8348851644941031E-2</v>
      </c>
      <c r="AM50" s="668">
        <f>-AM15/bal!AN59</f>
        <v>4.8292263988901366E-2</v>
      </c>
      <c r="AN50" s="668">
        <f>-AN15/bal!AO59</f>
        <v>4.8290142447500385E-2</v>
      </c>
      <c r="AO50" s="668">
        <f>-AO15/bal!AP59</f>
        <v>3.9257427559679495E-2</v>
      </c>
      <c r="AP50" s="668">
        <f>-AP15/bal!AQ59</f>
        <v>3.8275861606294946E-2</v>
      </c>
      <c r="AQ50" s="668">
        <f>-AQ15/bal!AR59</f>
        <v>3.7356674247841615E-2</v>
      </c>
      <c r="AR50" s="668">
        <f>-AR15/bal!AS59</f>
        <v>3.6704294923942289E-2</v>
      </c>
      <c r="AS50" s="668"/>
      <c r="AT50" s="668"/>
      <c r="AU50" s="668"/>
      <c r="AV50" s="668"/>
    </row>
    <row r="51" spans="1:48" x14ac:dyDescent="0.2">
      <c r="B51" s="239" t="s">
        <v>154</v>
      </c>
      <c r="D51" s="249"/>
      <c r="E51" s="669"/>
      <c r="F51" s="669"/>
      <c r="G51" s="669"/>
      <c r="H51" s="669"/>
      <c r="I51" s="669"/>
      <c r="J51" s="669"/>
      <c r="K51" s="669"/>
      <c r="L51" s="669"/>
      <c r="M51" s="669"/>
      <c r="N51" s="669"/>
      <c r="O51" s="669"/>
      <c r="P51" s="669"/>
      <c r="Q51" s="669"/>
      <c r="R51" s="669"/>
      <c r="S51" s="669">
        <f>S28/'yrP&amp;L'!Q64</f>
        <v>0.26661689009861128</v>
      </c>
      <c r="T51" s="669">
        <f>T28/'yrP&amp;L'!R64</f>
        <v>2.2721522629673494</v>
      </c>
      <c r="U51" s="669">
        <f>U28/'yrP&amp;L'!S64</f>
        <v>1.286949611703089</v>
      </c>
      <c r="V51" s="669">
        <f>V28/'yrP&amp;L'!T64</f>
        <v>-1.0505341385884341</v>
      </c>
      <c r="W51" s="669">
        <f>W28/'yrP&amp;L'!U64</f>
        <v>0.62815040839488889</v>
      </c>
      <c r="X51" s="669">
        <f>X28/'yrP&amp;L'!V64</f>
        <v>-0.36109651488845512</v>
      </c>
      <c r="Y51" s="669">
        <f>Y28/'yrP&amp;L'!W64</f>
        <v>1.0517979630769083</v>
      </c>
      <c r="Z51" s="669">
        <f>Z28/'yrP&amp;L'!X64</f>
        <v>1.743017741703021</v>
      </c>
      <c r="AA51" s="669">
        <f>AA28/'yrP&amp;L'!Y64</f>
        <v>1.7423399349055293</v>
      </c>
      <c r="AB51" s="669">
        <f>AB28/'yrP&amp;L'!Z64</f>
        <v>3.477589206164625</v>
      </c>
      <c r="AC51" s="669">
        <f>AC28/'yrP&amp;L'!AA64</f>
        <v>-0.43908304861521924</v>
      </c>
      <c r="AD51" s="669">
        <f>AD28/'yrP&amp;L'!AB64</f>
        <v>0.26169158771829704</v>
      </c>
      <c r="AE51" s="669">
        <f>AE28/'yrP&amp;L'!AC64</f>
        <v>3.2324152060095606</v>
      </c>
      <c r="AF51" s="669">
        <f>AF28/'yrP&amp;L'!AD64</f>
        <v>3.2113182124410509</v>
      </c>
      <c r="AG51" s="669">
        <f>AG28/'yrP&amp;L'!AE64</f>
        <v>2.0627081658435742</v>
      </c>
      <c r="AH51" s="669">
        <f>AH28/'yrP&amp;L'!AF64</f>
        <v>3.5849056603773586</v>
      </c>
      <c r="AI51" s="669">
        <f>AI28/'yrP&amp;L'!AG64</f>
        <v>2.5189681335356604</v>
      </c>
      <c r="AJ51" s="669">
        <f>AJ28/'yrP&amp;L'!AH64</f>
        <v>1.7122933884297522</v>
      </c>
      <c r="AK51" s="669">
        <f>AK28/'yrP&amp;L'!AI64</f>
        <v>0.63614330874604852</v>
      </c>
      <c r="AL51" s="669">
        <f>AL28/'yrP&amp;L'!AJ64</f>
        <v>4.5852487135506008</v>
      </c>
      <c r="AM51" s="669">
        <f>AM28/'yrP&amp;L'!AK64</f>
        <v>3.9610024558392749</v>
      </c>
      <c r="AN51" s="669">
        <f>AN28/'yrP&amp;L'!AL64</f>
        <v>2.1420331838093256</v>
      </c>
      <c r="AO51" s="669">
        <f>AO28/'yrP&amp;L'!AM64</f>
        <v>3.1583051075878426</v>
      </c>
      <c r="AP51" s="669">
        <f>AP28/'yrP&amp;L'!AN64</f>
        <v>3.0632465515878806</v>
      </c>
      <c r="AQ51" s="669">
        <f>AQ28/'yrP&amp;L'!AO64</f>
        <v>2.9381641395860445</v>
      </c>
      <c r="AR51" s="669">
        <f>AR28/'yrP&amp;L'!AP64</f>
        <v>2.919611858930252</v>
      </c>
      <c r="AS51" s="669"/>
      <c r="AT51" s="669"/>
      <c r="AU51" s="669"/>
      <c r="AV51" s="669"/>
    </row>
    <row r="52" spans="1:48" x14ac:dyDescent="0.2">
      <c r="D52" s="249"/>
      <c r="E52" s="249"/>
      <c r="F52" s="249"/>
      <c r="G52" s="249"/>
      <c r="H52" s="249"/>
      <c r="I52" s="249"/>
      <c r="J52" s="249"/>
      <c r="K52" s="249"/>
      <c r="L52" s="249"/>
      <c r="M52" s="249"/>
      <c r="N52" s="249"/>
      <c r="O52" s="249"/>
      <c r="P52" s="249"/>
      <c r="Q52" s="249"/>
      <c r="R52" s="249"/>
      <c r="S52" s="249"/>
      <c r="T52" s="249"/>
      <c r="U52" s="249"/>
      <c r="V52" s="249"/>
      <c r="W52" s="249"/>
      <c r="X52" s="249"/>
      <c r="Y52" s="249"/>
      <c r="Z52" s="249"/>
      <c r="AA52" s="249"/>
    </row>
    <row r="53" spans="1:48" x14ac:dyDescent="0.2">
      <c r="A53" s="239" t="s">
        <v>336</v>
      </c>
      <c r="D53" s="249"/>
      <c r="E53" s="249"/>
      <c r="F53" s="249"/>
      <c r="G53" s="249"/>
      <c r="H53" s="249"/>
      <c r="I53" s="249"/>
      <c r="J53" s="249"/>
      <c r="K53" s="249"/>
      <c r="L53" s="249"/>
      <c r="M53" s="249"/>
      <c r="N53" s="249"/>
      <c r="O53" s="249"/>
      <c r="P53" s="249"/>
      <c r="Q53" s="249"/>
      <c r="R53" s="249"/>
      <c r="S53" s="249"/>
      <c r="T53" s="249"/>
      <c r="U53" s="249"/>
      <c r="V53" s="249"/>
      <c r="W53" s="249"/>
      <c r="X53" s="249"/>
      <c r="Y53" s="249"/>
      <c r="Z53" s="249"/>
      <c r="AA53" s="249"/>
    </row>
    <row r="54" spans="1:48" x14ac:dyDescent="0.2">
      <c r="A54" s="239" t="s">
        <v>92</v>
      </c>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C54" s="645">
        <v>17</v>
      </c>
      <c r="AD54" s="645">
        <v>28</v>
      </c>
      <c r="AE54" s="645">
        <v>42</v>
      </c>
      <c r="AF54" s="1101">
        <v>28</v>
      </c>
      <c r="AG54" s="1101">
        <v>29</v>
      </c>
      <c r="AH54" s="1101">
        <v>21</v>
      </c>
      <c r="AI54" s="1101">
        <v>35</v>
      </c>
      <c r="AJ54" s="1101">
        <v>22</v>
      </c>
      <c r="AK54" s="1110">
        <f t="shared" ref="AK54:AR54" si="16">AJ54</f>
        <v>22</v>
      </c>
      <c r="AL54" s="1110">
        <f t="shared" si="16"/>
        <v>22</v>
      </c>
      <c r="AM54" s="1110">
        <f t="shared" si="16"/>
        <v>22</v>
      </c>
      <c r="AN54" s="1110">
        <f t="shared" si="16"/>
        <v>22</v>
      </c>
      <c r="AO54" s="1110">
        <f t="shared" si="16"/>
        <v>22</v>
      </c>
      <c r="AP54" s="1110">
        <f t="shared" si="16"/>
        <v>22</v>
      </c>
      <c r="AQ54" s="1110">
        <f t="shared" si="16"/>
        <v>22</v>
      </c>
      <c r="AR54" s="1110">
        <f t="shared" si="16"/>
        <v>22</v>
      </c>
      <c r="AS54" s="646"/>
      <c r="AT54" s="646"/>
      <c r="AU54" s="646"/>
      <c r="AV54" s="646"/>
    </row>
    <row r="55" spans="1:48" x14ac:dyDescent="0.2">
      <c r="A55" s="239" t="s">
        <v>93</v>
      </c>
      <c r="D55" s="249"/>
      <c r="E55" s="249"/>
      <c r="F55" s="249"/>
      <c r="G55" s="249"/>
      <c r="H55" s="249"/>
      <c r="I55" s="249"/>
      <c r="J55" s="249"/>
      <c r="K55" s="249"/>
      <c r="L55" s="249"/>
      <c r="M55" s="249"/>
      <c r="N55" s="249"/>
      <c r="O55" s="249"/>
      <c r="P55" s="249"/>
      <c r="Q55" s="249"/>
      <c r="R55" s="249"/>
      <c r="S55" s="249"/>
      <c r="T55" s="249"/>
      <c r="U55" s="249"/>
      <c r="V55" s="249"/>
      <c r="W55" s="249"/>
      <c r="X55" s="249"/>
      <c r="Y55" s="249"/>
      <c r="Z55" s="249"/>
      <c r="AA55" s="249"/>
      <c r="AC55" s="645">
        <v>9</v>
      </c>
      <c r="AD55" s="645">
        <v>29</v>
      </c>
      <c r="AE55" s="645">
        <v>20</v>
      </c>
      <c r="AF55" s="1101">
        <v>22</v>
      </c>
      <c r="AG55" s="1101">
        <v>13</v>
      </c>
      <c r="AH55" s="1101">
        <v>11</v>
      </c>
      <c r="AI55" s="1101">
        <v>15</v>
      </c>
      <c r="AJ55" s="1101">
        <v>26</v>
      </c>
      <c r="AK55" s="1110">
        <f t="shared" ref="AK55:AL58" si="17">AJ55</f>
        <v>26</v>
      </c>
      <c r="AL55" s="1110">
        <f t="shared" si="17"/>
        <v>26</v>
      </c>
      <c r="AM55" s="1110">
        <f t="shared" ref="AM55:AR58" si="18">AL55</f>
        <v>26</v>
      </c>
      <c r="AN55" s="1110">
        <f t="shared" si="18"/>
        <v>26</v>
      </c>
      <c r="AO55" s="1110">
        <f t="shared" si="18"/>
        <v>26</v>
      </c>
      <c r="AP55" s="1110">
        <f t="shared" si="18"/>
        <v>26</v>
      </c>
      <c r="AQ55" s="1110">
        <f t="shared" si="18"/>
        <v>26</v>
      </c>
      <c r="AR55" s="1110">
        <f t="shared" si="18"/>
        <v>26</v>
      </c>
      <c r="AS55" s="646"/>
      <c r="AT55" s="646"/>
      <c r="AU55" s="646"/>
      <c r="AV55" s="646"/>
    </row>
    <row r="56" spans="1:48" x14ac:dyDescent="0.2">
      <c r="A56" s="239" t="s">
        <v>94</v>
      </c>
      <c r="D56" s="249"/>
      <c r="E56" s="249"/>
      <c r="F56" s="249"/>
      <c r="G56" s="249"/>
      <c r="H56" s="249"/>
      <c r="I56" s="249"/>
      <c r="J56" s="249"/>
      <c r="K56" s="249"/>
      <c r="L56" s="249"/>
      <c r="M56" s="249"/>
      <c r="N56" s="249"/>
      <c r="O56" s="249"/>
      <c r="P56" s="249"/>
      <c r="Q56" s="249"/>
      <c r="R56" s="249"/>
      <c r="S56" s="249"/>
      <c r="T56" s="249"/>
      <c r="U56" s="249"/>
      <c r="V56" s="249"/>
      <c r="W56" s="249"/>
      <c r="X56" s="249"/>
      <c r="Y56" s="249"/>
      <c r="Z56" s="249"/>
      <c r="AA56" s="249"/>
      <c r="AC56" s="645">
        <v>16</v>
      </c>
      <c r="AD56" s="645">
        <v>30</v>
      </c>
      <c r="AE56" s="645">
        <v>24</v>
      </c>
      <c r="AF56" s="1101">
        <v>27</v>
      </c>
      <c r="AG56" s="1101">
        <v>19</v>
      </c>
      <c r="AH56" s="1101">
        <f>43-AH55-AH54</f>
        <v>11</v>
      </c>
      <c r="AI56" s="1101">
        <v>15</v>
      </c>
      <c r="AJ56" s="1101">
        <v>29</v>
      </c>
      <c r="AK56" s="1110">
        <f t="shared" si="17"/>
        <v>29</v>
      </c>
      <c r="AL56" s="1110">
        <f t="shared" si="17"/>
        <v>29</v>
      </c>
      <c r="AM56" s="1110">
        <f t="shared" si="18"/>
        <v>29</v>
      </c>
      <c r="AN56" s="1110">
        <f t="shared" si="18"/>
        <v>29</v>
      </c>
      <c r="AO56" s="1110">
        <f t="shared" si="18"/>
        <v>29</v>
      </c>
      <c r="AP56" s="1110">
        <f t="shared" si="18"/>
        <v>29</v>
      </c>
      <c r="AQ56" s="1110">
        <f t="shared" si="18"/>
        <v>29</v>
      </c>
      <c r="AR56" s="1110">
        <f t="shared" si="18"/>
        <v>29</v>
      </c>
      <c r="AS56" s="646"/>
      <c r="AT56" s="646"/>
      <c r="AU56" s="646"/>
      <c r="AV56" s="646"/>
    </row>
    <row r="57" spans="1:48" x14ac:dyDescent="0.2">
      <c r="A57" s="239" t="s">
        <v>95</v>
      </c>
      <c r="D57" s="249"/>
      <c r="E57" s="249"/>
      <c r="F57" s="249"/>
      <c r="G57" s="249"/>
      <c r="H57" s="249"/>
      <c r="I57" s="249"/>
      <c r="J57" s="249"/>
      <c r="K57" s="249"/>
      <c r="L57" s="249"/>
      <c r="M57" s="249"/>
      <c r="N57" s="249"/>
      <c r="O57" s="249"/>
      <c r="P57" s="249"/>
      <c r="Q57" s="249"/>
      <c r="R57" s="249"/>
      <c r="S57" s="249"/>
      <c r="T57" s="249"/>
      <c r="U57" s="249"/>
      <c r="V57" s="249"/>
      <c r="W57" s="249"/>
      <c r="X57" s="249"/>
      <c r="Y57" s="249"/>
      <c r="Z57" s="249"/>
      <c r="AA57" s="249"/>
      <c r="AC57" s="645">
        <v>16</v>
      </c>
      <c r="AD57" s="645">
        <v>32</v>
      </c>
      <c r="AE57" s="645">
        <v>10</v>
      </c>
      <c r="AF57" s="1101">
        <v>18</v>
      </c>
      <c r="AG57" s="1101">
        <v>17</v>
      </c>
      <c r="AH57" s="296">
        <f>AH58-AH56-AH55-AH54</f>
        <v>15</v>
      </c>
      <c r="AI57" s="296">
        <f>AI58-AI56-AI55-AI54</f>
        <v>24</v>
      </c>
      <c r="AJ57" s="296">
        <f>AJ58-AJ56-AJ55-AJ54</f>
        <v>33</v>
      </c>
      <c r="AK57" s="1110">
        <f t="shared" si="17"/>
        <v>33</v>
      </c>
      <c r="AL57" s="1110">
        <f t="shared" si="17"/>
        <v>33</v>
      </c>
      <c r="AM57" s="1110">
        <f t="shared" si="18"/>
        <v>33</v>
      </c>
      <c r="AN57" s="1110">
        <f t="shared" si="18"/>
        <v>33</v>
      </c>
      <c r="AO57" s="1110">
        <f t="shared" si="18"/>
        <v>33</v>
      </c>
      <c r="AP57" s="1110">
        <f t="shared" si="18"/>
        <v>33</v>
      </c>
      <c r="AQ57" s="1110">
        <f t="shared" si="18"/>
        <v>33</v>
      </c>
      <c r="AR57" s="1110">
        <f t="shared" si="18"/>
        <v>33</v>
      </c>
      <c r="AS57" s="646"/>
      <c r="AT57" s="646"/>
      <c r="AU57" s="646"/>
      <c r="AV57" s="646"/>
    </row>
    <row r="58" spans="1:48" x14ac:dyDescent="0.2">
      <c r="A58" s="239" t="s">
        <v>337</v>
      </c>
      <c r="D58" s="249"/>
      <c r="E58" s="249"/>
      <c r="F58" s="249"/>
      <c r="G58" s="249"/>
      <c r="H58" s="249"/>
      <c r="I58" s="249"/>
      <c r="J58" s="249"/>
      <c r="K58" s="249"/>
      <c r="L58" s="249"/>
      <c r="M58" s="249"/>
      <c r="N58" s="249"/>
      <c r="O58" s="249"/>
      <c r="P58" s="249"/>
      <c r="Q58" s="249"/>
      <c r="R58" s="249"/>
      <c r="S58" s="249"/>
      <c r="T58" s="249"/>
      <c r="U58" s="249"/>
      <c r="V58" s="249"/>
      <c r="W58" s="249"/>
      <c r="X58" s="249"/>
      <c r="Y58" s="249"/>
      <c r="Z58" s="249"/>
      <c r="AA58" s="645">
        <v>49</v>
      </c>
      <c r="AB58" s="645">
        <v>31</v>
      </c>
      <c r="AC58" s="296">
        <f>SUM(AC54:AC57)</f>
        <v>58</v>
      </c>
      <c r="AD58" s="296">
        <f>SUM(AD54:AD57)</f>
        <v>119</v>
      </c>
      <c r="AE58" s="296">
        <f>SUM(AE54:AE57)</f>
        <v>96</v>
      </c>
      <c r="AF58" s="296">
        <f>SUM(AF54:AF57)</f>
        <v>95</v>
      </c>
      <c r="AG58" s="296">
        <f>SUM(AG54:AG57)</f>
        <v>78</v>
      </c>
      <c r="AH58" s="1101">
        <v>58</v>
      </c>
      <c r="AI58" s="1101">
        <v>89</v>
      </c>
      <c r="AJ58" s="1101">
        <v>110</v>
      </c>
      <c r="AK58" s="1110">
        <f t="shared" si="17"/>
        <v>110</v>
      </c>
      <c r="AL58" s="1110">
        <f t="shared" si="17"/>
        <v>110</v>
      </c>
      <c r="AM58" s="1110">
        <f t="shared" si="18"/>
        <v>110</v>
      </c>
      <c r="AN58" s="1110">
        <f t="shared" si="18"/>
        <v>110</v>
      </c>
      <c r="AO58" s="1110">
        <f t="shared" si="18"/>
        <v>110</v>
      </c>
      <c r="AP58" s="1110">
        <f t="shared" si="18"/>
        <v>110</v>
      </c>
      <c r="AQ58" s="1110">
        <f t="shared" si="18"/>
        <v>110</v>
      </c>
      <c r="AR58" s="1110">
        <f t="shared" si="18"/>
        <v>110</v>
      </c>
      <c r="AS58" s="646"/>
      <c r="AT58" s="646"/>
      <c r="AU58" s="646"/>
      <c r="AV58" s="646"/>
    </row>
    <row r="59" spans="1:48" x14ac:dyDescent="0.2">
      <c r="A59" s="239" t="s">
        <v>340</v>
      </c>
      <c r="D59" s="249"/>
      <c r="E59" s="249"/>
      <c r="F59" s="249"/>
      <c r="G59" s="249"/>
      <c r="H59" s="249"/>
      <c r="I59" s="249"/>
      <c r="J59" s="249"/>
      <c r="K59" s="249"/>
      <c r="L59" s="249"/>
      <c r="M59" s="249"/>
      <c r="N59" s="249"/>
      <c r="O59" s="249"/>
      <c r="P59" s="249"/>
      <c r="Q59" s="249"/>
      <c r="R59" s="249"/>
      <c r="S59" s="249"/>
      <c r="T59" s="249"/>
      <c r="U59" s="249"/>
      <c r="V59" s="249"/>
      <c r="W59" s="249"/>
      <c r="X59" s="249"/>
      <c r="Y59" s="249"/>
      <c r="Z59" s="249"/>
      <c r="AA59" s="296">
        <f t="shared" ref="AA59:AI59" si="19">-AA15-AA58</f>
        <v>222.65899999999999</v>
      </c>
      <c r="AB59" s="296">
        <f t="shared" si="19"/>
        <v>233.43700000000001</v>
      </c>
      <c r="AC59" s="296">
        <f t="shared" si="19"/>
        <v>443</v>
      </c>
      <c r="AD59" s="296">
        <f t="shared" si="19"/>
        <v>444</v>
      </c>
      <c r="AE59" s="296">
        <f t="shared" si="19"/>
        <v>264</v>
      </c>
      <c r="AF59" s="296">
        <f t="shared" si="19"/>
        <v>304</v>
      </c>
      <c r="AG59" s="296">
        <f t="shared" si="19"/>
        <v>433</v>
      </c>
      <c r="AH59" s="296">
        <f t="shared" si="19"/>
        <v>455</v>
      </c>
      <c r="AI59" s="296">
        <f t="shared" si="19"/>
        <v>714</v>
      </c>
      <c r="AJ59" s="296">
        <f t="shared" ref="AJ59:AR59" si="20">-AJ15-AJ58</f>
        <v>751</v>
      </c>
      <c r="AK59" s="670">
        <f t="shared" si="20"/>
        <v>972</v>
      </c>
      <c r="AL59" s="670">
        <f t="shared" si="20"/>
        <v>736</v>
      </c>
      <c r="AM59" s="670">
        <f t="shared" si="20"/>
        <v>621</v>
      </c>
      <c r="AN59" s="670">
        <f t="shared" si="20"/>
        <v>630</v>
      </c>
      <c r="AO59" s="670">
        <f t="shared" si="20"/>
        <v>510</v>
      </c>
      <c r="AP59" s="670">
        <f t="shared" si="20"/>
        <v>510</v>
      </c>
      <c r="AQ59" s="670">
        <f t="shared" si="20"/>
        <v>510</v>
      </c>
      <c r="AR59" s="670">
        <f t="shared" si="20"/>
        <v>510</v>
      </c>
      <c r="AS59" s="646"/>
      <c r="AT59" s="646"/>
      <c r="AU59" s="646"/>
      <c r="AV59" s="646"/>
    </row>
    <row r="60" spans="1:48" x14ac:dyDescent="0.2">
      <c r="D60" s="249"/>
      <c r="E60" s="249"/>
      <c r="F60" s="249"/>
      <c r="G60" s="249"/>
      <c r="H60" s="249"/>
      <c r="I60" s="249"/>
      <c r="J60" s="249"/>
      <c r="K60" s="249"/>
      <c r="L60" s="249"/>
      <c r="M60" s="249"/>
      <c r="N60" s="249"/>
      <c r="O60" s="249"/>
      <c r="P60" s="249"/>
      <c r="Q60" s="249"/>
      <c r="R60" s="249"/>
      <c r="S60" s="249"/>
      <c r="T60" s="249"/>
      <c r="U60" s="249"/>
      <c r="V60" s="249"/>
      <c r="W60" s="249"/>
      <c r="X60" s="249"/>
      <c r="Y60" s="249"/>
      <c r="Z60" s="249"/>
      <c r="AA60" s="249"/>
      <c r="AC60" s="296"/>
      <c r="AD60" s="296"/>
      <c r="AE60" s="296"/>
      <c r="AF60" s="296"/>
      <c r="AG60" s="296"/>
      <c r="AH60" s="296"/>
      <c r="AJ60" s="257"/>
    </row>
    <row r="61" spans="1:48" x14ac:dyDescent="0.2">
      <c r="A61" s="239" t="s">
        <v>338</v>
      </c>
      <c r="D61" s="249"/>
      <c r="E61" s="249"/>
      <c r="F61" s="249"/>
      <c r="G61" s="249"/>
      <c r="H61" s="249"/>
      <c r="I61" s="249"/>
      <c r="J61" s="249"/>
      <c r="K61" s="249"/>
      <c r="L61" s="249"/>
      <c r="M61" s="249"/>
      <c r="N61" s="249"/>
      <c r="O61" s="249"/>
      <c r="P61" s="249"/>
      <c r="Q61" s="249"/>
      <c r="R61" s="249"/>
      <c r="S61" s="249"/>
      <c r="T61" s="249"/>
      <c r="U61" s="249"/>
      <c r="V61" s="249"/>
      <c r="W61" s="249"/>
      <c r="X61" s="249"/>
      <c r="Y61" s="249"/>
      <c r="Z61" s="249"/>
      <c r="AA61" s="249"/>
      <c r="AC61" s="296"/>
      <c r="AD61" s="296"/>
      <c r="AE61" s="296"/>
      <c r="AF61" s="296"/>
      <c r="AG61" s="296"/>
      <c r="AH61" s="296"/>
      <c r="AI61" s="249"/>
      <c r="AJ61" s="249"/>
      <c r="AK61" s="322"/>
      <c r="AL61" s="322"/>
      <c r="AM61" s="249"/>
      <c r="AN61" s="249"/>
      <c r="AO61" s="249"/>
      <c r="AP61" s="249"/>
      <c r="AQ61" s="249"/>
      <c r="AR61" s="249"/>
      <c r="AS61" s="249"/>
      <c r="AT61" s="249"/>
      <c r="AU61" s="249"/>
      <c r="AV61" s="249"/>
    </row>
    <row r="62" spans="1:48" x14ac:dyDescent="0.2">
      <c r="A62" s="239" t="s">
        <v>92</v>
      </c>
      <c r="D62" s="249"/>
      <c r="E62" s="249"/>
      <c r="F62" s="249"/>
      <c r="G62" s="249"/>
      <c r="H62" s="249"/>
      <c r="I62" s="249"/>
      <c r="J62" s="249"/>
      <c r="K62" s="249"/>
      <c r="L62" s="249"/>
      <c r="M62" s="249"/>
      <c r="N62" s="249"/>
      <c r="O62" s="249"/>
      <c r="P62" s="249"/>
      <c r="Q62" s="249"/>
      <c r="R62" s="249"/>
      <c r="S62" s="249"/>
      <c r="T62" s="249"/>
      <c r="U62" s="249"/>
      <c r="V62" s="249"/>
      <c r="W62" s="249"/>
      <c r="X62" s="249"/>
      <c r="Y62" s="249"/>
      <c r="Z62" s="249"/>
      <c r="AA62" s="249"/>
      <c r="AC62" s="645">
        <v>9</v>
      </c>
      <c r="AD62" s="645">
        <v>10</v>
      </c>
      <c r="AE62" s="645">
        <v>10</v>
      </c>
      <c r="AF62" s="1101">
        <v>15</v>
      </c>
      <c r="AG62" s="1101">
        <v>14</v>
      </c>
      <c r="AH62" s="1101">
        <v>18</v>
      </c>
      <c r="AI62" s="1101">
        <v>16</v>
      </c>
      <c r="AJ62" s="1101">
        <v>18</v>
      </c>
      <c r="AK62" s="257">
        <f t="shared" ref="AK62:AR62" si="21">AJ62</f>
        <v>18</v>
      </c>
      <c r="AL62" s="257">
        <f t="shared" si="21"/>
        <v>18</v>
      </c>
      <c r="AM62" s="257">
        <f t="shared" si="21"/>
        <v>18</v>
      </c>
      <c r="AN62" s="257">
        <f t="shared" si="21"/>
        <v>18</v>
      </c>
      <c r="AO62" s="257">
        <f t="shared" si="21"/>
        <v>18</v>
      </c>
      <c r="AP62" s="257">
        <f t="shared" si="21"/>
        <v>18</v>
      </c>
      <c r="AQ62" s="257">
        <f t="shared" si="21"/>
        <v>18</v>
      </c>
      <c r="AR62" s="257">
        <f t="shared" si="21"/>
        <v>18</v>
      </c>
      <c r="AS62" s="257"/>
      <c r="AT62" s="257"/>
      <c r="AU62" s="257"/>
      <c r="AV62" s="257"/>
    </row>
    <row r="63" spans="1:48" x14ac:dyDescent="0.2">
      <c r="A63" s="239" t="s">
        <v>93</v>
      </c>
      <c r="D63" s="249"/>
      <c r="E63" s="249"/>
      <c r="F63" s="249"/>
      <c r="G63" s="249"/>
      <c r="H63" s="249"/>
      <c r="I63" s="249"/>
      <c r="J63" s="249"/>
      <c r="K63" s="249"/>
      <c r="L63" s="249"/>
      <c r="M63" s="249"/>
      <c r="N63" s="249"/>
      <c r="O63" s="249"/>
      <c r="P63" s="249"/>
      <c r="Q63" s="249"/>
      <c r="R63" s="249"/>
      <c r="S63" s="249"/>
      <c r="T63" s="249"/>
      <c r="U63" s="249"/>
      <c r="V63" s="249"/>
      <c r="W63" s="249"/>
      <c r="X63" s="249"/>
      <c r="Y63" s="249"/>
      <c r="Z63" s="249"/>
      <c r="AA63" s="249"/>
      <c r="AC63" s="645">
        <f>21-AC62</f>
        <v>12</v>
      </c>
      <c r="AD63" s="645">
        <f>20-AD62</f>
        <v>10</v>
      </c>
      <c r="AE63" s="645">
        <f>21-AE62</f>
        <v>11</v>
      </c>
      <c r="AF63" s="1101">
        <f>27-AF62</f>
        <v>12</v>
      </c>
      <c r="AG63" s="1101">
        <f>28-AG62</f>
        <v>14</v>
      </c>
      <c r="AH63" s="1101">
        <f>32-AH62</f>
        <v>14</v>
      </c>
      <c r="AI63" s="1101">
        <f>32-AI62</f>
        <v>16</v>
      </c>
      <c r="AJ63" s="1101">
        <v>12</v>
      </c>
      <c r="AK63" s="257">
        <f t="shared" ref="AK63:AL66" si="22">AJ63</f>
        <v>12</v>
      </c>
      <c r="AL63" s="257">
        <f t="shared" si="22"/>
        <v>12</v>
      </c>
      <c r="AM63" s="257">
        <f t="shared" ref="AM63:AR66" si="23">AL63</f>
        <v>12</v>
      </c>
      <c r="AN63" s="257">
        <f t="shared" si="23"/>
        <v>12</v>
      </c>
      <c r="AO63" s="257">
        <f t="shared" si="23"/>
        <v>12</v>
      </c>
      <c r="AP63" s="257">
        <f t="shared" si="23"/>
        <v>12</v>
      </c>
      <c r="AQ63" s="257">
        <f t="shared" si="23"/>
        <v>12</v>
      </c>
      <c r="AR63" s="257">
        <f t="shared" si="23"/>
        <v>12</v>
      </c>
      <c r="AS63" s="257"/>
      <c r="AT63" s="257"/>
      <c r="AU63" s="257"/>
      <c r="AV63" s="257"/>
    </row>
    <row r="64" spans="1:48" x14ac:dyDescent="0.2">
      <c r="A64" s="239" t="s">
        <v>94</v>
      </c>
      <c r="D64" s="249"/>
      <c r="E64" s="249"/>
      <c r="F64" s="249"/>
      <c r="G64" s="249"/>
      <c r="H64" s="249"/>
      <c r="I64" s="249"/>
      <c r="J64" s="249"/>
      <c r="K64" s="249"/>
      <c r="L64" s="249"/>
      <c r="M64" s="249"/>
      <c r="N64" s="249"/>
      <c r="O64" s="249"/>
      <c r="P64" s="249"/>
      <c r="Q64" s="249"/>
      <c r="R64" s="249"/>
      <c r="S64" s="249"/>
      <c r="T64" s="249"/>
      <c r="U64" s="249"/>
      <c r="V64" s="249"/>
      <c r="W64" s="249"/>
      <c r="X64" s="249"/>
      <c r="Y64" s="249"/>
      <c r="Z64" s="249"/>
      <c r="AA64" s="249"/>
      <c r="AC64" s="645">
        <f>30-AC63-AC62</f>
        <v>9</v>
      </c>
      <c r="AD64" s="645">
        <f>30-AD63-AD62</f>
        <v>10</v>
      </c>
      <c r="AE64" s="645">
        <f>31-AE63-AE62</f>
        <v>10</v>
      </c>
      <c r="AF64" s="1101">
        <f>40-AF63-AF62</f>
        <v>13</v>
      </c>
      <c r="AG64" s="1101">
        <f>41-AG63-AG62</f>
        <v>13</v>
      </c>
      <c r="AH64" s="1101">
        <f>47-AH63-AH62</f>
        <v>15</v>
      </c>
      <c r="AI64" s="1101">
        <f>40-AI63-AI62</f>
        <v>8</v>
      </c>
      <c r="AJ64" s="1101">
        <v>16</v>
      </c>
      <c r="AK64" s="257">
        <f t="shared" si="22"/>
        <v>16</v>
      </c>
      <c r="AL64" s="257">
        <f t="shared" si="22"/>
        <v>16</v>
      </c>
      <c r="AM64" s="257">
        <f t="shared" si="23"/>
        <v>16</v>
      </c>
      <c r="AN64" s="257">
        <f t="shared" si="23"/>
        <v>16</v>
      </c>
      <c r="AO64" s="257">
        <f t="shared" si="23"/>
        <v>16</v>
      </c>
      <c r="AP64" s="257">
        <f t="shared" si="23"/>
        <v>16</v>
      </c>
      <c r="AQ64" s="257">
        <f t="shared" si="23"/>
        <v>16</v>
      </c>
      <c r="AR64" s="257">
        <f t="shared" si="23"/>
        <v>16</v>
      </c>
      <c r="AS64" s="257"/>
      <c r="AT64" s="257"/>
      <c r="AU64" s="257"/>
      <c r="AV64" s="257"/>
    </row>
    <row r="65" spans="1:48" x14ac:dyDescent="0.2">
      <c r="A65" s="239" t="s">
        <v>95</v>
      </c>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C65" s="296">
        <f t="shared" ref="AC65:AJ65" si="24">AC66-AC64-AC63-AC62</f>
        <v>6</v>
      </c>
      <c r="AD65" s="296">
        <f t="shared" si="24"/>
        <v>-9</v>
      </c>
      <c r="AE65" s="296">
        <f t="shared" si="24"/>
        <v>11</v>
      </c>
      <c r="AF65" s="296">
        <f t="shared" si="24"/>
        <v>14</v>
      </c>
      <c r="AG65" s="296">
        <f t="shared" si="24"/>
        <v>5</v>
      </c>
      <c r="AH65" s="296">
        <f t="shared" si="24"/>
        <v>16</v>
      </c>
      <c r="AI65" s="296">
        <f t="shared" si="24"/>
        <v>18</v>
      </c>
      <c r="AJ65" s="296">
        <f t="shared" si="24"/>
        <v>30</v>
      </c>
      <c r="AK65" s="257">
        <f t="shared" si="22"/>
        <v>30</v>
      </c>
      <c r="AL65" s="257">
        <f t="shared" si="22"/>
        <v>30</v>
      </c>
      <c r="AM65" s="257">
        <f t="shared" si="23"/>
        <v>30</v>
      </c>
      <c r="AN65" s="257">
        <f t="shared" si="23"/>
        <v>30</v>
      </c>
      <c r="AO65" s="257">
        <f t="shared" si="23"/>
        <v>30</v>
      </c>
      <c r="AP65" s="257">
        <f t="shared" si="23"/>
        <v>30</v>
      </c>
      <c r="AQ65" s="257">
        <f t="shared" si="23"/>
        <v>30</v>
      </c>
      <c r="AR65" s="257">
        <f t="shared" si="23"/>
        <v>30</v>
      </c>
      <c r="AS65" s="257"/>
      <c r="AT65" s="257"/>
      <c r="AU65" s="257"/>
      <c r="AV65" s="257"/>
    </row>
    <row r="66" spans="1:48" x14ac:dyDescent="0.2">
      <c r="A66" s="239" t="s">
        <v>337</v>
      </c>
      <c r="D66" s="249"/>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645">
        <v>36</v>
      </c>
      <c r="AC66" s="645">
        <v>36</v>
      </c>
      <c r="AD66" s="645">
        <v>21</v>
      </c>
      <c r="AE66" s="645">
        <v>42</v>
      </c>
      <c r="AF66" s="1101">
        <v>54</v>
      </c>
      <c r="AG66" s="1101">
        <v>46</v>
      </c>
      <c r="AH66" s="1101">
        <v>63</v>
      </c>
      <c r="AI66" s="1101">
        <v>58</v>
      </c>
      <c r="AJ66" s="1101">
        <v>76</v>
      </c>
      <c r="AK66" s="257">
        <f t="shared" si="22"/>
        <v>76</v>
      </c>
      <c r="AL66" s="257">
        <f t="shared" si="22"/>
        <v>76</v>
      </c>
      <c r="AM66" s="257">
        <f t="shared" si="23"/>
        <v>76</v>
      </c>
      <c r="AN66" s="257">
        <f t="shared" si="23"/>
        <v>76</v>
      </c>
      <c r="AO66" s="257">
        <f t="shared" si="23"/>
        <v>76</v>
      </c>
      <c r="AP66" s="257">
        <f t="shared" si="23"/>
        <v>76</v>
      </c>
      <c r="AQ66" s="257">
        <f t="shared" si="23"/>
        <v>76</v>
      </c>
      <c r="AR66" s="257">
        <f t="shared" si="23"/>
        <v>76</v>
      </c>
      <c r="AS66" s="257"/>
      <c r="AT66" s="257"/>
      <c r="AU66" s="257"/>
      <c r="AV66" s="257"/>
    </row>
    <row r="67" spans="1:48" x14ac:dyDescent="0.2">
      <c r="A67" s="239" t="s">
        <v>339</v>
      </c>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670">
        <f t="shared" ref="AB67:AI67" si="25">AB10-AB66</f>
        <v>248.51999999999998</v>
      </c>
      <c r="AC67" s="670">
        <f t="shared" si="25"/>
        <v>233</v>
      </c>
      <c r="AD67" s="670">
        <f t="shared" si="25"/>
        <v>281</v>
      </c>
      <c r="AE67" s="670">
        <f t="shared" si="25"/>
        <v>271</v>
      </c>
      <c r="AF67" s="670">
        <f t="shared" si="25"/>
        <v>273</v>
      </c>
      <c r="AG67" s="670">
        <f t="shared" si="25"/>
        <v>325</v>
      </c>
      <c r="AH67" s="670">
        <f t="shared" si="25"/>
        <v>366</v>
      </c>
      <c r="AI67" s="670">
        <f t="shared" si="25"/>
        <v>396</v>
      </c>
      <c r="AJ67" s="239">
        <f t="shared" ref="AJ67:AO67" si="26">AJ10-AJ66</f>
        <v>432</v>
      </c>
      <c r="AK67" s="239">
        <f t="shared" si="26"/>
        <v>500</v>
      </c>
      <c r="AL67" s="239">
        <f t="shared" si="26"/>
        <v>569</v>
      </c>
      <c r="AM67" s="753">
        <f t="shared" si="26"/>
        <v>590</v>
      </c>
      <c r="AN67" s="753">
        <f t="shared" si="26"/>
        <v>566</v>
      </c>
      <c r="AO67" s="753">
        <f t="shared" si="26"/>
        <v>556</v>
      </c>
      <c r="AP67" s="753">
        <f>AP10-AP66</f>
        <v>546</v>
      </c>
      <c r="AQ67" s="753">
        <f>AQ10-AQ66</f>
        <v>536</v>
      </c>
      <c r="AR67" s="753">
        <f>AR10-AR66</f>
        <v>526</v>
      </c>
    </row>
    <row r="68" spans="1:48" x14ac:dyDescent="0.2">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C68" s="296"/>
      <c r="AD68" s="296"/>
      <c r="AE68" s="296"/>
      <c r="AF68" s="296"/>
      <c r="AG68" s="296"/>
      <c r="AH68" s="296"/>
    </row>
    <row r="69" spans="1:48" x14ac:dyDescent="0.2">
      <c r="A69" s="239" t="s">
        <v>342</v>
      </c>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C69" s="645">
        <v>1400</v>
      </c>
      <c r="AD69" s="645">
        <v>0</v>
      </c>
      <c r="AE69" s="645">
        <v>0</v>
      </c>
      <c r="AF69" s="1101">
        <v>411</v>
      </c>
      <c r="AG69" s="1101">
        <v>310</v>
      </c>
      <c r="AH69" s="646">
        <f>'qtrP&amp;L'!CU213</f>
        <v>0</v>
      </c>
      <c r="AI69" s="646"/>
      <c r="AJ69" s="646"/>
      <c r="AK69" s="646"/>
      <c r="AL69" s="646"/>
      <c r="AM69" s="646"/>
      <c r="AN69" s="646"/>
      <c r="AO69" s="646"/>
      <c r="AP69" s="646"/>
      <c r="AQ69" s="646"/>
      <c r="AR69" s="646"/>
      <c r="AS69" s="646"/>
      <c r="AT69" s="646"/>
      <c r="AU69" s="646"/>
      <c r="AV69" s="646"/>
    </row>
    <row r="70" spans="1:48" x14ac:dyDescent="0.2">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row>
    <row r="71" spans="1:48" x14ac:dyDescent="0.2">
      <c r="A71" s="239" t="s">
        <v>77</v>
      </c>
      <c r="D71" s="249"/>
      <c r="E71" s="249"/>
      <c r="F71" s="249"/>
      <c r="G71" s="249"/>
      <c r="H71" s="249"/>
      <c r="I71" s="249"/>
      <c r="J71" s="249"/>
      <c r="K71" s="249"/>
      <c r="L71" s="249"/>
      <c r="M71" s="249"/>
      <c r="N71" s="249"/>
      <c r="O71" s="249"/>
      <c r="P71" s="249"/>
      <c r="Q71" s="249"/>
      <c r="R71" s="249"/>
      <c r="S71" s="249"/>
      <c r="T71" s="249"/>
      <c r="U71" s="249"/>
      <c r="V71" s="249"/>
      <c r="W71" s="249"/>
      <c r="X71" s="249"/>
      <c r="Y71" s="249"/>
      <c r="Z71" s="249"/>
      <c r="AA71" s="249"/>
    </row>
    <row r="72" spans="1:48" x14ac:dyDescent="0.2">
      <c r="D72" s="249"/>
      <c r="E72" s="249"/>
      <c r="F72" s="249"/>
      <c r="G72" s="249"/>
      <c r="H72" s="249"/>
      <c r="I72" s="249"/>
      <c r="J72" s="249"/>
      <c r="K72" s="249"/>
      <c r="L72" s="249"/>
      <c r="M72" s="249"/>
      <c r="N72" s="249"/>
      <c r="O72" s="249"/>
      <c r="P72" s="249"/>
      <c r="Q72" s="249"/>
      <c r="R72" s="249"/>
      <c r="S72" s="249"/>
      <c r="T72" s="249"/>
      <c r="U72" s="249"/>
      <c r="V72" s="249"/>
      <c r="W72" s="249"/>
      <c r="X72" s="249"/>
      <c r="Y72" s="249"/>
      <c r="Z72" s="249"/>
      <c r="AA72" s="249"/>
    </row>
    <row r="73" spans="1:48" customFormat="1" x14ac:dyDescent="0.2"/>
  </sheetData>
  <phoneticPr fontId="10" type="noConversion"/>
  <pageMargins left="0" right="0" top="0" bottom="0" header="0" footer="0"/>
  <pageSetup paperSize="5" orientation="landscape" horizontalDpi="300" verticalDpi="300"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M166"/>
  <sheetViews>
    <sheetView zoomScale="85" zoomScaleNormal="85" workbookViewId="0"/>
  </sheetViews>
  <sheetFormatPr defaultRowHeight="12.75" outlineLevelRow="1" outlineLevelCol="1" x14ac:dyDescent="0.2"/>
  <cols>
    <col min="1" max="1" width="2.85546875" style="239" customWidth="1"/>
    <col min="2" max="2" width="6.85546875" style="239" bestFit="1" customWidth="1"/>
    <col min="3" max="3" width="2.140625" style="239" customWidth="1"/>
    <col min="4" max="4" width="9.140625" style="239" customWidth="1"/>
    <col min="5" max="5" width="2.140625" style="239" customWidth="1"/>
    <col min="6" max="6" width="8.5703125" style="239" customWidth="1"/>
    <col min="7" max="7" width="2.140625" style="239" customWidth="1"/>
    <col min="8" max="8" width="10.85546875" style="239" customWidth="1"/>
    <col min="9" max="9" width="2.140625" style="239" customWidth="1"/>
    <col min="10" max="10" width="8.28515625" style="239" customWidth="1"/>
    <col min="11" max="11" width="2.140625" style="239" customWidth="1"/>
    <col min="12" max="12" width="8.5703125" style="239" customWidth="1"/>
    <col min="13" max="13" width="2.140625" style="239" customWidth="1"/>
    <col min="14" max="14" width="8.42578125" style="239" customWidth="1"/>
    <col min="15" max="15" width="2.140625" style="239" customWidth="1"/>
    <col min="16" max="16" width="8.5703125" style="239" customWidth="1"/>
    <col min="17" max="17" width="2.140625" style="239" customWidth="1"/>
    <col min="18" max="18" width="9.140625" style="239"/>
    <col min="19" max="19" width="2.140625" style="239" customWidth="1"/>
    <col min="20" max="20" width="9.140625" style="239"/>
    <col min="21" max="21" width="2.140625" style="239" customWidth="1"/>
    <col min="22" max="22" width="8.7109375" style="239" customWidth="1"/>
    <col min="23" max="23" width="2.140625" style="239" customWidth="1"/>
    <col min="24" max="24" width="8.42578125" style="239" customWidth="1"/>
    <col min="25" max="25" width="2.140625" style="239" customWidth="1"/>
    <col min="26" max="26" width="8" style="239" customWidth="1"/>
    <col min="27" max="27" width="2.140625" style="239" customWidth="1"/>
    <col min="28" max="28" width="8" style="239" customWidth="1"/>
    <col min="29" max="29" width="2.140625" style="239" customWidth="1"/>
    <col min="30" max="30" width="9.140625" style="239"/>
    <col min="31" max="31" width="2.140625" style="239" customWidth="1"/>
    <col min="32" max="32" width="9.140625" style="239"/>
    <col min="33" max="33" width="2.140625" style="239" customWidth="1"/>
    <col min="34" max="34" width="9.140625" style="239"/>
    <col min="35" max="35" width="2.140625" style="239" customWidth="1"/>
    <col min="36" max="36" width="9.140625" style="239"/>
    <col min="37" max="37" width="4.7109375" style="239" customWidth="1"/>
    <col min="38" max="38" width="17.140625" style="239" customWidth="1" outlineLevel="1"/>
    <col min="39" max="39" width="11.28515625" style="239" bestFit="1" customWidth="1" outlineLevel="1"/>
    <col min="40" max="16384" width="9.140625" style="239"/>
  </cols>
  <sheetData>
    <row r="1" spans="1:39" x14ac:dyDescent="0.2">
      <c r="A1" s="504" t="s">
        <v>298</v>
      </c>
      <c r="B1" s="504"/>
      <c r="C1" s="504"/>
    </row>
    <row r="2" spans="1:39" x14ac:dyDescent="0.2">
      <c r="A2" s="250" t="s">
        <v>604</v>
      </c>
      <c r="B2" s="250"/>
      <c r="C2" s="250"/>
      <c r="D2" s="240"/>
      <c r="E2" s="240"/>
      <c r="F2" s="240"/>
      <c r="G2" s="240"/>
      <c r="H2" s="240"/>
      <c r="I2" s="240"/>
      <c r="J2" s="240"/>
      <c r="K2" s="240"/>
      <c r="L2" s="240"/>
      <c r="M2" s="240"/>
      <c r="N2" s="240"/>
      <c r="O2" s="240"/>
      <c r="P2" s="240"/>
      <c r="Q2" s="240"/>
      <c r="R2" s="240"/>
      <c r="S2" s="240"/>
      <c r="T2" s="240"/>
      <c r="U2" s="240"/>
      <c r="V2" s="240"/>
      <c r="W2" s="240"/>
      <c r="X2" s="240"/>
      <c r="Y2" s="240"/>
      <c r="Z2" s="240"/>
      <c r="AA2" s="240"/>
      <c r="AB2" s="240"/>
      <c r="AC2" s="240"/>
      <c r="AD2" s="240"/>
      <c r="AE2" s="240"/>
      <c r="AF2" s="240"/>
      <c r="AG2" s="240"/>
      <c r="AH2" s="240"/>
      <c r="AI2" s="240"/>
      <c r="AJ2" s="240"/>
      <c r="AL2" s="240"/>
    </row>
    <row r="3" spans="1:39" x14ac:dyDescent="0.2">
      <c r="A3" s="1013" t="s">
        <v>97</v>
      </c>
      <c r="B3" s="1013"/>
      <c r="C3" s="1013"/>
    </row>
    <row r="4" spans="1:39" x14ac:dyDescent="0.2">
      <c r="B4" s="1014"/>
      <c r="C4" s="1014"/>
      <c r="D4" s="1014"/>
      <c r="E4" s="1014"/>
      <c r="F4" s="1014"/>
      <c r="G4" s="1014"/>
      <c r="H4" s="1014"/>
      <c r="I4" s="1014"/>
      <c r="J4" s="1014"/>
      <c r="K4" s="1014"/>
      <c r="L4" s="1015"/>
      <c r="M4" s="1016"/>
      <c r="N4" s="1017" t="s">
        <v>107</v>
      </c>
      <c r="O4" s="1017"/>
      <c r="P4" s="1017"/>
      <c r="Q4" s="1014"/>
      <c r="R4" s="1018"/>
      <c r="S4" s="1018" t="s">
        <v>129</v>
      </c>
      <c r="T4" s="1018"/>
      <c r="U4" s="1014"/>
      <c r="V4" s="1017"/>
      <c r="W4" s="1017"/>
      <c r="X4" s="1017" t="s">
        <v>89</v>
      </c>
      <c r="Y4" s="1017"/>
      <c r="Z4" s="1017"/>
      <c r="AA4" s="1018"/>
      <c r="AB4" s="1017"/>
      <c r="AC4" s="1017"/>
      <c r="AD4" s="1017" t="s">
        <v>62</v>
      </c>
      <c r="AE4" s="1017"/>
      <c r="AF4" s="1017"/>
      <c r="AG4" s="1014"/>
      <c r="AH4" s="1019"/>
      <c r="AI4" s="1018" t="s">
        <v>134</v>
      </c>
      <c r="AJ4" s="1019"/>
      <c r="AL4" s="1014"/>
    </row>
    <row r="5" spans="1:39" x14ac:dyDescent="0.2">
      <c r="B5" s="1020"/>
      <c r="C5" s="1020"/>
      <c r="D5" s="1020"/>
      <c r="E5" s="1020"/>
      <c r="F5" s="1020"/>
      <c r="G5" s="1020"/>
      <c r="H5" s="1021"/>
      <c r="I5" s="1022" t="s">
        <v>109</v>
      </c>
      <c r="J5" s="1021"/>
      <c r="K5" s="1020"/>
      <c r="L5" s="1018" t="s">
        <v>86</v>
      </c>
      <c r="M5" s="1018"/>
      <c r="N5" s="1017"/>
      <c r="O5" s="1017" t="s">
        <v>128</v>
      </c>
      <c r="P5" s="1017"/>
      <c r="Q5" s="1020"/>
      <c r="R5" s="1017"/>
      <c r="S5" s="1017" t="s">
        <v>130</v>
      </c>
      <c r="T5" s="1017"/>
      <c r="U5" s="1020"/>
      <c r="V5" s="1018" t="s">
        <v>120</v>
      </c>
      <c r="W5" s="1018"/>
      <c r="X5" s="1018" t="s">
        <v>109</v>
      </c>
      <c r="Y5" s="1018"/>
      <c r="Z5" s="1018" t="s">
        <v>121</v>
      </c>
      <c r="AA5" s="1018"/>
      <c r="AB5" s="1018" t="s">
        <v>122</v>
      </c>
      <c r="AC5" s="1018"/>
      <c r="AD5" s="1018" t="s">
        <v>109</v>
      </c>
      <c r="AE5" s="1018"/>
      <c r="AF5" s="1018" t="s">
        <v>121</v>
      </c>
      <c r="AG5" s="1020"/>
      <c r="AH5" s="1023"/>
      <c r="AI5" s="1017" t="s">
        <v>133</v>
      </c>
      <c r="AJ5" s="1023"/>
      <c r="AL5" s="1020"/>
    </row>
    <row r="6" spans="1:39" x14ac:dyDescent="0.2">
      <c r="B6" s="1020"/>
      <c r="C6" s="1020"/>
      <c r="D6" s="1018" t="s">
        <v>350</v>
      </c>
      <c r="E6" s="1020"/>
      <c r="F6" s="1018" t="s">
        <v>110</v>
      </c>
      <c r="G6" s="1020"/>
      <c r="H6" s="1024" t="s">
        <v>111</v>
      </c>
      <c r="I6" s="1020"/>
      <c r="J6" s="1024"/>
      <c r="K6" s="1020"/>
      <c r="L6" s="1018" t="s">
        <v>127</v>
      </c>
      <c r="M6" s="1018"/>
      <c r="N6" s="1018" t="s">
        <v>112</v>
      </c>
      <c r="O6" s="1018"/>
      <c r="P6" s="1018" t="s">
        <v>112</v>
      </c>
      <c r="Q6" s="1020"/>
      <c r="R6" s="1018"/>
      <c r="S6" s="1018"/>
      <c r="T6" s="1018" t="s">
        <v>113</v>
      </c>
      <c r="U6" s="1020"/>
      <c r="V6" s="1018" t="s">
        <v>123</v>
      </c>
      <c r="W6" s="1018"/>
      <c r="X6" s="1018" t="s">
        <v>124</v>
      </c>
      <c r="Y6" s="1018"/>
      <c r="Z6" s="1018" t="s">
        <v>90</v>
      </c>
      <c r="AA6" s="1018"/>
      <c r="AB6" s="1018" t="s">
        <v>111</v>
      </c>
      <c r="AC6" s="1018"/>
      <c r="AD6" s="1018" t="s">
        <v>124</v>
      </c>
      <c r="AE6" s="1018"/>
      <c r="AF6" s="1018" t="s">
        <v>90</v>
      </c>
      <c r="AG6" s="1020"/>
      <c r="AH6" s="1025"/>
      <c r="AI6" s="1020"/>
      <c r="AJ6" s="1018" t="s">
        <v>137</v>
      </c>
      <c r="AL6" s="1018"/>
    </row>
    <row r="7" spans="1:39" x14ac:dyDescent="0.2">
      <c r="B7" s="1020"/>
      <c r="C7" s="1020"/>
      <c r="D7" s="1017" t="s">
        <v>86</v>
      </c>
      <c r="E7" s="1020"/>
      <c r="F7" s="1017" t="s">
        <v>114</v>
      </c>
      <c r="G7" s="1020"/>
      <c r="H7" s="1022" t="s">
        <v>115</v>
      </c>
      <c r="I7" s="1020"/>
      <c r="J7" s="1022" t="s">
        <v>45</v>
      </c>
      <c r="K7" s="1020"/>
      <c r="L7" s="1017" t="s">
        <v>116</v>
      </c>
      <c r="M7" s="1018"/>
      <c r="N7" s="1017" t="s">
        <v>55</v>
      </c>
      <c r="O7" s="1018"/>
      <c r="P7" s="1017" t="s">
        <v>115</v>
      </c>
      <c r="Q7" s="1020"/>
      <c r="R7" s="1017" t="s">
        <v>131</v>
      </c>
      <c r="S7" s="1018"/>
      <c r="T7" s="1017" t="s">
        <v>132</v>
      </c>
      <c r="U7" s="1020"/>
      <c r="V7" s="1017" t="s">
        <v>125</v>
      </c>
      <c r="W7" s="1018"/>
      <c r="X7" s="1017" t="s">
        <v>56</v>
      </c>
      <c r="Y7" s="1018"/>
      <c r="Z7" s="1017" t="s">
        <v>59</v>
      </c>
      <c r="AA7" s="1018"/>
      <c r="AB7" s="1017" t="s">
        <v>115</v>
      </c>
      <c r="AC7" s="1018"/>
      <c r="AD7" s="1017" t="s">
        <v>126</v>
      </c>
      <c r="AE7" s="1018"/>
      <c r="AF7" s="1017" t="s">
        <v>59</v>
      </c>
      <c r="AG7" s="1020"/>
      <c r="AH7" s="1017" t="s">
        <v>135</v>
      </c>
      <c r="AI7" s="1020"/>
      <c r="AJ7" s="1017" t="s">
        <v>136</v>
      </c>
      <c r="AL7" s="1017" t="s">
        <v>159</v>
      </c>
      <c r="AM7" s="1026" t="s">
        <v>287</v>
      </c>
    </row>
    <row r="8" spans="1:39" hidden="1" outlineLevel="1" x14ac:dyDescent="0.2">
      <c r="A8" s="249"/>
      <c r="B8" s="249"/>
      <c r="C8" s="249"/>
      <c r="D8" s="249"/>
      <c r="E8" s="249"/>
      <c r="F8" s="249"/>
      <c r="G8" s="249"/>
      <c r="H8" s="249"/>
      <c r="I8" s="249"/>
      <c r="J8" s="249"/>
      <c r="K8" s="249"/>
      <c r="L8" s="314"/>
      <c r="M8" s="249"/>
      <c r="N8" s="249"/>
      <c r="O8" s="249"/>
      <c r="P8" s="249"/>
      <c r="Q8" s="249"/>
      <c r="R8" s="249"/>
      <c r="S8" s="249"/>
      <c r="T8" s="249"/>
      <c r="U8" s="249"/>
      <c r="V8" s="249"/>
      <c r="W8" s="249"/>
      <c r="X8" s="249"/>
      <c r="Y8" s="249"/>
      <c r="Z8" s="249"/>
      <c r="AA8" s="249"/>
      <c r="AB8" s="1027"/>
      <c r="AC8" s="249"/>
      <c r="AD8" s="249"/>
      <c r="AE8" s="249"/>
      <c r="AF8" s="249"/>
      <c r="AG8" s="249"/>
      <c r="AH8" s="249"/>
      <c r="AI8" s="249"/>
      <c r="AJ8" s="249"/>
      <c r="AL8" s="249"/>
    </row>
    <row r="9" spans="1:39" hidden="1" outlineLevel="1" x14ac:dyDescent="0.2">
      <c r="B9" s="1028">
        <f>B16-1</f>
        <v>1997</v>
      </c>
      <c r="C9" s="880"/>
      <c r="D9" s="249"/>
      <c r="E9" s="249"/>
      <c r="F9" s="249"/>
      <c r="G9" s="249"/>
      <c r="H9" s="249"/>
      <c r="I9" s="249"/>
      <c r="J9" s="249"/>
      <c r="K9" s="249"/>
      <c r="L9" s="314"/>
      <c r="M9" s="249"/>
      <c r="N9" s="249"/>
      <c r="O9" s="249"/>
      <c r="P9" s="249"/>
      <c r="Q9" s="249"/>
      <c r="R9" s="249"/>
      <c r="S9" s="249"/>
      <c r="T9" s="249"/>
      <c r="U9" s="249"/>
      <c r="V9" s="249"/>
      <c r="W9" s="249"/>
      <c r="X9" s="249"/>
      <c r="Y9" s="249"/>
      <c r="Z9" s="249"/>
      <c r="AA9" s="249"/>
      <c r="AB9" s="249"/>
      <c r="AC9" s="249"/>
      <c r="AD9" s="249"/>
      <c r="AE9" s="249"/>
      <c r="AF9" s="249"/>
      <c r="AG9" s="249"/>
      <c r="AH9" s="249"/>
      <c r="AI9" s="249"/>
      <c r="AJ9" s="249"/>
      <c r="AL9" s="249"/>
    </row>
    <row r="10" spans="1:39" hidden="1" outlineLevel="1" x14ac:dyDescent="0.2">
      <c r="A10" s="239" t="s">
        <v>92</v>
      </c>
      <c r="B10" s="239" t="s">
        <v>78</v>
      </c>
      <c r="D10" s="256">
        <f>'qtrP&amp;L'!BP10</f>
        <v>1787.223</v>
      </c>
      <c r="E10" s="249"/>
      <c r="F10" s="256">
        <f>INDEX('qtrP&amp;L'!$40:$40,MATCH(B9,'qtrP&amp;L'!$6:$6,0))</f>
        <v>646.51199999999994</v>
      </c>
      <c r="G10" s="249"/>
      <c r="H10" s="256">
        <f>INDEX(wc!$10:$10,MATCH(B9,wc!$7:$7,0))</f>
        <v>823.60900000000004</v>
      </c>
      <c r="I10" s="249"/>
      <c r="J10" s="256"/>
      <c r="L10" s="633"/>
      <c r="N10" s="249"/>
      <c r="O10" s="249"/>
      <c r="P10" s="249"/>
      <c r="Q10" s="249"/>
      <c r="R10" s="286"/>
      <c r="S10" s="249"/>
      <c r="T10" s="249"/>
      <c r="U10" s="249"/>
      <c r="V10" s="536"/>
      <c r="W10" s="249"/>
      <c r="X10" s="249"/>
      <c r="Y10" s="249"/>
      <c r="Z10" s="249"/>
      <c r="AA10" s="249"/>
      <c r="AB10" s="1027"/>
      <c r="AC10" s="249"/>
      <c r="AD10" s="249"/>
      <c r="AE10" s="249"/>
      <c r="AF10" s="249"/>
      <c r="AG10" s="249"/>
      <c r="AH10" s="351"/>
      <c r="AI10" s="249"/>
      <c r="AJ10" s="249"/>
      <c r="AL10" s="256">
        <f>INDEX('qtrP&amp;L'!$80:$80,MATCH(B9,'qtrP&amp;L'!$6:$6,0))</f>
        <v>60.85899999999998</v>
      </c>
    </row>
    <row r="11" spans="1:39" hidden="1" outlineLevel="1" x14ac:dyDescent="0.2">
      <c r="A11" s="239" t="s">
        <v>93</v>
      </c>
      <c r="B11" s="239" t="s">
        <v>79</v>
      </c>
      <c r="D11" s="362">
        <f>'qtrP&amp;L'!BP11</f>
        <v>2270.4679999999998</v>
      </c>
      <c r="E11" s="249"/>
      <c r="F11" s="362">
        <f>INDEX('qtrP&amp;L'!$41:$41,MATCH(B9,'qtrP&amp;L'!$6:$6,0))</f>
        <v>924.35400000000004</v>
      </c>
      <c r="G11" s="249"/>
      <c r="H11" s="362">
        <f>INDEX(wc!$11:$11,MATCH(B9,wc!$7:$7,0))</f>
        <v>845.577</v>
      </c>
      <c r="I11" s="249"/>
      <c r="J11" s="362">
        <f>AVERAGE(H11,H10)</f>
        <v>834.59300000000007</v>
      </c>
      <c r="L11" s="633"/>
      <c r="N11" s="249"/>
      <c r="O11" s="249"/>
      <c r="P11" s="249"/>
      <c r="Q11" s="249"/>
      <c r="R11" s="286"/>
      <c r="S11" s="249"/>
      <c r="T11" s="249"/>
      <c r="U11" s="249"/>
      <c r="V11" s="536"/>
      <c r="W11" s="249"/>
      <c r="X11" s="249"/>
      <c r="Y11" s="249"/>
      <c r="Z11" s="249"/>
      <c r="AA11" s="249"/>
      <c r="AB11" s="1027"/>
      <c r="AC11" s="249"/>
      <c r="AD11" s="249"/>
      <c r="AE11" s="249"/>
      <c r="AF11" s="249"/>
      <c r="AG11" s="249"/>
      <c r="AH11" s="351"/>
      <c r="AI11" s="249"/>
      <c r="AJ11" s="249"/>
      <c r="AL11" s="362">
        <f>INDEX('qtrP&amp;L'!$81:$81,MATCH(B9,'qtrP&amp;L'!$6:$6,0))</f>
        <v>105.089</v>
      </c>
    </row>
    <row r="12" spans="1:39" hidden="1" outlineLevel="1" x14ac:dyDescent="0.2">
      <c r="A12" s="239" t="s">
        <v>94</v>
      </c>
      <c r="B12" s="239" t="s">
        <v>80</v>
      </c>
      <c r="D12" s="362">
        <f>'qtrP&amp;L'!BP12</f>
        <v>1872.1030000000001</v>
      </c>
      <c r="E12" s="249"/>
      <c r="F12" s="362">
        <f>INDEX('qtrP&amp;L'!$42:$42,MATCH(B9,'qtrP&amp;L'!$6:$6,0))</f>
        <v>724.08100000000002</v>
      </c>
      <c r="G12" s="249"/>
      <c r="H12" s="362">
        <f>INDEX(wc!$12:$12,MATCH(B9,wc!$7:$7,0))</f>
        <v>1134.212</v>
      </c>
      <c r="I12" s="249"/>
      <c r="J12" s="362">
        <f>AVERAGE(H12,H11)</f>
        <v>989.89449999999999</v>
      </c>
      <c r="L12" s="633"/>
      <c r="N12" s="249"/>
      <c r="O12" s="249"/>
      <c r="P12" s="249"/>
      <c r="Q12" s="249"/>
      <c r="R12" s="286"/>
      <c r="S12" s="249"/>
      <c r="T12" s="249"/>
      <c r="U12" s="249"/>
      <c r="V12" s="536"/>
      <c r="W12" s="249"/>
      <c r="X12" s="249"/>
      <c r="Y12" s="249"/>
      <c r="Z12" s="249"/>
      <c r="AA12" s="249"/>
      <c r="AB12" s="1027"/>
      <c r="AC12" s="249"/>
      <c r="AD12" s="249"/>
      <c r="AE12" s="249"/>
      <c r="AF12" s="249"/>
      <c r="AG12" s="249"/>
      <c r="AH12" s="351"/>
      <c r="AI12" s="249"/>
      <c r="AJ12" s="249"/>
      <c r="AL12" s="362">
        <f>INDEX('qtrP&amp;L'!$82:$82,MATCH(B9,'qtrP&amp;L'!$6:$6,0))</f>
        <v>67.304000000000201</v>
      </c>
    </row>
    <row r="13" spans="1:39" hidden="1" outlineLevel="1" x14ac:dyDescent="0.2">
      <c r="A13" s="239" t="s">
        <v>95</v>
      </c>
      <c r="B13" s="239" t="s">
        <v>81</v>
      </c>
      <c r="D13" s="556">
        <f>'qtrP&amp;L'!BP13</f>
        <v>2630.904</v>
      </c>
      <c r="E13" s="249"/>
      <c r="F13" s="556">
        <f>INDEX('qtrP&amp;L'!$43:$43,MATCH(B9,'qtrP&amp;L'!$6:$6,0))</f>
        <v>1000.866</v>
      </c>
      <c r="G13" s="249"/>
      <c r="H13" s="556">
        <f>INDEX(wc!$13:$13,MATCH(B9,wc!$7:$7,0))</f>
        <v>826.04499999999996</v>
      </c>
      <c r="I13" s="249"/>
      <c r="J13" s="556">
        <f>AVERAGE(H13,H12)</f>
        <v>980.12850000000003</v>
      </c>
      <c r="L13" s="314"/>
      <c r="N13" s="249"/>
      <c r="O13" s="249"/>
      <c r="P13" s="249"/>
      <c r="Q13" s="249"/>
      <c r="R13" s="286"/>
      <c r="S13" s="249"/>
      <c r="T13" s="249"/>
      <c r="U13" s="249"/>
      <c r="V13" s="536"/>
      <c r="W13" s="249"/>
      <c r="X13" s="574"/>
      <c r="Y13" s="249"/>
      <c r="Z13" s="322"/>
      <c r="AA13" s="249"/>
      <c r="AB13" s="606"/>
      <c r="AC13" s="249"/>
      <c r="AD13" s="1029"/>
      <c r="AE13" s="249"/>
      <c r="AF13" s="1030"/>
      <c r="AG13" s="249"/>
      <c r="AH13" s="351"/>
      <c r="AI13" s="249"/>
      <c r="AJ13" s="249"/>
      <c r="AL13" s="556">
        <f>INDEX('qtrP&amp;L'!$83:$83,MATCH(B9,'qtrP&amp;L'!$6:$6,0))</f>
        <v>108.21100000000001</v>
      </c>
    </row>
    <row r="14" spans="1:39" hidden="1" outlineLevel="1" x14ac:dyDescent="0.2">
      <c r="B14" s="607" t="s">
        <v>55</v>
      </c>
      <c r="C14" s="607"/>
      <c r="D14" s="256">
        <f>'qtrP&amp;L'!BP14</f>
        <v>8560.6980000000003</v>
      </c>
      <c r="F14" s="256">
        <f>INDEX('qtrP&amp;L'!$44:$44,MATCH(B9,'qtrP&amp;L'!$6:$6,0))</f>
        <v>3295.8130000000001</v>
      </c>
      <c r="H14" s="256">
        <f>INDEX(wc!$13:$13,MATCH(B9,wc!$7:$7,0))</f>
        <v>826.04499999999996</v>
      </c>
      <c r="J14" s="256">
        <f>AVERAGE(J10:J13)</f>
        <v>934.87199999999996</v>
      </c>
      <c r="L14" s="633"/>
      <c r="R14" s="286"/>
      <c r="S14" s="249"/>
      <c r="V14" s="536"/>
      <c r="AB14" s="1031"/>
      <c r="AL14" s="256">
        <f>INDEX('qtrP&amp;L'!$84:$84,MATCH(B9,'qtrP&amp;L'!$6:$6,0))</f>
        <v>341.46299999999974</v>
      </c>
    </row>
    <row r="15" spans="1:39" hidden="1" outlineLevel="1" x14ac:dyDescent="0.2">
      <c r="AB15" s="1031"/>
    </row>
    <row r="16" spans="1:39" hidden="1" outlineLevel="1" x14ac:dyDescent="0.2">
      <c r="B16" s="1028">
        <f>B23-1</f>
        <v>1998</v>
      </c>
      <c r="C16" s="880"/>
      <c r="D16" s="249"/>
      <c r="E16" s="249"/>
      <c r="F16" s="249"/>
      <c r="G16" s="249"/>
      <c r="H16" s="249"/>
      <c r="I16" s="249"/>
      <c r="J16" s="249"/>
      <c r="K16" s="249"/>
      <c r="L16" s="314"/>
      <c r="M16" s="249"/>
      <c r="N16" s="249"/>
      <c r="O16" s="249"/>
      <c r="P16" s="249"/>
      <c r="Q16" s="249"/>
      <c r="R16" s="249"/>
      <c r="S16" s="249"/>
      <c r="T16" s="249"/>
      <c r="U16" s="249"/>
      <c r="V16" s="249"/>
      <c r="W16" s="249"/>
      <c r="X16" s="249"/>
      <c r="Y16" s="249"/>
      <c r="Z16" s="249"/>
      <c r="AA16" s="249"/>
      <c r="AB16" s="249"/>
      <c r="AC16" s="249"/>
      <c r="AD16" s="249"/>
      <c r="AE16" s="249"/>
      <c r="AF16" s="249"/>
      <c r="AG16" s="249"/>
      <c r="AH16" s="249"/>
      <c r="AI16" s="249"/>
      <c r="AJ16" s="249"/>
      <c r="AL16" s="249"/>
    </row>
    <row r="17" spans="1:38" hidden="1" outlineLevel="1" x14ac:dyDescent="0.2">
      <c r="A17" s="239" t="s">
        <v>92</v>
      </c>
      <c r="B17" s="239" t="s">
        <v>78</v>
      </c>
      <c r="D17" s="256">
        <f>qtrSales!R19</f>
        <v>1040.2149999999999</v>
      </c>
      <c r="E17" s="249"/>
      <c r="F17" s="256">
        <f>INDEX('qtrP&amp;L'!$40:$40,MATCH(B16,'qtrP&amp;L'!$6:$6,0))</f>
        <v>698.3</v>
      </c>
      <c r="G17" s="249"/>
      <c r="H17" s="256">
        <f>INDEX(wc!$10:$10,MATCH(B16,wc!$7:$7,0))</f>
        <v>907.322</v>
      </c>
      <c r="I17" s="249"/>
      <c r="J17" s="256">
        <f>AVERAGE(H17,H13)</f>
        <v>866.68349999999998</v>
      </c>
      <c r="L17" s="633">
        <f>(D17/D10-1)*100</f>
        <v>-41.797134437056826</v>
      </c>
      <c r="M17" s="239" t="s">
        <v>90</v>
      </c>
      <c r="N17" s="756">
        <f>(H17/H10-1)*100</f>
        <v>10.164167705792426</v>
      </c>
      <c r="O17" s="239" t="s">
        <v>90</v>
      </c>
      <c r="P17" s="756">
        <f>(H17/H13-1)*100</f>
        <v>9.8392944694296389</v>
      </c>
      <c r="Q17" s="239" t="s">
        <v>90</v>
      </c>
      <c r="R17" s="596">
        <f>F17/J17</f>
        <v>0.80571511976401988</v>
      </c>
      <c r="S17" s="239" t="s">
        <v>118</v>
      </c>
      <c r="T17" s="596">
        <f>F18/H17</f>
        <v>1.0704501819640657</v>
      </c>
      <c r="V17" s="524">
        <f>IF(qtrSales!I19=0," ",qtrSales!I19)</f>
        <v>90</v>
      </c>
      <c r="W17" s="249"/>
      <c r="X17" s="254">
        <f>H17/V17</f>
        <v>10.081355555555556</v>
      </c>
      <c r="Y17" s="249"/>
      <c r="Z17" s="541"/>
      <c r="AB17" s="362">
        <f>qtrSales!Z19</f>
        <v>13.126899999999999</v>
      </c>
      <c r="AD17" s="1029">
        <f>H17/AB17*1000</f>
        <v>69119.289398106193</v>
      </c>
      <c r="AF17" s="756"/>
      <c r="AH17" s="759">
        <f>J17/(F17/(365/4))</f>
        <v>113.25342886295289</v>
      </c>
      <c r="AJ17" s="759">
        <f>H17/(F18/(365/4))</f>
        <v>85.244508840732962</v>
      </c>
      <c r="AL17" s="256">
        <f>INDEX('qtrP&amp;L'!$80:$80,MATCH(B16,'qtrP&amp;L'!$6:$6,0))</f>
        <v>63.068999999999903</v>
      </c>
    </row>
    <row r="18" spans="1:38" hidden="1" outlineLevel="1" x14ac:dyDescent="0.2">
      <c r="A18" s="239" t="s">
        <v>93</v>
      </c>
      <c r="B18" s="239" t="s">
        <v>79</v>
      </c>
      <c r="D18" s="362">
        <f>qtrSales!R20</f>
        <v>1447.2840000000001</v>
      </c>
      <c r="E18" s="249"/>
      <c r="F18" s="362">
        <f>INDEX('qtrP&amp;L'!$41:$41,MATCH(B16,'qtrP&amp;L'!$6:$6,0))</f>
        <v>971.24300000000005</v>
      </c>
      <c r="G18" s="249"/>
      <c r="H18" s="362">
        <f>INDEX(wc!$11:$11,MATCH(B16,wc!$7:$7,0))</f>
        <v>858.98</v>
      </c>
      <c r="I18" s="249"/>
      <c r="J18" s="362">
        <f>AVERAGE(H18,H17)</f>
        <v>883.15100000000007</v>
      </c>
      <c r="L18" s="633">
        <f>(D18/D11-1)*100</f>
        <v>-36.256137501167153</v>
      </c>
      <c r="N18" s="756">
        <f>(H18/H11-1)*100</f>
        <v>1.5850714955586653</v>
      </c>
      <c r="P18" s="756">
        <f>(H18/H17-1)*100</f>
        <v>-5.32798719748887</v>
      </c>
      <c r="R18" s="596">
        <f>F18/J18</f>
        <v>1.0997473818180583</v>
      </c>
      <c r="T18" s="596">
        <f>F19/H18</f>
        <v>0.83482735337260472</v>
      </c>
      <c r="V18" s="524">
        <f>IF(qtrSales!I20=0," ",qtrSales!I20)</f>
        <v>92</v>
      </c>
      <c r="W18" s="249"/>
      <c r="X18" s="254">
        <f>H18/V18</f>
        <v>9.3367391304347827</v>
      </c>
      <c r="Y18" s="249"/>
      <c r="Z18" s="541"/>
      <c r="AB18" s="362">
        <f>qtrSales!Z20</f>
        <v>13.2189</v>
      </c>
      <c r="AD18" s="1029">
        <f>H18/AB18*1000</f>
        <v>64981.201158946664</v>
      </c>
      <c r="AF18" s="756"/>
      <c r="AH18" s="759">
        <f>J18/(F18/(365/4))</f>
        <v>82.973600581934704</v>
      </c>
      <c r="AJ18" s="759">
        <f>H18/(F19/(365/4))</f>
        <v>109.30403709385024</v>
      </c>
      <c r="AL18" s="362">
        <f>INDEX('qtrP&amp;L'!$81:$81,MATCH(B16,'qtrP&amp;L'!$6:$6,0))</f>
        <v>124.1160000000001</v>
      </c>
    </row>
    <row r="19" spans="1:38" hidden="1" outlineLevel="1" x14ac:dyDescent="0.2">
      <c r="A19" s="239" t="s">
        <v>94</v>
      </c>
      <c r="B19" s="239" t="s">
        <v>80</v>
      </c>
      <c r="D19" s="362">
        <f>qtrSales!R21</f>
        <v>1446.0419999999999</v>
      </c>
      <c r="E19" s="249"/>
      <c r="F19" s="362">
        <f>INDEX('qtrP&amp;L'!$42:$42,MATCH(B16,'qtrP&amp;L'!$6:$6,0))</f>
        <v>717.1</v>
      </c>
      <c r="G19" s="249"/>
      <c r="H19" s="362">
        <f>INDEX(wc!$12:$12,MATCH(B16,wc!$7:$7,0))</f>
        <v>1048.386</v>
      </c>
      <c r="I19" s="249"/>
      <c r="J19" s="362">
        <f>AVERAGE(H19,H18)</f>
        <v>953.68299999999999</v>
      </c>
      <c r="L19" s="633">
        <f>(D19/D12-1)*100</f>
        <v>-22.758416604214627</v>
      </c>
      <c r="N19" s="756">
        <f>(H19/H12-1)*100</f>
        <v>-7.5670156901884278</v>
      </c>
      <c r="P19" s="756">
        <f>(H19/H18-1)*100</f>
        <v>22.050105939602773</v>
      </c>
      <c r="R19" s="596">
        <f>F19/J19</f>
        <v>0.75192700299785153</v>
      </c>
      <c r="T19" s="596">
        <f>F20/H19</f>
        <v>0.91407363318472401</v>
      </c>
      <c r="V19" s="524">
        <f>IF(qtrSales!I21=0," ",qtrSales!I21)</f>
        <v>94</v>
      </c>
      <c r="W19" s="249"/>
      <c r="X19" s="254">
        <f>H19/V19</f>
        <v>11.153042553191488</v>
      </c>
      <c r="Y19" s="249"/>
      <c r="Z19" s="541"/>
      <c r="AB19" s="362">
        <f>qtrSales!Z21</f>
        <v>13.8239</v>
      </c>
      <c r="AD19" s="1029">
        <f>H19/AB19*1000</f>
        <v>75838.656240279524</v>
      </c>
      <c r="AF19" s="756"/>
      <c r="AH19" s="759">
        <f>J19/(F19/(365/4))</f>
        <v>121.35486508157858</v>
      </c>
      <c r="AJ19" s="759">
        <f>H19/(F20/(365/4))</f>
        <v>99.8278439364626</v>
      </c>
      <c r="AL19" s="362">
        <f>INDEX('qtrP&amp;L'!$82:$82,MATCH(B16,'qtrP&amp;L'!$6:$6,0))</f>
        <v>427.58299999999986</v>
      </c>
    </row>
    <row r="20" spans="1:38" hidden="1" outlineLevel="1" x14ac:dyDescent="0.2">
      <c r="A20" s="239" t="s">
        <v>95</v>
      </c>
      <c r="B20" s="239" t="s">
        <v>81</v>
      </c>
      <c r="D20" s="556">
        <f>qtrSales!R22</f>
        <v>1446.0419999999999</v>
      </c>
      <c r="E20" s="249"/>
      <c r="F20" s="556">
        <f>INDEX('qtrP&amp;L'!$43:$43,MATCH(B16,'qtrP&amp;L'!$6:$6,0))</f>
        <v>958.30200000000002</v>
      </c>
      <c r="G20" s="249"/>
      <c r="H20" s="556">
        <f>INDEX(wc!$13:$13,MATCH(B16,wc!$7:$7,0))</f>
        <v>750.26900000000001</v>
      </c>
      <c r="I20" s="249"/>
      <c r="J20" s="556">
        <f>AVERAGE(H20,H19)</f>
        <v>899.32749999999999</v>
      </c>
      <c r="L20" s="1032">
        <f>(D20/D13-1)*100</f>
        <v>-45.036306911996796</v>
      </c>
      <c r="N20" s="756">
        <f>(H20/H13-1)*100</f>
        <v>-9.1733501201508361</v>
      </c>
      <c r="P20" s="756">
        <f>(H20/H19-1)*100</f>
        <v>-28.435805132842297</v>
      </c>
      <c r="R20" s="596">
        <f>F20/J20</f>
        <v>1.0655762222327239</v>
      </c>
      <c r="T20" s="596">
        <f>F24/H20</f>
        <v>0.91726567404490922</v>
      </c>
      <c r="V20" s="526">
        <f>IF(qtrSales!I22=0," ",qtrSales!I22)</f>
        <v>92</v>
      </c>
      <c r="W20" s="249"/>
      <c r="X20" s="254">
        <f>H20/V20</f>
        <v>8.1550978260869567</v>
      </c>
      <c r="Y20" s="249"/>
      <c r="Z20" s="541"/>
      <c r="AB20" s="362">
        <f>qtrSales!Z22</f>
        <v>13.7319</v>
      </c>
      <c r="AD20" s="1029">
        <f>H20/AB20*1000</f>
        <v>54636.940263182805</v>
      </c>
      <c r="AF20" s="756"/>
      <c r="AH20" s="759">
        <f>J20/(F20/(365/4))</f>
        <v>85.634418351417395</v>
      </c>
      <c r="AJ20" s="759">
        <f>H20/(F24/(365/4))</f>
        <v>99.480447793942417</v>
      </c>
      <c r="AL20" s="556">
        <f>INDEX('qtrP&amp;L'!$83:$83,MATCH(B16,'qtrP&amp;L'!$6:$6,0))</f>
        <v>121.73899999999986</v>
      </c>
    </row>
    <row r="21" spans="1:38" hidden="1" outlineLevel="1" x14ac:dyDescent="0.2">
      <c r="B21" s="607" t="s">
        <v>55</v>
      </c>
      <c r="C21" s="607"/>
      <c r="D21" s="256">
        <f>qtrSales!R23</f>
        <v>5027.8900000000003</v>
      </c>
      <c r="F21" s="256">
        <f>INDEX('qtrP&amp;L'!$44:$44,MATCH(B16,'qtrP&amp;L'!$6:$6,0))</f>
        <v>3344.9450000000002</v>
      </c>
      <c r="H21" s="256">
        <f>INDEX(wc!$13:$13,MATCH(B16,wc!$7:$7,0))</f>
        <v>750.26900000000001</v>
      </c>
      <c r="J21" s="256">
        <f>AVERAGE(J17:J20)</f>
        <v>900.71124999999995</v>
      </c>
      <c r="L21" s="633">
        <f>(D21/D14-1)*100</f>
        <v>-41.267756437617585</v>
      </c>
      <c r="R21" s="1033">
        <f>F21/J21</f>
        <v>3.7136707241083093</v>
      </c>
      <c r="S21" s="601" t="s">
        <v>118</v>
      </c>
      <c r="V21" s="536">
        <f>V20</f>
        <v>92</v>
      </c>
      <c r="AB21" s="1031"/>
      <c r="AL21" s="256">
        <f>INDEX('qtrP&amp;L'!$84:$84,MATCH(B16,'qtrP&amp;L'!$6:$6,0))</f>
        <v>384.81400000000031</v>
      </c>
    </row>
    <row r="22" spans="1:38" hidden="1" outlineLevel="1" x14ac:dyDescent="0.2">
      <c r="AB22" s="1031"/>
    </row>
    <row r="23" spans="1:38" hidden="1" outlineLevel="1" x14ac:dyDescent="0.2">
      <c r="B23" s="1028">
        <f>B30-1</f>
        <v>1999</v>
      </c>
      <c r="C23" s="880"/>
      <c r="D23" s="249"/>
      <c r="E23" s="249"/>
      <c r="F23" s="249"/>
      <c r="G23" s="249"/>
      <c r="H23" s="249"/>
      <c r="I23" s="249"/>
      <c r="J23" s="249"/>
      <c r="K23" s="249"/>
      <c r="L23" s="314"/>
      <c r="M23" s="249"/>
      <c r="N23" s="249"/>
      <c r="O23" s="249"/>
      <c r="P23" s="249"/>
      <c r="Q23" s="249"/>
      <c r="R23" s="249"/>
      <c r="S23" s="249"/>
      <c r="T23" s="249"/>
      <c r="U23" s="249"/>
      <c r="V23" s="249"/>
      <c r="W23" s="249"/>
      <c r="X23" s="249"/>
      <c r="Y23" s="249"/>
      <c r="Z23" s="249"/>
      <c r="AA23" s="249"/>
      <c r="AB23" s="249"/>
      <c r="AC23" s="249"/>
      <c r="AD23" s="249"/>
      <c r="AE23" s="249"/>
      <c r="AF23" s="249"/>
      <c r="AG23" s="249"/>
      <c r="AH23" s="249"/>
      <c r="AI23" s="249"/>
      <c r="AJ23" s="249"/>
      <c r="AL23" s="249"/>
    </row>
    <row r="24" spans="1:38" hidden="1" outlineLevel="1" x14ac:dyDescent="0.2">
      <c r="A24" s="239" t="s">
        <v>92</v>
      </c>
      <c r="B24" s="239" t="s">
        <v>78</v>
      </c>
      <c r="D24" s="256">
        <f>qtrSales!R26</f>
        <v>1039.105</v>
      </c>
      <c r="E24" s="249"/>
      <c r="F24" s="256">
        <f>INDEX('qtrP&amp;L'!$40:$40,MATCH(B23,'qtrP&amp;L'!$6:$6,0))</f>
        <v>688.19600000000003</v>
      </c>
      <c r="G24" s="249"/>
      <c r="H24" s="256">
        <f>INDEX(wc!$10:$10,MATCH(B23,wc!$7:$7,0))</f>
        <v>864.83199999999999</v>
      </c>
      <c r="I24" s="249"/>
      <c r="J24" s="256">
        <f>AVERAGE(H24,H20)</f>
        <v>807.55050000000006</v>
      </c>
      <c r="L24" s="633">
        <f>(D24/D17-1)*100</f>
        <v>-0.10670870925720832</v>
      </c>
      <c r="M24" s="239" t="s">
        <v>90</v>
      </c>
      <c r="N24" s="756">
        <f>(H24/H17-1)*100</f>
        <v>-4.6830122051487848</v>
      </c>
      <c r="O24" s="239" t="s">
        <v>90</v>
      </c>
      <c r="P24" s="756">
        <f>(H24/H20-1)*100</f>
        <v>15.269589973729424</v>
      </c>
      <c r="Q24" s="239" t="s">
        <v>90</v>
      </c>
      <c r="R24" s="596">
        <f>F24/J24</f>
        <v>0.85220181276588891</v>
      </c>
      <c r="S24" s="239" t="s">
        <v>118</v>
      </c>
      <c r="T24" s="596">
        <f>F25/H24</f>
        <v>1.0907875749278473</v>
      </c>
      <c r="V24" s="524">
        <f>IF(qtrSales!I26=0," ",qtrSales!I26)</f>
        <v>93</v>
      </c>
      <c r="W24" s="249"/>
      <c r="X24" s="254">
        <f>H24/V24</f>
        <v>9.2992688172043003</v>
      </c>
      <c r="Y24" s="249"/>
      <c r="Z24" s="541">
        <f>X24/X17-1</f>
        <v>-7.7577537469181834E-2</v>
      </c>
      <c r="AB24" s="362">
        <f>qtrSales!Z26</f>
        <v>13.813000000000001</v>
      </c>
      <c r="AD24" s="1029">
        <f>H24/AB24*1000</f>
        <v>62610.005067689854</v>
      </c>
      <c r="AF24" s="756">
        <f>(AD24/AD17-1)*100</f>
        <v>-9.4174641942929007</v>
      </c>
      <c r="AG24" s="239" t="s">
        <v>90</v>
      </c>
      <c r="AH24" s="759">
        <f>J24/(F24/(365/4))</f>
        <v>107.07557603502491</v>
      </c>
      <c r="AJ24" s="759">
        <f>H24/(F25/(365/4))</f>
        <v>83.655151651352426</v>
      </c>
      <c r="AL24" s="256">
        <f>INDEX('qtrP&amp;L'!$80:$80,MATCH(B23,'qtrP&amp;L'!$6:$6,0))</f>
        <v>63.697000000000003</v>
      </c>
    </row>
    <row r="25" spans="1:38" hidden="1" outlineLevel="1" x14ac:dyDescent="0.2">
      <c r="A25" s="239" t="s">
        <v>93</v>
      </c>
      <c r="B25" s="239" t="s">
        <v>79</v>
      </c>
      <c r="D25" s="362">
        <f>qtrSales!R27</f>
        <v>1443.395</v>
      </c>
      <c r="E25" s="249"/>
      <c r="F25" s="362">
        <f>INDEX('qtrP&amp;L'!$41:$41,MATCH(B23,'qtrP&amp;L'!$6:$6,0))</f>
        <v>943.34799999999996</v>
      </c>
      <c r="G25" s="249"/>
      <c r="H25" s="362">
        <f>INDEX(wc!$11:$11,MATCH(B23,wc!$7:$7,0))</f>
        <v>828.26400000000001</v>
      </c>
      <c r="I25" s="249"/>
      <c r="J25" s="362">
        <f>AVERAGE(H25,H24)</f>
        <v>846.548</v>
      </c>
      <c r="L25" s="633">
        <f>(D25/D18-1)*100</f>
        <v>-0.26871021858876354</v>
      </c>
      <c r="N25" s="756">
        <f>(H25/H18-1)*100</f>
        <v>-3.5758690539942739</v>
      </c>
      <c r="P25" s="756">
        <f>(H25/H24-1)*100</f>
        <v>-4.2283356767557123</v>
      </c>
      <c r="R25" s="596">
        <f>F25/J25</f>
        <v>1.1143467352117067</v>
      </c>
      <c r="T25" s="596">
        <f>F26/H25</f>
        <v>0.86668501830334299</v>
      </c>
      <c r="V25" s="524">
        <f>IF(qtrSales!I27=0," ",qtrSales!I27)</f>
        <v>93</v>
      </c>
      <c r="W25" s="249"/>
      <c r="X25" s="254">
        <f>H25/V25</f>
        <v>8.9060645161290317</v>
      </c>
      <c r="Y25" s="249"/>
      <c r="Z25" s="541">
        <f>X25/X18-1</f>
        <v>-4.612687666316917E-2</v>
      </c>
      <c r="AB25" s="362">
        <f>qtrSales!Z27</f>
        <v>13.813000000000001</v>
      </c>
      <c r="AD25" s="1029">
        <f>H25/AB25*1000</f>
        <v>59962.643886194164</v>
      </c>
      <c r="AF25" s="756">
        <f>(AD25/AD18-1)*100</f>
        <v>-7.723090960533197</v>
      </c>
      <c r="AH25" s="759">
        <f>J25/(F25/(365/4))</f>
        <v>81.886541339993315</v>
      </c>
      <c r="AJ25" s="759">
        <f>H25/(F26/(365/4))</f>
        <v>105.28623210614005</v>
      </c>
      <c r="AL25" s="362">
        <f>INDEX('qtrP&amp;L'!$81:$81,MATCH(B23,'qtrP&amp;L'!$6:$6,0))</f>
        <v>128.67200000000014</v>
      </c>
    </row>
    <row r="26" spans="1:38" hidden="1" outlineLevel="1" x14ac:dyDescent="0.2">
      <c r="A26" s="239" t="s">
        <v>94</v>
      </c>
      <c r="B26" s="239" t="s">
        <v>80</v>
      </c>
      <c r="D26" s="362">
        <f>qtrSales!R28</f>
        <v>1110.114</v>
      </c>
      <c r="E26" s="249"/>
      <c r="F26" s="362">
        <f>INDEX('qtrP&amp;L'!$42:$42,MATCH(B23,'qtrP&amp;L'!$6:$6,0))</f>
        <v>717.84400000000005</v>
      </c>
      <c r="G26" s="249"/>
      <c r="H26" s="362">
        <f>INDEX(wc!$12:$12,MATCH(B23,wc!$7:$7,0))</f>
        <v>1041.873</v>
      </c>
      <c r="I26" s="249"/>
      <c r="J26" s="362">
        <f>AVERAGE(H26,H25)</f>
        <v>935.06850000000009</v>
      </c>
      <c r="L26" s="633">
        <f>(D26/D19-1)*100</f>
        <v>-23.23086051442489</v>
      </c>
      <c r="N26" s="756">
        <f>(H26/H19-1)*100</f>
        <v>-0.62124064991329053</v>
      </c>
      <c r="P26" s="756">
        <f>(H26/H25-1)*100</f>
        <v>25.789965518240578</v>
      </c>
      <c r="R26" s="596">
        <f>F26/J26</f>
        <v>0.76769135095450225</v>
      </c>
      <c r="T26" s="596">
        <f>F27/H26</f>
        <v>0.96976502894306715</v>
      </c>
      <c r="V26" s="524">
        <f>IF(qtrSales!I28=0," ",qtrSales!I28)</f>
        <v>97</v>
      </c>
      <c r="W26" s="249"/>
      <c r="X26" s="254">
        <f>H26/V26</f>
        <v>10.740958762886599</v>
      </c>
      <c r="Y26" s="249"/>
      <c r="Z26" s="541">
        <f>X26/X19-1</f>
        <v>-3.6948105267200826E-2</v>
      </c>
      <c r="AB26" s="362">
        <f>qtrSales!Z28</f>
        <v>14.436999999999999</v>
      </c>
      <c r="AD26" s="1029">
        <f>H26/AB26*1000</f>
        <v>72166.862921659631</v>
      </c>
      <c r="AF26" s="756">
        <f>(AD26/AD19-1)*100</f>
        <v>-4.8415854138904475</v>
      </c>
      <c r="AH26" s="759">
        <f>J26/(F26/(365/4))</f>
        <v>118.86287358395418</v>
      </c>
      <c r="AJ26" s="759">
        <f>H26/(F27/(365/4))</f>
        <v>94.094958342075969</v>
      </c>
      <c r="AL26" s="362">
        <f>INDEX('qtrP&amp;L'!$82:$82,MATCH(B23,'qtrP&amp;L'!$6:$6,0))</f>
        <v>78.123999999999967</v>
      </c>
    </row>
    <row r="27" spans="1:38" hidden="1" outlineLevel="1" x14ac:dyDescent="0.2">
      <c r="A27" s="239" t="s">
        <v>95</v>
      </c>
      <c r="B27" s="239" t="s">
        <v>81</v>
      </c>
      <c r="D27" s="556">
        <f>qtrSales!R29</f>
        <v>1556.3860000000004</v>
      </c>
      <c r="E27" s="249"/>
      <c r="F27" s="556">
        <f>INDEX('qtrP&amp;L'!$43:$43,MATCH(B23,'qtrP&amp;L'!$6:$6,0))</f>
        <v>1010.3720000000003</v>
      </c>
      <c r="G27" s="249"/>
      <c r="H27" s="556">
        <f>INDEX(wc!$13:$13,MATCH(B23,wc!$7:$7,0))</f>
        <v>797.84500000000003</v>
      </c>
      <c r="I27" s="249"/>
      <c r="J27" s="556">
        <f>AVERAGE(H27,H26)</f>
        <v>919.85900000000004</v>
      </c>
      <c r="L27" s="1032">
        <f>(D27/D20-1)*100</f>
        <v>7.63076037902084</v>
      </c>
      <c r="N27" s="756">
        <f>(H27/H20-1)*100</f>
        <v>6.3411922923644726</v>
      </c>
      <c r="P27" s="756">
        <f>(H27/H26-1)*100</f>
        <v>-23.422048560621111</v>
      </c>
      <c r="R27" s="596">
        <f>F27/J27</f>
        <v>1.0983987763341994</v>
      </c>
      <c r="T27" s="596">
        <f>F31/H27</f>
        <v>0.93458629182359976</v>
      </c>
      <c r="V27" s="526">
        <f>IF(qtrSales!I29=0," ",qtrSales!I29)</f>
        <v>98</v>
      </c>
      <c r="W27" s="249"/>
      <c r="X27" s="254">
        <f>H27/V27</f>
        <v>8.1412755102040819</v>
      </c>
      <c r="Y27" s="249"/>
      <c r="Z27" s="541">
        <f>X27/X20-1</f>
        <v>-1.6949295002518516E-3</v>
      </c>
      <c r="AB27" s="362">
        <f>qtrSales!Z29</f>
        <v>14.487</v>
      </c>
      <c r="AD27" s="1029">
        <f>H27/AB27*1000</f>
        <v>55073.169048112097</v>
      </c>
      <c r="AF27" s="756">
        <f>(AD27/AD20-1)*100</f>
        <v>0.7984136425429389</v>
      </c>
      <c r="AH27" s="759">
        <f>J27/(F27/(365/4))</f>
        <v>83.075474924087345</v>
      </c>
      <c r="AJ27" s="759">
        <f>H27/(F31/(365/4))</f>
        <v>97.636784102567546</v>
      </c>
      <c r="AL27" s="556">
        <f>INDEX('qtrP&amp;L'!$83:$83,MATCH(B23,'qtrP&amp;L'!$6:$6,0))</f>
        <v>103.9410000000002</v>
      </c>
    </row>
    <row r="28" spans="1:38" hidden="1" outlineLevel="1" x14ac:dyDescent="0.2">
      <c r="B28" s="607" t="s">
        <v>55</v>
      </c>
      <c r="C28" s="607"/>
      <c r="D28" s="256">
        <f>qtrSales!R30</f>
        <v>5149</v>
      </c>
      <c r="F28" s="256">
        <f>INDEX('qtrP&amp;L'!$44:$44,MATCH(B23,'qtrP&amp;L'!$6:$6,0))</f>
        <v>3359.76</v>
      </c>
      <c r="H28" s="256">
        <f>INDEX(wc!$13:$13,MATCH(B23,wc!$7:$7,0))</f>
        <v>797.84500000000003</v>
      </c>
      <c r="J28" s="256">
        <f>AVERAGE(J24:J27)</f>
        <v>877.25650000000007</v>
      </c>
      <c r="L28" s="633">
        <f>(D28/D21-1)*100</f>
        <v>2.4087639148827833</v>
      </c>
      <c r="R28" s="1033">
        <f>F28/J28</f>
        <v>3.8298490806280716</v>
      </c>
      <c r="S28" s="601" t="s">
        <v>118</v>
      </c>
      <c r="V28" s="536">
        <f>V27</f>
        <v>98</v>
      </c>
      <c r="AB28" s="1031"/>
      <c r="AL28" s="256">
        <f>INDEX('qtrP&amp;L'!$84:$84,MATCH(B23,'qtrP&amp;L'!$6:$6,0))</f>
        <v>382.18700000000013</v>
      </c>
    </row>
    <row r="29" spans="1:38" hidden="1" outlineLevel="1" x14ac:dyDescent="0.2">
      <c r="AB29" s="1031"/>
    </row>
    <row r="30" spans="1:38" hidden="1" outlineLevel="1" x14ac:dyDescent="0.2">
      <c r="B30" s="1028">
        <v>2000</v>
      </c>
      <c r="C30" s="880"/>
      <c r="D30" s="249"/>
      <c r="E30" s="249"/>
      <c r="F30" s="249"/>
      <c r="G30" s="249"/>
      <c r="H30" s="249"/>
      <c r="I30" s="249"/>
      <c r="J30" s="249"/>
      <c r="K30" s="249"/>
      <c r="L30" s="314"/>
      <c r="M30" s="249"/>
      <c r="N30" s="249"/>
      <c r="O30" s="249"/>
      <c r="P30" s="249"/>
      <c r="Q30" s="249"/>
      <c r="R30" s="249"/>
      <c r="S30" s="249"/>
      <c r="T30" s="249"/>
      <c r="U30" s="249"/>
      <c r="V30" s="249"/>
      <c r="W30" s="249"/>
      <c r="X30" s="249"/>
      <c r="Y30" s="249"/>
      <c r="Z30" s="249"/>
      <c r="AA30" s="249"/>
      <c r="AB30" s="249"/>
      <c r="AC30" s="249"/>
      <c r="AD30" s="249"/>
      <c r="AE30" s="249"/>
      <c r="AF30" s="249"/>
      <c r="AG30" s="249"/>
      <c r="AH30" s="249"/>
      <c r="AI30" s="249"/>
      <c r="AJ30" s="249"/>
      <c r="AL30" s="249"/>
    </row>
    <row r="31" spans="1:38" hidden="1" outlineLevel="1" x14ac:dyDescent="0.2">
      <c r="A31" s="239" t="s">
        <v>92</v>
      </c>
      <c r="B31" s="239" t="s">
        <v>78</v>
      </c>
      <c r="D31" s="256">
        <f>qtrSales!R33</f>
        <v>1153.377</v>
      </c>
      <c r="E31" s="249"/>
      <c r="F31" s="256">
        <f>INDEX('qtrP&amp;L'!$40:$40,MATCH(B30,'qtrP&amp;L'!$6:$6,0))</f>
        <v>745.65499999999997</v>
      </c>
      <c r="G31" s="249"/>
      <c r="H31" s="256">
        <f>INDEX(wc!$10:$10,MATCH(B30,wc!$7:$7,0))</f>
        <v>922.72699999999998</v>
      </c>
      <c r="I31" s="249"/>
      <c r="J31" s="256">
        <f>AVERAGE(H31,H27)</f>
        <v>860.28600000000006</v>
      </c>
      <c r="L31" s="633">
        <f>(D31/D24-1)*100</f>
        <v>10.997156206543135</v>
      </c>
      <c r="M31" s="239" t="s">
        <v>90</v>
      </c>
      <c r="N31" s="756">
        <f>(H31/H24-1)*100</f>
        <v>6.6943637608229078</v>
      </c>
      <c r="O31" s="239" t="s">
        <v>90</v>
      </c>
      <c r="P31" s="756">
        <f>(H31/H27-1)*100</f>
        <v>15.652413689375756</v>
      </c>
      <c r="Q31" s="239" t="s">
        <v>90</v>
      </c>
      <c r="R31" s="596">
        <f>F31/J31</f>
        <v>0.86675245209151364</v>
      </c>
      <c r="S31" s="239" t="s">
        <v>118</v>
      </c>
      <c r="T31" s="596">
        <f>F32/H31</f>
        <v>1.0342311431225053</v>
      </c>
      <c r="V31" s="524">
        <f>IF(qtrSales!I33=0," ",qtrSales!I33)</f>
        <v>100</v>
      </c>
      <c r="W31" s="249"/>
      <c r="X31" s="254">
        <f>H31/V31</f>
        <v>9.227269999999999</v>
      </c>
      <c r="Y31" s="249"/>
      <c r="Z31" s="541">
        <f>X31/X24-1</f>
        <v>-7.7424170243469703E-3</v>
      </c>
      <c r="AB31" s="362">
        <f>qtrSales!Z33</f>
        <v>14.702999999999999</v>
      </c>
      <c r="AD31" s="1029">
        <f>H31/AB31*1000</f>
        <v>62757.736516357203</v>
      </c>
      <c r="AF31" s="756">
        <f>(AD31/AD24-1)*100</f>
        <v>0.23595501790429907</v>
      </c>
      <c r="AG31" s="239" t="s">
        <v>90</v>
      </c>
      <c r="AH31" s="759">
        <f>J31/(F31/(365/4))</f>
        <v>105.27804078293582</v>
      </c>
      <c r="AJ31" s="759">
        <f>H31/(F32/(365/4))</f>
        <v>88.229793317286877</v>
      </c>
      <c r="AL31" s="256">
        <f>INDEX('qtrP&amp;L'!$80:$80,MATCH(B30,'qtrP&amp;L'!$6:$6,0))</f>
        <v>66.985000000000014</v>
      </c>
    </row>
    <row r="32" spans="1:38" hidden="1" outlineLevel="1" x14ac:dyDescent="0.2">
      <c r="A32" s="239" t="s">
        <v>93</v>
      </c>
      <c r="B32" s="239" t="s">
        <v>79</v>
      </c>
      <c r="D32" s="362">
        <f>qtrSales!R34</f>
        <v>1457.0350000000001</v>
      </c>
      <c r="E32" s="249"/>
      <c r="F32" s="362">
        <f>INDEX('qtrP&amp;L'!$41:$41,MATCH(B30,'qtrP&amp;L'!$6:$6,0))</f>
        <v>954.31299999999999</v>
      </c>
      <c r="G32" s="249"/>
      <c r="H32" s="362">
        <f>INDEX(wc!$11:$11,MATCH(B30,wc!$7:$7,0))</f>
        <v>944.81500000000005</v>
      </c>
      <c r="I32" s="249"/>
      <c r="J32" s="362">
        <f>AVERAGE(H32,H31)</f>
        <v>933.77099999999996</v>
      </c>
      <c r="L32" s="633">
        <f>(D32/D25-1)*100</f>
        <v>0.9449942669885969</v>
      </c>
      <c r="N32" s="756">
        <f>(H32/H25-1)*100</f>
        <v>14.07172109375756</v>
      </c>
      <c r="P32" s="756">
        <f>(H32/H31-1)*100</f>
        <v>2.39377410653423</v>
      </c>
      <c r="R32" s="596">
        <f>F32/J32</f>
        <v>1.0219989697688192</v>
      </c>
      <c r="T32" s="596">
        <f>F33/H32</f>
        <v>0.87198869619978514</v>
      </c>
      <c r="V32" s="524">
        <f>IF(qtrSales!I34=0," ",qtrSales!I34)</f>
        <v>107</v>
      </c>
      <c r="W32" s="249"/>
      <c r="X32" s="254">
        <f>H32/V32</f>
        <v>8.8300467289719631</v>
      </c>
      <c r="Y32" s="249"/>
      <c r="Z32" s="541">
        <f>X32/X25-1</f>
        <v>-8.5355082505184088E-3</v>
      </c>
      <c r="AB32" s="362">
        <f>qtrSales!Z34</f>
        <v>15.212999999999999</v>
      </c>
      <c r="AD32" s="1029">
        <f>H32/AB32*1000</f>
        <v>62105.764806415573</v>
      </c>
      <c r="AF32" s="756">
        <f>(AD32/AD25-1)*100</f>
        <v>3.5740934377225475</v>
      </c>
      <c r="AH32" s="759">
        <f>J32/(F32/(365/4))</f>
        <v>89.285804290625819</v>
      </c>
      <c r="AJ32" s="759">
        <f>H32/(F33/(365/4))</f>
        <v>104.645851944729</v>
      </c>
      <c r="AL32" s="362">
        <f>INDEX('qtrP&amp;L'!$81:$81,MATCH(B30,'qtrP&amp;L'!$6:$6,0))</f>
        <v>99.336999999999989</v>
      </c>
    </row>
    <row r="33" spans="1:38" hidden="1" outlineLevel="1" x14ac:dyDescent="0.2">
      <c r="A33" s="239" t="s">
        <v>94</v>
      </c>
      <c r="B33" s="239" t="s">
        <v>80</v>
      </c>
      <c r="D33" s="362">
        <f>qtrSales!R35</f>
        <v>1262.3899999999999</v>
      </c>
      <c r="E33" s="249"/>
      <c r="F33" s="362">
        <f>INDEX('qtrP&amp;L'!$42:$42,MATCH(B30,'qtrP&amp;L'!$6:$6,0))</f>
        <v>823.86800000000005</v>
      </c>
      <c r="G33" s="249"/>
      <c r="H33" s="362">
        <f>INDEX(wc!$12:$12,MATCH(B30,wc!$7:$7,0))</f>
        <v>1186.3910000000001</v>
      </c>
      <c r="I33" s="249"/>
      <c r="J33" s="362">
        <f>AVERAGE(H33,H32)</f>
        <v>1065.6030000000001</v>
      </c>
      <c r="L33" s="633">
        <f>(D33/D26-1)*100</f>
        <v>13.717149770203774</v>
      </c>
      <c r="N33" s="756">
        <f>(H33/H26-1)*100</f>
        <v>13.87098043619519</v>
      </c>
      <c r="P33" s="756">
        <f>(H33/H32-1)*100</f>
        <v>25.568603377380761</v>
      </c>
      <c r="R33" s="596">
        <f>F33/J33</f>
        <v>0.77314722274618219</v>
      </c>
      <c r="T33" s="596">
        <f>F34/H33</f>
        <v>0.94882715731997291</v>
      </c>
      <c r="V33" s="524">
        <f>IF(qtrSales!I35=0," ",qtrSales!I35)</f>
        <v>114</v>
      </c>
      <c r="W33" s="249"/>
      <c r="X33" s="254">
        <f>H33/V33</f>
        <v>10.406938596491228</v>
      </c>
      <c r="Y33" s="249"/>
      <c r="Z33" s="541">
        <f>X33/X26-1</f>
        <v>-3.1097798042900582E-2</v>
      </c>
      <c r="AB33" s="362">
        <f>qtrSales!Z35</f>
        <v>15.971</v>
      </c>
      <c r="AD33" s="1029">
        <f>H33/AB33*1000</f>
        <v>74284.077390269871</v>
      </c>
      <c r="AF33" s="756">
        <f>(AD33/AD26-1)*100</f>
        <v>2.9337765047492415</v>
      </c>
      <c r="AH33" s="759">
        <f>J33/(F33/(365/4))</f>
        <v>118.02409336204343</v>
      </c>
      <c r="AJ33" s="759">
        <f>H33/(F34/(365/4))</f>
        <v>96.171361976760721</v>
      </c>
      <c r="AL33" s="362">
        <f>INDEX('qtrP&amp;L'!$82:$82,MATCH(B30,'qtrP&amp;L'!$6:$6,0))</f>
        <v>54.32999999999987</v>
      </c>
    </row>
    <row r="34" spans="1:38" hidden="1" outlineLevel="1" x14ac:dyDescent="0.2">
      <c r="A34" s="239" t="s">
        <v>95</v>
      </c>
      <c r="B34" s="239" t="s">
        <v>81</v>
      </c>
      <c r="D34" s="556">
        <f>qtrSales!R36</f>
        <v>1655.7349999999999</v>
      </c>
      <c r="E34" s="249"/>
      <c r="F34" s="556">
        <f>INDEX('qtrP&amp;L'!$43:$43,MATCH(B30,'qtrP&amp;L'!$6:$6,0))</f>
        <v>1125.68</v>
      </c>
      <c r="G34" s="249"/>
      <c r="H34" s="556">
        <f>INDEX(wc!$13:$13,MATCH(B30,wc!$7:$7,0))</f>
        <v>945.68700000000001</v>
      </c>
      <c r="I34" s="249"/>
      <c r="J34" s="556">
        <f>AVERAGE(H34,H33)</f>
        <v>1066.039</v>
      </c>
      <c r="L34" s="1032">
        <f>(D34/D27-1)*100</f>
        <v>6.3833136509837241</v>
      </c>
      <c r="N34" s="756">
        <f>(H34/H27-1)*100</f>
        <v>18.530165633675711</v>
      </c>
      <c r="P34" s="756">
        <f>(H34/H33-1)*100</f>
        <v>-20.288758090713777</v>
      </c>
      <c r="R34" s="596">
        <f>F34/J34</f>
        <v>1.0559463584352919</v>
      </c>
      <c r="T34" s="596">
        <f>F38/H34</f>
        <v>0.84428568860521502</v>
      </c>
      <c r="V34" s="526">
        <f>IF(qtrSales!I36=0," ",qtrSales!I36)</f>
        <v>114</v>
      </c>
      <c r="W34" s="249"/>
      <c r="X34" s="254">
        <f>H34/V34</f>
        <v>8.2955000000000005</v>
      </c>
      <c r="Y34" s="249"/>
      <c r="Z34" s="541">
        <f>X34/X27-1</f>
        <v>1.8943529131598247E-2</v>
      </c>
      <c r="AB34" s="362">
        <f>qtrSales!Z36</f>
        <v>15.987</v>
      </c>
      <c r="AD34" s="1029">
        <f>H34/AB34*1000</f>
        <v>59153.499718521292</v>
      </c>
      <c r="AF34" s="756">
        <f>(AD34/AD27-1)*100</f>
        <v>7.4089265988027675</v>
      </c>
      <c r="AH34" s="759">
        <f>J34/(F34/(365/4))</f>
        <v>86.415374484755873</v>
      </c>
      <c r="AJ34" s="759">
        <f>H34/(F38/(365/4))</f>
        <v>108.07952951417158</v>
      </c>
      <c r="AL34" s="556">
        <f>INDEX('qtrP&amp;L'!$83:$83,MATCH(B30,'qtrP&amp;L'!$6:$6,0))</f>
        <v>65.120999999999754</v>
      </c>
    </row>
    <row r="35" spans="1:38" hidden="1" outlineLevel="1" x14ac:dyDescent="0.2">
      <c r="B35" s="607" t="s">
        <v>55</v>
      </c>
      <c r="C35" s="607"/>
      <c r="D35" s="256">
        <f>qtrSales!R37</f>
        <v>5528.5370000000003</v>
      </c>
      <c r="F35" s="256">
        <f>INDEX('qtrP&amp;L'!$44:$44,MATCH(B30,'qtrP&amp;L'!$6:$6,0))</f>
        <v>3649.5159999999996</v>
      </c>
      <c r="H35" s="256">
        <f>INDEX(wc!$13:$13,MATCH(B30,wc!$7:$7,0))</f>
        <v>945.68700000000001</v>
      </c>
      <c r="J35" s="256">
        <f>AVERAGE(J31:J34)</f>
        <v>981.4247499999999</v>
      </c>
      <c r="L35" s="633">
        <f>(D35/D28-1)*100</f>
        <v>7.3710817634492276</v>
      </c>
      <c r="R35" s="1033">
        <f>F35/J35</f>
        <v>3.7185897339556599</v>
      </c>
      <c r="S35" s="601" t="s">
        <v>118</v>
      </c>
      <c r="V35" s="536">
        <f>V34</f>
        <v>114</v>
      </c>
      <c r="AB35" s="1031"/>
      <c r="AL35" s="256">
        <f>INDEX('qtrP&amp;L'!$84:$84,MATCH(B30,'qtrP&amp;L'!$6:$6,0))</f>
        <v>262.573000000001</v>
      </c>
    </row>
    <row r="36" spans="1:38" hidden="1" outlineLevel="1" x14ac:dyDescent="0.2">
      <c r="AB36" s="1031"/>
    </row>
    <row r="37" spans="1:38" hidden="1" outlineLevel="1" x14ac:dyDescent="0.2">
      <c r="B37" s="1028">
        <v>2001</v>
      </c>
      <c r="C37" s="880"/>
      <c r="L37" s="633"/>
    </row>
    <row r="38" spans="1:38" hidden="1" outlineLevel="1" x14ac:dyDescent="0.2">
      <c r="A38" s="239" t="s">
        <v>92</v>
      </c>
      <c r="B38" s="239" t="s">
        <v>78</v>
      </c>
      <c r="D38" s="256">
        <f>qtrSales!R40</f>
        <v>1218.04</v>
      </c>
      <c r="F38" s="256">
        <f>INDEX('qtrP&amp;L'!$40:$40,MATCH(B37,'qtrP&amp;L'!$6:$6,0))</f>
        <v>798.43</v>
      </c>
      <c r="H38" s="256">
        <f>INDEX(wc!$10:$10,MATCH(B37,wc!$7:$7,0))</f>
        <v>1052.2739999999999</v>
      </c>
      <c r="J38" s="256">
        <f>AVERAGE(H38,H34)</f>
        <v>998.98049999999989</v>
      </c>
      <c r="L38" s="633">
        <f>(D38/D31-1)*100</f>
        <v>5.6064062314403751</v>
      </c>
      <c r="M38" s="239" t="s">
        <v>90</v>
      </c>
      <c r="N38" s="756">
        <f>(H38/H31-1)*100</f>
        <v>14.039580504309491</v>
      </c>
      <c r="O38" s="239" t="s">
        <v>90</v>
      </c>
      <c r="P38" s="756">
        <f>(H38/H34-1)*100</f>
        <v>11.270853887174081</v>
      </c>
      <c r="Q38" s="239" t="s">
        <v>90</v>
      </c>
      <c r="R38" s="596">
        <f>F38/J38</f>
        <v>0.79924483010429137</v>
      </c>
      <c r="S38" s="239" t="s">
        <v>118</v>
      </c>
      <c r="T38" s="596">
        <f>F39/H38</f>
        <v>0.98919863077487424</v>
      </c>
      <c r="V38" s="524">
        <f>IF(qtrSales!I40=0," ",qtrSales!I40)</f>
        <v>122</v>
      </c>
      <c r="X38" s="254">
        <f>H38/V38</f>
        <v>8.6251967213114753</v>
      </c>
      <c r="Z38" s="541">
        <f>X38/X31-1</f>
        <v>-6.52493401286105E-2</v>
      </c>
      <c r="AB38" s="362">
        <f>qtrSales!Z40</f>
        <v>16.306999999999999</v>
      </c>
      <c r="AD38" s="1029">
        <f>H38/AB38*1000</f>
        <v>64528.975286686698</v>
      </c>
      <c r="AF38" s="756">
        <f>(AD38/AD31-1)*100</f>
        <v>2.822343297655161</v>
      </c>
      <c r="AG38" s="239" t="s">
        <v>90</v>
      </c>
      <c r="AH38" s="759">
        <f>J38/(F38/(365/4))</f>
        <v>114.1702724409153</v>
      </c>
      <c r="AJ38" s="759">
        <f>H38/(F39/(365/4))</f>
        <v>92.24638728879016</v>
      </c>
      <c r="AL38" s="256">
        <f>INDEX('qtrP&amp;L'!$80:$80,MATCH(B37,'qtrP&amp;L'!$6:$6,0))</f>
        <v>60.058999999999969</v>
      </c>
    </row>
    <row r="39" spans="1:38" hidden="1" outlineLevel="1" x14ac:dyDescent="0.2">
      <c r="A39" s="239" t="s">
        <v>93</v>
      </c>
      <c r="B39" s="239" t="s">
        <v>79</v>
      </c>
      <c r="D39" s="362">
        <f>qtrSales!R41</f>
        <v>1545.759</v>
      </c>
      <c r="F39" s="362">
        <f>INDEX('qtrP&amp;L'!$41:$41,MATCH(B37,'qtrP&amp;L'!$6:$6,0))</f>
        <v>1040.9079999999999</v>
      </c>
      <c r="H39" s="362">
        <f>INDEX(wc!$11:$11,MATCH(B37,wc!$7:$7,0))</f>
        <v>1002.633</v>
      </c>
      <c r="J39" s="362">
        <f>AVERAGE(H39,H38)</f>
        <v>1027.4535000000001</v>
      </c>
      <c r="L39" s="633">
        <f>(D39/D32-1)*100</f>
        <v>6.0893526922826124</v>
      </c>
      <c r="N39" s="756">
        <f>(H39/H32-1)*100</f>
        <v>6.1195048766160554</v>
      </c>
      <c r="P39" s="756">
        <f>(H39/H38-1)*100</f>
        <v>-4.7174975339122511</v>
      </c>
      <c r="R39" s="596">
        <f>F39/J39</f>
        <v>1.0130949965132241</v>
      </c>
      <c r="T39" s="596">
        <f>F40/H39</f>
        <v>0.83476306883974494</v>
      </c>
      <c r="V39" s="524">
        <f>IF(qtrSales!I41=0," ",qtrSales!I41)</f>
        <v>122</v>
      </c>
      <c r="X39" s="254">
        <f>H39/V39</f>
        <v>8.2183032786885253</v>
      </c>
      <c r="Z39" s="541">
        <f>X39/X32-1</f>
        <v>-6.927975231164607E-2</v>
      </c>
      <c r="AB39" s="362">
        <f>qtrSales!Z41</f>
        <v>16.306999999999999</v>
      </c>
      <c r="AD39" s="1029">
        <f>H39/AB39*1000</f>
        <v>61484.822468878403</v>
      </c>
      <c r="AF39" s="756">
        <f>(AD39/AD32-1)*100</f>
        <v>-0.99981433200710956</v>
      </c>
      <c r="AH39" s="759">
        <f>J39/(F39/(365/4))</f>
        <v>90.070526766054257</v>
      </c>
      <c r="AJ39" s="759">
        <f>H39/(F40/(365/4))</f>
        <v>109.31245452297061</v>
      </c>
      <c r="AL39" s="362">
        <f>INDEX('qtrP&amp;L'!$81:$81,MATCH(B37,'qtrP&amp;L'!$6:$6,0))</f>
        <v>82.778000000000077</v>
      </c>
    </row>
    <row r="40" spans="1:38" hidden="1" outlineLevel="1" x14ac:dyDescent="0.2">
      <c r="A40" s="239" t="s">
        <v>94</v>
      </c>
      <c r="B40" s="239" t="s">
        <v>80</v>
      </c>
      <c r="D40" s="362">
        <f>qtrSales!R42</f>
        <v>1239.241</v>
      </c>
      <c r="F40" s="362">
        <f>INDEX('qtrP&amp;L'!$42:$42,MATCH(B37,'qtrP&amp;L'!$6:$6,0))</f>
        <v>836.96100000000001</v>
      </c>
      <c r="H40" s="362">
        <f>INDEX(wc!$12:$12,MATCH(B37,wc!$7:$7,0))</f>
        <v>1161.1780000000001</v>
      </c>
      <c r="J40" s="362">
        <f>AVERAGE(H40,H39)</f>
        <v>1081.9055000000001</v>
      </c>
      <c r="L40" s="633">
        <f>(D40/D33-1)*100</f>
        <v>-1.8337439301642</v>
      </c>
      <c r="N40" s="756">
        <f>(H40/H33-1)*100</f>
        <v>-2.1251846988050271</v>
      </c>
      <c r="P40" s="756">
        <f>(H40/H39-1)*100</f>
        <v>15.812864727173359</v>
      </c>
      <c r="R40" s="596">
        <f>F40/J40</f>
        <v>0.77359898808167626</v>
      </c>
      <c r="T40" s="596">
        <f>F41/H40</f>
        <v>0.93832297890590399</v>
      </c>
      <c r="V40" s="524">
        <f>IF(qtrSales!I42=0," ",qtrSales!I42)</f>
        <v>131</v>
      </c>
      <c r="X40" s="254">
        <f>H40/V40</f>
        <v>8.8639541984732837</v>
      </c>
      <c r="Z40" s="541">
        <f>X40/X33-1</f>
        <v>-0.14826496608120399</v>
      </c>
      <c r="AB40" s="362">
        <f>qtrSales!Z42</f>
        <v>17.033000000000001</v>
      </c>
      <c r="AD40" s="1029">
        <f>H40/AB40*1000</f>
        <v>68172.253860153811</v>
      </c>
      <c r="AF40" s="756">
        <f>(AD40/AD33-1)*100</f>
        <v>-8.2276360491173257</v>
      </c>
      <c r="AH40" s="759">
        <f>J40/(F40/(365/4))</f>
        <v>117.95516980480573</v>
      </c>
      <c r="AJ40" s="759">
        <f>H40/(F41/(365/4))</f>
        <v>97.247964774771489</v>
      </c>
      <c r="AL40" s="362">
        <f>INDEX('qtrP&amp;L'!$82:$82,MATCH(B37,'qtrP&amp;L'!$6:$6,0))</f>
        <v>35.028999999999996</v>
      </c>
    </row>
    <row r="41" spans="1:38" hidden="1" outlineLevel="1" x14ac:dyDescent="0.2">
      <c r="A41" s="239" t="s">
        <v>95</v>
      </c>
      <c r="B41" s="239" t="s">
        <v>81</v>
      </c>
      <c r="D41" s="556">
        <f>qtrSales!R43</f>
        <v>1631.09</v>
      </c>
      <c r="F41" s="556">
        <f>INDEX('qtrP&amp;L'!$43:$43,MATCH(B37,'qtrP&amp;L'!$6:$6,0))</f>
        <v>1089.56</v>
      </c>
      <c r="H41" s="556">
        <f>INDEX(wc!$13:$13,MATCH(B37,wc!$7:$7,0))</f>
        <v>888.17200000000003</v>
      </c>
      <c r="J41" s="556">
        <f>AVERAGE(H41,H40)</f>
        <v>1024.6750000000002</v>
      </c>
      <c r="L41" s="1032">
        <f>(D41/D34-1)*100</f>
        <v>-1.4884628276867984</v>
      </c>
      <c r="N41" s="756">
        <f>(H41/H34-1)*100</f>
        <v>-6.0818219981875643</v>
      </c>
      <c r="P41" s="756">
        <f>(H41/H40-1)*100</f>
        <v>-23.511124048164888</v>
      </c>
      <c r="R41" s="596">
        <f>F41/J41</f>
        <v>1.0633225168956009</v>
      </c>
      <c r="T41" s="596">
        <f>F45/H41</f>
        <v>0.92672140080975296</v>
      </c>
      <c r="V41" s="526">
        <f>IF(qtrSales!I43=0," ",qtrSales!I43)</f>
        <v>127</v>
      </c>
      <c r="X41" s="254">
        <f>H41/V41</f>
        <v>6.9934803149606299</v>
      </c>
      <c r="Z41" s="541">
        <f>X41/X34-1</f>
        <v>-0.15695493762152624</v>
      </c>
      <c r="AB41" s="362">
        <f>qtrSales!Z43</f>
        <v>17.010999999999999</v>
      </c>
      <c r="AD41" s="1029">
        <f>H41/AB41*1000</f>
        <v>52211.627770266306</v>
      </c>
      <c r="AF41" s="756">
        <f>(AD41/AD34-1)*100</f>
        <v>-11.735352906062202</v>
      </c>
      <c r="AH41" s="759">
        <f>J41/(F41/(365/4))</f>
        <v>85.815919958515394</v>
      </c>
      <c r="AJ41" s="759">
        <f>H41/(F45/(365/4))</f>
        <v>98.465407101063306</v>
      </c>
      <c r="AL41" s="556">
        <f>INDEX('qtrP&amp;L'!$83:$83,MATCH(B37,'qtrP&amp;L'!$6:$6,0))</f>
        <v>101.65999999999991</v>
      </c>
    </row>
    <row r="42" spans="1:38" hidden="1" outlineLevel="1" x14ac:dyDescent="0.2">
      <c r="B42" s="607" t="s">
        <v>55</v>
      </c>
      <c r="C42" s="607"/>
      <c r="D42" s="256">
        <f>qtrSales!R44</f>
        <v>5634.13</v>
      </c>
      <c r="F42" s="256">
        <f>INDEX('qtrP&amp;L'!$44:$44,MATCH(B37,'qtrP&amp;L'!$6:$6,0))</f>
        <v>3765.8589999999999</v>
      </c>
      <c r="H42" s="256">
        <f>INDEX(wc!$13:$13,MATCH(B37,wc!$7:$7,0))</f>
        <v>888.17200000000003</v>
      </c>
      <c r="J42" s="256">
        <f>AVERAGE(J38:J41)</f>
        <v>1033.2536250000001</v>
      </c>
      <c r="L42" s="633">
        <f>(D42/D35-1)*100</f>
        <v>1.9099627984763501</v>
      </c>
      <c r="R42" s="1033">
        <f>F42/J42</f>
        <v>3.6446608159734253</v>
      </c>
      <c r="S42" s="601" t="s">
        <v>118</v>
      </c>
      <c r="V42" s="536">
        <f>V41</f>
        <v>127</v>
      </c>
      <c r="AB42" s="1034"/>
      <c r="AL42" s="256">
        <f>INDEX('qtrP&amp;L'!$84:$84,MATCH(B37,'qtrP&amp;L'!$6:$6,0))</f>
        <v>279.52600000000052</v>
      </c>
    </row>
    <row r="43" spans="1:38" hidden="1" outlineLevel="1" x14ac:dyDescent="0.2">
      <c r="L43" s="633"/>
      <c r="AB43" s="1034"/>
    </row>
    <row r="44" spans="1:38" hidden="1" outlineLevel="1" x14ac:dyDescent="0.2">
      <c r="B44" s="1028">
        <v>2002</v>
      </c>
      <c r="C44" s="880"/>
      <c r="L44" s="633"/>
      <c r="AB44" s="362"/>
    </row>
    <row r="45" spans="1:38" hidden="1" outlineLevel="1" x14ac:dyDescent="0.2">
      <c r="A45" s="239" t="s">
        <v>92</v>
      </c>
      <c r="B45" s="239" t="s">
        <v>78</v>
      </c>
      <c r="D45" s="256">
        <f>qtrSales!R47</f>
        <v>1245.761</v>
      </c>
      <c r="F45" s="256">
        <f>INDEX('qtrP&amp;L'!$40:$40,MATCH(B44,'qtrP&amp;L'!$6:$6,0))</f>
        <v>823.08799999999997</v>
      </c>
      <c r="H45" s="256">
        <f>INDEX(wc!$10:$10,MATCH(B44,wc!$7:$7,0))</f>
        <v>994.13599999999997</v>
      </c>
      <c r="J45" s="256">
        <f>AVERAGE(H45,H41)</f>
        <v>941.154</v>
      </c>
      <c r="L45" s="633">
        <f>(D45/D38-1)*100</f>
        <v>2.2758694295753834</v>
      </c>
      <c r="M45" s="239" t="s">
        <v>90</v>
      </c>
      <c r="N45" s="756">
        <f>(H45/H38-1)*100</f>
        <v>-5.5249868380288669</v>
      </c>
      <c r="O45" s="239" t="s">
        <v>90</v>
      </c>
      <c r="P45" s="756">
        <f>(H45/H41-1)*100</f>
        <v>11.930572006323104</v>
      </c>
      <c r="Q45" s="239" t="s">
        <v>90</v>
      </c>
      <c r="R45" s="596">
        <f>F45/J45</f>
        <v>0.87455187992613326</v>
      </c>
      <c r="S45" s="239" t="s">
        <v>118</v>
      </c>
      <c r="T45" s="596">
        <f>F46/H45</f>
        <v>1.110547249068538</v>
      </c>
      <c r="V45" s="524">
        <f>IF(qtrSales!I47=0," ",qtrSales!I47)</f>
        <v>136</v>
      </c>
      <c r="X45" s="254">
        <f>H45/V45</f>
        <v>7.3098235294117648</v>
      </c>
      <c r="Z45" s="541">
        <f>X45/X38-1</f>
        <v>-0.15250355839996488</v>
      </c>
      <c r="AB45" s="362">
        <f>qtrSales!Z47</f>
        <v>17.475000000000001</v>
      </c>
      <c r="AD45" s="1029">
        <f>H45/AB45*1000</f>
        <v>56889.041487839764</v>
      </c>
      <c r="AF45" s="756">
        <f>(AD45/AD38-1)*100</f>
        <v>-11.8395399352067</v>
      </c>
      <c r="AG45" s="239" t="s">
        <v>90</v>
      </c>
      <c r="AH45" s="759">
        <f>J45/(F45/(365/4))</f>
        <v>104.33915024881908</v>
      </c>
      <c r="AJ45" s="759">
        <f>H45/(F46/(365/4))</f>
        <v>82.166697613753172</v>
      </c>
      <c r="AL45" s="256" t="e">
        <f>INDEX('qtrP&amp;L'!$80:$80,MATCH(B84,'qtrP&amp;L'!$6:$6,0))</f>
        <v>#N/A</v>
      </c>
    </row>
    <row r="46" spans="1:38" hidden="1" outlineLevel="1" x14ac:dyDescent="0.2">
      <c r="A46" s="239" t="s">
        <v>93</v>
      </c>
      <c r="B46" s="239" t="s">
        <v>79</v>
      </c>
      <c r="D46" s="362">
        <f>qtrSales!R48</f>
        <v>1655.528</v>
      </c>
      <c r="F46" s="362">
        <f>INDEX('qtrP&amp;L'!$41:$41,MATCH(B44,'qtrP&amp;L'!$6:$6,0))</f>
        <v>1104.0350000000001</v>
      </c>
      <c r="H46" s="362">
        <f>INDEX(wc!$11:$11,MATCH(B44,wc!$7:$7,0))</f>
        <v>1039.365</v>
      </c>
      <c r="J46" s="362">
        <f>AVERAGE(H46,H45)</f>
        <v>1016.7505</v>
      </c>
      <c r="L46" s="633">
        <f>(D46/D39-1)*100</f>
        <v>7.1013010436943969</v>
      </c>
      <c r="N46" s="756">
        <f>(H46/H39-1)*100</f>
        <v>3.6635538626795583</v>
      </c>
      <c r="P46" s="756">
        <f>(H46/H45-1)*100</f>
        <v>4.549578729670789</v>
      </c>
      <c r="R46" s="596">
        <f>F46/J46</f>
        <v>1.0858465277371392</v>
      </c>
      <c r="T46" s="596">
        <f>F47/H46</f>
        <v>0.83912196389141447</v>
      </c>
      <c r="V46" s="524">
        <f>IF(qtrSales!I48=0," ",qtrSales!I48)</f>
        <v>136</v>
      </c>
      <c r="X46" s="254">
        <f>H46/V46</f>
        <v>7.6423897058823531</v>
      </c>
      <c r="Z46" s="541">
        <f>X46/X39-1</f>
        <v>-7.0076943290668714E-2</v>
      </c>
      <c r="AB46" s="362">
        <f>qtrSales!Z48</f>
        <v>17.454999999999998</v>
      </c>
      <c r="AD46" s="1029">
        <f>H46/AB46*1000</f>
        <v>59545.40246347752</v>
      </c>
      <c r="AF46" s="756">
        <f>(AD46/AD39-1)*100</f>
        <v>-3.1543069127060619</v>
      </c>
      <c r="AH46" s="759">
        <f>J46/(F46/(365/4))</f>
        <v>84.0358169125073</v>
      </c>
      <c r="AJ46" s="759">
        <f>H46/(F47/(365/4))</f>
        <v>108.74462107609435</v>
      </c>
      <c r="AL46" s="362" t="e">
        <f>INDEX('qtrP&amp;L'!$81:$81,MATCH(B84,'qtrP&amp;L'!$6:$6,0))</f>
        <v>#N/A</v>
      </c>
    </row>
    <row r="47" spans="1:38" hidden="1" outlineLevel="1" x14ac:dyDescent="0.2">
      <c r="A47" s="239" t="s">
        <v>94</v>
      </c>
      <c r="B47" s="239" t="s">
        <v>80</v>
      </c>
      <c r="D47" s="362">
        <f>qtrSales!R49</f>
        <v>1323.201</v>
      </c>
      <c r="F47" s="362">
        <f>INDEX('qtrP&amp;L'!$42:$42,MATCH(B44,'qtrP&amp;L'!$6:$6,0))</f>
        <v>872.154</v>
      </c>
      <c r="H47" s="362">
        <f>INDEX(wc!$12:$12,MATCH(B44,wc!$7:$7,0))</f>
        <v>1278.932</v>
      </c>
      <c r="J47" s="362">
        <f>AVERAGE(H47,H46)</f>
        <v>1159.1485</v>
      </c>
      <c r="L47" s="633">
        <f>(D47/D40-1)*100</f>
        <v>6.7751147678296597</v>
      </c>
      <c r="N47" s="756">
        <f>(H47/H40-1)*100</f>
        <v>10.140908628995726</v>
      </c>
      <c r="P47" s="756">
        <f>(H47/H46-1)*100</f>
        <v>23.049361869987916</v>
      </c>
      <c r="R47" s="596">
        <f>F47/J47</f>
        <v>0.75240920382504917</v>
      </c>
      <c r="T47" s="596">
        <f>F48/H47</f>
        <v>0.91401497499476125</v>
      </c>
      <c r="V47" s="524">
        <f>IF(qtrSales!I49=0," ",qtrSales!I49)</f>
        <v>142</v>
      </c>
      <c r="X47" s="254">
        <f>H47/V47</f>
        <v>9.0065633802816905</v>
      </c>
      <c r="Z47" s="541">
        <f>X47/X40-1</f>
        <v>1.6088664112566153E-2</v>
      </c>
      <c r="AB47" s="362">
        <f>qtrSales!Z49</f>
        <v>18.18</v>
      </c>
      <c r="AD47" s="1029">
        <f>H47/AB47*1000</f>
        <v>70348.294829482955</v>
      </c>
      <c r="AF47" s="756">
        <f>(AD47/AD40-1)*100</f>
        <v>3.1919745147241274</v>
      </c>
      <c r="AH47" s="759">
        <f>J47/(F47/(365/4))</f>
        <v>121.27709168908243</v>
      </c>
      <c r="AJ47" s="759">
        <f>H47/(F48/(365/4))</f>
        <v>99.834250528032115</v>
      </c>
      <c r="AL47" s="362" t="e">
        <f>INDEX('qtrP&amp;L'!$82:$82,MATCH(B84,'qtrP&amp;L'!$6:$6,0))</f>
        <v>#N/A</v>
      </c>
    </row>
    <row r="48" spans="1:38" hidden="1" outlineLevel="1" x14ac:dyDescent="0.2">
      <c r="A48" s="239" t="s">
        <v>95</v>
      </c>
      <c r="B48" s="239" t="s">
        <v>81</v>
      </c>
      <c r="D48" s="556">
        <f>qtrSales!R50</f>
        <v>1750.586</v>
      </c>
      <c r="F48" s="556">
        <f>INDEX('qtrP&amp;L'!$43:$43,MATCH(B44,'qtrP&amp;L'!$6:$6,0))</f>
        <v>1168.963</v>
      </c>
      <c r="H48" s="556">
        <f>INDEX(wc!$13:$13,MATCH(B44,wc!$7:$7,0))</f>
        <v>953.11199999999997</v>
      </c>
      <c r="J48" s="556">
        <f>AVERAGE(H48,H47)</f>
        <v>1116.0219999999999</v>
      </c>
      <c r="L48" s="1032">
        <f>(D48/D41-1)*100</f>
        <v>7.326143866984669</v>
      </c>
      <c r="N48" s="756">
        <f>(H48/H41-1)*100</f>
        <v>7.3116468431790205</v>
      </c>
      <c r="P48" s="756">
        <f>(H48/H47-1)*100</f>
        <v>-25.475943990767302</v>
      </c>
      <c r="R48" s="596">
        <f>F48/J48</f>
        <v>1.047437236900348</v>
      </c>
      <c r="T48" s="596">
        <f>F52/H48</f>
        <v>0.92968612293203745</v>
      </c>
      <c r="V48" s="526">
        <f>IF(qtrSales!I50=0," ",qtrSales!I50)</f>
        <v>143</v>
      </c>
      <c r="X48" s="254">
        <f>H48/V48</f>
        <v>6.6651188811188806</v>
      </c>
      <c r="Z48" s="541">
        <f>X48/X41-1</f>
        <v>-4.6952507057081427E-2</v>
      </c>
      <c r="AB48" s="362">
        <f>qtrSales!Z50</f>
        <v>18.428000000000001</v>
      </c>
      <c r="AD48" s="1029">
        <f>H48/AB48*1000</f>
        <v>51720.859561536789</v>
      </c>
      <c r="AF48" s="756">
        <f>(AD48/AD41-1)*100</f>
        <v>-0.93995960227274411</v>
      </c>
      <c r="AH48" s="759">
        <f>J48/(F48/(365/4))</f>
        <v>87.117391653970216</v>
      </c>
      <c r="AJ48" s="759">
        <f>H48/(F52/(365/4))</f>
        <v>98.15140588763056</v>
      </c>
      <c r="AL48" s="556" t="e">
        <f>INDEX('qtrP&amp;L'!$83:$83,MATCH(B84,'qtrP&amp;L'!$6:$6,0))</f>
        <v>#N/A</v>
      </c>
    </row>
    <row r="49" spans="1:39" hidden="1" outlineLevel="1" x14ac:dyDescent="0.2">
      <c r="B49" s="607" t="s">
        <v>55</v>
      </c>
      <c r="C49" s="607"/>
      <c r="D49" s="256">
        <f>qtrSales!R51</f>
        <v>5944.6559999999999</v>
      </c>
      <c r="F49" s="256">
        <f>INDEX('qtrP&amp;L'!$44:$44,MATCH(B44,'qtrP&amp;L'!$6:$6,0))</f>
        <v>3970.0219999999999</v>
      </c>
      <c r="H49" s="256">
        <f>INDEX(wc!$13:$13,MATCH(B44,wc!$7:$7,0))</f>
        <v>953.11199999999997</v>
      </c>
      <c r="J49" s="256">
        <f>AVERAGE(J45:J48)</f>
        <v>1058.26875</v>
      </c>
      <c r="L49" s="633">
        <f>(D49/D42-1)*100</f>
        <v>5.5115164186839927</v>
      </c>
      <c r="R49" s="1033">
        <f>F49/J49</f>
        <v>3.7514308156600107</v>
      </c>
      <c r="S49" s="601" t="s">
        <v>118</v>
      </c>
      <c r="V49" s="536">
        <f>V48</f>
        <v>143</v>
      </c>
      <c r="AB49" s="1034"/>
      <c r="AL49" s="256" t="e">
        <f>INDEX('qtrP&amp;L'!$84:$84,MATCH(B84,'qtrP&amp;L'!$6:$6,0))</f>
        <v>#N/A</v>
      </c>
    </row>
    <row r="50" spans="1:39" hidden="1" outlineLevel="1" x14ac:dyDescent="0.2">
      <c r="AB50" s="1034"/>
    </row>
    <row r="51" spans="1:39" hidden="1" outlineLevel="1" x14ac:dyDescent="0.2">
      <c r="B51" s="1028">
        <v>2003</v>
      </c>
      <c r="C51" s="880"/>
      <c r="AB51" s="1034"/>
    </row>
    <row r="52" spans="1:39" hidden="1" outlineLevel="1" x14ac:dyDescent="0.2">
      <c r="A52" s="239" t="s">
        <v>92</v>
      </c>
      <c r="B52" s="239" t="s">
        <v>78</v>
      </c>
      <c r="D52" s="256">
        <f>qtrSales!R54</f>
        <v>1335.472</v>
      </c>
      <c r="F52" s="256">
        <f>INDEX('qtrP&amp;L'!$40:$40,MATCH(B51,'qtrP&amp;L'!$6:$6,0))</f>
        <v>886.09500000000003</v>
      </c>
      <c r="H52" s="256">
        <f>INDEX(wc!$10:$10,MATCH(B51,wc!$7:$7,0))</f>
        <v>1078.232</v>
      </c>
      <c r="J52" s="256">
        <f>AVERAGE(H52,H48)</f>
        <v>1015.672</v>
      </c>
      <c r="L52" s="633">
        <f>(D52/D45-1)*100</f>
        <v>7.201301052127973</v>
      </c>
      <c r="M52" s="239" t="s">
        <v>90</v>
      </c>
      <c r="N52" s="756">
        <f>(H52/H45-1)*100</f>
        <v>8.4592047768112124</v>
      </c>
      <c r="O52" s="239" t="s">
        <v>90</v>
      </c>
      <c r="P52" s="756">
        <f>(H52/H48-1)*100</f>
        <v>13.127523313104872</v>
      </c>
      <c r="Q52" s="239" t="s">
        <v>90</v>
      </c>
      <c r="R52" s="596">
        <f>F52/J52</f>
        <v>0.87242239620664941</v>
      </c>
      <c r="S52" s="239" t="s">
        <v>118</v>
      </c>
      <c r="T52" s="596">
        <f>F53/H52</f>
        <v>1.1077393362467447</v>
      </c>
      <c r="V52" s="524">
        <f>IF(qtrSales!I54=0," ",qtrSales!I54)</f>
        <v>143</v>
      </c>
      <c r="X52" s="254">
        <f>H52/V52</f>
        <v>7.5400839160839155</v>
      </c>
      <c r="Z52" s="541">
        <f>X52/X45-1</f>
        <v>3.1500129345896744E-2</v>
      </c>
      <c r="AB52" s="362">
        <f>qtrSales!Z54</f>
        <v>18.613</v>
      </c>
      <c r="AD52" s="1029">
        <f>H52/AB52*1000</f>
        <v>57928.974372750228</v>
      </c>
      <c r="AF52" s="756">
        <f>(AD52/AD45-1)*100</f>
        <v>1.8280021208175068</v>
      </c>
      <c r="AG52" s="239" t="s">
        <v>90</v>
      </c>
      <c r="AH52" s="759">
        <f>J52/(F52/(365/4))</f>
        <v>104.59383023264999</v>
      </c>
      <c r="AJ52" s="759">
        <f>H52/(F53/(365/4))</f>
        <v>82.374974882786333</v>
      </c>
      <c r="AL52" s="256">
        <f>INDEX('qtrP&amp;L'!$80:$80,MATCH(B51,'qtrP&amp;L'!$6:$6,0))</f>
        <v>64.682999999999993</v>
      </c>
    </row>
    <row r="53" spans="1:39" hidden="1" outlineLevel="1" x14ac:dyDescent="0.2">
      <c r="A53" s="239" t="s">
        <v>93</v>
      </c>
      <c r="B53" s="239" t="s">
        <v>79</v>
      </c>
      <c r="D53" s="362">
        <f>qtrSales!R55</f>
        <v>1784.8</v>
      </c>
      <c r="F53" s="362">
        <f>INDEX('qtrP&amp;L'!$41:$41,MATCH(B51,'qtrP&amp;L'!$6:$6,0))</f>
        <v>1194.4000000000001</v>
      </c>
      <c r="H53" s="362">
        <f>INDEX(wc!$11:$11,MATCH(B51,wc!$7:$7,0))</f>
        <v>1019.467</v>
      </c>
      <c r="J53" s="362">
        <f>AVERAGE(H53,H52)</f>
        <v>1048.8495</v>
      </c>
      <c r="L53" s="633">
        <f>(D53/D46-1)*100</f>
        <v>7.8085058060026746</v>
      </c>
      <c r="N53" s="756">
        <f>(H53/H46-1)*100</f>
        <v>-1.9144381425197143</v>
      </c>
      <c r="P53" s="756">
        <f>(H53/H52-1)*100</f>
        <v>-5.4501257614316785</v>
      </c>
      <c r="R53" s="596">
        <f>F53/J53</f>
        <v>1.1387715778097811</v>
      </c>
      <c r="T53" s="596">
        <f>F54/H53</f>
        <v>0.89399656879526257</v>
      </c>
      <c r="V53" s="524">
        <f>IF(qtrSales!I55=0," ",qtrSales!I55)</f>
        <v>143</v>
      </c>
      <c r="X53" s="254">
        <f>H53/V53</f>
        <v>7.1291398601398601</v>
      </c>
      <c r="Z53" s="541">
        <f>X53/X46-1</f>
        <v>-6.7158292823963683E-2</v>
      </c>
      <c r="AB53" s="362">
        <f>qtrSales!Z55</f>
        <v>18.613</v>
      </c>
      <c r="AD53" s="1029">
        <f>H53/AB53*1000</f>
        <v>54771.772417127817</v>
      </c>
      <c r="AF53" s="756">
        <f>(AD53/AD46-1)*100</f>
        <v>-8.0167902959050963</v>
      </c>
      <c r="AH53" s="759">
        <f>J53/(F53/(365/4))</f>
        <v>80.130205019256522</v>
      </c>
      <c r="AJ53" s="759">
        <f>H53/(F54/(365/4))</f>
        <v>102.0697429778363</v>
      </c>
      <c r="AL53" s="362">
        <f>INDEX('qtrP&amp;L'!$81:$81,MATCH(B51,'qtrP&amp;L'!$6:$6,0))</f>
        <v>134.18099999999976</v>
      </c>
    </row>
    <row r="54" spans="1:39" hidden="1" outlineLevel="1" x14ac:dyDescent="0.2">
      <c r="A54" s="239" t="s">
        <v>94</v>
      </c>
      <c r="B54" s="239" t="s">
        <v>80</v>
      </c>
      <c r="D54" s="362">
        <f>qtrSales!R56</f>
        <v>1409.1</v>
      </c>
      <c r="F54" s="362">
        <f>INDEX('qtrP&amp;L'!$42:$42,MATCH(B51,'qtrP&amp;L'!$6:$6,0))</f>
        <v>911.4</v>
      </c>
      <c r="H54" s="362">
        <f>INDEX(wc!$12:$12,MATCH(B51,wc!$7:$7,0))</f>
        <v>1189.9960000000001</v>
      </c>
      <c r="J54" s="362">
        <f>AVERAGE(H54,H53)</f>
        <v>1104.7315000000001</v>
      </c>
      <c r="L54" s="633">
        <f>(D54/D47-1)*100</f>
        <v>6.4917574880913653</v>
      </c>
      <c r="N54" s="756">
        <f>(H54/H47-1)*100</f>
        <v>-6.9539271829933025</v>
      </c>
      <c r="P54" s="756">
        <f>(H54/H53-1)*100</f>
        <v>16.727270230424352</v>
      </c>
      <c r="R54" s="596">
        <f>F54/J54</f>
        <v>0.82499684312432464</v>
      </c>
      <c r="T54" s="596">
        <f>F55/H54</f>
        <v>1.028154716486442</v>
      </c>
      <c r="V54" s="524">
        <f>IF(qtrSales!I56=0," ",qtrSales!I56)</f>
        <v>147</v>
      </c>
      <c r="X54" s="254">
        <f>H54/V54</f>
        <v>8.095210884353742</v>
      </c>
      <c r="Z54" s="541">
        <f>X54/X47-1</f>
        <v>-0.10118759591735027</v>
      </c>
      <c r="AB54" s="362">
        <f>qtrSales!Z56</f>
        <v>18.977999999999998</v>
      </c>
      <c r="AD54" s="1029">
        <f>H54/AB54*1000</f>
        <v>62703.973021393205</v>
      </c>
      <c r="AF54" s="756">
        <f>(AD54/AD47-1)*100</f>
        <v>-10.866392464264841</v>
      </c>
      <c r="AH54" s="759">
        <f>J54/(F54/(365/4))</f>
        <v>110.60648384353742</v>
      </c>
      <c r="AJ54" s="759">
        <f>H54/(F55/(365/4))</f>
        <v>88.751234164282806</v>
      </c>
      <c r="AL54" s="362">
        <f>INDEX('qtrP&amp;L'!$82:$82,MATCH(B51,'qtrP&amp;L'!$6:$6,0))</f>
        <v>101.27599999999995</v>
      </c>
    </row>
    <row r="55" spans="1:39" hidden="1" outlineLevel="1" x14ac:dyDescent="0.2">
      <c r="A55" s="239" t="s">
        <v>95</v>
      </c>
      <c r="B55" s="239" t="s">
        <v>81</v>
      </c>
      <c r="D55" s="556">
        <f>qtrSales!R57</f>
        <v>1919.2</v>
      </c>
      <c r="F55" s="556">
        <f>INDEX('qtrP&amp;L'!$43:$43,MATCH(B51,'qtrP&amp;L'!$6:$6,0))</f>
        <v>1223.5</v>
      </c>
      <c r="H55" s="556">
        <f>INDEX(wc!$13:$13,MATCH(B51,wc!$7:$7,0))</f>
        <v>901.32300000000009</v>
      </c>
      <c r="J55" s="556">
        <f>AVERAGE(H55,H54)</f>
        <v>1045.6595000000002</v>
      </c>
      <c r="L55" s="1032">
        <f>(D55/D48-1)*100</f>
        <v>9.6318604170260613</v>
      </c>
      <c r="N55" s="756">
        <f>(H55/H48-1)*100</f>
        <v>-5.4336741117518077</v>
      </c>
      <c r="P55" s="756">
        <f>(H55/H54-1)*100</f>
        <v>-24.258316834678439</v>
      </c>
      <c r="R55" s="596">
        <f>F55/J55</f>
        <v>1.1700749622606592</v>
      </c>
      <c r="T55" s="596">
        <f>F59/H55</f>
        <v>1.0794487658697269</v>
      </c>
      <c r="V55" s="526">
        <f>IF(qtrSales!I57=0," ",qtrSales!I57)</f>
        <v>141</v>
      </c>
      <c r="X55" s="254">
        <f>H55/V55</f>
        <v>6.3923617021276602</v>
      </c>
      <c r="Z55" s="541">
        <f>X55/X48-1</f>
        <v>-4.0923077870958058E-2</v>
      </c>
      <c r="AB55" s="362">
        <f>qtrSales!Z57</f>
        <v>19.138000000000002</v>
      </c>
      <c r="AD55" s="1029">
        <f>H55/AB55*1000</f>
        <v>47095.987041488137</v>
      </c>
      <c r="AF55" s="756">
        <f>(AD55/AD48-1)*100</f>
        <v>-8.9419869647487928</v>
      </c>
      <c r="AH55" s="759">
        <f>J55/(F55/(365/4))</f>
        <v>77.986456375153267</v>
      </c>
      <c r="AJ55" s="759">
        <f>H55/(F59/(365/4))</f>
        <v>84.533887003408253</v>
      </c>
      <c r="AL55" s="556">
        <f>INDEX('qtrP&amp;L'!$83:$83,MATCH(B51,'qtrP&amp;L'!$6:$6,0))</f>
        <v>189.00099999999998</v>
      </c>
    </row>
    <row r="56" spans="1:39" hidden="1" outlineLevel="1" x14ac:dyDescent="0.2">
      <c r="B56" s="607" t="s">
        <v>55</v>
      </c>
      <c r="C56" s="607"/>
      <c r="D56" s="256">
        <f>qtrSales!R58</f>
        <v>6448.5719999999992</v>
      </c>
      <c r="F56" s="256">
        <f>INDEX('qtrP&amp;L'!$44:$44,MATCH(B51,'qtrP&amp;L'!$6:$6,0))</f>
        <v>4215.3950000000004</v>
      </c>
      <c r="H56" s="256">
        <f>INDEX(wc!$13:$13,MATCH(B51,wc!$7:$7,0))</f>
        <v>901.32300000000009</v>
      </c>
      <c r="J56" s="256">
        <f>AVERAGE(J52:J55)</f>
        <v>1053.7281250000001</v>
      </c>
      <c r="L56" s="633">
        <f>(D56/D49-1)*100</f>
        <v>8.476789910131032</v>
      </c>
      <c r="N56" s="633"/>
      <c r="R56" s="1033">
        <f>F56/J56</f>
        <v>4.0004578979990688</v>
      </c>
      <c r="S56" s="601" t="s">
        <v>118</v>
      </c>
      <c r="V56" s="536">
        <f>V55</f>
        <v>141</v>
      </c>
      <c r="AB56" s="1034"/>
      <c r="AL56" s="256">
        <f>INDEX('qtrP&amp;L'!$84:$84,MATCH(B51,'qtrP&amp;L'!$6:$6,0))</f>
        <v>489.14099999999894</v>
      </c>
    </row>
    <row r="57" spans="1:39" hidden="1" outlineLevel="1" x14ac:dyDescent="0.2">
      <c r="B57" s="1028"/>
      <c r="L57" s="633"/>
      <c r="AB57" s="1034"/>
    </row>
    <row r="58" spans="1:39" hidden="1" outlineLevel="1" x14ac:dyDescent="0.2">
      <c r="B58" s="1028">
        <v>2004</v>
      </c>
      <c r="C58" s="880"/>
      <c r="L58" s="633"/>
      <c r="AB58" s="1034"/>
    </row>
    <row r="59" spans="1:39" hidden="1" outlineLevel="1" x14ac:dyDescent="0.2">
      <c r="A59" s="239" t="s">
        <v>92</v>
      </c>
      <c r="B59" s="239" t="s">
        <v>78</v>
      </c>
      <c r="D59" s="256">
        <f>qtrSales!R61</f>
        <v>1535.49</v>
      </c>
      <c r="F59" s="256">
        <f>INDEX('qtrP&amp;L'!$40:$40,MATCH(B58,'qtrP&amp;L'!$6:$6,0))</f>
        <v>972.93200000000002</v>
      </c>
      <c r="H59" s="256">
        <f>INDEX(wc!$10:$10,MATCH(B58,wc!$7:$7,0))</f>
        <v>1020.812</v>
      </c>
      <c r="J59" s="256">
        <f>AVERAGE(H59,H55)</f>
        <v>961.06750000000011</v>
      </c>
      <c r="L59" s="633">
        <f>(D59/D52-1)*100</f>
        <v>14.977326368504929</v>
      </c>
      <c r="M59" s="239" t="s">
        <v>90</v>
      </c>
      <c r="N59" s="756">
        <f>(H59/H52-1)*100</f>
        <v>-5.3253845183596766</v>
      </c>
      <c r="O59" s="239" t="s">
        <v>90</v>
      </c>
      <c r="P59" s="756">
        <f>(H59/H55-1)*100</f>
        <v>13.257067666086408</v>
      </c>
      <c r="Q59" s="239" t="s">
        <v>90</v>
      </c>
      <c r="R59" s="596">
        <f>F59/J59</f>
        <v>1.0123451266430297</v>
      </c>
      <c r="S59" s="239" t="s">
        <v>118</v>
      </c>
      <c r="T59" s="596">
        <f>F60/H59</f>
        <v>1.2449814461428745</v>
      </c>
      <c r="V59" s="524">
        <f>IF(qtrSales!I61=0," ",qtrSales!I61)</f>
        <v>142</v>
      </c>
      <c r="X59" s="254">
        <f>H59/V59</f>
        <v>7.1888169014084511</v>
      </c>
      <c r="Z59" s="541">
        <f>X59/X52-1</f>
        <v>-4.6586618741227714E-2</v>
      </c>
      <c r="AB59" s="362">
        <f>qtrSales!Z61</f>
        <v>19.289000000000001</v>
      </c>
      <c r="AD59" s="1029">
        <f>H59/AB59*1000</f>
        <v>52921.976255897142</v>
      </c>
      <c r="AF59" s="756">
        <f>(AD59/AD52-1)*100</f>
        <v>-8.643339833077345</v>
      </c>
      <c r="AG59" s="239" t="s">
        <v>90</v>
      </c>
      <c r="AH59" s="759">
        <f>J59/(F59/(365/4))</f>
        <v>90.137244303815692</v>
      </c>
      <c r="AJ59" s="759">
        <f>H59/(F60/(365/4))</f>
        <v>73.294264972948127</v>
      </c>
      <c r="AL59" s="256">
        <f>INDEX('qtrP&amp;L'!$80:$80,MATCH(B58,'qtrP&amp;L'!$6:$6,0))</f>
        <v>149.31100000000009</v>
      </c>
      <c r="AM59" s="256">
        <f>INDEX('qtrP&amp;L'!$30:$30,MATCH(B58,'qtrP&amp;L'!$6:$6,0))</f>
        <v>1574.9770000000001</v>
      </c>
    </row>
    <row r="60" spans="1:39" hidden="1" outlineLevel="1" x14ac:dyDescent="0.2">
      <c r="A60" s="239" t="s">
        <v>93</v>
      </c>
      <c r="B60" s="239" t="s">
        <v>79</v>
      </c>
      <c r="D60" s="362">
        <f>qtrSales!R62</f>
        <v>1953.48</v>
      </c>
      <c r="F60" s="362">
        <f>INDEX('qtrP&amp;L'!$41:$41,MATCH(B58,'qtrP&amp;L'!$6:$6,0))</f>
        <v>1270.8920000000001</v>
      </c>
      <c r="H60" s="362">
        <f>INDEX(wc!$11:$11,MATCH(B58,wc!$7:$7,0))</f>
        <v>1024.8530000000001</v>
      </c>
      <c r="J60" s="362">
        <f>AVERAGE(H60,H59)</f>
        <v>1022.8325</v>
      </c>
      <c r="L60" s="633">
        <f>(D60/D53-1)*100</f>
        <v>9.4509188704616776</v>
      </c>
      <c r="N60" s="756">
        <f>(H60/H53-1)*100</f>
        <v>0.5283152863212015</v>
      </c>
      <c r="P60" s="756">
        <f>(H60/H59-1)*100</f>
        <v>0.39586133391849021</v>
      </c>
      <c r="R60" s="596">
        <f>F60/J60</f>
        <v>1.2425221138358431</v>
      </c>
      <c r="T60" s="596">
        <f>F61/H60</f>
        <v>0.96102367851779713</v>
      </c>
      <c r="V60" s="524">
        <f>IF(qtrSales!I62=0," ",qtrSales!I62)</f>
        <v>149</v>
      </c>
      <c r="X60" s="254">
        <f>H60/V60</f>
        <v>6.8782080536912753</v>
      </c>
      <c r="Z60" s="541">
        <f>X60/X53-1</f>
        <v>-3.5198047923226228E-2</v>
      </c>
      <c r="AB60" s="362">
        <f>qtrSales!Z62</f>
        <v>19.289000000000001</v>
      </c>
      <c r="AD60" s="1029">
        <f>H60/AB60*1000</f>
        <v>53131.473897039759</v>
      </c>
      <c r="AF60" s="756">
        <f>(AD60/AD53-1)*100</f>
        <v>-2.9947880955831785</v>
      </c>
      <c r="AH60" s="759">
        <f>J60/(F60/(365/4))</f>
        <v>73.439336800451969</v>
      </c>
      <c r="AJ60" s="759">
        <f>H60/(F61/(365/4))</f>
        <v>94.950834240355448</v>
      </c>
      <c r="AL60" s="362">
        <f>INDEX('qtrP&amp;L'!$81:$81,MATCH(B58,'qtrP&amp;L'!$6:$6,0))</f>
        <v>189.35699999999997</v>
      </c>
      <c r="AM60" s="362">
        <f>INDEX('qtrP&amp;L'!$31:$31,MATCH(B58,'qtrP&amp;L'!$6:$6,0))</f>
        <v>1996.482</v>
      </c>
    </row>
    <row r="61" spans="1:39" hidden="1" outlineLevel="1" x14ac:dyDescent="0.2">
      <c r="A61" s="239" t="s">
        <v>94</v>
      </c>
      <c r="B61" s="239" t="s">
        <v>80</v>
      </c>
      <c r="D61" s="362">
        <f>qtrSales!R63</f>
        <v>1542.1</v>
      </c>
      <c r="F61" s="362">
        <f>INDEX('qtrP&amp;L'!$42:$42,MATCH(B58,'qtrP&amp;L'!$6:$6,0))</f>
        <v>984.90800000000002</v>
      </c>
      <c r="H61" s="362">
        <f>INDEX(wc!$12:$12,MATCH(B58,wc!$7:$7,0))</f>
        <v>1193.144</v>
      </c>
      <c r="J61" s="362">
        <f>AVERAGE(H61,H60)</f>
        <v>1108.9985000000001</v>
      </c>
      <c r="L61" s="633">
        <f>(D61/D54-1)*100</f>
        <v>9.4386487829110735</v>
      </c>
      <c r="N61" s="756">
        <f>(H61/H54-1)*100</f>
        <v>0.26453870433176263</v>
      </c>
      <c r="P61" s="756">
        <f>(H61/H60-1)*100</f>
        <v>16.420989156493661</v>
      </c>
      <c r="R61" s="596">
        <f>F61/J61</f>
        <v>0.88810579996275907</v>
      </c>
      <c r="T61" s="596">
        <f>F62/H61</f>
        <v>1.1152518053143627</v>
      </c>
      <c r="V61" s="524">
        <f>IF(qtrSales!I63=0," ",qtrSales!I63)</f>
        <v>149</v>
      </c>
      <c r="X61" s="254">
        <f>H61/V61</f>
        <v>8.0076778523489942</v>
      </c>
      <c r="Z61" s="541">
        <f>X61/X54-1</f>
        <v>-1.0812940299545493E-2</v>
      </c>
      <c r="AB61" s="362">
        <f>qtrSales!Z63</f>
        <v>19.439</v>
      </c>
      <c r="AD61" s="1029">
        <f>H61/AB61*1000</f>
        <v>61378.877514275424</v>
      </c>
      <c r="AF61" s="756">
        <f>(AD61/AD54-1)*100</f>
        <v>-2.1132560558255076</v>
      </c>
      <c r="AH61" s="759">
        <f>J61/(F61/(365/4))</f>
        <v>102.74676733765997</v>
      </c>
      <c r="AJ61" s="759">
        <f>H61/(F62/(365/4))</f>
        <v>81.820087235168231</v>
      </c>
      <c r="AL61" s="362">
        <f>INDEX('qtrP&amp;L'!$82:$82,MATCH(B58,'qtrP&amp;L'!$6:$6,0))</f>
        <v>136.42299999999989</v>
      </c>
      <c r="AM61" s="362">
        <f>INDEX('qtrP&amp;L'!$32:$32,MATCH(B58,'qtrP&amp;L'!$6:$6,0))</f>
        <v>1587.1</v>
      </c>
    </row>
    <row r="62" spans="1:39" hidden="1" outlineLevel="1" x14ac:dyDescent="0.2">
      <c r="A62" s="239" t="s">
        <v>95</v>
      </c>
      <c r="B62" s="239" t="s">
        <v>81</v>
      </c>
      <c r="D62" s="556">
        <f>qtrSales!R64</f>
        <v>2100.3429999999998</v>
      </c>
      <c r="F62" s="556">
        <f>INDEX('qtrP&amp;L'!$43:$43,MATCH(B58,'qtrP&amp;L'!$6:$6,0))</f>
        <v>1330.6559999999999</v>
      </c>
      <c r="H62" s="556">
        <f>INDEX(wc!$13:$13,MATCH(B58,wc!$7:$7,0))</f>
        <v>917.18200000000002</v>
      </c>
      <c r="J62" s="556">
        <f>AVERAGE(H62,H61)</f>
        <v>1055.163</v>
      </c>
      <c r="L62" s="1032">
        <f>(D62/D55-1)*100</f>
        <v>9.438463943309694</v>
      </c>
      <c r="N62" s="756">
        <f>(H62/H55-1)*100</f>
        <v>1.759524609934493</v>
      </c>
      <c r="P62" s="756">
        <f>(H62/H61-1)*100</f>
        <v>-23.128976887953169</v>
      </c>
      <c r="R62" s="596">
        <f>F62/J62</f>
        <v>1.2610904665914175</v>
      </c>
      <c r="T62" s="596">
        <f>F66/H62</f>
        <v>1.140629667830376</v>
      </c>
      <c r="V62" s="526">
        <f>IF(qtrSales!I64=0," ",qtrSales!I64)</f>
        <v>150</v>
      </c>
      <c r="X62" s="254">
        <f>H62/V62</f>
        <v>6.1145466666666666</v>
      </c>
      <c r="Z62" s="541">
        <f>X62/X55-1</f>
        <v>-4.3460468666615792E-2</v>
      </c>
      <c r="AB62" s="362">
        <f>qtrSales!Z64</f>
        <v>19.396999999999998</v>
      </c>
      <c r="AD62" s="1029">
        <f>H62/AB62*1000</f>
        <v>47284.73475279683</v>
      </c>
      <c r="AF62" s="756">
        <f>(AD62/AD55-1)*100</f>
        <v>0.40077238670552795</v>
      </c>
      <c r="AH62" s="759">
        <f>J62/(F62/(365/4))</f>
        <v>72.358012702005638</v>
      </c>
      <c r="AJ62" s="759">
        <f>H62/(F66/(365/4))</f>
        <v>79.999672613784639</v>
      </c>
      <c r="AL62" s="556">
        <f>INDEX('qtrP&amp;L'!$83:$83,MATCH(B58,'qtrP&amp;L'!$6:$6,0))</f>
        <v>249.64299999999992</v>
      </c>
      <c r="AM62" s="556">
        <f>INDEX('qtrP&amp;L'!$33:$33,MATCH(B58,'qtrP&amp;L'!$6:$6,0))</f>
        <v>2145.7959999999998</v>
      </c>
    </row>
    <row r="63" spans="1:39" hidden="1" outlineLevel="1" x14ac:dyDescent="0.2">
      <c r="B63" s="607" t="s">
        <v>55</v>
      </c>
      <c r="C63" s="607"/>
      <c r="D63" s="256">
        <f>qtrSales!R65</f>
        <v>7131.4129999999996</v>
      </c>
      <c r="F63" s="256">
        <f>INDEX('qtrP&amp;L'!$44:$44,MATCH(B58,'qtrP&amp;L'!$6:$6,0))</f>
        <v>4559.3879999999999</v>
      </c>
      <c r="H63" s="256">
        <f>INDEX(wc!$13:$13,MATCH(B58,wc!$7:$7,0))</f>
        <v>917.18200000000002</v>
      </c>
      <c r="J63" s="256">
        <f>AVERAGE(J59:J62)</f>
        <v>1037.0153749999999</v>
      </c>
      <c r="L63" s="633">
        <f>(D63/D56-1)*100</f>
        <v>10.5890265317655</v>
      </c>
      <c r="R63" s="1033">
        <f>F63/J63</f>
        <v>4.3966445531243936</v>
      </c>
      <c r="S63" s="601" t="s">
        <v>118</v>
      </c>
      <c r="V63" s="536">
        <f>V62</f>
        <v>150</v>
      </c>
      <c r="AB63" s="1034"/>
      <c r="AL63" s="256">
        <f>INDEX('qtrP&amp;L'!$84:$84,MATCH(B58,'qtrP&amp;L'!$6:$6,0))</f>
        <v>724.73399999999992</v>
      </c>
      <c r="AM63" s="256">
        <f>INDEX('qtrP&amp;L'!$34:$34,MATCH(B58,'qtrP&amp;L'!$6:$6,0))</f>
        <v>7304.3549999999996</v>
      </c>
    </row>
    <row r="64" spans="1:39" hidden="1" outlineLevel="1" x14ac:dyDescent="0.2">
      <c r="L64" s="633"/>
      <c r="AB64" s="1034"/>
    </row>
    <row r="65" spans="1:39" hidden="1" outlineLevel="1" x14ac:dyDescent="0.2">
      <c r="B65" s="1028">
        <v>2005</v>
      </c>
      <c r="C65" s="880"/>
      <c r="L65" s="633"/>
      <c r="AB65" s="1034"/>
    </row>
    <row r="66" spans="1:39" hidden="1" outlineLevel="1" x14ac:dyDescent="0.2">
      <c r="A66" s="239" t="s">
        <v>92</v>
      </c>
      <c r="B66" s="239" t="s">
        <v>78</v>
      </c>
      <c r="D66" s="256">
        <f>qtrSales!R68</f>
        <v>1654.4739999999999</v>
      </c>
      <c r="F66" s="256">
        <f>INDEX('qtrP&amp;L'!$40:$40,MATCH(B65,'qtrP&amp;L'!$6:$6,0))</f>
        <v>1046.165</v>
      </c>
      <c r="H66" s="256">
        <f>INDEX(wc!$10:$10,MATCH(B65,wc!$7:$7,0))</f>
        <v>1016.64</v>
      </c>
      <c r="J66" s="256">
        <f>AVERAGE(H66,H62)</f>
        <v>966.91100000000006</v>
      </c>
      <c r="L66" s="633">
        <f>(D66/D59-1)*100</f>
        <v>7.7489270526021059</v>
      </c>
      <c r="M66" s="239" t="s">
        <v>90</v>
      </c>
      <c r="N66" s="756">
        <f>(H66/H59-1)*100</f>
        <v>-0.40869425516157909</v>
      </c>
      <c r="O66" s="239" t="s">
        <v>90</v>
      </c>
      <c r="P66" s="756">
        <f>(H66/H62-1)*100</f>
        <v>10.843867411266238</v>
      </c>
      <c r="Q66" s="239" t="s">
        <v>90</v>
      </c>
      <c r="R66" s="596">
        <f>F66/J66</f>
        <v>1.0819661788934036</v>
      </c>
      <c r="S66" s="239" t="s">
        <v>118</v>
      </c>
      <c r="T66" s="596">
        <f>F67/H66</f>
        <v>1.3254593563109853</v>
      </c>
      <c r="V66" s="524">
        <f>IF(qtrSales!I68=0," ",qtrSales!I68)</f>
        <v>151</v>
      </c>
      <c r="X66" s="254">
        <f>H66/V66</f>
        <v>6.7327152317880792</v>
      </c>
      <c r="Z66" s="541">
        <f>X66/X59-1</f>
        <v>-6.3445998955824146E-2</v>
      </c>
      <c r="AB66" s="362">
        <f>qtrSales!Z68</f>
        <v>19.55</v>
      </c>
      <c r="AD66" s="1029">
        <f>H66/AB66*1000</f>
        <v>52002.04603580563</v>
      </c>
      <c r="AF66" s="756">
        <f>(AD66/AD59-1)*100</f>
        <v>-1.738276393238436</v>
      </c>
      <c r="AG66" s="239" t="s">
        <v>90</v>
      </c>
      <c r="AH66" s="759">
        <f>J66/(F66/(365/4))</f>
        <v>84.337201827627581</v>
      </c>
      <c r="AJ66" s="759">
        <f>H66/(F67/(365/4))</f>
        <v>68.844057394537344</v>
      </c>
      <c r="AL66" s="256">
        <f>INDEX('qtrP&amp;L'!$80:$80,MATCH(B65,'qtrP&amp;L'!$6:$6,0))</f>
        <v>185.61899999999991</v>
      </c>
      <c r="AM66" s="256">
        <f>INDEX('qtrP&amp;L'!$30:$30,MATCH(B65,'qtrP&amp;L'!$6:$6,0))</f>
        <v>1697.2059999999999</v>
      </c>
    </row>
    <row r="67" spans="1:39" hidden="1" outlineLevel="1" x14ac:dyDescent="0.2">
      <c r="A67" s="239" t="s">
        <v>93</v>
      </c>
      <c r="B67" s="239" t="s">
        <v>79</v>
      </c>
      <c r="D67" s="362">
        <f>qtrSales!R69</f>
        <v>2106.4380000000001</v>
      </c>
      <c r="F67" s="362">
        <f>INDEX('qtrP&amp;L'!$41:$41,MATCH(B65,'qtrP&amp;L'!$6:$6,0))</f>
        <v>1347.5150000000001</v>
      </c>
      <c r="H67" s="362">
        <f>INDEX(wc!$11:$11,MATCH(B65,wc!$7:$7,0))</f>
        <v>989.36500000000001</v>
      </c>
      <c r="J67" s="362">
        <f>AVERAGE(H67,H66)</f>
        <v>1003.0025000000001</v>
      </c>
      <c r="L67" s="633">
        <f>(D67/D60-1)*100</f>
        <v>7.8300264143989162</v>
      </c>
      <c r="N67" s="756">
        <f>(H67/H60-1)*100</f>
        <v>-3.4627405101024245</v>
      </c>
      <c r="P67" s="756">
        <f>(H67/H66-1)*100</f>
        <v>-2.682857255272264</v>
      </c>
      <c r="R67" s="596">
        <f>F67/J67</f>
        <v>1.3434811977038941</v>
      </c>
      <c r="T67" s="596">
        <f>F68/H67</f>
        <v>1.0698296382022812</v>
      </c>
      <c r="V67" s="524">
        <f>IF(qtrSales!I69=0," ",qtrSales!I69)</f>
        <v>150</v>
      </c>
      <c r="X67" s="254">
        <f>H67/V67</f>
        <v>6.595766666666667</v>
      </c>
      <c r="Z67" s="541">
        <f>X67/X60-1</f>
        <v>-4.1063222400350763E-2</v>
      </c>
      <c r="AB67" s="362">
        <f>qtrSales!Z69</f>
        <v>19.579000000000001</v>
      </c>
      <c r="AD67" s="1029">
        <f>H67/AB67*1000</f>
        <v>50531.947494764798</v>
      </c>
      <c r="AF67" s="756">
        <f>(AD67/AD60-1)*100</f>
        <v>-4.8926299453172062</v>
      </c>
      <c r="AH67" s="759">
        <f>J67/(F67/(365/4))</f>
        <v>67.920563500220766</v>
      </c>
      <c r="AJ67" s="759">
        <f>H67/(F68/(365/4))</f>
        <v>85.293954047987057</v>
      </c>
      <c r="AL67" s="362">
        <f>INDEX('qtrP&amp;L'!$81:$81,MATCH(B65,'qtrP&amp;L'!$6:$6,0))</f>
        <v>252.69699999999978</v>
      </c>
      <c r="AM67" s="362">
        <f>INDEX('qtrP&amp;L'!$31:$31,MATCH(B65,'qtrP&amp;L'!$6:$6,0))</f>
        <v>2151.4079999999999</v>
      </c>
    </row>
    <row r="68" spans="1:39" hidden="1" outlineLevel="1" x14ac:dyDescent="0.2">
      <c r="A68" s="239" t="s">
        <v>94</v>
      </c>
      <c r="B68" s="239" t="s">
        <v>80</v>
      </c>
      <c r="D68" s="362">
        <f>qtrSales!R70</f>
        <v>1666</v>
      </c>
      <c r="F68" s="362">
        <f>INDEX('qtrP&amp;L'!$42:$42,MATCH(B65,'qtrP&amp;L'!$6:$6,0))</f>
        <v>1058.452</v>
      </c>
      <c r="H68" s="362">
        <f>INDEX(wc!$12:$12,MATCH(B65,wc!$7:$7,0))</f>
        <v>1166.471</v>
      </c>
      <c r="J68" s="362">
        <f>AVERAGE(H68,H67)</f>
        <v>1077.9180000000001</v>
      </c>
      <c r="L68" s="633">
        <f>(D68/D61-1)*100</f>
        <v>8.0344984112573847</v>
      </c>
      <c r="N68" s="756">
        <f>(H68/H61-1)*100</f>
        <v>-2.2355222839824829</v>
      </c>
      <c r="P68" s="756">
        <f>(H68/H67-1)*100</f>
        <v>17.900976889216814</v>
      </c>
      <c r="R68" s="596">
        <f>F68/J68</f>
        <v>0.98194111240372628</v>
      </c>
      <c r="T68" s="596">
        <f>F69/H68</f>
        <v>1.2309701655677681</v>
      </c>
      <c r="V68" s="524">
        <f>IF(qtrSales!I70=0," ",qtrSales!I70)</f>
        <v>154</v>
      </c>
      <c r="X68" s="254">
        <f>H68/V68</f>
        <v>7.5744870129870128</v>
      </c>
      <c r="Z68" s="541">
        <f>X68/X61-1</f>
        <v>-5.4096936383986494E-2</v>
      </c>
      <c r="AB68" s="362">
        <f>qtrSales!Z70</f>
        <v>20.058</v>
      </c>
      <c r="AD68" s="1029">
        <f>H68/AB68*1000</f>
        <v>58154.900787715625</v>
      </c>
      <c r="AF68" s="756">
        <f>(AD68/AD61-1)*100</f>
        <v>-5.252583392079746</v>
      </c>
      <c r="AH68" s="759">
        <f>J68/(F68/(365/4))</f>
        <v>92.928179549001769</v>
      </c>
      <c r="AJ68" s="759">
        <f>H68/(F69/(365/4))</f>
        <v>74.128522812664755</v>
      </c>
      <c r="AL68" s="362">
        <f>INDEX('qtrP&amp;L'!$82:$82,MATCH(B65,'qtrP&amp;L'!$6:$6,0))</f>
        <v>173.12999999999994</v>
      </c>
      <c r="AM68" s="362">
        <f>INDEX('qtrP&amp;L'!$32:$32,MATCH(B65,'qtrP&amp;L'!$6:$6,0))</f>
        <v>1713.35</v>
      </c>
    </row>
    <row r="69" spans="1:39" hidden="1" outlineLevel="1" x14ac:dyDescent="0.2">
      <c r="A69" s="239" t="s">
        <v>95</v>
      </c>
      <c r="B69" s="239" t="s">
        <v>81</v>
      </c>
      <c r="D69" s="556">
        <f>qtrSales!R71</f>
        <v>2295.6999999999998</v>
      </c>
      <c r="F69" s="556">
        <f>INDEX('qtrP&amp;L'!$43:$43,MATCH(B65,'qtrP&amp;L'!$6:$6,0))</f>
        <v>1435.8910000000001</v>
      </c>
      <c r="H69" s="556">
        <f>INDEX(wc!$13:$13,MATCH(B65,wc!$7:$7,0))</f>
        <v>955.97799999999995</v>
      </c>
      <c r="J69" s="556">
        <f>AVERAGE(H69,H68)</f>
        <v>1061.2245</v>
      </c>
      <c r="L69" s="1032">
        <f>(D69/D62-1)*100</f>
        <v>9.3011950905161669</v>
      </c>
      <c r="N69" s="756">
        <f>(H69/H62-1)*100</f>
        <v>4.2299129289497639</v>
      </c>
      <c r="P69" s="756">
        <f>(H69/H68-1)*100</f>
        <v>-18.04528359470574</v>
      </c>
      <c r="R69" s="596">
        <f>F69/J69</f>
        <v>1.3530511216052776</v>
      </c>
      <c r="T69" s="596">
        <f>F73/H69</f>
        <v>1.1747163637656934</v>
      </c>
      <c r="V69" s="526">
        <f>IF(qtrSales!I71=0," ",qtrSales!I71)</f>
        <v>155</v>
      </c>
      <c r="X69" s="254">
        <f>H69/V69</f>
        <v>6.1675999999999993</v>
      </c>
      <c r="Z69" s="541">
        <f>X69/X62-1</f>
        <v>8.6765767317718012E-3</v>
      </c>
      <c r="AB69" s="362">
        <f>qtrSales!Z71</f>
        <v>20.07</v>
      </c>
      <c r="AD69" s="1029">
        <f>H69/AB69*1000</f>
        <v>47632.187344294965</v>
      </c>
      <c r="AF69" s="756">
        <f>(AD69/AD62-1)*100</f>
        <v>0.73480922186537345</v>
      </c>
      <c r="AH69" s="759">
        <f>J69/(F69/(365/4))</f>
        <v>67.440171729609006</v>
      </c>
      <c r="AJ69" s="759">
        <f>H69/(F73/(365/4))</f>
        <v>77.678325436352353</v>
      </c>
      <c r="AL69" s="556">
        <f>INDEX('qtrP&amp;L'!$83:$83,MATCH(B65,'qtrP&amp;L'!$6:$6,0))</f>
        <v>318.8309999999999</v>
      </c>
      <c r="AM69" s="556">
        <f>INDEX('qtrP&amp;L'!$33:$33,MATCH(B65,'qtrP&amp;L'!$6:$6,0))</f>
        <v>2357.002</v>
      </c>
    </row>
    <row r="70" spans="1:39" hidden="1" outlineLevel="1" x14ac:dyDescent="0.2">
      <c r="B70" s="607" t="s">
        <v>55</v>
      </c>
      <c r="C70" s="607"/>
      <c r="D70" s="256">
        <f>qtrSales!R72</f>
        <v>7722.6120000000001</v>
      </c>
      <c r="F70" s="256">
        <f>INDEX('qtrP&amp;L'!$44:$44,MATCH(B65,'qtrP&amp;L'!$6:$6,0))</f>
        <v>4888.023000000001</v>
      </c>
      <c r="H70" s="256">
        <f>INDEX(wc!$13:$13,MATCH(B65,wc!$7:$7,0))</f>
        <v>955.97799999999995</v>
      </c>
      <c r="J70" s="256">
        <f>AVERAGE(J66:J69)</f>
        <v>1027.2640000000001</v>
      </c>
      <c r="L70" s="633">
        <f>(D70/D63-1)*100</f>
        <v>8.2900681814389365</v>
      </c>
      <c r="N70" s="633"/>
      <c r="R70" s="1033">
        <f>F70/J70</f>
        <v>4.7582929023113829</v>
      </c>
      <c r="S70" s="601" t="s">
        <v>118</v>
      </c>
      <c r="V70" s="536">
        <f>V69</f>
        <v>155</v>
      </c>
      <c r="AB70" s="1034"/>
      <c r="AL70" s="256">
        <f>INDEX('qtrP&amp;L'!$84:$84,MATCH(B65,'qtrP&amp;L'!$6:$6,0))</f>
        <v>930.27699999999913</v>
      </c>
      <c r="AM70" s="256">
        <f>INDEX('qtrP&amp;L'!$34:$34,MATCH(B65,'qtrP&amp;L'!$6:$6,0))</f>
        <v>7918.9660000000003</v>
      </c>
    </row>
    <row r="71" spans="1:39" hidden="1" outlineLevel="1" x14ac:dyDescent="0.2">
      <c r="L71" s="633"/>
      <c r="AB71" s="1034"/>
    </row>
    <row r="72" spans="1:39" hidden="1" outlineLevel="1" x14ac:dyDescent="0.2">
      <c r="B72" s="1028">
        <v>2006</v>
      </c>
      <c r="C72" s="880"/>
      <c r="L72" s="633"/>
      <c r="AB72" s="1034"/>
    </row>
    <row r="73" spans="1:39" hidden="1" outlineLevel="1" x14ac:dyDescent="0.2">
      <c r="A73" s="239" t="s">
        <v>92</v>
      </c>
      <c r="B73" s="239" t="s">
        <v>78</v>
      </c>
      <c r="D73" s="256">
        <f>qtrSales!R75</f>
        <v>1787.223</v>
      </c>
      <c r="F73" s="256">
        <f>INDEX('qtrP&amp;L'!$40:$40,MATCH(B72,'qtrP&amp;L'!$6:$6,0))</f>
        <v>1123.0029999999999</v>
      </c>
      <c r="H73" s="256">
        <f>INDEX(wc!$10:$10,MATCH(B72,wc!$7:$7,0))</f>
        <v>1078.75</v>
      </c>
      <c r="J73" s="256">
        <f>AVERAGE(H73,H69)</f>
        <v>1017.364</v>
      </c>
      <c r="L73" s="633">
        <f>(D73/D66-1)*100</f>
        <v>8.0236377241346801</v>
      </c>
      <c r="M73" s="239" t="s">
        <v>90</v>
      </c>
      <c r="N73" s="756">
        <f>(H73/H66-1)*100</f>
        <v>6.1093405728674943</v>
      </c>
      <c r="O73" s="239" t="s">
        <v>90</v>
      </c>
      <c r="P73" s="756">
        <f>(H73/H69-1)*100</f>
        <v>12.842554954193508</v>
      </c>
      <c r="Q73" s="239" t="s">
        <v>90</v>
      </c>
      <c r="R73" s="596">
        <f>F73/J73</f>
        <v>1.1038359918377296</v>
      </c>
      <c r="S73" s="239" t="s">
        <v>118</v>
      </c>
      <c r="T73" s="596">
        <f>F74/H73</f>
        <v>1.3410271147161066</v>
      </c>
      <c r="V73" s="524">
        <f>IF(qtrSales!I75=0," ",qtrSales!I75)</f>
        <v>156</v>
      </c>
      <c r="X73" s="254">
        <f>H73/V73</f>
        <v>6.9150641025641022</v>
      </c>
      <c r="Z73" s="541">
        <f>X73/X66-1</f>
        <v>2.7084001698909566E-2</v>
      </c>
      <c r="AB73" s="362">
        <f>qtrSales!Z75</f>
        <v>20.07</v>
      </c>
      <c r="AD73" s="1029">
        <f>H73/AB73*1000</f>
        <v>53749.377179870447</v>
      </c>
      <c r="AF73" s="756">
        <f>(AD73/AD66-1)*100</f>
        <v>3.3601199900129108</v>
      </c>
      <c r="AG73" s="239" t="s">
        <v>90</v>
      </c>
      <c r="AH73" s="759">
        <f>J73/(F73/(365/4))</f>
        <v>82.66626625218278</v>
      </c>
      <c r="AJ73" s="759">
        <f>H73/(F74/(365/4))</f>
        <v>68.044858302001956</v>
      </c>
      <c r="AL73" s="256">
        <f>INDEX('qtrP&amp;L'!$80:$80,MATCH(B72,'qtrP&amp;L'!$6:$6,0))</f>
        <v>223.83799999999997</v>
      </c>
      <c r="AM73" s="256">
        <f>INDEX('qtrP&amp;L'!$30:$30,MATCH(B72,'qtrP&amp;L'!$6:$6,0))</f>
        <v>1841.0609999999999</v>
      </c>
    </row>
    <row r="74" spans="1:39" hidden="1" outlineLevel="1" x14ac:dyDescent="0.2">
      <c r="A74" s="239" t="s">
        <v>93</v>
      </c>
      <c r="B74" s="239" t="s">
        <v>79</v>
      </c>
      <c r="D74" s="362">
        <f>qtrSales!R76</f>
        <v>2270.4679999999998</v>
      </c>
      <c r="F74" s="362">
        <f>INDEX('qtrP&amp;L'!$41:$41,MATCH(B72,'qtrP&amp;L'!$6:$6,0))</f>
        <v>1446.633</v>
      </c>
      <c r="H74" s="362">
        <f>INDEX(wc!$11:$11,MATCH(B72,wc!$7:$7,0))</f>
        <v>1026.287</v>
      </c>
      <c r="J74" s="362">
        <f>AVERAGE(H74,H73)</f>
        <v>1052.5185000000001</v>
      </c>
      <c r="L74" s="633">
        <f>(D74/D67-1)*100</f>
        <v>7.7870794203294791</v>
      </c>
      <c r="N74" s="756">
        <f>(H74/H67-1)*100</f>
        <v>3.7318886356400238</v>
      </c>
      <c r="P74" s="756">
        <f>(H74/H73-1)*100</f>
        <v>-4.8633140208574677</v>
      </c>
      <c r="R74" s="596">
        <f>F74/J74</f>
        <v>1.3744490001838445</v>
      </c>
      <c r="T74" s="596">
        <f>F75/H74</f>
        <v>1.1304079658029382</v>
      </c>
      <c r="V74" s="524">
        <f>IF(qtrSales!I76=0," ",qtrSales!I76)</f>
        <v>156</v>
      </c>
      <c r="X74" s="254">
        <f>H74/V74</f>
        <v>6.5787628205128206</v>
      </c>
      <c r="Z74" s="541">
        <f>X74/X67-1</f>
        <v>-2.5779938880766684E-3</v>
      </c>
      <c r="AB74" s="362">
        <f>qtrSales!Z76</f>
        <v>20.216999999999999</v>
      </c>
      <c r="AD74" s="1029">
        <f>H74/AB74*1000</f>
        <v>50763.56531631796</v>
      </c>
      <c r="AF74" s="756">
        <f>(AD74/AD67-1)*100</f>
        <v>0.45835918272723042</v>
      </c>
      <c r="AH74" s="759">
        <f>J74/(F74/(365/4))</f>
        <v>66.390240734865031</v>
      </c>
      <c r="AJ74" s="759">
        <f>H74/(F75/(365/4))</f>
        <v>80.723068803911303</v>
      </c>
      <c r="AL74" s="362">
        <f>INDEX('qtrP&amp;L'!$81:$81,MATCH(B72,'qtrP&amp;L'!$6:$6,0))</f>
        <v>305.1339999999999</v>
      </c>
      <c r="AM74" s="362">
        <f>INDEX('qtrP&amp;L'!$31:$31,MATCH(B72,'qtrP&amp;L'!$6:$6,0))</f>
        <v>2331.319</v>
      </c>
    </row>
    <row r="75" spans="1:39" hidden="1" outlineLevel="1" x14ac:dyDescent="0.2">
      <c r="A75" s="239" t="s">
        <v>94</v>
      </c>
      <c r="B75" s="239" t="s">
        <v>80</v>
      </c>
      <c r="D75" s="362">
        <f>qtrSales!R77</f>
        <v>1872.1030000000001</v>
      </c>
      <c r="F75" s="362">
        <f>INDEX('qtrP&amp;L'!$42:$42,MATCH(B72,'qtrP&amp;L'!$6:$6,0))</f>
        <v>1160.123</v>
      </c>
      <c r="H75" s="362">
        <f>INDEX(wc!$12:$12,MATCH(B72,wc!$7:$7,0))</f>
        <v>1228.23</v>
      </c>
      <c r="J75" s="362">
        <f>AVERAGE(H75,H74)</f>
        <v>1127.2584999999999</v>
      </c>
      <c r="L75" s="633">
        <f>(D75/D68-1)*100</f>
        <v>12.371128451380553</v>
      </c>
      <c r="N75" s="756">
        <f>(H75/H68-1)*100</f>
        <v>5.29451653748787</v>
      </c>
      <c r="P75" s="756">
        <f>(H75/H74-1)*100</f>
        <v>19.677049402360147</v>
      </c>
      <c r="R75" s="596">
        <f>F75/J75</f>
        <v>1.0291543598917197</v>
      </c>
      <c r="T75" s="596">
        <f>F76/H75</f>
        <v>1.3223826156338796</v>
      </c>
      <c r="V75" s="524">
        <f>IF(qtrSales!I77=0," ",qtrSales!I77)</f>
        <v>156</v>
      </c>
      <c r="X75" s="254">
        <f>H75/V75</f>
        <v>7.8732692307692309</v>
      </c>
      <c r="Z75" s="541">
        <f>X75/X68-1</f>
        <v>3.9445868382893101E-2</v>
      </c>
      <c r="AB75" s="362">
        <f>qtrSales!Z77</f>
        <v>20.277999999999999</v>
      </c>
      <c r="AD75" s="1029">
        <f>H75/AB75*1000</f>
        <v>60569.582799092612</v>
      </c>
      <c r="AF75" s="756">
        <f>(AD75/AD68-1)*100</f>
        <v>4.1521556716111796</v>
      </c>
      <c r="AH75" s="759">
        <f>J75/(F75/(365/4))</f>
        <v>88.665027867734707</v>
      </c>
      <c r="AJ75" s="759">
        <f>H75/(F76/(365/4))</f>
        <v>69.004234418387</v>
      </c>
      <c r="AL75" s="362">
        <f>INDEX('qtrP&amp;L'!$82:$82,MATCH(B72,'qtrP&amp;L'!$6:$6,0))</f>
        <v>232.58899999999994</v>
      </c>
      <c r="AM75" s="362">
        <f>INDEX('qtrP&amp;L'!$32:$32,MATCH(B72,'qtrP&amp;L'!$6:$6,0))</f>
        <v>1930.922</v>
      </c>
    </row>
    <row r="76" spans="1:39" hidden="1" outlineLevel="1" x14ac:dyDescent="0.2">
      <c r="A76" s="239" t="s">
        <v>95</v>
      </c>
      <c r="B76" s="239" t="s">
        <v>81</v>
      </c>
      <c r="D76" s="556">
        <f>qtrSales!R78</f>
        <v>2630.904</v>
      </c>
      <c r="F76" s="556">
        <f>INDEX('qtrP&amp;L'!$43:$43,MATCH(B72,'qtrP&amp;L'!$6:$6,0))</f>
        <v>1624.19</v>
      </c>
      <c r="H76" s="556">
        <f>INDEX(wc!$13:$13,MATCH(B72,wc!$7:$7,0))</f>
        <v>997.28899999999999</v>
      </c>
      <c r="J76" s="556">
        <f>AVERAGE(H76,H75)</f>
        <v>1112.7595000000001</v>
      </c>
      <c r="L76" s="1032">
        <f>(D76/D69-1)*100</f>
        <v>14.60138519841443</v>
      </c>
      <c r="N76" s="756">
        <f>(H76/H69-1)*100</f>
        <v>4.3213337545424668</v>
      </c>
      <c r="P76" s="756">
        <f>(H76/H75-1)*100</f>
        <v>-18.802748670851553</v>
      </c>
      <c r="R76" s="596">
        <f>F76/J76</f>
        <v>1.4596056021089912</v>
      </c>
      <c r="T76" s="596">
        <f>F80/H76</f>
        <v>1.2180541447865163</v>
      </c>
      <c r="V76" s="526">
        <f>IF(qtrSales!I78=0," ",qtrSales!I78)</f>
        <v>155</v>
      </c>
      <c r="X76" s="254">
        <f>H76/V76</f>
        <v>6.4341225806451616</v>
      </c>
      <c r="Z76" s="541">
        <f>X76/X69-1</f>
        <v>4.321333754542489E-2</v>
      </c>
      <c r="AB76" s="362">
        <f>qtrSales!Z78</f>
        <v>20.170000000000002</v>
      </c>
      <c r="AD76" s="1029">
        <f>H76/AB76*1000</f>
        <v>49444.174516608815</v>
      </c>
      <c r="AF76" s="756">
        <f>(AD76/AD69-1)*100</f>
        <v>3.804123374004309</v>
      </c>
      <c r="AH76" s="759">
        <f>J76/(F76/(365/4))</f>
        <v>62.51688803341974</v>
      </c>
      <c r="AJ76" s="759">
        <f>H76/(F80/(365/4))</f>
        <v>74.914567952964887</v>
      </c>
      <c r="AL76" s="556">
        <f>INDEX('qtrP&amp;L'!$83:$83,MATCH(B72,'qtrP&amp;L'!$6:$6,0))</f>
        <v>386.8499999999998</v>
      </c>
      <c r="AM76" s="556">
        <f>INDEX('qtrP&amp;L'!$33:$33,MATCH(B72,'qtrP&amp;L'!$6:$6,0))</f>
        <v>2695.9209999999998</v>
      </c>
    </row>
    <row r="77" spans="1:39" hidden="1" outlineLevel="1" x14ac:dyDescent="0.2">
      <c r="B77" s="607" t="s">
        <v>55</v>
      </c>
      <c r="C77" s="607"/>
      <c r="D77" s="256">
        <f>qtrSales!R79</f>
        <v>8560.6980000000003</v>
      </c>
      <c r="F77" s="256">
        <f>INDEX('qtrP&amp;L'!$44:$44,MATCH(B72,'qtrP&amp;L'!$6:$6,0))</f>
        <v>5353.9490000000005</v>
      </c>
      <c r="H77" s="256">
        <f>INDEX(wc!$13:$13,MATCH(B72,wc!$7:$7,0))</f>
        <v>997.28899999999999</v>
      </c>
      <c r="J77" s="256">
        <f>AVERAGE(J73:J76)</f>
        <v>1077.4751249999999</v>
      </c>
      <c r="L77" s="633">
        <f>(D77/D70-1)*100</f>
        <v>10.852364459071628</v>
      </c>
      <c r="R77" s="1033">
        <f>F77/J77</f>
        <v>4.9689768940141432</v>
      </c>
      <c r="S77" s="601" t="s">
        <v>118</v>
      </c>
      <c r="V77" s="536">
        <f>V76</f>
        <v>155</v>
      </c>
      <c r="AB77" s="1034"/>
      <c r="AL77" s="256">
        <f>INDEX('qtrP&amp;L'!$84:$84,MATCH(B72,'qtrP&amp;L'!$6:$6,0))</f>
        <v>1148.4109999999996</v>
      </c>
      <c r="AM77" s="256">
        <f>INDEX('qtrP&amp;L'!$34:$34,MATCH(B72,'qtrP&amp;L'!$6:$6,0))</f>
        <v>8799.223</v>
      </c>
    </row>
    <row r="78" spans="1:39" hidden="1" outlineLevel="1" x14ac:dyDescent="0.2">
      <c r="L78" s="633"/>
      <c r="AB78" s="1034"/>
    </row>
    <row r="79" spans="1:39" hidden="1" outlineLevel="1" x14ac:dyDescent="0.2">
      <c r="B79" s="1028">
        <v>2007</v>
      </c>
      <c r="C79" s="880"/>
      <c r="L79" s="633"/>
      <c r="AB79" s="1034"/>
    </row>
    <row r="80" spans="1:39" hidden="1" outlineLevel="1" x14ac:dyDescent="0.2">
      <c r="A80" s="239" t="s">
        <v>92</v>
      </c>
      <c r="B80" s="239" t="s">
        <v>78</v>
      </c>
      <c r="D80" s="256">
        <f>qtrSales!R82</f>
        <v>1953.8720000000001</v>
      </c>
      <c r="F80" s="256">
        <f>INDEX('qtrP&amp;L'!$40:$40,MATCH(B79,'qtrP&amp;L'!$6:$6,0))</f>
        <v>1214.752</v>
      </c>
      <c r="H80" s="256">
        <f>INDEX(wc!$10:$10,MATCH(B79,wc!$7:$7,0))</f>
        <v>1105.0150000000001</v>
      </c>
      <c r="J80" s="256">
        <f>AVERAGE(H80,H76)</f>
        <v>1051.152</v>
      </c>
      <c r="L80" s="633">
        <f>(D80/D73-1)*100</f>
        <v>9.3244659452122125</v>
      </c>
      <c r="M80" s="239" t="s">
        <v>90</v>
      </c>
      <c r="N80" s="756">
        <f>(H80/H73-1)*100</f>
        <v>2.4347624565469461</v>
      </c>
      <c r="O80" s="239" t="s">
        <v>90</v>
      </c>
      <c r="P80" s="756">
        <f>(H80/H76-1)*100</f>
        <v>10.801883907272636</v>
      </c>
      <c r="Q80" s="239" t="s">
        <v>90</v>
      </c>
      <c r="R80" s="596">
        <f>F80/J80</f>
        <v>1.1556387658492777</v>
      </c>
      <c r="S80" s="239" t="s">
        <v>118</v>
      </c>
      <c r="T80" s="596">
        <f>F81/H80</f>
        <v>1.3700447505237485</v>
      </c>
      <c r="V80" s="524">
        <f>IF(qtrSales!I82=0," ",qtrSales!I82)</f>
        <v>155</v>
      </c>
      <c r="X80" s="254">
        <f>H80/V80</f>
        <v>7.1291290322580654</v>
      </c>
      <c r="Z80" s="541">
        <f>X80/X73-1</f>
        <v>3.0956318917504833E-2</v>
      </c>
      <c r="AB80" s="362">
        <f>qtrSales!Z82</f>
        <v>20.170000000000002</v>
      </c>
      <c r="AD80" s="1029">
        <f>H80/AB80*1000</f>
        <v>54785.076846802185</v>
      </c>
      <c r="AF80" s="756">
        <f>(AD80/AD73-1)*100</f>
        <v>1.9269054289983822</v>
      </c>
      <c r="AG80" s="239" t="s">
        <v>90</v>
      </c>
      <c r="AH80" s="759">
        <f>J80/(F80/(365/4))</f>
        <v>78.96066028292195</v>
      </c>
      <c r="AJ80" s="759">
        <f>H80/(F81/(365/4))</f>
        <v>66.603663832963448</v>
      </c>
      <c r="AL80" s="256">
        <f>INDEX('qtrP&amp;L'!$80:$80,MATCH(B79,'qtrP&amp;L'!$6:$6,0))</f>
        <v>260.971</v>
      </c>
      <c r="AM80" s="256">
        <f>INDEX('qtrP&amp;L'!$30:$30,MATCH(B79,'qtrP&amp;L'!$6:$6,0))</f>
        <v>2009.723</v>
      </c>
    </row>
    <row r="81" spans="1:39" hidden="1" outlineLevel="1" x14ac:dyDescent="0.2">
      <c r="A81" s="239" t="s">
        <v>93</v>
      </c>
      <c r="B81" s="239" t="s">
        <v>79</v>
      </c>
      <c r="D81" s="362">
        <f>qtrSales!R83</f>
        <v>2389.498</v>
      </c>
      <c r="F81" s="362">
        <f>INDEX('qtrP&amp;L'!$41:$41,MATCH(B79,'qtrP&amp;L'!$6:$6,0))</f>
        <v>1513.92</v>
      </c>
      <c r="H81" s="362">
        <f>INDEX(wc!$11:$11,MATCH(B79,wc!$7:$7,0))</f>
        <v>1053.3420000000001</v>
      </c>
      <c r="J81" s="362">
        <f>AVERAGE(H81,H80)</f>
        <v>1079.1785</v>
      </c>
      <c r="L81" s="633">
        <f>(D81/D74-1)*100</f>
        <v>5.2425314957092572</v>
      </c>
      <c r="N81" s="756">
        <f>(H81/H74-1)*100</f>
        <v>2.6362021539783731</v>
      </c>
      <c r="P81" s="756">
        <f>(H81/H80-1)*100</f>
        <v>-4.6762261145776307</v>
      </c>
      <c r="R81" s="596">
        <f>F81/J81</f>
        <v>1.4028448491143959</v>
      </c>
      <c r="T81" s="596">
        <f>F82/H81</f>
        <v>1.166293568470639</v>
      </c>
      <c r="V81" s="524">
        <f>IF(qtrSales!I83=0," ",qtrSales!I83)</f>
        <v>157</v>
      </c>
      <c r="X81" s="254">
        <f>H81/V81</f>
        <v>6.7091847133757971</v>
      </c>
      <c r="Z81" s="541">
        <f>X81/X74-1</f>
        <v>1.9824683822969869E-2</v>
      </c>
      <c r="AB81" s="362">
        <f>qtrSales!Z83</f>
        <v>20.190999999999999</v>
      </c>
      <c r="AD81" s="1029">
        <f>H81/AB81*1000</f>
        <v>52168.88712792829</v>
      </c>
      <c r="AF81" s="756">
        <f>(AD81/AD74-1)*100</f>
        <v>2.7683670420969975</v>
      </c>
      <c r="AH81" s="759">
        <f>J81/(F81/(365/4))</f>
        <v>65.046394872252165</v>
      </c>
      <c r="AJ81" s="759">
        <f>H81/(F82/(365/4))</f>
        <v>78.239306523533457</v>
      </c>
      <c r="AL81" s="362">
        <f>INDEX('qtrP&amp;L'!$81:$81,MATCH(B79,'qtrP&amp;L'!$6:$6,0))</f>
        <v>309.89399999999978</v>
      </c>
      <c r="AM81" s="362">
        <f>INDEX('qtrP&amp;L'!$31:$31,MATCH(B79,'qtrP&amp;L'!$6:$6,0))</f>
        <v>2459.8139999999999</v>
      </c>
    </row>
    <row r="82" spans="1:39" hidden="1" outlineLevel="1" x14ac:dyDescent="0.2">
      <c r="A82" s="239" t="s">
        <v>94</v>
      </c>
      <c r="B82" s="239" t="s">
        <v>80</v>
      </c>
      <c r="D82" s="362">
        <f>qtrSales!R84</f>
        <v>1970.444</v>
      </c>
      <c r="F82" s="362">
        <f>INDEX('qtrP&amp;L'!$42:$42,MATCH(B79,'qtrP&amp;L'!$6:$6,0))</f>
        <v>1228.5060000000001</v>
      </c>
      <c r="H82" s="362">
        <f>INDEX(wc!$12:$12,MATCH(B79,wc!$7:$7,0))</f>
        <v>1242.163</v>
      </c>
      <c r="J82" s="362">
        <f>AVERAGE(H82,H81)</f>
        <v>1147.7525000000001</v>
      </c>
      <c r="L82" s="633">
        <f>(D82/D75-1)*100</f>
        <v>5.2529695214419192</v>
      </c>
      <c r="N82" s="756">
        <f>(H82/H75-1)*100</f>
        <v>1.1343966520928506</v>
      </c>
      <c r="P82" s="756">
        <f>(H82/H81-1)*100</f>
        <v>17.925896812241415</v>
      </c>
      <c r="R82" s="596">
        <f>F82/J82</f>
        <v>1.0703579386670907</v>
      </c>
      <c r="T82" s="596">
        <f>F83/H82</f>
        <v>1.2631192524652561</v>
      </c>
      <c r="V82" s="524">
        <f>IF(qtrSales!I84=0," ",qtrSales!I84)</f>
        <v>157</v>
      </c>
      <c r="X82" s="254">
        <f>H82/V82</f>
        <v>7.9118662420382169</v>
      </c>
      <c r="Z82" s="541">
        <f>X82/X75-1</f>
        <v>4.9022852055085053E-3</v>
      </c>
      <c r="AB82" s="362">
        <f>qtrSales!Z84</f>
        <v>20.542000000000002</v>
      </c>
      <c r="AD82" s="1029">
        <f>H82/AB82*1000</f>
        <v>60469.428487975849</v>
      </c>
      <c r="AF82" s="756">
        <f>(AD82/AD75-1)*100</f>
        <v>-0.16535413732164939</v>
      </c>
      <c r="AH82" s="759">
        <f>J82/(F82/(365/4))</f>
        <v>85.251855200544398</v>
      </c>
      <c r="AJ82" s="759">
        <f>H82/(F83/(365/4))</f>
        <v>72.241793339706817</v>
      </c>
      <c r="AL82" s="362">
        <f>INDEX('qtrP&amp;L'!$82:$82,MATCH(B79,'qtrP&amp;L'!$6:$6,0))</f>
        <v>257.71699999999987</v>
      </c>
      <c r="AM82" s="362">
        <f>INDEX('qtrP&amp;L'!$32:$32,MATCH(B79,'qtrP&amp;L'!$6:$6,0))</f>
        <v>2039.223</v>
      </c>
    </row>
    <row r="83" spans="1:39" hidden="1" outlineLevel="1" x14ac:dyDescent="0.2">
      <c r="A83" s="239" t="s">
        <v>95</v>
      </c>
      <c r="B83" s="239" t="s">
        <v>81</v>
      </c>
      <c r="D83" s="556">
        <f>qtrSales!R85</f>
        <v>2514</v>
      </c>
      <c r="F83" s="556">
        <f>INDEX('qtrP&amp;L'!$43:$43,MATCH(B79,'qtrP&amp;L'!$6:$6,0))</f>
        <v>1569</v>
      </c>
      <c r="H83" s="556">
        <f>INDEX(wc!$13:$13,MATCH(B79,wc!$7:$7,0))</f>
        <v>956</v>
      </c>
      <c r="J83" s="556">
        <f>AVERAGE(H83,H82)</f>
        <v>1099.0815</v>
      </c>
      <c r="L83" s="1032">
        <f>(D83/D76-1)*100</f>
        <v>-4.4434916667426823</v>
      </c>
      <c r="N83" s="756">
        <f>(H83/H76-1)*100</f>
        <v>-4.1401238758273617</v>
      </c>
      <c r="P83" s="756">
        <f>(H83/H82-1)*100</f>
        <v>-23.037475758012437</v>
      </c>
      <c r="R83" s="596">
        <f>F83/J83</f>
        <v>1.4275556453274849</v>
      </c>
      <c r="T83" s="596">
        <f>F87/H83</f>
        <v>1.2332635983263598</v>
      </c>
      <c r="V83" s="526">
        <f>IF(qtrSales!I85=0," ",qtrSales!I85)</f>
        <v>156</v>
      </c>
      <c r="X83" s="254">
        <f>H83/V83</f>
        <v>6.1282051282051286</v>
      </c>
      <c r="Z83" s="541">
        <f>X83/X76-1</f>
        <v>-4.7546102612387342E-2</v>
      </c>
      <c r="AB83" s="362">
        <f>qtrSales!Z85</f>
        <v>20.501999999999999</v>
      </c>
      <c r="AD83" s="1029">
        <f>H83/AB83*1000</f>
        <v>46629.59711247684</v>
      </c>
      <c r="AF83" s="756">
        <f>(AD83/AD76-1)*100</f>
        <v>-5.6924348149174353</v>
      </c>
      <c r="AH83" s="759">
        <f>J83/(F83/(365/4))</f>
        <v>63.920450525812619</v>
      </c>
      <c r="AJ83" s="759">
        <f>H83/(F87/(365/4))</f>
        <v>73.990670059372349</v>
      </c>
      <c r="AL83" s="556">
        <f>INDEX('qtrP&amp;L'!$83:$83,MATCH(B79,'qtrP&amp;L'!$6:$6,0))</f>
        <v>384</v>
      </c>
      <c r="AM83" s="556">
        <f>INDEX('qtrP&amp;L'!$33:$33,MATCH(B79,'qtrP&amp;L'!$6:$6,0))</f>
        <v>2590</v>
      </c>
    </row>
    <row r="84" spans="1:39" hidden="1" outlineLevel="1" x14ac:dyDescent="0.2">
      <c r="B84" s="607" t="s">
        <v>55</v>
      </c>
      <c r="C84" s="607"/>
      <c r="D84" s="256">
        <f>qtrSales!R86</f>
        <v>8827.8140000000003</v>
      </c>
      <c r="F84" s="256">
        <f>INDEX('qtrP&amp;L'!$44:$44,MATCH(B79,'qtrP&amp;L'!$6:$6,0))</f>
        <v>5526.1779999999999</v>
      </c>
      <c r="H84" s="256">
        <f>INDEX(wc!$13:$13,MATCH(B79,wc!$7:$7,0))</f>
        <v>956</v>
      </c>
      <c r="J84" s="256">
        <f>AVERAGE(J80:J83)</f>
        <v>1094.291125</v>
      </c>
      <c r="L84" s="633">
        <f>(D84/D77-1)*100</f>
        <v>3.1202595863094373</v>
      </c>
      <c r="R84" s="1033">
        <f>F84/J84</f>
        <v>5.0500071450364725</v>
      </c>
      <c r="S84" s="601" t="s">
        <v>118</v>
      </c>
      <c r="V84" s="536">
        <f>V83</f>
        <v>156</v>
      </c>
      <c r="AB84" s="1034"/>
      <c r="AL84" s="256">
        <f>INDEX('qtrP&amp;L'!$84:$84,MATCH(B79,'qtrP&amp;L'!$6:$6,0))</f>
        <v>1212.5820000000003</v>
      </c>
      <c r="AM84" s="256">
        <f>INDEX('qtrP&amp;L'!$34:$34,MATCH(B79,'qtrP&amp;L'!$6:$6,0))</f>
        <v>9098.76</v>
      </c>
    </row>
    <row r="85" spans="1:39" hidden="1" outlineLevel="1" x14ac:dyDescent="0.2">
      <c r="L85" s="633"/>
      <c r="AB85" s="1034"/>
    </row>
    <row r="86" spans="1:39" hidden="1" outlineLevel="1" x14ac:dyDescent="0.2">
      <c r="B86" s="1028">
        <v>2008</v>
      </c>
      <c r="C86" s="1035"/>
      <c r="L86" s="633"/>
      <c r="AB86" s="1034"/>
      <c r="AH86" s="759"/>
    </row>
    <row r="87" spans="1:39" hidden="1" outlineLevel="1" x14ac:dyDescent="0.2">
      <c r="A87" s="239" t="s">
        <v>92</v>
      </c>
      <c r="B87" s="239" t="s">
        <v>78</v>
      </c>
      <c r="D87" s="256">
        <f>qtrSales!R89</f>
        <v>1879</v>
      </c>
      <c r="F87" s="256">
        <f>INDEX('qtrP&amp;L'!$40:$40,MATCH(B86,'qtrP&amp;L'!$6:$6,0))</f>
        <v>1179</v>
      </c>
      <c r="H87" s="256">
        <f>INDEX(wc!$10:$10,MATCH(B86,wc!$7:$7,0))</f>
        <v>1079</v>
      </c>
      <c r="J87" s="256">
        <f>AVERAGE(H87,H83)</f>
        <v>1017.5</v>
      </c>
      <c r="L87" s="633">
        <f>(D87/D80-1)*100</f>
        <v>-3.8319808052932891</v>
      </c>
      <c r="M87" s="239" t="s">
        <v>90</v>
      </c>
      <c r="N87" s="756">
        <f>(H87/H80-1)*100</f>
        <v>-2.3542666841626647</v>
      </c>
      <c r="O87" s="239" t="s">
        <v>90</v>
      </c>
      <c r="P87" s="756">
        <f>(H87/H83-1)*100</f>
        <v>12.866108786610875</v>
      </c>
      <c r="Q87" s="239" t="s">
        <v>90</v>
      </c>
      <c r="R87" s="596">
        <f>F87/J87</f>
        <v>1.1587223587223587</v>
      </c>
      <c r="S87" s="239" t="s">
        <v>118</v>
      </c>
      <c r="T87" s="596">
        <f>F88/H87</f>
        <v>1.3790546802594996</v>
      </c>
      <c r="V87" s="524">
        <f>IF(qtrSales!I89=0," ",qtrSales!I89)</f>
        <v>159</v>
      </c>
      <c r="X87" s="254">
        <f>H87/V87</f>
        <v>6.7861635220125782</v>
      </c>
      <c r="Z87" s="541">
        <f>X87/X80-1</f>
        <v>-4.8107631197812251E-2</v>
      </c>
      <c r="AB87" s="362">
        <f>qtrSales!Z89</f>
        <v>21.138999999999999</v>
      </c>
      <c r="AD87" s="1029">
        <f>H87/AB87*1000</f>
        <v>51043.095699891193</v>
      </c>
      <c r="AF87" s="756">
        <f>(AD87/AD80-1)*100</f>
        <v>-6.8302927773102322</v>
      </c>
      <c r="AG87" s="239" t="s">
        <v>90</v>
      </c>
      <c r="AH87" s="759">
        <f>J87/(F87/(365/4))</f>
        <v>78.750530110262943</v>
      </c>
      <c r="AJ87" s="759">
        <f>H87/(F88/(365/4))</f>
        <v>66.16851478494624</v>
      </c>
      <c r="AL87" s="256">
        <f>INDEX('qtrP&amp;L'!$80:$80,MATCH(B86,'qtrP&amp;L'!$6:$6,0))</f>
        <v>237</v>
      </c>
      <c r="AM87" s="256">
        <f>INDEX('qtrP&amp;L'!$30:$30,MATCH(B86,'qtrP&amp;L'!$6:$6,0))</f>
        <v>1949</v>
      </c>
    </row>
    <row r="88" spans="1:39" hidden="1" outlineLevel="1" x14ac:dyDescent="0.2">
      <c r="A88" s="239" t="s">
        <v>93</v>
      </c>
      <c r="B88" s="239" t="s">
        <v>79</v>
      </c>
      <c r="D88" s="362">
        <f>qtrSales!R90</f>
        <v>2287</v>
      </c>
      <c r="F88" s="362">
        <f>INDEX('qtrP&amp;L'!$41:$41,MATCH(B86,'qtrP&amp;L'!$6:$6,0))</f>
        <v>1488</v>
      </c>
      <c r="H88" s="362">
        <f>INDEX(wc!$11:$11,MATCH(B86,wc!$7:$7,0))</f>
        <v>1000</v>
      </c>
      <c r="J88" s="362">
        <f>AVERAGE(H88,H87)</f>
        <v>1039.5</v>
      </c>
      <c r="L88" s="633">
        <f>(D88/D81-1)*100</f>
        <v>-4.289520225587129</v>
      </c>
      <c r="N88" s="756">
        <f>(H88/H81-1)*100</f>
        <v>-5.0640722576333346</v>
      </c>
      <c r="P88" s="756">
        <f>(H88/H87-1)*100</f>
        <v>-7.3215940685820158</v>
      </c>
      <c r="R88" s="596">
        <f>F88/J88</f>
        <v>1.4314574314574315</v>
      </c>
      <c r="T88" s="596">
        <f>F89/H88</f>
        <v>1.1974829999999999</v>
      </c>
      <c r="V88" s="524">
        <f>IF(qtrSales!I90=0," ",qtrSales!I90)</f>
        <v>159</v>
      </c>
      <c r="X88" s="254">
        <f>H88/V88</f>
        <v>6.2893081761006293</v>
      </c>
      <c r="Z88" s="541">
        <f>X88/X81-1</f>
        <v>-6.258234870744861E-2</v>
      </c>
      <c r="AB88" s="362">
        <f>qtrSales!Z90</f>
        <v>21.138999999999999</v>
      </c>
      <c r="AD88" s="1029">
        <f>H88/AB88*1000</f>
        <v>47305.927432707322</v>
      </c>
      <c r="AF88" s="756">
        <f>(AD88/AD81-1)*100</f>
        <v>-9.3215706965265372</v>
      </c>
      <c r="AH88" s="759">
        <f>J88/(F88/(365/4))</f>
        <v>63.746219758064512</v>
      </c>
      <c r="AJ88" s="759">
        <f>H88/(F89/(365/4))</f>
        <v>76.201499311472489</v>
      </c>
      <c r="AL88" s="362">
        <f>INDEX('qtrP&amp;L'!$81:$81,MATCH(B86,'qtrP&amp;L'!$6:$6,0))</f>
        <v>269</v>
      </c>
      <c r="AM88" s="362">
        <f>INDEX('qtrP&amp;L'!$31:$31,MATCH(B86,'qtrP&amp;L'!$6:$6,0))</f>
        <v>2359</v>
      </c>
    </row>
    <row r="89" spans="1:39" hidden="1" outlineLevel="1" x14ac:dyDescent="0.2">
      <c r="A89" s="239" t="s">
        <v>94</v>
      </c>
      <c r="B89" s="239" t="s">
        <v>80</v>
      </c>
      <c r="D89" s="362">
        <f>qtrSales!R91</f>
        <v>1824</v>
      </c>
      <c r="F89" s="362">
        <f>INDEX('qtrP&amp;L'!$42:$42,MATCH(B86,'qtrP&amp;L'!$6:$6,0))</f>
        <v>1197.4829999999999</v>
      </c>
      <c r="H89" s="362">
        <f>INDEX(wc!$12:$12,MATCH(B86,wc!$7:$7,0))</f>
        <v>1278</v>
      </c>
      <c r="J89" s="362">
        <f>AVERAGE(H89,H88)</f>
        <v>1139</v>
      </c>
      <c r="L89" s="633">
        <f>(D89/D82-1)*100</f>
        <v>-7.4320305474299131</v>
      </c>
      <c r="N89" s="756">
        <f>(H89/H82-1)*100</f>
        <v>2.8850480975524118</v>
      </c>
      <c r="P89" s="756">
        <f>(H89/H88-1)*100</f>
        <v>27.800000000000004</v>
      </c>
      <c r="R89" s="596">
        <f>F89/J89</f>
        <v>1.0513459174714661</v>
      </c>
      <c r="T89" s="596">
        <f>F90/H89</f>
        <v>1.2245696400625978</v>
      </c>
      <c r="V89" s="524">
        <f>IF(qtrSales!I91=0," ",qtrSales!I91)</f>
        <v>166</v>
      </c>
      <c r="X89" s="254">
        <f>H89/V89</f>
        <v>7.6987951807228914</v>
      </c>
      <c r="Z89" s="541">
        <f>X89/X82-1</f>
        <v>-2.6930569197847753E-2</v>
      </c>
      <c r="AB89" s="362">
        <f>qtrSales!Z91</f>
        <v>21.716999999999999</v>
      </c>
      <c r="AD89" s="1029">
        <f>H89/AB89*1000</f>
        <v>58847.907169498554</v>
      </c>
      <c r="AF89" s="756">
        <f>(AD89/AD82-1)*100</f>
        <v>-2.6815555546382042</v>
      </c>
      <c r="AH89" s="759">
        <f>J89/(F89/(365/4))</f>
        <v>86.793507715767163</v>
      </c>
      <c r="AJ89" s="759">
        <f>H89/(F90/(365/4))</f>
        <v>74.515974440894567</v>
      </c>
      <c r="AL89" s="362">
        <f>INDEX('qtrP&amp;L'!$82:$82,MATCH(B86,'qtrP&amp;L'!$6:$6,0))</f>
        <v>127.55100000000004</v>
      </c>
      <c r="AM89" s="362">
        <f>INDEX('qtrP&amp;L'!$32:$32,MATCH(B86,'qtrP&amp;L'!$6:$6,0))</f>
        <v>1898</v>
      </c>
    </row>
    <row r="90" spans="1:39" hidden="1" outlineLevel="1" x14ac:dyDescent="0.2">
      <c r="A90" s="239" t="s">
        <v>95</v>
      </c>
      <c r="B90" s="239" t="s">
        <v>81</v>
      </c>
      <c r="D90" s="556">
        <f>qtrSales!R92</f>
        <v>2301</v>
      </c>
      <c r="F90" s="556">
        <f>INDEX('qtrP&amp;L'!$43:$43,MATCH(B86,'qtrP&amp;L'!$6:$6,0))</f>
        <v>1565</v>
      </c>
      <c r="H90" s="556">
        <f>INDEX(wc!$13:$13,MATCH(B86,wc!$7:$7,0))</f>
        <v>900</v>
      </c>
      <c r="J90" s="556">
        <f>AVERAGE(H90,H89)</f>
        <v>1089</v>
      </c>
      <c r="L90" s="1032">
        <f>(D90/D83-1)*100</f>
        <v>-8.4725536992840134</v>
      </c>
      <c r="N90" s="756">
        <f>(H90/H83-1)*100</f>
        <v>-5.8577405857740628</v>
      </c>
      <c r="P90" s="756">
        <f>(H90/H89-1)*100</f>
        <v>-29.577464788732399</v>
      </c>
      <c r="R90" s="596">
        <f>F90/J90</f>
        <v>1.4370982552800735</v>
      </c>
      <c r="T90" s="596">
        <f>F94/H90</f>
        <v>1.23</v>
      </c>
      <c r="V90" s="526">
        <f>IF(qtrSales!I92=0," ",qtrSales!I92)</f>
        <v>169</v>
      </c>
      <c r="X90" s="254">
        <f>H90/V90</f>
        <v>5.3254437869822482</v>
      </c>
      <c r="Z90" s="541">
        <f>X90/X83-1</f>
        <v>-0.13099452848406834</v>
      </c>
      <c r="AB90" s="362">
        <f>qtrSales!Z92</f>
        <v>21.876000000000001</v>
      </c>
      <c r="AD90" s="1029">
        <f>H90/AB90*1000</f>
        <v>41140.976412506854</v>
      </c>
      <c r="AF90" s="756">
        <f>(AD90/AD83-1)*100</f>
        <v>-11.770680082718055</v>
      </c>
      <c r="AH90" s="759">
        <f>J90/(F90/(365/4))</f>
        <v>63.496006389776362</v>
      </c>
      <c r="AJ90" s="759">
        <f>H90/(F94/(365/4))</f>
        <v>74.1869918699187</v>
      </c>
      <c r="AL90" s="556">
        <f>INDEX('qtrP&amp;L'!$83:$83,MATCH(B86,'qtrP&amp;L'!$6:$6,0))</f>
        <v>156</v>
      </c>
      <c r="AM90" s="556">
        <f>INDEX('qtrP&amp;L'!$33:$33,MATCH(B86,'qtrP&amp;L'!$6:$6,0))</f>
        <v>2391</v>
      </c>
    </row>
    <row r="91" spans="1:39" hidden="1" outlineLevel="1" x14ac:dyDescent="0.2">
      <c r="B91" s="607" t="s">
        <v>55</v>
      </c>
      <c r="C91" s="607"/>
      <c r="D91" s="256">
        <f>qtrSales!R93</f>
        <v>8291</v>
      </c>
      <c r="F91" s="256">
        <f>INDEX('qtrP&amp;L'!$44:$44,MATCH(B86,'qtrP&amp;L'!$6:$6,0))</f>
        <v>5429.4830000000002</v>
      </c>
      <c r="H91" s="256">
        <f>INDEX(wc!$13:$13,MATCH(B86,wc!$7:$7,0))</f>
        <v>900</v>
      </c>
      <c r="J91" s="256">
        <f>AVERAGE(J87:J90)</f>
        <v>1071.25</v>
      </c>
      <c r="L91" s="633">
        <f>(D91/D84-1)*100</f>
        <v>-6.080939177014832</v>
      </c>
      <c r="R91" s="1033">
        <f>F91/J91</f>
        <v>5.0683621936989498</v>
      </c>
      <c r="S91" s="601" t="s">
        <v>118</v>
      </c>
      <c r="V91" s="536">
        <f>V90</f>
        <v>169</v>
      </c>
      <c r="AB91" s="362"/>
      <c r="AL91" s="256">
        <f>INDEX('qtrP&amp;L'!$84:$84,MATCH(B86,'qtrP&amp;L'!$6:$6,0))</f>
        <v>779.55099999999993</v>
      </c>
      <c r="AM91" s="256">
        <f>INDEX('qtrP&amp;L'!$34:$34,MATCH(B86,'qtrP&amp;L'!$6:$6,0))</f>
        <v>8597</v>
      </c>
    </row>
    <row r="92" spans="1:39" hidden="1" outlineLevel="1" x14ac:dyDescent="0.2">
      <c r="L92" s="633"/>
      <c r="AB92" s="1034"/>
    </row>
    <row r="93" spans="1:39" hidden="1" outlineLevel="1" x14ac:dyDescent="0.2">
      <c r="B93" s="1028">
        <v>2009</v>
      </c>
      <c r="C93" s="1035"/>
      <c r="L93" s="633"/>
      <c r="AB93" s="1034"/>
      <c r="AH93" s="759"/>
    </row>
    <row r="94" spans="1:39" hidden="1" outlineLevel="1" x14ac:dyDescent="0.2">
      <c r="A94" s="239" t="s">
        <v>92</v>
      </c>
      <c r="B94" s="239" t="s">
        <v>78</v>
      </c>
      <c r="D94" s="256">
        <f>qtrSales!R96</f>
        <v>1706</v>
      </c>
      <c r="F94" s="256">
        <f>INDEX('qtrP&amp;L'!$40:$40,MATCH(B93,'qtrP&amp;L'!$6:$6,0))</f>
        <v>1107</v>
      </c>
      <c r="H94" s="256">
        <f>INDEX(wc!$10:$10,MATCH(B93,wc!$7:$7,0))</f>
        <v>1004</v>
      </c>
      <c r="J94" s="256">
        <f>AVERAGE(H94,H90)</f>
        <v>952</v>
      </c>
      <c r="L94" s="633">
        <f>(D94/D87-1)*100</f>
        <v>-9.207025013304948</v>
      </c>
      <c r="M94" s="239" t="s">
        <v>90</v>
      </c>
      <c r="N94" s="756">
        <f>(H94/H87-1)*100</f>
        <v>-6.9508804448563444</v>
      </c>
      <c r="O94" s="239" t="s">
        <v>90</v>
      </c>
      <c r="P94" s="756">
        <f>(H94/H90-1)*100</f>
        <v>11.555555555555564</v>
      </c>
      <c r="Q94" s="239" t="s">
        <v>90</v>
      </c>
      <c r="R94" s="596">
        <f>F94/J94</f>
        <v>1.1628151260504203</v>
      </c>
      <c r="S94" s="239" t="s">
        <v>118</v>
      </c>
      <c r="T94" s="596">
        <f>F95/H94</f>
        <v>1.4123505976095618</v>
      </c>
      <c r="V94" s="524">
        <f>IF(qtrSales!I96=0," ",qtrSales!I96)</f>
        <v>175</v>
      </c>
      <c r="X94" s="254">
        <f>H94/V94</f>
        <v>5.7371428571428575</v>
      </c>
      <c r="Z94" s="541">
        <f>X94/X87-1</f>
        <v>-0.15458228518469475</v>
      </c>
      <c r="AB94" s="362">
        <f>qtrSales!Z96</f>
        <v>22.335999999999999</v>
      </c>
      <c r="AD94" s="1029">
        <f>H94/AB94*1000</f>
        <v>44949.856733524357</v>
      </c>
      <c r="AF94" s="756">
        <f>(AD94/AD87-1)*100</f>
        <v>-11.93744008434</v>
      </c>
      <c r="AG94" s="239" t="s">
        <v>90</v>
      </c>
      <c r="AH94" s="759">
        <f>J94/(F94/(365/4))</f>
        <v>78.473351400180675</v>
      </c>
      <c r="AJ94" s="759">
        <f>H94/(F95/(365/4))</f>
        <v>64.608603667136819</v>
      </c>
      <c r="AL94" s="256">
        <f>INDEX('qtrP&amp;L'!$80:$80,MATCH(B93,'qtrP&amp;L'!$6:$6,0))</f>
        <v>146</v>
      </c>
      <c r="AM94" s="256">
        <f>INDEX('qtrP&amp;L'!$30:$30,MATCH(B93,'qtrP&amp;L'!$6:$6,0))</f>
        <v>1792</v>
      </c>
    </row>
    <row r="95" spans="1:39" hidden="1" outlineLevel="1" x14ac:dyDescent="0.2">
      <c r="A95" s="239" t="s">
        <v>93</v>
      </c>
      <c r="B95" s="239" t="s">
        <v>79</v>
      </c>
      <c r="D95" s="362">
        <f>qtrSales!R97</f>
        <v>2145</v>
      </c>
      <c r="F95" s="362">
        <f>INDEX('qtrP&amp;L'!$41:$41,MATCH(B93,'qtrP&amp;L'!$6:$6,0))</f>
        <v>1418</v>
      </c>
      <c r="H95" s="362">
        <f>INDEX(wc!$11:$11,MATCH(B93,wc!$7:$7,0))</f>
        <v>929</v>
      </c>
      <c r="J95" s="362">
        <f>AVERAGE(H95,H94)</f>
        <v>966.5</v>
      </c>
      <c r="L95" s="633">
        <f>(D95/D88-1)*100</f>
        <v>-6.2090074333187584</v>
      </c>
      <c r="N95" s="756">
        <f>(H95/H88-1)*100</f>
        <v>-7.0999999999999952</v>
      </c>
      <c r="P95" s="756">
        <f>(H95/H94-1)*100</f>
        <v>-7.4701195219123555</v>
      </c>
      <c r="R95" s="596">
        <f>F95/J95</f>
        <v>1.4671495085359545</v>
      </c>
      <c r="T95" s="596">
        <f>F96/H95</f>
        <v>1.3024757804090419</v>
      </c>
      <c r="V95" s="524">
        <f>IF(qtrSales!I97=0," ",qtrSales!I97)</f>
        <v>175</v>
      </c>
      <c r="X95" s="254">
        <f>H95/V95</f>
        <v>5.3085714285714287</v>
      </c>
      <c r="Z95" s="541">
        <f>X95/X88-1</f>
        <v>-0.15593714285714289</v>
      </c>
      <c r="AB95" s="362">
        <f>qtrSales!Z97</f>
        <v>22.350999999999999</v>
      </c>
      <c r="AD95" s="1029">
        <f>H95/AB95*1000</f>
        <v>41564.135832848639</v>
      </c>
      <c r="AF95" s="756">
        <f>(AD95/AD88-1)*100</f>
        <v>-12.13757326294127</v>
      </c>
      <c r="AH95" s="759">
        <f>J95/(F95/(365/4))</f>
        <v>62.195433709449929</v>
      </c>
      <c r="AJ95" s="759">
        <f>H95/(F96/(365/4))</f>
        <v>70.058884297520663</v>
      </c>
      <c r="AL95" s="362">
        <f>INDEX('qtrP&amp;L'!$81:$81,MATCH(B93,'qtrP&amp;L'!$6:$6,0))</f>
        <v>206</v>
      </c>
      <c r="AM95" s="362">
        <f>INDEX('qtrP&amp;L'!$31:$31,MATCH(B93,'qtrP&amp;L'!$6:$6,0))</f>
        <v>2232</v>
      </c>
    </row>
    <row r="96" spans="1:39" hidden="1" outlineLevel="1" x14ac:dyDescent="0.2">
      <c r="A96" s="239" t="s">
        <v>94</v>
      </c>
      <c r="B96" s="239" t="s">
        <v>80</v>
      </c>
      <c r="D96" s="362">
        <f>qtrSales!R98</f>
        <v>1868</v>
      </c>
      <c r="F96" s="362">
        <f>INDEX('qtrP&amp;L'!$42:$42,MATCH(B93,'qtrP&amp;L'!$6:$6,0))</f>
        <v>1210</v>
      </c>
      <c r="H96" s="362">
        <f>INDEX(wc!$12:$12,MATCH(B93,wc!$7:$7,0))</f>
        <v>1193</v>
      </c>
      <c r="J96" s="362">
        <f>AVERAGE(H96,H95)</f>
        <v>1061</v>
      </c>
      <c r="L96" s="633">
        <f>(D96/D89-1)*100</f>
        <v>2.4122807017543879</v>
      </c>
      <c r="N96" s="756">
        <f>(H96/H89-1)*100</f>
        <v>-6.6510172143974922</v>
      </c>
      <c r="P96" s="756">
        <f>(H96/H95-1)*100</f>
        <v>28.417653390742736</v>
      </c>
      <c r="R96" s="596">
        <f>F96/J96</f>
        <v>1.1404335532516494</v>
      </c>
      <c r="T96" s="596">
        <f>F97/H96</f>
        <v>1.3352891869237218</v>
      </c>
      <c r="V96" s="524">
        <f>IF(qtrSales!I98=0," ",qtrSales!I98)</f>
        <v>182</v>
      </c>
      <c r="X96" s="254">
        <f>H96/V96</f>
        <v>6.5549450549450547</v>
      </c>
      <c r="Z96" s="541">
        <f>X96/X89-1</f>
        <v>-0.14857521195549361</v>
      </c>
      <c r="AB96" s="362">
        <f>qtrSales!Z98</f>
        <v>22.702000000000002</v>
      </c>
      <c r="AD96" s="1029">
        <f>H96/AB96*1000</f>
        <v>52550.436084926434</v>
      </c>
      <c r="AF96" s="756">
        <f>(AD96/AD89-1)*100</f>
        <v>-10.701266004980647</v>
      </c>
      <c r="AH96" s="759">
        <f>J96/(F96/(365/4))</f>
        <v>80.013429752066116</v>
      </c>
      <c r="AJ96" s="759">
        <f>H96/(F97/(365/4))</f>
        <v>68.337256748273703</v>
      </c>
      <c r="AL96" s="362">
        <f>INDEX('qtrP&amp;L'!$82:$82,MATCH(B93,'qtrP&amp;L'!$6:$6,0))</f>
        <v>172</v>
      </c>
      <c r="AM96" s="362">
        <f>INDEX('qtrP&amp;L'!$32:$32,MATCH(B93,'qtrP&amp;L'!$6:$6,0))</f>
        <v>1963</v>
      </c>
    </row>
    <row r="97" spans="1:39" hidden="1" outlineLevel="1" x14ac:dyDescent="0.2">
      <c r="A97" s="239" t="s">
        <v>95</v>
      </c>
      <c r="B97" s="239" t="s">
        <v>81</v>
      </c>
      <c r="D97" s="556">
        <f>qtrSales!R99</f>
        <v>2539</v>
      </c>
      <c r="F97" s="556">
        <f>INDEX('qtrP&amp;L'!$43:$43,MATCH(B93,'qtrP&amp;L'!$6:$6,0))</f>
        <v>1593</v>
      </c>
      <c r="H97" s="556">
        <f>INDEX(wc!$13:$13,MATCH(B93,wc!$7:$7,0))</f>
        <v>898</v>
      </c>
      <c r="J97" s="556">
        <f>AVERAGE(H97,H96)</f>
        <v>1045.5</v>
      </c>
      <c r="L97" s="1032">
        <f>(D97/D90-1)*100</f>
        <v>10.343328987396783</v>
      </c>
      <c r="N97" s="756">
        <f>(H97/H90-1)*100</f>
        <v>-0.22222222222222365</v>
      </c>
      <c r="P97" s="756">
        <f>(H97/H96-1)*100</f>
        <v>-24.72757753562448</v>
      </c>
      <c r="R97" s="596">
        <f>F97/J97</f>
        <v>1.5236728837876614</v>
      </c>
      <c r="T97" s="1036" t="s">
        <v>83</v>
      </c>
      <c r="V97" s="526">
        <f>IF(qtrSales!I99=0," ",qtrSales!I99)</f>
        <v>184</v>
      </c>
      <c r="X97" s="254">
        <f>H97/V97</f>
        <v>4.8804347826086953</v>
      </c>
      <c r="Z97" s="541">
        <f>X97/X90-1</f>
        <v>-8.3562801932367203E-2</v>
      </c>
      <c r="AB97" s="362">
        <f>qtrSales!Z99</f>
        <v>22.773</v>
      </c>
      <c r="AD97" s="1029">
        <f>H97/AB97*1000</f>
        <v>39432.661485092001</v>
      </c>
      <c r="AF97" s="756">
        <f>(AD97/AD90-1)*100</f>
        <v>-4.1523441502363649</v>
      </c>
      <c r="AH97" s="759">
        <f>J97/(F97/(365/4))</f>
        <v>59.888182674199626</v>
      </c>
      <c r="AJ97" s="759">
        <f>H97/(F101/(365/4))</f>
        <v>65.923169750603378</v>
      </c>
      <c r="AL97" s="556">
        <f>INDEX('qtrP&amp;L'!$83:$83,MATCH(B93,'qtrP&amp;L'!$6:$6,0))</f>
        <v>310</v>
      </c>
      <c r="AM97" s="556">
        <f>INDEX('qtrP&amp;L'!$33:$33,MATCH(B93,'qtrP&amp;L'!$6:$6,0))</f>
        <v>2640</v>
      </c>
    </row>
    <row r="98" spans="1:39" hidden="1" outlineLevel="1" x14ac:dyDescent="0.2">
      <c r="B98" s="607" t="s">
        <v>55</v>
      </c>
      <c r="C98" s="607"/>
      <c r="D98" s="256">
        <f>qtrSales!R100</f>
        <v>8258</v>
      </c>
      <c r="F98" s="256">
        <f>INDEX('qtrP&amp;L'!$44:$44,MATCH(B93,'qtrP&amp;L'!$6:$6,0))</f>
        <v>5328</v>
      </c>
      <c r="H98" s="256">
        <f>INDEX(wc!$13:$13,MATCH(B93,wc!$7:$7,0))</f>
        <v>898</v>
      </c>
      <c r="J98" s="256">
        <f>AVERAGE(J94:J97)</f>
        <v>1006.25</v>
      </c>
      <c r="L98" s="633">
        <f>(D98/D91-1)*100</f>
        <v>-0.39802195151369402</v>
      </c>
      <c r="R98" s="1033">
        <f>F98/J98</f>
        <v>5.2949068322981363</v>
      </c>
      <c r="S98" s="601" t="s">
        <v>118</v>
      </c>
      <c r="V98" s="536">
        <f>V97</f>
        <v>184</v>
      </c>
      <c r="AB98" s="362"/>
      <c r="AL98" s="256">
        <f>INDEX('qtrP&amp;L'!$84:$84,MATCH(B93,'qtrP&amp;L'!$6:$6,0))</f>
        <v>834</v>
      </c>
      <c r="AM98" s="256">
        <f>INDEX('qtrP&amp;L'!$34:$34,MATCH(B93,'qtrP&amp;L'!$6:$6,0))</f>
        <v>8627</v>
      </c>
    </row>
    <row r="99" spans="1:39" hidden="1" outlineLevel="1" x14ac:dyDescent="0.2">
      <c r="L99" s="633"/>
      <c r="AB99" s="1034"/>
    </row>
    <row r="100" spans="1:39" collapsed="1" x14ac:dyDescent="0.2">
      <c r="B100" s="1028">
        <v>2010</v>
      </c>
      <c r="C100" s="1035"/>
      <c r="L100" s="633"/>
      <c r="AB100" s="1034"/>
      <c r="AH100" s="759"/>
    </row>
    <row r="101" spans="1:39" x14ac:dyDescent="0.2">
      <c r="A101" s="239" t="s">
        <v>92</v>
      </c>
      <c r="B101" s="239" t="s">
        <v>78</v>
      </c>
      <c r="D101" s="256">
        <f>qtrSales!R103</f>
        <v>1990</v>
      </c>
      <c r="F101" s="256">
        <f>INDEX('qtrP&amp;L'!$40:$40,MATCH(B100,'qtrP&amp;L'!$6:$6,0))</f>
        <v>1243</v>
      </c>
      <c r="H101" s="256">
        <f>INDEX(wc!$10:$10,MATCH(B100,wc!$7:$7,0))</f>
        <v>1067</v>
      </c>
      <c r="J101" s="256">
        <f>AVERAGE(H101,H97)</f>
        <v>982.5</v>
      </c>
      <c r="L101" s="633">
        <f>(D101/D94-1)*100</f>
        <v>16.647127784290738</v>
      </c>
      <c r="M101" s="239" t="s">
        <v>90</v>
      </c>
      <c r="N101" s="756">
        <f>(H101/H94-1)*100</f>
        <v>6.2749003984063689</v>
      </c>
      <c r="O101" s="239" t="s">
        <v>90</v>
      </c>
      <c r="P101" s="756">
        <f>(H101/H97-1)*100</f>
        <v>18.819599109131403</v>
      </c>
      <c r="Q101" s="239" t="s">
        <v>90</v>
      </c>
      <c r="R101" s="596">
        <f>F101/J101</f>
        <v>1.2651399491094149</v>
      </c>
      <c r="S101" s="239" t="s">
        <v>118</v>
      </c>
      <c r="T101" s="596">
        <f>F102/H101</f>
        <v>1.4667291471415183</v>
      </c>
      <c r="V101" s="524">
        <f>IF(qtrSales!I103=0," ",qtrSales!I103)</f>
        <v>192</v>
      </c>
      <c r="X101" s="254">
        <f>H101/V101</f>
        <v>5.557291666666667</v>
      </c>
      <c r="Z101" s="541">
        <f>X101/X94-1</f>
        <v>-3.1348564077025243E-2</v>
      </c>
      <c r="AB101" s="362">
        <f>qtrSales!Z103</f>
        <v>23.289000000000001</v>
      </c>
      <c r="AD101" s="1029">
        <f>H101/AB101*1000</f>
        <v>45815.621108677915</v>
      </c>
      <c r="AF101" s="756">
        <f>(AD101/AD94-1)*100</f>
        <v>1.9260670401822555</v>
      </c>
      <c r="AG101" s="239" t="s">
        <v>90</v>
      </c>
      <c r="AH101" s="759">
        <f>J101/(F101/(365/4))</f>
        <v>72.126407884151249</v>
      </c>
      <c r="AJ101" s="759">
        <f>H101/(F102/(365/4))</f>
        <v>62.213258785942493</v>
      </c>
      <c r="AL101" s="256">
        <f>INDEX('qtrP&amp;L'!$80:$80,MATCH(B100,'qtrP&amp;L'!$6:$6,0))</f>
        <v>219</v>
      </c>
      <c r="AM101" s="256">
        <f>INDEX('qtrP&amp;L'!$30:$30,MATCH(B100,'qtrP&amp;L'!$6:$6,0))</f>
        <v>2087</v>
      </c>
    </row>
    <row r="102" spans="1:39" x14ac:dyDescent="0.2">
      <c r="A102" s="239" t="s">
        <v>93</v>
      </c>
      <c r="B102" s="239" t="s">
        <v>79</v>
      </c>
      <c r="D102" s="362">
        <f>qtrSales!R104</f>
        <v>2417</v>
      </c>
      <c r="F102" s="362">
        <f>INDEX('qtrP&amp;L'!$41:$41,MATCH(B100,'qtrP&amp;L'!$6:$6,0))</f>
        <v>1565</v>
      </c>
      <c r="H102" s="362">
        <f>INDEX(wc!$11:$11,MATCH(B100,wc!$7:$7,0))</f>
        <v>1055</v>
      </c>
      <c r="J102" s="362">
        <f>AVERAGE(H102,H101)</f>
        <v>1061</v>
      </c>
      <c r="L102" s="633">
        <f>(D102/D95-1)*100</f>
        <v>12.680652680652681</v>
      </c>
      <c r="N102" s="756">
        <f>(H102/H95-1)*100</f>
        <v>13.56297093649086</v>
      </c>
      <c r="P102" s="756">
        <f>(H102/H101-1)*100</f>
        <v>-1.1246485473289547</v>
      </c>
      <c r="R102" s="596">
        <f>F102/J102</f>
        <v>1.4750235626767201</v>
      </c>
      <c r="T102" s="596">
        <f>F103/H102</f>
        <v>1.261611374407583</v>
      </c>
      <c r="V102" s="524">
        <f>IF(qtrSales!I104=0," ",qtrSales!I104)</f>
        <v>193</v>
      </c>
      <c r="X102" s="254">
        <f>H102/V102</f>
        <v>5.4663212435233159</v>
      </c>
      <c r="Z102" s="541">
        <f>X102/X95-1</f>
        <v>2.9716057714295196E-2</v>
      </c>
      <c r="AB102" s="362">
        <f>qtrSales!Z104</f>
        <v>23.343</v>
      </c>
      <c r="AD102" s="1029">
        <f>H102/AB102*1000</f>
        <v>45195.561838666843</v>
      </c>
      <c r="AF102" s="756">
        <f>(AD102/AD95-1)*100</f>
        <v>8.7369217067860827</v>
      </c>
      <c r="AH102" s="759">
        <f>J102/(F102/(365/4))</f>
        <v>61.863418530351439</v>
      </c>
      <c r="AJ102" s="759">
        <f>H102/(F103/(365/4))</f>
        <v>72.328136739293768</v>
      </c>
      <c r="AL102" s="362">
        <f>INDEX('qtrP&amp;L'!$81:$81,MATCH(B100,'qtrP&amp;L'!$6:$6,0))</f>
        <v>272</v>
      </c>
      <c r="AM102" s="362">
        <f>INDEX('qtrP&amp;L'!$31:$31,MATCH(B100,'qtrP&amp;L'!$6:$6,0))</f>
        <v>2515</v>
      </c>
    </row>
    <row r="103" spans="1:39" x14ac:dyDescent="0.2">
      <c r="A103" s="239" t="s">
        <v>94</v>
      </c>
      <c r="B103" s="239" t="s">
        <v>80</v>
      </c>
      <c r="D103" s="362">
        <f>qtrSales!R105</f>
        <v>2087</v>
      </c>
      <c r="F103" s="362">
        <f>INDEX('qtrP&amp;L'!$42:$42,MATCH(B100,'qtrP&amp;L'!$6:$6,0))</f>
        <v>1331</v>
      </c>
      <c r="H103" s="362">
        <f>INDEX(wc!$12:$12,MATCH(B100,wc!$7:$7,0))</f>
        <v>1307</v>
      </c>
      <c r="J103" s="362">
        <f>AVERAGE(H103,H102)</f>
        <v>1181</v>
      </c>
      <c r="L103" s="633">
        <f>(D103/D96-1)*100</f>
        <v>11.723768736616712</v>
      </c>
      <c r="N103" s="756">
        <f>(H103/H96-1)*100</f>
        <v>9.5557418273260595</v>
      </c>
      <c r="P103" s="756">
        <f>(H103/H102-1)*100</f>
        <v>23.886255924170619</v>
      </c>
      <c r="R103" s="596">
        <f>F103/J103</f>
        <v>1.1270110076206605</v>
      </c>
      <c r="T103" s="596">
        <f>F104/H103</f>
        <v>1.3450650344299924</v>
      </c>
      <c r="V103" s="524">
        <f>IF(qtrSales!I105=0," ",qtrSales!I105)</f>
        <v>203</v>
      </c>
      <c r="X103" s="254">
        <f>H103/V103</f>
        <v>6.4384236453201966</v>
      </c>
      <c r="Z103" s="541">
        <f>X103/X96-1</f>
        <v>-1.7776107755007708E-2</v>
      </c>
      <c r="AB103" s="362">
        <f>qtrSales!Z105</f>
        <v>23.802</v>
      </c>
      <c r="AD103" s="1029">
        <f>H103/AB103*1000</f>
        <v>54911.351987227965</v>
      </c>
      <c r="AF103" s="756">
        <f>(AD103/AD96-1)*100</f>
        <v>4.4926666231390966</v>
      </c>
      <c r="AH103" s="759">
        <f>J103/(F103/(365/4))</f>
        <v>80.96637866265965</v>
      </c>
      <c r="AJ103" s="759">
        <f>H103/(F104/(365/4))</f>
        <v>67.840585893060293</v>
      </c>
      <c r="AL103" s="362">
        <f>INDEX('qtrP&amp;L'!$82:$82,MATCH(B100,'qtrP&amp;L'!$6:$6,0))</f>
        <v>221</v>
      </c>
      <c r="AM103" s="362">
        <f>INDEX('qtrP&amp;L'!$32:$32,MATCH(B100,'qtrP&amp;L'!$6:$6,0))</f>
        <v>2182</v>
      </c>
    </row>
    <row r="104" spans="1:39" x14ac:dyDescent="0.2">
      <c r="A104" s="239" t="s">
        <v>95</v>
      </c>
      <c r="B104" s="239" t="s">
        <v>81</v>
      </c>
      <c r="D104" s="556">
        <f>qtrSales!R106</f>
        <v>2816</v>
      </c>
      <c r="F104" s="556">
        <f>INDEX('qtrP&amp;L'!$43:$43,MATCH(B100,'qtrP&amp;L'!$6:$6,0))</f>
        <v>1758</v>
      </c>
      <c r="H104" s="556">
        <f>INDEX(wc!$13:$13,MATCH(B100,wc!$7:$7,0))</f>
        <v>977</v>
      </c>
      <c r="J104" s="556">
        <f>AVERAGE(H104,H103)</f>
        <v>1142</v>
      </c>
      <c r="L104" s="1032">
        <f>(D104/D97-1)*100</f>
        <v>10.909807010634109</v>
      </c>
      <c r="N104" s="756">
        <f>(H104/H97-1)*100</f>
        <v>8.7973273942093542</v>
      </c>
      <c r="P104" s="756">
        <f>(H104/H103-1)*100</f>
        <v>-25.248661055853095</v>
      </c>
      <c r="R104" s="596">
        <f>F104/J104</f>
        <v>1.5394045534150613</v>
      </c>
      <c r="T104" s="596">
        <f>F108/H104</f>
        <v>1.4176049129989765</v>
      </c>
      <c r="V104" s="526">
        <f>IF(qtrSales!I106=0," ",qtrSales!I106)</f>
        <v>204</v>
      </c>
      <c r="X104" s="254">
        <f>H104/V104</f>
        <v>4.7892156862745097</v>
      </c>
      <c r="Z104" s="541">
        <f>X104/X97-1</f>
        <v>-1.8690772522817589E-2</v>
      </c>
      <c r="AB104" s="362">
        <f>qtrSales!Z106</f>
        <v>23.838000000000001</v>
      </c>
      <c r="AD104" s="1029">
        <f>H104/AB104*1000</f>
        <v>40984.981961573954</v>
      </c>
      <c r="AF104" s="756">
        <f>(AD104/AD97-1)*100</f>
        <v>3.9366363263834581</v>
      </c>
      <c r="AH104" s="759">
        <f>J104/(F104/(365/4))</f>
        <v>59.276166097838448</v>
      </c>
      <c r="AJ104" s="759">
        <f>H104/(F108/(365/4))</f>
        <v>64.369133574007222</v>
      </c>
      <c r="AL104" s="556">
        <f>INDEX('qtrP&amp;L'!$83:$83,MATCH(B100,'qtrP&amp;L'!$6:$6,0))</f>
        <v>406</v>
      </c>
      <c r="AM104" s="556">
        <f>INDEX('qtrP&amp;L'!$33:$33,MATCH(B100,'qtrP&amp;L'!$6:$6,0))</f>
        <v>2916</v>
      </c>
    </row>
    <row r="105" spans="1:39" x14ac:dyDescent="0.2">
      <c r="B105" s="607" t="s">
        <v>55</v>
      </c>
      <c r="C105" s="607"/>
      <c r="D105" s="256">
        <f>qtrSales!R107</f>
        <v>9310</v>
      </c>
      <c r="F105" s="256">
        <f>INDEX('qtrP&amp;L'!$44:$44,MATCH(B100,'qtrP&amp;L'!$6:$6,0))</f>
        <v>5897</v>
      </c>
      <c r="H105" s="256">
        <f>INDEX(wc!$13:$13,MATCH(B100,wc!$7:$7,0))</f>
        <v>977</v>
      </c>
      <c r="J105" s="256">
        <f>AVERAGE(J101:J104)</f>
        <v>1091.625</v>
      </c>
      <c r="L105" s="633">
        <f>(D105/D98-1)*100</f>
        <v>12.73916202470331</v>
      </c>
      <c r="R105" s="1033">
        <f>F105/J105</f>
        <v>5.4020382457345697</v>
      </c>
      <c r="S105" s="601" t="s">
        <v>118</v>
      </c>
      <c r="V105" s="536">
        <f>V104</f>
        <v>204</v>
      </c>
      <c r="AB105" s="362"/>
      <c r="AL105" s="256">
        <f>INDEX('qtrP&amp;L'!$84:$84,MATCH(B100,'qtrP&amp;L'!$6:$6,0))</f>
        <v>1118</v>
      </c>
      <c r="AM105" s="256">
        <f>INDEX('qtrP&amp;L'!$34:$34,MATCH(B100,'qtrP&amp;L'!$6:$6,0))</f>
        <v>9700</v>
      </c>
    </row>
    <row r="106" spans="1:39" x14ac:dyDescent="0.2">
      <c r="L106" s="633"/>
      <c r="AB106" s="1034"/>
    </row>
    <row r="107" spans="1:39" x14ac:dyDescent="0.2">
      <c r="B107" s="1028">
        <v>2011</v>
      </c>
      <c r="C107" s="1035"/>
      <c r="L107" s="633"/>
      <c r="AB107" s="1034"/>
      <c r="AH107" s="759"/>
    </row>
    <row r="108" spans="1:39" x14ac:dyDescent="0.2">
      <c r="A108" s="239" t="s">
        <v>92</v>
      </c>
      <c r="B108" s="239" t="s">
        <v>78</v>
      </c>
      <c r="D108" s="256">
        <f>qtrSales!R110</f>
        <v>2229</v>
      </c>
      <c r="F108" s="256">
        <f>INDEX('qtrP&amp;L'!$40:$40,MATCH(B107,'qtrP&amp;L'!$6:$6,0))</f>
        <v>1385</v>
      </c>
      <c r="H108" s="256">
        <f>INDEX(wc!$10:$10,MATCH(B107,wc!$7:$7,0))</f>
        <v>1149</v>
      </c>
      <c r="J108" s="256">
        <f>AVERAGE(H108,H104)</f>
        <v>1063</v>
      </c>
      <c r="L108" s="633">
        <f>(D108/D101-1)*100</f>
        <v>12.010050251256278</v>
      </c>
      <c r="M108" s="239" t="s">
        <v>90</v>
      </c>
      <c r="N108" s="756">
        <f>(H108/H101-1)*100</f>
        <v>7.6850984067478922</v>
      </c>
      <c r="O108" s="239" t="s">
        <v>90</v>
      </c>
      <c r="P108" s="756">
        <f>(H108/H104-1)*100</f>
        <v>17.604912998976463</v>
      </c>
      <c r="Q108" s="239" t="s">
        <v>90</v>
      </c>
      <c r="R108" s="596">
        <f>F108/J108</f>
        <v>1.3029162746942615</v>
      </c>
      <c r="S108" s="239" t="s">
        <v>118</v>
      </c>
      <c r="T108" s="596">
        <f>F109/H108</f>
        <v>1.4995648389904264</v>
      </c>
      <c r="V108" s="524">
        <f>IF(qtrSales!I110=0," ",qtrSales!I110)</f>
        <v>211</v>
      </c>
      <c r="X108" s="254">
        <f>H108/V108</f>
        <v>5.4454976303317535</v>
      </c>
      <c r="Z108" s="541">
        <f>X108/X101-1</f>
        <v>-2.0116640090256266E-2</v>
      </c>
      <c r="AB108" s="362">
        <f>qtrSales!Z110</f>
        <v>24.184000000000001</v>
      </c>
      <c r="AD108" s="1029">
        <f>H108/AB108*1000</f>
        <v>47510.750909692353</v>
      </c>
      <c r="AF108" s="756">
        <f>(AD108/AD101-1)*100</f>
        <v>3.6998948393463182</v>
      </c>
      <c r="AG108" s="239" t="s">
        <v>90</v>
      </c>
      <c r="AH108" s="759">
        <f>J108/(F108/(365/4))</f>
        <v>70.035198555956683</v>
      </c>
      <c r="AJ108" s="759">
        <f>H108/(F109/(365/4))</f>
        <v>60.850986651189793</v>
      </c>
      <c r="AL108" s="256">
        <f>INDEX('qtrP&amp;L'!$80:$80,MATCH(B107,'qtrP&amp;L'!$6:$6,0))</f>
        <v>272</v>
      </c>
      <c r="AM108" s="256">
        <f>INDEX('qtrP&amp;L'!$30:$30,MATCH(B107,'qtrP&amp;L'!$6:$6,0))</f>
        <v>2323</v>
      </c>
    </row>
    <row r="109" spans="1:39" x14ac:dyDescent="0.2">
      <c r="A109" s="239" t="s">
        <v>93</v>
      </c>
      <c r="B109" s="239" t="s">
        <v>79</v>
      </c>
      <c r="D109" s="362">
        <f>qtrSales!R111</f>
        <v>2716</v>
      </c>
      <c r="F109" s="362">
        <f>INDEX('qtrP&amp;L'!$41:$41,MATCH(B107,'qtrP&amp;L'!$6:$6,0))</f>
        <v>1723</v>
      </c>
      <c r="H109" s="362">
        <f>INDEX(wc!$11:$11,MATCH(B107,wc!$7:$7,0))</f>
        <v>1152</v>
      </c>
      <c r="J109" s="362">
        <f>AVERAGE(H109,H108)</f>
        <v>1150.5</v>
      </c>
      <c r="L109" s="633">
        <f>(D109/D102-1)*100</f>
        <v>12.370707488622257</v>
      </c>
      <c r="N109" s="756">
        <f>(H109/H102-1)*100</f>
        <v>9.1943127962085249</v>
      </c>
      <c r="P109" s="756">
        <f>(H109/H108-1)*100</f>
        <v>0.26109660574411553</v>
      </c>
      <c r="R109" s="596">
        <f>F109/J109</f>
        <v>1.4976097348978705</v>
      </c>
      <c r="T109" s="596">
        <f>F110/H109</f>
        <v>1.3116319444444444</v>
      </c>
      <c r="V109" s="524">
        <f>IF(qtrSales!I111=0," ",qtrSales!I111)</f>
        <v>214</v>
      </c>
      <c r="X109" s="254">
        <f>H109/V109</f>
        <v>5.3831775700934577</v>
      </c>
      <c r="Z109" s="541">
        <f>X109/X102-1</f>
        <v>-1.5210169641670768E-2</v>
      </c>
      <c r="AB109" s="362">
        <f>qtrSales!Z111</f>
        <v>24.297999999999998</v>
      </c>
      <c r="AD109" s="1029">
        <f>H109/AB109*1000</f>
        <v>47411.309572804348</v>
      </c>
      <c r="AF109" s="756">
        <f>(AD109/AD102-1)*100</f>
        <v>4.9025781381963673</v>
      </c>
      <c r="AH109" s="759">
        <f>J109/(F109/(365/4))</f>
        <v>60.930426581543827</v>
      </c>
      <c r="AJ109" s="759">
        <f>H109/(F110/(365/4))</f>
        <v>69.569821310390481</v>
      </c>
      <c r="AL109" s="362">
        <f>INDEX('qtrP&amp;L'!$81:$81,MATCH(B107,'qtrP&amp;L'!$6:$6,0))</f>
        <v>320</v>
      </c>
      <c r="AM109" s="362">
        <f>INDEX('qtrP&amp;L'!$31:$31,MATCH(B107,'qtrP&amp;L'!$6:$6,0))</f>
        <v>2810</v>
      </c>
    </row>
    <row r="110" spans="1:39" x14ac:dyDescent="0.2">
      <c r="A110" s="239" t="s">
        <v>94</v>
      </c>
      <c r="B110" s="239" t="s">
        <v>80</v>
      </c>
      <c r="D110" s="362">
        <f>qtrSales!R112</f>
        <v>2383</v>
      </c>
      <c r="F110" s="362">
        <f>INDEX('qtrP&amp;L'!$42:$42,MATCH(B107,'qtrP&amp;L'!$6:$6,0))</f>
        <v>1511</v>
      </c>
      <c r="H110" s="362">
        <f>INDEX(wc!$12:$12,MATCH(B107,wc!$7:$7,0))</f>
        <v>1507</v>
      </c>
      <c r="J110" s="362">
        <f>AVERAGE(H110,H109)</f>
        <v>1329.5</v>
      </c>
      <c r="L110" s="633">
        <f>(D110/D103-1)*100</f>
        <v>14.183037853378044</v>
      </c>
      <c r="N110" s="756">
        <f>(H110/H103-1)*100</f>
        <v>15.302218821729152</v>
      </c>
      <c r="P110" s="756">
        <f>(H110/H109-1)*100</f>
        <v>30.815972222222232</v>
      </c>
      <c r="R110" s="596">
        <f>F110/J110</f>
        <v>1.1365174877773598</v>
      </c>
      <c r="T110" s="596">
        <f>F111/H110</f>
        <v>1.3092236230922363</v>
      </c>
      <c r="V110" s="524">
        <f>IF(qtrSales!I112=0," ",qtrSales!I112)</f>
        <v>225</v>
      </c>
      <c r="X110" s="254">
        <f>H110/V110</f>
        <v>6.6977777777777776</v>
      </c>
      <c r="Z110" s="541">
        <f>X110/X103-1</f>
        <v>4.0282240924934154E-2</v>
      </c>
      <c r="AB110" s="362">
        <f>qtrSales!Z112</f>
        <v>24.744</v>
      </c>
      <c r="AD110" s="1029">
        <f>H110/AB110*1000</f>
        <v>60903.653410927902</v>
      </c>
      <c r="AF110" s="756">
        <f>(AD110/AD103-1)*100</f>
        <v>10.912682363190962</v>
      </c>
      <c r="AH110" s="759">
        <f>J110/(F110/(365/4))</f>
        <v>80.289129715420259</v>
      </c>
      <c r="AJ110" s="759">
        <f>H110/(F111/(365/4))</f>
        <v>69.69779523568171</v>
      </c>
      <c r="AL110" s="362">
        <f>INDEX('qtrP&amp;L'!$82:$82,MATCH(B107,'qtrP&amp;L'!$6:$6,0))</f>
        <v>240</v>
      </c>
      <c r="AM110" s="362">
        <f>INDEX('qtrP&amp;L'!$32:$32,MATCH(B107,'qtrP&amp;L'!$6:$6,0))</f>
        <v>2478</v>
      </c>
    </row>
    <row r="111" spans="1:39" x14ac:dyDescent="0.2">
      <c r="A111" s="239" t="s">
        <v>95</v>
      </c>
      <c r="B111" s="239" t="s">
        <v>81</v>
      </c>
      <c r="D111" s="556">
        <f>qtrSales!R113</f>
        <v>3169</v>
      </c>
      <c r="F111" s="556">
        <f>INDEX('qtrP&amp;L'!$43:$43,MATCH(B107,'qtrP&amp;L'!$6:$6,0))</f>
        <v>1973</v>
      </c>
      <c r="H111" s="556">
        <f>INDEX(wc!$13:$13,MATCH(B107,wc!$7:$7,0))</f>
        <v>1148</v>
      </c>
      <c r="J111" s="556">
        <f>AVERAGE(H111,H110)</f>
        <v>1327.5</v>
      </c>
      <c r="L111" s="1032">
        <f>(D111/D104-1)*100</f>
        <v>12.535511363636353</v>
      </c>
      <c r="N111" s="756">
        <f>(H111/H104-1)*100</f>
        <v>17.502558853633566</v>
      </c>
      <c r="P111" s="756">
        <f>(H111/H110-1)*100</f>
        <v>-23.822163238221627</v>
      </c>
      <c r="R111" s="596">
        <f>F111/J111</f>
        <v>1.4862523540489643</v>
      </c>
      <c r="T111" s="596">
        <f>F115/H111</f>
        <v>1.3797909407665505</v>
      </c>
      <c r="V111" s="526">
        <f>IF(qtrSales!I113=0," ",qtrSales!I113)</f>
        <v>225</v>
      </c>
      <c r="X111" s="254">
        <f>H111/V111</f>
        <v>5.1022222222222222</v>
      </c>
      <c r="Z111" s="541">
        <f>X111/X104-1</f>
        <v>6.53565336062778E-2</v>
      </c>
      <c r="AB111" s="362">
        <f>qtrSales!Z113</f>
        <v>24.744999999999997</v>
      </c>
      <c r="AD111" s="1029">
        <f>H111/AB111*1000</f>
        <v>46393.210749646401</v>
      </c>
      <c r="AF111" s="756">
        <f>(AD111/AD104-1)*100</f>
        <v>13.195635399188443</v>
      </c>
      <c r="AH111" s="759">
        <f>J111/(F111/(365/4))</f>
        <v>61.396033958438927</v>
      </c>
      <c r="AJ111" s="759">
        <f>H111/(F115/(365/4))</f>
        <v>66.133207070707073</v>
      </c>
      <c r="AL111" s="556">
        <f>INDEX('qtrP&amp;L'!$83:$83,MATCH(B107,'qtrP&amp;L'!$6:$6,0))</f>
        <v>417</v>
      </c>
      <c r="AM111" s="556">
        <f>INDEX('qtrP&amp;L'!$33:$33,MATCH(B107,'qtrP&amp;L'!$6:$6,0))</f>
        <v>3266</v>
      </c>
    </row>
    <row r="112" spans="1:39" x14ac:dyDescent="0.2">
      <c r="B112" s="607" t="s">
        <v>55</v>
      </c>
      <c r="C112" s="607"/>
      <c r="D112" s="256">
        <f>qtrSales!R114</f>
        <v>10497</v>
      </c>
      <c r="F112" s="256">
        <f>INDEX('qtrP&amp;L'!$44:$44,MATCH(B107,'qtrP&amp;L'!$6:$6,0))</f>
        <v>6592</v>
      </c>
      <c r="H112" s="256">
        <f>INDEX(wc!$13:$13,MATCH(B107,wc!$7:$7,0))</f>
        <v>1148</v>
      </c>
      <c r="J112" s="256">
        <f>AVERAGE(J108:J111)</f>
        <v>1217.625</v>
      </c>
      <c r="L112" s="633">
        <f>(D112/D105-1)*100</f>
        <v>12.749731471535974</v>
      </c>
      <c r="R112" s="1033">
        <f>F112/J112</f>
        <v>5.4138178831742119</v>
      </c>
      <c r="S112" s="601" t="s">
        <v>118</v>
      </c>
      <c r="V112" s="536">
        <f>V111</f>
        <v>225</v>
      </c>
      <c r="AB112" s="362"/>
      <c r="AL112" s="256">
        <f>INDEX('qtrP&amp;L'!$84:$84,MATCH(B107,'qtrP&amp;L'!$6:$6,0))</f>
        <v>1249</v>
      </c>
      <c r="AM112" s="256">
        <f>INDEX('qtrP&amp;L'!$34:$34,MATCH(B107,'qtrP&amp;L'!$6:$6,0))</f>
        <v>10877</v>
      </c>
    </row>
    <row r="113" spans="1:39" x14ac:dyDescent="0.2">
      <c r="L113" s="633"/>
      <c r="AB113" s="1034"/>
    </row>
    <row r="114" spans="1:39" x14ac:dyDescent="0.2">
      <c r="B114" s="1028">
        <v>2012</v>
      </c>
      <c r="C114" s="1035"/>
      <c r="L114" s="633"/>
      <c r="AB114" s="1034"/>
      <c r="AH114" s="759"/>
    </row>
    <row r="115" spans="1:39" x14ac:dyDescent="0.2">
      <c r="A115" s="239" t="s">
        <v>92</v>
      </c>
      <c r="B115" s="239" t="s">
        <v>78</v>
      </c>
      <c r="D115" s="256">
        <f>qtrSales!R117</f>
        <v>2535</v>
      </c>
      <c r="F115" s="256">
        <f>INDEX('qtrP&amp;L'!$40:$40,MATCH(B114,'qtrP&amp;L'!$6:$6,0))</f>
        <v>1584</v>
      </c>
      <c r="H115" s="256">
        <f>INDEX(wc!$10:$10,MATCH(B114,wc!$7:$7,0))</f>
        <v>1372</v>
      </c>
      <c r="J115" s="256">
        <f>AVERAGE(H115,H111)</f>
        <v>1260</v>
      </c>
      <c r="L115" s="633">
        <f>(D115/D108-1)*100</f>
        <v>13.728129205921945</v>
      </c>
      <c r="M115" s="239" t="s">
        <v>90</v>
      </c>
      <c r="N115" s="756">
        <f>(H115/H108-1)*100</f>
        <v>19.408181026979989</v>
      </c>
      <c r="O115" s="239" t="s">
        <v>90</v>
      </c>
      <c r="P115" s="756">
        <f>(H115/H111-1)*100</f>
        <v>19.512195121951216</v>
      </c>
      <c r="Q115" s="239" t="s">
        <v>90</v>
      </c>
      <c r="R115" s="596">
        <f>F115/J115</f>
        <v>1.2571428571428571</v>
      </c>
      <c r="S115" s="239" t="s">
        <v>118</v>
      </c>
      <c r="T115" s="596">
        <f>F116/H115</f>
        <v>1.369533527696793</v>
      </c>
      <c r="V115" s="524">
        <f>IF(qtrSales!I117=0," ",qtrSales!I117)</f>
        <v>229</v>
      </c>
      <c r="X115" s="254">
        <f>H115/V115</f>
        <v>5.9912663755458517</v>
      </c>
      <c r="Z115" s="541">
        <f>X115/X108-1</f>
        <v>0.10022385138396417</v>
      </c>
      <c r="AB115" s="362">
        <f>qtrSales!Z117</f>
        <v>24.898</v>
      </c>
      <c r="AD115" s="1029">
        <f>H115/AB115*1000</f>
        <v>55104.827697003777</v>
      </c>
      <c r="AF115" s="756">
        <f>(AD115/AD108-1)*100</f>
        <v>15.983912360690988</v>
      </c>
      <c r="AG115" s="239" t="s">
        <v>90</v>
      </c>
      <c r="AH115" s="759">
        <f>J115/(F115/(365/4))</f>
        <v>72.58522727272728</v>
      </c>
      <c r="AJ115" s="759">
        <f>H115/(F116/(365/4))</f>
        <v>66.628525811601918</v>
      </c>
      <c r="AL115" s="256">
        <f>INDEX('qtrP&amp;L'!$80:$80,MATCH(B114,'qtrP&amp;L'!$6:$6,0))</f>
        <v>280</v>
      </c>
      <c r="AM115" s="256">
        <f>INDEX('qtrP&amp;L'!$30:$30,MATCH(B114,'qtrP&amp;L'!$6:$6,0))</f>
        <v>2625</v>
      </c>
    </row>
    <row r="116" spans="1:39" x14ac:dyDescent="0.2">
      <c r="A116" s="239" t="s">
        <v>93</v>
      </c>
      <c r="B116" s="239" t="s">
        <v>79</v>
      </c>
      <c r="D116" s="362">
        <f>qtrSales!R118</f>
        <v>2918</v>
      </c>
      <c r="F116" s="362">
        <f>INDEX('qtrP&amp;L'!$41:$41,MATCH(B114,'qtrP&amp;L'!$6:$6,0))</f>
        <v>1879</v>
      </c>
      <c r="H116" s="362">
        <f>INDEX(wc!$11:$11,MATCH(B114,wc!$7:$7,0))</f>
        <v>1394</v>
      </c>
      <c r="J116" s="362">
        <f>AVERAGE(H116,H115)</f>
        <v>1383</v>
      </c>
      <c r="L116" s="633">
        <f>(D116/D109-1)*100</f>
        <v>7.4374079528718662</v>
      </c>
      <c r="N116" s="756">
        <f>(H116/H109-1)*100</f>
        <v>21.006944444444443</v>
      </c>
      <c r="P116" s="756">
        <f>(H116/H115-1)*100</f>
        <v>1.6034985422740622</v>
      </c>
      <c r="R116" s="596">
        <f>F116/J116</f>
        <v>1.3586406362979031</v>
      </c>
      <c r="T116" s="596">
        <f>F117/H116</f>
        <v>1.2410329985652797</v>
      </c>
      <c r="V116" s="524">
        <f>IF(qtrSales!I118=0," ",qtrSales!I118)</f>
        <v>231</v>
      </c>
      <c r="X116" s="254">
        <f>H116/V116</f>
        <v>6.0346320346320343</v>
      </c>
      <c r="Z116" s="541">
        <f>X116/X109-1</f>
        <v>0.12101671476671472</v>
      </c>
      <c r="AB116" s="362">
        <f>qtrSales!Z118</f>
        <v>24.974</v>
      </c>
      <c r="AD116" s="1029">
        <f>H116/AB116*1000</f>
        <v>55818.050772803719</v>
      </c>
      <c r="AF116" s="756">
        <f>(AD116/AD109-1)*100</f>
        <v>17.731510215068113</v>
      </c>
      <c r="AH116" s="759">
        <f>J116/(F116/(365/4))</f>
        <v>67.162719531665772</v>
      </c>
      <c r="AJ116" s="759">
        <f>H116/(F117/(365/4))</f>
        <v>73.527456647398836</v>
      </c>
      <c r="AL116" s="362">
        <f>INDEX('qtrP&amp;L'!$81:$81,MATCH(B114,'qtrP&amp;L'!$6:$6,0))</f>
        <v>290</v>
      </c>
      <c r="AM116" s="362">
        <f>INDEX('qtrP&amp;L'!$31:$31,MATCH(B114,'qtrP&amp;L'!$6:$6,0))</f>
        <v>3006</v>
      </c>
    </row>
    <row r="117" spans="1:39" x14ac:dyDescent="0.2">
      <c r="A117" s="239" t="s">
        <v>94</v>
      </c>
      <c r="B117" s="239" t="s">
        <v>80</v>
      </c>
      <c r="D117" s="362">
        <f>qtrSales!R119</f>
        <v>2713</v>
      </c>
      <c r="F117" s="362">
        <f>INDEX('qtrP&amp;L'!$42:$42,MATCH(B114,'qtrP&amp;L'!$6:$6,0))</f>
        <v>1730</v>
      </c>
      <c r="H117" s="362">
        <f>INDEX(wc!$12:$12,MATCH(B114,wc!$7:$7,0))</f>
        <v>1650</v>
      </c>
      <c r="I117" s="249"/>
      <c r="J117" s="362">
        <f>AVERAGE(H117,H116)</f>
        <v>1522</v>
      </c>
      <c r="K117" s="249"/>
      <c r="L117" s="633">
        <f>(D117/D110-1)*100</f>
        <v>13.84809064204784</v>
      </c>
      <c r="M117" s="249"/>
      <c r="N117" s="756">
        <f>(H117/H110-1)*100</f>
        <v>9.4890510948905096</v>
      </c>
      <c r="O117" s="249"/>
      <c r="P117" s="756">
        <f>(H117/H116-1)*100</f>
        <v>18.364418938307026</v>
      </c>
      <c r="R117" s="596">
        <f>F117/J117</f>
        <v>1.1366622864651774</v>
      </c>
      <c r="T117" s="596">
        <f>F118/H117</f>
        <v>1.3569696969696969</v>
      </c>
      <c r="V117" s="524">
        <f>IF(qtrSales!I119=0," ",qtrSales!I119)</f>
        <v>238</v>
      </c>
      <c r="X117" s="254">
        <f>H117/V117</f>
        <v>6.9327731092436977</v>
      </c>
      <c r="Z117" s="541">
        <f>X117/X110-1</f>
        <v>3.5085567073544821E-2</v>
      </c>
      <c r="AB117" s="362">
        <f>qtrSales!Z119</f>
        <v>25.213000000000001</v>
      </c>
      <c r="AD117" s="1029">
        <f>H117/AB117*1000</f>
        <v>65442.430492206397</v>
      </c>
      <c r="AF117" s="756">
        <f>(AD117/AD110-1)*100</f>
        <v>7.4523888586035314</v>
      </c>
      <c r="AH117" s="759">
        <f>J117/(F117/(365/4))</f>
        <v>80.278901734104039</v>
      </c>
      <c r="AJ117" s="759">
        <f>H117/(F118/(365/4))</f>
        <v>67.245422063421174</v>
      </c>
      <c r="AL117" s="362">
        <f>INDEX('qtrP&amp;L'!$82:$82,MATCH(B114,'qtrP&amp;L'!$6:$6,0))</f>
        <v>277</v>
      </c>
      <c r="AM117" s="362">
        <f>INDEX('qtrP&amp;L'!$32:$32,MATCH(B114,'qtrP&amp;L'!$6:$6,0))</f>
        <v>2805</v>
      </c>
    </row>
    <row r="118" spans="1:39" x14ac:dyDescent="0.2">
      <c r="A118" s="239" t="s">
        <v>95</v>
      </c>
      <c r="B118" s="239" t="s">
        <v>81</v>
      </c>
      <c r="D118" s="556">
        <f>qtrSales!R120</f>
        <v>3596</v>
      </c>
      <c r="F118" s="556">
        <f>INDEX('qtrP&amp;L'!$43:$43,MATCH(B114,'qtrP&amp;L'!$6:$6,0))</f>
        <v>2239</v>
      </c>
      <c r="H118" s="556">
        <f>INDEX(wc!$13:$13,MATCH(B114,wc!$7:$7,0))</f>
        <v>1360</v>
      </c>
      <c r="I118" s="249"/>
      <c r="J118" s="556">
        <f>AVERAGE(H118,H117)</f>
        <v>1505</v>
      </c>
      <c r="K118" s="249"/>
      <c r="L118" s="1032">
        <f>(D118/D111-1)*100</f>
        <v>13.474282107920477</v>
      </c>
      <c r="M118" s="249"/>
      <c r="N118" s="756">
        <f>(H118/H111-1)*100</f>
        <v>18.466898954703836</v>
      </c>
      <c r="O118" s="249"/>
      <c r="P118" s="756">
        <f>(H118/H117-1)*100</f>
        <v>-17.575757575757578</v>
      </c>
      <c r="R118" s="596">
        <f>F118/J118</f>
        <v>1.4877076411960133</v>
      </c>
      <c r="T118" s="596">
        <f>F122/H118</f>
        <v>1.2301470588235295</v>
      </c>
      <c r="V118" s="524">
        <f>IF(qtrSales!I120=0," ",qtrSales!I120)</f>
        <v>240</v>
      </c>
      <c r="X118" s="254">
        <f>H118/V118</f>
        <v>5.666666666666667</v>
      </c>
      <c r="Z118" s="541">
        <f>X118/X111-1</f>
        <v>0.11062717770034847</v>
      </c>
      <c r="AB118" s="362">
        <f>qtrSales!Z120</f>
        <v>25.29</v>
      </c>
      <c r="AD118" s="1029">
        <f>H118/AB118*1000</f>
        <v>53776.196124950577</v>
      </c>
      <c r="AF118" s="756">
        <f>(AD118/AD111-1)*100</f>
        <v>15.913934940061125</v>
      </c>
      <c r="AH118" s="759">
        <f>J118/(F118/(365/4))</f>
        <v>61.335975882090224</v>
      </c>
      <c r="AJ118" s="759">
        <f>H118/(F119/(365/4))</f>
        <v>16.698062432723358</v>
      </c>
      <c r="AL118" s="556">
        <f>INDEX('qtrP&amp;L'!$83:$83,MATCH(B114,'qtrP&amp;L'!$6:$6,0))</f>
        <v>498</v>
      </c>
      <c r="AM118" s="556">
        <f>INDEX('qtrP&amp;L'!$33:$33,MATCH(B114,'qtrP&amp;L'!$6:$6,0))</f>
        <v>3698</v>
      </c>
    </row>
    <row r="119" spans="1:39" x14ac:dyDescent="0.2">
      <c r="B119" s="607" t="s">
        <v>55</v>
      </c>
      <c r="C119" s="607"/>
      <c r="D119" s="256">
        <f>qtrSales!R121</f>
        <v>11762</v>
      </c>
      <c r="F119" s="256">
        <f>INDEX('qtrP&amp;L'!$44:$44,MATCH(B114,'qtrP&amp;L'!$6:$6,0))</f>
        <v>7432</v>
      </c>
      <c r="H119" s="256">
        <f>INDEX(wc!$13:$13,MATCH(B114,wc!$7:$7,0))</f>
        <v>1360</v>
      </c>
      <c r="I119" s="249"/>
      <c r="J119" s="256">
        <f>AVERAGE(J115:J118)</f>
        <v>1417.5</v>
      </c>
      <c r="K119" s="249"/>
      <c r="L119" s="633">
        <f>(D119/D112-1)*100</f>
        <v>12.051062208249984</v>
      </c>
      <c r="M119" s="249"/>
      <c r="N119" s="249"/>
      <c r="O119" s="249"/>
      <c r="P119" s="249"/>
      <c r="Q119" s="249"/>
      <c r="R119" s="1033">
        <f>F119/J119</f>
        <v>5.2430335097001768</v>
      </c>
      <c r="S119" s="601" t="s">
        <v>118</v>
      </c>
      <c r="T119" s="249"/>
      <c r="U119" s="249"/>
      <c r="V119" s="536"/>
      <c r="W119" s="249"/>
      <c r="X119" s="249"/>
      <c r="Y119" s="249"/>
      <c r="Z119" s="249"/>
      <c r="AA119" s="249"/>
      <c r="AB119" s="249"/>
      <c r="AC119" s="249"/>
      <c r="AD119" s="249"/>
      <c r="AE119" s="249"/>
      <c r="AF119" s="249"/>
      <c r="AG119" s="249"/>
      <c r="AH119" s="249"/>
      <c r="AI119" s="249"/>
      <c r="AJ119" s="249"/>
      <c r="AL119" s="256">
        <f>INDEX('qtrP&amp;L'!$84:$84,MATCH(B114,'qtrP&amp;L'!$6:$6,0))</f>
        <v>1345</v>
      </c>
      <c r="AM119" s="256">
        <f>INDEX('qtrP&amp;L'!$34:$34,MATCH(B114,'qtrP&amp;L'!$6:$6,0))</f>
        <v>12134</v>
      </c>
    </row>
    <row r="120" spans="1:39" x14ac:dyDescent="0.2">
      <c r="B120" s="1028"/>
      <c r="L120" s="633"/>
      <c r="R120" s="541"/>
      <c r="AB120" s="1034"/>
    </row>
    <row r="121" spans="1:39" x14ac:dyDescent="0.2">
      <c r="B121" s="1028">
        <v>2013</v>
      </c>
      <c r="C121" s="1035"/>
      <c r="L121" s="633"/>
      <c r="AB121" s="1034"/>
      <c r="AH121" s="759"/>
    </row>
    <row r="122" spans="1:39" x14ac:dyDescent="0.2">
      <c r="A122" s="239" t="s">
        <v>92</v>
      </c>
      <c r="B122" s="239" t="s">
        <v>78</v>
      </c>
      <c r="D122" s="256">
        <f>qtrSales!R124</f>
        <v>2657</v>
      </c>
      <c r="F122" s="256">
        <f>INDEX('qtrP&amp;L'!$40:$40,MATCH(B121,'qtrP&amp;L'!$6:$6,0))</f>
        <v>1673</v>
      </c>
      <c r="H122" s="256">
        <f>INDEX(wc!$10:$10,MATCH(B121,wc!$7:$7,0))</f>
        <v>1485</v>
      </c>
      <c r="J122" s="256">
        <f>AVERAGE(H122,H118)</f>
        <v>1422.5</v>
      </c>
      <c r="L122" s="633">
        <f>(D122/D115-1)*100</f>
        <v>4.8126232741617425</v>
      </c>
      <c r="M122" s="239" t="s">
        <v>90</v>
      </c>
      <c r="N122" s="756">
        <f>(H122/H115-1)*100</f>
        <v>8.2361516034985307</v>
      </c>
      <c r="O122" s="239" t="s">
        <v>90</v>
      </c>
      <c r="P122" s="756">
        <f>(H122/H118-1)*100</f>
        <v>9.1911764705882248</v>
      </c>
      <c r="Q122" s="239" t="s">
        <v>90</v>
      </c>
      <c r="R122" s="596">
        <f>F122/J122</f>
        <v>1.1760984182776801</v>
      </c>
      <c r="S122" s="239" t="s">
        <v>118</v>
      </c>
      <c r="T122" s="596">
        <f>F123/H122</f>
        <v>1.3494949494949495</v>
      </c>
      <c r="V122" s="524">
        <f>IF(qtrSales!I124=0," ",qtrSales!I124)</f>
        <v>245</v>
      </c>
      <c r="X122" s="254">
        <f>H122/V122</f>
        <v>6.0612244897959187</v>
      </c>
      <c r="Z122" s="541">
        <f>X122/X115-1</f>
        <v>1.1676682334741395E-2</v>
      </c>
      <c r="AB122" s="362">
        <f>qtrSales!Z124</f>
        <v>25.463000000000001</v>
      </c>
      <c r="AD122" s="1029">
        <f>H122/AB122*1000</f>
        <v>58319.91517103248</v>
      </c>
      <c r="AF122" s="756">
        <f>(AD122/AD115-1)*100</f>
        <v>5.8344932892395507</v>
      </c>
      <c r="AG122" s="239" t="s">
        <v>90</v>
      </c>
      <c r="AH122" s="759">
        <f>J122/(F122/(365/4))</f>
        <v>77.587044231918711</v>
      </c>
      <c r="AJ122" s="759">
        <f>H122/(F123/(365/4))</f>
        <v>67.617889221556879</v>
      </c>
      <c r="AL122" s="256">
        <f>INDEX('qtrP&amp;L'!$80:$80,MATCH(B121,'qtrP&amp;L'!$6:$6,0))</f>
        <v>275</v>
      </c>
      <c r="AM122" s="256">
        <f>INDEX('qtrP&amp;L'!$30:$30,MATCH(B121,'qtrP&amp;L'!$6:$6,0))</f>
        <v>2749</v>
      </c>
    </row>
    <row r="123" spans="1:39" x14ac:dyDescent="0.2">
      <c r="A123" s="239" t="s">
        <v>93</v>
      </c>
      <c r="B123" s="239" t="s">
        <v>79</v>
      </c>
      <c r="D123" s="362">
        <f>qtrSales!R125</f>
        <v>3104</v>
      </c>
      <c r="F123" s="362">
        <f>INDEX('qtrP&amp;L'!$41:$41,MATCH(B121,'qtrP&amp;L'!$6:$6,0))</f>
        <v>2004</v>
      </c>
      <c r="H123" s="362">
        <f>INDEX(wc!$11:$11,MATCH(B121,wc!$7:$7,0))</f>
        <v>1464</v>
      </c>
      <c r="J123" s="362">
        <f>AVERAGE(H123,H122)</f>
        <v>1474.5</v>
      </c>
      <c r="L123" s="633">
        <f>(D123/D116-1)*100</f>
        <v>6.3742289239204997</v>
      </c>
      <c r="N123" s="756">
        <f>(H123/H116-1)*100</f>
        <v>5.0215208034433356</v>
      </c>
      <c r="P123" s="756">
        <f>(H123/H122-1)*100</f>
        <v>-1.4141414141414121</v>
      </c>
      <c r="R123" s="596">
        <f>F123/J123</f>
        <v>1.3591047812817905</v>
      </c>
      <c r="T123" s="596">
        <f>F124/H123</f>
        <v>1.223360655737705</v>
      </c>
      <c r="V123" s="524">
        <f>IF(qtrSales!I125=0," ",qtrSales!I125)</f>
        <v>248</v>
      </c>
      <c r="X123" s="254">
        <f>H123/V123</f>
        <v>5.903225806451613</v>
      </c>
      <c r="Z123" s="541">
        <f>X123/X116-1</f>
        <v>-2.1775350580830244E-2</v>
      </c>
      <c r="AB123" s="362">
        <f>qtrSales!Z125</f>
        <v>25.567</v>
      </c>
      <c r="AD123" s="1029">
        <f>H123/AB123*1000</f>
        <v>57261.31341181993</v>
      </c>
      <c r="AF123" s="756">
        <f>(AD123/AD116-1)*100</f>
        <v>2.5856557494111199</v>
      </c>
      <c r="AH123" s="759">
        <f>J123/(F123/(365/4))</f>
        <v>67.13978293413173</v>
      </c>
      <c r="AJ123" s="759">
        <f>H123/(F124/(365/4))</f>
        <v>74.589614740368503</v>
      </c>
      <c r="AL123" s="362">
        <f>INDEX('qtrP&amp;L'!$81:$81,MATCH(B121,'qtrP&amp;L'!$6:$6,0))</f>
        <v>335</v>
      </c>
      <c r="AM123" s="362">
        <f>INDEX('qtrP&amp;L'!$31:$31,MATCH(B121,'qtrP&amp;L'!$6:$6,0))</f>
        <v>3196</v>
      </c>
    </row>
    <row r="124" spans="1:39" x14ac:dyDescent="0.2">
      <c r="A124" s="239" t="s">
        <v>94</v>
      </c>
      <c r="B124" s="239" t="s">
        <v>80</v>
      </c>
      <c r="D124" s="362">
        <f>qtrSales!R126</f>
        <v>2791</v>
      </c>
      <c r="F124" s="362">
        <f>INDEX('qtrP&amp;L'!$42:$42,MATCH(B121,'qtrP&amp;L'!$6:$6,0))</f>
        <v>1791</v>
      </c>
      <c r="H124" s="362">
        <f>INDEX(wc!$12:$12,MATCH(B121,wc!$7:$7,0))</f>
        <v>1795</v>
      </c>
      <c r="I124" s="249"/>
      <c r="J124" s="362">
        <f>AVERAGE(H124,H123)</f>
        <v>1629.5</v>
      </c>
      <c r="K124" s="249"/>
      <c r="L124" s="633">
        <f>(D124/D117-1)*100</f>
        <v>2.8750460744563222</v>
      </c>
      <c r="M124" s="249"/>
      <c r="N124" s="756">
        <f>(H124/H117-1)*100</f>
        <v>8.787878787878789</v>
      </c>
      <c r="O124" s="249"/>
      <c r="P124" s="756">
        <f>(H124/H123-1)*100</f>
        <v>22.60928961748634</v>
      </c>
      <c r="R124" s="596">
        <f>F124/J124</f>
        <v>1.0991101564897208</v>
      </c>
      <c r="T124" s="596">
        <f>F125/H124</f>
        <v>1.2640668523676881</v>
      </c>
      <c r="V124" s="524">
        <f>IF(qtrSales!I126=0," ",qtrSales!I126)</f>
        <v>257</v>
      </c>
      <c r="X124" s="254">
        <f>H124/V124</f>
        <v>6.9844357976653697</v>
      </c>
      <c r="Z124" s="541">
        <f>X124/X117-1</f>
        <v>7.4519514208228887E-3</v>
      </c>
      <c r="AB124" s="362">
        <f>qtrSales!Z126</f>
        <v>25.905999999999999</v>
      </c>
      <c r="AD124" s="1029">
        <f>H124/AB124*1000</f>
        <v>69288.967806685716</v>
      </c>
      <c r="AF124" s="756">
        <f>(AD124/AD117-1)*100</f>
        <v>5.8777421399980101</v>
      </c>
      <c r="AH124" s="759">
        <f>J124/(F124/(365/4))</f>
        <v>83.021705750977105</v>
      </c>
      <c r="AJ124" s="759">
        <f>H124/(F125/(365/4))</f>
        <v>72.187637725870431</v>
      </c>
      <c r="AL124" s="362">
        <f>INDEX('qtrP&amp;L'!$82:$82,MATCH(B121,'qtrP&amp;L'!$6:$6,0))</f>
        <v>253</v>
      </c>
      <c r="AM124" s="362">
        <f>INDEX('qtrP&amp;L'!$32:$32,MATCH(B121,'qtrP&amp;L'!$6:$6,0))</f>
        <v>2884</v>
      </c>
    </row>
    <row r="125" spans="1:39" x14ac:dyDescent="0.2">
      <c r="A125" s="239" t="s">
        <v>95</v>
      </c>
      <c r="B125" s="239" t="s">
        <v>81</v>
      </c>
      <c r="D125" s="556">
        <f>qtrSales!R127</f>
        <v>3614</v>
      </c>
      <c r="F125" s="556">
        <f>INDEX('qtrP&amp;L'!$43:$43,MATCH(B121,'qtrP&amp;L'!$6:$6,0))</f>
        <v>2269</v>
      </c>
      <c r="H125" s="556">
        <f>INDEX(wc!$13:$13,MATCH(B121,wc!$7:$7,0))</f>
        <v>1531</v>
      </c>
      <c r="I125" s="249"/>
      <c r="J125" s="556">
        <f>AVERAGE(H125,H124)</f>
        <v>1663</v>
      </c>
      <c r="K125" s="249"/>
      <c r="L125" s="1032">
        <f>(D125/D118-1)*100</f>
        <v>0.50055617352613435</v>
      </c>
      <c r="M125" s="249"/>
      <c r="N125" s="756">
        <f>(H125/H118-1)*100</f>
        <v>12.573529411764707</v>
      </c>
      <c r="O125" s="249"/>
      <c r="P125" s="756">
        <f>(H125/H124-1)*100</f>
        <v>-14.707520891364901</v>
      </c>
      <c r="R125" s="596">
        <f>F125/J125</f>
        <v>1.364401683704149</v>
      </c>
      <c r="T125" s="596">
        <f>F129/H125</f>
        <v>1.1900718484650554</v>
      </c>
      <c r="V125" s="524">
        <f>IF(qtrSales!I127=0," ",qtrSales!I127)</f>
        <v>260</v>
      </c>
      <c r="X125" s="254">
        <f>H125/V125</f>
        <v>5.8884615384615389</v>
      </c>
      <c r="Z125" s="541">
        <f>X125/X118-1</f>
        <v>3.9140271493212753E-2</v>
      </c>
      <c r="AB125" s="362">
        <f>qtrSales!Z127</f>
        <v>26.016999999999999</v>
      </c>
      <c r="AD125" s="1029">
        <f>H125/AB125*1000</f>
        <v>58846.139062920403</v>
      </c>
      <c r="AF125" s="756">
        <f>(AD125/AD118-1)*100</f>
        <v>9.4278571250924195</v>
      </c>
      <c r="AH125" s="759">
        <f>J125/(F125/(365/4))</f>
        <v>66.879131776112828</v>
      </c>
      <c r="AJ125" s="759">
        <f>H125/(F126/(365/4))</f>
        <v>18.056578777303866</v>
      </c>
      <c r="AL125" s="556">
        <f>INDEX('qtrP&amp;L'!$83:$83,MATCH(B121,'qtrP&amp;L'!$6:$6,0))</f>
        <v>487</v>
      </c>
      <c r="AM125" s="556">
        <f>INDEX('qtrP&amp;L'!$33:$33,MATCH(B121,'qtrP&amp;L'!$6:$6,0))</f>
        <v>3711</v>
      </c>
    </row>
    <row r="126" spans="1:39" x14ac:dyDescent="0.2">
      <c r="B126" s="607" t="s">
        <v>55</v>
      </c>
      <c r="C126" s="607"/>
      <c r="D126" s="256">
        <f>qtrSales!R128</f>
        <v>12166</v>
      </c>
      <c r="F126" s="256">
        <f>INDEX('qtrP&amp;L'!$44:$44,MATCH(B121,'qtrP&amp;L'!$6:$6,0))</f>
        <v>7737</v>
      </c>
      <c r="H126" s="256">
        <f>INDEX(wc!$13:$13,MATCH(B121,wc!$7:$7,0))</f>
        <v>1531</v>
      </c>
      <c r="I126" s="249"/>
      <c r="J126" s="256">
        <f>AVERAGE(J122:J125)</f>
        <v>1547.375</v>
      </c>
      <c r="K126" s="249"/>
      <c r="L126" s="633">
        <f>(D126/D119-1)*100</f>
        <v>3.4347900017003941</v>
      </c>
      <c r="M126" s="249"/>
      <c r="N126" s="249"/>
      <c r="O126" s="249"/>
      <c r="P126" s="249"/>
      <c r="Q126" s="249"/>
      <c r="R126" s="1033">
        <f>F126/J126</f>
        <v>5.0000807819694648</v>
      </c>
      <c r="S126" s="601" t="s">
        <v>118</v>
      </c>
      <c r="T126" s="249"/>
      <c r="U126" s="249"/>
      <c r="V126" s="536"/>
      <c r="W126" s="249"/>
      <c r="X126" s="249"/>
      <c r="Y126" s="249"/>
      <c r="Z126" s="249"/>
      <c r="AA126" s="249"/>
      <c r="AB126" s="249"/>
      <c r="AC126" s="249"/>
      <c r="AD126" s="249"/>
      <c r="AE126" s="249"/>
      <c r="AF126" s="249"/>
      <c r="AG126" s="249"/>
      <c r="AH126" s="249"/>
      <c r="AI126" s="249"/>
      <c r="AJ126" s="249"/>
      <c r="AL126" s="256">
        <f>INDEX('qtrP&amp;L'!$84:$84,MATCH(B121,'qtrP&amp;L'!$6:$6,0))</f>
        <v>1350</v>
      </c>
      <c r="AM126" s="256">
        <f>INDEX('qtrP&amp;L'!$34:$34,MATCH(B121,'qtrP&amp;L'!$6:$6,0))</f>
        <v>12540</v>
      </c>
    </row>
    <row r="127" spans="1:39" x14ac:dyDescent="0.2">
      <c r="L127" s="633"/>
      <c r="R127" s="541"/>
      <c r="AB127" s="1034"/>
    </row>
    <row r="128" spans="1:39" x14ac:dyDescent="0.2">
      <c r="B128" s="1028">
        <v>2014</v>
      </c>
      <c r="C128" s="1035"/>
      <c r="L128" s="633"/>
      <c r="AB128" s="1034"/>
      <c r="AH128" s="759"/>
    </row>
    <row r="129" spans="1:39" x14ac:dyDescent="0.2">
      <c r="A129" s="239" t="s">
        <v>92</v>
      </c>
      <c r="B129" s="239" t="s">
        <v>78</v>
      </c>
      <c r="D129" s="256">
        <f>qtrSales!R131</f>
        <v>2837</v>
      </c>
      <c r="F129" s="256">
        <f>INDEX('qtrP&amp;L'!$40:$40,MATCH(B128,'qtrP&amp;L'!$6:$6,0))</f>
        <v>1822</v>
      </c>
      <c r="H129" s="256">
        <f>INDEX(wc!$10:$10,MATCH(B128,wc!$7:$7,0))</f>
        <v>1698</v>
      </c>
      <c r="J129" s="256">
        <f>AVERAGE(H129,H125)</f>
        <v>1614.5</v>
      </c>
      <c r="L129" s="633">
        <f>(D129/D122-1)*100</f>
        <v>6.7745577719232175</v>
      </c>
      <c r="M129" s="239" t="s">
        <v>90</v>
      </c>
      <c r="N129" s="756">
        <f>(H129/H122-1)*100</f>
        <v>14.343434343434346</v>
      </c>
      <c r="O129" s="239" t="s">
        <v>90</v>
      </c>
      <c r="P129" s="756">
        <f>(H129/H125-1)*100</f>
        <v>10.907903331156099</v>
      </c>
      <c r="Q129" s="239" t="s">
        <v>90</v>
      </c>
      <c r="R129" s="596">
        <f>F129/J129</f>
        <v>1.1285227624651595</v>
      </c>
      <c r="S129" s="239" t="s">
        <v>118</v>
      </c>
      <c r="T129" s="596">
        <f>F130/H129</f>
        <v>1.2544169611307421</v>
      </c>
      <c r="V129" s="524">
        <f>IF(qtrSales!I131=0," ",qtrSales!I131)</f>
        <v>270</v>
      </c>
      <c r="X129" s="254">
        <f>H129/V129</f>
        <v>6.2888888888888888</v>
      </c>
      <c r="Z129" s="541">
        <f>X129/X122-1</f>
        <v>3.7560793116348634E-2</v>
      </c>
      <c r="AB129" s="362">
        <f>qtrSales!Z131</f>
        <v>26.407</v>
      </c>
      <c r="AD129" s="1029">
        <f>H129/AB129*1000</f>
        <v>64301.132275533004</v>
      </c>
      <c r="AF129" s="756">
        <f>(AD129/AD122-1)*100</f>
        <v>10.255874150296073</v>
      </c>
      <c r="AG129" s="239" t="s">
        <v>90</v>
      </c>
      <c r="AH129" s="759">
        <f>J129/(F129/(365/4))</f>
        <v>80.857917124039517</v>
      </c>
      <c r="AJ129" s="759">
        <f>H129/(F130/(365/4))</f>
        <v>72.742957746478865</v>
      </c>
      <c r="AL129" s="256">
        <f>INDEX('qtrP&amp;L'!$80:$80,MATCH(B128,'qtrP&amp;L'!$6:$6,0))</f>
        <v>265</v>
      </c>
      <c r="AM129" s="256">
        <f>INDEX('qtrP&amp;L'!$30:$30,MATCH(B128,'qtrP&amp;L'!$6:$6,0))</f>
        <v>2931</v>
      </c>
    </row>
    <row r="130" spans="1:39" x14ac:dyDescent="0.2">
      <c r="A130" s="239" t="s">
        <v>93</v>
      </c>
      <c r="B130" s="239" t="s">
        <v>79</v>
      </c>
      <c r="D130" s="362">
        <f>qtrSales!R132</f>
        <v>3296</v>
      </c>
      <c r="F130" s="362">
        <f>INDEX('qtrP&amp;L'!$41:$41,MATCH(B128,'qtrP&amp;L'!$6:$6,0))</f>
        <v>2130</v>
      </c>
      <c r="H130" s="362">
        <f>INDEX(wc!$11:$11,MATCH(B128,wc!$7:$7,0))</f>
        <v>1805</v>
      </c>
      <c r="J130" s="362">
        <f>AVERAGE(H130,H129)</f>
        <v>1751.5</v>
      </c>
      <c r="L130" s="633">
        <f>(D130/D123-1)*100</f>
        <v>6.1855670103092786</v>
      </c>
      <c r="N130" s="756">
        <f>(H130/H123-1)*100</f>
        <v>23.292349726775964</v>
      </c>
      <c r="P130" s="756">
        <f>(H130/H129-1)*100</f>
        <v>6.3015312131919909</v>
      </c>
      <c r="R130" s="596">
        <f>F130/J130</f>
        <v>1.2161004852983157</v>
      </c>
      <c r="T130" s="596">
        <f>F131/H130</f>
        <v>1.0864265927977839</v>
      </c>
      <c r="V130" s="524">
        <f>IF(qtrSales!I132=0," ",qtrSales!I132)</f>
        <v>271</v>
      </c>
      <c r="X130" s="254">
        <f>H130/V130</f>
        <v>6.6605166051660518</v>
      </c>
      <c r="Z130" s="541">
        <f>X130/X123-1</f>
        <v>0.1282842336620087</v>
      </c>
      <c r="AB130" s="362">
        <f>qtrSales!Z132</f>
        <v>26.442</v>
      </c>
      <c r="AD130" s="1029">
        <f>H130/AB130*1000</f>
        <v>68262.612510400111</v>
      </c>
      <c r="AF130" s="756">
        <f>(AD130/AD123-1)*100</f>
        <v>19.212446315122911</v>
      </c>
      <c r="AH130" s="759">
        <f>J130/(F130/(365/4))</f>
        <v>75.034917840375584</v>
      </c>
      <c r="AJ130" s="759">
        <f>H130/(F131/(365/4))</f>
        <v>83.990948495665478</v>
      </c>
      <c r="AL130" s="362">
        <f>INDEX('qtrP&amp;L'!$81:$81,MATCH(B128,'qtrP&amp;L'!$6:$6,0))</f>
        <v>331</v>
      </c>
      <c r="AM130" s="362">
        <f>INDEX('qtrP&amp;L'!$31:$31,MATCH(B128,'qtrP&amp;L'!$6:$6,0))</f>
        <v>3392</v>
      </c>
    </row>
    <row r="131" spans="1:39" x14ac:dyDescent="0.2">
      <c r="A131" s="239" t="s">
        <v>94</v>
      </c>
      <c r="B131" s="239" t="s">
        <v>80</v>
      </c>
      <c r="D131" s="362">
        <f>qtrSales!R133</f>
        <v>3040</v>
      </c>
      <c r="F131" s="362">
        <f>INDEX('qtrP&amp;L'!$42:$42,MATCH(B128,'qtrP&amp;L'!$6:$6,0))</f>
        <v>1961</v>
      </c>
      <c r="H131" s="362">
        <f>INDEX(wc!$12:$12,MATCH(B128,wc!$7:$7,0))</f>
        <v>2228</v>
      </c>
      <c r="I131" s="249"/>
      <c r="J131" s="362">
        <f>AVERAGE(H131,H130)</f>
        <v>2016.5</v>
      </c>
      <c r="K131" s="249"/>
      <c r="L131" s="633">
        <f>(D131/D124-1)*100</f>
        <v>8.9215335005374374</v>
      </c>
      <c r="M131" s="249"/>
      <c r="N131" s="756">
        <f>(H131/H124-1)*100</f>
        <v>24.122562674094716</v>
      </c>
      <c r="O131" s="249"/>
      <c r="P131" s="756">
        <f>(H131/H130-1)*100</f>
        <v>23.434903047091417</v>
      </c>
      <c r="R131" s="596">
        <f>F131/J131</f>
        <v>0.97247706422018354</v>
      </c>
      <c r="T131" s="596">
        <f>F132/H131</f>
        <v>1.1193895870736086</v>
      </c>
      <c r="V131" s="524">
        <f>IF(qtrSales!I133=0," ",qtrSales!I133)</f>
        <v>293</v>
      </c>
      <c r="X131" s="254">
        <f>H131/V131</f>
        <v>7.6040955631399321</v>
      </c>
      <c r="Z131" s="541">
        <f>X131/X124-1</f>
        <v>8.8720088984380219E-2</v>
      </c>
      <c r="AB131" s="362">
        <f>qtrSales!Z133</f>
        <v>27.271999999999998</v>
      </c>
      <c r="AD131" s="1029">
        <f>H131/AB131*1000</f>
        <v>81695.511880316815</v>
      </c>
      <c r="AF131" s="756">
        <f>(AD131/AD124-1)*100</f>
        <v>17.905511463592603</v>
      </c>
      <c r="AH131" s="759">
        <f>J131/(F131/(365/4))</f>
        <v>93.83254716981132</v>
      </c>
      <c r="AJ131" s="759">
        <f>H131/(F132/(365/4))</f>
        <v>81.51764234161989</v>
      </c>
      <c r="AL131" s="362">
        <f>INDEX('qtrP&amp;L'!$82:$82,MATCH(B128,'qtrP&amp;L'!$6:$6,0))</f>
        <v>262</v>
      </c>
      <c r="AM131" s="362">
        <f>INDEX('qtrP&amp;L'!$32:$32,MATCH(B128,'qtrP&amp;L'!$6:$6,0))</f>
        <v>3140</v>
      </c>
    </row>
    <row r="132" spans="1:39" x14ac:dyDescent="0.2">
      <c r="A132" s="239" t="s">
        <v>95</v>
      </c>
      <c r="B132" s="239" t="s">
        <v>81</v>
      </c>
      <c r="D132" s="556">
        <f>qtrSales!R134</f>
        <v>3938</v>
      </c>
      <c r="F132" s="556">
        <f>INDEX('qtrP&amp;L'!$43:$43,MATCH(B128,'qtrP&amp;L'!$6:$6,0))</f>
        <v>2494</v>
      </c>
      <c r="H132" s="556">
        <f>INDEX(wc!$13:$13,MATCH(B128,wc!$7:$7,0))</f>
        <v>1733</v>
      </c>
      <c r="I132" s="249"/>
      <c r="J132" s="556">
        <f>AVERAGE(H132,H131)</f>
        <v>1980.5</v>
      </c>
      <c r="K132" s="249"/>
      <c r="L132" s="1032">
        <f>(D132/D125-1)*100</f>
        <v>8.9651355838406221</v>
      </c>
      <c r="M132" s="249"/>
      <c r="N132" s="756">
        <f>(H132/H125-1)*100</f>
        <v>13.193990855649895</v>
      </c>
      <c r="O132" s="249"/>
      <c r="P132" s="756">
        <f>(H132/H131-1)*100</f>
        <v>-22.217235188509875</v>
      </c>
      <c r="R132" s="596">
        <f>F132/J132</f>
        <v>1.2592779601110831</v>
      </c>
      <c r="T132" s="596">
        <f>F136/H132</f>
        <v>1.1534910559723024</v>
      </c>
      <c r="V132" s="524">
        <f>IF(qtrSales!I134=0," ",qtrSales!I134)</f>
        <v>292</v>
      </c>
      <c r="X132" s="254">
        <f>H132/V132</f>
        <v>5.9349315068493151</v>
      </c>
      <c r="Z132" s="541">
        <f>X132/X125-1</f>
        <v>7.8916993996223095E-3</v>
      </c>
      <c r="AB132" s="362">
        <f>qtrSales!Z134</f>
        <v>27.061</v>
      </c>
      <c r="AD132" s="1029">
        <f>H132/AB132*1000</f>
        <v>64040.501090129706</v>
      </c>
      <c r="AF132" s="756">
        <f>(AD132/AD125-1)*100</f>
        <v>8.827022655904937</v>
      </c>
      <c r="AH132" s="759">
        <f>J132/(F132/(365/4))</f>
        <v>72.462159182036885</v>
      </c>
      <c r="AJ132" s="759">
        <f>H132/(F133/(365/4))</f>
        <v>18.810068990127274</v>
      </c>
      <c r="AL132" s="556">
        <f>INDEX('qtrP&amp;L'!$83:$83,MATCH(B128,'qtrP&amp;L'!$6:$6,0))</f>
        <v>465</v>
      </c>
      <c r="AM132" s="556">
        <f>INDEX('qtrP&amp;L'!$33:$33,MATCH(B128,'qtrP&amp;L'!$6:$6,0))</f>
        <v>4043</v>
      </c>
    </row>
    <row r="133" spans="1:39" x14ac:dyDescent="0.2">
      <c r="B133" s="607" t="s">
        <v>55</v>
      </c>
      <c r="C133" s="607"/>
      <c r="D133" s="256">
        <f>qtrSales!R135</f>
        <v>13111</v>
      </c>
      <c r="F133" s="256">
        <f>INDEX('qtrP&amp;L'!$44:$44,MATCH(B128,'qtrP&amp;L'!$6:$6,0))</f>
        <v>8407</v>
      </c>
      <c r="H133" s="256">
        <f>INDEX(wc!$13:$13,MATCH(B128,wc!$7:$7,0))</f>
        <v>1733</v>
      </c>
      <c r="I133" s="249"/>
      <c r="J133" s="256">
        <f>AVERAGE(J129:J132)</f>
        <v>1840.75</v>
      </c>
      <c r="K133" s="249"/>
      <c r="L133" s="633">
        <f>(D133/D126-1)*100</f>
        <v>7.7675489067894121</v>
      </c>
      <c r="M133" s="249"/>
      <c r="N133" s="249"/>
      <c r="O133" s="249"/>
      <c r="P133" s="249"/>
      <c r="Q133" s="249"/>
      <c r="R133" s="1033">
        <f>F133/J133</f>
        <v>4.5671601249490701</v>
      </c>
      <c r="S133" s="601" t="s">
        <v>118</v>
      </c>
      <c r="T133" s="249"/>
      <c r="U133" s="249"/>
      <c r="V133" s="536"/>
      <c r="W133" s="249"/>
      <c r="X133" s="249"/>
      <c r="Y133" s="249"/>
      <c r="Z133" s="249"/>
      <c r="AA133" s="249"/>
      <c r="AB133" s="249"/>
      <c r="AC133" s="249"/>
      <c r="AD133" s="249"/>
      <c r="AE133" s="249"/>
      <c r="AF133" s="249"/>
      <c r="AG133" s="249"/>
      <c r="AH133" s="249"/>
      <c r="AI133" s="249"/>
      <c r="AJ133" s="249"/>
      <c r="AL133" s="256">
        <f>INDEX('qtrP&amp;L'!$84:$84,MATCH(B128,'qtrP&amp;L'!$6:$6,0))</f>
        <v>1323</v>
      </c>
      <c r="AM133" s="256">
        <f>INDEX('qtrP&amp;L'!$34:$34,MATCH(B128,'qtrP&amp;L'!$6:$6,0))</f>
        <v>13506</v>
      </c>
    </row>
    <row r="134" spans="1:39" x14ac:dyDescent="0.2">
      <c r="L134" s="633"/>
      <c r="R134" s="541"/>
      <c r="AB134" s="1034"/>
    </row>
    <row r="135" spans="1:39" x14ac:dyDescent="0.2">
      <c r="B135" s="1037">
        <v>2015</v>
      </c>
      <c r="C135" s="1035"/>
      <c r="L135" s="633"/>
      <c r="AB135" s="1034"/>
      <c r="AH135" s="759"/>
    </row>
    <row r="136" spans="1:39" x14ac:dyDescent="0.2">
      <c r="A136" s="239" t="s">
        <v>92</v>
      </c>
      <c r="B136" s="239" t="s">
        <v>78</v>
      </c>
      <c r="D136" s="256">
        <f>qtrSales!R138</f>
        <v>3115</v>
      </c>
      <c r="F136" s="256">
        <f>INDEX('qtrP&amp;L'!$40:$40,MATCH(B135,'qtrP&amp;L'!$6:$6,0))</f>
        <v>1999</v>
      </c>
      <c r="H136" s="256">
        <f>INDEX(wc!$10:$10,MATCH(B135,wc!$7:$7,0))</f>
        <v>2017</v>
      </c>
      <c r="J136" s="256">
        <f>AVERAGE(H136,H132)</f>
        <v>1875</v>
      </c>
      <c r="L136" s="633">
        <f>(D136/D129-1)*100</f>
        <v>9.7990835389496045</v>
      </c>
      <c r="M136" s="239" t="s">
        <v>90</v>
      </c>
      <c r="N136" s="756">
        <f>(H136/H129-1)*100</f>
        <v>18.786808009422849</v>
      </c>
      <c r="O136" s="239" t="s">
        <v>90</v>
      </c>
      <c r="P136" s="756">
        <f>(H136/H132-1)*100</f>
        <v>16.387766878245813</v>
      </c>
      <c r="Q136" s="239" t="s">
        <v>90</v>
      </c>
      <c r="R136" s="596">
        <f>F136/J136</f>
        <v>1.0661333333333334</v>
      </c>
      <c r="S136" s="239" t="s">
        <v>118</v>
      </c>
      <c r="T136" s="596">
        <f>F137/H136</f>
        <v>1.1536936043629151</v>
      </c>
      <c r="V136" s="524">
        <f>IF(qtrSales!I138=0," ",qtrSales!I138)</f>
        <v>303</v>
      </c>
      <c r="X136" s="254">
        <f>H136/V136</f>
        <v>6.6567656765676571</v>
      </c>
      <c r="Z136" s="541">
        <f>X136/X129-1</f>
        <v>5.8496308994857138E-2</v>
      </c>
      <c r="AB136" s="362">
        <f>qtrSales!Z138</f>
        <v>27.52</v>
      </c>
      <c r="AD136" s="1029">
        <f>H136/AB136*1000</f>
        <v>73292.151162790702</v>
      </c>
      <c r="AF136" s="756">
        <f>(AD136/AD129-1)*100</f>
        <v>13.982675839565029</v>
      </c>
      <c r="AG136" s="239" t="s">
        <v>90</v>
      </c>
      <c r="AH136" s="759">
        <f>J136/(F136/(365/4))</f>
        <v>85.589669834917459</v>
      </c>
      <c r="AJ136" s="759">
        <f>H136/(F137/(365/4))</f>
        <v>79.093790287924364</v>
      </c>
      <c r="AL136" s="256">
        <f>INDEX('qtrP&amp;L'!$80:$80,MATCH(B135,'qtrP&amp;L'!$6:$6,0))</f>
        <v>245</v>
      </c>
      <c r="AM136" s="256">
        <f>INDEX('qtrP&amp;L'!$30:$30,MATCH(B135,'qtrP&amp;L'!$6:$6,0))</f>
        <v>3215</v>
      </c>
    </row>
    <row r="137" spans="1:39" x14ac:dyDescent="0.2">
      <c r="A137" s="239" t="s">
        <v>93</v>
      </c>
      <c r="B137" s="239" t="s">
        <v>79</v>
      </c>
      <c r="D137" s="362">
        <f>qtrSales!R139</f>
        <v>3598</v>
      </c>
      <c r="F137" s="362">
        <f>INDEX('qtrP&amp;L'!$41:$41,MATCH(B135,'qtrP&amp;L'!$6:$6,0))</f>
        <v>2327</v>
      </c>
      <c r="H137" s="362">
        <f>INDEX(wc!$11:$11,MATCH(B135,wc!$7:$7,0))</f>
        <v>2004</v>
      </c>
      <c r="J137" s="362">
        <f>AVERAGE(H137,H136)</f>
        <v>2010.5</v>
      </c>
      <c r="L137" s="633">
        <f>(D137/D130-1)*100</f>
        <v>9.1626213592232997</v>
      </c>
      <c r="N137" s="756">
        <f>(H137/H130-1)*100</f>
        <v>11.024930747922435</v>
      </c>
      <c r="P137" s="756">
        <f>(H137/H136-1)*100</f>
        <v>-0.64452156668319827</v>
      </c>
      <c r="R137" s="596">
        <f>F137/J137</f>
        <v>1.1574235264859487</v>
      </c>
      <c r="T137" s="596">
        <f>F138/H137</f>
        <v>1.0688622754491017</v>
      </c>
      <c r="V137" s="524">
        <f>IF(qtrSales!I139=0," ",qtrSales!I139)</f>
        <v>304</v>
      </c>
      <c r="X137" s="254">
        <f>H137/V137</f>
        <v>6.5921052631578947</v>
      </c>
      <c r="Z137" s="541">
        <f>X137/X130-1</f>
        <v>-1.0271176556349348E-2</v>
      </c>
      <c r="AB137" s="362">
        <f>qtrSales!Z139</f>
        <v>27.556000000000001</v>
      </c>
      <c r="AD137" s="1029">
        <f>H137/AB137*1000</f>
        <v>72724.633473653652</v>
      </c>
      <c r="AF137" s="756">
        <f>(AD137/AD130-1)*100</f>
        <v>6.5365517069446044</v>
      </c>
      <c r="AH137" s="759">
        <f>J137/(F137/(365/4))</f>
        <v>78.838902019767943</v>
      </c>
      <c r="AJ137" s="759">
        <f>H137/(F138/(365/4))</f>
        <v>85.371148459383761</v>
      </c>
      <c r="AL137" s="362">
        <f>INDEX('qtrP&amp;L'!$81:$81,MATCH(B135,'qtrP&amp;L'!$6:$6,0))</f>
        <v>326</v>
      </c>
      <c r="AM137" s="362">
        <f>INDEX('qtrP&amp;L'!$31:$31,MATCH(B135,'qtrP&amp;L'!$6:$6,0))</f>
        <v>3701</v>
      </c>
    </row>
    <row r="138" spans="1:39" x14ac:dyDescent="0.2">
      <c r="A138" s="239" t="s">
        <v>94</v>
      </c>
      <c r="B138" s="239" t="s">
        <v>80</v>
      </c>
      <c r="D138" s="362">
        <f>qtrSales!R140</f>
        <v>3239</v>
      </c>
      <c r="F138" s="362">
        <f>INDEX('qtrP&amp;L'!$42:$42,MATCH(B135,'qtrP&amp;L'!$6:$6,0))</f>
        <v>2142</v>
      </c>
      <c r="H138" s="362">
        <f>INDEX(wc!$12:$12,MATCH(B135,wc!$7:$7,0))</f>
        <v>2402</v>
      </c>
      <c r="I138" s="249"/>
      <c r="J138" s="362">
        <f>AVERAGE(H138,H137)</f>
        <v>2203</v>
      </c>
      <c r="K138" s="249"/>
      <c r="L138" s="633">
        <f>(D138/D131-1)*100</f>
        <v>6.5460526315789469</v>
      </c>
      <c r="M138" s="249"/>
      <c r="N138" s="756">
        <f>(H138/H131-1)*100</f>
        <v>7.8096947935368144</v>
      </c>
      <c r="O138" s="249"/>
      <c r="P138" s="756">
        <f>(H138/H137-1)*100</f>
        <v>19.860279441117768</v>
      </c>
      <c r="R138" s="596">
        <f>F138/J138</f>
        <v>0.9723104857013164</v>
      </c>
      <c r="T138" s="596">
        <f>F139/H138</f>
        <v>1.1240632805995003</v>
      </c>
      <c r="V138" s="524">
        <f>IF(qtrSales!I140=0," ",qtrSales!I140)</f>
        <v>323</v>
      </c>
      <c r="X138" s="254">
        <f>H138/V138</f>
        <v>7.4365325077399378</v>
      </c>
      <c r="Z138" s="541">
        <f>X138/X131-1</f>
        <v>-2.2035895526121285E-2</v>
      </c>
      <c r="AB138" s="362">
        <f>qtrSales!Z140</f>
        <v>28.61</v>
      </c>
      <c r="AD138" s="1029">
        <f>H138/AB138*1000</f>
        <v>83956.65851101013</v>
      </c>
      <c r="AF138" s="756">
        <f>(AD138/AD131-1)*100</f>
        <v>2.7677733802633719</v>
      </c>
      <c r="AH138" s="759">
        <f>J138/(F138/(365/4))</f>
        <v>93.848622782446313</v>
      </c>
      <c r="AJ138" s="759">
        <f>H138/(F139/(365/4))</f>
        <v>81.178703703703704</v>
      </c>
      <c r="AL138" s="362">
        <f>INDEX('qtrP&amp;L'!$82:$82,MATCH(B135,'qtrP&amp;L'!$6:$6,0))</f>
        <v>186</v>
      </c>
      <c r="AM138" s="362">
        <f>INDEX('qtrP&amp;L'!$32:$32,MATCH(B135,'qtrP&amp;L'!$6:$6,0))</f>
        <v>3327</v>
      </c>
    </row>
    <row r="139" spans="1:39" x14ac:dyDescent="0.2">
      <c r="A139" s="239" t="s">
        <v>95</v>
      </c>
      <c r="B139" s="239" t="s">
        <v>81</v>
      </c>
      <c r="D139" s="556">
        <f>qtrSales!R141</f>
        <v>4143</v>
      </c>
      <c r="F139" s="556">
        <f>INDEX('qtrP&amp;L'!$43:$43,MATCH(B135,'qtrP&amp;L'!$6:$6,0))</f>
        <v>2700</v>
      </c>
      <c r="H139" s="556">
        <f>INDEX(wc!$13:$13,MATCH(B135,wc!$7:$7,0))</f>
        <v>1945</v>
      </c>
      <c r="I139" s="249"/>
      <c r="J139" s="556">
        <f>AVERAGE(H139,H138)</f>
        <v>2173.5</v>
      </c>
      <c r="K139" s="249"/>
      <c r="L139" s="1032">
        <f>(D139/D132-1)*100</f>
        <v>5.2056881665820232</v>
      </c>
      <c r="M139" s="249"/>
      <c r="N139" s="756">
        <f>(H139/H132-1)*100</f>
        <v>12.233121754183497</v>
      </c>
      <c r="O139" s="249"/>
      <c r="P139" s="756">
        <f>(H139/H138-1)*100</f>
        <v>-19.025811823480431</v>
      </c>
      <c r="R139" s="596">
        <f>F139/J139</f>
        <v>1.2422360248447204</v>
      </c>
      <c r="T139" s="596">
        <f>F143/H139</f>
        <v>1.0796915167095116</v>
      </c>
      <c r="V139" s="524">
        <f>IF(qtrSales!I141=0," ",qtrSales!I141)</f>
        <v>323</v>
      </c>
      <c r="X139" s="254">
        <f>H139/V139</f>
        <v>6.0216718266253872</v>
      </c>
      <c r="Z139" s="541">
        <f>X139/X132-1</f>
        <v>1.4615218335033431E-2</v>
      </c>
      <c r="AB139" s="362">
        <f>qtrSales!Z141</f>
        <v>28.61</v>
      </c>
      <c r="AD139" s="1029">
        <f>H139/AB139*1000</f>
        <v>67983.222649423289</v>
      </c>
      <c r="AF139" s="756">
        <f>(AD139/AD132-1)*100</f>
        <v>6.156606354070604</v>
      </c>
      <c r="AH139" s="759">
        <f>J139/(F139/(365/4))</f>
        <v>73.456249999999997</v>
      </c>
      <c r="AJ139" s="759">
        <f>H139/(F140/(365/4))</f>
        <v>19.358775087260035</v>
      </c>
      <c r="AL139" s="556">
        <f>INDEX('qtrP&amp;L'!$83:$83,MATCH(B135,'qtrP&amp;L'!$6:$6,0))</f>
        <v>372</v>
      </c>
      <c r="AM139" s="556">
        <f>INDEX('qtrP&amp;L'!$33:$33,MATCH(B135,'qtrP&amp;L'!$6:$6,0))</f>
        <v>4194</v>
      </c>
    </row>
    <row r="140" spans="1:39" x14ac:dyDescent="0.2">
      <c r="B140" s="607" t="s">
        <v>55</v>
      </c>
      <c r="C140" s="607"/>
      <c r="D140" s="256">
        <f>qtrSales!R142</f>
        <v>14095</v>
      </c>
      <c r="F140" s="256">
        <f>INDEX('qtrP&amp;L'!$44:$44,MATCH(B135,'qtrP&amp;L'!$6:$6,0))</f>
        <v>9168</v>
      </c>
      <c r="H140" s="256">
        <f>INDEX(wc!$13:$13,MATCH(B135,wc!$7:$7,0))</f>
        <v>1945</v>
      </c>
      <c r="I140" s="249"/>
      <c r="J140" s="256">
        <f>AVERAGE(J136:J139)</f>
        <v>2065.5</v>
      </c>
      <c r="K140" s="249"/>
      <c r="L140" s="633">
        <f>(D140/D133-1)*100</f>
        <v>7.5051483487148296</v>
      </c>
      <c r="M140" s="249"/>
      <c r="N140" s="249"/>
      <c r="O140" s="249"/>
      <c r="P140" s="249"/>
      <c r="Q140" s="249"/>
      <c r="R140" s="1033">
        <f>F140/J140</f>
        <v>4.4386347131445172</v>
      </c>
      <c r="S140" s="601" t="s">
        <v>118</v>
      </c>
      <c r="T140" s="249"/>
      <c r="U140" s="249"/>
      <c r="V140" s="536"/>
      <c r="W140" s="249"/>
      <c r="X140" s="249"/>
      <c r="Y140" s="249"/>
      <c r="Z140" s="249"/>
      <c r="AA140" s="249"/>
      <c r="AB140" s="249"/>
      <c r="AC140" s="249"/>
      <c r="AD140" s="249"/>
      <c r="AE140" s="249"/>
      <c r="AF140" s="249"/>
      <c r="AG140" s="249"/>
      <c r="AH140" s="249"/>
      <c r="AI140" s="249"/>
      <c r="AJ140" s="249"/>
      <c r="AL140" s="256">
        <f>INDEX('qtrP&amp;L'!$84:$84,MATCH(B135,'qtrP&amp;L'!$6:$6,0))</f>
        <v>1129</v>
      </c>
      <c r="AM140" s="256">
        <f>INDEX('qtrP&amp;L'!$34:$34,MATCH(B135,'qtrP&amp;L'!$6:$6,0))</f>
        <v>14437</v>
      </c>
    </row>
    <row r="141" spans="1:39" x14ac:dyDescent="0.2">
      <c r="B141" s="607"/>
      <c r="C141" s="607"/>
      <c r="D141" s="755"/>
      <c r="F141" s="755"/>
      <c r="L141" s="633"/>
      <c r="R141" s="286"/>
      <c r="S141" s="249"/>
      <c r="AL141" s="755"/>
    </row>
    <row r="142" spans="1:39" x14ac:dyDescent="0.2">
      <c r="B142" s="1028">
        <v>2016</v>
      </c>
      <c r="C142" s="1035"/>
      <c r="L142" s="633"/>
      <c r="AB142" s="1034"/>
      <c r="AH142" s="759"/>
    </row>
    <row r="143" spans="1:39" x14ac:dyDescent="0.2">
      <c r="A143" s="239" t="s">
        <v>92</v>
      </c>
      <c r="B143" s="239" t="s">
        <v>78</v>
      </c>
      <c r="D143" s="256">
        <f>qtrSales!R145</f>
        <v>3192</v>
      </c>
      <c r="F143" s="256">
        <f>INDEX('qtrP&amp;L'!$40:$40,MATCH(B142,'qtrP&amp;L'!$6:$6,0))</f>
        <v>2100</v>
      </c>
      <c r="H143" s="256">
        <f>INDEX(wc!$10:$10,MATCH(B142,wc!$7:$7,0))</f>
        <v>2125</v>
      </c>
      <c r="J143" s="256">
        <f>AVERAGE(H143,H139)</f>
        <v>2035</v>
      </c>
      <c r="L143" s="633">
        <f>(D143/D136-1)*100</f>
        <v>2.4719101123595433</v>
      </c>
      <c r="M143" s="239" t="s">
        <v>90</v>
      </c>
      <c r="N143" s="756">
        <f>(H143/H136-1)*100</f>
        <v>5.3544868616757668</v>
      </c>
      <c r="O143" s="239" t="s">
        <v>90</v>
      </c>
      <c r="P143" s="756">
        <f>(H143/H139-1)*100</f>
        <v>9.2544987146529589</v>
      </c>
      <c r="Q143" s="239" t="s">
        <v>90</v>
      </c>
      <c r="R143" s="596">
        <f>F143/J143</f>
        <v>1.031941031941032</v>
      </c>
      <c r="S143" s="239" t="s">
        <v>118</v>
      </c>
      <c r="T143" s="596">
        <f>F144/H143</f>
        <v>1.1096470588235294</v>
      </c>
      <c r="V143" s="524">
        <f>IF(qtrSales!I145=0," ",qtrSales!I145)</f>
        <v>330</v>
      </c>
      <c r="X143" s="254">
        <f>H143/V143</f>
        <v>6.4393939393939394</v>
      </c>
      <c r="Z143" s="541">
        <f>X143/X136-1</f>
        <v>-3.2654256997340814E-2</v>
      </c>
      <c r="AB143" s="362">
        <f>qtrSales!Z145</f>
        <v>28.771999999999998</v>
      </c>
      <c r="AD143" s="1029">
        <f>H143/AB143*1000</f>
        <v>73856.527179202007</v>
      </c>
      <c r="AF143" s="756">
        <f>(AD143/AD136-1)*100</f>
        <v>0.77003609180164023</v>
      </c>
      <c r="AG143" s="239" t="s">
        <v>90</v>
      </c>
      <c r="AH143" s="759">
        <f>J143/(F143/(365/4))</f>
        <v>88.425595238095241</v>
      </c>
      <c r="AJ143" s="759">
        <f>H143/(F144/(365/4))</f>
        <v>82.23335453774385</v>
      </c>
      <c r="AL143" s="256">
        <f>INDEX('qtrP&amp;L'!$80:$80,MATCH(B142,'qtrP&amp;L'!$6:$6,0))</f>
        <v>106</v>
      </c>
      <c r="AM143" s="256">
        <f>INDEX('qtrP&amp;L'!$30:$30,MATCH(B142,'qtrP&amp;L'!$6:$6,0))</f>
        <v>3249</v>
      </c>
    </row>
    <row r="144" spans="1:39" x14ac:dyDescent="0.2">
      <c r="A144" s="239" t="s">
        <v>93</v>
      </c>
      <c r="B144" s="239" t="s">
        <v>79</v>
      </c>
      <c r="D144" s="362">
        <f>qtrSales!R146</f>
        <v>3592</v>
      </c>
      <c r="F144" s="362">
        <f>INDEX('qtrP&amp;L'!$41:$41,MATCH(B142,'qtrP&amp;L'!$6:$6,0))</f>
        <v>2358</v>
      </c>
      <c r="H144" s="362">
        <f>INDEX(wc!$11:$11,MATCH(B142,wc!$7:$7,0))</f>
        <v>2032</v>
      </c>
      <c r="J144" s="362">
        <f>AVERAGE(H144,H143)</f>
        <v>2078.5</v>
      </c>
      <c r="L144" s="633">
        <f>(D144/D137-1)*100</f>
        <v>-0.16675931072818173</v>
      </c>
      <c r="N144" s="756">
        <f>(H144/H137-1)*100</f>
        <v>1.3972055888223478</v>
      </c>
      <c r="P144" s="756">
        <f>(H144/H143-1)*100</f>
        <v>-4.3764705882352928</v>
      </c>
      <c r="R144" s="596">
        <f>F144/J144</f>
        <v>1.1344719749819581</v>
      </c>
      <c r="T144" s="596">
        <f>F145/H144</f>
        <v>1.1126968503937007</v>
      </c>
      <c r="V144" s="524">
        <f>IF(qtrSales!I146=0," ",qtrSales!I146)</f>
        <v>329</v>
      </c>
      <c r="X144" s="254">
        <f>H144/V144</f>
        <v>6.1762917933130703</v>
      </c>
      <c r="Z144" s="541">
        <f>X144/X137-1</f>
        <v>-6.3077492431550253E-2</v>
      </c>
      <c r="AB144" s="362">
        <f>qtrSales!Z146</f>
        <v>28.826000000000001</v>
      </c>
      <c r="AD144" s="1029">
        <f>H144/AB144*1000</f>
        <v>70491.917019357526</v>
      </c>
      <c r="AF144" s="756">
        <f>(AD144/AD137-1)*100</f>
        <v>-3.0700965376538991</v>
      </c>
      <c r="AH144" s="759">
        <f>J144/(F144/(365/4))</f>
        <v>80.433895250212046</v>
      </c>
      <c r="AJ144" s="759">
        <f>H144/(F145/(365/4))</f>
        <v>82.00796107916851</v>
      </c>
      <c r="AL144" s="362">
        <f>INDEX('qtrP&amp;L'!$81:$81,MATCH(B142,'qtrP&amp;L'!$6:$6,0))</f>
        <v>221</v>
      </c>
      <c r="AM144" s="362">
        <f>INDEX('qtrP&amp;L'!$31:$31,MATCH(B142,'qtrP&amp;L'!$6:$6,0))</f>
        <v>3651</v>
      </c>
    </row>
    <row r="145" spans="1:39" x14ac:dyDescent="0.2">
      <c r="A145" s="239" t="s">
        <v>94</v>
      </c>
      <c r="B145" s="239" t="s">
        <v>80</v>
      </c>
      <c r="D145" s="362">
        <f>qtrSales!R147</f>
        <v>3472</v>
      </c>
      <c r="F145" s="362">
        <f>INDEX('qtrP&amp;L'!$42:$42,MATCH(B142,'qtrP&amp;L'!$6:$6,0))</f>
        <v>2261</v>
      </c>
      <c r="H145" s="362">
        <f>INDEX(wc!$12:$12,MATCH(B142,wc!$7:$7,0))</f>
        <v>2411</v>
      </c>
      <c r="I145" s="249"/>
      <c r="J145" s="362">
        <f>AVERAGE(H145,H144)</f>
        <v>2221.5</v>
      </c>
      <c r="K145" s="249"/>
      <c r="L145" s="633">
        <f>(D145/D138-1)*100</f>
        <v>7.1935782648965718</v>
      </c>
      <c r="M145" s="249"/>
      <c r="N145" s="756">
        <f>(H145/H138-1)*100</f>
        <v>0.37468776019984329</v>
      </c>
      <c r="O145" s="249"/>
      <c r="P145" s="756">
        <f>(H145/H144-1)*100</f>
        <v>18.651574803149607</v>
      </c>
      <c r="R145" s="596">
        <f>F145/J145</f>
        <v>1.0177807787530948</v>
      </c>
      <c r="T145" s="596">
        <f>F146/H145</f>
        <v>1.1281625881377022</v>
      </c>
      <c r="V145" s="524">
        <f>IF(qtrSales!I147=0," ",qtrSales!I147)</f>
        <v>348</v>
      </c>
      <c r="X145" s="254">
        <f>H145/V145</f>
        <v>6.9281609195402298</v>
      </c>
      <c r="Z145" s="541">
        <f>X145/X138-1</f>
        <v>-6.836137509929463E-2</v>
      </c>
      <c r="AB145" s="362">
        <f>qtrSales!Z147</f>
        <v>29.783000000000001</v>
      </c>
      <c r="AD145" s="1029">
        <f>H145/AB145*1000</f>
        <v>80952.221065708625</v>
      </c>
      <c r="AF145" s="756">
        <f>(AD145/AD138-1)*100</f>
        <v>-3.5785576731921731</v>
      </c>
      <c r="AH145" s="759">
        <f>J145/(F145/(365/4))</f>
        <v>89.655849181777981</v>
      </c>
      <c r="AJ145" s="759">
        <f>H145/(F146/(365/4))</f>
        <v>80.883731617647058</v>
      </c>
      <c r="AL145" s="362">
        <f>INDEX('qtrP&amp;L'!$82:$82,MATCH(B142,'qtrP&amp;L'!$6:$6,0))</f>
        <v>252</v>
      </c>
      <c r="AM145" s="362">
        <f>INDEX('qtrP&amp;L'!$32:$32,MATCH(B142,'qtrP&amp;L'!$6:$6,0))</f>
        <v>3542</v>
      </c>
    </row>
    <row r="146" spans="1:39" x14ac:dyDescent="0.2">
      <c r="A146" s="239" t="s">
        <v>95</v>
      </c>
      <c r="B146" s="239" t="s">
        <v>81</v>
      </c>
      <c r="D146" s="556">
        <f>qtrSales!R148</f>
        <v>4243</v>
      </c>
      <c r="F146" s="556">
        <f>INDEX('qtrP&amp;L'!$43:$43,MATCH(B142,'qtrP&amp;L'!$6:$6,0))</f>
        <v>2720</v>
      </c>
      <c r="H146" s="556">
        <f>INDEX(wc!$13:$13,MATCH(B142,wc!$7:$7,0))</f>
        <v>1896</v>
      </c>
      <c r="I146" s="249"/>
      <c r="J146" s="556">
        <f>AVERAGE(H146,H145)</f>
        <v>2153.5</v>
      </c>
      <c r="K146" s="249"/>
      <c r="L146" s="1032">
        <f>(D146/D139-1)*100</f>
        <v>2.4137098720733663</v>
      </c>
      <c r="M146" s="249"/>
      <c r="N146" s="756">
        <f>(H146/H139-1)*100</f>
        <v>-2.5192802056555275</v>
      </c>
      <c r="O146" s="249"/>
      <c r="P146" s="756">
        <f>(H146/H145-1)*100</f>
        <v>-21.360431356283705</v>
      </c>
      <c r="R146" s="596">
        <f>F146/J146</f>
        <v>1.2630601346644996</v>
      </c>
      <c r="T146" s="596">
        <f>F150/H146</f>
        <v>1.1366033755274261</v>
      </c>
      <c r="V146" s="524">
        <f>IF(qtrSales!I148=0," ",qtrSales!I148)</f>
        <v>349</v>
      </c>
      <c r="X146" s="254">
        <f>H146/V146</f>
        <v>5.4326647564469912</v>
      </c>
      <c r="Z146" s="541">
        <f>X146/X139-1</f>
        <v>-9.781454173142512E-2</v>
      </c>
      <c r="AB146" s="362">
        <f>qtrSales!Z148</f>
        <v>29.792000000000002</v>
      </c>
      <c r="AD146" s="1029">
        <f>H146/AB146*1000</f>
        <v>63641.24597207304</v>
      </c>
      <c r="AF146" s="756">
        <f>(AD146/AD139-1)*100</f>
        <v>-6.3868356164005435</v>
      </c>
      <c r="AH146" s="759">
        <f>J146/(F146/(365/4))</f>
        <v>72.245174632352942</v>
      </c>
      <c r="AJ146" s="759">
        <f>H146/(F147/(365/4))</f>
        <v>18.329272168661934</v>
      </c>
      <c r="AL146" s="556">
        <f>INDEX('qtrP&amp;L'!$83:$83,MATCH(B142,'qtrP&amp;L'!$6:$6,0))</f>
        <v>424</v>
      </c>
      <c r="AM146" s="556">
        <f>INDEX('qtrP&amp;L'!$33:$33,MATCH(B142,'qtrP&amp;L'!$6:$6,0))</f>
        <v>4316</v>
      </c>
    </row>
    <row r="147" spans="1:39" x14ac:dyDescent="0.2">
      <c r="B147" s="607" t="s">
        <v>55</v>
      </c>
      <c r="C147" s="607"/>
      <c r="D147" s="256">
        <f>qtrSales!R149</f>
        <v>14499</v>
      </c>
      <c r="F147" s="256">
        <f>INDEX('qtrP&amp;L'!$44:$44,MATCH(B142,'qtrP&amp;L'!$6:$6,0))</f>
        <v>9439</v>
      </c>
      <c r="H147" s="256">
        <f>INDEX(wc!$13:$13,MATCH(B142,wc!$7:$7,0))</f>
        <v>1896</v>
      </c>
      <c r="I147" s="249"/>
      <c r="J147" s="256">
        <f>AVERAGE(J143:J146)</f>
        <v>2122.125</v>
      </c>
      <c r="K147" s="249"/>
      <c r="L147" s="633">
        <f>(D147/D140-1)*100</f>
        <v>2.8662646328485364</v>
      </c>
      <c r="M147" s="249"/>
      <c r="N147" s="249"/>
      <c r="O147" s="249"/>
      <c r="P147" s="249"/>
      <c r="Q147" s="249"/>
      <c r="R147" s="1033">
        <f>F147/J147</f>
        <v>4.4479001001354774</v>
      </c>
      <c r="S147" s="601" t="s">
        <v>118</v>
      </c>
      <c r="T147" s="249"/>
      <c r="U147" s="249"/>
      <c r="V147" s="536"/>
      <c r="W147" s="249"/>
      <c r="X147" s="249"/>
      <c r="Y147" s="249"/>
      <c r="Z147" s="249"/>
      <c r="AA147" s="249"/>
      <c r="AB147" s="249"/>
      <c r="AC147" s="249"/>
      <c r="AD147" s="249"/>
      <c r="AE147" s="249"/>
      <c r="AF147" s="249"/>
      <c r="AG147" s="249"/>
      <c r="AH147" s="249"/>
      <c r="AI147" s="249"/>
      <c r="AJ147" s="249"/>
      <c r="AL147" s="256">
        <f>INDEX('qtrP&amp;L'!$84:$84,MATCH(B142,'qtrP&amp;L'!$6:$6,0))</f>
        <v>1003</v>
      </c>
      <c r="AM147" s="256">
        <f>INDEX('qtrP&amp;L'!$34:$34,MATCH(B142,'qtrP&amp;L'!$6:$6,0))</f>
        <v>14758</v>
      </c>
    </row>
    <row r="148" spans="1:39" x14ac:dyDescent="0.2">
      <c r="B148" s="607"/>
      <c r="C148" s="607"/>
      <c r="D148" s="755"/>
      <c r="F148" s="755"/>
      <c r="L148" s="633"/>
      <c r="R148" s="286"/>
      <c r="S148" s="249"/>
      <c r="AL148" s="755"/>
    </row>
    <row r="149" spans="1:39" x14ac:dyDescent="0.2">
      <c r="B149" s="1028">
        <v>2017</v>
      </c>
      <c r="C149" s="1035"/>
      <c r="L149" s="633"/>
      <c r="AB149" s="1034"/>
      <c r="AH149" s="759"/>
    </row>
    <row r="150" spans="1:39" x14ac:dyDescent="0.2">
      <c r="A150" s="239" t="s">
        <v>92</v>
      </c>
      <c r="B150" s="239" t="s">
        <v>78</v>
      </c>
      <c r="D150" s="256">
        <f>qtrSales!R152</f>
        <v>3279</v>
      </c>
      <c r="F150" s="256">
        <f>INDEX('qtrP&amp;L'!$40:$40,MATCH(B149,'qtrP&amp;L'!$6:$6,0))</f>
        <v>2155</v>
      </c>
      <c r="H150" s="362">
        <f>INDEX(wc!$10:$10,MATCH(B149,wc!$7:$7,0))</f>
        <v>2160</v>
      </c>
      <c r="J150" s="256">
        <f>AVERAGE(H150,H146)</f>
        <v>2028</v>
      </c>
      <c r="L150" s="633">
        <f>(D150/D143-1)*100</f>
        <v>2.7255639097744311</v>
      </c>
      <c r="M150" s="239" t="s">
        <v>90</v>
      </c>
      <c r="N150" s="756">
        <f>(H150/H143-1)*100</f>
        <v>1.6470588235294015</v>
      </c>
      <c r="O150" s="239" t="s">
        <v>90</v>
      </c>
      <c r="P150" s="756">
        <f>(H150/H146-1)*100</f>
        <v>13.924050632911399</v>
      </c>
      <c r="Q150" s="239" t="s">
        <v>90</v>
      </c>
      <c r="R150" s="596">
        <f>F150/J150</f>
        <v>1.0626232741617356</v>
      </c>
      <c r="S150" s="239" t="s">
        <v>118</v>
      </c>
      <c r="T150" s="596">
        <f>F151/H150</f>
        <v>1.1347222222222222</v>
      </c>
      <c r="V150" s="524">
        <f>IF(qtrSales!I152=0," ",qtrSales!I152)</f>
        <v>353</v>
      </c>
      <c r="X150" s="254">
        <f>H150/V150</f>
        <v>6.118980169971671</v>
      </c>
      <c r="Z150" s="541">
        <f>X150/X143-1</f>
        <v>-4.9758373604399275E-2</v>
      </c>
      <c r="AB150" s="362">
        <f>qtrSales!Z152</f>
        <v>29.763999999999999</v>
      </c>
      <c r="AD150" s="1029">
        <f>H150/AB150*1000</f>
        <v>72570.891009272949</v>
      </c>
      <c r="AF150" s="756">
        <f>(AD150/AD143-1)*100</f>
        <v>-1.7407211238211207</v>
      </c>
      <c r="AG150" s="239" t="s">
        <v>90</v>
      </c>
      <c r="AH150" s="759">
        <f>J150/(F150/(365/4))</f>
        <v>85.872389791183295</v>
      </c>
      <c r="AJ150" s="759">
        <f>H150/(F151/(365/4))</f>
        <v>80.416156670746631</v>
      </c>
      <c r="AL150" s="256">
        <f>INDEX('qtrP&amp;L'!$80:$80,MATCH(B149,'qtrP&amp;L'!$6:$6,0))</f>
        <v>151</v>
      </c>
      <c r="AM150" s="256">
        <f>INDEX('qtrP&amp;L'!$30:$30,MATCH(B149,'qtrP&amp;L'!$6:$6,0))</f>
        <v>3354</v>
      </c>
    </row>
    <row r="151" spans="1:39" x14ac:dyDescent="0.2">
      <c r="A151" s="239" t="s">
        <v>93</v>
      </c>
      <c r="B151" s="239" t="s">
        <v>79</v>
      </c>
      <c r="D151" s="362">
        <f>qtrSales!R153</f>
        <v>3717</v>
      </c>
      <c r="F151" s="362">
        <f>INDEX('qtrP&amp;L'!$41:$41,MATCH(B149,'qtrP&amp;L'!$6:$6,0))</f>
        <v>2451</v>
      </c>
      <c r="H151" s="362">
        <f>INDEX(wc!$11:$11,MATCH(B149,wc!$7:$7,0))</f>
        <v>2077</v>
      </c>
      <c r="J151" s="362">
        <f>AVERAGE(H151,H150)</f>
        <v>2118.5</v>
      </c>
      <c r="L151" s="633">
        <f>(D151/D144-1)*100</f>
        <v>3.4799554565701607</v>
      </c>
      <c r="N151" s="756">
        <f>(H151/H144-1)*100</f>
        <v>2.2145669291338654</v>
      </c>
      <c r="P151" s="756">
        <f>(H151/H150-1)*100</f>
        <v>-3.8425925925925974</v>
      </c>
      <c r="R151" s="596">
        <f>F151/J151</f>
        <v>1.1569506726457399</v>
      </c>
      <c r="T151" s="596">
        <f>F152/H151</f>
        <v>1.1145883485796821</v>
      </c>
      <c r="V151" s="524">
        <f>IF(qtrSales!I153=0," ",qtrSales!I153)</f>
        <v>354</v>
      </c>
      <c r="X151" s="254">
        <f>H151/V151</f>
        <v>5.8672316384180787</v>
      </c>
      <c r="Z151" s="541">
        <f>X151/X144-1</f>
        <v>-5.0039759330931188E-2</v>
      </c>
      <c r="AB151" s="362">
        <f>qtrSales!Z153</f>
        <v>29.803000000000001</v>
      </c>
      <c r="AD151" s="1029">
        <f>H151/AB151*1000</f>
        <v>69690.970707646877</v>
      </c>
      <c r="AF151" s="756">
        <f>(AD151/AD144-1)*100</f>
        <v>-1.1362243297918906</v>
      </c>
      <c r="AH151" s="759">
        <f>J151/(F151/(365/4))</f>
        <v>78.871124031007753</v>
      </c>
      <c r="AJ151" s="759">
        <f>H151/(F152/(365/4))</f>
        <v>81.868790496760255</v>
      </c>
      <c r="AL151" s="362">
        <f>INDEX('qtrP&amp;L'!$81:$81,MATCH(B149,'qtrP&amp;L'!$6:$6,0))</f>
        <v>217</v>
      </c>
      <c r="AM151" s="362">
        <f>INDEX('qtrP&amp;L'!$31:$31,MATCH(B149,'qtrP&amp;L'!$6:$6,0))</f>
        <v>3793</v>
      </c>
    </row>
    <row r="152" spans="1:39" x14ac:dyDescent="0.2">
      <c r="A152" s="239" t="s">
        <v>94</v>
      </c>
      <c r="B152" s="239" t="s">
        <v>80</v>
      </c>
      <c r="D152" s="362">
        <f>qtrSales!R154</f>
        <v>3541</v>
      </c>
      <c r="F152" s="362">
        <f>INDEX('qtrP&amp;L'!$42:$42,MATCH(B149,'qtrP&amp;L'!$6:$6,0))</f>
        <v>2315</v>
      </c>
      <c r="H152" s="362">
        <f>INDEX(wc!$12:$12,MATCH(B149,wc!$7:$7,0))</f>
        <v>2434</v>
      </c>
      <c r="I152" s="249"/>
      <c r="J152" s="362">
        <f>AVERAGE(H152,H151)</f>
        <v>2255.5</v>
      </c>
      <c r="K152" s="249"/>
      <c r="L152" s="633">
        <f>(D152/D145-1)*100</f>
        <v>1.9873271889401023</v>
      </c>
      <c r="M152" s="249"/>
      <c r="N152" s="756">
        <f>(H152/H145-1)*100</f>
        <v>0.95396101202820383</v>
      </c>
      <c r="O152" s="249"/>
      <c r="P152" s="756">
        <f>(H152/H151-1)*100</f>
        <v>17.188252286952334</v>
      </c>
      <c r="R152" s="596">
        <f>F152/J152</f>
        <v>1.0263799600975394</v>
      </c>
      <c r="T152" s="596">
        <f>F153/H152</f>
        <v>1.2198027937551357</v>
      </c>
      <c r="V152" s="524">
        <f>IF(qtrSales!I154=0," ",qtrSales!I154)</f>
        <v>366</v>
      </c>
      <c r="X152" s="254">
        <f>H152/V152</f>
        <v>6.6502732240437155</v>
      </c>
      <c r="Z152" s="541">
        <f>X152/X145-1</f>
        <v>-4.0109878902026996E-2</v>
      </c>
      <c r="AB152" s="362">
        <f>qtrSales!Z154</f>
        <v>30.222999999999999</v>
      </c>
      <c r="AD152" s="1029">
        <f>H152/AB152*1000</f>
        <v>80534.692121893924</v>
      </c>
      <c r="AF152" s="756">
        <f>(AD152/AD145-1)*100</f>
        <v>-0.5157720669279664</v>
      </c>
      <c r="AH152" s="759">
        <f>J152/(F152/(365/4))</f>
        <v>88.904697624190064</v>
      </c>
      <c r="AJ152" s="759">
        <f>H152/(F153/(365/4))</f>
        <v>74.807174132704617</v>
      </c>
      <c r="AL152" s="362">
        <f>INDEX('qtrP&amp;L'!$82:$82,MATCH(B149,'qtrP&amp;L'!$6:$6,0))</f>
        <v>208</v>
      </c>
      <c r="AM152" s="362">
        <f>INDEX('qtrP&amp;L'!$32:$32,MATCH(B149,'qtrP&amp;L'!$6:$6,0))</f>
        <v>3629</v>
      </c>
    </row>
    <row r="153" spans="1:39" x14ac:dyDescent="0.2">
      <c r="A153" s="239" t="s">
        <v>95</v>
      </c>
      <c r="B153" s="239" t="s">
        <v>81</v>
      </c>
      <c r="D153" s="556">
        <f>qtrSales!R155</f>
        <v>4600</v>
      </c>
      <c r="F153" s="556">
        <f>INDEX('qtrP&amp;L'!$43:$43,MATCH(B149,'qtrP&amp;L'!$6:$6,0))</f>
        <v>2969</v>
      </c>
      <c r="H153" s="556">
        <f>INDEX(wc!$13:$13,MATCH(B149,wc!$7:$7,0))</f>
        <v>2027</v>
      </c>
      <c r="I153" s="249"/>
      <c r="J153" s="556">
        <f>AVERAGE(H153,H152)</f>
        <v>2230.5</v>
      </c>
      <c r="K153" s="249"/>
      <c r="L153" s="1032">
        <f>(D153/D146-1)*100</f>
        <v>8.4138581192552344</v>
      </c>
      <c r="M153" s="249"/>
      <c r="N153" s="756">
        <f>(H153/H146-1)*100</f>
        <v>6.9092827004219481</v>
      </c>
      <c r="O153" s="249"/>
      <c r="P153" s="756">
        <f>(H153/H152-1)*100</f>
        <v>-16.721446179129007</v>
      </c>
      <c r="R153" s="596">
        <f>F153/J153</f>
        <v>1.3310916834790405</v>
      </c>
      <c r="T153" s="596">
        <f>F154/H153</f>
        <v>4.8791317217562904</v>
      </c>
      <c r="V153" s="524">
        <f>IF(qtrSales!I155=0," ",qtrSales!I155)</f>
        <v>366</v>
      </c>
      <c r="X153" s="254">
        <f>H153/V153</f>
        <v>5.5382513661202184</v>
      </c>
      <c r="Z153" s="541">
        <f>X153/X146-1</f>
        <v>1.9435509902930637E-2</v>
      </c>
      <c r="AB153" s="362">
        <f>qtrSales!Z155</f>
        <v>30.218</v>
      </c>
      <c r="AD153" s="1029">
        <f>AD146*(1+AF153%)</f>
        <v>63641.24597207304</v>
      </c>
      <c r="AF153" s="756">
        <v>0</v>
      </c>
      <c r="AH153" s="759">
        <f>J153/(F153/(365/4))</f>
        <v>68.552753452340852</v>
      </c>
      <c r="AJ153" s="759">
        <f>H153/(F154/(365/4))</f>
        <v>18.702098078867543</v>
      </c>
      <c r="AL153" s="556">
        <f>INDEX('qtrP&amp;L'!$83:$83,MATCH(B149,'qtrP&amp;L'!$6:$6,0))</f>
        <v>350</v>
      </c>
      <c r="AM153" s="556">
        <f>INDEX('qtrP&amp;L'!$33:$33,MATCH(B149,'qtrP&amp;L'!$6:$6,0))</f>
        <v>4702</v>
      </c>
    </row>
    <row r="154" spans="1:39" x14ac:dyDescent="0.2">
      <c r="B154" s="607" t="s">
        <v>55</v>
      </c>
      <c r="C154" s="607"/>
      <c r="D154" s="256">
        <f>qtrSales!R156</f>
        <v>15137</v>
      </c>
      <c r="F154" s="256">
        <f>INDEX('qtrP&amp;L'!$44:$44,MATCH(B149,'qtrP&amp;L'!$6:$6,0))</f>
        <v>9890</v>
      </c>
      <c r="H154" s="256">
        <f>INDEX(wc!$13:$13,MATCH(B149,wc!$7:$7,0))</f>
        <v>2027</v>
      </c>
      <c r="I154" s="249"/>
      <c r="J154" s="256">
        <f>AVERAGE(J150:J153)</f>
        <v>2158.125</v>
      </c>
      <c r="K154" s="249"/>
      <c r="L154" s="633">
        <f>(D154/D147-1)*100</f>
        <v>4.4003034692047693</v>
      </c>
      <c r="M154" s="249"/>
      <c r="N154" s="249"/>
      <c r="O154" s="249"/>
      <c r="P154" s="249"/>
      <c r="Q154" s="249"/>
      <c r="R154" s="1033">
        <f>F154/J154</f>
        <v>4.5826817260353314</v>
      </c>
      <c r="S154" s="601" t="s">
        <v>118</v>
      </c>
      <c r="T154" s="249"/>
      <c r="U154" s="249"/>
      <c r="V154" s="536"/>
      <c r="W154" s="249"/>
      <c r="X154" s="249"/>
      <c r="Y154" s="249"/>
      <c r="Z154" s="249"/>
      <c r="AA154" s="249"/>
      <c r="AB154" s="249"/>
      <c r="AC154" s="249"/>
      <c r="AD154" s="249"/>
      <c r="AE154" s="249"/>
      <c r="AF154" s="249"/>
      <c r="AG154" s="249"/>
      <c r="AH154" s="249"/>
      <c r="AI154" s="249"/>
      <c r="AJ154" s="249"/>
      <c r="AL154" s="256">
        <f>INDEX('qtrP&amp;L'!$84:$84,MATCH(B149,'qtrP&amp;L'!$6:$6,0))</f>
        <v>926</v>
      </c>
      <c r="AM154" s="256">
        <f>INDEX('qtrP&amp;L'!$34:$34,MATCH(B149,'qtrP&amp;L'!$6:$6,0))</f>
        <v>15478</v>
      </c>
    </row>
    <row r="155" spans="1:39" x14ac:dyDescent="0.2">
      <c r="B155" s="607"/>
      <c r="C155" s="607"/>
      <c r="D155" s="755"/>
      <c r="F155" s="755"/>
      <c r="L155" s="633"/>
      <c r="R155" s="286"/>
      <c r="S155" s="249"/>
      <c r="AL155" s="755"/>
    </row>
    <row r="156" spans="1:39" x14ac:dyDescent="0.2">
      <c r="B156" s="1223">
        <v>2018</v>
      </c>
      <c r="C156" s="1035"/>
      <c r="L156" s="633"/>
      <c r="AB156" s="1034"/>
      <c r="AH156" s="759"/>
    </row>
    <row r="157" spans="1:39" x14ac:dyDescent="0.2">
      <c r="A157" s="239" t="s">
        <v>92</v>
      </c>
      <c r="B157" s="239" t="s">
        <v>78</v>
      </c>
      <c r="D157" s="256">
        <f>qtrSales!R160</f>
        <v>3412.2619230769233</v>
      </c>
      <c r="F157" s="256">
        <f>INDEX('qtrP&amp;L'!$40:$40,MATCH(B156,'qtrP&amp;L'!$6:$6,0))</f>
        <v>2243.562214423077</v>
      </c>
      <c r="H157" s="362">
        <f>AD157*AB157/1000</f>
        <v>2251.6360591431144</v>
      </c>
      <c r="J157" s="256">
        <f>AVERAGE(H157,H153)</f>
        <v>2139.3180295715574</v>
      </c>
      <c r="L157" s="633">
        <f>(D157/D150-1)*100</f>
        <v>4.0641025641025674</v>
      </c>
      <c r="M157" s="239" t="s">
        <v>90</v>
      </c>
      <c r="N157" s="756">
        <f>(H157/H150-1)*100</f>
        <v>4.2424101455145635</v>
      </c>
      <c r="O157" s="239" t="s">
        <v>90</v>
      </c>
      <c r="P157" s="756">
        <f>(H157/H153-1)*100</f>
        <v>11.082193346971604</v>
      </c>
      <c r="Q157" s="239" t="s">
        <v>90</v>
      </c>
      <c r="R157" s="596">
        <f>F157/J157</f>
        <v>1.0487277643672253</v>
      </c>
      <c r="S157" s="239" t="s">
        <v>118</v>
      </c>
      <c r="T157" s="596">
        <f>F158/H157</f>
        <v>1.1715850187389825</v>
      </c>
      <c r="V157" s="524">
        <f>IF(qtrSales!I160=0," ",qtrSales!I160)</f>
        <v>372</v>
      </c>
      <c r="X157" s="254">
        <f>H157/V157</f>
        <v>6.0527851052234256</v>
      </c>
      <c r="Z157" s="541">
        <f>X157/X150-1</f>
        <v>-1.0817989748208579E-2</v>
      </c>
      <c r="AB157" s="362">
        <f>qtrSales!Z160</f>
        <v>31.026710955710953</v>
      </c>
      <c r="AD157" s="1029">
        <f>AD150*(1+AF157%)</f>
        <v>72570.891009272949</v>
      </c>
      <c r="AF157" s="756">
        <v>0</v>
      </c>
      <c r="AG157" s="239" t="s">
        <v>90</v>
      </c>
      <c r="AH157" s="759">
        <f>J157/(F157/(365/4))</f>
        <v>87.010188058726413</v>
      </c>
      <c r="AJ157" s="759">
        <f>H157/(F158/(365/4))</f>
        <v>77.885939595075683</v>
      </c>
      <c r="AL157" s="256">
        <f>INDEX('qtrP&amp;L'!$80:$80,MATCH(B156,'qtrP&amp;L'!$6:$6,0))</f>
        <v>121.68815519230793</v>
      </c>
      <c r="AM157" s="256">
        <f>INDEX('qtrP&amp;L'!$30:$30,MATCH(B156,'qtrP&amp;L'!$6:$6,0))</f>
        <v>3494.7619230769233</v>
      </c>
    </row>
    <row r="158" spans="1:39" x14ac:dyDescent="0.2">
      <c r="A158" s="239" t="s">
        <v>93</v>
      </c>
      <c r="B158" s="239" t="s">
        <v>79</v>
      </c>
      <c r="D158" s="362">
        <f>qtrSales!R161</f>
        <v>4003.0092178217819</v>
      </c>
      <c r="F158" s="362">
        <f>INDEX('qtrP&amp;L'!$41:$41,MATCH(B156,'qtrP&amp;L'!$6:$6,0))</f>
        <v>2637.9830745445543</v>
      </c>
      <c r="H158" s="362">
        <f>AD158*AB158/1000</f>
        <v>2179.7978098396511</v>
      </c>
      <c r="J158" s="362">
        <f>AVERAGE(H158,H157)</f>
        <v>2215.7169344913827</v>
      </c>
      <c r="L158" s="633">
        <f>(D158/D151-1)*100</f>
        <v>7.6946251768033935</v>
      </c>
      <c r="N158" s="756">
        <f>(H158/H151-1)*100</f>
        <v>4.9493408685436169</v>
      </c>
      <c r="P158" s="756">
        <f>(H158/H157-1)*100</f>
        <v>-3.1904911547207204</v>
      </c>
      <c r="R158" s="596">
        <f>F158/J158</f>
        <v>1.1905776561436547</v>
      </c>
      <c r="T158" s="596">
        <f>F159/H158</f>
        <v>1.0666749328787704</v>
      </c>
      <c r="V158" s="524">
        <f>IF(qtrSales!I161=0," ",qtrSales!I161)</f>
        <v>375</v>
      </c>
      <c r="X158" s="254">
        <f>H158/V158</f>
        <v>5.8127941595724026</v>
      </c>
      <c r="Z158" s="541">
        <f>X158/X151-1</f>
        <v>-9.2782222009482052E-3</v>
      </c>
      <c r="AB158" s="362">
        <f>qtrSales!Z161</f>
        <v>31.278052059052058</v>
      </c>
      <c r="AD158" s="1029">
        <f>AD151*(1+AF158%)</f>
        <v>69690.970707646877</v>
      </c>
      <c r="AF158" s="756">
        <v>0</v>
      </c>
      <c r="AH158" s="759">
        <f>J158/(F158/(365/4))</f>
        <v>76.643467588299686</v>
      </c>
      <c r="AJ158" s="759">
        <f>H158/(F159/(365/4))</f>
        <v>85.54621205331236</v>
      </c>
      <c r="AL158" s="362">
        <f>INDEX('qtrP&amp;L'!$81:$81,MATCH(B156,'qtrP&amp;L'!$6:$6,0))</f>
        <v>186.70833184158414</v>
      </c>
      <c r="AM158" s="362">
        <f>INDEX('qtrP&amp;L'!$31:$31,MATCH(B156,'qtrP&amp;L'!$6:$6,0))</f>
        <v>4086.6092178217818</v>
      </c>
    </row>
    <row r="159" spans="1:39" x14ac:dyDescent="0.2">
      <c r="A159" s="239" t="s">
        <v>94</v>
      </c>
      <c r="B159" s="239" t="s">
        <v>80</v>
      </c>
      <c r="D159" s="362">
        <f>qtrSales!R162</f>
        <v>3563.4263333333333</v>
      </c>
      <c r="F159" s="362">
        <f>INDEX('qtrP&amp;L'!$42:$42,MATCH(B156,'qtrP&amp;L'!$6:$6,0))</f>
        <v>2325.1356825000003</v>
      </c>
      <c r="H159" s="362">
        <f>AD159*AB159/1000</f>
        <v>2530.9685250541547</v>
      </c>
      <c r="I159" s="249"/>
      <c r="J159" s="362">
        <f>AVERAGE(H159,H158)</f>
        <v>2355.3831674469029</v>
      </c>
      <c r="K159" s="249"/>
      <c r="L159" s="633">
        <f>(D159/D152-1)*100</f>
        <v>0.6333333333333302</v>
      </c>
      <c r="M159" s="249"/>
      <c r="N159" s="756">
        <f>(H159/H152-1)*100</f>
        <v>3.9839163949940248</v>
      </c>
      <c r="O159" s="249"/>
      <c r="P159" s="756">
        <f>(H159/H158-1)*100</f>
        <v>16.110242593570455</v>
      </c>
      <c r="R159" s="596">
        <f>F159/J159</f>
        <v>0.98715814676569624</v>
      </c>
      <c r="T159" s="596">
        <f>F160/H159</f>
        <v>1.1048050954687354</v>
      </c>
      <c r="V159" s="524">
        <f>IF(qtrSales!I162=0," ",qtrSales!I162)</f>
        <v>379</v>
      </c>
      <c r="X159" s="254">
        <f>H159/V159</f>
        <v>6.6780172165017273</v>
      </c>
      <c r="Z159" s="541">
        <f>X159/X152-1</f>
        <v>4.1718575347708953E-3</v>
      </c>
      <c r="AB159" s="362">
        <f>qtrSales!Z162</f>
        <v>31.42705905205905</v>
      </c>
      <c r="AD159" s="1029">
        <f>AD152*(1+AF159%)</f>
        <v>80534.692121893924</v>
      </c>
      <c r="AF159" s="756">
        <v>0</v>
      </c>
      <c r="AH159" s="759">
        <f>J159/(F159/(365/4))</f>
        <v>92.437063199011774</v>
      </c>
      <c r="AJ159" s="759">
        <f>H159/(F160/(365/4))</f>
        <v>82.593753752815005</v>
      </c>
      <c r="AL159" s="362">
        <f>INDEX('qtrP&amp;L'!$82:$82,MATCH(B156,'qtrP&amp;L'!$6:$6,0))</f>
        <v>197.55534016666638</v>
      </c>
      <c r="AM159" s="362">
        <f>INDEX('qtrP&amp;L'!$32:$32,MATCH(B156,'qtrP&amp;L'!$6:$6,0))</f>
        <v>3660.2263333333335</v>
      </c>
    </row>
    <row r="160" spans="1:39" x14ac:dyDescent="0.2">
      <c r="A160" s="239" t="s">
        <v>95</v>
      </c>
      <c r="B160" s="239" t="s">
        <v>81</v>
      </c>
      <c r="D160" s="556">
        <f>qtrSales!R163</f>
        <v>4345.3409836065575</v>
      </c>
      <c r="F160" s="556">
        <f>INDEX('qtrP&amp;L'!$43:$43,MATCH(B156,'qtrP&amp;L'!$6:$6,0))</f>
        <v>2796.2269229508197</v>
      </c>
      <c r="H160" s="556">
        <f>AD160*AB160/1000</f>
        <v>2002.4279429843339</v>
      </c>
      <c r="I160" s="249"/>
      <c r="J160" s="556">
        <f>AVERAGE(H160,H159)</f>
        <v>2266.6982340192444</v>
      </c>
      <c r="K160" s="249"/>
      <c r="L160" s="1032">
        <f>(D160/D153-1)*100</f>
        <v>-5.5360655737704878</v>
      </c>
      <c r="M160" s="249"/>
      <c r="N160" s="756">
        <f>(H160/H153-1)*100</f>
        <v>-1.2122376426080939</v>
      </c>
      <c r="O160" s="249"/>
      <c r="P160" s="756">
        <f>(H160/H159-1)*100</f>
        <v>-20.882937770176802</v>
      </c>
      <c r="R160" s="596">
        <f>F160/J160</f>
        <v>1.2336123445919089</v>
      </c>
      <c r="T160" s="1095">
        <f>(T153/(AVERAGE(T150:T152))+(T146/(AVERAGE(T143:T145))+(T139/AVERAGE(T136:T138))))/3*AVERAGE(T157:T159)</f>
        <v>2.3048250123956118</v>
      </c>
      <c r="V160" s="524">
        <f>IF(qtrSales!I163=0," ",qtrSales!I163)</f>
        <v>380</v>
      </c>
      <c r="X160" s="254">
        <f>H160/V160</f>
        <v>5.2695472183798255</v>
      </c>
      <c r="Z160" s="541">
        <f>X160/X153-1</f>
        <v>-4.851786782090961E-2</v>
      </c>
      <c r="AB160" s="362">
        <f>qtrSales!Z163</f>
        <v>31.464310800310798</v>
      </c>
      <c r="AD160" s="1029">
        <f>AD153*(1+AF160%)</f>
        <v>63641.24597207304</v>
      </c>
      <c r="AF160" s="756">
        <v>0</v>
      </c>
      <c r="AH160" s="759">
        <f>J160/(F160/(365/4))</f>
        <v>73.969752653688289</v>
      </c>
      <c r="AJ160" s="759">
        <f>H160/(F161/(365/4))</f>
        <v>18.266843174601032</v>
      </c>
      <c r="AL160" s="556">
        <f>INDEX('qtrP&amp;L'!$83:$83,MATCH(B156,'qtrP&amp;L'!$6:$6,0))</f>
        <v>341.78381147540972</v>
      </c>
      <c r="AM160" s="556">
        <f>INDEX('qtrP&amp;L'!$33:$33,MATCH(B156,'qtrP&amp;L'!$6:$6,0))</f>
        <v>4457.5409836065573</v>
      </c>
    </row>
    <row r="161" spans="1:39" x14ac:dyDescent="0.2">
      <c r="B161" s="607" t="s">
        <v>55</v>
      </c>
      <c r="C161" s="607"/>
      <c r="D161" s="256">
        <f>qtrSales!R164</f>
        <v>15324.038457838597</v>
      </c>
      <c r="F161" s="256">
        <f>INDEX('qtrP&amp;L'!$44:$44,MATCH(B156,'qtrP&amp;L'!$6:$6,0))</f>
        <v>10002.907894418451</v>
      </c>
      <c r="H161" s="256">
        <f>INDEX(wc!$13:$13,MATCH(B156,wc!$7:$7,0))</f>
        <v>2002.4279429843339</v>
      </c>
      <c r="I161" s="249"/>
      <c r="J161" s="256">
        <f>AVERAGE(J157:J160)</f>
        <v>2244.2790913822719</v>
      </c>
      <c r="K161" s="249"/>
      <c r="L161" s="633">
        <f>(D161/D154-1)*100</f>
        <v>1.2356375625196314</v>
      </c>
      <c r="M161" s="249"/>
      <c r="N161" s="249"/>
      <c r="O161" s="249"/>
      <c r="P161" s="249"/>
      <c r="Q161" s="249"/>
      <c r="R161" s="1033">
        <f>F161/J161</f>
        <v>4.457069502999099</v>
      </c>
      <c r="S161" s="601" t="s">
        <v>118</v>
      </c>
      <c r="T161" s="249"/>
      <c r="U161" s="249"/>
      <c r="V161" s="536"/>
      <c r="W161" s="249"/>
      <c r="X161" s="249"/>
      <c r="Y161" s="249"/>
      <c r="Z161" s="249"/>
      <c r="AA161" s="249"/>
      <c r="AB161" s="249"/>
      <c r="AC161" s="249"/>
      <c r="AD161" s="249"/>
      <c r="AE161" s="249"/>
      <c r="AF161" s="249"/>
      <c r="AG161" s="249"/>
      <c r="AH161" s="249"/>
      <c r="AI161" s="249"/>
      <c r="AJ161" s="249"/>
      <c r="AL161" s="256">
        <f>INDEX('qtrP&amp;L'!$84:$84,MATCH(B156,'qtrP&amp;L'!$6:$6,0))</f>
        <v>847.73563867596931</v>
      </c>
      <c r="AM161" s="256">
        <f>INDEX('qtrP&amp;L'!$34:$34,MATCH(B156,'qtrP&amp;L'!$6:$6,0))</f>
        <v>15699.138457838597</v>
      </c>
    </row>
    <row r="162" spans="1:39" x14ac:dyDescent="0.2">
      <c r="B162" s="607"/>
      <c r="C162" s="607"/>
      <c r="D162" s="755"/>
      <c r="F162" s="755"/>
      <c r="L162" s="633"/>
      <c r="R162" s="286"/>
      <c r="S162" s="249"/>
      <c r="AL162" s="755"/>
    </row>
    <row r="163" spans="1:39" x14ac:dyDescent="0.2">
      <c r="B163" s="607"/>
      <c r="C163" s="607"/>
      <c r="D163" s="755"/>
      <c r="F163" s="755"/>
      <c r="L163" s="633"/>
      <c r="R163" s="286"/>
      <c r="S163" s="249"/>
      <c r="AL163" s="755"/>
    </row>
    <row r="164" spans="1:39" x14ac:dyDescent="0.2">
      <c r="B164" s="607"/>
      <c r="C164" s="607"/>
      <c r="D164" s="755"/>
      <c r="F164" s="755"/>
      <c r="L164" s="633"/>
      <c r="R164" s="286"/>
      <c r="S164" s="249"/>
      <c r="AL164" s="755"/>
    </row>
    <row r="166" spans="1:39" x14ac:dyDescent="0.2">
      <c r="A166" s="635" t="s">
        <v>77</v>
      </c>
    </row>
  </sheetData>
  <phoneticPr fontId="10" type="noConversion"/>
  <pageMargins left="0.75" right="0.75" top="1" bottom="1" header="0.5" footer="0.5"/>
  <pageSetup scale="63" orientation="landscape"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T52"/>
  <sheetViews>
    <sheetView showGridLines="0" workbookViewId="0"/>
  </sheetViews>
  <sheetFormatPr defaultRowHeight="12.75" outlineLevelCol="1" x14ac:dyDescent="0.2"/>
  <cols>
    <col min="1" max="1" width="3.140625" style="239" customWidth="1"/>
    <col min="2" max="3" width="4.42578125" style="239" customWidth="1"/>
    <col min="4" max="4" width="7.85546875" style="239" hidden="1" customWidth="1" outlineLevel="1"/>
    <col min="5" max="5" width="5.5703125" style="239" hidden="1" customWidth="1" outlineLevel="1"/>
    <col min="6" max="6" width="4.42578125" style="239" hidden="1" customWidth="1" outlineLevel="1"/>
    <col min="7" max="7" width="0.7109375" style="239" hidden="1" customWidth="1" outlineLevel="1"/>
    <col min="8" max="8" width="7.85546875" style="239" hidden="1" customWidth="1" outlineLevel="1"/>
    <col min="9" max="9" width="6.28515625" style="239" hidden="1" customWidth="1" outlineLevel="1"/>
    <col min="10" max="10" width="5.5703125" style="239" hidden="1" customWidth="1" outlineLevel="1"/>
    <col min="11" max="11" width="0.7109375" style="239" hidden="1" customWidth="1" outlineLevel="1"/>
    <col min="12" max="12" width="7.85546875" style="239" hidden="1" customWidth="1" outlineLevel="1"/>
    <col min="13" max="13" width="6.28515625" style="239" hidden="1" customWidth="1" outlineLevel="1"/>
    <col min="14" max="14" width="4.42578125" style="239" hidden="1" customWidth="1" outlineLevel="1"/>
    <col min="15" max="15" width="0.7109375" style="239" hidden="1" customWidth="1" outlineLevel="1"/>
    <col min="16" max="16" width="7.85546875" style="239" hidden="1" customWidth="1" outlineLevel="1"/>
    <col min="17" max="17" width="5.5703125" style="239" hidden="1" customWidth="1" outlineLevel="1"/>
    <col min="18" max="18" width="4.42578125" style="239" hidden="1" customWidth="1" outlineLevel="1"/>
    <col min="19" max="19" width="0.7109375" style="239" hidden="1" customWidth="1" outlineLevel="1"/>
    <col min="20" max="20" width="7.85546875" style="239" hidden="1" customWidth="1" outlineLevel="1"/>
    <col min="21" max="21" width="5.5703125" style="239" hidden="1" customWidth="1" outlineLevel="1"/>
    <col min="22" max="22" width="4.42578125" style="239" hidden="1" customWidth="1" outlineLevel="1"/>
    <col min="23" max="23" width="0.7109375" style="239" hidden="1" customWidth="1" outlineLevel="1"/>
    <col min="24" max="24" width="7.85546875" style="239" hidden="1" customWidth="1" outlineLevel="1"/>
    <col min="25" max="25" width="6.28515625" style="239" hidden="1" customWidth="1" outlineLevel="1"/>
    <col min="26" max="26" width="4.42578125" style="239" hidden="1" customWidth="1" outlineLevel="1"/>
    <col min="27" max="27" width="0.7109375" style="239" hidden="1" customWidth="1" outlineLevel="1"/>
    <col min="28" max="28" width="7.85546875" style="239" hidden="1" customWidth="1" outlineLevel="1"/>
    <col min="29" max="29" width="6.28515625" style="239" hidden="1" customWidth="1" outlineLevel="1"/>
    <col min="30" max="30" width="4.85546875" style="239" hidden="1" customWidth="1" outlineLevel="1"/>
    <col min="31" max="31" width="0.7109375" style="239" hidden="1" customWidth="1" outlineLevel="1"/>
    <col min="32" max="32" width="7.85546875" style="239" hidden="1" customWidth="1" outlineLevel="1"/>
    <col min="33" max="33" width="7.28515625" style="239" hidden="1" customWidth="1" outlineLevel="1"/>
    <col min="34" max="34" width="4.42578125" style="239" hidden="1" customWidth="1" outlineLevel="1"/>
    <col min="35" max="35" width="0.7109375" style="239" hidden="1" customWidth="1" outlineLevel="1"/>
    <col min="36" max="36" width="7.85546875" style="239" hidden="1" customWidth="1" outlineLevel="1"/>
    <col min="37" max="37" width="6.5703125" style="239" hidden="1" customWidth="1" outlineLevel="1"/>
    <col min="38" max="38" width="4.85546875" style="239" hidden="1" customWidth="1" outlineLevel="1"/>
    <col min="39" max="39" width="0.7109375" style="239" hidden="1" customWidth="1" outlineLevel="1"/>
    <col min="40" max="40" width="7.85546875" style="239" hidden="1" customWidth="1" outlineLevel="1"/>
    <col min="41" max="41" width="6.28515625" style="239" hidden="1" customWidth="1" outlineLevel="1"/>
    <col min="42" max="42" width="4.42578125" style="239" hidden="1" customWidth="1" outlineLevel="1"/>
    <col min="43" max="43" width="0.7109375" style="239" hidden="1" customWidth="1" outlineLevel="1"/>
    <col min="44" max="44" width="7.85546875" style="239" hidden="1" customWidth="1" outlineLevel="1"/>
    <col min="45" max="45" width="6.28515625" style="239" hidden="1" customWidth="1" outlineLevel="1"/>
    <col min="46" max="46" width="4.42578125" style="239" hidden="1" customWidth="1" outlineLevel="1"/>
    <col min="47" max="47" width="0.7109375" style="239" hidden="1" customWidth="1" outlineLevel="1"/>
    <col min="48" max="48" width="7.85546875" style="239" hidden="1" customWidth="1" outlineLevel="1"/>
    <col min="49" max="49" width="6.28515625" style="239" hidden="1" customWidth="1" outlineLevel="1"/>
    <col min="50" max="50" width="5.28515625" style="239" hidden="1" customWidth="1" outlineLevel="1"/>
    <col min="51" max="51" width="0.7109375" style="239" hidden="1" customWidth="1" outlineLevel="1"/>
    <col min="52" max="52" width="7.85546875" style="239" hidden="1" customWidth="1" outlineLevel="1"/>
    <col min="53" max="53" width="6.28515625" style="239" hidden="1" customWidth="1" outlineLevel="1"/>
    <col min="54" max="54" width="5.28515625" style="239" hidden="1" customWidth="1" outlineLevel="1"/>
    <col min="55" max="55" width="0.7109375" style="239" hidden="1" customWidth="1" outlineLevel="1"/>
    <col min="56" max="56" width="7.85546875" style="239" hidden="1" customWidth="1" outlineLevel="1"/>
    <col min="57" max="57" width="6.28515625" style="239" hidden="1" customWidth="1" outlineLevel="1"/>
    <col min="58" max="58" width="5.28515625" style="239" hidden="1" customWidth="1" outlineLevel="1"/>
    <col min="59" max="59" width="0.7109375" style="239" hidden="1" customWidth="1" outlineLevel="1"/>
    <col min="60" max="60" width="7.85546875" style="239" customWidth="1" collapsed="1"/>
    <col min="61" max="61" width="6.7109375" style="239" customWidth="1"/>
    <col min="62" max="62" width="5.28515625" style="239" customWidth="1"/>
    <col min="63" max="63" width="0.7109375" style="239" customWidth="1"/>
    <col min="64" max="64" width="7.5703125" style="239" customWidth="1"/>
    <col min="65" max="65" width="6.85546875" style="239" bestFit="1" customWidth="1"/>
    <col min="66" max="66" width="5.28515625" style="239" customWidth="1"/>
    <col min="67" max="67" width="0.7109375" style="239" customWidth="1"/>
    <col min="68" max="68" width="7.85546875" style="239" customWidth="1"/>
    <col min="69" max="69" width="7" style="239" customWidth="1"/>
    <col min="70" max="70" width="5.28515625" style="239" customWidth="1"/>
    <col min="71" max="71" width="0.7109375" style="239" customWidth="1"/>
    <col min="72" max="72" width="7.85546875" style="239" customWidth="1"/>
    <col min="73" max="73" width="6.5703125" style="239" customWidth="1"/>
    <col min="74" max="74" width="5.28515625" style="239" customWidth="1"/>
    <col min="75" max="75" width="0.7109375" style="239" customWidth="1"/>
    <col min="76" max="76" width="7.85546875" style="239" customWidth="1"/>
    <col min="77" max="77" width="8.42578125" style="239" customWidth="1"/>
    <col min="78" max="78" width="5.28515625" style="239" customWidth="1"/>
    <col min="79" max="79" width="0.7109375" style="239" customWidth="1"/>
    <col min="80" max="80" width="7.28515625" style="239" customWidth="1"/>
    <col min="81" max="81" width="7.85546875" style="239" customWidth="1"/>
    <col min="82" max="82" width="5.28515625" style="239" customWidth="1"/>
    <col min="83" max="83" width="0.7109375" style="239" customWidth="1"/>
    <col min="84" max="84" width="7.28515625" style="239" customWidth="1"/>
    <col min="85" max="85" width="9.42578125" style="239" customWidth="1"/>
    <col min="86" max="86" width="5.28515625" style="239" customWidth="1"/>
    <col min="87" max="87" width="0.7109375" style="239" customWidth="1"/>
    <col min="88" max="88" width="7.28515625" style="239" customWidth="1"/>
    <col min="89" max="89" width="9.42578125" style="239" customWidth="1"/>
    <col min="90" max="90" width="5.28515625" style="239" customWidth="1"/>
    <col min="91" max="91" width="0.7109375" style="239" hidden="1" customWidth="1"/>
    <col min="92" max="92" width="7.28515625" style="239" hidden="1" customWidth="1"/>
    <col min="93" max="93" width="9.42578125" style="239" hidden="1" customWidth="1"/>
    <col min="94" max="94" width="5.28515625" style="239" hidden="1" customWidth="1"/>
    <col min="95" max="95" width="9.140625" style="239"/>
    <col min="96" max="96" width="9.140625" style="239" customWidth="1"/>
    <col min="97" max="16384" width="9.140625" style="239"/>
  </cols>
  <sheetData>
    <row r="1" spans="1:98" x14ac:dyDescent="0.2">
      <c r="A1" s="504" t="s">
        <v>298</v>
      </c>
    </row>
    <row r="2" spans="1:98" x14ac:dyDescent="0.2">
      <c r="A2" s="250" t="s">
        <v>603</v>
      </c>
      <c r="B2" s="240"/>
      <c r="C2" s="240"/>
      <c r="D2" s="240"/>
      <c r="E2" s="240"/>
      <c r="F2" s="240"/>
      <c r="G2" s="240"/>
      <c r="H2" s="240"/>
      <c r="I2" s="240"/>
      <c r="J2" s="240"/>
      <c r="K2" s="240"/>
      <c r="L2" s="240"/>
      <c r="M2" s="240"/>
      <c r="N2" s="240"/>
      <c r="O2" s="240"/>
      <c r="P2" s="240"/>
      <c r="Q2" s="240"/>
      <c r="R2" s="240"/>
      <c r="S2" s="240"/>
      <c r="T2" s="240"/>
      <c r="U2" s="240"/>
      <c r="V2" s="240"/>
      <c r="W2" s="240"/>
      <c r="X2" s="240"/>
      <c r="Y2" s="240"/>
      <c r="Z2" s="240"/>
      <c r="AA2" s="240"/>
      <c r="AB2" s="240"/>
      <c r="AC2" s="240"/>
      <c r="AD2" s="240"/>
      <c r="AE2" s="240"/>
      <c r="AF2" s="240"/>
      <c r="AG2" s="240"/>
      <c r="AH2" s="240"/>
      <c r="AI2" s="240"/>
      <c r="AJ2" s="240"/>
      <c r="AK2" s="240"/>
      <c r="AL2" s="240"/>
      <c r="AM2" s="240"/>
      <c r="AN2" s="240"/>
      <c r="AO2" s="240"/>
      <c r="AP2" s="240"/>
      <c r="AQ2" s="240"/>
      <c r="AR2" s="240"/>
      <c r="AS2" s="240"/>
      <c r="AT2" s="240"/>
      <c r="AU2" s="240"/>
      <c r="AV2" s="240"/>
      <c r="AW2" s="240"/>
      <c r="AX2" s="240"/>
      <c r="AY2" s="240"/>
      <c r="AZ2" s="240"/>
      <c r="BA2" s="240"/>
      <c r="BB2" s="240"/>
      <c r="BC2" s="240"/>
      <c r="BD2" s="240"/>
      <c r="BE2" s="240"/>
      <c r="BF2" s="240"/>
      <c r="BG2" s="240"/>
      <c r="BH2" s="240"/>
      <c r="BI2" s="240"/>
      <c r="BJ2" s="240"/>
      <c r="BK2" s="240"/>
      <c r="BL2" s="240"/>
      <c r="BM2" s="240"/>
      <c r="BN2" s="240"/>
      <c r="BO2" s="240"/>
      <c r="BP2" s="240"/>
      <c r="BQ2" s="240"/>
      <c r="BR2" s="240"/>
      <c r="BS2" s="240"/>
      <c r="BT2" s="240"/>
      <c r="BU2" s="240"/>
      <c r="BV2" s="240"/>
      <c r="BW2" s="240"/>
      <c r="BX2" s="240"/>
      <c r="BY2" s="240"/>
      <c r="BZ2" s="1038"/>
      <c r="CA2" s="240"/>
      <c r="CB2" s="240"/>
      <c r="CC2" s="240"/>
      <c r="CD2" s="240"/>
      <c r="CE2" s="240"/>
      <c r="CF2" s="240"/>
      <c r="CG2" s="240"/>
      <c r="CH2" s="240"/>
      <c r="CI2" s="240"/>
      <c r="CJ2" s="240"/>
      <c r="CK2" s="240"/>
      <c r="CL2" s="240"/>
      <c r="CM2" s="240"/>
      <c r="CN2" s="240"/>
      <c r="CO2" s="240"/>
      <c r="CP2" s="240"/>
    </row>
    <row r="3" spans="1:98" x14ac:dyDescent="0.2">
      <c r="A3" s="598" t="s">
        <v>97</v>
      </c>
    </row>
    <row r="5" spans="1:98" x14ac:dyDescent="0.2">
      <c r="BP5" s="363"/>
      <c r="BT5" s="363"/>
      <c r="BU5" s="1039"/>
      <c r="BX5" s="363"/>
      <c r="BY5" s="1039"/>
      <c r="CC5" s="1039"/>
      <c r="CG5" s="1039"/>
      <c r="CK5" s="1039"/>
      <c r="CO5" s="1039"/>
    </row>
    <row r="7" spans="1:98" x14ac:dyDescent="0.2">
      <c r="D7" s="511">
        <f>H7-1</f>
        <v>1996</v>
      </c>
      <c r="E7" s="512"/>
      <c r="F7" s="512"/>
      <c r="H7" s="511">
        <f>L7-1</f>
        <v>1997</v>
      </c>
      <c r="I7" s="512"/>
      <c r="J7" s="512"/>
      <c r="L7" s="511">
        <f>P7-1</f>
        <v>1998</v>
      </c>
      <c r="M7" s="512"/>
      <c r="N7" s="512"/>
      <c r="P7" s="511">
        <f>T7-1</f>
        <v>1999</v>
      </c>
      <c r="Q7" s="512"/>
      <c r="R7" s="512"/>
      <c r="T7" s="511">
        <f>X7-1</f>
        <v>2000</v>
      </c>
      <c r="U7" s="512"/>
      <c r="V7" s="512"/>
      <c r="X7" s="511">
        <f>AB7-1</f>
        <v>2001</v>
      </c>
      <c r="Y7" s="512"/>
      <c r="Z7" s="512"/>
      <c r="AB7" s="511">
        <f>AF7-1</f>
        <v>2002</v>
      </c>
      <c r="AC7" s="512"/>
      <c r="AD7" s="512"/>
      <c r="AF7" s="511">
        <f>AJ7-1</f>
        <v>2003</v>
      </c>
      <c r="AG7" s="512"/>
      <c r="AH7" s="512"/>
      <c r="AJ7" s="511">
        <f>AN7-1</f>
        <v>2004</v>
      </c>
      <c r="AK7" s="512"/>
      <c r="AL7" s="512"/>
      <c r="AN7" s="511">
        <v>2005</v>
      </c>
      <c r="AO7" s="512"/>
      <c r="AP7" s="512"/>
      <c r="AR7" s="511">
        <f>AN7+1</f>
        <v>2006</v>
      </c>
      <c r="AS7" s="512"/>
      <c r="AT7" s="512"/>
      <c r="AV7" s="511">
        <f>AR7+1</f>
        <v>2007</v>
      </c>
      <c r="AW7" s="512"/>
      <c r="AX7" s="512"/>
      <c r="AZ7" s="511">
        <f>AV7+1</f>
        <v>2008</v>
      </c>
      <c r="BA7" s="512"/>
      <c r="BB7" s="512"/>
      <c r="BD7" s="511">
        <f>AZ7+1</f>
        <v>2009</v>
      </c>
      <c r="BE7" s="512"/>
      <c r="BF7" s="512"/>
      <c r="BH7" s="511">
        <f>BD7+1</f>
        <v>2010</v>
      </c>
      <c r="BI7" s="512"/>
      <c r="BJ7" s="512"/>
      <c r="BL7" s="511">
        <f>BH7+1</f>
        <v>2011</v>
      </c>
      <c r="BM7" s="512"/>
      <c r="BN7" s="512"/>
      <c r="BP7" s="511">
        <f>BL7+1</f>
        <v>2012</v>
      </c>
      <c r="BQ7" s="512"/>
      <c r="BR7" s="512"/>
      <c r="BT7" s="511">
        <f>BP7+1</f>
        <v>2013</v>
      </c>
      <c r="BU7" s="512"/>
      <c r="BV7" s="512"/>
      <c r="BX7" s="511">
        <f>BT7+1</f>
        <v>2014</v>
      </c>
      <c r="BY7" s="512"/>
      <c r="BZ7" s="512"/>
      <c r="CB7" s="514">
        <f>BX7+1</f>
        <v>2015</v>
      </c>
      <c r="CC7" s="512"/>
      <c r="CD7" s="512"/>
      <c r="CF7" s="514">
        <f>CB7+1</f>
        <v>2016</v>
      </c>
      <c r="CG7" s="512"/>
      <c r="CH7" s="512"/>
      <c r="CJ7" s="514">
        <f>CF7+1</f>
        <v>2017</v>
      </c>
      <c r="CK7" s="1224"/>
      <c r="CL7" s="512"/>
      <c r="CN7" s="1225">
        <f>CJ7+1</f>
        <v>2018</v>
      </c>
      <c r="CO7" s="512"/>
      <c r="CP7" s="512"/>
    </row>
    <row r="9" spans="1:98" x14ac:dyDescent="0.2">
      <c r="A9" s="1040" t="s">
        <v>344</v>
      </c>
      <c r="B9" s="26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1"/>
      <c r="AM9" s="261"/>
      <c r="AN9" s="261"/>
      <c r="AO9" s="261"/>
      <c r="AP9" s="261"/>
      <c r="AQ9" s="261"/>
      <c r="AR9" s="261"/>
      <c r="AS9" s="261"/>
      <c r="AT9" s="261"/>
      <c r="AU9" s="261"/>
      <c r="AV9" s="261"/>
      <c r="AW9" s="261"/>
      <c r="AX9" s="261"/>
      <c r="AY9" s="261"/>
      <c r="AZ9" s="261"/>
      <c r="BA9" s="261"/>
      <c r="BB9" s="261"/>
      <c r="BC9" s="261"/>
      <c r="BD9" s="261"/>
      <c r="BE9" s="261"/>
      <c r="BF9" s="261"/>
      <c r="BG9" s="261"/>
      <c r="BH9" s="261"/>
      <c r="BI9" s="261"/>
      <c r="BJ9" s="261"/>
      <c r="BK9" s="261"/>
      <c r="BL9" s="261"/>
      <c r="BM9" s="261"/>
      <c r="BN9" s="261"/>
      <c r="BO9" s="261"/>
      <c r="BP9" s="1041">
        <f>BL11*8%</f>
        <v>92.16</v>
      </c>
      <c r="BQ9" s="1042"/>
      <c r="BR9" s="261" t="s">
        <v>202</v>
      </c>
      <c r="BS9" s="261"/>
      <c r="BT9" s="1041"/>
      <c r="BU9" s="261" t="s">
        <v>202</v>
      </c>
      <c r="BV9" s="261"/>
      <c r="BW9" s="261"/>
      <c r="BX9" s="1041"/>
      <c r="BY9" s="261" t="s">
        <v>202</v>
      </c>
      <c r="BZ9" s="261"/>
      <c r="CA9" s="261"/>
      <c r="CB9" s="1041"/>
      <c r="CC9" s="261" t="s">
        <v>202</v>
      </c>
      <c r="CD9" s="261"/>
      <c r="CE9" s="261"/>
      <c r="CF9" s="1041"/>
      <c r="CG9" s="261" t="s">
        <v>202</v>
      </c>
      <c r="CH9" s="261"/>
      <c r="CI9" s="261"/>
      <c r="CJ9" s="1043"/>
      <c r="CK9" s="261" t="s">
        <v>202</v>
      </c>
      <c r="CL9" s="261"/>
      <c r="CM9" s="261"/>
      <c r="CN9" s="1043"/>
      <c r="CO9" s="261" t="s">
        <v>202</v>
      </c>
      <c r="CP9" s="261"/>
    </row>
    <row r="10" spans="1:98" x14ac:dyDescent="0.2">
      <c r="A10" s="239" t="s">
        <v>92</v>
      </c>
      <c r="B10" s="239" t="s">
        <v>78</v>
      </c>
      <c r="D10" s="1043">
        <v>731.64700000000005</v>
      </c>
      <c r="E10" s="1044" t="s">
        <v>83</v>
      </c>
      <c r="F10" s="1045">
        <f>'qtrP&amp;L'!AC10</f>
        <v>11.07947788003405</v>
      </c>
      <c r="H10" s="1043">
        <v>823.60900000000004</v>
      </c>
      <c r="I10" s="1044">
        <f>(H10/D10-1)*100</f>
        <v>12.569176119084746</v>
      </c>
      <c r="J10" s="1045">
        <f>'qtrP&amp;L'!AG10</f>
        <v>5.2745037871345657</v>
      </c>
      <c r="L10" s="1043">
        <v>907.322</v>
      </c>
      <c r="M10" s="1044">
        <f>(L10/H10-1)*100</f>
        <v>10.164167705792426</v>
      </c>
      <c r="N10" s="1045">
        <f>'qtrP&amp;L'!AK10</f>
        <v>9.0661359878458256</v>
      </c>
      <c r="P10" s="1043">
        <v>864.83199999999999</v>
      </c>
      <c r="Q10" s="1044">
        <f>(P10/L10-1)*100</f>
        <v>-4.6830122051487848</v>
      </c>
      <c r="R10" s="1045">
        <f>'qtrP&amp;L'!AO10</f>
        <v>-0.10670870925720832</v>
      </c>
      <c r="T10" s="1043">
        <v>922.72699999999998</v>
      </c>
      <c r="U10" s="1044">
        <f>(T10/P10-1)*100</f>
        <v>6.6943637608229078</v>
      </c>
      <c r="V10" s="1045">
        <f>'qtrP&amp;L'!AS10</f>
        <v>10.997156206543135</v>
      </c>
      <c r="X10" s="1043">
        <v>1052.2739999999999</v>
      </c>
      <c r="Y10" s="1044">
        <f>(X10/T10-1)*100</f>
        <v>14.039580504309491</v>
      </c>
      <c r="Z10" s="1045">
        <f>'qtrP&amp;L'!AW10</f>
        <v>5.6064062314403751</v>
      </c>
      <c r="AB10" s="1043">
        <v>994.13599999999997</v>
      </c>
      <c r="AC10" s="1044">
        <f>(AB10/X10-1)*100</f>
        <v>-5.5249868380288669</v>
      </c>
      <c r="AD10" s="1045">
        <f>'qtrP&amp;L'!BA10</f>
        <v>2.2758694295753834</v>
      </c>
      <c r="AF10" s="1043">
        <v>1078.232</v>
      </c>
      <c r="AG10" s="1044">
        <f>(AF10/AB10-1)*100</f>
        <v>8.4592047768112124</v>
      </c>
      <c r="AH10" s="1045">
        <f>'qtrP&amp;L'!BE10</f>
        <v>7.201301052127973</v>
      </c>
      <c r="AJ10" s="1043">
        <v>1020.812</v>
      </c>
      <c r="AK10" s="1044">
        <f>(AJ10/AF10-1)*100</f>
        <v>-5.3253845183596766</v>
      </c>
      <c r="AL10" s="1045">
        <f>'qtrP&amp;L'!BI10</f>
        <v>14.977326368504929</v>
      </c>
      <c r="AN10" s="1043">
        <v>1016.64</v>
      </c>
      <c r="AO10" s="1044">
        <f>(AN10/AJ10-1)*100</f>
        <v>-0.40869425516157909</v>
      </c>
      <c r="AP10" s="1045">
        <f>'qtrP&amp;L'!BM10</f>
        <v>7.7489270526021059</v>
      </c>
      <c r="AR10" s="1043">
        <v>1078.75</v>
      </c>
      <c r="AS10" s="1044">
        <f>(AR10/AN10-1)*100</f>
        <v>6.1093405728674943</v>
      </c>
      <c r="AT10" s="1045">
        <f>'qtrP&amp;L'!BQ10</f>
        <v>8.0236377241346801</v>
      </c>
      <c r="AV10" s="1043">
        <v>1105.0150000000001</v>
      </c>
      <c r="AW10" s="1044">
        <f>(AV10/AR10-1)*100</f>
        <v>2.4347624565469461</v>
      </c>
      <c r="AX10" s="1045">
        <f>'qtrP&amp;L'!BU10</f>
        <v>9.3244659452122125</v>
      </c>
      <c r="AZ10" s="1043">
        <v>1079</v>
      </c>
      <c r="BA10" s="1044">
        <f>(AZ10/AV10-1)*100</f>
        <v>-2.3542666841626647</v>
      </c>
      <c r="BB10" s="1045">
        <f>'qtrP&amp;L'!BY10</f>
        <v>-3.8319808052932891</v>
      </c>
      <c r="BD10" s="1043">
        <v>1004</v>
      </c>
      <c r="BE10" s="1044">
        <f>(BD10/AZ10-1)*100</f>
        <v>-6.9508804448563444</v>
      </c>
      <c r="BF10" s="1045">
        <f>'qtrP&amp;L'!CC10</f>
        <v>-9.207025013304948</v>
      </c>
      <c r="BH10" s="1099">
        <v>1067</v>
      </c>
      <c r="BI10" s="1044">
        <f>(BH10/BD10-1)*100</f>
        <v>6.2749003984063689</v>
      </c>
      <c r="BJ10" s="1045">
        <f>'qtrP&amp;L'!CG10</f>
        <v>16.647127784290738</v>
      </c>
      <c r="BL10" s="1099">
        <v>1149</v>
      </c>
      <c r="BM10" s="1044">
        <f>(BL10/BH10-1)*100</f>
        <v>7.6850984067478922</v>
      </c>
      <c r="BN10" s="1045">
        <f>'qtrP&amp;L'!CK10</f>
        <v>12.010050251256278</v>
      </c>
      <c r="BP10" s="1099">
        <v>1372</v>
      </c>
      <c r="BQ10" s="1044">
        <f>(BP10/BL10-1)*100</f>
        <v>19.408181026979989</v>
      </c>
      <c r="BR10" s="1045">
        <f>'qtrP&amp;L'!CO10</f>
        <v>13.728129205921945</v>
      </c>
      <c r="BT10" s="1099">
        <v>1485</v>
      </c>
      <c r="BU10" s="1044">
        <f>(BT10/BP10-1)*100</f>
        <v>8.2361516034985307</v>
      </c>
      <c r="BV10" s="1045">
        <f>'qtrP&amp;L'!CS10</f>
        <v>4.8126232741617425</v>
      </c>
      <c r="BX10" s="1099">
        <v>1698</v>
      </c>
      <c r="BY10" s="1044">
        <f>(BX10/BT10-1)*100</f>
        <v>14.343434343434346</v>
      </c>
      <c r="BZ10" s="1045">
        <f>'qtrP&amp;L'!CW10</f>
        <v>6.7745577719232175</v>
      </c>
      <c r="CB10" s="1099">
        <v>2017</v>
      </c>
      <c r="CC10" s="1044">
        <f>(CB10/BX10-1)*100</f>
        <v>18.786808009422849</v>
      </c>
      <c r="CD10" s="1045">
        <f>'qtrP&amp;L'!DA10</f>
        <v>9.7990835389496045</v>
      </c>
      <c r="CF10" s="1099">
        <v>2125</v>
      </c>
      <c r="CG10" s="1044">
        <f>(CF10/CB10-1)*100</f>
        <v>5.3544868616757668</v>
      </c>
      <c r="CH10" s="1045">
        <f>'qtrP&amp;L'!DE10</f>
        <v>2.4719101123595433</v>
      </c>
      <c r="CJ10" s="1099">
        <v>2160</v>
      </c>
      <c r="CK10" s="1044">
        <f>(CJ10/CF10-1)*100</f>
        <v>1.6470588235294015</v>
      </c>
      <c r="CL10" s="1045">
        <f>'qtrP&amp;L'!DI10</f>
        <v>2.7255639097744311</v>
      </c>
      <c r="CN10" s="1092">
        <f>turn!H157</f>
        <v>2251.6360591431144</v>
      </c>
      <c r="CO10" s="1044">
        <f>(CN10/CJ10-1)*100</f>
        <v>4.2424101455145635</v>
      </c>
      <c r="CP10" s="1045">
        <f>'qtrP&amp;L'!DR10</f>
        <v>0</v>
      </c>
      <c r="CS10" s="239">
        <f>CF10/BX10-1</f>
        <v>0.25147232037691403</v>
      </c>
    </row>
    <row r="11" spans="1:98" x14ac:dyDescent="0.2">
      <c r="A11" s="239" t="s">
        <v>93</v>
      </c>
      <c r="B11" s="239" t="s">
        <v>79</v>
      </c>
      <c r="D11" s="1043">
        <v>756.50099999999998</v>
      </c>
      <c r="E11" s="1044" t="s">
        <v>83</v>
      </c>
      <c r="F11" s="1045">
        <f>'qtrP&amp;L'!AC11</f>
        <v>8.0248755915871115</v>
      </c>
      <c r="H11" s="1043">
        <v>845.577</v>
      </c>
      <c r="I11" s="1044">
        <f>(H11/D11-1)*100</f>
        <v>11.774736583295997</v>
      </c>
      <c r="J11" s="1045">
        <f>'qtrP&amp;L'!AG11</f>
        <v>9.0120212909919228</v>
      </c>
      <c r="L11" s="1043">
        <v>858.98</v>
      </c>
      <c r="M11" s="1044">
        <f>(L11/H11-1)*100</f>
        <v>1.5850714955586653</v>
      </c>
      <c r="N11" s="1045">
        <f>'qtrP&amp;L'!AK11</f>
        <v>6.9412455803952389</v>
      </c>
      <c r="P11" s="1043">
        <v>828.26400000000001</v>
      </c>
      <c r="Q11" s="1044">
        <f>(P11/L11-1)*100</f>
        <v>-3.5758690539942739</v>
      </c>
      <c r="R11" s="1045">
        <f>'qtrP&amp;L'!AO11</f>
        <v>-0.26871021858876354</v>
      </c>
      <c r="T11" s="1043">
        <v>944.81500000000005</v>
      </c>
      <c r="U11" s="1044">
        <f>(T11/P11-1)*100</f>
        <v>14.07172109375756</v>
      </c>
      <c r="V11" s="1045">
        <f>'qtrP&amp;L'!AS11</f>
        <v>0.9449942669885969</v>
      </c>
      <c r="X11" s="1043">
        <v>1002.633</v>
      </c>
      <c r="Y11" s="1044">
        <f>(X11/T11-1)*100</f>
        <v>6.1195048766160554</v>
      </c>
      <c r="Z11" s="1045">
        <f>'qtrP&amp;L'!AW11</f>
        <v>6.0893526922826124</v>
      </c>
      <c r="AB11" s="1043">
        <v>1039.365</v>
      </c>
      <c r="AC11" s="1044">
        <f>(AB11/X11-1)*100</f>
        <v>3.6635538626795583</v>
      </c>
      <c r="AD11" s="1045">
        <f>'qtrP&amp;L'!BA11</f>
        <v>7.1013010436943969</v>
      </c>
      <c r="AF11" s="1043">
        <v>1019.467</v>
      </c>
      <c r="AG11" s="1044">
        <f>(AF11/AB11-1)*100</f>
        <v>-1.9144381425197143</v>
      </c>
      <c r="AH11" s="1045">
        <f>'qtrP&amp;L'!BE11</f>
        <v>7.8085058060026746</v>
      </c>
      <c r="AJ11" s="1043">
        <v>1024.8530000000001</v>
      </c>
      <c r="AK11" s="1044">
        <f>(AJ11/AF11-1)*100</f>
        <v>0.5283152863212015</v>
      </c>
      <c r="AL11" s="1045">
        <f>'qtrP&amp;L'!BI11</f>
        <v>9.4509188704616776</v>
      </c>
      <c r="AN11" s="1043">
        <v>989.36500000000001</v>
      </c>
      <c r="AO11" s="1044">
        <f>(AN11/AJ11-1)*100</f>
        <v>-3.4627405101024245</v>
      </c>
      <c r="AP11" s="1045">
        <f>'qtrP&amp;L'!BM11</f>
        <v>7.8300264143989162</v>
      </c>
      <c r="AR11" s="1043">
        <v>1026.287</v>
      </c>
      <c r="AS11" s="1044">
        <f>(AR11/AN11-1)*100</f>
        <v>3.7318886356400238</v>
      </c>
      <c r="AT11" s="1045">
        <f>'qtrP&amp;L'!BQ11</f>
        <v>7.7870794203294791</v>
      </c>
      <c r="AV11" s="1043">
        <v>1053.3420000000001</v>
      </c>
      <c r="AW11" s="1044">
        <f>(AV11/AR11-1)*100</f>
        <v>2.6362021539783731</v>
      </c>
      <c r="AX11" s="1045">
        <f>'qtrP&amp;L'!BU11</f>
        <v>5.2425314957092572</v>
      </c>
      <c r="AZ11" s="1043">
        <v>1000</v>
      </c>
      <c r="BA11" s="1044">
        <f>(AZ11/AV11-1)*100</f>
        <v>-5.0640722576333346</v>
      </c>
      <c r="BB11" s="1045">
        <f>'qtrP&amp;L'!BY11</f>
        <v>-4.289520225587129</v>
      </c>
      <c r="BD11" s="1043">
        <v>929</v>
      </c>
      <c r="BE11" s="1044">
        <f>(BD11/AZ11-1)*100</f>
        <v>-7.0999999999999952</v>
      </c>
      <c r="BF11" s="1045">
        <f>'qtrP&amp;L'!CC11</f>
        <v>-6.2090074333187584</v>
      </c>
      <c r="BH11" s="1099">
        <v>1055</v>
      </c>
      <c r="BI11" s="1044">
        <f>(BH11/BD11-1)*100</f>
        <v>13.56297093649086</v>
      </c>
      <c r="BJ11" s="1045">
        <f>'qtrP&amp;L'!CG11</f>
        <v>12.680652680652681</v>
      </c>
      <c r="BL11" s="1099">
        <v>1152</v>
      </c>
      <c r="BM11" s="1044">
        <f>(BL11/BH11-1)*100</f>
        <v>9.1943127962085249</v>
      </c>
      <c r="BN11" s="1045">
        <f>'qtrP&amp;L'!CK11</f>
        <v>12.370707488622257</v>
      </c>
      <c r="BP11" s="1099">
        <f>1394</f>
        <v>1394</v>
      </c>
      <c r="BQ11" s="1044">
        <f>(BP11/BL11-1)*100</f>
        <v>21.006944444444443</v>
      </c>
      <c r="BR11" s="1045">
        <f>'qtrP&amp;L'!CO11</f>
        <v>7.4374079528718662</v>
      </c>
      <c r="BT11" s="1099">
        <v>1464</v>
      </c>
      <c r="BU11" s="1044">
        <f>(BT11/BP11-1)*100</f>
        <v>5.0215208034433356</v>
      </c>
      <c r="BV11" s="1045">
        <f>'qtrP&amp;L'!CS11</f>
        <v>6.3742289239204997</v>
      </c>
      <c r="BX11" s="1099">
        <v>1805</v>
      </c>
      <c r="BY11" s="1044">
        <f>(BX11/BT11-1)*100</f>
        <v>23.292349726775964</v>
      </c>
      <c r="BZ11" s="1045">
        <f>'qtrP&amp;L'!CW11</f>
        <v>6.1855670103092786</v>
      </c>
      <c r="CB11" s="1099">
        <v>2004</v>
      </c>
      <c r="CC11" s="1044">
        <f>(CB11/BX11-1)*100</f>
        <v>11.024930747922435</v>
      </c>
      <c r="CD11" s="1045">
        <f>'qtrP&amp;L'!DA11</f>
        <v>9.1626213592232997</v>
      </c>
      <c r="CF11" s="1099">
        <v>2032</v>
      </c>
      <c r="CG11" s="1044">
        <f>(CF11/CB11-1)*100</f>
        <v>1.3972055888223478</v>
      </c>
      <c r="CH11" s="1045">
        <f>'qtrP&amp;L'!DE11</f>
        <v>-0.16675931072818173</v>
      </c>
      <c r="CJ11" s="1099">
        <v>2077</v>
      </c>
      <c r="CK11" s="1044">
        <f>(CJ11/CF11-1)*100</f>
        <v>2.2145669291338654</v>
      </c>
      <c r="CL11" s="1045">
        <f>'qtrP&amp;L'!DI11</f>
        <v>3.4799554565701607</v>
      </c>
      <c r="CN11" s="1092">
        <f>turn!H158</f>
        <v>2179.7978098396511</v>
      </c>
      <c r="CO11" s="1044">
        <f>(CN11/CJ11-1)*100</f>
        <v>4.9493408685436169</v>
      </c>
      <c r="CP11" s="1045">
        <f>'qtrP&amp;L'!DR11</f>
        <v>0</v>
      </c>
      <c r="CS11" s="239">
        <f>CF11/BX11-1</f>
        <v>0.12576177285318568</v>
      </c>
      <c r="CT11" s="255">
        <f>'qtrP&amp;L'!DD12/'qtrP&amp;L'!CV12-1</f>
        <v>0.14210526315789473</v>
      </c>
    </row>
    <row r="12" spans="1:98" x14ac:dyDescent="0.2">
      <c r="A12" s="239" t="s">
        <v>94</v>
      </c>
      <c r="B12" s="239" t="s">
        <v>80</v>
      </c>
      <c r="D12" s="1043">
        <v>976.48800000000006</v>
      </c>
      <c r="E12" s="1044" t="s">
        <v>83</v>
      </c>
      <c r="F12" s="1045">
        <f>'qtrP&amp;L'!AC12</f>
        <v>8.5562299304845055</v>
      </c>
      <c r="H12" s="1043">
        <v>1134.212</v>
      </c>
      <c r="I12" s="1044">
        <f>(H12/D12-1)*100</f>
        <v>16.152169816730975</v>
      </c>
      <c r="J12" s="1045">
        <f>'qtrP&amp;L'!AG12</f>
        <v>10.700906098898866</v>
      </c>
      <c r="L12" s="1043">
        <v>1048.386</v>
      </c>
      <c r="M12" s="1044">
        <f>(L12/H12-1)*100</f>
        <v>-7.5670156901884278</v>
      </c>
      <c r="N12" s="1045">
        <f>'qtrP&amp;L'!AK12</f>
        <v>32.690698340221537</v>
      </c>
      <c r="P12" s="1043">
        <v>1041.873</v>
      </c>
      <c r="Q12" s="1044">
        <f>(P12/L12-1)*100</f>
        <v>-0.62124064991329053</v>
      </c>
      <c r="R12" s="1045">
        <f>'qtrP&amp;L'!AO12</f>
        <v>-23.23086051442489</v>
      </c>
      <c r="T12" s="1043">
        <v>1186.3910000000001</v>
      </c>
      <c r="U12" s="1044">
        <f>(T12/P12-1)*100</f>
        <v>13.87098043619519</v>
      </c>
      <c r="V12" s="1045">
        <f>'qtrP&amp;L'!AS12</f>
        <v>13.717149770203774</v>
      </c>
      <c r="X12" s="1043">
        <v>1161.1780000000001</v>
      </c>
      <c r="Y12" s="1044">
        <f>(X12/T12-1)*100</f>
        <v>-2.1251846988050271</v>
      </c>
      <c r="Z12" s="1045">
        <f>'qtrP&amp;L'!AW12</f>
        <v>-1.8337439301642</v>
      </c>
      <c r="AB12" s="1043">
        <v>1278.932</v>
      </c>
      <c r="AC12" s="1044">
        <f>(AB12/X12-1)*100</f>
        <v>10.140908628995726</v>
      </c>
      <c r="AD12" s="1045">
        <f>'qtrP&amp;L'!BA12</f>
        <v>6.7751147678296597</v>
      </c>
      <c r="AF12" s="1043">
        <v>1189.9960000000001</v>
      </c>
      <c r="AG12" s="1044">
        <f>(AF12/AB12-1)*100</f>
        <v>-6.9539271829933025</v>
      </c>
      <c r="AH12" s="1045">
        <f>'qtrP&amp;L'!BE12</f>
        <v>6.4917574880913653</v>
      </c>
      <c r="AJ12" s="1043">
        <v>1193.144</v>
      </c>
      <c r="AK12" s="1044">
        <f>(AJ12/AF12-1)*100</f>
        <v>0.26453870433176263</v>
      </c>
      <c r="AL12" s="1045">
        <f>'qtrP&amp;L'!BI12</f>
        <v>9.4386487829110735</v>
      </c>
      <c r="AN12" s="1043">
        <v>1166.471</v>
      </c>
      <c r="AO12" s="1044">
        <f>(AN12/AJ12-1)*100</f>
        <v>-2.2355222839824829</v>
      </c>
      <c r="AP12" s="1045">
        <f>'qtrP&amp;L'!BM12</f>
        <v>8.0344984112573847</v>
      </c>
      <c r="AR12" s="1043">
        <v>1228.23</v>
      </c>
      <c r="AS12" s="1044">
        <f>(AR12/AN12-1)*100</f>
        <v>5.29451653748787</v>
      </c>
      <c r="AT12" s="1045">
        <f>'qtrP&amp;L'!BQ12</f>
        <v>12.371128451380553</v>
      </c>
      <c r="AV12" s="1043">
        <v>1242.163</v>
      </c>
      <c r="AW12" s="1044">
        <f>(AV12/AR12-1)*100</f>
        <v>1.1343966520928506</v>
      </c>
      <c r="AX12" s="1045">
        <f>'qtrP&amp;L'!BU12</f>
        <v>5.2529695214419192</v>
      </c>
      <c r="AZ12" s="1043">
        <v>1278</v>
      </c>
      <c r="BA12" s="1044">
        <f>(AZ12/AV12-1)*100</f>
        <v>2.8850480975524118</v>
      </c>
      <c r="BB12" s="1045">
        <f>'qtrP&amp;L'!BY12</f>
        <v>-7.4320305474299131</v>
      </c>
      <c r="BD12" s="1043">
        <v>1193</v>
      </c>
      <c r="BE12" s="1044">
        <f>(BD12/AZ12-1)*100</f>
        <v>-6.6510172143974922</v>
      </c>
      <c r="BF12" s="1045">
        <f>'qtrP&amp;L'!CC12</f>
        <v>2.4122807017543879</v>
      </c>
      <c r="BH12" s="1099">
        <v>1307</v>
      </c>
      <c r="BI12" s="1044">
        <f>(BH12/BD12-1)*100</f>
        <v>9.5557418273260595</v>
      </c>
      <c r="BJ12" s="1045">
        <f>'qtrP&amp;L'!CG12</f>
        <v>11.723768736616712</v>
      </c>
      <c r="BL12" s="1099">
        <v>1507</v>
      </c>
      <c r="BM12" s="1044">
        <f>(BL12/BH12-1)*100</f>
        <v>15.302218821729152</v>
      </c>
      <c r="BN12" s="1045">
        <f>'qtrP&amp;L'!CK12</f>
        <v>14.183037853378044</v>
      </c>
      <c r="BP12" s="1099">
        <v>1650</v>
      </c>
      <c r="BQ12" s="1044">
        <f>(BP12/BL12-1)*100</f>
        <v>9.4890510948905096</v>
      </c>
      <c r="BR12" s="1045">
        <f>'qtrP&amp;L'!CO12</f>
        <v>13.84809064204784</v>
      </c>
      <c r="BT12" s="1099">
        <v>1795</v>
      </c>
      <c r="BU12" s="1044">
        <f>(BT12/BP12-1)*100</f>
        <v>8.787878787878789</v>
      </c>
      <c r="BV12" s="1045">
        <f>'qtrP&amp;L'!CS12</f>
        <v>2.8750460744563222</v>
      </c>
      <c r="BX12" s="1099">
        <v>2228</v>
      </c>
      <c r="BY12" s="1044">
        <f>(BX12/BT12-1)*100</f>
        <v>24.122562674094716</v>
      </c>
      <c r="BZ12" s="1045">
        <f>'qtrP&amp;L'!CW12</f>
        <v>8.9215335005374374</v>
      </c>
      <c r="CB12" s="1099">
        <v>2402</v>
      </c>
      <c r="CC12" s="1044">
        <f>(CB12/BX12-1)*100</f>
        <v>7.8096947935368144</v>
      </c>
      <c r="CD12" s="1045">
        <f>'qtrP&amp;L'!DA12</f>
        <v>6.5460526315789469</v>
      </c>
      <c r="CF12" s="1099">
        <v>2411</v>
      </c>
      <c r="CG12" s="1044">
        <f>(CF12/CB12-1)*100</f>
        <v>0.37468776019984329</v>
      </c>
      <c r="CH12" s="1045">
        <f>'qtrP&amp;L'!DE12</f>
        <v>7.1935782648965718</v>
      </c>
      <c r="CJ12" s="1099">
        <v>2434</v>
      </c>
      <c r="CK12" s="1044">
        <f>(CJ12/CF12-1)*100</f>
        <v>0.95396101202820383</v>
      </c>
      <c r="CL12" s="1045">
        <f>'qtrP&amp;L'!DI12</f>
        <v>1.9873271889401023</v>
      </c>
      <c r="CN12" s="1092">
        <f>turn!H159</f>
        <v>2530.9685250541547</v>
      </c>
      <c r="CO12" s="1044">
        <f>(CN12/CJ12-1)*100</f>
        <v>3.9839163949940248</v>
      </c>
      <c r="CP12" s="1045">
        <f>'qtrP&amp;L'!DR12</f>
        <v>0</v>
      </c>
    </row>
    <row r="13" spans="1:98" x14ac:dyDescent="0.2">
      <c r="A13" s="239" t="s">
        <v>95</v>
      </c>
      <c r="B13" s="239" t="s">
        <v>81</v>
      </c>
      <c r="D13" s="1043">
        <v>719.91899999999998</v>
      </c>
      <c r="E13" s="1044" t="s">
        <v>83</v>
      </c>
      <c r="F13" s="1045">
        <f>'qtrP&amp;L'!AC13</f>
        <v>6.3910467688437445</v>
      </c>
      <c r="H13" s="1043">
        <v>826.04499999999996</v>
      </c>
      <c r="I13" s="1044">
        <f>(H13/D13-1)*100</f>
        <v>14.741380627542821</v>
      </c>
      <c r="J13" s="1045">
        <f>'qtrP&amp;L'!AG13</f>
        <v>10.108333579322393</v>
      </c>
      <c r="L13" s="1043">
        <v>750.26900000000001</v>
      </c>
      <c r="M13" s="1044">
        <f>(L13/H13-1)*100</f>
        <v>-9.1733501201508361</v>
      </c>
      <c r="N13" s="1045">
        <f>'qtrP&amp;L'!AK13</f>
        <v>-0.59845416525750039</v>
      </c>
      <c r="P13" s="1043">
        <v>797.84500000000003</v>
      </c>
      <c r="Q13" s="1044">
        <f>(P13/L13-1)*100</f>
        <v>6.3411922923644726</v>
      </c>
      <c r="R13" s="1045">
        <f>'qtrP&amp;L'!AO13</f>
        <v>7.63076037902084</v>
      </c>
      <c r="T13" s="1043">
        <v>945.68700000000001</v>
      </c>
      <c r="U13" s="1044">
        <f>(T13/P13-1)*100</f>
        <v>18.530165633675711</v>
      </c>
      <c r="V13" s="1045">
        <f>'qtrP&amp;L'!AS13</f>
        <v>6.3833136509837241</v>
      </c>
      <c r="X13" s="1043">
        <v>888.17200000000003</v>
      </c>
      <c r="Y13" s="1044">
        <f>(X13/T13-1)*100</f>
        <v>-6.0818219981875643</v>
      </c>
      <c r="Z13" s="1045">
        <f>'qtrP&amp;L'!AW13</f>
        <v>-1.4884628276867984</v>
      </c>
      <c r="AB13" s="1043">
        <v>953.11199999999997</v>
      </c>
      <c r="AC13" s="1044">
        <f>(AB13/X13-1)*100</f>
        <v>7.3116468431790205</v>
      </c>
      <c r="AD13" s="1045">
        <f>'qtrP&amp;L'!BA13</f>
        <v>7.326143866984669</v>
      </c>
      <c r="AF13" s="1043">
        <v>901.32300000000009</v>
      </c>
      <c r="AG13" s="1044">
        <f>(AF13/AB13-1)*100</f>
        <v>-5.4336741117518077</v>
      </c>
      <c r="AH13" s="1045">
        <f>'qtrP&amp;L'!BE13</f>
        <v>9.6318604170260613</v>
      </c>
      <c r="AJ13" s="1043">
        <v>917.18200000000002</v>
      </c>
      <c r="AK13" s="1044">
        <f>(AJ13/AF13-1)*100</f>
        <v>1.759524609934493</v>
      </c>
      <c r="AL13" s="1045">
        <f>'qtrP&amp;L'!BI13</f>
        <v>9.438463943309694</v>
      </c>
      <c r="AN13" s="1043">
        <v>955.97799999999995</v>
      </c>
      <c r="AO13" s="1044">
        <f>(AN13/AJ13-1)*100</f>
        <v>4.2299129289497639</v>
      </c>
      <c r="AP13" s="1045">
        <f>'qtrP&amp;L'!BM13</f>
        <v>9.3011950905161669</v>
      </c>
      <c r="AR13" s="1043">
        <v>997.28899999999999</v>
      </c>
      <c r="AS13" s="1044">
        <f>(AR13/AN13-1)*100</f>
        <v>4.3213337545424668</v>
      </c>
      <c r="AT13" s="1045">
        <f>'qtrP&amp;L'!BQ13</f>
        <v>14.60138519841443</v>
      </c>
      <c r="AV13" s="1043">
        <v>956</v>
      </c>
      <c r="AW13" s="1044">
        <f>(AV13/AR13-1)*100</f>
        <v>-4.1401238758273617</v>
      </c>
      <c r="AX13" s="1045">
        <f>'qtrP&amp;L'!BU13</f>
        <v>-4.4434916667426823</v>
      </c>
      <c r="AZ13" s="1043">
        <v>900</v>
      </c>
      <c r="BA13" s="1044">
        <f>(AZ13/AV13-1)*100</f>
        <v>-5.8577405857740628</v>
      </c>
      <c r="BB13" s="1045">
        <f>'qtrP&amp;L'!BY13</f>
        <v>-8.4725536992840134</v>
      </c>
      <c r="BD13" s="1043">
        <v>898</v>
      </c>
      <c r="BE13" s="1044">
        <f>(BD13/AZ13-1)*100</f>
        <v>-0.22222222222222365</v>
      </c>
      <c r="BF13" s="1045">
        <f>'qtrP&amp;L'!CC13</f>
        <v>10.343328987396783</v>
      </c>
      <c r="BH13" s="1099">
        <v>977</v>
      </c>
      <c r="BI13" s="1044">
        <f>(BH13/BD13-1)*100</f>
        <v>8.7973273942093542</v>
      </c>
      <c r="BJ13" s="1045">
        <f>'qtrP&amp;L'!CG13</f>
        <v>10.909807010634109</v>
      </c>
      <c r="BL13" s="1099">
        <v>1148</v>
      </c>
      <c r="BM13" s="1044">
        <f>(BL13/BH13-1)*100</f>
        <v>17.502558853633566</v>
      </c>
      <c r="BN13" s="1045">
        <f>'qtrP&amp;L'!CK13</f>
        <v>12.535511363636353</v>
      </c>
      <c r="BP13" s="1099">
        <v>1360</v>
      </c>
      <c r="BQ13" s="1044">
        <f>(BP13/BL13-1)*100</f>
        <v>18.466898954703836</v>
      </c>
      <c r="BR13" s="1045">
        <f>'qtrP&amp;L'!CO13</f>
        <v>13.474282107920477</v>
      </c>
      <c r="BT13" s="1099">
        <v>1531</v>
      </c>
      <c r="BU13" s="1044">
        <f>(BT13/BP13-1)*100</f>
        <v>12.573529411764707</v>
      </c>
      <c r="BV13" s="1045">
        <f>'qtrP&amp;L'!CS13</f>
        <v>0.50055617352613435</v>
      </c>
      <c r="BX13" s="1099">
        <v>1733</v>
      </c>
      <c r="BY13" s="1044">
        <f>(BX13/BT13-1)*100</f>
        <v>13.193990855649895</v>
      </c>
      <c r="BZ13" s="1045">
        <f>'qtrP&amp;L'!CW13</f>
        <v>8.9651355838406221</v>
      </c>
      <c r="CB13" s="1099">
        <f>bal!$AL$11</f>
        <v>1945</v>
      </c>
      <c r="CC13" s="1044">
        <f>(CB13/BX13-1)*100</f>
        <v>12.233121754183497</v>
      </c>
      <c r="CD13" s="1045">
        <f>'qtrP&amp;L'!DA13</f>
        <v>5.2056881665820232</v>
      </c>
      <c r="CF13" s="1099">
        <v>1896</v>
      </c>
      <c r="CG13" s="1044">
        <f>(CF13/CB13-1)*100</f>
        <v>-2.5192802056555275</v>
      </c>
      <c r="CH13" s="1045">
        <f>'qtrP&amp;L'!DE13</f>
        <v>2.4137098720733663</v>
      </c>
      <c r="CJ13" s="1099">
        <v>2027</v>
      </c>
      <c r="CK13" s="1044">
        <f>(CJ13/CF13-1)*100</f>
        <v>6.9092827004219481</v>
      </c>
      <c r="CL13" s="1045">
        <f>'qtrP&amp;L'!DI13</f>
        <v>8.4138581192552344</v>
      </c>
      <c r="CN13" s="1092">
        <f>turn!H160</f>
        <v>2002.4279429843339</v>
      </c>
      <c r="CO13" s="1044">
        <f>(CN13/CJ13-1)*100</f>
        <v>-1.2122376426080939</v>
      </c>
      <c r="CP13" s="1045">
        <f>'qtrP&amp;L'!DR13</f>
        <v>0</v>
      </c>
    </row>
    <row r="14" spans="1:98" x14ac:dyDescent="0.2">
      <c r="D14" s="582"/>
      <c r="H14" s="582"/>
      <c r="L14" s="582"/>
      <c r="P14" s="582"/>
      <c r="T14" s="582"/>
      <c r="X14" s="582"/>
      <c r="AB14" s="582"/>
      <c r="AF14" s="582"/>
      <c r="AJ14" s="582"/>
      <c r="AN14" s="582"/>
      <c r="AR14" s="582"/>
      <c r="AV14" s="582"/>
      <c r="AZ14" s="582"/>
      <c r="BD14" s="582"/>
      <c r="BH14" s="1097"/>
      <c r="BL14" s="1097"/>
      <c r="BP14" s="1097"/>
      <c r="BQ14" s="253"/>
      <c r="BR14" s="253"/>
      <c r="BT14" s="1097"/>
      <c r="BX14" s="1097"/>
      <c r="BY14" s="1046">
        <f>BX13/BL10-1</f>
        <v>0.50826805918189732</v>
      </c>
      <c r="CB14" s="1097"/>
      <c r="CF14" s="1097"/>
      <c r="CJ14" s="582"/>
      <c r="CN14" s="582"/>
    </row>
    <row r="15" spans="1:98" x14ac:dyDescent="0.2">
      <c r="A15" s="1040" t="s">
        <v>345</v>
      </c>
      <c r="B15" s="261"/>
      <c r="C15" s="261"/>
      <c r="D15" s="1047"/>
      <c r="E15" s="261"/>
      <c r="F15" s="261"/>
      <c r="G15" s="261"/>
      <c r="H15" s="1047"/>
      <c r="I15" s="261"/>
      <c r="J15" s="261"/>
      <c r="K15" s="261"/>
      <c r="L15" s="1047"/>
      <c r="M15" s="261"/>
      <c r="N15" s="261"/>
      <c r="O15" s="261"/>
      <c r="P15" s="1047"/>
      <c r="Q15" s="261"/>
      <c r="R15" s="261"/>
      <c r="S15" s="261"/>
      <c r="T15" s="1047"/>
      <c r="U15" s="261"/>
      <c r="V15" s="261"/>
      <c r="W15" s="261"/>
      <c r="X15" s="1047"/>
      <c r="Y15" s="261"/>
      <c r="Z15" s="261"/>
      <c r="AA15" s="261"/>
      <c r="AB15" s="1047"/>
      <c r="AC15" s="261"/>
      <c r="AD15" s="261"/>
      <c r="AE15" s="261"/>
      <c r="AF15" s="1047"/>
      <c r="AG15" s="261"/>
      <c r="AH15" s="261"/>
      <c r="AI15" s="261"/>
      <c r="AJ15" s="1047"/>
      <c r="AK15" s="261"/>
      <c r="AL15" s="261"/>
      <c r="AM15" s="261"/>
      <c r="AN15" s="1047"/>
      <c r="AO15" s="261"/>
      <c r="AP15" s="261"/>
      <c r="AQ15" s="261"/>
      <c r="AR15" s="1047"/>
      <c r="AS15" s="261"/>
      <c r="AT15" s="261"/>
      <c r="AU15" s="261"/>
      <c r="AV15" s="1047"/>
      <c r="AW15" s="261"/>
      <c r="AX15" s="261"/>
      <c r="AY15" s="261"/>
      <c r="AZ15" s="1047"/>
      <c r="BA15" s="261"/>
      <c r="BB15" s="261"/>
      <c r="BC15" s="261"/>
      <c r="BD15" s="1047"/>
      <c r="BE15" s="261"/>
      <c r="BF15" s="261"/>
      <c r="BG15" s="261"/>
      <c r="BH15" s="1100"/>
      <c r="BI15" s="261"/>
      <c r="BJ15" s="261"/>
      <c r="BK15" s="261"/>
      <c r="BL15" s="1100"/>
      <c r="BM15" s="261"/>
      <c r="BN15" s="261"/>
      <c r="BO15" s="261"/>
      <c r="BP15" s="1100"/>
      <c r="BQ15" s="261"/>
      <c r="BR15" s="261"/>
      <c r="BS15" s="261"/>
      <c r="BT15" s="1100"/>
      <c r="BU15" s="261"/>
      <c r="BV15" s="261"/>
      <c r="BW15" s="261"/>
      <c r="BX15" s="1100"/>
      <c r="BY15" s="261"/>
      <c r="BZ15" s="1042"/>
      <c r="CA15" s="261"/>
      <c r="CB15" s="1100"/>
      <c r="CC15" s="261"/>
      <c r="CD15" s="1042"/>
      <c r="CE15" s="261"/>
      <c r="CF15" s="1100"/>
      <c r="CG15" s="261"/>
      <c r="CH15" s="1042"/>
      <c r="CI15" s="261"/>
      <c r="CJ15" s="1047"/>
      <c r="CK15" s="261"/>
      <c r="CL15" s="1042"/>
      <c r="CM15" s="261"/>
      <c r="CN15" s="1047"/>
      <c r="CO15" s="261"/>
      <c r="CP15" s="1042"/>
      <c r="CR15" s="363">
        <f>bal!AL10-wc!CB17</f>
        <v>-2436</v>
      </c>
    </row>
    <row r="16" spans="1:98" x14ac:dyDescent="0.2">
      <c r="A16" s="239" t="s">
        <v>92</v>
      </c>
      <c r="B16" s="239" t="s">
        <v>78</v>
      </c>
      <c r="D16" s="1043"/>
      <c r="E16" s="1044"/>
      <c r="F16" s="1045"/>
      <c r="H16" s="1043"/>
      <c r="I16" s="1044"/>
      <c r="J16" s="1044"/>
      <c r="L16" s="1043"/>
      <c r="M16" s="1044"/>
      <c r="N16" s="1045"/>
      <c r="P16" s="1043"/>
      <c r="Q16" s="1044"/>
      <c r="R16" s="1045"/>
      <c r="T16" s="1043">
        <v>587.34100000000001</v>
      </c>
      <c r="U16" s="1044" t="s">
        <v>83</v>
      </c>
      <c r="V16" s="1045">
        <f>V10</f>
        <v>10.997156206543135</v>
      </c>
      <c r="X16" s="1043">
        <v>689.23299999999995</v>
      </c>
      <c r="Y16" s="1044">
        <f>(X16/T16-1)*100</f>
        <v>17.348014185966921</v>
      </c>
      <c r="Z16" s="1045">
        <f>Z10</f>
        <v>5.6064062314403751</v>
      </c>
      <c r="AB16" s="1043">
        <v>670.78599999999994</v>
      </c>
      <c r="AC16" s="1044">
        <f>(AB16/X16-1)*100</f>
        <v>-2.6764533909432675</v>
      </c>
      <c r="AD16" s="1045">
        <f>AD10</f>
        <v>2.2758694295753834</v>
      </c>
      <c r="AF16" s="1043">
        <v>609.04700000000003</v>
      </c>
      <c r="AG16" s="1044">
        <f>(AF16/AB16-1)*100</f>
        <v>-9.2039786161309145</v>
      </c>
      <c r="AH16" s="1045">
        <f>AH10</f>
        <v>7.201301052127973</v>
      </c>
      <c r="AJ16" s="1043">
        <v>640.58100000000002</v>
      </c>
      <c r="AK16" s="1044">
        <f>(AJ16/AF16-1)*100</f>
        <v>5.1775971312558733</v>
      </c>
      <c r="AL16" s="1045">
        <f>AL10</f>
        <v>14.977326368504929</v>
      </c>
      <c r="AN16" s="1043">
        <v>629.78800000000001</v>
      </c>
      <c r="AO16" s="1044">
        <f>(AN16/AJ16-1)*100</f>
        <v>-1.684876697872717</v>
      </c>
      <c r="AP16" s="1045">
        <f>AP10</f>
        <v>7.7489270526021059</v>
      </c>
      <c r="AR16" s="1043">
        <v>619.09500000000003</v>
      </c>
      <c r="AS16" s="1044">
        <f>(AR16/AN16-1)*100</f>
        <v>-1.6978729350193955</v>
      </c>
      <c r="AT16" s="1045">
        <f>AT10</f>
        <v>8.0236377241346801</v>
      </c>
      <c r="AV16" s="1043">
        <v>1602.527</v>
      </c>
      <c r="AW16" s="1044">
        <f>(AV16/AR16-1)*100</f>
        <v>158.84993417811484</v>
      </c>
      <c r="AX16" s="1045">
        <f>AX10</f>
        <v>9.3244659452122125</v>
      </c>
      <c r="AZ16" s="1043">
        <v>1806</v>
      </c>
      <c r="BA16" s="1044">
        <f>(AZ16/AV16-1)*100</f>
        <v>12.697009161156103</v>
      </c>
      <c r="BB16" s="1045">
        <f>BB10</f>
        <v>-3.8319808052932891</v>
      </c>
      <c r="BD16" s="1043">
        <v>1921</v>
      </c>
      <c r="BE16" s="1044">
        <f>(BD16/AZ16-1)*100</f>
        <v>6.3676633444075259</v>
      </c>
      <c r="BF16" s="1045">
        <f>BF10</f>
        <v>-9.207025013304948</v>
      </c>
      <c r="BH16" s="1099">
        <v>1964</v>
      </c>
      <c r="BI16" s="1044">
        <f>(BH16/BD16-1)*100</f>
        <v>2.2384174908901544</v>
      </c>
      <c r="BJ16" s="1045">
        <f>BJ10</f>
        <v>16.647127784290738</v>
      </c>
      <c r="BL16" s="1099">
        <v>1969</v>
      </c>
      <c r="BM16" s="1044">
        <f>(BL16/BH16-1)*100</f>
        <v>0.25458248472505218</v>
      </c>
      <c r="BN16" s="1045">
        <f>BN10</f>
        <v>12.010050251256278</v>
      </c>
      <c r="BP16" s="1099">
        <v>2008</v>
      </c>
      <c r="BQ16" s="1044">
        <f>(BP16/BL16-1)*100</f>
        <v>1.980700863382423</v>
      </c>
      <c r="BR16" s="1045">
        <f>BR10</f>
        <v>13.728129205921945</v>
      </c>
      <c r="BT16" s="1099">
        <v>2087</v>
      </c>
      <c r="BU16" s="1044">
        <f>(BT16/BP16-1)*100</f>
        <v>3.9342629482071789</v>
      </c>
      <c r="BV16" s="1045">
        <f>BV10</f>
        <v>4.8126232741617425</v>
      </c>
      <c r="BX16" s="1099">
        <v>2167</v>
      </c>
      <c r="BY16" s="1044">
        <f>(BX16/BT16-1)*100</f>
        <v>3.8332534738859669</v>
      </c>
      <c r="BZ16" s="1045">
        <f>BZ10</f>
        <v>6.7745577719232175</v>
      </c>
      <c r="CB16" s="1099">
        <v>2266</v>
      </c>
      <c r="CC16" s="1044">
        <f>(CB16/BX16-1)*100</f>
        <v>4.5685279187817285</v>
      </c>
      <c r="CD16" s="1045">
        <f>CD10</f>
        <v>9.7990835389496045</v>
      </c>
      <c r="CF16" s="1099">
        <v>224</v>
      </c>
      <c r="CG16" s="1044">
        <f>(CF16/CB16-1)*100</f>
        <v>-90.114739629302733</v>
      </c>
      <c r="CH16" s="1045">
        <f>CH10</f>
        <v>2.4719101123595433</v>
      </c>
      <c r="CJ16" s="1099">
        <v>209</v>
      </c>
      <c r="CK16" s="1044">
        <f>(CJ16/CF16-1)*100</f>
        <v>-6.6964285714285694</v>
      </c>
      <c r="CL16" s="1045">
        <f>CL10</f>
        <v>2.7255639097744311</v>
      </c>
      <c r="CN16" s="1099"/>
      <c r="CO16" s="1044">
        <f>(CN16/CJ16-1)*100</f>
        <v>-100</v>
      </c>
      <c r="CP16" s="1045">
        <f>CP10</f>
        <v>0</v>
      </c>
    </row>
    <row r="17" spans="1:94" x14ac:dyDescent="0.2">
      <c r="A17" s="239" t="s">
        <v>93</v>
      </c>
      <c r="B17" s="239" t="s">
        <v>79</v>
      </c>
      <c r="D17" s="1043"/>
      <c r="E17" s="1044"/>
      <c r="F17" s="1045"/>
      <c r="H17" s="1043"/>
      <c r="I17" s="1044"/>
      <c r="J17" s="1044"/>
      <c r="L17" s="1043"/>
      <c r="M17" s="1044"/>
      <c r="N17" s="1045"/>
      <c r="P17" s="1043"/>
      <c r="Q17" s="1044"/>
      <c r="R17" s="1045"/>
      <c r="T17" s="1043">
        <v>651.52499999999998</v>
      </c>
      <c r="U17" s="1044" t="s">
        <v>83</v>
      </c>
      <c r="V17" s="1045">
        <f>V11</f>
        <v>0.9449942669885969</v>
      </c>
      <c r="X17" s="1043">
        <v>749.95699999999999</v>
      </c>
      <c r="Y17" s="1044">
        <f>(X17/T17-1)*100</f>
        <v>15.107939066037378</v>
      </c>
      <c r="Z17" s="1045">
        <f>Z11</f>
        <v>6.0893526922826124</v>
      </c>
      <c r="AB17" s="1043">
        <v>772.13100000000009</v>
      </c>
      <c r="AC17" s="1044">
        <f>(AB17/X17-1)*100</f>
        <v>2.9567028509634774</v>
      </c>
      <c r="AD17" s="1045">
        <f>AD11</f>
        <v>7.1013010436943969</v>
      </c>
      <c r="AF17" s="1043">
        <v>726.596</v>
      </c>
      <c r="AG17" s="1044">
        <f>(AF17/AB17-1)*100</f>
        <v>-5.8973153519286337</v>
      </c>
      <c r="AH17" s="1045">
        <f>AH11</f>
        <v>7.8085058060026746</v>
      </c>
      <c r="AJ17" s="1043">
        <v>721.51</v>
      </c>
      <c r="AK17" s="1044">
        <f>(AJ17/AF17-1)*100</f>
        <v>-0.6999763279731841</v>
      </c>
      <c r="AL17" s="1045">
        <f>AL11</f>
        <v>9.4509188704616776</v>
      </c>
      <c r="AN17" s="1043">
        <v>701.88199999999995</v>
      </c>
      <c r="AO17" s="1044">
        <f>(AN17/AJ17-1)*100</f>
        <v>-2.7204058155812172</v>
      </c>
      <c r="AP17" s="1045">
        <f>AP11</f>
        <v>7.8300264143989162</v>
      </c>
      <c r="AR17" s="1043">
        <v>712.16600000000005</v>
      </c>
      <c r="AS17" s="1044">
        <f>(AR17/AN17-1)*100</f>
        <v>1.4652035527339402</v>
      </c>
      <c r="AT17" s="1045">
        <f>AT11</f>
        <v>7.7870794203294791</v>
      </c>
      <c r="AV17" s="1043">
        <v>1802.4849999999999</v>
      </c>
      <c r="AW17" s="1044">
        <f>(AV17/AR17-1)*100</f>
        <v>153.09899658225748</v>
      </c>
      <c r="AX17" s="1045">
        <f>AX11</f>
        <v>5.2425314957092572</v>
      </c>
      <c r="AZ17" s="1043">
        <v>2045</v>
      </c>
      <c r="BA17" s="1044">
        <f>(AZ17/AV17-1)*100</f>
        <v>13.454480897205801</v>
      </c>
      <c r="BB17" s="1045">
        <f>BB11</f>
        <v>-4.289520225587129</v>
      </c>
      <c r="BD17" s="1043">
        <v>2102</v>
      </c>
      <c r="BE17" s="1044">
        <f>(BD17/AZ17-1)*100</f>
        <v>2.7872860635696828</v>
      </c>
      <c r="BF17" s="1045">
        <f>BF11</f>
        <v>-6.2090074333187584</v>
      </c>
      <c r="BH17" s="1099">
        <v>2153</v>
      </c>
      <c r="BI17" s="1044">
        <f>(BH17/BD17-1)*100</f>
        <v>2.426260704091332</v>
      </c>
      <c r="BJ17" s="1045">
        <f>BJ11</f>
        <v>12.680652680652681</v>
      </c>
      <c r="BL17" s="1099">
        <v>2204</v>
      </c>
      <c r="BM17" s="1044">
        <f>(BL17/BH17-1)*100</f>
        <v>2.3687877380399458</v>
      </c>
      <c r="BN17" s="1045">
        <f>BN11</f>
        <v>12.370707488622257</v>
      </c>
      <c r="BP17" s="1099">
        <v>2297</v>
      </c>
      <c r="BQ17" s="1044">
        <f>(BP17/BL17-1)*100</f>
        <v>4.2196007259528212</v>
      </c>
      <c r="BR17" s="1045">
        <f>BR11</f>
        <v>7.4374079528718662</v>
      </c>
      <c r="BT17" s="1099">
        <v>2369</v>
      </c>
      <c r="BU17" s="1044">
        <f>(BT17/BP17-1)*100</f>
        <v>3.1345232912494581</v>
      </c>
      <c r="BV17" s="1045">
        <f>BV11</f>
        <v>6.3742289239204997</v>
      </c>
      <c r="BX17" s="1099">
        <v>2454</v>
      </c>
      <c r="BY17" s="1044">
        <f>(BX17/BT17-1)*100</f>
        <v>3.588011819333059</v>
      </c>
      <c r="BZ17" s="1045">
        <f>BZ11</f>
        <v>6.1855670103092786</v>
      </c>
      <c r="CB17" s="1099">
        <f>2391+241</f>
        <v>2632</v>
      </c>
      <c r="CC17" s="1044">
        <f>(CB17/BX17-1)*100</f>
        <v>7.2534637326813423</v>
      </c>
      <c r="CD17" s="1045">
        <f>CD11</f>
        <v>9.1626213592232997</v>
      </c>
      <c r="CF17" s="1099">
        <v>263</v>
      </c>
      <c r="CG17" s="1044">
        <f>(CF17/CB17-1)*100</f>
        <v>-90.007598784194528</v>
      </c>
      <c r="CH17" s="1045">
        <f>CH11</f>
        <v>-0.16675931072818173</v>
      </c>
      <c r="CJ17" s="1099">
        <v>320</v>
      </c>
      <c r="CK17" s="1044">
        <f>(CJ17/CF17-1)*100</f>
        <v>21.673003802281364</v>
      </c>
      <c r="CL17" s="1045">
        <f>CL11</f>
        <v>3.4799554565701607</v>
      </c>
      <c r="CN17" s="1043"/>
      <c r="CO17" s="1044">
        <f>(CN17/CJ17-1)*100</f>
        <v>-100</v>
      </c>
      <c r="CP17" s="1045">
        <f>CP11</f>
        <v>0</v>
      </c>
    </row>
    <row r="18" spans="1:94" x14ac:dyDescent="0.2">
      <c r="A18" s="239" t="s">
        <v>94</v>
      </c>
      <c r="B18" s="239" t="s">
        <v>80</v>
      </c>
      <c r="D18" s="1043"/>
      <c r="E18" s="1044"/>
      <c r="F18" s="1045"/>
      <c r="H18" s="1043"/>
      <c r="I18" s="1044"/>
      <c r="J18" s="1044"/>
      <c r="L18" s="1043"/>
      <c r="M18" s="1044"/>
      <c r="N18" s="1045"/>
      <c r="P18" s="1043"/>
      <c r="Q18" s="1044"/>
      <c r="R18" s="1045"/>
      <c r="T18" s="1043">
        <v>638.93600000000004</v>
      </c>
      <c r="U18" s="1044" t="s">
        <v>83</v>
      </c>
      <c r="V18" s="1045">
        <f>V12</f>
        <v>13.717149770203774</v>
      </c>
      <c r="X18" s="1043">
        <v>699.45</v>
      </c>
      <c r="Y18" s="1044">
        <f>(X18/T18-1)*100</f>
        <v>9.4710581341480129</v>
      </c>
      <c r="Z18" s="1045">
        <f>Z12</f>
        <v>-1.8337439301642</v>
      </c>
      <c r="AB18" s="1043">
        <v>721.35700000000008</v>
      </c>
      <c r="AC18" s="1044">
        <f>(AB18/X18-1)*100</f>
        <v>3.1320323111015957</v>
      </c>
      <c r="AD18" s="1045">
        <f>AD12</f>
        <v>6.7751147678296597</v>
      </c>
      <c r="AF18" s="1043">
        <v>645.18200000000002</v>
      </c>
      <c r="AG18" s="1044">
        <f>(AF18/AB18-1)*100</f>
        <v>-10.559958522617796</v>
      </c>
      <c r="AH18" s="1045">
        <f>AH12</f>
        <v>6.4917574880913653</v>
      </c>
      <c r="AJ18" s="1043">
        <v>635.40899999999999</v>
      </c>
      <c r="AK18" s="1044">
        <f>(AJ18/AF18-1)*100</f>
        <v>-1.5147663759993324</v>
      </c>
      <c r="AL18" s="1045">
        <f>AL12</f>
        <v>9.4386487829110735</v>
      </c>
      <c r="AN18" s="1043">
        <v>626.86400000000003</v>
      </c>
      <c r="AO18" s="1044">
        <f>(AN18/AJ18-1)*100</f>
        <v>-1.3448031110670389</v>
      </c>
      <c r="AP18" s="1045">
        <f>AP12</f>
        <v>8.0344984112573847</v>
      </c>
      <c r="AR18" s="1043">
        <v>667.74800000000005</v>
      </c>
      <c r="AS18" s="1044">
        <f>(AR18/AN18-1)*100</f>
        <v>6.5219888205416243</v>
      </c>
      <c r="AT18" s="1045">
        <f>AT12</f>
        <v>12.371128451380553</v>
      </c>
      <c r="AV18" s="1043">
        <v>1734.0429999999999</v>
      </c>
      <c r="AW18" s="1044">
        <f>(AV18/AR18-1)*100</f>
        <v>159.68524053984433</v>
      </c>
      <c r="AX18" s="1045">
        <f>AX12</f>
        <v>5.2529695214419192</v>
      </c>
      <c r="AZ18" s="1043">
        <v>1918</v>
      </c>
      <c r="BA18" s="1044">
        <f>(AZ18/AV18-1)*100</f>
        <v>10.608560456689942</v>
      </c>
      <c r="BB18" s="1045">
        <f>BB12</f>
        <v>-7.4320305474299131</v>
      </c>
      <c r="BD18" s="1043">
        <v>2016</v>
      </c>
      <c r="BE18" s="1044">
        <f>(BD18/AZ18-1)*100</f>
        <v>5.1094890510948954</v>
      </c>
      <c r="BF18" s="1045">
        <f>BF12</f>
        <v>2.4122807017543879</v>
      </c>
      <c r="BH18" s="1099">
        <v>2015</v>
      </c>
      <c r="BI18" s="1044">
        <f>(BH18/BD18-1)*100</f>
        <v>-4.9603174603174427E-2</v>
      </c>
      <c r="BJ18" s="1045">
        <f>BJ12</f>
        <v>11.723768736616712</v>
      </c>
      <c r="BL18" s="1099">
        <v>1995</v>
      </c>
      <c r="BM18" s="1044">
        <f>(BL18/BH18-1)*100</f>
        <v>-0.99255583126550695</v>
      </c>
      <c r="BN18" s="1045">
        <f>BN12</f>
        <v>14.183037853378044</v>
      </c>
      <c r="BP18" s="1099">
        <v>2088</v>
      </c>
      <c r="BQ18" s="1044">
        <f>(BP18/BL18-1)*100</f>
        <v>4.6616541353383445</v>
      </c>
      <c r="BR18" s="1045">
        <f>BR12</f>
        <v>13.84809064204784</v>
      </c>
      <c r="BT18" s="1099">
        <v>2146</v>
      </c>
      <c r="BU18" s="1044">
        <f>(BT18/BP18-1)*100</f>
        <v>2.7777777777777679</v>
      </c>
      <c r="BV18" s="1045">
        <f>BV12</f>
        <v>2.8750460744563222</v>
      </c>
      <c r="BX18" s="1099">
        <v>2253</v>
      </c>
      <c r="BY18" s="1044">
        <f>(BX18/BT18-1)*100</f>
        <v>4.9860205032618898</v>
      </c>
      <c r="BZ18" s="1045">
        <f>BZ12</f>
        <v>8.9215335005374374</v>
      </c>
      <c r="CB18" s="1099">
        <v>215</v>
      </c>
      <c r="CC18" s="1044">
        <f>(CB18/BX18-1)*100</f>
        <v>-90.457168220150905</v>
      </c>
      <c r="CD18" s="1045">
        <f>CD12</f>
        <v>6.5460526315789469</v>
      </c>
      <c r="CF18" s="1099">
        <v>216</v>
      </c>
      <c r="CG18" s="1044">
        <f>(CF18/CB18-1)*100</f>
        <v>0.46511627906977715</v>
      </c>
      <c r="CH18" s="1045">
        <f>CH12</f>
        <v>7.1935782648965718</v>
      </c>
      <c r="CJ18" s="1099">
        <v>211</v>
      </c>
      <c r="CK18" s="1044">
        <f>(CJ18/CF18-1)*100</f>
        <v>-2.314814814814814</v>
      </c>
      <c r="CL18" s="1045">
        <f>CL12</f>
        <v>1.9873271889401023</v>
      </c>
      <c r="CN18" s="1043"/>
      <c r="CO18" s="1044">
        <f>(CN18/CJ18-1)*100</f>
        <v>-100</v>
      </c>
      <c r="CP18" s="1045">
        <f>CP12</f>
        <v>0</v>
      </c>
    </row>
    <row r="19" spans="1:94" x14ac:dyDescent="0.2">
      <c r="A19" s="239" t="s">
        <v>95</v>
      </c>
      <c r="B19" s="239" t="s">
        <v>81</v>
      </c>
      <c r="D19" s="1043"/>
      <c r="E19" s="1044"/>
      <c r="F19" s="1045"/>
      <c r="H19" s="1043"/>
      <c r="I19" s="1044"/>
      <c r="J19" s="1044"/>
      <c r="L19" s="1043"/>
      <c r="M19" s="1044"/>
      <c r="N19" s="1045"/>
      <c r="P19" s="1043"/>
      <c r="Q19" s="1044"/>
      <c r="R19" s="1045"/>
      <c r="T19" s="1043">
        <v>721.95299999999997</v>
      </c>
      <c r="U19" s="1044" t="s">
        <v>83</v>
      </c>
      <c r="V19" s="1045">
        <f>V13</f>
        <v>6.3833136509837241</v>
      </c>
      <c r="X19" s="1043">
        <v>698.47500000000002</v>
      </c>
      <c r="Y19" s="1044">
        <f>(X19/T19-1)*100</f>
        <v>-3.2520122501049187</v>
      </c>
      <c r="Z19" s="1045">
        <f>Z13</f>
        <v>-1.4884628276867984</v>
      </c>
      <c r="AB19" s="1043">
        <v>654.28800000000001</v>
      </c>
      <c r="AC19" s="1044">
        <f>(AB19/X19-1)*100</f>
        <v>-6.3262106732524419</v>
      </c>
      <c r="AD19" s="1045">
        <f>AD13</f>
        <v>7.326143866984669</v>
      </c>
      <c r="AF19" s="1043">
        <v>666.81100000000004</v>
      </c>
      <c r="AG19" s="1044">
        <f>(AF19/AB19-1)*100</f>
        <v>1.9139889467635118</v>
      </c>
      <c r="AH19" s="1045">
        <f>AH13</f>
        <v>9.6318604170260613</v>
      </c>
      <c r="AJ19" s="1043">
        <v>645.66300000000001</v>
      </c>
      <c r="AK19" s="1044">
        <f>(AJ19/AF19-1)*100</f>
        <v>-3.1715133673559714</v>
      </c>
      <c r="AL19" s="1045">
        <f>AL13</f>
        <v>9.438463943309694</v>
      </c>
      <c r="AN19" s="1043">
        <v>639.55799999999999</v>
      </c>
      <c r="AO19" s="1044">
        <f>(AN19/AJ19-1)*100</f>
        <v>-0.94553970105147878</v>
      </c>
      <c r="AP19" s="1045">
        <f>AP13</f>
        <v>9.3011950905161669</v>
      </c>
      <c r="AR19" s="1043">
        <v>684.37599999999998</v>
      </c>
      <c r="AS19" s="1044">
        <f>(AR19/AN19-1)*100</f>
        <v>7.007652159772837</v>
      </c>
      <c r="AT19" s="1045">
        <f>AT13</f>
        <v>14.60138519841443</v>
      </c>
      <c r="AV19" s="1043">
        <v>1788</v>
      </c>
      <c r="AW19" s="1044">
        <f>(AV19/AR19-1)*100</f>
        <v>161.25989222298855</v>
      </c>
      <c r="AX19" s="1045">
        <f>AX13</f>
        <v>-4.4434916667426823</v>
      </c>
      <c r="AZ19" s="1043">
        <v>1942</v>
      </c>
      <c r="BA19" s="1044">
        <f>(AZ19/AV19-1)*100</f>
        <v>8.6129753914988783</v>
      </c>
      <c r="BB19" s="1045">
        <f>BB13</f>
        <v>-8.4725536992840134</v>
      </c>
      <c r="BD19" s="1043">
        <v>2035</v>
      </c>
      <c r="BE19" s="1044">
        <f>(BD19/AZ19-1)*100</f>
        <v>4.7888774459320382</v>
      </c>
      <c r="BF19" s="1045">
        <f>BF13</f>
        <v>10.343328987396783</v>
      </c>
      <c r="BH19" s="1099">
        <v>2026</v>
      </c>
      <c r="BI19" s="1044">
        <f>(BH19/BD19-1)*100</f>
        <v>-0.44226044226044481</v>
      </c>
      <c r="BJ19" s="1045">
        <f>BJ13</f>
        <v>10.909807010634109</v>
      </c>
      <c r="BL19" s="1099">
        <v>2033</v>
      </c>
      <c r="BM19" s="1044">
        <f>(BL19/BH19-1)*100</f>
        <v>0.34550839091807006</v>
      </c>
      <c r="BN19" s="1045">
        <f>BN13</f>
        <v>12.535511363636353</v>
      </c>
      <c r="BP19" s="1099">
        <v>2129</v>
      </c>
      <c r="BQ19" s="1044">
        <f>(BP19/BL19-1)*100</f>
        <v>4.7220855878012724</v>
      </c>
      <c r="BR19" s="1045">
        <f>BR13</f>
        <v>13.474282107920477</v>
      </c>
      <c r="BT19" s="1099">
        <v>2177</v>
      </c>
      <c r="BU19" s="1044">
        <f>(BT19/BP19-1)*100</f>
        <v>2.2545796148426556</v>
      </c>
      <c r="BV19" s="1045">
        <f>BV13</f>
        <v>0.50055617352613435</v>
      </c>
      <c r="BX19" s="1099">
        <v>2306</v>
      </c>
      <c r="BY19" s="1044"/>
      <c r="BZ19" s="1045">
        <f>BZ13</f>
        <v>8.9651355838406221</v>
      </c>
      <c r="CB19" s="1099">
        <v>196</v>
      </c>
      <c r="CC19" s="1044">
        <f>(CB19/BX19-1)*100</f>
        <v>-91.500433651344309</v>
      </c>
      <c r="CD19" s="1045">
        <f>CD13</f>
        <v>5.2056881665820232</v>
      </c>
      <c r="CF19" s="1099">
        <v>199</v>
      </c>
      <c r="CG19" s="1044">
        <f>(CF19/CB19-1)*100</f>
        <v>1.5306122448979664</v>
      </c>
      <c r="CH19" s="1045">
        <f>CH13</f>
        <v>2.4137098720733663</v>
      </c>
      <c r="CJ19" s="1099">
        <v>145</v>
      </c>
      <c r="CK19" s="1044">
        <f>(CJ19/CF19-1)*100</f>
        <v>-27.135678391959793</v>
      </c>
      <c r="CL19" s="1045">
        <f>CL13</f>
        <v>8.4138581192552344</v>
      </c>
      <c r="CN19" s="1043"/>
      <c r="CO19" s="1044">
        <f>(CN19/CJ19-1)*100</f>
        <v>-100</v>
      </c>
      <c r="CP19" s="1045">
        <f>CP13</f>
        <v>0</v>
      </c>
    </row>
    <row r="20" spans="1:94" x14ac:dyDescent="0.2">
      <c r="D20" s="582"/>
      <c r="H20" s="582"/>
      <c r="L20" s="582"/>
      <c r="P20" s="582"/>
      <c r="T20" s="582"/>
      <c r="X20" s="582"/>
      <c r="AB20" s="582"/>
      <c r="AF20" s="582"/>
      <c r="AJ20" s="582"/>
      <c r="AN20" s="582"/>
      <c r="AR20" s="582"/>
      <c r="AV20" s="582"/>
      <c r="AZ20" s="582"/>
      <c r="BD20" s="582"/>
      <c r="BH20" s="1097"/>
      <c r="BL20" s="1097"/>
      <c r="BP20" s="1097"/>
      <c r="BT20" s="1097"/>
      <c r="BX20" s="1097"/>
      <c r="CB20" s="1097"/>
      <c r="CF20" s="1097"/>
      <c r="CJ20" s="582"/>
      <c r="CN20" s="582"/>
    </row>
    <row r="21" spans="1:94" x14ac:dyDescent="0.2">
      <c r="A21" s="1040" t="s">
        <v>346</v>
      </c>
      <c r="B21" s="261"/>
      <c r="C21" s="261"/>
      <c r="D21" s="1047"/>
      <c r="E21" s="261"/>
      <c r="F21" s="261"/>
      <c r="G21" s="261"/>
      <c r="H21" s="1047"/>
      <c r="I21" s="261"/>
      <c r="J21" s="261"/>
      <c r="K21" s="261"/>
      <c r="L21" s="1047"/>
      <c r="M21" s="261"/>
      <c r="N21" s="261"/>
      <c r="O21" s="261"/>
      <c r="P21" s="1047"/>
      <c r="Q21" s="261"/>
      <c r="R21" s="261"/>
      <c r="S21" s="261"/>
      <c r="T21" s="1047"/>
      <c r="U21" s="261"/>
      <c r="V21" s="261"/>
      <c r="W21" s="261"/>
      <c r="X21" s="1047"/>
      <c r="Y21" s="261"/>
      <c r="Z21" s="261"/>
      <c r="AA21" s="261"/>
      <c r="AB21" s="1047"/>
      <c r="AC21" s="261"/>
      <c r="AD21" s="261"/>
      <c r="AE21" s="261"/>
      <c r="AF21" s="1047"/>
      <c r="AG21" s="261"/>
      <c r="AH21" s="261"/>
      <c r="AI21" s="261"/>
      <c r="AJ21" s="1047"/>
      <c r="AK21" s="261"/>
      <c r="AL21" s="261"/>
      <c r="AM21" s="261"/>
      <c r="AN21" s="1047"/>
      <c r="AO21" s="261"/>
      <c r="AP21" s="261"/>
      <c r="AQ21" s="261"/>
      <c r="AR21" s="1047"/>
      <c r="AS21" s="261"/>
      <c r="AT21" s="261"/>
      <c r="AU21" s="261"/>
      <c r="AV21" s="1047"/>
      <c r="AW21" s="261"/>
      <c r="AX21" s="261"/>
      <c r="AY21" s="261"/>
      <c r="AZ21" s="1047"/>
      <c r="BA21" s="261"/>
      <c r="BB21" s="261"/>
      <c r="BC21" s="261"/>
      <c r="BD21" s="1047"/>
      <c r="BE21" s="261"/>
      <c r="BF21" s="261"/>
      <c r="BG21" s="261"/>
      <c r="BH21" s="1100"/>
      <c r="BI21" s="261"/>
      <c r="BJ21" s="261"/>
      <c r="BK21" s="261"/>
      <c r="BL21" s="1100"/>
      <c r="BM21" s="261"/>
      <c r="BN21" s="261"/>
      <c r="BO21" s="261"/>
      <c r="BP21" s="1100"/>
      <c r="BQ21" s="261"/>
      <c r="BR21" s="261"/>
      <c r="BS21" s="261"/>
      <c r="BT21" s="1100"/>
      <c r="BU21" s="261"/>
      <c r="BV21" s="261"/>
      <c r="BW21" s="261"/>
      <c r="BX21" s="1100"/>
      <c r="BY21" s="261"/>
      <c r="BZ21" s="261"/>
      <c r="CA21" s="261"/>
      <c r="CB21" s="1100"/>
      <c r="CC21" s="261"/>
      <c r="CD21" s="261"/>
      <c r="CE21" s="261"/>
      <c r="CF21" s="1100"/>
      <c r="CG21" s="261"/>
      <c r="CH21" s="261"/>
      <c r="CI21" s="261"/>
      <c r="CJ21" s="1047"/>
      <c r="CK21" s="261"/>
      <c r="CL21" s="261"/>
      <c r="CM21" s="261"/>
      <c r="CN21" s="1047"/>
      <c r="CO21" s="261"/>
      <c r="CP21" s="261"/>
    </row>
    <row r="22" spans="1:94" x14ac:dyDescent="0.2">
      <c r="A22" s="239" t="s">
        <v>92</v>
      </c>
      <c r="B22" s="239" t="s">
        <v>78</v>
      </c>
      <c r="D22" s="1043"/>
      <c r="E22" s="1044"/>
      <c r="F22" s="1045"/>
      <c r="H22" s="1043"/>
      <c r="I22" s="1044"/>
      <c r="J22" s="1044"/>
      <c r="L22" s="1043"/>
      <c r="M22" s="1044"/>
      <c r="N22" s="1045"/>
      <c r="P22" s="1043"/>
      <c r="Q22" s="1044"/>
      <c r="R22" s="1045"/>
      <c r="T22" s="1043">
        <v>110.14100000000001</v>
      </c>
      <c r="U22" s="1044" t="s">
        <v>83</v>
      </c>
      <c r="V22" s="1045">
        <f>V16</f>
        <v>10.997156206543135</v>
      </c>
      <c r="X22" s="1043">
        <v>134.93</v>
      </c>
      <c r="Y22" s="1044">
        <f>(X22/T22-1)*100</f>
        <v>22.506605169736972</v>
      </c>
      <c r="Z22" s="1045">
        <f>Z16</f>
        <v>5.6064062314403751</v>
      </c>
      <c r="AB22" s="1043">
        <v>129.93</v>
      </c>
      <c r="AC22" s="1044">
        <f>(AB22/X22-1)*100</f>
        <v>-3.705625138960944</v>
      </c>
      <c r="AD22" s="1045">
        <f>AD16</f>
        <v>2.2758694295753834</v>
      </c>
      <c r="AF22" s="1043">
        <v>405.22800000000001</v>
      </c>
      <c r="AG22" s="1044">
        <f>(AF22/AB22-1)*100</f>
        <v>211.88178249826831</v>
      </c>
      <c r="AH22" s="1045">
        <f>AH16</f>
        <v>7.201301052127973</v>
      </c>
      <c r="AJ22" s="1043">
        <v>586.81400000000008</v>
      </c>
      <c r="AK22" s="1044">
        <f>(AJ22/AF22-1)*100</f>
        <v>44.810822549280907</v>
      </c>
      <c r="AL22" s="1045">
        <f>AL16</f>
        <v>14.977326368504929</v>
      </c>
      <c r="AN22" s="1043">
        <v>649.11299999999994</v>
      </c>
      <c r="AO22" s="1044">
        <f>(AN22/AJ22-1)*100</f>
        <v>10.616481542703449</v>
      </c>
      <c r="AP22" s="1045">
        <f>AP16</f>
        <v>7.7489270526021059</v>
      </c>
      <c r="AR22" s="1043">
        <v>813.93700000000001</v>
      </c>
      <c r="AS22" s="1044">
        <f>(AR22/AN22-1)*100</f>
        <v>25.39218903334244</v>
      </c>
      <c r="AT22" s="1045">
        <f>AT16</f>
        <v>8.0236377241346801</v>
      </c>
      <c r="AV22" s="1043">
        <v>235.34</v>
      </c>
      <c r="AW22" s="1044">
        <f>(AV22/AR22-1)*100</f>
        <v>-71.086214289312323</v>
      </c>
      <c r="AX22" s="1045">
        <f>AX16</f>
        <v>9.3244659452122125</v>
      </c>
      <c r="AZ22" s="1043">
        <v>256</v>
      </c>
      <c r="BA22" s="1044">
        <f>(AZ22/AV22-1)*100</f>
        <v>8.778788136313409</v>
      </c>
      <c r="BB22" s="1045">
        <f>BB16</f>
        <v>-3.8319808052932891</v>
      </c>
      <c r="BD22" s="1043">
        <v>290</v>
      </c>
      <c r="BE22" s="1044">
        <f>(BD22/AZ22-1)*100</f>
        <v>13.28125</v>
      </c>
      <c r="BF22" s="1045">
        <f>BF16</f>
        <v>-9.207025013304948</v>
      </c>
      <c r="BH22" s="1099">
        <v>318</v>
      </c>
      <c r="BI22" s="1044">
        <f>(BH22/BD22-1)*100</f>
        <v>9.6551724137930997</v>
      </c>
      <c r="BJ22" s="1045">
        <f>BJ16</f>
        <v>16.647127784290738</v>
      </c>
      <c r="BL22" s="1099">
        <v>302</v>
      </c>
      <c r="BM22" s="1044">
        <f>(BL22/BH22-1)*100</f>
        <v>-5.031446540880502</v>
      </c>
      <c r="BN22" s="1045">
        <f>BN16</f>
        <v>12.010050251256278</v>
      </c>
      <c r="BP22" s="1099">
        <v>294</v>
      </c>
      <c r="BQ22" s="1044">
        <f>(BP22/BL22-1)*100</f>
        <v>-2.6490066225165587</v>
      </c>
      <c r="BR22" s="1045">
        <f>BR16</f>
        <v>13.728129205921945</v>
      </c>
      <c r="BT22" s="1099">
        <f>226+84</f>
        <v>310</v>
      </c>
      <c r="BU22" s="1044">
        <f>(BT22/BP22-1)*100</f>
        <v>5.4421768707483054</v>
      </c>
      <c r="BV22" s="1045">
        <f>BV16</f>
        <v>4.8126232741617425</v>
      </c>
      <c r="BX22" s="1099">
        <f>238+89</f>
        <v>327</v>
      </c>
      <c r="BY22" s="1044">
        <f>(BX22/BT22-1)*100</f>
        <v>5.4838709677419439</v>
      </c>
      <c r="BZ22" s="1045">
        <f>BZ16</f>
        <v>6.7745577719232175</v>
      </c>
      <c r="CB22" s="1099">
        <f>256+110</f>
        <v>366</v>
      </c>
      <c r="CC22" s="1044">
        <f>(CB22/BX22-1)*100</f>
        <v>11.926605504587151</v>
      </c>
      <c r="CD22" s="1045">
        <f>CD16</f>
        <v>9.7990835389496045</v>
      </c>
      <c r="CF22" s="1099">
        <v>173</v>
      </c>
      <c r="CG22" s="1044">
        <f>(CF22/CB22-1)*100</f>
        <v>-52.732240437158474</v>
      </c>
      <c r="CH22" s="1045">
        <f>CH16</f>
        <v>2.4719101123595433</v>
      </c>
      <c r="CJ22" s="1099">
        <v>147</v>
      </c>
      <c r="CK22" s="1044">
        <f>(CJ22/CF22-1)*100</f>
        <v>-15.02890173410405</v>
      </c>
      <c r="CL22" s="1045">
        <f>CL16</f>
        <v>2.7255639097744311</v>
      </c>
      <c r="CN22" s="1099"/>
      <c r="CO22" s="1044">
        <f>(CN22/CJ22-1)*100</f>
        <v>-100</v>
      </c>
      <c r="CP22" s="1045">
        <f>CP16</f>
        <v>0</v>
      </c>
    </row>
    <row r="23" spans="1:94" x14ac:dyDescent="0.2">
      <c r="A23" s="239" t="s">
        <v>93</v>
      </c>
      <c r="B23" s="239" t="s">
        <v>79</v>
      </c>
      <c r="D23" s="1043"/>
      <c r="E23" s="1044"/>
      <c r="F23" s="1045"/>
      <c r="H23" s="1043"/>
      <c r="I23" s="1044"/>
      <c r="J23" s="1044"/>
      <c r="L23" s="1043"/>
      <c r="M23" s="1044"/>
      <c r="N23" s="1045"/>
      <c r="P23" s="1043"/>
      <c r="Q23" s="1044"/>
      <c r="R23" s="1045"/>
      <c r="T23" s="1043">
        <v>109.262</v>
      </c>
      <c r="U23" s="1044" t="s">
        <v>83</v>
      </c>
      <c r="V23" s="1045">
        <f>V17</f>
        <v>0.9449942669885969</v>
      </c>
      <c r="X23" s="1043">
        <v>122.22499999999999</v>
      </c>
      <c r="Y23" s="1044">
        <f>(X23/T23-1)*100</f>
        <v>11.864143068953513</v>
      </c>
      <c r="Z23" s="1045">
        <f>Z17</f>
        <v>6.0893526922826124</v>
      </c>
      <c r="AB23" s="1043">
        <v>126.28200000000001</v>
      </c>
      <c r="AC23" s="1044">
        <f>(AB23/X23-1)*100</f>
        <v>3.319288197995518</v>
      </c>
      <c r="AD23" s="1045">
        <f>AD17</f>
        <v>7.1013010436943969</v>
      </c>
      <c r="AF23" s="1043">
        <v>484.58100000000002</v>
      </c>
      <c r="AG23" s="1044">
        <f>(AF23/AB23-1)*100</f>
        <v>283.72927258041523</v>
      </c>
      <c r="AH23" s="1045">
        <f>AH17</f>
        <v>7.8085058060026746</v>
      </c>
      <c r="AJ23" s="1043">
        <v>741.77800000000002</v>
      </c>
      <c r="AK23" s="1044">
        <f>(AJ23/AF23-1)*100</f>
        <v>53.076162705512587</v>
      </c>
      <c r="AL23" s="1045">
        <f>AL17</f>
        <v>9.4509188704616776</v>
      </c>
      <c r="AN23" s="1043">
        <v>739.44200000000001</v>
      </c>
      <c r="AO23" s="1044">
        <f>(AN23/AJ23-1)*100</f>
        <v>-0.31491901889784124</v>
      </c>
      <c r="AP23" s="1045">
        <f>AP17</f>
        <v>7.8300264143989162</v>
      </c>
      <c r="AR23" s="1043">
        <v>737.19799999999998</v>
      </c>
      <c r="AS23" s="1044">
        <f>(AR23/AN23-1)*100</f>
        <v>-0.30347207759364725</v>
      </c>
      <c r="AT23" s="1045">
        <f>AT17</f>
        <v>7.7870794203294791</v>
      </c>
      <c r="AV23" s="1043">
        <v>472.98</v>
      </c>
      <c r="AW23" s="1044">
        <f>(AV23/AR23-1)*100</f>
        <v>-35.840846014232262</v>
      </c>
      <c r="AX23" s="1045">
        <f>AX17</f>
        <v>5.2425314957092572</v>
      </c>
      <c r="AZ23" s="1043">
        <v>261</v>
      </c>
      <c r="BA23" s="1044">
        <f>(AZ23/AV23-1)*100</f>
        <v>-44.817962704554105</v>
      </c>
      <c r="BB23" s="1045">
        <f>BB17</f>
        <v>-4.289520225587129</v>
      </c>
      <c r="BD23" s="1043">
        <v>301</v>
      </c>
      <c r="BE23" s="1044">
        <f>(BD23/AZ23-1)*100</f>
        <v>15.325670498084287</v>
      </c>
      <c r="BF23" s="1045">
        <f>BF17</f>
        <v>-6.2090074333187584</v>
      </c>
      <c r="BH23" s="1099">
        <v>320</v>
      </c>
      <c r="BI23" s="1044">
        <f>(BH23/BD23-1)*100</f>
        <v>6.3122923588039948</v>
      </c>
      <c r="BJ23" s="1045">
        <f>BJ17</f>
        <v>12.680652680652681</v>
      </c>
      <c r="BL23" s="1099">
        <v>317</v>
      </c>
      <c r="BM23" s="1044">
        <f>(BL23/BH23-1)*100</f>
        <v>-0.93750000000000222</v>
      </c>
      <c r="BN23" s="1045">
        <f>BN17</f>
        <v>12.370707488622257</v>
      </c>
      <c r="BP23" s="1099">
        <v>318</v>
      </c>
      <c r="BQ23" s="1044">
        <f>(BP23/BL23-1)*100</f>
        <v>0.3154574132492094</v>
      </c>
      <c r="BR23" s="1045">
        <f>BR17</f>
        <v>7.4374079528718662</v>
      </c>
      <c r="BT23" s="1099">
        <f>244+89</f>
        <v>333</v>
      </c>
      <c r="BU23" s="1044">
        <f>(BT23/BP23-1)*100</f>
        <v>4.7169811320754818</v>
      </c>
      <c r="BV23" s="1045">
        <f>BV17</f>
        <v>6.3742289239204997</v>
      </c>
      <c r="BX23" s="1099">
        <f>260+96</f>
        <v>356</v>
      </c>
      <c r="BY23" s="1044">
        <f>(BX23/BT23-1)*100</f>
        <v>6.9069069069069178</v>
      </c>
      <c r="BZ23" s="1045">
        <f>BZ17</f>
        <v>6.1855670103092786</v>
      </c>
      <c r="CB23" s="1099">
        <f>256+117</f>
        <v>373</v>
      </c>
      <c r="CC23" s="1044">
        <f>(CB23/BX23-1)*100</f>
        <v>4.7752808988763995</v>
      </c>
      <c r="CD23" s="1045">
        <f>CD17</f>
        <v>9.1626213592232997</v>
      </c>
      <c r="CF23" s="1099">
        <v>163</v>
      </c>
      <c r="CG23" s="1044">
        <f>(CF23/CB23-1)*100</f>
        <v>-56.300268096514742</v>
      </c>
      <c r="CH23" s="1045">
        <f>CH17</f>
        <v>-0.16675931072818173</v>
      </c>
      <c r="CJ23" s="1099">
        <v>157</v>
      </c>
      <c r="CK23" s="1044">
        <f>(CJ23/CF23-1)*100</f>
        <v>-3.6809815950920255</v>
      </c>
      <c r="CL23" s="1045">
        <f>CL17</f>
        <v>3.4799554565701607</v>
      </c>
      <c r="CN23" s="1043"/>
      <c r="CO23" s="1044">
        <f>(CN23/CJ23-1)*100</f>
        <v>-100</v>
      </c>
      <c r="CP23" s="1045">
        <f>CP17</f>
        <v>0</v>
      </c>
    </row>
    <row r="24" spans="1:94" x14ac:dyDescent="0.2">
      <c r="A24" s="239" t="s">
        <v>94</v>
      </c>
      <c r="B24" s="239" t="s">
        <v>80</v>
      </c>
      <c r="D24" s="1043"/>
      <c r="E24" s="1044"/>
      <c r="F24" s="1045"/>
      <c r="H24" s="1043"/>
      <c r="I24" s="1044"/>
      <c r="J24" s="1044"/>
      <c r="L24" s="1043"/>
      <c r="M24" s="1044"/>
      <c r="N24" s="1045"/>
      <c r="P24" s="1043"/>
      <c r="Q24" s="1044"/>
      <c r="R24" s="1045"/>
      <c r="T24" s="1043">
        <v>115.254</v>
      </c>
      <c r="U24" s="1044" t="s">
        <v>83</v>
      </c>
      <c r="V24" s="1045">
        <f>V18</f>
        <v>13.717149770203774</v>
      </c>
      <c r="X24" s="1043">
        <v>140.88499999999999</v>
      </c>
      <c r="Y24" s="1044">
        <f>(X24/T24-1)*100</f>
        <v>22.238707550280235</v>
      </c>
      <c r="Z24" s="1045">
        <f>Z18</f>
        <v>-1.8337439301642</v>
      </c>
      <c r="AB24" s="1043">
        <v>135.68899999999999</v>
      </c>
      <c r="AC24" s="1044">
        <f>(AB24/X24-1)*100</f>
        <v>-3.6881144195620497</v>
      </c>
      <c r="AD24" s="1045">
        <f>AD18</f>
        <v>6.7751147678296597</v>
      </c>
      <c r="AF24" s="1043">
        <v>513.38800000000003</v>
      </c>
      <c r="AG24" s="1044">
        <f>(AF24/AB24-1)*100</f>
        <v>278.35638850606904</v>
      </c>
      <c r="AH24" s="1045">
        <f>AH18</f>
        <v>6.4917574880913653</v>
      </c>
      <c r="AJ24" s="1043">
        <v>661.66</v>
      </c>
      <c r="AK24" s="1044">
        <f>(AJ24/AF24-1)*100</f>
        <v>28.881080196654363</v>
      </c>
      <c r="AL24" s="1045">
        <f>AL18</f>
        <v>9.4386487829110735</v>
      </c>
      <c r="AN24" s="1043">
        <v>746.83200000000011</v>
      </c>
      <c r="AO24" s="1044">
        <f>(AN24/AJ24-1)*100</f>
        <v>12.872472266723122</v>
      </c>
      <c r="AP24" s="1045">
        <f>AP18</f>
        <v>8.0344984112573847</v>
      </c>
      <c r="AR24" s="1043">
        <v>549.22500000000002</v>
      </c>
      <c r="AS24" s="1044">
        <f>(AR24/AN24-1)*100</f>
        <v>-26.459364355035675</v>
      </c>
      <c r="AT24" s="1045">
        <f>AT18</f>
        <v>12.371128451380553</v>
      </c>
      <c r="AV24" s="1043">
        <v>258.673</v>
      </c>
      <c r="AW24" s="1044">
        <f>(AV24/AR24-1)*100</f>
        <v>-52.902180345031638</v>
      </c>
      <c r="AX24" s="1045">
        <f>AX18</f>
        <v>5.2529695214419192</v>
      </c>
      <c r="AZ24" s="1043">
        <v>296</v>
      </c>
      <c r="BA24" s="1044">
        <f>(AZ24/AV24-1)*100</f>
        <v>14.430187920656579</v>
      </c>
      <c r="BB24" s="1045">
        <f>BB18</f>
        <v>-7.4320305474299131</v>
      </c>
      <c r="BD24" s="1043">
        <v>314</v>
      </c>
      <c r="BE24" s="1044">
        <f>(BD24/AZ24-1)*100</f>
        <v>6.0810810810810745</v>
      </c>
      <c r="BF24" s="1045">
        <f>BF18</f>
        <v>2.4122807017543879</v>
      </c>
      <c r="BH24" s="1099">
        <v>358</v>
      </c>
      <c r="BI24" s="1044">
        <f>(BH24/BD24-1)*100</f>
        <v>14.012738853503182</v>
      </c>
      <c r="BJ24" s="1045">
        <f>BJ18</f>
        <v>11.723768736616712</v>
      </c>
      <c r="BL24" s="1099">
        <v>346</v>
      </c>
      <c r="BM24" s="1044">
        <f>(BL24/BH24-1)*100</f>
        <v>-3.3519553072625663</v>
      </c>
      <c r="BN24" s="1045">
        <f>BN18</f>
        <v>14.183037853378044</v>
      </c>
      <c r="BP24" s="1099">
        <v>306</v>
      </c>
      <c r="BQ24" s="1044">
        <f>(BP24/BL24-1)*100</f>
        <v>-11.560693641618503</v>
      </c>
      <c r="BR24" s="1045">
        <f>BR18</f>
        <v>13.84809064204784</v>
      </c>
      <c r="BT24" s="1099">
        <v>277</v>
      </c>
      <c r="BU24" s="1044">
        <f>(BT24/BP24-1)*100</f>
        <v>-9.477124183006536</v>
      </c>
      <c r="BV24" s="1045">
        <f>BV18</f>
        <v>2.8750460744563222</v>
      </c>
      <c r="BX24" s="1099">
        <v>273</v>
      </c>
      <c r="BY24" s="1044">
        <f>(BX24/BT24-1)*100</f>
        <v>-1.4440433212996373</v>
      </c>
      <c r="BZ24" s="1045">
        <f>BZ18</f>
        <v>8.9215335005374374</v>
      </c>
      <c r="CB24" s="1099">
        <f>247+202</f>
        <v>449</v>
      </c>
      <c r="CC24" s="1044">
        <f>(CB24/BX24-1)*100</f>
        <v>64.468864468864467</v>
      </c>
      <c r="CD24" s="1045">
        <f>CD18</f>
        <v>6.5460526315789469</v>
      </c>
      <c r="CF24" s="1099">
        <v>227</v>
      </c>
      <c r="CG24" s="1044">
        <f>(CF24/CB24-1)*100</f>
        <v>-49.443207126948771</v>
      </c>
      <c r="CH24" s="1045">
        <f>CH18</f>
        <v>7.1935782648965718</v>
      </c>
      <c r="CJ24" s="1099">
        <v>162</v>
      </c>
      <c r="CK24" s="1044">
        <f>(CJ24/CF24-1)*100</f>
        <v>-28.634361233480178</v>
      </c>
      <c r="CL24" s="1045">
        <f>CL18</f>
        <v>1.9873271889401023</v>
      </c>
      <c r="CN24" s="1043"/>
      <c r="CO24" s="1044">
        <f>(CN24/CJ24-1)*100</f>
        <v>-100</v>
      </c>
      <c r="CP24" s="1045">
        <f>CP18</f>
        <v>0</v>
      </c>
    </row>
    <row r="25" spans="1:94" x14ac:dyDescent="0.2">
      <c r="A25" s="239" t="s">
        <v>95</v>
      </c>
      <c r="B25" s="239" t="s">
        <v>81</v>
      </c>
      <c r="D25" s="1043"/>
      <c r="E25" s="1044"/>
      <c r="F25" s="1045"/>
      <c r="H25" s="1043"/>
      <c r="I25" s="1044"/>
      <c r="J25" s="1044"/>
      <c r="L25" s="1043"/>
      <c r="M25" s="1044"/>
      <c r="N25" s="1045"/>
      <c r="P25" s="1043"/>
      <c r="Q25" s="1044"/>
      <c r="R25" s="1045"/>
      <c r="T25" s="1043">
        <v>120.083</v>
      </c>
      <c r="U25" s="1044" t="s">
        <v>83</v>
      </c>
      <c r="V25" s="1045">
        <f>V19</f>
        <v>6.3833136509837241</v>
      </c>
      <c r="X25" s="1043">
        <v>115.124</v>
      </c>
      <c r="Y25" s="1044">
        <f>(X25/T25-1)*100</f>
        <v>-4.129643663132998</v>
      </c>
      <c r="Z25" s="1045">
        <f>Z19</f>
        <v>-1.4884628276867984</v>
      </c>
      <c r="AB25" s="1043">
        <v>392.70300000000003</v>
      </c>
      <c r="AC25" s="1044">
        <f>(AB25/X25-1)*100</f>
        <v>241.11306069976726</v>
      </c>
      <c r="AD25" s="1045">
        <f>AD19</f>
        <v>7.326143866984669</v>
      </c>
      <c r="AF25" s="1043">
        <v>615.12799999999993</v>
      </c>
      <c r="AG25" s="1044">
        <f>(AF25/AB25-1)*100</f>
        <v>56.639496005887381</v>
      </c>
      <c r="AH25" s="1045">
        <f>AH19</f>
        <v>9.6318604170260613</v>
      </c>
      <c r="AJ25" s="1043">
        <v>648.976</v>
      </c>
      <c r="AK25" s="1044">
        <f>(AJ25/AF25-1)*100</f>
        <v>5.5025945819406896</v>
      </c>
      <c r="AL25" s="1045">
        <f>AL19</f>
        <v>9.438463943309694</v>
      </c>
      <c r="AN25" s="1043">
        <v>815.96500000000003</v>
      </c>
      <c r="AO25" s="1044">
        <f>(AN25/AJ25-1)*100</f>
        <v>25.731151845368714</v>
      </c>
      <c r="AP25" s="1045">
        <f>AP19</f>
        <v>9.3011950905161669</v>
      </c>
      <c r="AR25" s="1043">
        <v>658.46900000000005</v>
      </c>
      <c r="AS25" s="1044">
        <f>(AR25/AN25-1)*100</f>
        <v>-19.301808288345701</v>
      </c>
      <c r="AT25" s="1045">
        <f>AT19</f>
        <v>14.60138519841443</v>
      </c>
      <c r="AV25" s="1043">
        <v>260</v>
      </c>
      <c r="AW25" s="1044">
        <f>(AV25/AR25-1)*100</f>
        <v>-60.514466132801999</v>
      </c>
      <c r="AX25" s="1045">
        <f>AX19</f>
        <v>-4.4434916667426823</v>
      </c>
      <c r="AZ25" s="1043">
        <v>303</v>
      </c>
      <c r="BA25" s="1044">
        <f>(AZ25/AV25-1)*100</f>
        <v>16.538461538461547</v>
      </c>
      <c r="BB25" s="1045">
        <f>BB19</f>
        <v>-8.4725536992840134</v>
      </c>
      <c r="BD25" s="1043">
        <v>326</v>
      </c>
      <c r="BE25" s="1044">
        <f>(BD25/AZ25-1)*100</f>
        <v>7.5907590759075827</v>
      </c>
      <c r="BF25" s="1045">
        <f>BF19</f>
        <v>10.343328987396783</v>
      </c>
      <c r="BH25" s="1099">
        <v>315</v>
      </c>
      <c r="BI25" s="1044">
        <f>(BH25/BD25-1)*100</f>
        <v>-3.3742331288343586</v>
      </c>
      <c r="BJ25" s="1045">
        <f>BJ19</f>
        <v>10.909807010634109</v>
      </c>
      <c r="BL25" s="1099">
        <v>502</v>
      </c>
      <c r="BM25" s="1044">
        <f>(BL25/BH25-1)*100</f>
        <v>59.365079365079353</v>
      </c>
      <c r="BN25" s="1045">
        <f>BN19</f>
        <v>12.535511363636353</v>
      </c>
      <c r="BP25" s="1099">
        <f>227+80</f>
        <v>307</v>
      </c>
      <c r="BQ25" s="1044">
        <f>(BP25/BL25-1)*100</f>
        <v>-38.844621513944219</v>
      </c>
      <c r="BR25" s="1045">
        <f>BR19</f>
        <v>13.474282107920477</v>
      </c>
      <c r="BT25" s="1099">
        <f>239+87</f>
        <v>326</v>
      </c>
      <c r="BU25" s="1044">
        <f>(BT25/BP25-1)*100</f>
        <v>6.1889250814332275</v>
      </c>
      <c r="BV25" s="1045">
        <f>BV19</f>
        <v>0.50055617352613435</v>
      </c>
      <c r="BX25" s="1099">
        <f>256+114</f>
        <v>370</v>
      </c>
      <c r="BY25" s="1044">
        <f>(BX25/BT25-1)*100</f>
        <v>13.496932515337434</v>
      </c>
      <c r="BZ25" s="1045">
        <f>BZ19</f>
        <v>8.9651355838406221</v>
      </c>
      <c r="CB25" s="1099">
        <f>bal!AL12</f>
        <v>278</v>
      </c>
      <c r="CC25" s="1044">
        <f>(CB25/BX25-1)*100</f>
        <v>-24.864864864864867</v>
      </c>
      <c r="CD25" s="1045">
        <f>CD19</f>
        <v>5.2056881665820232</v>
      </c>
      <c r="CF25" s="1099">
        <v>140</v>
      </c>
      <c r="CG25" s="1044">
        <f>(CF25/CB25-1)*100</f>
        <v>-49.640287769784173</v>
      </c>
      <c r="CH25" s="1045">
        <f>CH19</f>
        <v>2.4137098720733663</v>
      </c>
      <c r="CJ25" s="1099">
        <v>150</v>
      </c>
      <c r="CK25" s="1044">
        <f>(CJ25/CF25-1)*100</f>
        <v>7.1428571428571397</v>
      </c>
      <c r="CL25" s="1045">
        <f>CL19</f>
        <v>8.4138581192552344</v>
      </c>
      <c r="CN25" s="1043"/>
      <c r="CO25" s="1044">
        <f>(CN25/CJ25-1)*100</f>
        <v>-100</v>
      </c>
      <c r="CP25" s="1045">
        <f>CP19</f>
        <v>0</v>
      </c>
    </row>
    <row r="26" spans="1:94" x14ac:dyDescent="0.2">
      <c r="D26" s="582"/>
      <c r="H26" s="582"/>
      <c r="L26" s="582"/>
      <c r="P26" s="582"/>
      <c r="T26" s="582"/>
      <c r="X26" s="582"/>
      <c r="AB26" s="582"/>
      <c r="AF26" s="582"/>
      <c r="AJ26" s="582"/>
      <c r="AN26" s="582"/>
      <c r="AR26" s="582"/>
      <c r="AV26" s="582"/>
      <c r="AZ26" s="582"/>
      <c r="BD26" s="582"/>
      <c r="BH26" s="1097"/>
      <c r="BL26" s="1097"/>
      <c r="BP26" s="1097"/>
      <c r="BT26" s="1097"/>
      <c r="BX26" s="1097"/>
      <c r="CB26" s="1097"/>
      <c r="CF26" s="1097"/>
      <c r="CJ26" s="582"/>
      <c r="CN26" s="582"/>
    </row>
    <row r="27" spans="1:94" x14ac:dyDescent="0.2">
      <c r="A27" s="1040" t="s">
        <v>347</v>
      </c>
      <c r="B27" s="261"/>
      <c r="C27" s="261"/>
      <c r="D27" s="1047"/>
      <c r="E27" s="261"/>
      <c r="F27" s="261"/>
      <c r="G27" s="261"/>
      <c r="H27" s="1047"/>
      <c r="I27" s="261"/>
      <c r="J27" s="261"/>
      <c r="K27" s="261"/>
      <c r="L27" s="1047"/>
      <c r="M27" s="261"/>
      <c r="N27" s="261"/>
      <c r="O27" s="261"/>
      <c r="P27" s="1047"/>
      <c r="Q27" s="261"/>
      <c r="R27" s="261"/>
      <c r="S27" s="261"/>
      <c r="T27" s="1047"/>
      <c r="U27" s="261"/>
      <c r="V27" s="261"/>
      <c r="W27" s="261"/>
      <c r="X27" s="1047"/>
      <c r="Y27" s="261"/>
      <c r="Z27" s="261"/>
      <c r="AA27" s="261"/>
      <c r="AB27" s="1047"/>
      <c r="AC27" s="261"/>
      <c r="AD27" s="261"/>
      <c r="AE27" s="261"/>
      <c r="AF27" s="1047"/>
      <c r="AG27" s="261"/>
      <c r="AH27" s="261"/>
      <c r="AI27" s="261"/>
      <c r="AJ27" s="1047"/>
      <c r="AK27" s="261"/>
      <c r="AL27" s="261"/>
      <c r="AM27" s="261"/>
      <c r="AN27" s="1047"/>
      <c r="AO27" s="261"/>
      <c r="AP27" s="261"/>
      <c r="AQ27" s="261"/>
      <c r="AR27" s="1047"/>
      <c r="AS27" s="261"/>
      <c r="AT27" s="261"/>
      <c r="AU27" s="261"/>
      <c r="AV27" s="1047"/>
      <c r="AW27" s="261"/>
      <c r="AX27" s="261"/>
      <c r="AY27" s="261"/>
      <c r="AZ27" s="1047"/>
      <c r="BA27" s="261"/>
      <c r="BB27" s="261"/>
      <c r="BC27" s="261"/>
      <c r="BD27" s="1047"/>
      <c r="BE27" s="261"/>
      <c r="BF27" s="261"/>
      <c r="BG27" s="261"/>
      <c r="BH27" s="1100"/>
      <c r="BI27" s="261"/>
      <c r="BJ27" s="261"/>
      <c r="BK27" s="261"/>
      <c r="BL27" s="1100"/>
      <c r="BM27" s="261"/>
      <c r="BN27" s="261"/>
      <c r="BO27" s="261"/>
      <c r="BP27" s="1100"/>
      <c r="BQ27" s="261"/>
      <c r="BR27" s="261"/>
      <c r="BS27" s="261"/>
      <c r="BT27" s="1100"/>
      <c r="BU27" s="261"/>
      <c r="BV27" s="261"/>
      <c r="BW27" s="261"/>
      <c r="BX27" s="1100"/>
      <c r="BY27" s="261"/>
      <c r="BZ27" s="261"/>
      <c r="CA27" s="261"/>
      <c r="CB27" s="1100"/>
      <c r="CC27" s="261"/>
      <c r="CD27" s="261"/>
      <c r="CE27" s="261"/>
      <c r="CF27" s="1100"/>
      <c r="CG27" s="261"/>
      <c r="CH27" s="261"/>
      <c r="CI27" s="261"/>
      <c r="CJ27" s="1047"/>
      <c r="CK27" s="261"/>
      <c r="CL27" s="261"/>
      <c r="CM27" s="261"/>
      <c r="CN27" s="1047"/>
      <c r="CO27" s="261"/>
      <c r="CP27" s="261"/>
    </row>
    <row r="28" spans="1:94" x14ac:dyDescent="0.2">
      <c r="A28" s="239" t="s">
        <v>92</v>
      </c>
      <c r="B28" s="239" t="s">
        <v>78</v>
      </c>
      <c r="D28" s="1043"/>
      <c r="E28" s="1044"/>
      <c r="F28" s="1045"/>
      <c r="H28" s="1043"/>
      <c r="I28" s="1044"/>
      <c r="J28" s="1044"/>
      <c r="L28" s="1043"/>
      <c r="M28" s="1044"/>
      <c r="N28" s="1045"/>
      <c r="P28" s="1043"/>
      <c r="Q28" s="1044"/>
      <c r="R28" s="1045"/>
      <c r="T28" s="1043">
        <v>449.97</v>
      </c>
      <c r="U28" s="1044" t="s">
        <v>83</v>
      </c>
      <c r="V28" s="1045">
        <f>V22</f>
        <v>10.997156206543135</v>
      </c>
      <c r="X28" s="1043">
        <v>538.01199999999994</v>
      </c>
      <c r="Y28" s="1044">
        <f>(X28/T28-1)*100</f>
        <v>19.566193301775648</v>
      </c>
      <c r="Z28" s="1045">
        <f>Z22</f>
        <v>5.6064062314403751</v>
      </c>
      <c r="AB28" s="1043">
        <v>565.99599999999998</v>
      </c>
      <c r="AC28" s="1044">
        <f>(AB28/X28-1)*100</f>
        <v>5.201370973138153</v>
      </c>
      <c r="AD28" s="1045">
        <f>AD22</f>
        <v>2.2758694295753834</v>
      </c>
      <c r="AF28" s="1043">
        <v>550.39499999999998</v>
      </c>
      <c r="AG28" s="1044">
        <f>(AF28/AB28-1)*100</f>
        <v>-2.7563799037448988</v>
      </c>
      <c r="AH28" s="1045">
        <f>AH22</f>
        <v>7.201301052127973</v>
      </c>
      <c r="AJ28" s="1043">
        <v>563.73299999999995</v>
      </c>
      <c r="AK28" s="1044">
        <f>(AJ28/AF28-1)*100</f>
        <v>2.4233505028206981</v>
      </c>
      <c r="AL28" s="1045">
        <f>AL22</f>
        <v>14.977326368504929</v>
      </c>
      <c r="AN28" s="1043">
        <v>582.38099999999997</v>
      </c>
      <c r="AO28" s="1044">
        <f>(AN28/AJ28-1)*100</f>
        <v>3.3079489758449432</v>
      </c>
      <c r="AP28" s="1045">
        <f>AP22</f>
        <v>7.7489270526021059</v>
      </c>
      <c r="AR28" s="1043">
        <v>638.98299999999995</v>
      </c>
      <c r="AS28" s="1044">
        <f>(AR28/AN28-1)*100</f>
        <v>9.719067071212816</v>
      </c>
      <c r="AT28" s="1045">
        <f>AT22</f>
        <v>8.0236377241346801</v>
      </c>
      <c r="AV28" s="1043">
        <v>699.678</v>
      </c>
      <c r="AW28" s="1044">
        <f>(AV28/AR28-1)*100</f>
        <v>9.4986877585162777</v>
      </c>
      <c r="AX28" s="1045">
        <f>AX22</f>
        <v>9.3244659452122125</v>
      </c>
      <c r="AZ28" s="1043">
        <v>638</v>
      </c>
      <c r="BA28" s="1044">
        <f>(AZ28/AV28-1)*100</f>
        <v>-8.8151978481530122</v>
      </c>
      <c r="BB28" s="1045">
        <f>BB22</f>
        <v>-3.8319808052932891</v>
      </c>
      <c r="BD28" s="1043">
        <v>594</v>
      </c>
      <c r="BE28" s="1044">
        <f>(BD28/AZ28-1)*100</f>
        <v>-6.8965517241379342</v>
      </c>
      <c r="BF28" s="1045">
        <f>BF22</f>
        <v>-9.207025013304948</v>
      </c>
      <c r="BH28" s="1099">
        <v>908</v>
      </c>
      <c r="BI28" s="1044">
        <f>(BH28/BD28-1)*100</f>
        <v>52.861952861952858</v>
      </c>
      <c r="BJ28" s="1045">
        <f>BJ22</f>
        <v>16.647127784290738</v>
      </c>
      <c r="BL28" s="1099">
        <v>1035</v>
      </c>
      <c r="BM28" s="1044">
        <f>(BL28/BH28-1)*100</f>
        <v>13.986784140969167</v>
      </c>
      <c r="BN28" s="1045">
        <f>BN22</f>
        <v>12.010050251256278</v>
      </c>
      <c r="BP28" s="1099">
        <v>1176</v>
      </c>
      <c r="BQ28" s="1044">
        <f>(BP28/BL28-1)*100</f>
        <v>13.623188405797105</v>
      </c>
      <c r="BR28" s="1045">
        <f>BR22</f>
        <v>13.728129205921945</v>
      </c>
      <c r="BT28" s="1099">
        <v>1206</v>
      </c>
      <c r="BU28" s="1044">
        <f>(BT28/BP28-1)*100</f>
        <v>2.5510204081632626</v>
      </c>
      <c r="BV28" s="1045">
        <f>BV22</f>
        <v>4.8126232741617425</v>
      </c>
      <c r="BX28" s="1099">
        <v>1347</v>
      </c>
      <c r="BY28" s="1044">
        <f>(BX28/BT28-1)*100</f>
        <v>11.691542288557223</v>
      </c>
      <c r="BZ28" s="1045">
        <f>BZ22</f>
        <v>6.7745577719232175</v>
      </c>
      <c r="CB28" s="1099">
        <v>1573</v>
      </c>
      <c r="CC28" s="1044">
        <f>(CB28/BX28-1)*100</f>
        <v>16.778025241276918</v>
      </c>
      <c r="CD28" s="1045">
        <f>CD22</f>
        <v>9.7990835389496045</v>
      </c>
      <c r="CF28" s="1099">
        <v>1456</v>
      </c>
      <c r="CG28" s="1044">
        <f>(CF28/CB28-1)*100</f>
        <v>-7.4380165289256173</v>
      </c>
      <c r="CH28" s="1045">
        <f>CH22</f>
        <v>2.4719101123595433</v>
      </c>
      <c r="CJ28" s="1099">
        <v>1590</v>
      </c>
      <c r="CK28" s="1044">
        <f>(CJ28/CF28-1)*100</f>
        <v>9.2032967032966937</v>
      </c>
      <c r="CL28" s="1045">
        <f>CL22</f>
        <v>2.7255639097744311</v>
      </c>
      <c r="CN28" s="1099"/>
      <c r="CO28" s="1044">
        <f>(CN28/CJ28-1)*100</f>
        <v>-100</v>
      </c>
      <c r="CP28" s="1045">
        <f>CP22</f>
        <v>0</v>
      </c>
    </row>
    <row r="29" spans="1:94" x14ac:dyDescent="0.2">
      <c r="A29" s="239" t="s">
        <v>93</v>
      </c>
      <c r="B29" s="239" t="s">
        <v>79</v>
      </c>
      <c r="D29" s="1043"/>
      <c r="E29" s="1044"/>
      <c r="F29" s="1045"/>
      <c r="H29" s="1043"/>
      <c r="I29" s="1044"/>
      <c r="J29" s="1044"/>
      <c r="L29" s="1043"/>
      <c r="M29" s="1044"/>
      <c r="N29" s="1045"/>
      <c r="P29" s="1043"/>
      <c r="Q29" s="1044"/>
      <c r="R29" s="1045"/>
      <c r="T29" s="1043">
        <v>559.78</v>
      </c>
      <c r="U29" s="1044" t="s">
        <v>83</v>
      </c>
      <c r="V29" s="1045">
        <f>V23</f>
        <v>0.9449942669885969</v>
      </c>
      <c r="X29" s="1043">
        <v>601.40700000000004</v>
      </c>
      <c r="Y29" s="1044">
        <f>(X29/T29-1)*100</f>
        <v>7.4363142663189219</v>
      </c>
      <c r="Z29" s="1045">
        <f>Z23</f>
        <v>6.0893526922826124</v>
      </c>
      <c r="AB29" s="1043">
        <v>688.84199999999998</v>
      </c>
      <c r="AC29" s="1044">
        <f>(AB29/X29-1)*100</f>
        <v>14.538407434565936</v>
      </c>
      <c r="AD29" s="1045">
        <f>AD23</f>
        <v>7.1013010436943969</v>
      </c>
      <c r="AF29" s="1043">
        <v>709.10799999999995</v>
      </c>
      <c r="AG29" s="1044">
        <f>(AF29/AB29-1)*100</f>
        <v>2.9420389581355399</v>
      </c>
      <c r="AH29" s="1045">
        <f>AH23</f>
        <v>7.8085058060026746</v>
      </c>
      <c r="AJ29" s="1043">
        <v>805.09799999999996</v>
      </c>
      <c r="AK29" s="1044">
        <f>(AJ29/AF29-1)*100</f>
        <v>13.536725012268946</v>
      </c>
      <c r="AL29" s="1045">
        <f>AL23</f>
        <v>9.4509188704616776</v>
      </c>
      <c r="AN29" s="1043">
        <v>714.42899999999997</v>
      </c>
      <c r="AO29" s="1044">
        <f>(AN29/AJ29-1)*100</f>
        <v>-11.261858804766621</v>
      </c>
      <c r="AP29" s="1045">
        <f>AP23</f>
        <v>7.8300264143989162</v>
      </c>
      <c r="AR29" s="1043">
        <v>725.67499999999995</v>
      </c>
      <c r="AS29" s="1044">
        <f>(AR29/AN29-1)*100</f>
        <v>1.5741242306793302</v>
      </c>
      <c r="AT29" s="1045">
        <f>AT23</f>
        <v>7.7870794203294791</v>
      </c>
      <c r="AV29" s="1043">
        <v>777.16200000000003</v>
      </c>
      <c r="AW29" s="1044">
        <f>(AV29/AR29-1)*100</f>
        <v>7.0950494367313377</v>
      </c>
      <c r="AX29" s="1045">
        <f>AX23</f>
        <v>5.2425314957092572</v>
      </c>
      <c r="AZ29" s="1043">
        <v>724</v>
      </c>
      <c r="BA29" s="1044">
        <f>(AZ29/AV29-1)*100</f>
        <v>-6.8405300310617427</v>
      </c>
      <c r="BB29" s="1045">
        <f>BB23</f>
        <v>-4.289520225587129</v>
      </c>
      <c r="BD29" s="1043">
        <v>884</v>
      </c>
      <c r="BE29" s="1044">
        <f>(BD29/AZ29-1)*100</f>
        <v>22.099447513812166</v>
      </c>
      <c r="BF29" s="1045">
        <f>BF23</f>
        <v>-6.2090074333187584</v>
      </c>
      <c r="BH29" s="1099">
        <v>1050</v>
      </c>
      <c r="BI29" s="1044">
        <f>(BH29/BD29-1)*100</f>
        <v>18.778280542986426</v>
      </c>
      <c r="BJ29" s="1045">
        <f>BJ23</f>
        <v>12.680652680652681</v>
      </c>
      <c r="BL29" s="1099">
        <v>1087</v>
      </c>
      <c r="BM29" s="1044">
        <f>(BL29/BH29-1)*100</f>
        <v>3.5238095238095291</v>
      </c>
      <c r="BN29" s="1045">
        <f>BN23</f>
        <v>12.370707488622257</v>
      </c>
      <c r="BP29" s="1099">
        <v>1345</v>
      </c>
      <c r="BQ29" s="1044">
        <f>(BP29/BL29-1)*100</f>
        <v>23.73505059797607</v>
      </c>
      <c r="BR29" s="1045">
        <f>BR23</f>
        <v>7.4374079528718662</v>
      </c>
      <c r="BT29" s="1099">
        <v>1395</v>
      </c>
      <c r="BU29" s="1044">
        <f>(BT29/BP29-1)*100</f>
        <v>3.7174721189590976</v>
      </c>
      <c r="BV29" s="1045">
        <f>BV23</f>
        <v>6.3742289239204997</v>
      </c>
      <c r="BX29" s="1099">
        <v>1529</v>
      </c>
      <c r="BY29" s="1044">
        <f>(BX29/BT29-1)*100</f>
        <v>9.605734767025087</v>
      </c>
      <c r="BZ29" s="1045">
        <f>BZ23</f>
        <v>6.1855670103092786</v>
      </c>
      <c r="CB29" s="1099">
        <v>1589</v>
      </c>
      <c r="CC29" s="1044">
        <f>(CB29/BX29-1)*100</f>
        <v>3.9241334205363021</v>
      </c>
      <c r="CD29" s="1045">
        <f>CD23</f>
        <v>9.1626213592232997</v>
      </c>
      <c r="CF29" s="1099">
        <v>1604</v>
      </c>
      <c r="CG29" s="1044">
        <f>(CF29/CB29-1)*100</f>
        <v>0.94398993077406956</v>
      </c>
      <c r="CH29" s="1045">
        <f>CH23</f>
        <v>-0.16675931072818173</v>
      </c>
      <c r="CJ29" s="1099">
        <v>1704</v>
      </c>
      <c r="CK29" s="1044">
        <f>(CJ29/CF29-1)*100</f>
        <v>6.2344139650872821</v>
      </c>
      <c r="CL29" s="1045">
        <f>CL23</f>
        <v>3.4799554565701607</v>
      </c>
      <c r="CN29" s="1043"/>
      <c r="CO29" s="1044">
        <f>(CN29/CJ29-1)*100</f>
        <v>-100</v>
      </c>
      <c r="CP29" s="1045">
        <f>CP23</f>
        <v>0</v>
      </c>
    </row>
    <row r="30" spans="1:94" x14ac:dyDescent="0.2">
      <c r="A30" s="239" t="s">
        <v>94</v>
      </c>
      <c r="B30" s="239" t="s">
        <v>80</v>
      </c>
      <c r="D30" s="1043"/>
      <c r="E30" s="1044"/>
      <c r="F30" s="1045"/>
      <c r="H30" s="1043"/>
      <c r="I30" s="1044"/>
      <c r="J30" s="1044"/>
      <c r="L30" s="1043"/>
      <c r="M30" s="1044"/>
      <c r="N30" s="1045"/>
      <c r="P30" s="1043"/>
      <c r="Q30" s="1044"/>
      <c r="R30" s="1045"/>
      <c r="T30" s="1043">
        <v>624.01099999999997</v>
      </c>
      <c r="U30" s="1044" t="s">
        <v>83</v>
      </c>
      <c r="V30" s="1045">
        <f>V24</f>
        <v>13.717149770203774</v>
      </c>
      <c r="X30" s="1043">
        <v>637.69399999999996</v>
      </c>
      <c r="Y30" s="1044">
        <f>(X30/T30-1)*100</f>
        <v>2.1927498072950691</v>
      </c>
      <c r="Z30" s="1045">
        <f>Z24</f>
        <v>-1.8337439301642</v>
      </c>
      <c r="AB30" s="1043">
        <v>702.18100000000004</v>
      </c>
      <c r="AC30" s="1044">
        <f>(AB30/X30-1)*100</f>
        <v>10.112530461318459</v>
      </c>
      <c r="AD30" s="1045">
        <f>AD24</f>
        <v>6.7751147678296597</v>
      </c>
      <c r="AF30" s="1043">
        <v>716.38</v>
      </c>
      <c r="AG30" s="1044">
        <f>(AF30/AB30-1)*100</f>
        <v>2.0221281977153893</v>
      </c>
      <c r="AH30" s="1045">
        <f>AH24</f>
        <v>6.4917574880913653</v>
      </c>
      <c r="AJ30" s="1043">
        <v>672.84699999999998</v>
      </c>
      <c r="AK30" s="1044">
        <f>(AJ30/AF30-1)*100</f>
        <v>-6.0768028141489179</v>
      </c>
      <c r="AL30" s="1045">
        <f>AL24</f>
        <v>9.4386487829110735</v>
      </c>
      <c r="AN30" s="1043">
        <v>683.13699999999994</v>
      </c>
      <c r="AO30" s="1044">
        <f>(AN30/AJ30-1)*100</f>
        <v>1.529322416537493</v>
      </c>
      <c r="AP30" s="1045">
        <f>AP24</f>
        <v>8.0344984112573847</v>
      </c>
      <c r="AR30" s="1043">
        <v>758.40200000000004</v>
      </c>
      <c r="AS30" s="1044">
        <f>(AR30/AN30-1)*100</f>
        <v>11.017555775781451</v>
      </c>
      <c r="AT30" s="1045">
        <f>AT24</f>
        <v>12.371128451380553</v>
      </c>
      <c r="AV30" s="1043">
        <v>738.03700000000003</v>
      </c>
      <c r="AW30" s="1044">
        <f>(AV30/AR30-1)*100</f>
        <v>-2.685251357459506</v>
      </c>
      <c r="AX30" s="1045">
        <f>AX24</f>
        <v>5.2529695214419192</v>
      </c>
      <c r="AZ30" s="1043">
        <v>805</v>
      </c>
      <c r="BA30" s="1044">
        <f>(AZ30/AV30-1)*100</f>
        <v>9.073122350234474</v>
      </c>
      <c r="BB30" s="1045">
        <f>BB24</f>
        <v>-7.4320305474299131</v>
      </c>
      <c r="BD30" s="1043">
        <v>980</v>
      </c>
      <c r="BE30" s="1044">
        <f>(BD30/AZ30-1)*100</f>
        <v>21.739130434782616</v>
      </c>
      <c r="BF30" s="1045">
        <f>BF24</f>
        <v>2.4122807017543879</v>
      </c>
      <c r="BH30" s="1099">
        <v>1054</v>
      </c>
      <c r="BI30" s="1044">
        <f>(BH30/BD30-1)*100</f>
        <v>7.551020408163267</v>
      </c>
      <c r="BJ30" s="1045">
        <f>BJ24</f>
        <v>11.723768736616712</v>
      </c>
      <c r="BL30" s="1099">
        <v>1256</v>
      </c>
      <c r="BM30" s="1044">
        <f>(BL30/BH30-1)*100</f>
        <v>19.165085388994306</v>
      </c>
      <c r="BN30" s="1045">
        <f>BN24</f>
        <v>14.183037853378044</v>
      </c>
      <c r="BP30" s="1099">
        <v>1347</v>
      </c>
      <c r="BQ30" s="1044">
        <f>(BP30/BL30-1)*100</f>
        <v>7.2452229299363013</v>
      </c>
      <c r="BR30" s="1045">
        <f>BR24</f>
        <v>13.84809064204784</v>
      </c>
      <c r="BT30" s="1099">
        <v>1448</v>
      </c>
      <c r="BU30" s="1044">
        <f>(BT30/BP30-1)*100</f>
        <v>7.4981440237565034</v>
      </c>
      <c r="BV30" s="1045">
        <f>BV24</f>
        <v>2.8750460744563222</v>
      </c>
      <c r="BX30" s="1099">
        <v>1673</v>
      </c>
      <c r="BY30" s="1044">
        <f>(BX30/BT30-1)*100</f>
        <v>15.538674033149169</v>
      </c>
      <c r="BZ30" s="1045">
        <f>BZ24</f>
        <v>8.9215335005374374</v>
      </c>
      <c r="CB30" s="1099">
        <v>1688</v>
      </c>
      <c r="CC30" s="1044">
        <f>(CB30/BX30-1)*100</f>
        <v>0.89659294680215496</v>
      </c>
      <c r="CD30" s="1045">
        <f>CD24</f>
        <v>6.5460526315789469</v>
      </c>
      <c r="CF30" s="1099">
        <v>1653</v>
      </c>
      <c r="CG30" s="1044">
        <f>(CF30/CB30-1)*100</f>
        <v>-2.0734597156398138</v>
      </c>
      <c r="CH30" s="1045">
        <f>CH24</f>
        <v>7.1935782648965718</v>
      </c>
      <c r="CJ30" s="1099">
        <v>1815</v>
      </c>
      <c r="CK30" s="1044">
        <f>(CJ30/CF30-1)*100</f>
        <v>9.8003629764065394</v>
      </c>
      <c r="CL30" s="1045">
        <f>CL24</f>
        <v>1.9873271889401023</v>
      </c>
      <c r="CN30" s="1043"/>
      <c r="CO30" s="1044">
        <f>(CN30/CJ30-1)*100</f>
        <v>-100</v>
      </c>
      <c r="CP30" s="1045">
        <f>CP24</f>
        <v>0</v>
      </c>
    </row>
    <row r="31" spans="1:94" x14ac:dyDescent="0.2">
      <c r="A31" s="239" t="s">
        <v>95</v>
      </c>
      <c r="B31" s="239" t="s">
        <v>81</v>
      </c>
      <c r="D31" s="1043"/>
      <c r="E31" s="1044"/>
      <c r="F31" s="1045"/>
      <c r="H31" s="1043"/>
      <c r="I31" s="1044"/>
      <c r="J31" s="1044"/>
      <c r="L31" s="1043"/>
      <c r="M31" s="1044"/>
      <c r="N31" s="1045"/>
      <c r="P31" s="1043"/>
      <c r="Q31" s="1044"/>
      <c r="R31" s="1045"/>
      <c r="T31" s="1043">
        <v>466.476</v>
      </c>
      <c r="U31" s="1044" t="s">
        <v>83</v>
      </c>
      <c r="V31" s="1045">
        <f>V25</f>
        <v>6.3833136509837241</v>
      </c>
      <c r="X31" s="1043">
        <v>490.988</v>
      </c>
      <c r="Y31" s="1044">
        <f>(X31/T31-1)*100</f>
        <v>5.2547183563570243</v>
      </c>
      <c r="Z31" s="1045">
        <f>Z25</f>
        <v>-1.4884628276867984</v>
      </c>
      <c r="AB31" s="1043">
        <v>366.24400000000003</v>
      </c>
      <c r="AC31" s="1044">
        <f>(AB31/X31-1)*100</f>
        <v>-25.406730918067232</v>
      </c>
      <c r="AD31" s="1045">
        <f>AD25</f>
        <v>7.326143866984669</v>
      </c>
      <c r="AF31" s="1043">
        <v>458.52300000000002</v>
      </c>
      <c r="AG31" s="1044">
        <f>(AF31/AB31-1)*100</f>
        <v>25.196044167276455</v>
      </c>
      <c r="AH31" s="1045">
        <f>AH25</f>
        <v>9.6318604170260613</v>
      </c>
      <c r="AJ31" s="1043">
        <v>482.39400000000001</v>
      </c>
      <c r="AK31" s="1044">
        <f>(AJ31/AF31-1)*100</f>
        <v>5.2060638179546093</v>
      </c>
      <c r="AL31" s="1045">
        <f>AL25</f>
        <v>9.438463943309694</v>
      </c>
      <c r="AN31" s="1043">
        <v>540.01900000000001</v>
      </c>
      <c r="AO31" s="1044">
        <f>(AN31/AJ31-1)*100</f>
        <v>11.945629506171308</v>
      </c>
      <c r="AP31" s="1045">
        <f>AP25</f>
        <v>9.3011950905161669</v>
      </c>
      <c r="AR31" s="1043">
        <v>576.79600000000005</v>
      </c>
      <c r="AS31" s="1044">
        <f>(AR31/AN31-1)*100</f>
        <v>6.8103159333282814</v>
      </c>
      <c r="AT31" s="1045">
        <f>AT25</f>
        <v>14.60138519841443</v>
      </c>
      <c r="AV31" s="1043">
        <v>556</v>
      </c>
      <c r="AW31" s="1044">
        <f>(AV31/AR31-1)*100</f>
        <v>-3.6054341569636494</v>
      </c>
      <c r="AX31" s="1045">
        <f>AX25</f>
        <v>-4.4434916667426823</v>
      </c>
      <c r="AZ31" s="1043">
        <v>563</v>
      </c>
      <c r="BA31" s="1044">
        <f>(AZ31/AV31-1)*100</f>
        <v>1.2589928057553879</v>
      </c>
      <c r="BB31" s="1045">
        <f>BB25</f>
        <v>-8.4725536992840134</v>
      </c>
      <c r="BD31" s="1043">
        <v>726</v>
      </c>
      <c r="BE31" s="1044">
        <f>(BD31/AZ31-1)*100</f>
        <v>28.952042628774421</v>
      </c>
      <c r="BF31" s="1045">
        <f>BF25</f>
        <v>10.343328987396783</v>
      </c>
      <c r="BH31" s="1099">
        <v>846</v>
      </c>
      <c r="BI31" s="1044">
        <f>(BH31/BD31-1)*100</f>
        <v>16.528925619834702</v>
      </c>
      <c r="BJ31" s="1045">
        <f>BJ25</f>
        <v>10.909807010634109</v>
      </c>
      <c r="BL31" s="1099">
        <v>917</v>
      </c>
      <c r="BM31" s="1044">
        <f>(BL31/BH31-1)*100</f>
        <v>8.3924349881796765</v>
      </c>
      <c r="BN31" s="1045">
        <f>BN25</f>
        <v>12.535511363636353</v>
      </c>
      <c r="BP31" s="1099">
        <v>1011</v>
      </c>
      <c r="BQ31" s="1044">
        <f>(BP31/BL31-1)*100</f>
        <v>10.250817884405672</v>
      </c>
      <c r="BR31" s="1045">
        <f>BR25</f>
        <v>13.474282107920477</v>
      </c>
      <c r="BT31" s="1099">
        <v>1263</v>
      </c>
      <c r="BU31" s="1044">
        <f>(BT31/BP31-1)*100</f>
        <v>24.925816023738868</v>
      </c>
      <c r="BV31" s="1045">
        <f>BV25</f>
        <v>0.50055617352613435</v>
      </c>
      <c r="BX31" s="1099">
        <v>1328</v>
      </c>
      <c r="BY31" s="1044">
        <f>(BX31/BT31-1)*100</f>
        <v>5.1464766429136999</v>
      </c>
      <c r="BZ31" s="1045">
        <f>BZ25</f>
        <v>8.9651355838406221</v>
      </c>
      <c r="CB31" s="1099">
        <f>bal!AL23</f>
        <v>1324</v>
      </c>
      <c r="CC31" s="1044">
        <f>(CB31/BX31-1)*100</f>
        <v>-0.30120481927711218</v>
      </c>
      <c r="CD31" s="1045">
        <f>CD25</f>
        <v>5.2056881665820232</v>
      </c>
      <c r="CF31" s="1099">
        <v>1340</v>
      </c>
      <c r="CG31" s="1044">
        <f>(CF31/CB31-1)*100</f>
        <v>1.2084592145015005</v>
      </c>
      <c r="CH31" s="1045">
        <f>CH25</f>
        <v>2.4137098720733663</v>
      </c>
      <c r="CJ31" s="1099">
        <v>1409</v>
      </c>
      <c r="CK31" s="1044">
        <f>(CJ31/CF31-1)*100</f>
        <v>5.1492537313432729</v>
      </c>
      <c r="CL31" s="1045">
        <f>CL25</f>
        <v>8.4138581192552344</v>
      </c>
      <c r="CN31" s="1043"/>
      <c r="CO31" s="1044">
        <f>(CN31/CJ31-1)*100</f>
        <v>-100</v>
      </c>
      <c r="CP31" s="1045">
        <f>CP25</f>
        <v>0</v>
      </c>
    </row>
    <row r="32" spans="1:94" x14ac:dyDescent="0.2">
      <c r="D32" s="582"/>
      <c r="H32" s="582"/>
      <c r="L32" s="582"/>
      <c r="P32" s="582"/>
      <c r="T32" s="582"/>
      <c r="X32" s="582"/>
      <c r="AB32" s="582"/>
      <c r="AF32" s="582"/>
      <c r="AJ32" s="582"/>
      <c r="AN32" s="582"/>
      <c r="AR32" s="582"/>
      <c r="AV32" s="582"/>
      <c r="AZ32" s="582"/>
      <c r="BD32" s="582"/>
      <c r="BH32" s="1097"/>
      <c r="BL32" s="1097"/>
      <c r="BP32" s="1097"/>
      <c r="BT32" s="1097"/>
      <c r="BX32" s="1097"/>
      <c r="CB32" s="1097"/>
      <c r="CF32" s="1097"/>
      <c r="CJ32" s="582"/>
      <c r="CN32" s="582"/>
    </row>
    <row r="33" spans="1:94" x14ac:dyDescent="0.2">
      <c r="A33" s="1040" t="s">
        <v>349</v>
      </c>
      <c r="B33" s="261"/>
      <c r="C33" s="261"/>
      <c r="D33" s="1047"/>
      <c r="E33" s="261"/>
      <c r="F33" s="261"/>
      <c r="G33" s="261"/>
      <c r="H33" s="1047"/>
      <c r="I33" s="261"/>
      <c r="J33" s="261"/>
      <c r="K33" s="261"/>
      <c r="L33" s="1047"/>
      <c r="M33" s="261"/>
      <c r="N33" s="261"/>
      <c r="O33" s="261"/>
      <c r="P33" s="1047"/>
      <c r="Q33" s="261"/>
      <c r="R33" s="261"/>
      <c r="S33" s="261"/>
      <c r="T33" s="1047"/>
      <c r="U33" s="261"/>
      <c r="V33" s="261"/>
      <c r="W33" s="261"/>
      <c r="X33" s="1047"/>
      <c r="Y33" s="261"/>
      <c r="Z33" s="261"/>
      <c r="AA33" s="261"/>
      <c r="AB33" s="1047"/>
      <c r="AC33" s="261"/>
      <c r="AD33" s="261"/>
      <c r="AE33" s="261"/>
      <c r="AF33" s="1047"/>
      <c r="AG33" s="261"/>
      <c r="AH33" s="261"/>
      <c r="AI33" s="261"/>
      <c r="AJ33" s="1047"/>
      <c r="AK33" s="261"/>
      <c r="AL33" s="261"/>
      <c r="AM33" s="261"/>
      <c r="AN33" s="1047"/>
      <c r="AO33" s="261"/>
      <c r="AP33" s="261"/>
      <c r="AQ33" s="261"/>
      <c r="AR33" s="1047"/>
      <c r="AS33" s="261"/>
      <c r="AT33" s="261"/>
      <c r="AU33" s="261"/>
      <c r="AV33" s="1047"/>
      <c r="AW33" s="261"/>
      <c r="AX33" s="261"/>
      <c r="AY33" s="261"/>
      <c r="AZ33" s="1047"/>
      <c r="BA33" s="261"/>
      <c r="BB33" s="261"/>
      <c r="BC33" s="261"/>
      <c r="BD33" s="1047"/>
      <c r="BE33" s="261"/>
      <c r="BF33" s="261"/>
      <c r="BG33" s="261"/>
      <c r="BH33" s="1100"/>
      <c r="BI33" s="261"/>
      <c r="BJ33" s="261"/>
      <c r="BK33" s="261"/>
      <c r="BL33" s="1100"/>
      <c r="BM33" s="261"/>
      <c r="BN33" s="261"/>
      <c r="BO33" s="261"/>
      <c r="BP33" s="1100"/>
      <c r="BQ33" s="261"/>
      <c r="BR33" s="261"/>
      <c r="BS33" s="261"/>
      <c r="BT33" s="1100"/>
      <c r="BU33" s="261"/>
      <c r="BV33" s="261"/>
      <c r="BW33" s="261"/>
      <c r="BX33" s="1100"/>
      <c r="BY33" s="261"/>
      <c r="BZ33" s="261"/>
      <c r="CA33" s="261"/>
      <c r="CB33" s="1100"/>
      <c r="CC33" s="261"/>
      <c r="CD33" s="261"/>
      <c r="CE33" s="261"/>
      <c r="CF33" s="1100"/>
      <c r="CG33" s="261"/>
      <c r="CH33" s="261"/>
      <c r="CI33" s="261"/>
      <c r="CJ33" s="1047"/>
      <c r="CK33" s="261"/>
      <c r="CL33" s="261"/>
      <c r="CM33" s="261"/>
      <c r="CN33" s="1047"/>
      <c r="CO33" s="261"/>
      <c r="CP33" s="261"/>
    </row>
    <row r="34" spans="1:94" x14ac:dyDescent="0.2">
      <c r="A34" s="239" t="s">
        <v>92</v>
      </c>
      <c r="B34" s="239" t="s">
        <v>78</v>
      </c>
      <c r="D34" s="1043"/>
      <c r="E34" s="1044"/>
      <c r="F34" s="1045"/>
      <c r="H34" s="1043"/>
      <c r="I34" s="1044"/>
      <c r="J34" s="1044"/>
      <c r="L34" s="1043"/>
      <c r="M34" s="1044"/>
      <c r="N34" s="1045"/>
      <c r="P34" s="1043"/>
      <c r="Q34" s="1044"/>
      <c r="R34" s="1045"/>
      <c r="T34" s="1043">
        <v>281.363</v>
      </c>
      <c r="U34" s="1044" t="s">
        <v>83</v>
      </c>
      <c r="V34" s="1045">
        <f>V28</f>
        <v>10.997156206543135</v>
      </c>
      <c r="X34" s="1043">
        <v>319.24700000000001</v>
      </c>
      <c r="Y34" s="1044">
        <f>(X34/T34-1)*100</f>
        <v>13.464456947075497</v>
      </c>
      <c r="Z34" s="1045">
        <f>Z28</f>
        <v>5.6064062314403751</v>
      </c>
      <c r="AB34" s="1043">
        <v>368.60699999999997</v>
      </c>
      <c r="AC34" s="1044">
        <f>(AB34/X34-1)*100</f>
        <v>15.461382565850258</v>
      </c>
      <c r="AD34" s="1045">
        <f>AD28</f>
        <v>2.2758694295753834</v>
      </c>
      <c r="AF34" s="1043">
        <v>359.483</v>
      </c>
      <c r="AG34" s="1044">
        <f>(AF34/AB34-1)*100</f>
        <v>-2.4752649841158658</v>
      </c>
      <c r="AH34" s="1045">
        <f>AH28</f>
        <v>7.201301052127973</v>
      </c>
      <c r="AJ34" s="1043">
        <v>524.18700000000001</v>
      </c>
      <c r="AK34" s="1044">
        <f>(AJ34/AF34-1)*100</f>
        <v>45.816909283610087</v>
      </c>
      <c r="AL34" s="1045">
        <f>AL28</f>
        <v>14.977326368504929</v>
      </c>
      <c r="AN34" s="1043">
        <v>553.59400000000005</v>
      </c>
      <c r="AO34" s="1044">
        <f>(AN34/AJ34-1)*100</f>
        <v>5.6100208513374161</v>
      </c>
      <c r="AP34" s="1045">
        <f>AP28</f>
        <v>7.7489270526021059</v>
      </c>
      <c r="AR34" s="1043">
        <v>606.72400000000005</v>
      </c>
      <c r="AS34" s="1044">
        <f>(AR34/AN34-1)*100</f>
        <v>9.597286097753944</v>
      </c>
      <c r="AT34" s="1045">
        <f>AT28</f>
        <v>8.0236377241346801</v>
      </c>
      <c r="AV34" s="1043">
        <v>710.005</v>
      </c>
      <c r="AW34" s="1044">
        <f>(AV34/AR34-1)*100</f>
        <v>17.022731917642943</v>
      </c>
      <c r="AX34" s="1045">
        <f>AX28</f>
        <v>9.3244659452122125</v>
      </c>
      <c r="AZ34" s="1043">
        <v>765</v>
      </c>
      <c r="BA34" s="1044">
        <f>(AZ34/AV34-1)*100</f>
        <v>7.7457201005626697</v>
      </c>
      <c r="BB34" s="1045">
        <f>BB28</f>
        <v>-3.8319808052932891</v>
      </c>
      <c r="BD34" s="1043">
        <v>721</v>
      </c>
      <c r="BE34" s="1044">
        <f>(BD34/AZ34-1)*100</f>
        <v>-5.7516339869281063</v>
      </c>
      <c r="BF34" s="1045">
        <f>BF28</f>
        <v>-9.207025013304948</v>
      </c>
      <c r="BH34" s="1099">
        <v>837</v>
      </c>
      <c r="BI34" s="1044">
        <f>(BH34/BD34-1)*100</f>
        <v>16.088765603328703</v>
      </c>
      <c r="BJ34" s="1045">
        <f>BJ28</f>
        <v>16.647127784290738</v>
      </c>
      <c r="BL34" s="1099">
        <v>947</v>
      </c>
      <c r="BM34" s="1044">
        <f>(BL34/BH34-1)*100</f>
        <v>13.142174432497011</v>
      </c>
      <c r="BN34" s="1045">
        <f>BN28</f>
        <v>12.010050251256278</v>
      </c>
      <c r="BP34" s="1099">
        <v>1025</v>
      </c>
      <c r="BQ34" s="1044">
        <f>(BP34/BL34-1)*100</f>
        <v>8.2365364308342173</v>
      </c>
      <c r="BR34" s="1045">
        <f>BR28</f>
        <v>13.728129205921945</v>
      </c>
      <c r="BT34" s="1099">
        <f>230+856</f>
        <v>1086</v>
      </c>
      <c r="BU34" s="1044">
        <f>(BT34/BP34-1)*100</f>
        <v>5.9512195121951272</v>
      </c>
      <c r="BV34" s="1045">
        <f>BV28</f>
        <v>4.8126232741617425</v>
      </c>
      <c r="BX34" s="1099">
        <f>295+982</f>
        <v>1277</v>
      </c>
      <c r="BY34" s="1044">
        <f>(BX34/BT34-1)*100</f>
        <v>17.587476979742167</v>
      </c>
      <c r="BZ34" s="1045">
        <f>BZ28</f>
        <v>6.7745577719232175</v>
      </c>
      <c r="CB34" s="1099">
        <f>312+1057</f>
        <v>1369</v>
      </c>
      <c r="CC34" s="1044">
        <f>(CB34/BX34-1)*100</f>
        <v>7.2043852779952955</v>
      </c>
      <c r="CD34" s="1045">
        <f>CD28</f>
        <v>9.7990835389496045</v>
      </c>
      <c r="CF34" s="1099">
        <f>320+1150</f>
        <v>1470</v>
      </c>
      <c r="CG34" s="1044">
        <f>(CF34/CB34-1)*100</f>
        <v>7.377647918188468</v>
      </c>
      <c r="CH34" s="1045">
        <f>CH28</f>
        <v>2.4719101123595433</v>
      </c>
      <c r="CJ34" s="1099">
        <f>319+1225</f>
        <v>1544</v>
      </c>
      <c r="CK34" s="1044">
        <f>(CJ34/CF34-1)*100</f>
        <v>5.034013605442178</v>
      </c>
      <c r="CL34" s="1045">
        <f>CL28</f>
        <v>2.7255639097744311</v>
      </c>
      <c r="CN34" s="1099"/>
      <c r="CO34" s="1044">
        <f>(CN34/CJ34-1)*100</f>
        <v>-100</v>
      </c>
      <c r="CP34" s="1045">
        <f>CP28</f>
        <v>0</v>
      </c>
    </row>
    <row r="35" spans="1:94" x14ac:dyDescent="0.2">
      <c r="A35" s="239" t="s">
        <v>93</v>
      </c>
      <c r="B35" s="239" t="s">
        <v>79</v>
      </c>
      <c r="D35" s="1043"/>
      <c r="E35" s="1044"/>
      <c r="F35" s="1045"/>
      <c r="H35" s="1043"/>
      <c r="I35" s="1044"/>
      <c r="J35" s="1044"/>
      <c r="L35" s="1043"/>
      <c r="M35" s="1044"/>
      <c r="N35" s="1045"/>
      <c r="P35" s="1043"/>
      <c r="Q35" s="1044"/>
      <c r="R35" s="1045"/>
      <c r="T35" s="1043">
        <v>344.19</v>
      </c>
      <c r="U35" s="1044" t="s">
        <v>83</v>
      </c>
      <c r="V35" s="1045">
        <f>V29</f>
        <v>0.9449942669885969</v>
      </c>
      <c r="X35" s="1043">
        <v>396.35599999999999</v>
      </c>
      <c r="Y35" s="1044">
        <f>(X35/T35-1)*100</f>
        <v>15.156163746767781</v>
      </c>
      <c r="Z35" s="1045">
        <f>Z29</f>
        <v>6.0893526922826124</v>
      </c>
      <c r="AB35" s="1043">
        <v>406.32399999999996</v>
      </c>
      <c r="AC35" s="1044">
        <f>(AB35/X35-1)*100</f>
        <v>2.5149108377317209</v>
      </c>
      <c r="AD35" s="1045">
        <f>AD29</f>
        <v>7.1013010436943969</v>
      </c>
      <c r="AF35" s="1043">
        <v>480.11200000000002</v>
      </c>
      <c r="AG35" s="1044">
        <f>(AF35/AB35-1)*100</f>
        <v>18.159892105807195</v>
      </c>
      <c r="AH35" s="1045">
        <f>AH29</f>
        <v>7.8085058060026746</v>
      </c>
      <c r="AJ35" s="1043">
        <v>528.45799999999997</v>
      </c>
      <c r="AK35" s="1044">
        <f>(AJ35/AF35-1)*100</f>
        <v>10.069733728796603</v>
      </c>
      <c r="AL35" s="1045">
        <f>AL29</f>
        <v>9.4509188704616776</v>
      </c>
      <c r="AN35" s="1043">
        <v>699.58899999999994</v>
      </c>
      <c r="AO35" s="1044">
        <f>(AN35/AJ35-1)*100</f>
        <v>32.383084369997242</v>
      </c>
      <c r="AP35" s="1045">
        <f>AP29</f>
        <v>7.8300264143989162</v>
      </c>
      <c r="AR35" s="1043">
        <v>718.78200000000004</v>
      </c>
      <c r="AS35" s="1044">
        <f>(AR35/AN35-1)*100</f>
        <v>2.7434679504680703</v>
      </c>
      <c r="AT35" s="1045">
        <f>AT29</f>
        <v>7.7870794203294791</v>
      </c>
      <c r="AV35" s="1043">
        <v>775.55900000000008</v>
      </c>
      <c r="AW35" s="1044">
        <f>(AV35/AR35-1)*100</f>
        <v>7.8990570158963491</v>
      </c>
      <c r="AX35" s="1045">
        <f>AX29</f>
        <v>5.2425314957092572</v>
      </c>
      <c r="AZ35" s="1043">
        <v>740</v>
      </c>
      <c r="BA35" s="1044">
        <f>(AZ35/AV35-1)*100</f>
        <v>-4.5849509837420648</v>
      </c>
      <c r="BB35" s="1045">
        <f>BB29</f>
        <v>-4.289520225587129</v>
      </c>
      <c r="BD35" s="1043">
        <v>773</v>
      </c>
      <c r="BE35" s="1044">
        <f>(BD35/AZ35-1)*100</f>
        <v>4.4594594594594694</v>
      </c>
      <c r="BF35" s="1045">
        <f>BF29</f>
        <v>-6.2090074333187584</v>
      </c>
      <c r="BH35" s="1099">
        <v>890</v>
      </c>
      <c r="BI35" s="1044">
        <f>(BH35/BD35-1)*100</f>
        <v>15.13583441138422</v>
      </c>
      <c r="BJ35" s="1045">
        <f>BJ29</f>
        <v>12.680652680652681</v>
      </c>
      <c r="BL35" s="1099">
        <v>988</v>
      </c>
      <c r="BM35" s="1044">
        <f>(BL35/BH35-1)*100</f>
        <v>11.011235955056176</v>
      </c>
      <c r="BN35" s="1045">
        <f>BN29</f>
        <v>12.370707488622257</v>
      </c>
      <c r="BP35" s="1099">
        <v>1095</v>
      </c>
      <c r="BQ35" s="1044">
        <f>(BP35/BL35-1)*100</f>
        <v>10.829959514170051</v>
      </c>
      <c r="BR35" s="1045">
        <f>BR29</f>
        <v>7.4374079528718662</v>
      </c>
      <c r="BT35" s="1099">
        <f>322+837</f>
        <v>1159</v>
      </c>
      <c r="BU35" s="1044">
        <f>(BT35/BP35-1)*100</f>
        <v>5.8447488584474794</v>
      </c>
      <c r="BV35" s="1045">
        <f>BV29</f>
        <v>6.3742289239204997</v>
      </c>
      <c r="BX35" s="1099">
        <f>358+944</f>
        <v>1302</v>
      </c>
      <c r="BY35" s="1044">
        <f>(BX35/BT35-1)*100</f>
        <v>12.338222605694572</v>
      </c>
      <c r="BZ35" s="1045">
        <f>BZ29</f>
        <v>6.1855670103092786</v>
      </c>
      <c r="CB35" s="1099">
        <f>389+1145</f>
        <v>1534</v>
      </c>
      <c r="CC35" s="1044">
        <f>(CB35/BX35-1)*100</f>
        <v>17.818740399385558</v>
      </c>
      <c r="CD35" s="1045">
        <f>CD29</f>
        <v>9.1626213592232997</v>
      </c>
      <c r="CF35" s="1099">
        <f>381+1326</f>
        <v>1707</v>
      </c>
      <c r="CG35" s="1044">
        <f>(CF35/CB35-1)*100</f>
        <v>11.277705345501964</v>
      </c>
      <c r="CH35" s="1045">
        <f>CH29</f>
        <v>-0.16675931072818173</v>
      </c>
      <c r="CJ35" s="1099">
        <f>1339+397</f>
        <v>1736</v>
      </c>
      <c r="CK35" s="1044">
        <f>(CJ35/CF35-1)*100</f>
        <v>1.698886936145283</v>
      </c>
      <c r="CL35" s="1045">
        <f>CL29</f>
        <v>3.4799554565701607</v>
      </c>
      <c r="CN35" s="1043"/>
      <c r="CO35" s="1044">
        <f>(CN35/CJ35-1)*100</f>
        <v>-100</v>
      </c>
      <c r="CP35" s="1045">
        <f>CP29</f>
        <v>0</v>
      </c>
    </row>
    <row r="36" spans="1:94" x14ac:dyDescent="0.2">
      <c r="A36" s="239" t="s">
        <v>94</v>
      </c>
      <c r="B36" s="239" t="s">
        <v>80</v>
      </c>
      <c r="D36" s="1043"/>
      <c r="E36" s="1044"/>
      <c r="F36" s="1045"/>
      <c r="H36" s="1043"/>
      <c r="I36" s="1044"/>
      <c r="J36" s="1044"/>
      <c r="L36" s="1043"/>
      <c r="M36" s="1044"/>
      <c r="N36" s="1045"/>
      <c r="P36" s="1043"/>
      <c r="Q36" s="1044"/>
      <c r="R36" s="1045"/>
      <c r="T36" s="1043">
        <v>349.25300000000004</v>
      </c>
      <c r="U36" s="1044" t="s">
        <v>83</v>
      </c>
      <c r="V36" s="1045">
        <f>V30</f>
        <v>13.717149770203774</v>
      </c>
      <c r="X36" s="1043">
        <v>379.18100000000004</v>
      </c>
      <c r="Y36" s="1044">
        <f>(X36/T36-1)*100</f>
        <v>8.5691461490667198</v>
      </c>
      <c r="Z36" s="1045">
        <f>Z30</f>
        <v>-1.8337439301642</v>
      </c>
      <c r="AB36" s="1043">
        <v>384.935</v>
      </c>
      <c r="AC36" s="1044">
        <f>(AB36/X36-1)*100</f>
        <v>1.5174810974178499</v>
      </c>
      <c r="AD36" s="1045">
        <f>AD30</f>
        <v>6.7751147678296597</v>
      </c>
      <c r="AF36" s="1043">
        <v>461.33299999999997</v>
      </c>
      <c r="AG36" s="1044">
        <f>(AF36/AB36-1)*100</f>
        <v>19.846987153675279</v>
      </c>
      <c r="AH36" s="1045">
        <f>AH30</f>
        <v>6.4917574880913653</v>
      </c>
      <c r="AJ36" s="1043">
        <v>610.40300000000002</v>
      </c>
      <c r="AK36" s="1044">
        <f>(AJ36/AF36-1)*100</f>
        <v>32.312884619136305</v>
      </c>
      <c r="AL36" s="1045">
        <f>AL30</f>
        <v>9.4386487829110735</v>
      </c>
      <c r="AN36" s="1043">
        <v>648.85900000000004</v>
      </c>
      <c r="AO36" s="1044">
        <f>(AN36/AJ36-1)*100</f>
        <v>6.3001000978042399</v>
      </c>
      <c r="AP36" s="1045">
        <f>AP30</f>
        <v>8.0344984112573847</v>
      </c>
      <c r="AR36" s="1043">
        <v>682.17700000000002</v>
      </c>
      <c r="AS36" s="1044">
        <f>(AR36/AN36-1)*100</f>
        <v>5.1348598077548324</v>
      </c>
      <c r="AT36" s="1045">
        <f>AT30</f>
        <v>12.371128451380553</v>
      </c>
      <c r="AV36" s="1043">
        <v>745.96299999999997</v>
      </c>
      <c r="AW36" s="1044">
        <f>(AV36/AR36-1)*100</f>
        <v>9.350359217622394</v>
      </c>
      <c r="AX36" s="1045">
        <f>AX30</f>
        <v>5.2529695214419192</v>
      </c>
      <c r="AZ36" s="1043">
        <v>705</v>
      </c>
      <c r="BA36" s="1044">
        <f>(AZ36/AV36-1)*100</f>
        <v>-5.4912911230181605</v>
      </c>
      <c r="BB36" s="1045">
        <f>BB30</f>
        <v>-7.4320305474299131</v>
      </c>
      <c r="BD36" s="1043">
        <v>775</v>
      </c>
      <c r="BE36" s="1044">
        <f>(BD36/AZ36-1)*100</f>
        <v>9.9290780141843893</v>
      </c>
      <c r="BF36" s="1045">
        <f>BF30</f>
        <v>2.4122807017543879</v>
      </c>
      <c r="BH36" s="1099">
        <v>883</v>
      </c>
      <c r="BI36" s="1044">
        <f>(BH36/BD36-1)*100</f>
        <v>13.935483870967747</v>
      </c>
      <c r="BJ36" s="1045">
        <f>BJ30</f>
        <v>11.723768736616712</v>
      </c>
      <c r="BL36" s="1099">
        <f>698+335</f>
        <v>1033</v>
      </c>
      <c r="BM36" s="1044">
        <f>(BL36/BH36-1)*100</f>
        <v>16.987542468856166</v>
      </c>
      <c r="BN36" s="1045">
        <f>BN30</f>
        <v>14.183037853378044</v>
      </c>
      <c r="BP36" s="1099">
        <f>340+751</f>
        <v>1091</v>
      </c>
      <c r="BQ36" s="1044">
        <f>(BP36/BL36-1)*100</f>
        <v>5.6147144240077385</v>
      </c>
      <c r="BR36" s="1045">
        <f>BR30</f>
        <v>13.84809064204784</v>
      </c>
      <c r="BT36" s="1099">
        <f>358+821</f>
        <v>1179</v>
      </c>
      <c r="BU36" s="1044">
        <f>(BT36/BP36-1)*100</f>
        <v>8.0659945004582845</v>
      </c>
      <c r="BV36" s="1045">
        <f>BV30</f>
        <v>2.8750460744563222</v>
      </c>
      <c r="BX36" s="1099">
        <f>377+950</f>
        <v>1327</v>
      </c>
      <c r="BY36" s="1044">
        <f>(BX36/BT36-1)*100</f>
        <v>12.55301102629347</v>
      </c>
      <c r="BZ36" s="1045">
        <f>BZ30</f>
        <v>8.9215335005374374</v>
      </c>
      <c r="CB36" s="1099">
        <f>417+1075</f>
        <v>1492</v>
      </c>
      <c r="CC36" s="1044">
        <f>(CB36/BX36-1)*100</f>
        <v>12.434061793519223</v>
      </c>
      <c r="CD36" s="1045">
        <f>CD30</f>
        <v>6.5460526315789469</v>
      </c>
      <c r="CF36" s="1099">
        <f>1186+391</f>
        <v>1577</v>
      </c>
      <c r="CG36" s="1044">
        <f>(CF36/CB36-1)*100</f>
        <v>5.697050938337811</v>
      </c>
      <c r="CH36" s="1045">
        <f>CH30</f>
        <v>7.1935782648965718</v>
      </c>
      <c r="CJ36" s="1099">
        <f>433+1166</f>
        <v>1599</v>
      </c>
      <c r="CK36" s="1044">
        <f>(CJ36/CF36-1)*100</f>
        <v>1.3950538998097617</v>
      </c>
      <c r="CL36" s="1045">
        <f>CL30</f>
        <v>1.9873271889401023</v>
      </c>
      <c r="CN36" s="1043"/>
      <c r="CO36" s="1044">
        <f>(CN36/CJ36-1)*100</f>
        <v>-100</v>
      </c>
      <c r="CP36" s="1045">
        <f>CP30</f>
        <v>0</v>
      </c>
    </row>
    <row r="37" spans="1:94" x14ac:dyDescent="0.2">
      <c r="A37" s="239" t="s">
        <v>95</v>
      </c>
      <c r="B37" s="239" t="s">
        <v>81</v>
      </c>
      <c r="D37" s="1043"/>
      <c r="E37" s="1044"/>
      <c r="F37" s="1045"/>
      <c r="H37" s="1043"/>
      <c r="I37" s="1044"/>
      <c r="J37" s="1044"/>
      <c r="L37" s="1043"/>
      <c r="M37" s="1044"/>
      <c r="N37" s="1045"/>
      <c r="P37" s="1043"/>
      <c r="Q37" s="1044"/>
      <c r="R37" s="1045"/>
      <c r="T37" s="1043">
        <v>388.44600000000003</v>
      </c>
      <c r="U37" s="1044" t="s">
        <v>83</v>
      </c>
      <c r="V37" s="1045">
        <f>V31</f>
        <v>6.3833136509837241</v>
      </c>
      <c r="X37" s="1043">
        <v>378.37299999999999</v>
      </c>
      <c r="Y37" s="1044">
        <f>(X37/T37-1)*100</f>
        <v>-2.5931532310797478</v>
      </c>
      <c r="Z37" s="1045">
        <f>Z31</f>
        <v>-1.4884628276867984</v>
      </c>
      <c r="AB37" s="1043">
        <v>553.94500000000005</v>
      </c>
      <c r="AC37" s="1044">
        <f>(AB37/X37-1)*100</f>
        <v>46.401830997454915</v>
      </c>
      <c r="AD37" s="1045">
        <f>AD31</f>
        <v>7.326143866984669</v>
      </c>
      <c r="AF37" s="1043">
        <v>656.91700000000003</v>
      </c>
      <c r="AG37" s="1044">
        <f>(AF37/AB37-1)*100</f>
        <v>18.588849073463965</v>
      </c>
      <c r="AH37" s="1045">
        <f>AH31</f>
        <v>9.6318604170260613</v>
      </c>
      <c r="AJ37" s="1043">
        <v>757.66100000000006</v>
      </c>
      <c r="AK37" s="1044">
        <f>(AJ37/AF37-1)*100</f>
        <v>15.335879570782929</v>
      </c>
      <c r="AL37" s="1045">
        <f>AL31</f>
        <v>9.438463943309694</v>
      </c>
      <c r="AN37" s="1043">
        <v>776.67499999999995</v>
      </c>
      <c r="AO37" s="1044">
        <f>(AN37/AJ37-1)*100</f>
        <v>2.5095656236760133</v>
      </c>
      <c r="AP37" s="1045">
        <f>AP31</f>
        <v>9.3011950905161669</v>
      </c>
      <c r="AR37" s="1043">
        <v>849.54700000000003</v>
      </c>
      <c r="AS37" s="1044">
        <f>(AR37/AN37-1)*100</f>
        <v>9.3825602729584503</v>
      </c>
      <c r="AT37" s="1045">
        <f>AT31</f>
        <v>14.60138519841443</v>
      </c>
      <c r="AV37" s="1043">
        <v>818</v>
      </c>
      <c r="AW37" s="1044">
        <f>(AV37/AR37-1)*100</f>
        <v>-3.7133907835587676</v>
      </c>
      <c r="AX37" s="1045">
        <f>AX31</f>
        <v>-4.4434916667426823</v>
      </c>
      <c r="AZ37" s="1043">
        <v>739</v>
      </c>
      <c r="BA37" s="1044">
        <f>(AZ37/AV37-1)*100</f>
        <v>-9.6577017114914394</v>
      </c>
      <c r="BB37" s="1045">
        <f>BB31</f>
        <v>-8.4725536992840134</v>
      </c>
      <c r="BD37" s="1043">
        <v>932</v>
      </c>
      <c r="BE37" s="1044">
        <f>(BD37/AZ37-1)*100</f>
        <v>26.116373477672528</v>
      </c>
      <c r="BF37" s="1045">
        <f>BF31</f>
        <v>10.343328987396783</v>
      </c>
      <c r="BH37" s="1099">
        <v>1027</v>
      </c>
      <c r="BI37" s="1044">
        <f>(BH37/BD37-1)*100</f>
        <v>10.193133047210301</v>
      </c>
      <c r="BJ37" s="1045">
        <f>BJ31</f>
        <v>10.909807010634109</v>
      </c>
      <c r="BL37" s="1099">
        <v>1152</v>
      </c>
      <c r="BM37" s="1044">
        <f>(BL37/BH37-1)*100</f>
        <v>12.171372930866609</v>
      </c>
      <c r="BN37" s="1045">
        <f>BN31</f>
        <v>12.535511363636353</v>
      </c>
      <c r="BP37" s="1099">
        <f>404+804</f>
        <v>1208</v>
      </c>
      <c r="BQ37" s="1044">
        <f>(BP37/BL37-1)*100</f>
        <v>4.861111111111116</v>
      </c>
      <c r="BR37" s="1045">
        <f>BR31</f>
        <v>13.474282107920477</v>
      </c>
      <c r="BT37" s="1099">
        <f>395+876</f>
        <v>1271</v>
      </c>
      <c r="BU37" s="1044">
        <f>(BT37/BP37-1)*100</f>
        <v>5.2152317880794774</v>
      </c>
      <c r="BV37" s="1045">
        <f>BV31</f>
        <v>0.50055617352613435</v>
      </c>
      <c r="BX37" s="1099">
        <f>416+1048</f>
        <v>1464</v>
      </c>
      <c r="BY37" s="1044">
        <f>(BX37/BT37-1)*100</f>
        <v>15.184893784421716</v>
      </c>
      <c r="BZ37" s="1045">
        <f>BZ31</f>
        <v>8.9651355838406221</v>
      </c>
      <c r="CB37" s="1099">
        <v>1161</v>
      </c>
      <c r="CC37" s="1044">
        <f>(CB37/BX37-1)*100</f>
        <v>-20.696721311475407</v>
      </c>
      <c r="CD37" s="1045">
        <f>CD31</f>
        <v>5.2056881665820232</v>
      </c>
      <c r="CF37" s="1099">
        <f>1223+455</f>
        <v>1678</v>
      </c>
      <c r="CG37" s="1044">
        <f>(CF37/CB37-1)*100</f>
        <v>44.530577088716619</v>
      </c>
      <c r="CH37" s="1045">
        <f>CH31</f>
        <v>2.4137098720733663</v>
      </c>
      <c r="CJ37" s="1099">
        <f>578+1246</f>
        <v>1824</v>
      </c>
      <c r="CK37" s="1044">
        <f>(CJ37/CF37-1)*100</f>
        <v>8.7008343265792654</v>
      </c>
      <c r="CL37" s="1045">
        <f>CL31</f>
        <v>8.4138581192552344</v>
      </c>
      <c r="CN37" s="1043"/>
      <c r="CO37" s="1044">
        <f>(CN37/CJ37-1)*100</f>
        <v>-100</v>
      </c>
      <c r="CP37" s="1045">
        <f>CP31</f>
        <v>0</v>
      </c>
    </row>
    <row r="39" spans="1:94" x14ac:dyDescent="0.2">
      <c r="A39" s="1040" t="s">
        <v>348</v>
      </c>
      <c r="B39" s="261"/>
      <c r="C39" s="261"/>
      <c r="D39" s="261"/>
      <c r="E39" s="261"/>
      <c r="F39" s="261"/>
      <c r="G39" s="261"/>
      <c r="H39" s="261"/>
      <c r="I39" s="261"/>
      <c r="J39" s="261"/>
      <c r="K39" s="261"/>
      <c r="L39" s="261"/>
      <c r="M39" s="261"/>
      <c r="N39" s="261"/>
      <c r="O39" s="261"/>
      <c r="P39" s="261"/>
      <c r="Q39" s="261"/>
      <c r="R39" s="261"/>
      <c r="S39" s="261"/>
      <c r="T39" s="261"/>
      <c r="U39" s="261"/>
      <c r="V39" s="261"/>
      <c r="W39" s="261"/>
      <c r="X39" s="261"/>
      <c r="Y39" s="261"/>
      <c r="Z39" s="261"/>
      <c r="AA39" s="261"/>
      <c r="AB39" s="261"/>
      <c r="AC39" s="261"/>
      <c r="AD39" s="261"/>
      <c r="AE39" s="261"/>
      <c r="AF39" s="261"/>
      <c r="AG39" s="261"/>
      <c r="AH39" s="261"/>
      <c r="AI39" s="261"/>
      <c r="AJ39" s="261"/>
      <c r="AK39" s="261"/>
      <c r="AL39" s="261"/>
      <c r="AM39" s="261"/>
      <c r="AN39" s="261"/>
      <c r="AO39" s="261"/>
      <c r="AP39" s="261"/>
      <c r="AQ39" s="261"/>
      <c r="AR39" s="261"/>
      <c r="AS39" s="261"/>
      <c r="AT39" s="261"/>
      <c r="AU39" s="261"/>
      <c r="AV39" s="261"/>
      <c r="AW39" s="261"/>
      <c r="AX39" s="261"/>
      <c r="AY39" s="261"/>
      <c r="AZ39" s="261"/>
      <c r="BA39" s="261"/>
      <c r="BB39" s="261"/>
      <c r="BC39" s="261"/>
      <c r="BD39" s="261"/>
      <c r="BE39" s="261"/>
      <c r="BF39" s="261"/>
      <c r="BG39" s="261"/>
      <c r="BH39" s="261"/>
      <c r="BI39" s="261"/>
      <c r="BJ39" s="261"/>
      <c r="BK39" s="261"/>
      <c r="BL39" s="261"/>
      <c r="BM39" s="261"/>
      <c r="BN39" s="261"/>
      <c r="BO39" s="261"/>
      <c r="BP39" s="261"/>
      <c r="BQ39" s="261"/>
      <c r="BR39" s="261"/>
      <c r="BS39" s="261"/>
      <c r="BT39" s="261"/>
      <c r="BU39" s="261"/>
      <c r="BV39" s="261"/>
      <c r="BW39" s="261"/>
      <c r="BX39" s="261"/>
      <c r="BY39" s="261"/>
      <c r="BZ39" s="261"/>
      <c r="CA39" s="261"/>
      <c r="CB39" s="261"/>
      <c r="CC39" s="261"/>
      <c r="CD39" s="261"/>
      <c r="CE39" s="261"/>
      <c r="CF39" s="261"/>
      <c r="CG39" s="261"/>
      <c r="CH39" s="261"/>
      <c r="CI39" s="261"/>
      <c r="CJ39" s="261"/>
      <c r="CK39" s="261"/>
      <c r="CL39" s="261"/>
      <c r="CM39" s="261"/>
      <c r="CN39" s="261"/>
      <c r="CO39" s="261"/>
      <c r="CP39" s="261"/>
    </row>
    <row r="40" spans="1:94" x14ac:dyDescent="0.2">
      <c r="A40" s="239" t="s">
        <v>92</v>
      </c>
      <c r="B40" s="239" t="s">
        <v>78</v>
      </c>
      <c r="D40" s="759"/>
      <c r="E40" s="1044"/>
      <c r="F40" s="1045"/>
      <c r="H40" s="759"/>
      <c r="I40" s="1044"/>
      <c r="J40" s="1044"/>
      <c r="L40" s="759"/>
      <c r="M40" s="1044"/>
      <c r="N40" s="1045"/>
      <c r="P40" s="759"/>
      <c r="Q40" s="1044"/>
      <c r="R40" s="1045"/>
      <c r="T40" s="759">
        <f>T10+T16-T28+T22-T34</f>
        <v>888.87599999999998</v>
      </c>
      <c r="U40" s="1044" t="s">
        <v>83</v>
      </c>
      <c r="V40" s="1045">
        <f>V34</f>
        <v>10.997156206543135</v>
      </c>
      <c r="X40" s="759">
        <f>X10+X16-X28+X22-X34</f>
        <v>1019.1779999999999</v>
      </c>
      <c r="Y40" s="1044">
        <f>(X40/T40-1)*100</f>
        <v>14.659187558219578</v>
      </c>
      <c r="Z40" s="1045">
        <f>Z34</f>
        <v>5.6064062314403751</v>
      </c>
      <c r="AB40" s="759">
        <f>AB10+AB16-AB28+AB22-AB34</f>
        <v>860.24900000000002</v>
      </c>
      <c r="AC40" s="1044">
        <f>(AB40/X40-1)*100</f>
        <v>-15.59384131133128</v>
      </c>
      <c r="AD40" s="1045">
        <f>AD34</f>
        <v>2.2758694295753834</v>
      </c>
      <c r="AF40" s="759">
        <f>AF10+AF16-AF28+AF22-AF34</f>
        <v>1182.6290000000001</v>
      </c>
      <c r="AG40" s="1044">
        <f>(AF40/AB40-1)*100</f>
        <v>37.47519613507253</v>
      </c>
      <c r="AH40" s="1045">
        <f>AH34</f>
        <v>7.201301052127973</v>
      </c>
      <c r="AJ40" s="759">
        <f>AJ10+AJ16-AJ28+AJ22-AJ34</f>
        <v>1160.2870000000003</v>
      </c>
      <c r="AK40" s="1044">
        <f>(AJ40/AF40-1)*100</f>
        <v>-1.8891807997266974</v>
      </c>
      <c r="AL40" s="1045">
        <f>AL34</f>
        <v>14.977326368504929</v>
      </c>
      <c r="AN40" s="759">
        <f>AN10+AN16-AN28+AN22-AN34</f>
        <v>1159.5659999999998</v>
      </c>
      <c r="AO40" s="1044">
        <f>(AN40/AJ40-1)*100</f>
        <v>-6.2139798170668392E-2</v>
      </c>
      <c r="AP40" s="1045">
        <f>AP34</f>
        <v>7.7489270526021059</v>
      </c>
      <c r="AR40" s="759">
        <f>AR10+AR16-AR28+AR22-AR34</f>
        <v>1266.0749999999998</v>
      </c>
      <c r="AS40" s="1044">
        <f>(AR40/AN40-1)*100</f>
        <v>9.1852468940965881</v>
      </c>
      <c r="AT40" s="1045">
        <f>AT34</f>
        <v>8.0236377241346801</v>
      </c>
      <c r="AV40" s="759">
        <f>AV10+AV16-AV28+AV22-AV34</f>
        <v>1533.1990000000005</v>
      </c>
      <c r="AW40" s="1044">
        <f>(AV40/AR40-1)*100</f>
        <v>21.098592105523029</v>
      </c>
      <c r="AX40" s="1045">
        <f>AX34</f>
        <v>9.3244659452122125</v>
      </c>
      <c r="AZ40" s="759">
        <f>AZ10+AZ16-AZ28+AZ22-AZ34</f>
        <v>1738</v>
      </c>
      <c r="BA40" s="1044">
        <f>(AZ40/AV40-1)*100</f>
        <v>13.357757212207911</v>
      </c>
      <c r="BB40" s="1045">
        <f>BB34</f>
        <v>-3.8319808052932891</v>
      </c>
      <c r="BD40" s="759">
        <f>BD10+BD16-BD28+BD22-BD34</f>
        <v>1900</v>
      </c>
      <c r="BE40" s="1044">
        <f>(BD40/AZ40-1)*100</f>
        <v>9.3210586881472999</v>
      </c>
      <c r="BF40" s="1045">
        <f>BF34</f>
        <v>-9.207025013304948</v>
      </c>
      <c r="BH40" s="759">
        <f>BH10+BH16-BH28+BH22-BH34</f>
        <v>1604</v>
      </c>
      <c r="BI40" s="1044">
        <f>(BH40/BD40-1)*100</f>
        <v>-15.578947368421048</v>
      </c>
      <c r="BJ40" s="1045">
        <f>BJ34</f>
        <v>16.647127784290738</v>
      </c>
      <c r="BL40" s="759">
        <f>BL10+BL16-BL28+BL22-BL34</f>
        <v>1438</v>
      </c>
      <c r="BM40" s="1044">
        <f>(BL40/BH40-1)*100</f>
        <v>-10.349127182044892</v>
      </c>
      <c r="BN40" s="1045">
        <f>BN34</f>
        <v>12.010050251256278</v>
      </c>
      <c r="BP40" s="759">
        <f>BP10+BP16-BP28+BP22-BP34</f>
        <v>1473</v>
      </c>
      <c r="BQ40" s="1044">
        <f>(BP40/BL40-1)*100</f>
        <v>2.4339360222531248</v>
      </c>
      <c r="BR40" s="1045">
        <f>BR34</f>
        <v>13.728129205921945</v>
      </c>
      <c r="BT40" s="759">
        <f>BT10+BT16-BT28+BT22-BT34</f>
        <v>1590</v>
      </c>
      <c r="BU40" s="1044">
        <f>(BT40/BP40-1)*100</f>
        <v>7.9429735234215926</v>
      </c>
      <c r="BV40" s="1045">
        <f>BV34</f>
        <v>4.8126232741617425</v>
      </c>
      <c r="BX40" s="759">
        <f>BX10+BX16-BX28+BX22-BX34</f>
        <v>1568</v>
      </c>
      <c r="BY40" s="1044">
        <f>(BX40/BT40-1)*100</f>
        <v>-1.3836477987421381</v>
      </c>
      <c r="BZ40" s="1045">
        <f>BZ34</f>
        <v>6.7745577719232175</v>
      </c>
      <c r="CB40" s="759">
        <f>CB10+CB16-CB28+CB22-CB34</f>
        <v>1707</v>
      </c>
      <c r="CC40" s="1044">
        <f>(CB40/BX40-1)*100</f>
        <v>8.8647959183673528</v>
      </c>
      <c r="CD40" s="1045">
        <f>CD34</f>
        <v>9.7990835389496045</v>
      </c>
      <c r="CF40" s="759">
        <f>CF10+CF16-CF28+CF22-CF34</f>
        <v>-404</v>
      </c>
      <c r="CG40" s="1044">
        <f>(CF40/CB40-1)*100</f>
        <v>-123.66725248974811</v>
      </c>
      <c r="CH40" s="1045">
        <f>CH34</f>
        <v>2.4719101123595433</v>
      </c>
      <c r="CJ40" s="759">
        <f>CJ10+CJ16-CJ28+CJ22-CJ34</f>
        <v>-618</v>
      </c>
      <c r="CK40" s="1044">
        <f>(CJ40/CF40-1)*100</f>
        <v>52.970297029702976</v>
      </c>
      <c r="CL40" s="1045">
        <f>CL34</f>
        <v>2.7255639097744311</v>
      </c>
      <c r="CN40" s="759">
        <f>CN10+CN16-CN28+CN22-CN34</f>
        <v>2251.6360591431144</v>
      </c>
      <c r="CO40" s="1044">
        <f>(CN40/CJ40-1)*100</f>
        <v>-464.34240439208969</v>
      </c>
      <c r="CP40" s="1045">
        <f>CP34</f>
        <v>0</v>
      </c>
    </row>
    <row r="41" spans="1:94" x14ac:dyDescent="0.2">
      <c r="A41" s="239" t="s">
        <v>93</v>
      </c>
      <c r="B41" s="239" t="s">
        <v>79</v>
      </c>
      <c r="D41" s="759"/>
      <c r="E41" s="1044"/>
      <c r="F41" s="1045"/>
      <c r="H41" s="759"/>
      <c r="I41" s="1044"/>
      <c r="J41" s="1044"/>
      <c r="L41" s="759"/>
      <c r="M41" s="1044"/>
      <c r="N41" s="1045"/>
      <c r="P41" s="759"/>
      <c r="Q41" s="1044"/>
      <c r="R41" s="1045"/>
      <c r="T41" s="759">
        <f>T11+T17-T29+T23-T35</f>
        <v>801.63200000000006</v>
      </c>
      <c r="U41" s="1044" t="s">
        <v>83</v>
      </c>
      <c r="V41" s="1045">
        <f>V35</f>
        <v>0.9449942669885969</v>
      </c>
      <c r="X41" s="759">
        <f>X11+X17-X29+X23-X35</f>
        <v>877.05199999999991</v>
      </c>
      <c r="Y41" s="1044">
        <f>(X41/T41-1)*100</f>
        <v>9.4083070536106206</v>
      </c>
      <c r="Z41" s="1045">
        <f>Z35</f>
        <v>6.0893526922826124</v>
      </c>
      <c r="AB41" s="759">
        <f>AB11+AB17-AB29+AB23-AB35</f>
        <v>842.61199999999997</v>
      </c>
      <c r="AC41" s="1044">
        <f>(AB41/X41-1)*100</f>
        <v>-3.9267911138678113</v>
      </c>
      <c r="AD41" s="1045">
        <f>AD35</f>
        <v>7.1013010436943969</v>
      </c>
      <c r="AF41" s="759">
        <f>AF11+AF17-AF29+AF23-AF35</f>
        <v>1041.424</v>
      </c>
      <c r="AG41" s="1044">
        <f>(AF41/AB41-1)*100</f>
        <v>23.594726873104111</v>
      </c>
      <c r="AH41" s="1045">
        <f>AH35</f>
        <v>7.8085058060026746</v>
      </c>
      <c r="AJ41" s="759">
        <f>AJ11+AJ17-AJ29+AJ23-AJ35</f>
        <v>1154.585</v>
      </c>
      <c r="AK41" s="1044">
        <f>(AJ41/AF41-1)*100</f>
        <v>10.865987340410822</v>
      </c>
      <c r="AL41" s="1045">
        <f>AL35</f>
        <v>9.4509188704616776</v>
      </c>
      <c r="AN41" s="759">
        <f>AN11+AN17-AN29+AN23-AN35</f>
        <v>1016.6709999999998</v>
      </c>
      <c r="AO41" s="1044">
        <f>(AN41/AJ41-1)*100</f>
        <v>-11.944897950345812</v>
      </c>
      <c r="AP41" s="1045">
        <f>AP35</f>
        <v>7.8300264143989162</v>
      </c>
      <c r="AR41" s="759">
        <f>AR11+AR17-AR29+AR23-AR35</f>
        <v>1031.194</v>
      </c>
      <c r="AS41" s="1044">
        <f>(AR41/AN41-1)*100</f>
        <v>1.4284857146510621</v>
      </c>
      <c r="AT41" s="1045">
        <f>AT35</f>
        <v>7.7870794203294791</v>
      </c>
      <c r="AV41" s="759">
        <f>AV11+AV17-AV29+AV23-AV35</f>
        <v>1776.0859999999998</v>
      </c>
      <c r="AW41" s="1044">
        <f>(AV41/AR41-1)*100</f>
        <v>72.235874142013998</v>
      </c>
      <c r="AX41" s="1045">
        <f>AX35</f>
        <v>5.2425314957092572</v>
      </c>
      <c r="AZ41" s="759">
        <f>AZ11+AZ17-AZ29+AZ23-AZ35</f>
        <v>1842</v>
      </c>
      <c r="BA41" s="1044">
        <f>(AZ41/AV41-1)*100</f>
        <v>3.7111941651474245</v>
      </c>
      <c r="BB41" s="1045">
        <f>BB35</f>
        <v>-4.289520225587129</v>
      </c>
      <c r="BD41" s="759">
        <f>BD11+BD17-BD29+BD23-BD35</f>
        <v>1675</v>
      </c>
      <c r="BE41" s="1044">
        <f>(BD41/AZ41-1)*100</f>
        <v>-9.0662323561346412</v>
      </c>
      <c r="BF41" s="1045">
        <f>BF35</f>
        <v>-6.2090074333187584</v>
      </c>
      <c r="BH41" s="759">
        <f>BH11+BH17-BH29+BH23-BH35</f>
        <v>1588</v>
      </c>
      <c r="BI41" s="1044">
        <f>(BH41/BD41-1)*100</f>
        <v>-5.1940298507462739</v>
      </c>
      <c r="BJ41" s="1045">
        <f>BJ35</f>
        <v>12.680652680652681</v>
      </c>
      <c r="BL41" s="759">
        <f>BL11+BL17-BL29+BL23-BL35</f>
        <v>1598</v>
      </c>
      <c r="BM41" s="1044">
        <f>(BL41/BH41-1)*100</f>
        <v>0.6297229219143663</v>
      </c>
      <c r="BN41" s="1045">
        <f>BN35</f>
        <v>12.370707488622257</v>
      </c>
      <c r="BP41" s="759">
        <f>BP11+BP17-BP29+BP23-BP35</f>
        <v>1569</v>
      </c>
      <c r="BQ41" s="1044">
        <f>(BP41/BL41-1)*100</f>
        <v>-1.8147684605757219</v>
      </c>
      <c r="BR41" s="1045">
        <f>BR35</f>
        <v>7.4374079528718662</v>
      </c>
      <c r="BT41" s="759">
        <f>BT11+BT17-BT29+BT23-BT35</f>
        <v>1612</v>
      </c>
      <c r="BU41" s="1044">
        <f>(BT41/BP41-1)*100</f>
        <v>2.7405991077119163</v>
      </c>
      <c r="BV41" s="1045">
        <f>BV35</f>
        <v>6.3742289239204997</v>
      </c>
      <c r="BX41" s="759">
        <f>BX11+BX17-BX29+BX23-BX35</f>
        <v>1784</v>
      </c>
      <c r="BY41" s="1044">
        <f>(BX41/BT41-1)*100</f>
        <v>10.669975186104219</v>
      </c>
      <c r="BZ41" s="1045">
        <f>BZ35</f>
        <v>6.1855670103092786</v>
      </c>
      <c r="CB41" s="759">
        <f>CB11+CB17-CB29+CB23-CB35</f>
        <v>1886</v>
      </c>
      <c r="CC41" s="1044">
        <f>(CB41/BX41-1)*100</f>
        <v>5.7174887892376791</v>
      </c>
      <c r="CD41" s="1045">
        <f>CD35</f>
        <v>9.1626213592232997</v>
      </c>
      <c r="CF41" s="759">
        <f>CF11+CF17-CF29+CF23-CF35</f>
        <v>-853</v>
      </c>
      <c r="CG41" s="1044">
        <f>(CF41/CB41-1)*100</f>
        <v>-145.22799575821844</v>
      </c>
      <c r="CH41" s="1045">
        <f>CH35</f>
        <v>-0.16675931072818173</v>
      </c>
      <c r="CJ41" s="759">
        <f>CJ11+CJ17-CJ29+CJ23-CJ35</f>
        <v>-886</v>
      </c>
      <c r="CK41" s="1044">
        <f>(CJ41/CF41-1)*100</f>
        <v>3.86869871043376</v>
      </c>
      <c r="CL41" s="1045">
        <f>CL35</f>
        <v>3.4799554565701607</v>
      </c>
      <c r="CN41" s="759">
        <f>CN11+CN17-CN29+CN23-CN35</f>
        <v>2179.7978098396511</v>
      </c>
      <c r="CO41" s="1044">
        <f>(CN41/CJ41-1)*100</f>
        <v>-346.02684083968973</v>
      </c>
      <c r="CP41" s="1045">
        <f>CP35</f>
        <v>0</v>
      </c>
    </row>
    <row r="42" spans="1:94" x14ac:dyDescent="0.2">
      <c r="A42" s="239" t="s">
        <v>94</v>
      </c>
      <c r="B42" s="239" t="s">
        <v>80</v>
      </c>
      <c r="D42" s="759"/>
      <c r="E42" s="1044"/>
      <c r="F42" s="1045"/>
      <c r="H42" s="759"/>
      <c r="I42" s="1044"/>
      <c r="J42" s="1044"/>
      <c r="L42" s="759"/>
      <c r="M42" s="1044"/>
      <c r="N42" s="1045"/>
      <c r="P42" s="759"/>
      <c r="Q42" s="1044"/>
      <c r="R42" s="1045"/>
      <c r="T42" s="759">
        <f>T12+T18-T30+T24-T36</f>
        <v>967.31700000000012</v>
      </c>
      <c r="U42" s="1044" t="s">
        <v>83</v>
      </c>
      <c r="V42" s="1045">
        <f>V36</f>
        <v>13.717149770203774</v>
      </c>
      <c r="X42" s="759">
        <f>X12+X18-X30+X24-X36</f>
        <v>984.63800000000015</v>
      </c>
      <c r="Y42" s="1044">
        <f>(X42/T42-1)*100</f>
        <v>1.7906229291948739</v>
      </c>
      <c r="Z42" s="1045">
        <f>Z36</f>
        <v>-1.8337439301642</v>
      </c>
      <c r="AB42" s="759">
        <f>AB12+AB18-AB30+AB24-AB36</f>
        <v>1048.8620000000003</v>
      </c>
      <c r="AC42" s="1044">
        <f>(AB42/X42-1)*100</f>
        <v>6.5226001840270387</v>
      </c>
      <c r="AD42" s="1045">
        <f>AD36</f>
        <v>6.7751147678296597</v>
      </c>
      <c r="AF42" s="759">
        <f>AF12+AF18-AF30+AF24-AF36</f>
        <v>1170.8530000000001</v>
      </c>
      <c r="AG42" s="1044">
        <f>(AF42/AB42-1)*100</f>
        <v>11.63079604371211</v>
      </c>
      <c r="AH42" s="1045">
        <f>AH36</f>
        <v>6.4917574880913653</v>
      </c>
      <c r="AJ42" s="759">
        <f>AJ12+AJ18-AJ30+AJ24-AJ36</f>
        <v>1206.963</v>
      </c>
      <c r="AK42" s="1044">
        <f>(AJ42/AF42-1)*100</f>
        <v>3.0840763101772639</v>
      </c>
      <c r="AL42" s="1045">
        <f>AL36</f>
        <v>9.4386487829110735</v>
      </c>
      <c r="AN42" s="759">
        <f>AN12+AN18-AN30+AN24-AN36</f>
        <v>1208.1710000000003</v>
      </c>
      <c r="AO42" s="1044">
        <f>(AN42/AJ42-1)*100</f>
        <v>0.10008591812675771</v>
      </c>
      <c r="AP42" s="1045">
        <f>AP36</f>
        <v>8.0344984112573847</v>
      </c>
      <c r="AR42" s="759">
        <f>AR12+AR18-AR30+AR24-AR36</f>
        <v>1004.6239999999999</v>
      </c>
      <c r="AS42" s="1044">
        <f>(AR42/AN42-1)*100</f>
        <v>-16.847532344345318</v>
      </c>
      <c r="AT42" s="1045">
        <f>AT36</f>
        <v>12.371128451380553</v>
      </c>
      <c r="AV42" s="759">
        <f>AV12+AV18-AV30+AV24-AV36</f>
        <v>1750.8789999999997</v>
      </c>
      <c r="AW42" s="1044">
        <f>(AV42/AR42-1)*100</f>
        <v>74.282019939798346</v>
      </c>
      <c r="AX42" s="1045">
        <f>AX36</f>
        <v>5.2529695214419192</v>
      </c>
      <c r="AZ42" s="759">
        <f>AZ12+AZ18-AZ30+AZ24-AZ36</f>
        <v>1982</v>
      </c>
      <c r="BA42" s="1044">
        <f>(AZ42/AV42-1)*100</f>
        <v>13.200283971650828</v>
      </c>
      <c r="BB42" s="1045">
        <f>BB36</f>
        <v>-7.4320305474299131</v>
      </c>
      <c r="BD42" s="759">
        <f>BD12+BD18-BD30+BD24-BD36</f>
        <v>1768</v>
      </c>
      <c r="BE42" s="1044">
        <f>(BD42/AZ42-1)*100</f>
        <v>-10.797174571140268</v>
      </c>
      <c r="BF42" s="1045">
        <f>BF36</f>
        <v>2.4122807017543879</v>
      </c>
      <c r="BH42" s="759">
        <f>BH12+BH18-BH30+BH24-BH36</f>
        <v>1743</v>
      </c>
      <c r="BI42" s="1044">
        <f>(BH42/BD42-1)*100</f>
        <v>-1.4140271493212619</v>
      </c>
      <c r="BJ42" s="1045">
        <f>BJ36</f>
        <v>11.723768736616712</v>
      </c>
      <c r="BL42" s="759">
        <f>BL12+BL18-BL30+BL24-BL36</f>
        <v>1559</v>
      </c>
      <c r="BM42" s="1044">
        <f>(BL42/BH42-1)*100</f>
        <v>-10.556511761331034</v>
      </c>
      <c r="BN42" s="1045">
        <f>BN36</f>
        <v>14.183037853378044</v>
      </c>
      <c r="BP42" s="759">
        <f>BP12+BP18-BP30+BP24-BP36</f>
        <v>1606</v>
      </c>
      <c r="BQ42" s="1044">
        <f>(BP42/BL42-1)*100</f>
        <v>3.0147530468248807</v>
      </c>
      <c r="BR42" s="1045">
        <f>BR36</f>
        <v>13.84809064204784</v>
      </c>
      <c r="BT42" s="759">
        <f>BT12+BT18-BT30+BT24-BT36</f>
        <v>1591</v>
      </c>
      <c r="BU42" s="1044">
        <f>(BT42/BP42-1)*100</f>
        <v>-0.93399750933997883</v>
      </c>
      <c r="BV42" s="1045">
        <f>BV36</f>
        <v>2.8750460744563222</v>
      </c>
      <c r="BX42" s="759">
        <f>BX12+BX18-BX30+BX24-BX36</f>
        <v>1754</v>
      </c>
      <c r="BY42" s="1044">
        <f>(BX42/BT42-1)*100</f>
        <v>10.245128849780016</v>
      </c>
      <c r="BZ42" s="1045">
        <f>BZ36</f>
        <v>8.9215335005374374</v>
      </c>
      <c r="CB42" s="759">
        <f>CB12+CB18-CB30+CB24-CB36</f>
        <v>-114</v>
      </c>
      <c r="CC42" s="1044">
        <f>(CB42/BX42-1)*100</f>
        <v>-106.49942987457241</v>
      </c>
      <c r="CD42" s="1045">
        <f>CD36</f>
        <v>6.5460526315789469</v>
      </c>
      <c r="CF42" s="759">
        <f>CF12+CF18-CF30+CF24-CF36</f>
        <v>-376</v>
      </c>
      <c r="CG42" s="1044">
        <f>(CF42/CB42-1)*100</f>
        <v>229.82456140350877</v>
      </c>
      <c r="CH42" s="1045">
        <f>CH36</f>
        <v>7.1935782648965718</v>
      </c>
      <c r="CJ42" s="759">
        <f>CJ12+CJ18-CJ30+CJ24-CJ36</f>
        <v>-607</v>
      </c>
      <c r="CK42" s="1044">
        <f>(CJ42/CF42-1)*100</f>
        <v>61.436170212765951</v>
      </c>
      <c r="CL42" s="1045">
        <f>CL36</f>
        <v>1.9873271889401023</v>
      </c>
      <c r="CN42" s="759">
        <f>CN12+CN18-CN30+CN24-CN36</f>
        <v>2530.9685250541547</v>
      </c>
      <c r="CO42" s="1044">
        <f>(CN42/CJ42-1)*100</f>
        <v>-516.96351318849338</v>
      </c>
      <c r="CP42" s="1045">
        <f>CP36</f>
        <v>0</v>
      </c>
    </row>
    <row r="43" spans="1:94" x14ac:dyDescent="0.2">
      <c r="A43" s="239" t="s">
        <v>95</v>
      </c>
      <c r="B43" s="239" t="s">
        <v>81</v>
      </c>
      <c r="D43" s="759"/>
      <c r="E43" s="1044"/>
      <c r="F43" s="1045"/>
      <c r="H43" s="759"/>
      <c r="I43" s="1044"/>
      <c r="J43" s="1044"/>
      <c r="L43" s="759"/>
      <c r="M43" s="1044"/>
      <c r="N43" s="1045"/>
      <c r="P43" s="759"/>
      <c r="Q43" s="1044"/>
      <c r="R43" s="1045"/>
      <c r="T43" s="759">
        <f>T13+T19-T31+T25-T37</f>
        <v>932.80099999999982</v>
      </c>
      <c r="U43" s="1044" t="s">
        <v>83</v>
      </c>
      <c r="V43" s="1045">
        <f>V37</f>
        <v>6.3833136509837241</v>
      </c>
      <c r="X43" s="759">
        <f>X13+X19-X31+X25-X37</f>
        <v>832.40999999999985</v>
      </c>
      <c r="Y43" s="1044">
        <f>(X43/T43-1)*100</f>
        <v>-10.762316935766581</v>
      </c>
      <c r="Z43" s="1045">
        <f>Z37</f>
        <v>-1.4884628276867984</v>
      </c>
      <c r="AB43" s="759">
        <f>AB13+AB19-AB31+AB25-AB37</f>
        <v>1079.9139999999998</v>
      </c>
      <c r="AC43" s="1044">
        <f>(AB43/X43-1)*100</f>
        <v>29.733424634495019</v>
      </c>
      <c r="AD43" s="1045">
        <f>AD37</f>
        <v>7.326143866984669</v>
      </c>
      <c r="AF43" s="759">
        <f>AF13+AF19-AF31+AF25-AF37</f>
        <v>1067.8219999999997</v>
      </c>
      <c r="AG43" s="1044">
        <f>(AF43/AB43-1)*100</f>
        <v>-1.1197187924223639</v>
      </c>
      <c r="AH43" s="1045">
        <f>AH37</f>
        <v>9.6318604170260613</v>
      </c>
      <c r="AJ43" s="759">
        <f>AJ13+AJ19-AJ31+AJ25-AJ37</f>
        <v>971.76600000000008</v>
      </c>
      <c r="AK43" s="1044">
        <f>(AJ43/AF43-1)*100</f>
        <v>-8.9955067417602947</v>
      </c>
      <c r="AL43" s="1045">
        <f>AL37</f>
        <v>9.438463943309694</v>
      </c>
      <c r="AN43" s="759">
        <f>AN13+AN19-AN31+AN25-AN37</f>
        <v>1094.807</v>
      </c>
      <c r="AO43" s="1044">
        <f>(AN43/AJ43-1)*100</f>
        <v>12.661587254544804</v>
      </c>
      <c r="AP43" s="1045">
        <f>AP37</f>
        <v>9.3011950905161669</v>
      </c>
      <c r="AR43" s="759">
        <f>AR13+AR19-AR31+AR25-AR37</f>
        <v>913.79099999999994</v>
      </c>
      <c r="AS43" s="1044">
        <f>(AR43/AN43-1)*100</f>
        <v>-16.534055774214096</v>
      </c>
      <c r="AT43" s="1045">
        <f>AT37</f>
        <v>14.60138519841443</v>
      </c>
      <c r="AV43" s="759">
        <f>AV13+AV19-AV31+AV25-AV37</f>
        <v>1630</v>
      </c>
      <c r="AW43" s="1044">
        <f>(AV43/AR43-1)*100</f>
        <v>78.377769095996811</v>
      </c>
      <c r="AX43" s="1045">
        <f>AX37</f>
        <v>-4.4434916667426823</v>
      </c>
      <c r="AZ43" s="759">
        <f>AZ13+AZ19-AZ31+AZ25-AZ37</f>
        <v>1843</v>
      </c>
      <c r="BA43" s="1044">
        <f>(AZ43/AV43-1)*100</f>
        <v>13.067484662576678</v>
      </c>
      <c r="BB43" s="1045">
        <f>BB37</f>
        <v>-8.4725536992840134</v>
      </c>
      <c r="BD43" s="759">
        <f>BD13+BD19-BD31+BD25-BD37</f>
        <v>1601</v>
      </c>
      <c r="BE43" s="1044">
        <f>(BD43/AZ43-1)*100</f>
        <v>-13.130765056972326</v>
      </c>
      <c r="BF43" s="1045">
        <f>BF37</f>
        <v>10.343328987396783</v>
      </c>
      <c r="BH43" s="759">
        <f>BH13+BH19-BH31+BH25-BH37</f>
        <v>1445</v>
      </c>
      <c r="BI43" s="1044">
        <f>(BH43/BD43-1)*100</f>
        <v>-9.7439100562148653</v>
      </c>
      <c r="BJ43" s="1045">
        <f>BJ37</f>
        <v>10.909807010634109</v>
      </c>
      <c r="BL43" s="759">
        <f>BL13+BL19-BL31+BL25-BL37</f>
        <v>1614</v>
      </c>
      <c r="BM43" s="1044">
        <f>(BL43/BH43-1)*100</f>
        <v>11.695501730103807</v>
      </c>
      <c r="BN43" s="1045">
        <f>BN37</f>
        <v>12.535511363636353</v>
      </c>
      <c r="BP43" s="759">
        <f>BP13+BP19-BP31+BP25-BP37</f>
        <v>1577</v>
      </c>
      <c r="BQ43" s="1044">
        <f>(BP43/BL43-1)*100</f>
        <v>-2.2924411400247813</v>
      </c>
      <c r="BR43" s="1045">
        <f>BR37</f>
        <v>13.474282107920477</v>
      </c>
      <c r="BT43" s="759">
        <f>BT13+BT19-BT31+BT25-BT37</f>
        <v>1500</v>
      </c>
      <c r="BU43" s="1044">
        <f>(BT43/BP43-1)*100</f>
        <v>-4.8826886493341775</v>
      </c>
      <c r="BV43" s="1045">
        <f>BV37</f>
        <v>0.50055617352613435</v>
      </c>
      <c r="BX43" s="759">
        <f>BX13+BX19-BX31+BX25-BX37</f>
        <v>1617</v>
      </c>
      <c r="BY43" s="1044">
        <f>(BX43/BT43-1)*100</f>
        <v>7.8000000000000069</v>
      </c>
      <c r="BZ43" s="1045">
        <f>BZ37</f>
        <v>8.9651355838406221</v>
      </c>
      <c r="CB43" s="759">
        <f>CB13+CB19-CB31+CB25-CB37</f>
        <v>-66</v>
      </c>
      <c r="CC43" s="1044">
        <f>(CB43/BX43-1)*100</f>
        <v>-104.08163265306123</v>
      </c>
      <c r="CD43" s="1045">
        <f>CD37</f>
        <v>5.2056881665820232</v>
      </c>
      <c r="CF43" s="759">
        <f>CF13+CF19-CF31+CF25-CF37</f>
        <v>-783</v>
      </c>
      <c r="CG43" s="1044">
        <f>(CF43/CB43-1)*100</f>
        <v>1086.3636363636363</v>
      </c>
      <c r="CH43" s="1045">
        <f>CH37</f>
        <v>2.4137098720733663</v>
      </c>
      <c r="CJ43" s="759">
        <f>CJ13+CJ19-CJ31+CJ25-CJ37</f>
        <v>-911</v>
      </c>
      <c r="CK43" s="1044">
        <f>(CJ43/CF43-1)*100</f>
        <v>16.347381864623234</v>
      </c>
      <c r="CL43" s="1045">
        <f>CL37</f>
        <v>8.4138581192552344</v>
      </c>
      <c r="CN43" s="759">
        <f>CN13+CN19-CN31+CN25-CN37</f>
        <v>2002.4279429843339</v>
      </c>
      <c r="CO43" s="1044">
        <f>(CN43/CJ43-1)*100</f>
        <v>-319.8054822156239</v>
      </c>
      <c r="CP43" s="1045">
        <f>CP37</f>
        <v>0</v>
      </c>
    </row>
    <row r="44" spans="1:94" x14ac:dyDescent="0.2">
      <c r="D44" s="1048"/>
      <c r="H44" s="1048"/>
      <c r="L44" s="1048"/>
      <c r="P44" s="1048"/>
      <c r="T44" s="1048"/>
      <c r="X44" s="1048"/>
      <c r="AB44" s="1048"/>
      <c r="AC44" s="1048"/>
      <c r="AD44" s="1048"/>
      <c r="AE44" s="1048"/>
      <c r="AF44" s="1048"/>
      <c r="AG44" s="1048"/>
      <c r="AH44" s="1048"/>
      <c r="AI44" s="1048"/>
      <c r="AJ44" s="1048"/>
      <c r="AK44" s="1048"/>
      <c r="AL44" s="1048"/>
      <c r="AM44" s="1048"/>
      <c r="AN44" s="1048"/>
      <c r="AO44" s="1048"/>
      <c r="AP44" s="1048"/>
      <c r="AQ44" s="1048"/>
      <c r="AR44" s="1048"/>
      <c r="AS44" s="1048"/>
      <c r="AT44" s="1048"/>
      <c r="AU44" s="1048"/>
      <c r="AV44" s="1048"/>
      <c r="AW44" s="1048"/>
      <c r="AX44" s="1048"/>
      <c r="AY44" s="1048"/>
      <c r="AZ44" s="1048"/>
      <c r="BA44" s="1048"/>
      <c r="BB44" s="1048"/>
      <c r="BC44" s="1048"/>
      <c r="BD44" s="1048"/>
      <c r="BE44" s="1048"/>
      <c r="BF44" s="1048"/>
      <c r="BG44" s="1048"/>
      <c r="BH44" s="1048"/>
      <c r="BI44" s="1048"/>
      <c r="BJ44" s="1048"/>
      <c r="BK44" s="1048"/>
      <c r="BL44" s="1048"/>
      <c r="BM44" s="1048"/>
      <c r="BN44" s="1048"/>
      <c r="BO44" s="1048"/>
      <c r="BP44" s="1048"/>
      <c r="BQ44" s="1048"/>
      <c r="BR44" s="1048"/>
      <c r="BS44" s="1048"/>
      <c r="BT44" s="1048"/>
      <c r="BU44" s="1048"/>
      <c r="BV44" s="1048"/>
      <c r="BW44" s="1048"/>
      <c r="BX44" s="1048"/>
      <c r="BY44" s="1048"/>
      <c r="BZ44" s="1048"/>
      <c r="CA44" s="1048"/>
      <c r="CB44" s="1048"/>
      <c r="CC44" s="1048"/>
      <c r="CD44" s="1048"/>
      <c r="CE44" s="1048"/>
      <c r="CF44" s="1048"/>
      <c r="CG44" s="1048"/>
      <c r="CH44" s="1048"/>
      <c r="CI44" s="1048"/>
      <c r="CJ44" s="1048"/>
      <c r="CK44" s="1048"/>
      <c r="CL44" s="1048"/>
      <c r="CM44" s="1048"/>
      <c r="CN44" s="1048"/>
      <c r="CO44" s="1048"/>
      <c r="CP44" s="1048"/>
    </row>
    <row r="45" spans="1:94" x14ac:dyDescent="0.2">
      <c r="A45" s="1040" t="s">
        <v>96</v>
      </c>
      <c r="B45" s="261"/>
      <c r="C45" s="261"/>
      <c r="D45" s="261"/>
      <c r="E45" s="261"/>
      <c r="F45" s="261"/>
      <c r="G45" s="261"/>
      <c r="H45" s="261"/>
      <c r="I45" s="261"/>
      <c r="J45" s="261"/>
      <c r="K45" s="261"/>
      <c r="L45" s="261"/>
      <c r="M45" s="261"/>
      <c r="N45" s="261"/>
      <c r="O45" s="261"/>
      <c r="P45" s="261"/>
      <c r="Q45" s="261"/>
      <c r="R45" s="261"/>
      <c r="S45" s="261"/>
      <c r="T45" s="261"/>
      <c r="U45" s="261"/>
      <c r="V45" s="261"/>
      <c r="W45" s="261"/>
      <c r="X45" s="261"/>
      <c r="Y45" s="261"/>
      <c r="Z45" s="261"/>
      <c r="AA45" s="261"/>
      <c r="AB45" s="261"/>
      <c r="AC45" s="261"/>
      <c r="AD45" s="261"/>
      <c r="AE45" s="261"/>
      <c r="AF45" s="261"/>
      <c r="AG45" s="261"/>
      <c r="AH45" s="261"/>
      <c r="AI45" s="261"/>
      <c r="AJ45" s="261"/>
      <c r="AK45" s="261"/>
      <c r="AL45" s="261"/>
      <c r="AM45" s="261"/>
      <c r="AN45" s="261"/>
      <c r="AO45" s="261"/>
      <c r="AP45" s="261"/>
      <c r="AQ45" s="261"/>
      <c r="AR45" s="261"/>
      <c r="AS45" s="261"/>
      <c r="AT45" s="261"/>
      <c r="AU45" s="261"/>
      <c r="AV45" s="261"/>
      <c r="AW45" s="261"/>
      <c r="AX45" s="261"/>
      <c r="AY45" s="261"/>
      <c r="AZ45" s="261"/>
      <c r="BA45" s="261"/>
      <c r="BB45" s="261"/>
      <c r="BC45" s="261"/>
      <c r="BD45" s="261"/>
      <c r="BE45" s="261"/>
      <c r="BF45" s="261"/>
      <c r="BG45" s="261"/>
      <c r="BH45" s="261"/>
      <c r="BI45" s="261"/>
      <c r="BJ45" s="261"/>
      <c r="BK45" s="261"/>
      <c r="BL45" s="261"/>
      <c r="BM45" s="261"/>
      <c r="BN45" s="261"/>
      <c r="BO45" s="261"/>
      <c r="BP45" s="261"/>
      <c r="BQ45" s="261"/>
      <c r="BR45" s="261"/>
      <c r="BS45" s="261"/>
      <c r="BT45" s="261"/>
      <c r="BU45" s="261"/>
      <c r="BV45" s="261"/>
      <c r="BW45" s="261"/>
      <c r="BX45" s="261"/>
      <c r="BY45" s="261"/>
      <c r="BZ45" s="261"/>
      <c r="CA45" s="261"/>
      <c r="CB45" s="261"/>
      <c r="CC45" s="261"/>
      <c r="CD45" s="261"/>
      <c r="CE45" s="261"/>
      <c r="CF45" s="261"/>
      <c r="CG45" s="261"/>
      <c r="CH45" s="261"/>
      <c r="CI45" s="261"/>
      <c r="CJ45" s="261"/>
      <c r="CK45" s="261"/>
      <c r="CL45" s="261"/>
      <c r="CM45" s="261"/>
      <c r="CN45" s="261"/>
      <c r="CO45" s="261"/>
      <c r="CP45" s="261"/>
    </row>
    <row r="46" spans="1:94" x14ac:dyDescent="0.2">
      <c r="A46" s="239" t="s">
        <v>92</v>
      </c>
      <c r="B46" s="239" t="s">
        <v>78</v>
      </c>
      <c r="D46" s="1049"/>
      <c r="H46" s="1049"/>
      <c r="L46" s="1049"/>
      <c r="P46" s="1049"/>
      <c r="T46" s="1049"/>
      <c r="X46" s="759">
        <f>X40-T40</f>
        <v>130.30199999999991</v>
      </c>
      <c r="AB46" s="759">
        <f>AB40-X40</f>
        <v>-158.92899999999986</v>
      </c>
      <c r="AF46" s="759">
        <f>AF40-AB40</f>
        <v>322.38000000000011</v>
      </c>
      <c r="AJ46" s="759">
        <f>AJ40-AF40</f>
        <v>-22.341999999999871</v>
      </c>
      <c r="AK46" s="759"/>
      <c r="AN46" s="759">
        <f>AN40-AJ40</f>
        <v>-0.72100000000045839</v>
      </c>
      <c r="AR46" s="759">
        <f>AR40-AN40</f>
        <v>106.50900000000001</v>
      </c>
      <c r="AV46" s="759">
        <f>AV40-AR40</f>
        <v>267.12400000000071</v>
      </c>
      <c r="AZ46" s="759">
        <f>AZ40-AV40</f>
        <v>204.80099999999948</v>
      </c>
      <c r="BD46" s="759">
        <f>BD40-AZ40</f>
        <v>162</v>
      </c>
      <c r="BH46" s="759">
        <f>BH40-BD40</f>
        <v>-296</v>
      </c>
      <c r="BL46" s="759">
        <f>BL40-BH40</f>
        <v>-166</v>
      </c>
      <c r="BP46" s="759">
        <f>BP40-BL40</f>
        <v>35</v>
      </c>
      <c r="BT46" s="759">
        <f>BT40-BP40</f>
        <v>117</v>
      </c>
      <c r="BX46" s="759">
        <f>BX40-BT40</f>
        <v>-22</v>
      </c>
      <c r="CB46" s="759">
        <f>CB40-BX40</f>
        <v>139</v>
      </c>
      <c r="CF46" s="759">
        <f>CF40-CB40</f>
        <v>-2111</v>
      </c>
      <c r="CJ46" s="759">
        <f>CJ40-CF40</f>
        <v>-214</v>
      </c>
      <c r="CN46" s="759">
        <f>CN40-CJ40</f>
        <v>2869.6360591431144</v>
      </c>
    </row>
    <row r="47" spans="1:94" x14ac:dyDescent="0.2">
      <c r="A47" s="239" t="s">
        <v>93</v>
      </c>
      <c r="B47" s="239" t="s">
        <v>79</v>
      </c>
      <c r="D47" s="1049"/>
      <c r="H47" s="1049"/>
      <c r="L47" s="1049"/>
      <c r="P47" s="1049"/>
      <c r="T47" s="1049"/>
      <c r="X47" s="759">
        <f>X41-T41</f>
        <v>75.419999999999845</v>
      </c>
      <c r="AB47" s="759">
        <f>AB41-X41</f>
        <v>-34.439999999999941</v>
      </c>
      <c r="AF47" s="759">
        <f>AF41-AB41</f>
        <v>198.81200000000001</v>
      </c>
      <c r="AJ47" s="759">
        <f>AJ41-AF41</f>
        <v>113.16100000000006</v>
      </c>
      <c r="AK47" s="759"/>
      <c r="AN47" s="759">
        <f>AN41-AJ41</f>
        <v>-137.91400000000021</v>
      </c>
      <c r="AR47" s="759">
        <f>AR41-AN41</f>
        <v>14.523000000000138</v>
      </c>
      <c r="AV47" s="759">
        <f>AV41-AR41</f>
        <v>744.89199999999983</v>
      </c>
      <c r="AZ47" s="759">
        <f>AZ41-AV41</f>
        <v>65.914000000000215</v>
      </c>
      <c r="BD47" s="759">
        <f>BD41-AZ41</f>
        <v>-167</v>
      </c>
      <c r="BH47" s="759">
        <f>BH41-BD41</f>
        <v>-87</v>
      </c>
      <c r="BL47" s="759">
        <f>BL41-BH41</f>
        <v>10</v>
      </c>
      <c r="BP47" s="759">
        <f>BP41-BL41</f>
        <v>-29</v>
      </c>
      <c r="BT47" s="759">
        <f>BT41-BP41</f>
        <v>43</v>
      </c>
      <c r="BX47" s="759">
        <f>BX41-BT41</f>
        <v>172</v>
      </c>
      <c r="CB47" s="759">
        <f>CB41-BX41</f>
        <v>102</v>
      </c>
      <c r="CF47" s="759">
        <f>CF41-CB41</f>
        <v>-2739</v>
      </c>
      <c r="CJ47" s="759">
        <f>CJ41-CF41</f>
        <v>-33</v>
      </c>
      <c r="CN47" s="759">
        <f>CN41-CJ41</f>
        <v>3065.7978098396511</v>
      </c>
    </row>
    <row r="48" spans="1:94" x14ac:dyDescent="0.2">
      <c r="A48" s="239" t="s">
        <v>94</v>
      </c>
      <c r="B48" s="239" t="s">
        <v>80</v>
      </c>
      <c r="D48" s="1049"/>
      <c r="H48" s="1049"/>
      <c r="L48" s="1049"/>
      <c r="P48" s="1049"/>
      <c r="T48" s="1049"/>
      <c r="X48" s="759">
        <f>X42-T42</f>
        <v>17.321000000000026</v>
      </c>
      <c r="AB48" s="759">
        <f>AB42-X42</f>
        <v>64.22400000000016</v>
      </c>
      <c r="AF48" s="759">
        <f>AF42-AB42</f>
        <v>121.99099999999976</v>
      </c>
      <c r="AJ48" s="759">
        <f>AJ42-AF42</f>
        <v>36.1099999999999</v>
      </c>
      <c r="AK48" s="759"/>
      <c r="AN48" s="759">
        <f>AN42-AJ42</f>
        <v>1.208000000000311</v>
      </c>
      <c r="AR48" s="759">
        <f>AR42-AN42</f>
        <v>-203.54700000000037</v>
      </c>
      <c r="AV48" s="759">
        <f>AV42-AR42</f>
        <v>746.25499999999977</v>
      </c>
      <c r="AZ48" s="759">
        <f>AZ42-AV42</f>
        <v>231.12100000000032</v>
      </c>
      <c r="BD48" s="759">
        <f>BD42-AZ42</f>
        <v>-214</v>
      </c>
      <c r="BH48" s="759">
        <f>BH42-BD42</f>
        <v>-25</v>
      </c>
      <c r="BL48" s="759">
        <f>BL42-BH42</f>
        <v>-184</v>
      </c>
      <c r="BP48" s="759">
        <f>BP42-BL42</f>
        <v>47</v>
      </c>
      <c r="BT48" s="759">
        <f>BT42-BP42</f>
        <v>-15</v>
      </c>
      <c r="BX48" s="759">
        <f>BX42-BT42</f>
        <v>163</v>
      </c>
      <c r="CB48" s="759">
        <f>CB42-BX42</f>
        <v>-1868</v>
      </c>
      <c r="CF48" s="759">
        <f>CF42-CB42</f>
        <v>-262</v>
      </c>
      <c r="CJ48" s="759">
        <f>CJ42-CF42</f>
        <v>-231</v>
      </c>
      <c r="CN48" s="759">
        <f>CN42-CJ42</f>
        <v>3137.9685250541547</v>
      </c>
    </row>
    <row r="49" spans="1:92" x14ac:dyDescent="0.2">
      <c r="A49" s="239" t="s">
        <v>95</v>
      </c>
      <c r="B49" s="239" t="s">
        <v>81</v>
      </c>
      <c r="D49" s="1049"/>
      <c r="H49" s="1049"/>
      <c r="L49" s="1049"/>
      <c r="P49" s="1049"/>
      <c r="T49" s="1049"/>
      <c r="X49" s="759">
        <f>X43-T43</f>
        <v>-100.39099999999996</v>
      </c>
      <c r="AB49" s="759">
        <f>AB43-X43</f>
        <v>247.50399999999991</v>
      </c>
      <c r="AF49" s="759">
        <f>AF43-AB43</f>
        <v>-12.092000000000098</v>
      </c>
      <c r="AJ49" s="759">
        <f>AJ43-AF43</f>
        <v>-96.055999999999585</v>
      </c>
      <c r="AK49" s="759"/>
      <c r="AN49" s="759">
        <f>AN43-AJ43</f>
        <v>123.04099999999994</v>
      </c>
      <c r="AR49" s="759">
        <f>AR43-AN43</f>
        <v>-181.01600000000008</v>
      </c>
      <c r="AV49" s="759">
        <f>AV43-AR43</f>
        <v>716.20900000000006</v>
      </c>
      <c r="AZ49" s="759">
        <f>AZ43-AV43</f>
        <v>213</v>
      </c>
      <c r="BD49" s="759">
        <f>BD43-AZ43</f>
        <v>-242</v>
      </c>
      <c r="BH49" s="759">
        <f>BH43-BD43</f>
        <v>-156</v>
      </c>
      <c r="BL49" s="759">
        <f>BL43-BH43</f>
        <v>169</v>
      </c>
      <c r="BP49" s="759">
        <f>BP43-BL43</f>
        <v>-37</v>
      </c>
      <c r="BT49" s="759">
        <f>BT43-BP43</f>
        <v>-77</v>
      </c>
      <c r="BX49" s="759">
        <f>BX43-BT43</f>
        <v>117</v>
      </c>
      <c r="CB49" s="759">
        <f>CB43-BX43</f>
        <v>-1683</v>
      </c>
      <c r="CF49" s="759">
        <f>CF43-CB43</f>
        <v>-717</v>
      </c>
      <c r="CJ49" s="759">
        <f>CJ43-CF43</f>
        <v>-128</v>
      </c>
      <c r="CN49" s="759">
        <f>CN43-CJ43</f>
        <v>2913.4279429843336</v>
      </c>
    </row>
    <row r="51" spans="1:92" x14ac:dyDescent="0.2">
      <c r="A51" s="635" t="s">
        <v>77</v>
      </c>
    </row>
    <row r="52" spans="1:92" x14ac:dyDescent="0.2">
      <c r="CB52" s="363">
        <f>CB43-CB41</f>
        <v>-1952</v>
      </c>
    </row>
  </sheetData>
  <phoneticPr fontId="10" type="noConversion"/>
  <pageMargins left="0.75" right="0.75" top="1" bottom="1" header="0.5" footer="0.5"/>
  <pageSetup scale="63" orientation="landscape" horizontalDpi="300" verticalDpi="300" r:id="rId1"/>
  <headerFooter alignWithMargins="0"/>
  <colBreaks count="1" manualBreakCount="1">
    <brk id="36" max="50" man="1"/>
  </colBreaks>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N61"/>
  <sheetViews>
    <sheetView workbookViewId="0"/>
  </sheetViews>
  <sheetFormatPr defaultRowHeight="12.75" outlineLevelCol="1" x14ac:dyDescent="0.2"/>
  <cols>
    <col min="1" max="1" width="3.140625" style="238" customWidth="1"/>
    <col min="2" max="2" width="4.42578125" style="238" customWidth="1"/>
    <col min="3" max="3" width="4.28515625" style="238" customWidth="1"/>
    <col min="4" max="4" width="10.28515625" style="238" hidden="1" customWidth="1" outlineLevel="1"/>
    <col min="5" max="5" width="2.140625" style="238" hidden="1" customWidth="1" outlineLevel="1"/>
    <col min="6" max="6" width="10.28515625" style="238" hidden="1" customWidth="1" outlineLevel="1"/>
    <col min="7" max="7" width="2.140625" style="238" hidden="1" customWidth="1" outlineLevel="1"/>
    <col min="8" max="8" width="10.28515625" style="238" hidden="1" customWidth="1" outlineLevel="1"/>
    <col min="9" max="9" width="2.140625" style="238" hidden="1" customWidth="1" outlineLevel="1"/>
    <col min="10" max="10" width="10.28515625" style="238" hidden="1" customWidth="1" outlineLevel="1"/>
    <col min="11" max="11" width="2.140625" style="238" hidden="1" customWidth="1" outlineLevel="1"/>
    <col min="12" max="12" width="10.28515625" style="238" hidden="1" customWidth="1" outlineLevel="1"/>
    <col min="13" max="13" width="2.140625" style="238" hidden="1" customWidth="1" outlineLevel="1"/>
    <col min="14" max="14" width="10.28515625" style="238" hidden="1" customWidth="1" outlineLevel="1"/>
    <col min="15" max="15" width="2.140625" style="238" hidden="1" customWidth="1" outlineLevel="1"/>
    <col min="16" max="16" width="10.28515625" style="238" hidden="1" customWidth="1" outlineLevel="1"/>
    <col min="17" max="17" width="2.140625" style="238" hidden="1" customWidth="1" outlineLevel="1"/>
    <col min="18" max="18" width="10.28515625" style="238" hidden="1" customWidth="1" outlineLevel="1"/>
    <col min="19" max="19" width="2.140625" style="238" hidden="1" customWidth="1" outlineLevel="1"/>
    <col min="20" max="20" width="10.28515625" style="238" hidden="1" customWidth="1" outlineLevel="1"/>
    <col min="21" max="21" width="2.140625" style="238" hidden="1" customWidth="1" outlineLevel="1"/>
    <col min="22" max="22" width="10.28515625" style="238" customWidth="1" collapsed="1"/>
    <col min="23" max="23" width="2.140625" style="238" customWidth="1"/>
    <col min="24" max="24" width="10.28515625" style="238" customWidth="1"/>
    <col min="25" max="25" width="2.140625" style="238" customWidth="1"/>
    <col min="26" max="26" width="10.28515625" style="238" customWidth="1"/>
    <col min="27" max="27" width="2.140625" style="238" customWidth="1"/>
    <col min="28" max="28" width="10.28515625" style="238" customWidth="1"/>
    <col min="29" max="29" width="2.140625" style="238" customWidth="1"/>
    <col min="30" max="30" width="10.28515625" style="238" customWidth="1"/>
    <col min="31" max="31" width="2.140625" style="238" customWidth="1"/>
    <col min="32" max="32" width="10.28515625" style="238" customWidth="1"/>
    <col min="33" max="33" width="2.140625" style="238" customWidth="1"/>
    <col min="34" max="34" width="10.28515625" style="238" customWidth="1"/>
    <col min="35" max="35" width="2.140625" style="238" customWidth="1"/>
    <col min="36" max="36" width="10.28515625" style="238" customWidth="1"/>
    <col min="37" max="37" width="2.140625" style="238" customWidth="1"/>
    <col min="38" max="38" width="10.28515625" style="238" customWidth="1"/>
    <col min="39" max="39" width="2.140625" style="238" hidden="1" customWidth="1"/>
    <col min="40" max="40" width="10.28515625" style="238" hidden="1" customWidth="1"/>
    <col min="41" max="16384" width="9.140625" style="238"/>
  </cols>
  <sheetData>
    <row r="1" spans="1:40" x14ac:dyDescent="0.2">
      <c r="A1" s="888" t="s">
        <v>298</v>
      </c>
      <c r="B1" s="1050"/>
      <c r="C1" s="1050"/>
      <c r="D1" s="1050"/>
      <c r="E1" s="1050"/>
      <c r="F1" s="1050"/>
      <c r="G1" s="1050"/>
      <c r="H1" s="1050"/>
      <c r="I1" s="1050"/>
      <c r="J1" s="1050"/>
      <c r="K1" s="1050"/>
      <c r="L1" s="1050"/>
      <c r="M1" s="1050"/>
      <c r="N1" s="1050"/>
      <c r="O1" s="1050"/>
      <c r="P1" s="1050"/>
      <c r="Q1" s="1050"/>
      <c r="R1" s="1050"/>
      <c r="S1" s="1050"/>
      <c r="T1" s="1050"/>
      <c r="U1" s="1050"/>
      <c r="V1" s="1050"/>
      <c r="W1" s="1050"/>
      <c r="X1" s="1050"/>
      <c r="Y1" s="1050"/>
      <c r="Z1" s="1050"/>
      <c r="AA1" s="1050"/>
      <c r="AB1" s="1050"/>
      <c r="AC1" s="1050"/>
      <c r="AD1" s="1050"/>
      <c r="AE1" s="1050"/>
      <c r="AF1" s="1050"/>
      <c r="AG1" s="1050"/>
      <c r="AH1" s="1050"/>
      <c r="AI1" s="1050"/>
      <c r="AJ1" s="1050"/>
      <c r="AK1" s="1050"/>
      <c r="AL1" s="1050"/>
    </row>
    <row r="2" spans="1:40" x14ac:dyDescent="0.2">
      <c r="A2" s="1051" t="s">
        <v>230</v>
      </c>
      <c r="B2" s="1052"/>
      <c r="C2" s="1052"/>
      <c r="D2" s="1052"/>
      <c r="E2" s="1052"/>
      <c r="F2" s="1052"/>
      <c r="G2" s="1052"/>
      <c r="H2" s="1052"/>
      <c r="I2" s="1052"/>
      <c r="J2" s="1052"/>
      <c r="K2" s="1052"/>
      <c r="L2" s="1052"/>
      <c r="M2" s="1052"/>
      <c r="N2" s="1052"/>
      <c r="O2" s="1052"/>
      <c r="P2" s="1052"/>
      <c r="Q2" s="1052"/>
      <c r="R2" s="1052"/>
      <c r="S2" s="1052"/>
      <c r="T2" s="1052"/>
      <c r="U2" s="1052"/>
      <c r="V2" s="1052"/>
      <c r="W2" s="1052"/>
      <c r="X2" s="1052"/>
      <c r="Y2" s="1052"/>
      <c r="Z2" s="1052"/>
      <c r="AA2" s="1052"/>
      <c r="AB2" s="1052"/>
      <c r="AC2" s="1052"/>
      <c r="AD2" s="1052"/>
      <c r="AE2" s="1052"/>
      <c r="AF2" s="1052"/>
      <c r="AG2" s="1052"/>
      <c r="AH2" s="1052"/>
      <c r="AI2" s="1052"/>
      <c r="AJ2" s="1052"/>
      <c r="AK2" s="1052"/>
      <c r="AL2" s="1052"/>
    </row>
    <row r="3" spans="1:40" x14ac:dyDescent="0.2">
      <c r="A3" s="1053" t="s">
        <v>97</v>
      </c>
      <c r="B3" s="1050"/>
      <c r="C3" s="1050"/>
      <c r="D3" s="1050"/>
      <c r="E3" s="1050"/>
      <c r="F3" s="1050"/>
      <c r="G3" s="1050"/>
      <c r="H3" s="1050"/>
      <c r="I3" s="1050"/>
      <c r="J3" s="1050"/>
      <c r="K3" s="1050"/>
      <c r="L3" s="1050"/>
      <c r="M3" s="1050"/>
      <c r="N3" s="1050"/>
      <c r="O3" s="1050"/>
      <c r="P3" s="1050"/>
      <c r="Q3" s="1050"/>
      <c r="R3" s="1050"/>
      <c r="S3" s="1050"/>
      <c r="T3" s="1050"/>
      <c r="U3" s="1050"/>
      <c r="V3" s="1050"/>
      <c r="W3" s="1050"/>
      <c r="X3" s="1050"/>
      <c r="Y3" s="1050"/>
      <c r="Z3" s="1050"/>
      <c r="AA3" s="1050"/>
      <c r="AB3" s="1050"/>
      <c r="AC3" s="1050"/>
      <c r="AD3" s="1050"/>
      <c r="AE3" s="1050"/>
      <c r="AF3" s="1050"/>
      <c r="AG3" s="1050"/>
      <c r="AH3" s="1050"/>
      <c r="AI3" s="1050"/>
      <c r="AJ3" s="1050"/>
      <c r="AK3" s="1050"/>
      <c r="AL3" s="1050"/>
    </row>
    <row r="4" spans="1:40" x14ac:dyDescent="0.2">
      <c r="A4" s="1050"/>
      <c r="B4" s="1050"/>
      <c r="C4" s="1050"/>
      <c r="D4" s="1050"/>
      <c r="E4" s="1050"/>
      <c r="F4" s="1050"/>
      <c r="G4" s="1050"/>
      <c r="H4" s="1050"/>
      <c r="I4" s="1050"/>
      <c r="J4" s="1050"/>
      <c r="K4" s="1050"/>
      <c r="L4" s="1050"/>
      <c r="M4" s="1050"/>
      <c r="N4" s="1050"/>
      <c r="O4" s="1050"/>
      <c r="P4" s="1050"/>
      <c r="Q4" s="1050"/>
      <c r="R4" s="1050"/>
      <c r="S4" s="1050"/>
      <c r="T4" s="1050"/>
      <c r="U4" s="1050"/>
      <c r="V4" s="1050"/>
      <c r="W4" s="1050"/>
      <c r="X4" s="1050"/>
      <c r="Y4" s="1050"/>
      <c r="Z4" s="1050"/>
      <c r="AA4" s="1050"/>
      <c r="AB4" s="1050"/>
      <c r="AC4" s="1050"/>
      <c r="AD4" s="1050"/>
      <c r="AE4" s="1050"/>
      <c r="AF4" s="1050"/>
      <c r="AG4" s="1050"/>
      <c r="AH4" s="1050"/>
      <c r="AI4" s="1050"/>
      <c r="AJ4" s="1050"/>
      <c r="AK4" s="1050"/>
      <c r="AL4" s="1050"/>
    </row>
    <row r="5" spans="1:40" x14ac:dyDescent="0.2">
      <c r="A5" s="1050"/>
      <c r="B5" s="1050"/>
      <c r="C5" s="1050"/>
      <c r="D5" s="1054">
        <v>2000</v>
      </c>
      <c r="E5" s="1050"/>
      <c r="F5" s="1054">
        <v>2001</v>
      </c>
      <c r="G5" s="1050"/>
      <c r="H5" s="1054">
        <f>F5+1</f>
        <v>2002</v>
      </c>
      <c r="I5" s="1050"/>
      <c r="J5" s="1054">
        <v>2003</v>
      </c>
      <c r="K5" s="1050"/>
      <c r="L5" s="1054">
        <f>J5+1</f>
        <v>2004</v>
      </c>
      <c r="M5" s="1050"/>
      <c r="N5" s="1054">
        <f>L5+1</f>
        <v>2005</v>
      </c>
      <c r="O5" s="1050"/>
      <c r="P5" s="1054">
        <f>N5+1</f>
        <v>2006</v>
      </c>
      <c r="Q5" s="1050"/>
      <c r="R5" s="1054">
        <f>P5+1</f>
        <v>2007</v>
      </c>
      <c r="S5" s="1050"/>
      <c r="T5" s="1054">
        <f>R5+1</f>
        <v>2008</v>
      </c>
      <c r="U5" s="1050"/>
      <c r="V5" s="1054">
        <f>T5+1</f>
        <v>2009</v>
      </c>
      <c r="W5" s="1050"/>
      <c r="X5" s="1054">
        <f>V5+1</f>
        <v>2010</v>
      </c>
      <c r="Y5" s="1050"/>
      <c r="Z5" s="1054">
        <f>X5+1</f>
        <v>2011</v>
      </c>
      <c r="AA5" s="1050"/>
      <c r="AB5" s="1054">
        <f>Z5+1</f>
        <v>2012</v>
      </c>
      <c r="AC5" s="1050"/>
      <c r="AD5" s="1054">
        <f>AB5+1</f>
        <v>2013</v>
      </c>
      <c r="AE5" s="1050"/>
      <c r="AF5" s="1054">
        <v>2014</v>
      </c>
      <c r="AG5" s="1050"/>
      <c r="AH5" s="1054">
        <v>2015</v>
      </c>
      <c r="AI5" s="1050"/>
      <c r="AJ5" s="1054">
        <v>2016</v>
      </c>
      <c r="AK5" s="1050"/>
      <c r="AL5" s="1054">
        <v>2017</v>
      </c>
      <c r="AN5" s="1054" t="s">
        <v>613</v>
      </c>
    </row>
    <row r="6" spans="1:40" x14ac:dyDescent="0.2">
      <c r="A6" s="1050"/>
      <c r="B6" s="1050"/>
      <c r="C6" s="1050"/>
      <c r="D6" s="1050"/>
      <c r="E6" s="1050"/>
      <c r="F6" s="1050"/>
      <c r="G6" s="1050"/>
      <c r="H6" s="1050"/>
      <c r="I6" s="1050"/>
      <c r="J6" s="1050"/>
      <c r="K6" s="1050"/>
      <c r="L6" s="1050"/>
      <c r="M6" s="1050"/>
      <c r="N6" s="1050"/>
      <c r="O6" s="1050"/>
      <c r="P6" s="1050"/>
      <c r="Q6" s="1050"/>
      <c r="R6" s="1050"/>
      <c r="S6" s="1050"/>
      <c r="T6" s="1050"/>
      <c r="U6" s="1050"/>
      <c r="V6" s="1050"/>
      <c r="W6" s="1050"/>
      <c r="X6" s="1050"/>
      <c r="Y6" s="1050"/>
      <c r="Z6" s="1050"/>
      <c r="AA6" s="1050"/>
      <c r="AB6" s="1050"/>
      <c r="AC6" s="1050"/>
      <c r="AD6" s="1050"/>
      <c r="AE6" s="1050"/>
      <c r="AF6" s="1050"/>
      <c r="AG6" s="1050"/>
      <c r="AH6" s="1050"/>
      <c r="AI6" s="1050"/>
      <c r="AJ6" s="1050"/>
      <c r="AK6" s="1050"/>
      <c r="AL6" s="1050"/>
    </row>
    <row r="7" spans="1:40" x14ac:dyDescent="0.2">
      <c r="A7" s="1055" t="s">
        <v>98</v>
      </c>
      <c r="B7" s="1055"/>
      <c r="C7" s="1055"/>
      <c r="D7" s="1055"/>
      <c r="E7" s="1055"/>
      <c r="F7" s="1055"/>
      <c r="G7" s="1055"/>
      <c r="H7" s="1055"/>
      <c r="I7" s="1055"/>
      <c r="J7" s="1055"/>
      <c r="K7" s="1055"/>
      <c r="L7" s="1055"/>
      <c r="M7" s="1055"/>
      <c r="N7" s="1055"/>
      <c r="O7" s="1055"/>
      <c r="P7" s="1055"/>
      <c r="Q7" s="1055"/>
      <c r="R7" s="1055"/>
      <c r="S7" s="1055"/>
      <c r="T7" s="1055"/>
      <c r="U7" s="1055"/>
      <c r="V7" s="1055"/>
      <c r="W7" s="1055"/>
      <c r="X7" s="1055"/>
      <c r="Y7" s="1055"/>
      <c r="Z7" s="1055"/>
      <c r="AA7" s="1055"/>
      <c r="AB7" s="1055"/>
      <c r="AC7" s="1055"/>
      <c r="AD7" s="1055"/>
      <c r="AE7" s="1055"/>
      <c r="AF7" s="1055"/>
      <c r="AG7" s="1055"/>
      <c r="AH7" s="1055"/>
      <c r="AI7" s="1055"/>
      <c r="AJ7" s="1055"/>
      <c r="AK7" s="1055"/>
      <c r="AL7" s="1055"/>
    </row>
    <row r="8" spans="1:40" x14ac:dyDescent="0.2">
      <c r="A8" s="1050" t="s">
        <v>92</v>
      </c>
      <c r="B8" s="1050" t="s">
        <v>78</v>
      </c>
      <c r="C8" s="1056"/>
      <c r="D8" s="1057">
        <v>36.027999999999999</v>
      </c>
      <c r="E8" s="582"/>
      <c r="F8" s="1057">
        <v>18.091999999999985</v>
      </c>
      <c r="G8" s="582"/>
      <c r="H8" s="1057">
        <v>233.9028789999999</v>
      </c>
      <c r="I8" s="582"/>
      <c r="J8" s="1057">
        <v>67.963078999999709</v>
      </c>
      <c r="K8" s="1056"/>
      <c r="L8" s="1057">
        <v>154.99007899999978</v>
      </c>
      <c r="M8" s="582"/>
      <c r="N8" s="1057">
        <v>315.74607899999972</v>
      </c>
      <c r="O8" s="582"/>
      <c r="P8" s="1057">
        <v>261.21829675831873</v>
      </c>
      <c r="Q8" s="582"/>
      <c r="R8" s="1057">
        <v>744.5362967583186</v>
      </c>
      <c r="S8" s="582"/>
      <c r="T8" s="1057">
        <v>119.40229675831841</v>
      </c>
      <c r="U8" s="582"/>
      <c r="V8" s="1096">
        <v>78</v>
      </c>
      <c r="W8" s="1097"/>
      <c r="X8" s="1096">
        <v>1040</v>
      </c>
      <c r="Y8" s="1097"/>
      <c r="Z8" s="1096">
        <v>1433</v>
      </c>
      <c r="AA8" s="1097"/>
      <c r="AB8" s="1096">
        <v>1647</v>
      </c>
      <c r="AC8" s="1097"/>
      <c r="AD8" s="1096">
        <v>1190</v>
      </c>
      <c r="AE8" s="1097"/>
      <c r="AF8" s="1096">
        <v>1015</v>
      </c>
      <c r="AG8" s="1097"/>
      <c r="AH8" s="1096">
        <v>769</v>
      </c>
      <c r="AI8" s="1097"/>
      <c r="AJ8" s="1096">
        <v>470</v>
      </c>
      <c r="AK8" s="1097"/>
      <c r="AL8" s="1096">
        <v>653</v>
      </c>
    </row>
    <row r="9" spans="1:40" x14ac:dyDescent="0.2">
      <c r="A9" s="1050" t="s">
        <v>93</v>
      </c>
      <c r="B9" s="1050" t="s">
        <v>79</v>
      </c>
      <c r="C9" s="1056"/>
      <c r="D9" s="1057">
        <v>32.066000000000003</v>
      </c>
      <c r="E9" s="582"/>
      <c r="F9" s="1057">
        <v>36.829000000000121</v>
      </c>
      <c r="G9" s="582"/>
      <c r="H9" s="1057">
        <v>260.13387899999975</v>
      </c>
      <c r="I9" s="582"/>
      <c r="J9" s="1057">
        <v>204.14207899999957</v>
      </c>
      <c r="K9" s="1056"/>
      <c r="L9" s="1057">
        <v>309.43307899999979</v>
      </c>
      <c r="M9" s="582"/>
      <c r="N9" s="1057">
        <v>462.92607899999973</v>
      </c>
      <c r="O9" s="582"/>
      <c r="P9" s="1057">
        <v>280.08929675831837</v>
      </c>
      <c r="Q9" s="582"/>
      <c r="R9" s="1057">
        <v>178.96629675831855</v>
      </c>
      <c r="S9" s="582"/>
      <c r="T9" s="1057">
        <v>92.402296758318414</v>
      </c>
      <c r="U9" s="582"/>
      <c r="V9" s="1096">
        <v>519</v>
      </c>
      <c r="W9" s="1097"/>
      <c r="X9" s="1096">
        <v>1137</v>
      </c>
      <c r="Y9" s="1097"/>
      <c r="Z9" s="1096">
        <v>1090</v>
      </c>
      <c r="AA9" s="1097"/>
      <c r="AB9" s="1096">
        <v>1258</v>
      </c>
      <c r="AC9" s="1097"/>
      <c r="AD9" s="1096">
        <v>1128</v>
      </c>
      <c r="AE9" s="1097"/>
      <c r="AF9" s="1096">
        <v>772</v>
      </c>
      <c r="AG9" s="1097"/>
      <c r="AH9" s="1096">
        <v>423</v>
      </c>
      <c r="AI9" s="1097"/>
      <c r="AJ9" s="1096">
        <v>892</v>
      </c>
      <c r="AK9" s="1097"/>
      <c r="AL9" s="1096">
        <v>919</v>
      </c>
    </row>
    <row r="10" spans="1:40" x14ac:dyDescent="0.2">
      <c r="A10" s="1050" t="s">
        <v>94</v>
      </c>
      <c r="B10" s="1050" t="s">
        <v>80</v>
      </c>
      <c r="C10" s="1056"/>
      <c r="D10" s="1057">
        <v>17.411999999999999</v>
      </c>
      <c r="E10" s="582"/>
      <c r="F10" s="1057">
        <v>20.365000000000137</v>
      </c>
      <c r="G10" s="582"/>
      <c r="H10" s="1057">
        <v>70.123878999999704</v>
      </c>
      <c r="I10" s="582"/>
      <c r="J10" s="1057">
        <v>59.880078999999455</v>
      </c>
      <c r="K10" s="1056"/>
      <c r="L10" s="1057">
        <v>240.14907899999943</v>
      </c>
      <c r="M10" s="582"/>
      <c r="N10" s="1057">
        <v>205.90838659698659</v>
      </c>
      <c r="O10" s="582"/>
      <c r="P10" s="1057">
        <v>208.6072967583186</v>
      </c>
      <c r="Q10" s="582"/>
      <c r="R10" s="1057">
        <v>107.80529675831843</v>
      </c>
      <c r="S10" s="582"/>
      <c r="T10" s="1057">
        <v>68.419296758318467</v>
      </c>
      <c r="U10" s="582"/>
      <c r="V10" s="1096">
        <v>484</v>
      </c>
      <c r="W10" s="1097"/>
      <c r="X10" s="1096">
        <v>1046</v>
      </c>
      <c r="Y10" s="1097"/>
      <c r="Z10" s="1096">
        <v>1457</v>
      </c>
      <c r="AA10" s="1097"/>
      <c r="AB10" s="1096">
        <v>1158</v>
      </c>
      <c r="AC10" s="1097"/>
      <c r="AD10" s="1096">
        <v>947</v>
      </c>
      <c r="AE10" s="1097"/>
      <c r="AF10" s="1096">
        <v>433</v>
      </c>
      <c r="AG10" s="1097"/>
      <c r="AH10" s="1096">
        <v>821</v>
      </c>
      <c r="AI10" s="1097"/>
      <c r="AJ10" s="1096">
        <v>531</v>
      </c>
      <c r="AK10" s="1097"/>
      <c r="AL10" s="1096">
        <v>672</v>
      </c>
    </row>
    <row r="11" spans="1:40" x14ac:dyDescent="0.2">
      <c r="A11" s="1050" t="s">
        <v>95</v>
      </c>
      <c r="B11" s="1050" t="s">
        <v>81</v>
      </c>
      <c r="C11" s="1056"/>
      <c r="D11" s="1057">
        <v>26.017878999999908</v>
      </c>
      <c r="E11" s="582"/>
      <c r="F11" s="1057">
        <v>353.78687899999989</v>
      </c>
      <c r="G11" s="582"/>
      <c r="H11" s="1057">
        <v>124.7310789999998</v>
      </c>
      <c r="I11" s="582"/>
      <c r="J11" s="1057">
        <v>340.80707899999959</v>
      </c>
      <c r="K11" s="1056"/>
      <c r="L11" s="1057">
        <v>360.67407899999978</v>
      </c>
      <c r="M11" s="582"/>
      <c r="N11" s="1057">
        <v>462.54829675831866</v>
      </c>
      <c r="O11" s="582"/>
      <c r="P11" s="1057">
        <v>402.45129675831839</v>
      </c>
      <c r="Q11" s="582"/>
      <c r="R11" s="1057">
        <v>357.40229675831841</v>
      </c>
      <c r="S11" s="582"/>
      <c r="T11" s="1057">
        <v>71.619296758318455</v>
      </c>
      <c r="U11" s="582"/>
      <c r="V11" s="1096">
        <v>795</v>
      </c>
      <c r="W11" s="1097"/>
      <c r="X11" s="1096">
        <v>1506</v>
      </c>
      <c r="Y11" s="1097"/>
      <c r="Z11" s="1096">
        <v>1877</v>
      </c>
      <c r="AA11" s="1097"/>
      <c r="AB11" s="1096">
        <f>bal!AI9</f>
        <v>1285.3002967583188</v>
      </c>
      <c r="AC11" s="1097"/>
      <c r="AD11" s="1096">
        <v>1194</v>
      </c>
      <c r="AE11" s="1097"/>
      <c r="AF11" s="1098">
        <v>827</v>
      </c>
      <c r="AG11" s="1097"/>
      <c r="AH11" s="1096">
        <v>595</v>
      </c>
      <c r="AI11" s="1097"/>
      <c r="AJ11" s="1096">
        <v>1007</v>
      </c>
      <c r="AK11" s="1097"/>
      <c r="AL11" s="1096">
        <f>bal!AN9</f>
        <v>1181.3502967583188</v>
      </c>
    </row>
    <row r="12" spans="1:40" x14ac:dyDescent="0.2">
      <c r="A12" s="1050"/>
      <c r="B12" s="1050"/>
      <c r="C12" s="1050"/>
      <c r="D12" s="1050"/>
      <c r="F12" s="1050"/>
      <c r="H12" s="1050"/>
      <c r="J12" s="1050"/>
      <c r="K12" s="1050"/>
      <c r="L12" s="1050"/>
      <c r="N12" s="1050"/>
      <c r="P12" s="1050"/>
      <c r="R12" s="1050"/>
      <c r="T12" s="1050"/>
      <c r="V12" s="1050"/>
      <c r="X12" s="1050"/>
      <c r="Z12" s="1050"/>
      <c r="AB12" s="1050"/>
      <c r="AD12" s="1050"/>
      <c r="AF12" s="1050"/>
      <c r="AH12" s="1050"/>
      <c r="AJ12" s="1050"/>
      <c r="AL12" s="1050"/>
    </row>
    <row r="13" spans="1:40" x14ac:dyDescent="0.2">
      <c r="A13" s="1055" t="s">
        <v>272</v>
      </c>
      <c r="B13" s="1055"/>
      <c r="C13" s="1055"/>
      <c r="D13" s="1055"/>
      <c r="E13" s="1055"/>
      <c r="F13" s="1055"/>
      <c r="G13" s="1055"/>
      <c r="H13" s="1055"/>
      <c r="I13" s="1055"/>
      <c r="J13" s="1055"/>
      <c r="K13" s="1055"/>
      <c r="L13" s="1055"/>
      <c r="M13" s="1055"/>
      <c r="N13" s="1055"/>
      <c r="O13" s="1055"/>
      <c r="P13" s="1055"/>
      <c r="Q13" s="1055"/>
      <c r="R13" s="1055"/>
      <c r="S13" s="1055"/>
      <c r="T13" s="1055"/>
      <c r="U13" s="1055"/>
      <c r="V13" s="1055"/>
      <c r="W13" s="1055"/>
      <c r="X13" s="1055"/>
      <c r="Y13" s="1055"/>
      <c r="Z13" s="1055"/>
      <c r="AA13" s="1055"/>
      <c r="AB13" s="1055"/>
      <c r="AC13" s="1055"/>
      <c r="AD13" s="1055"/>
      <c r="AE13" s="1055"/>
      <c r="AF13" s="1055"/>
      <c r="AG13" s="1055"/>
      <c r="AH13" s="1055"/>
      <c r="AI13" s="1055"/>
      <c r="AJ13" s="1055"/>
      <c r="AK13" s="1055"/>
      <c r="AL13" s="1055"/>
    </row>
    <row r="14" spans="1:40" x14ac:dyDescent="0.2">
      <c r="A14" s="1050" t="s">
        <v>92</v>
      </c>
      <c r="B14" s="1050" t="s">
        <v>78</v>
      </c>
      <c r="C14" s="1056"/>
      <c r="D14" s="1057">
        <v>16.190999999999999</v>
      </c>
      <c r="E14" s="582"/>
      <c r="F14" s="1057">
        <v>89.335999999999999</v>
      </c>
      <c r="G14" s="582"/>
      <c r="H14" s="1057">
        <v>3.996</v>
      </c>
      <c r="I14" s="582"/>
      <c r="J14" s="1057">
        <v>5.6150000000000002</v>
      </c>
      <c r="K14" s="1057"/>
      <c r="L14" s="1057">
        <v>6.5019999999999998</v>
      </c>
      <c r="M14" s="582"/>
      <c r="N14" s="1057">
        <v>100.458</v>
      </c>
      <c r="O14" s="582"/>
      <c r="P14" s="1057">
        <v>306.63600000000002</v>
      </c>
      <c r="Q14" s="582"/>
      <c r="R14" s="1057">
        <v>7.7679999999999998</v>
      </c>
      <c r="S14" s="582"/>
      <c r="T14" s="1057">
        <v>260</v>
      </c>
      <c r="U14" s="582"/>
      <c r="V14" s="1096">
        <v>375</v>
      </c>
      <c r="W14" s="1097"/>
      <c r="X14" s="1096">
        <v>6</v>
      </c>
      <c r="Y14" s="1097"/>
      <c r="Z14" s="1096">
        <v>506</v>
      </c>
      <c r="AA14" s="1097"/>
      <c r="AB14" s="1096">
        <v>6</v>
      </c>
      <c r="AC14" s="1097"/>
      <c r="AD14" s="1096">
        <v>7</v>
      </c>
      <c r="AE14" s="1097"/>
      <c r="AF14" s="1096">
        <v>7</v>
      </c>
      <c r="AG14" s="1097"/>
      <c r="AH14" s="1096">
        <v>8</v>
      </c>
      <c r="AI14" s="1097"/>
      <c r="AJ14" s="1096">
        <v>10</v>
      </c>
      <c r="AK14" s="1097"/>
      <c r="AL14" s="1096">
        <v>11</v>
      </c>
    </row>
    <row r="15" spans="1:40" x14ac:dyDescent="0.2">
      <c r="A15" s="1050" t="s">
        <v>93</v>
      </c>
      <c r="B15" s="1050" t="s">
        <v>79</v>
      </c>
      <c r="C15" s="1056"/>
      <c r="D15" s="1057">
        <v>0.59099999999999997</v>
      </c>
      <c r="E15" s="582"/>
      <c r="F15" s="1057">
        <v>90.061000000000007</v>
      </c>
      <c r="G15" s="582"/>
      <c r="H15" s="1057">
        <v>4.7690000000000001</v>
      </c>
      <c r="I15" s="582"/>
      <c r="J15" s="1057">
        <v>6.0839999999999996</v>
      </c>
      <c r="K15" s="1057"/>
      <c r="L15" s="1057">
        <v>103.129</v>
      </c>
      <c r="M15" s="582"/>
      <c r="N15" s="1057">
        <v>4.4800000000000004</v>
      </c>
      <c r="O15" s="582"/>
      <c r="P15" s="1057">
        <v>307.46300000000002</v>
      </c>
      <c r="Q15" s="582"/>
      <c r="R15" s="1057">
        <v>8.2010000000000005</v>
      </c>
      <c r="S15" s="582"/>
      <c r="T15" s="1057">
        <v>260</v>
      </c>
      <c r="U15" s="582"/>
      <c r="V15" s="1096">
        <v>375</v>
      </c>
      <c r="W15" s="1097"/>
      <c r="X15" s="1096">
        <v>6</v>
      </c>
      <c r="Y15" s="1097"/>
      <c r="Z15" s="1096">
        <v>506</v>
      </c>
      <c r="AA15" s="1097"/>
      <c r="AB15" s="1096">
        <v>6</v>
      </c>
      <c r="AC15" s="1097"/>
      <c r="AD15" s="1096">
        <v>407</v>
      </c>
      <c r="AE15" s="1097"/>
      <c r="AF15" s="1096">
        <v>7</v>
      </c>
      <c r="AG15" s="1097"/>
      <c r="AH15" s="1096">
        <v>333</v>
      </c>
      <c r="AI15" s="1097"/>
      <c r="AJ15" s="1096">
        <v>10</v>
      </c>
      <c r="AK15" s="1097"/>
      <c r="AL15" s="1096">
        <v>11</v>
      </c>
    </row>
    <row r="16" spans="1:40" x14ac:dyDescent="0.2">
      <c r="A16" s="1050" t="s">
        <v>94</v>
      </c>
      <c r="B16" s="1050" t="s">
        <v>80</v>
      </c>
      <c r="C16" s="1056"/>
      <c r="D16" s="1057">
        <v>11.590999999999999</v>
      </c>
      <c r="E16" s="582"/>
      <c r="F16" s="1057">
        <v>78.965999999999994</v>
      </c>
      <c r="G16" s="582"/>
      <c r="H16" s="1057">
        <v>4.3860000000000001</v>
      </c>
      <c r="I16" s="582"/>
      <c r="J16" s="1057">
        <v>6.1980000000000004</v>
      </c>
      <c r="K16" s="1057"/>
      <c r="L16" s="1057">
        <v>103.021</v>
      </c>
      <c r="M16" s="582"/>
      <c r="N16" s="1057">
        <v>306.96699999999998</v>
      </c>
      <c r="O16" s="582"/>
      <c r="P16" s="1057">
        <v>106.572</v>
      </c>
      <c r="Q16" s="582"/>
      <c r="R16" s="1057">
        <v>209.01900000000001</v>
      </c>
      <c r="S16" s="582"/>
      <c r="T16" s="1057">
        <v>425</v>
      </c>
      <c r="U16" s="582"/>
      <c r="V16" s="1096">
        <v>356</v>
      </c>
      <c r="W16" s="1097"/>
      <c r="X16" s="1096">
        <v>6</v>
      </c>
      <c r="Y16" s="1097"/>
      <c r="Z16" s="1096">
        <v>506</v>
      </c>
      <c r="AA16" s="1097"/>
      <c r="AB16" s="1096">
        <v>6</v>
      </c>
      <c r="AC16" s="1097"/>
      <c r="AD16" s="1096">
        <v>407</v>
      </c>
      <c r="AE16" s="1097"/>
      <c r="AF16" s="1096">
        <v>8</v>
      </c>
      <c r="AG16" s="1097"/>
      <c r="AH16" s="1096">
        <v>9</v>
      </c>
      <c r="AI16" s="1097"/>
      <c r="AJ16" s="1096">
        <v>11</v>
      </c>
      <c r="AK16" s="1097"/>
      <c r="AL16" s="1096">
        <v>57</v>
      </c>
    </row>
    <row r="17" spans="1:38" x14ac:dyDescent="0.2">
      <c r="A17" s="1050" t="s">
        <v>95</v>
      </c>
      <c r="B17" s="1050" t="s">
        <v>81</v>
      </c>
      <c r="C17" s="1056"/>
      <c r="D17" s="1057">
        <v>12.586</v>
      </c>
      <c r="E17" s="582"/>
      <c r="F17" s="1057">
        <v>78.227000000000004</v>
      </c>
      <c r="G17" s="582"/>
      <c r="H17" s="1057">
        <v>5.5449999999999999</v>
      </c>
      <c r="I17" s="582"/>
      <c r="J17" s="1057">
        <v>6.8330000000000002</v>
      </c>
      <c r="K17" s="1057"/>
      <c r="L17" s="1057">
        <v>101.09699999999999</v>
      </c>
      <c r="M17" s="582"/>
      <c r="N17" s="1057">
        <v>306.61799999999999</v>
      </c>
      <c r="O17" s="582"/>
      <c r="P17" s="1057">
        <v>6.8</v>
      </c>
      <c r="Q17" s="582"/>
      <c r="R17" s="1057">
        <v>261</v>
      </c>
      <c r="S17" s="582"/>
      <c r="T17" s="1057">
        <v>24</v>
      </c>
      <c r="U17" s="582"/>
      <c r="V17" s="1096">
        <v>356</v>
      </c>
      <c r="W17" s="1097"/>
      <c r="X17" s="1096">
        <v>6</v>
      </c>
      <c r="Y17" s="1097"/>
      <c r="Z17" s="1096">
        <v>506</v>
      </c>
      <c r="AA17" s="1097"/>
      <c r="AB17" s="1096">
        <f>bal!AI25+bal!AI26</f>
        <v>7</v>
      </c>
      <c r="AC17" s="1097"/>
      <c r="AD17" s="1096">
        <v>7</v>
      </c>
      <c r="AE17" s="1097"/>
      <c r="AF17" s="1098">
        <v>8</v>
      </c>
      <c r="AG17" s="1097"/>
      <c r="AH17" s="1096">
        <v>10</v>
      </c>
      <c r="AI17" s="1097"/>
      <c r="AJ17" s="1096">
        <v>661</v>
      </c>
      <c r="AK17" s="1097"/>
      <c r="AL17" s="1096">
        <f>bal!AN25</f>
        <v>56</v>
      </c>
    </row>
    <row r="18" spans="1:38" x14ac:dyDescent="0.2">
      <c r="A18" s="1050"/>
      <c r="B18" s="1050"/>
      <c r="C18" s="1050"/>
      <c r="D18" s="1050"/>
      <c r="F18" s="1050"/>
      <c r="H18" s="1050"/>
      <c r="J18" s="1050"/>
      <c r="K18" s="1050"/>
      <c r="L18" s="1050"/>
      <c r="N18" s="1050"/>
      <c r="P18" s="1050"/>
      <c r="R18" s="1050"/>
      <c r="T18" s="1050"/>
      <c r="V18" s="1050"/>
      <c r="X18" s="1050"/>
      <c r="Z18" s="1050"/>
      <c r="AB18" s="1050"/>
      <c r="AD18" s="1050"/>
      <c r="AF18" s="1050"/>
      <c r="AH18" s="1050"/>
      <c r="AJ18" s="1050"/>
      <c r="AL18" s="1050"/>
    </row>
    <row r="19" spans="1:38" x14ac:dyDescent="0.2">
      <c r="A19" s="1055" t="s">
        <v>99</v>
      </c>
      <c r="B19" s="1055"/>
      <c r="C19" s="1055"/>
      <c r="D19" s="1055"/>
      <c r="E19" s="1055"/>
      <c r="F19" s="1055"/>
      <c r="G19" s="1055"/>
      <c r="H19" s="1055"/>
      <c r="I19" s="1055"/>
      <c r="J19" s="1055"/>
      <c r="K19" s="1055"/>
      <c r="L19" s="1055"/>
      <c r="M19" s="1055"/>
      <c r="N19" s="1055"/>
      <c r="O19" s="1055"/>
      <c r="P19" s="1055"/>
      <c r="Q19" s="1055"/>
      <c r="R19" s="1055"/>
      <c r="S19" s="1055"/>
      <c r="T19" s="1055"/>
      <c r="U19" s="1055"/>
      <c r="V19" s="1055"/>
      <c r="W19" s="1055"/>
      <c r="X19" s="1055"/>
      <c r="Y19" s="1055"/>
      <c r="Z19" s="1055"/>
      <c r="AA19" s="1055"/>
      <c r="AB19" s="1055"/>
      <c r="AC19" s="1055"/>
      <c r="AD19" s="1055"/>
      <c r="AE19" s="1055"/>
      <c r="AF19" s="1055"/>
      <c r="AG19" s="1055"/>
      <c r="AH19" s="1055"/>
      <c r="AI19" s="1055"/>
      <c r="AJ19" s="1055"/>
      <c r="AK19" s="1055"/>
      <c r="AL19" s="1055"/>
    </row>
    <row r="20" spans="1:38" x14ac:dyDescent="0.2">
      <c r="A20" s="1050" t="s">
        <v>92</v>
      </c>
      <c r="B20" s="1050" t="s">
        <v>78</v>
      </c>
      <c r="C20" s="1050"/>
      <c r="D20" s="1058">
        <v>757.88599999999997</v>
      </c>
      <c r="E20" s="1060"/>
      <c r="F20" s="1058">
        <v>1032.8900000000001</v>
      </c>
      <c r="G20" s="1060"/>
      <c r="H20" s="1058">
        <v>1346.9390000000001</v>
      </c>
      <c r="I20" s="1060"/>
      <c r="J20" s="1058">
        <v>1341.2619999999999</v>
      </c>
      <c r="K20" s="1058"/>
      <c r="L20" s="1058">
        <v>1024.2829999999999</v>
      </c>
      <c r="M20" s="1060"/>
      <c r="N20" s="1058">
        <v>928.17499999999995</v>
      </c>
      <c r="O20" s="1060"/>
      <c r="P20" s="1058">
        <v>624.94899999999996</v>
      </c>
      <c r="Q20" s="1060"/>
      <c r="R20" s="1058">
        <v>1474.6320000000001</v>
      </c>
      <c r="S20" s="1060"/>
      <c r="T20" s="1058">
        <v>2235</v>
      </c>
      <c r="U20" s="1060"/>
      <c r="V20" s="1096">
        <v>2002</v>
      </c>
      <c r="W20" s="1097"/>
      <c r="X20" s="1096">
        <v>2756</v>
      </c>
      <c r="Y20" s="1097"/>
      <c r="Z20" s="1096">
        <v>2276</v>
      </c>
      <c r="AA20" s="1097"/>
      <c r="AB20" s="1096">
        <v>3137</v>
      </c>
      <c r="AC20" s="1097"/>
      <c r="AD20" s="1096">
        <v>3119</v>
      </c>
      <c r="AE20" s="1097"/>
      <c r="AF20" s="1096">
        <v>3110</v>
      </c>
      <c r="AG20" s="1097"/>
      <c r="AH20" s="1096">
        <v>3138</v>
      </c>
      <c r="AI20" s="1097"/>
      <c r="AJ20" s="1096">
        <v>2766</v>
      </c>
      <c r="AK20" s="1097"/>
      <c r="AL20" s="1096">
        <v>2731</v>
      </c>
    </row>
    <row r="21" spans="1:38" x14ac:dyDescent="0.2">
      <c r="A21" s="1050" t="s">
        <v>93</v>
      </c>
      <c r="B21" s="1050" t="s">
        <v>79</v>
      </c>
      <c r="C21" s="1050"/>
      <c r="D21" s="1058">
        <v>772.56700000000001</v>
      </c>
      <c r="E21" s="1060"/>
      <c r="F21" s="1058">
        <v>1041.4590000000001</v>
      </c>
      <c r="G21" s="1060"/>
      <c r="H21" s="1058">
        <v>1343.797</v>
      </c>
      <c r="I21" s="1060"/>
      <c r="J21" s="1058">
        <v>1285.0730000000001</v>
      </c>
      <c r="K21" s="1058"/>
      <c r="L21" s="1058">
        <v>927.22699999999998</v>
      </c>
      <c r="M21" s="1060"/>
      <c r="N21" s="1058">
        <v>923.952</v>
      </c>
      <c r="O21" s="1060"/>
      <c r="P21" s="1058">
        <v>624.86099999999999</v>
      </c>
      <c r="Q21" s="1060"/>
      <c r="R21" s="1058">
        <v>1492.0550000000001</v>
      </c>
      <c r="S21" s="1060"/>
      <c r="T21" s="1058">
        <v>2234</v>
      </c>
      <c r="U21" s="1060"/>
      <c r="V21" s="1096">
        <v>2260</v>
      </c>
      <c r="W21" s="1097"/>
      <c r="X21" s="1096">
        <v>2794</v>
      </c>
      <c r="Y21" s="1097"/>
      <c r="Z21" s="1096">
        <v>2296</v>
      </c>
      <c r="AA21" s="1097"/>
      <c r="AB21" s="1096">
        <v>3133</v>
      </c>
      <c r="AC21" s="1097"/>
      <c r="AD21" s="1096">
        <v>2715</v>
      </c>
      <c r="AE21" s="1097"/>
      <c r="AF21" s="1096">
        <v>3111</v>
      </c>
      <c r="AG21" s="1097"/>
      <c r="AH21" s="1096">
        <v>2808</v>
      </c>
      <c r="AI21" s="1097"/>
      <c r="AJ21" s="1096">
        <v>2772</v>
      </c>
      <c r="AK21" s="1097"/>
      <c r="AL21" s="1096">
        <v>2729</v>
      </c>
    </row>
    <row r="22" spans="1:38" x14ac:dyDescent="0.2">
      <c r="A22" s="1050" t="s">
        <v>94</v>
      </c>
      <c r="B22" s="1050" t="s">
        <v>80</v>
      </c>
      <c r="C22" s="1050"/>
      <c r="D22" s="1058">
        <v>1070.02</v>
      </c>
      <c r="E22" s="1060"/>
      <c r="F22" s="1058">
        <v>1045.441</v>
      </c>
      <c r="G22" s="1060"/>
      <c r="H22" s="1058">
        <v>1343.423</v>
      </c>
      <c r="I22" s="1060"/>
      <c r="J22" s="1058">
        <v>1225.403</v>
      </c>
      <c r="K22" s="1058"/>
      <c r="L22" s="1058">
        <v>932.38400000000001</v>
      </c>
      <c r="M22" s="1060"/>
      <c r="N22" s="1058">
        <v>626.97799999999995</v>
      </c>
      <c r="O22" s="1060"/>
      <c r="P22" s="1058">
        <v>624.63099999999997</v>
      </c>
      <c r="Q22" s="1060"/>
      <c r="R22" s="1058">
        <v>1791.4159999999999</v>
      </c>
      <c r="S22" s="1060"/>
      <c r="T22" s="1058">
        <v>2215</v>
      </c>
      <c r="U22" s="1060"/>
      <c r="V22" s="1096">
        <v>2259</v>
      </c>
      <c r="W22" s="1097"/>
      <c r="X22" s="1096">
        <v>2806</v>
      </c>
      <c r="Y22" s="1097"/>
      <c r="Z22" s="1096">
        <v>2810</v>
      </c>
      <c r="AA22" s="1097"/>
      <c r="AB22" s="1096">
        <v>3129</v>
      </c>
      <c r="AC22" s="1097"/>
      <c r="AD22" s="1096">
        <v>2711</v>
      </c>
      <c r="AE22" s="1097"/>
      <c r="AF22" s="1096">
        <v>3119</v>
      </c>
      <c r="AG22" s="1097"/>
      <c r="AH22" s="1096">
        <v>2800</v>
      </c>
      <c r="AI22" s="1097"/>
      <c r="AJ22" s="1096">
        <v>2767</v>
      </c>
      <c r="AK22" s="1097"/>
      <c r="AL22" s="1096">
        <v>2681</v>
      </c>
    </row>
    <row r="23" spans="1:38" x14ac:dyDescent="0.2">
      <c r="A23" s="1050" t="s">
        <v>95</v>
      </c>
      <c r="B23" s="1050" t="s">
        <v>81</v>
      </c>
      <c r="C23" s="1050"/>
      <c r="D23" s="1058">
        <v>1099.71</v>
      </c>
      <c r="E23" s="1060"/>
      <c r="F23" s="1058">
        <v>1351.0440000000001</v>
      </c>
      <c r="G23" s="1060"/>
      <c r="H23" s="1058">
        <v>1345.05</v>
      </c>
      <c r="I23" s="1060"/>
      <c r="J23" s="1058">
        <v>1227.4100000000001</v>
      </c>
      <c r="K23" s="1058"/>
      <c r="L23" s="1058">
        <v>929.01</v>
      </c>
      <c r="M23" s="1060"/>
      <c r="N23" s="1058">
        <v>627.77599999999995</v>
      </c>
      <c r="O23" s="1060"/>
      <c r="P23" s="1058">
        <v>623.65200000000004</v>
      </c>
      <c r="Q23" s="1060"/>
      <c r="R23" s="1058">
        <v>2236</v>
      </c>
      <c r="S23" s="1060"/>
      <c r="T23" s="1058">
        <v>2214</v>
      </c>
      <c r="U23" s="1060"/>
      <c r="V23" s="1096">
        <v>2257</v>
      </c>
      <c r="W23" s="1097"/>
      <c r="X23" s="1096">
        <v>2775</v>
      </c>
      <c r="Y23" s="1097"/>
      <c r="Z23" s="1096">
        <v>3141</v>
      </c>
      <c r="AA23" s="1097"/>
      <c r="AB23" s="1096">
        <f>bal!AI29</f>
        <v>3124</v>
      </c>
      <c r="AC23" s="1097"/>
      <c r="AD23" s="1096">
        <f>bal!AJ29</f>
        <v>3106</v>
      </c>
      <c r="AE23" s="1097"/>
      <c r="AF23" s="1098">
        <v>3123</v>
      </c>
      <c r="AG23" s="1097"/>
      <c r="AH23" s="1096">
        <v>2795</v>
      </c>
      <c r="AI23" s="1097"/>
      <c r="AJ23" s="1096">
        <v>2113</v>
      </c>
      <c r="AK23" s="1097"/>
      <c r="AL23" s="1096">
        <f>bal!AN29</f>
        <v>2681</v>
      </c>
    </row>
    <row r="24" spans="1:38" x14ac:dyDescent="0.2">
      <c r="A24" s="1050"/>
      <c r="B24" s="1050"/>
      <c r="C24" s="1050"/>
      <c r="D24" s="1050"/>
      <c r="E24" s="1050"/>
      <c r="F24" s="1050"/>
      <c r="G24" s="1050"/>
      <c r="H24" s="1050"/>
      <c r="I24" s="1050"/>
      <c r="K24" s="1050"/>
      <c r="L24" s="1050"/>
      <c r="M24" s="1050"/>
      <c r="N24" s="1050"/>
      <c r="O24" s="1050"/>
      <c r="P24" s="1050"/>
      <c r="Q24" s="1050"/>
      <c r="R24" s="1050"/>
      <c r="S24" s="1050"/>
      <c r="T24" s="1050"/>
      <c r="U24" s="1050"/>
      <c r="V24" s="1050"/>
      <c r="W24" s="1050"/>
      <c r="X24" s="1050"/>
      <c r="Y24" s="1050"/>
      <c r="Z24" s="1050"/>
      <c r="AA24" s="1050"/>
      <c r="AB24" s="1050"/>
      <c r="AC24" s="1050"/>
      <c r="AD24" s="1050"/>
      <c r="AE24" s="1050"/>
      <c r="AF24" s="1050"/>
      <c r="AG24" s="1050"/>
      <c r="AH24" s="1050"/>
      <c r="AI24" s="1050"/>
      <c r="AJ24" s="1050"/>
      <c r="AK24" s="1050"/>
      <c r="AL24" s="1050"/>
    </row>
    <row r="25" spans="1:38" x14ac:dyDescent="0.2">
      <c r="A25" s="1055" t="s">
        <v>100</v>
      </c>
      <c r="B25" s="1061"/>
      <c r="C25" s="1061"/>
      <c r="D25" s="1061"/>
      <c r="E25" s="1061"/>
      <c r="F25" s="1061"/>
      <c r="G25" s="1061"/>
      <c r="H25" s="1061"/>
      <c r="I25" s="1061"/>
      <c r="J25" s="1061"/>
      <c r="K25" s="1061"/>
      <c r="L25" s="1061"/>
      <c r="M25" s="1061"/>
      <c r="N25" s="1061"/>
      <c r="O25" s="1061"/>
      <c r="P25" s="1061"/>
      <c r="Q25" s="1061"/>
      <c r="R25" s="1061"/>
      <c r="S25" s="1061"/>
      <c r="T25" s="1061"/>
      <c r="U25" s="1061"/>
      <c r="V25" s="1061"/>
      <c r="W25" s="1061"/>
      <c r="X25" s="1061"/>
      <c r="Y25" s="1061"/>
      <c r="Z25" s="1061"/>
      <c r="AA25" s="1061"/>
      <c r="AB25" s="1061"/>
      <c r="AC25" s="1061"/>
      <c r="AD25" s="1061"/>
      <c r="AE25" s="1061"/>
      <c r="AF25" s="1061"/>
      <c r="AG25" s="1061"/>
      <c r="AH25" s="1061"/>
      <c r="AI25" s="1061"/>
      <c r="AJ25" s="1061"/>
      <c r="AK25" s="1061"/>
      <c r="AL25" s="1061"/>
    </row>
    <row r="26" spans="1:38" x14ac:dyDescent="0.2">
      <c r="A26" s="1050" t="s">
        <v>92</v>
      </c>
      <c r="B26" s="1050" t="s">
        <v>78</v>
      </c>
      <c r="C26" s="1050"/>
      <c r="D26" s="1062"/>
      <c r="E26" s="1050"/>
      <c r="F26" s="1062">
        <f>F20+F14</f>
        <v>1122.2260000000001</v>
      </c>
      <c r="G26" s="1050"/>
      <c r="H26" s="1062">
        <f>H20+H14</f>
        <v>1350.9350000000002</v>
      </c>
      <c r="I26" s="1050"/>
      <c r="J26" s="1062">
        <f>J20+J14</f>
        <v>1346.877</v>
      </c>
      <c r="K26" s="1050"/>
      <c r="L26" s="1062">
        <f>L20+L14</f>
        <v>1030.7849999999999</v>
      </c>
      <c r="M26" s="1050"/>
      <c r="N26" s="1062">
        <f>N20+N14</f>
        <v>1028.633</v>
      </c>
      <c r="O26" s="1050"/>
      <c r="P26" s="1062">
        <f>P20+P14</f>
        <v>931.58500000000004</v>
      </c>
      <c r="Q26" s="1050"/>
      <c r="R26" s="1062">
        <f>R20+R14</f>
        <v>1482.4</v>
      </c>
      <c r="S26" s="1050"/>
      <c r="T26" s="1062">
        <f>T20+T14</f>
        <v>2495</v>
      </c>
      <c r="U26" s="1050"/>
      <c r="V26" s="1062">
        <f>V20+V14</f>
        <v>2377</v>
      </c>
      <c r="W26" s="1063"/>
      <c r="X26" s="1062">
        <f>X20+X14</f>
        <v>2762</v>
      </c>
      <c r="Y26" s="1063"/>
      <c r="Z26" s="1062">
        <f>Z20+Z14</f>
        <v>2782</v>
      </c>
      <c r="AA26" s="1063"/>
      <c r="AB26" s="1062">
        <f>AB20+AB14</f>
        <v>3143</v>
      </c>
      <c r="AC26" s="1063"/>
      <c r="AD26" s="1062">
        <f>AD20+AD14</f>
        <v>3126</v>
      </c>
      <c r="AE26" s="1063"/>
      <c r="AF26" s="1062">
        <f>AF20+AF14</f>
        <v>3117</v>
      </c>
      <c r="AG26" s="1063"/>
      <c r="AH26" s="1062">
        <f>AH20+AH14</f>
        <v>3146</v>
      </c>
      <c r="AI26" s="1063"/>
      <c r="AJ26" s="1062">
        <f>AJ20+AJ14</f>
        <v>2776</v>
      </c>
      <c r="AK26" s="1063"/>
      <c r="AL26" s="1062">
        <f>AL20+AL14</f>
        <v>2742</v>
      </c>
    </row>
    <row r="27" spans="1:38" x14ac:dyDescent="0.2">
      <c r="A27" s="1050" t="s">
        <v>93</v>
      </c>
      <c r="B27" s="1050" t="s">
        <v>79</v>
      </c>
      <c r="C27" s="1050"/>
      <c r="D27" s="1062"/>
      <c r="E27" s="1050"/>
      <c r="F27" s="1062">
        <f t="shared" ref="F27:H29" si="0">F21+F15</f>
        <v>1131.52</v>
      </c>
      <c r="G27" s="1050"/>
      <c r="H27" s="1062">
        <f t="shared" si="0"/>
        <v>1348.566</v>
      </c>
      <c r="I27" s="1050"/>
      <c r="J27" s="1062">
        <f>J21+J15</f>
        <v>1291.1570000000002</v>
      </c>
      <c r="K27" s="1050"/>
      <c r="L27" s="1062">
        <f>L21+L15</f>
        <v>1030.356</v>
      </c>
      <c r="M27" s="1050"/>
      <c r="N27" s="1062">
        <f>N21+N15</f>
        <v>928.43200000000002</v>
      </c>
      <c r="O27" s="1050"/>
      <c r="P27" s="1062">
        <f>P21+P15</f>
        <v>932.32400000000007</v>
      </c>
      <c r="Q27" s="1050"/>
      <c r="R27" s="1062">
        <f>R21+R15</f>
        <v>1500.2560000000001</v>
      </c>
      <c r="S27" s="1050"/>
      <c r="T27" s="1062">
        <f>T21+T15</f>
        <v>2494</v>
      </c>
      <c r="U27" s="1050"/>
      <c r="V27" s="1062">
        <f>V21+V15</f>
        <v>2635</v>
      </c>
      <c r="W27" s="1064"/>
      <c r="X27" s="1062">
        <f>X21+X15</f>
        <v>2800</v>
      </c>
      <c r="Y27" s="1064"/>
      <c r="Z27" s="1062">
        <f>Z21+Z15</f>
        <v>2802</v>
      </c>
      <c r="AA27" s="1064"/>
      <c r="AB27" s="1062">
        <f>AB21+AB15</f>
        <v>3139</v>
      </c>
      <c r="AC27" s="1064"/>
      <c r="AD27" s="1062">
        <f>AD21+AD15</f>
        <v>3122</v>
      </c>
      <c r="AE27" s="1064"/>
      <c r="AF27" s="1062">
        <f>AF21+AF15</f>
        <v>3118</v>
      </c>
      <c r="AG27" s="1064"/>
      <c r="AH27" s="1062">
        <f>AH21+AH15</f>
        <v>3141</v>
      </c>
      <c r="AI27" s="1064"/>
      <c r="AJ27" s="1062">
        <f>AJ21+AJ15</f>
        <v>2782</v>
      </c>
      <c r="AK27" s="1064"/>
      <c r="AL27" s="1062">
        <f>AL21+AL15</f>
        <v>2740</v>
      </c>
    </row>
    <row r="28" spans="1:38" x14ac:dyDescent="0.2">
      <c r="A28" s="1050" t="s">
        <v>94</v>
      </c>
      <c r="B28" s="1050" t="s">
        <v>80</v>
      </c>
      <c r="C28" s="1050"/>
      <c r="D28" s="1062"/>
      <c r="E28" s="1050"/>
      <c r="F28" s="1062">
        <f t="shared" si="0"/>
        <v>1124.4069999999999</v>
      </c>
      <c r="G28" s="1050"/>
      <c r="H28" s="1062">
        <f t="shared" si="0"/>
        <v>1347.809</v>
      </c>
      <c r="I28" s="1050"/>
      <c r="J28" s="1062">
        <f>J22+J16</f>
        <v>1231.6010000000001</v>
      </c>
      <c r="K28" s="1050"/>
      <c r="L28" s="1062">
        <f>L22+L16</f>
        <v>1035.405</v>
      </c>
      <c r="M28" s="1050"/>
      <c r="N28" s="1062">
        <f>N22+N16</f>
        <v>933.94499999999994</v>
      </c>
      <c r="O28" s="1050"/>
      <c r="P28" s="1062">
        <f>P22+P16</f>
        <v>731.20299999999997</v>
      </c>
      <c r="Q28" s="1050"/>
      <c r="R28" s="1062">
        <f>R22+R16</f>
        <v>2000.4349999999999</v>
      </c>
      <c r="S28" s="1050"/>
      <c r="T28" s="1062">
        <f>T22+T16</f>
        <v>2640</v>
      </c>
      <c r="U28" s="1050"/>
      <c r="V28" s="1062">
        <f>V22+V16</f>
        <v>2615</v>
      </c>
      <c r="W28" s="1064"/>
      <c r="X28" s="1062">
        <f>X22+X16</f>
        <v>2812</v>
      </c>
      <c r="Y28" s="1064"/>
      <c r="Z28" s="1062">
        <f>Z22+Z16</f>
        <v>3316</v>
      </c>
      <c r="AA28" s="1064"/>
      <c r="AB28" s="1062">
        <f>AB22+AB16</f>
        <v>3135</v>
      </c>
      <c r="AC28" s="1064"/>
      <c r="AD28" s="1062">
        <f>AD22+AD16</f>
        <v>3118</v>
      </c>
      <c r="AE28" s="1064"/>
      <c r="AF28" s="1062">
        <f>AF22+AF16</f>
        <v>3127</v>
      </c>
      <c r="AG28" s="1064"/>
      <c r="AH28" s="1062">
        <f>AH22+AH16</f>
        <v>2809</v>
      </c>
      <c r="AI28" s="1064"/>
      <c r="AJ28" s="1062">
        <f>AJ22+AJ16</f>
        <v>2778</v>
      </c>
      <c r="AK28" s="1064"/>
      <c r="AL28" s="1062">
        <f>AL22+AL16</f>
        <v>2738</v>
      </c>
    </row>
    <row r="29" spans="1:38" x14ac:dyDescent="0.2">
      <c r="A29" s="1050" t="s">
        <v>95</v>
      </c>
      <c r="B29" s="1050" t="s">
        <v>81</v>
      </c>
      <c r="C29" s="1050"/>
      <c r="D29" s="1062">
        <f>D23+D17</f>
        <v>1112.296</v>
      </c>
      <c r="E29" s="1050"/>
      <c r="F29" s="1062">
        <f t="shared" si="0"/>
        <v>1429.2710000000002</v>
      </c>
      <c r="G29" s="1050"/>
      <c r="H29" s="1062">
        <f t="shared" si="0"/>
        <v>1350.595</v>
      </c>
      <c r="I29" s="1050"/>
      <c r="J29" s="1062">
        <f>J23+J17</f>
        <v>1234.2430000000002</v>
      </c>
      <c r="K29" s="1050"/>
      <c r="L29" s="1062">
        <f>L23+L17</f>
        <v>1030.107</v>
      </c>
      <c r="M29" s="1050"/>
      <c r="N29" s="1062">
        <f>N23+N17</f>
        <v>934.39400000000001</v>
      </c>
      <c r="O29" s="1050"/>
      <c r="P29" s="1062">
        <f>P23+P17</f>
        <v>630.452</v>
      </c>
      <c r="Q29" s="1050"/>
      <c r="R29" s="1062">
        <f>R23+R17</f>
        <v>2497</v>
      </c>
      <c r="S29" s="1050"/>
      <c r="T29" s="1062">
        <f>T23+T17</f>
        <v>2238</v>
      </c>
      <c r="U29" s="1050"/>
      <c r="V29" s="1062">
        <f>V23+V17</f>
        <v>2613</v>
      </c>
      <c r="W29" s="1064"/>
      <c r="X29" s="1062">
        <f>X23+X17</f>
        <v>2781</v>
      </c>
      <c r="Y29" s="1064"/>
      <c r="Z29" s="1062">
        <f>Z23+Z17</f>
        <v>3647</v>
      </c>
      <c r="AA29" s="1064"/>
      <c r="AB29" s="1062">
        <f>AB23+AB17</f>
        <v>3131</v>
      </c>
      <c r="AC29" s="1064"/>
      <c r="AD29" s="1062">
        <f>AD23+AD17</f>
        <v>3113</v>
      </c>
      <c r="AE29" s="1064"/>
      <c r="AF29" s="1062">
        <f>AF23+AF17</f>
        <v>3131</v>
      </c>
      <c r="AG29" s="1064"/>
      <c r="AH29" s="1062">
        <f>AH23+AH17</f>
        <v>2805</v>
      </c>
      <c r="AI29" s="1064"/>
      <c r="AJ29" s="1062">
        <f>AJ23+AJ17</f>
        <v>2774</v>
      </c>
      <c r="AK29" s="1064"/>
      <c r="AL29" s="1062">
        <f>AL23+AL17</f>
        <v>2737</v>
      </c>
    </row>
    <row r="30" spans="1:38" x14ac:dyDescent="0.2">
      <c r="A30" s="1050"/>
      <c r="B30" s="1050"/>
      <c r="C30" s="1050"/>
      <c r="D30" s="1050"/>
      <c r="E30" s="1050"/>
      <c r="F30" s="1050"/>
      <c r="G30" s="1050"/>
      <c r="H30" s="1050"/>
      <c r="I30" s="1050"/>
      <c r="J30" s="1050"/>
      <c r="K30" s="1050"/>
      <c r="L30" s="1050"/>
      <c r="M30" s="1050"/>
      <c r="N30" s="1050"/>
      <c r="O30" s="1050"/>
      <c r="P30" s="1050"/>
      <c r="Q30" s="1050"/>
      <c r="R30" s="1050"/>
      <c r="S30" s="1050"/>
      <c r="T30" s="1050"/>
      <c r="U30" s="1050"/>
      <c r="V30" s="1050"/>
      <c r="W30" s="1050"/>
      <c r="X30" s="1050"/>
      <c r="Y30" s="1050"/>
      <c r="Z30" s="1050"/>
      <c r="AA30" s="1050"/>
      <c r="AB30" s="1050"/>
      <c r="AC30" s="1050"/>
      <c r="AD30" s="1050"/>
      <c r="AE30" s="1050"/>
      <c r="AF30" s="1050"/>
      <c r="AG30" s="1050"/>
      <c r="AH30" s="1050"/>
      <c r="AI30" s="1050"/>
      <c r="AJ30" s="1050"/>
      <c r="AK30" s="1050"/>
      <c r="AL30" s="1050"/>
    </row>
    <row r="31" spans="1:38" x14ac:dyDescent="0.2">
      <c r="A31" s="1055" t="s">
        <v>101</v>
      </c>
      <c r="B31" s="1061"/>
      <c r="C31" s="1061"/>
      <c r="D31" s="1061"/>
      <c r="E31" s="1061"/>
      <c r="F31" s="1061"/>
      <c r="G31" s="1061"/>
      <c r="H31" s="1061"/>
      <c r="I31" s="1061"/>
      <c r="J31" s="1061"/>
      <c r="K31" s="1061"/>
      <c r="L31" s="1061"/>
      <c r="M31" s="1061"/>
      <c r="N31" s="1061"/>
      <c r="O31" s="1061"/>
      <c r="P31" s="1061"/>
      <c r="Q31" s="1061"/>
      <c r="R31" s="1061"/>
      <c r="S31" s="1061"/>
      <c r="T31" s="1061"/>
      <c r="U31" s="1061"/>
      <c r="V31" s="1061"/>
      <c r="W31" s="1061"/>
      <c r="X31" s="1061"/>
      <c r="Y31" s="1061"/>
      <c r="Z31" s="1061"/>
      <c r="AA31" s="1061"/>
      <c r="AB31" s="1061"/>
      <c r="AC31" s="1061"/>
      <c r="AD31" s="1061"/>
      <c r="AE31" s="1061"/>
      <c r="AF31" s="1061"/>
      <c r="AG31" s="1061"/>
      <c r="AH31" s="1061"/>
      <c r="AI31" s="1061"/>
      <c r="AJ31" s="1061"/>
      <c r="AK31" s="1061"/>
      <c r="AL31" s="1061"/>
    </row>
    <row r="32" spans="1:38" x14ac:dyDescent="0.2">
      <c r="A32" s="1050" t="s">
        <v>92</v>
      </c>
      <c r="B32" s="1050" t="s">
        <v>78</v>
      </c>
      <c r="C32" s="1050"/>
      <c r="D32" s="1062"/>
      <c r="E32" s="1050"/>
      <c r="F32" s="1062">
        <f>F26-F8</f>
        <v>1104.134</v>
      </c>
      <c r="G32" s="1050"/>
      <c r="H32" s="1062">
        <f>H26-H8</f>
        <v>1117.0321210000002</v>
      </c>
      <c r="I32" s="1050"/>
      <c r="J32" s="1062">
        <f>J26-J8</f>
        <v>1278.9139210000003</v>
      </c>
      <c r="K32" s="1050"/>
      <c r="L32" s="1062">
        <f>L26-L8</f>
        <v>875.79492100000004</v>
      </c>
      <c r="M32" s="1050"/>
      <c r="N32" s="1062">
        <f>N26-N8</f>
        <v>712.88692100000026</v>
      </c>
      <c r="O32" s="1050"/>
      <c r="P32" s="1062">
        <f>P26-P8</f>
        <v>670.36670324168131</v>
      </c>
      <c r="Q32" s="1050"/>
      <c r="R32" s="1062">
        <f>R26-R8</f>
        <v>737.86370324168149</v>
      </c>
      <c r="S32" s="1050"/>
      <c r="T32" s="1062">
        <f>T26-T8</f>
        <v>2375.5977032416818</v>
      </c>
      <c r="U32" s="1050"/>
      <c r="V32" s="1062">
        <f>V26-V8</f>
        <v>2299</v>
      </c>
      <c r="W32" s="1063"/>
      <c r="X32" s="1062">
        <f>X26-X8</f>
        <v>1722</v>
      </c>
      <c r="Y32" s="1063"/>
      <c r="Z32" s="1062">
        <f>Z26-Z8</f>
        <v>1349</v>
      </c>
      <c r="AA32" s="1063"/>
      <c r="AB32" s="1062">
        <f>AB26-AB8</f>
        <v>1496</v>
      </c>
      <c r="AC32" s="1063"/>
      <c r="AD32" s="1062">
        <f>AD26-AD8</f>
        <v>1936</v>
      </c>
      <c r="AE32" s="1063"/>
      <c r="AF32" s="1062">
        <f>AF26-AF8</f>
        <v>2102</v>
      </c>
      <c r="AG32" s="1063"/>
      <c r="AH32" s="1062">
        <f>AH26-AH8</f>
        <v>2377</v>
      </c>
      <c r="AI32" s="1063"/>
      <c r="AJ32" s="1062">
        <f>AJ26-AJ8</f>
        <v>2306</v>
      </c>
      <c r="AK32" s="1063"/>
      <c r="AL32" s="1062">
        <f>AL26-AL8</f>
        <v>2089</v>
      </c>
    </row>
    <row r="33" spans="1:38" x14ac:dyDescent="0.2">
      <c r="A33" s="1050" t="s">
        <v>93</v>
      </c>
      <c r="B33" s="1050" t="s">
        <v>79</v>
      </c>
      <c r="C33" s="1050"/>
      <c r="D33" s="1062"/>
      <c r="E33" s="1050"/>
      <c r="F33" s="1062">
        <f t="shared" ref="F33:H35" si="1">F27-F9</f>
        <v>1094.6909999999998</v>
      </c>
      <c r="G33" s="1050"/>
      <c r="H33" s="1062">
        <f t="shared" si="1"/>
        <v>1088.4321210000003</v>
      </c>
      <c r="I33" s="1050"/>
      <c r="J33" s="1062">
        <f>J27-J9</f>
        <v>1087.0149210000006</v>
      </c>
      <c r="K33" s="1050"/>
      <c r="L33" s="1062">
        <f>L27-L9</f>
        <v>720.9229210000002</v>
      </c>
      <c r="M33" s="1050"/>
      <c r="N33" s="1062">
        <f>N27-N9</f>
        <v>465.50592100000028</v>
      </c>
      <c r="O33" s="1050"/>
      <c r="P33" s="1062">
        <f>P27-P9</f>
        <v>652.2347032416817</v>
      </c>
      <c r="Q33" s="1050"/>
      <c r="R33" s="1062">
        <f>R27-R9</f>
        <v>1321.2897032416815</v>
      </c>
      <c r="S33" s="1050"/>
      <c r="T33" s="1062">
        <f>T27-T9</f>
        <v>2401.5977032416818</v>
      </c>
      <c r="U33" s="1050"/>
      <c r="V33" s="1062">
        <f>V27-V9</f>
        <v>2116</v>
      </c>
      <c r="W33" s="1064"/>
      <c r="X33" s="1062">
        <f>X27-X9</f>
        <v>1663</v>
      </c>
      <c r="Y33" s="1064"/>
      <c r="Z33" s="1062">
        <f>Z27-Z9</f>
        <v>1712</v>
      </c>
      <c r="AA33" s="1064"/>
      <c r="AB33" s="1062">
        <f>AB27-AB9</f>
        <v>1881</v>
      </c>
      <c r="AC33" s="1064"/>
      <c r="AD33" s="1062">
        <f>AD27-AD9</f>
        <v>1994</v>
      </c>
      <c r="AE33" s="1064"/>
      <c r="AF33" s="1062">
        <f>AF27-AF9</f>
        <v>2346</v>
      </c>
      <c r="AG33" s="1064"/>
      <c r="AH33" s="1062">
        <f>AH27-AH9</f>
        <v>2718</v>
      </c>
      <c r="AI33" s="1064"/>
      <c r="AJ33" s="1062">
        <f>AJ27-AJ9</f>
        <v>1890</v>
      </c>
      <c r="AK33" s="1064"/>
      <c r="AL33" s="1062">
        <f>AL27-AL9</f>
        <v>1821</v>
      </c>
    </row>
    <row r="34" spans="1:38" x14ac:dyDescent="0.2">
      <c r="A34" s="1050" t="s">
        <v>94</v>
      </c>
      <c r="B34" s="1050" t="s">
        <v>80</v>
      </c>
      <c r="C34" s="1050"/>
      <c r="D34" s="1062"/>
      <c r="E34" s="1050"/>
      <c r="F34" s="1062">
        <f t="shared" si="1"/>
        <v>1104.0419999999997</v>
      </c>
      <c r="G34" s="1050"/>
      <c r="H34" s="1062">
        <f t="shared" si="1"/>
        <v>1277.6851210000002</v>
      </c>
      <c r="I34" s="1050"/>
      <c r="J34" s="1062">
        <f>J28-J10</f>
        <v>1171.7209210000005</v>
      </c>
      <c r="K34" s="1050"/>
      <c r="L34" s="1062">
        <f>L28-L10</f>
        <v>795.25592100000051</v>
      </c>
      <c r="M34" s="1050"/>
      <c r="N34" s="1062">
        <f>N28-N10</f>
        <v>728.03661340301335</v>
      </c>
      <c r="O34" s="1050"/>
      <c r="P34" s="1062">
        <f>P28-P10</f>
        <v>522.59570324168135</v>
      </c>
      <c r="Q34" s="1050"/>
      <c r="R34" s="1062">
        <f>R28-R10</f>
        <v>1892.6297032416815</v>
      </c>
      <c r="S34" s="1050"/>
      <c r="T34" s="1062">
        <f>T28-T10</f>
        <v>2571.5807032416815</v>
      </c>
      <c r="U34" s="1050"/>
      <c r="V34" s="1062">
        <f>V28-V10</f>
        <v>2131</v>
      </c>
      <c r="W34" s="1064"/>
      <c r="X34" s="1062">
        <f>X28-X10</f>
        <v>1766</v>
      </c>
      <c r="Y34" s="1064"/>
      <c r="Z34" s="1062">
        <f>Z28-Z10</f>
        <v>1859</v>
      </c>
      <c r="AA34" s="1064"/>
      <c r="AB34" s="1062">
        <f>AB28-AB10</f>
        <v>1977</v>
      </c>
      <c r="AC34" s="1064"/>
      <c r="AD34" s="1062">
        <f>AD28-AD10</f>
        <v>2171</v>
      </c>
      <c r="AE34" s="1064"/>
      <c r="AF34" s="1062">
        <f>AF28-AF10</f>
        <v>2694</v>
      </c>
      <c r="AG34" s="1064"/>
      <c r="AH34" s="1062">
        <f>AH28-AH10</f>
        <v>1988</v>
      </c>
      <c r="AI34" s="1064"/>
      <c r="AJ34" s="1062">
        <f>AJ28-AJ10</f>
        <v>2247</v>
      </c>
      <c r="AK34" s="1064"/>
      <c r="AL34" s="1062">
        <f>AL28-AL10</f>
        <v>2066</v>
      </c>
    </row>
    <row r="35" spans="1:38" x14ac:dyDescent="0.2">
      <c r="A35" s="1050" t="s">
        <v>95</v>
      </c>
      <c r="B35" s="1050" t="s">
        <v>81</v>
      </c>
      <c r="C35" s="1050"/>
      <c r="D35" s="1062">
        <f>D29-D11</f>
        <v>1086.2781210000001</v>
      </c>
      <c r="E35" s="1050"/>
      <c r="F35" s="1062">
        <f t="shared" si="1"/>
        <v>1075.4841210000004</v>
      </c>
      <c r="G35" s="1050"/>
      <c r="H35" s="1062">
        <f t="shared" si="1"/>
        <v>1225.8639210000001</v>
      </c>
      <c r="I35" s="1050"/>
      <c r="J35" s="1062">
        <f>J29-J11</f>
        <v>893.43592100000058</v>
      </c>
      <c r="K35" s="1050"/>
      <c r="L35" s="1062">
        <f>L29-L11</f>
        <v>669.43292100000019</v>
      </c>
      <c r="M35" s="1050"/>
      <c r="N35" s="1062">
        <f>N29-N11</f>
        <v>471.84570324168135</v>
      </c>
      <c r="O35" s="1050"/>
      <c r="P35" s="1062">
        <f>P29-P11</f>
        <v>228.00070324168161</v>
      </c>
      <c r="Q35" s="1050"/>
      <c r="R35" s="1062">
        <f>R29-R11</f>
        <v>2139.5977032416818</v>
      </c>
      <c r="S35" s="1050"/>
      <c r="T35" s="1062">
        <f>T29-T11</f>
        <v>2166.3807032416817</v>
      </c>
      <c r="U35" s="1050"/>
      <c r="V35" s="1062">
        <f>V29-V11</f>
        <v>1818</v>
      </c>
      <c r="W35" s="1064"/>
      <c r="X35" s="1062">
        <f>X29-X11</f>
        <v>1275</v>
      </c>
      <c r="Y35" s="1064"/>
      <c r="Z35" s="1062">
        <f>Z29-Z11</f>
        <v>1770</v>
      </c>
      <c r="AA35" s="1064"/>
      <c r="AB35" s="1062">
        <f>AB29-AB11</f>
        <v>1845.6997032416812</v>
      </c>
      <c r="AC35" s="1064"/>
      <c r="AD35" s="1062">
        <f>AD29-AD11</f>
        <v>1919</v>
      </c>
      <c r="AE35" s="1064"/>
      <c r="AF35" s="1062">
        <f>AF29-AF11</f>
        <v>2304</v>
      </c>
      <c r="AG35" s="1064"/>
      <c r="AH35" s="1062">
        <f>AH29-AH11</f>
        <v>2210</v>
      </c>
      <c r="AI35" s="1064"/>
      <c r="AJ35" s="1062">
        <f>AJ29-AJ11</f>
        <v>1767</v>
      </c>
      <c r="AK35" s="1064"/>
      <c r="AL35" s="1062">
        <f>AL29-AL11</f>
        <v>1555.6497032416812</v>
      </c>
    </row>
    <row r="36" spans="1:38" x14ac:dyDescent="0.2">
      <c r="A36" s="1050"/>
      <c r="B36" s="1050"/>
      <c r="C36" s="1050"/>
      <c r="D36" s="1050"/>
      <c r="E36" s="1050"/>
      <c r="F36" s="1050"/>
      <c r="G36" s="1050"/>
      <c r="H36" s="1050"/>
      <c r="I36" s="1050"/>
      <c r="J36" s="1050"/>
      <c r="K36" s="1050"/>
      <c r="L36" s="1050"/>
      <c r="M36" s="1050"/>
      <c r="N36" s="1050"/>
      <c r="O36" s="1050"/>
      <c r="P36" s="1050"/>
      <c r="Q36" s="1050"/>
      <c r="R36" s="1050"/>
      <c r="S36" s="1050"/>
      <c r="T36" s="1050"/>
      <c r="U36" s="1050"/>
      <c r="V36" s="1050"/>
      <c r="W36" s="1050"/>
      <c r="X36" s="1050"/>
      <c r="Y36" s="1050"/>
      <c r="Z36" s="1050"/>
      <c r="AA36" s="1050"/>
      <c r="AB36" s="1050"/>
      <c r="AC36" s="1050"/>
      <c r="AD36" s="1050"/>
      <c r="AE36" s="1050"/>
      <c r="AF36" s="1050"/>
      <c r="AG36" s="1050"/>
      <c r="AH36" s="1050"/>
      <c r="AI36" s="1050"/>
      <c r="AJ36" s="1050"/>
      <c r="AK36" s="1050"/>
      <c r="AL36" s="1050"/>
    </row>
    <row r="37" spans="1:38" x14ac:dyDescent="0.2">
      <c r="A37" s="1055" t="s">
        <v>102</v>
      </c>
      <c r="B37" s="1055"/>
      <c r="C37" s="1055"/>
      <c r="D37" s="1055"/>
      <c r="E37" s="1055"/>
      <c r="F37" s="1055"/>
      <c r="G37" s="1055"/>
      <c r="H37" s="1055"/>
      <c r="I37" s="1055"/>
      <c r="J37" s="1055"/>
      <c r="K37" s="1055"/>
      <c r="L37" s="1055"/>
      <c r="M37" s="1055"/>
      <c r="N37" s="1055"/>
      <c r="O37" s="1055"/>
      <c r="P37" s="1055"/>
      <c r="Q37" s="1055"/>
      <c r="R37" s="1055"/>
      <c r="S37" s="1055"/>
      <c r="T37" s="1055"/>
      <c r="U37" s="1055"/>
      <c r="V37" s="1055"/>
      <c r="W37" s="1055"/>
      <c r="X37" s="1055"/>
      <c r="Y37" s="1055"/>
      <c r="Z37" s="1055"/>
      <c r="AA37" s="1055"/>
      <c r="AB37" s="1055"/>
      <c r="AC37" s="1055"/>
      <c r="AD37" s="1055"/>
      <c r="AE37" s="1055"/>
      <c r="AF37" s="1055"/>
      <c r="AG37" s="1055"/>
      <c r="AH37" s="1055"/>
      <c r="AI37" s="1055"/>
      <c r="AJ37" s="1055"/>
      <c r="AK37" s="1055"/>
      <c r="AL37" s="1055"/>
    </row>
    <row r="38" spans="1:38" x14ac:dyDescent="0.2">
      <c r="A38" s="1050" t="s">
        <v>92</v>
      </c>
      <c r="B38" s="1050" t="s">
        <v>78</v>
      </c>
      <c r="C38" s="1050"/>
      <c r="D38" s="1059">
        <v>1159.3429999999998</v>
      </c>
      <c r="E38" s="1056"/>
      <c r="F38" s="1059">
        <v>1245.085</v>
      </c>
      <c r="G38" s="1056"/>
      <c r="H38" s="1059">
        <v>1282.0619999999999</v>
      </c>
      <c r="I38" s="1056"/>
      <c r="J38" s="1059">
        <v>1393.3809999999999</v>
      </c>
      <c r="K38" s="1056"/>
      <c r="L38" s="1059">
        <v>1731.63</v>
      </c>
      <c r="M38" s="1056"/>
      <c r="N38" s="1059">
        <v>1892.9519999999998</v>
      </c>
      <c r="O38" s="1056"/>
      <c r="P38" s="1059">
        <v>2028.4240000000002</v>
      </c>
      <c r="Q38" s="1056"/>
      <c r="R38" s="1059">
        <v>2319.2350000000001</v>
      </c>
      <c r="S38" s="1056"/>
      <c r="T38" s="1059">
        <v>1058</v>
      </c>
      <c r="U38" s="1056"/>
      <c r="V38" s="1096">
        <v>1274</v>
      </c>
      <c r="W38" s="1097"/>
      <c r="X38" s="1096">
        <v>1694</v>
      </c>
      <c r="Y38" s="1097"/>
      <c r="Z38" s="1096">
        <v>2134</v>
      </c>
      <c r="AA38" s="1097"/>
      <c r="AB38" s="1096">
        <v>2083</v>
      </c>
      <c r="AC38" s="1097"/>
      <c r="AD38" s="1096">
        <v>1888</v>
      </c>
      <c r="AE38" s="1097"/>
      <c r="AF38" s="1096">
        <v>2036</v>
      </c>
      <c r="AG38" s="1097"/>
      <c r="AH38" s="1096">
        <v>2555</v>
      </c>
      <c r="AI38" s="1097"/>
      <c r="AJ38" s="1096">
        <v>875</v>
      </c>
      <c r="AK38" s="1097"/>
      <c r="AL38" s="1096">
        <v>677</v>
      </c>
    </row>
    <row r="39" spans="1:38" x14ac:dyDescent="0.2">
      <c r="A39" s="1050" t="s">
        <v>93</v>
      </c>
      <c r="B39" s="1050" t="s">
        <v>79</v>
      </c>
      <c r="C39" s="1050"/>
      <c r="D39" s="1059">
        <v>1153.931</v>
      </c>
      <c r="E39" s="1056"/>
      <c r="F39" s="1059">
        <v>1270.4159999999999</v>
      </c>
      <c r="G39" s="1056"/>
      <c r="H39" s="1059">
        <v>1312.4739999999999</v>
      </c>
      <c r="I39" s="1056"/>
      <c r="J39" s="1059">
        <v>1446.3089999999997</v>
      </c>
      <c r="K39" s="1056"/>
      <c r="L39" s="1059">
        <v>1871.44</v>
      </c>
      <c r="M39" s="1056"/>
      <c r="N39" s="1059">
        <v>2018.682</v>
      </c>
      <c r="O39" s="1056"/>
      <c r="P39" s="1059">
        <v>1844.35</v>
      </c>
      <c r="Q39" s="1056"/>
      <c r="R39" s="1059">
        <v>1905.9670000000001</v>
      </c>
      <c r="S39" s="1056"/>
      <c r="T39" s="1059">
        <v>1129</v>
      </c>
      <c r="U39" s="1056"/>
      <c r="V39" s="1096">
        <v>1357</v>
      </c>
      <c r="W39" s="1097"/>
      <c r="X39" s="1096">
        <v>1810</v>
      </c>
      <c r="Y39" s="1097"/>
      <c r="Z39" s="1096">
        <v>2003</v>
      </c>
      <c r="AA39" s="1097"/>
      <c r="AB39" s="1096">
        <v>1836</v>
      </c>
      <c r="AC39" s="1097"/>
      <c r="AD39" s="1096">
        <f>1762+313</f>
        <v>2075</v>
      </c>
      <c r="AE39" s="1097"/>
      <c r="AF39" s="1096">
        <v>2101</v>
      </c>
      <c r="AG39" s="1097"/>
      <c r="AH39" s="1096">
        <v>2491</v>
      </c>
      <c r="AI39" s="1097"/>
      <c r="AJ39" s="1096">
        <v>937</v>
      </c>
      <c r="AK39" s="1097"/>
      <c r="AL39" s="1096">
        <v>785</v>
      </c>
    </row>
    <row r="40" spans="1:38" x14ac:dyDescent="0.2">
      <c r="A40" s="1050" t="s">
        <v>94</v>
      </c>
      <c r="B40" s="1050" t="s">
        <v>80</v>
      </c>
      <c r="C40" s="1050"/>
      <c r="D40" s="1059">
        <v>1215.777</v>
      </c>
      <c r="E40" s="1056"/>
      <c r="F40" s="1059">
        <v>1273.79</v>
      </c>
      <c r="G40" s="1056"/>
      <c r="H40" s="1059">
        <v>1321.5419999999999</v>
      </c>
      <c r="I40" s="1056"/>
      <c r="J40" s="1059">
        <v>1501.2939999999999</v>
      </c>
      <c r="K40" s="1056"/>
      <c r="L40" s="1059">
        <v>1870.3980000000001</v>
      </c>
      <c r="M40" s="1056"/>
      <c r="N40" s="1059">
        <v>1949.1009999999999</v>
      </c>
      <c r="O40" s="1056"/>
      <c r="P40" s="1059">
        <v>1961.605</v>
      </c>
      <c r="Q40" s="1056"/>
      <c r="R40" s="1059">
        <v>1308.037</v>
      </c>
      <c r="S40" s="1056"/>
      <c r="T40" s="1059">
        <v>1162</v>
      </c>
      <c r="U40" s="1056"/>
      <c r="V40" s="1096">
        <v>1430</v>
      </c>
      <c r="W40" s="1097"/>
      <c r="X40" s="1096">
        <v>1871</v>
      </c>
      <c r="Y40" s="1097"/>
      <c r="Z40" s="1096">
        <v>1896</v>
      </c>
      <c r="AA40" s="1097"/>
      <c r="AB40" s="1096">
        <v>1884</v>
      </c>
      <c r="AC40" s="1097"/>
      <c r="AD40" s="1096">
        <v>1988</v>
      </c>
      <c r="AE40" s="1097"/>
      <c r="AF40" s="1096">
        <v>2274</v>
      </c>
      <c r="AG40" s="1097"/>
      <c r="AH40" s="1096">
        <v>1408</v>
      </c>
      <c r="AI40" s="1097"/>
      <c r="AJ40" s="1096">
        <v>860</v>
      </c>
      <c r="AK40" s="1097"/>
      <c r="AL40" s="1096">
        <v>854</v>
      </c>
    </row>
    <row r="41" spans="1:38" x14ac:dyDescent="0.2">
      <c r="A41" s="1050" t="s">
        <v>95</v>
      </c>
      <c r="B41" s="1050" t="s">
        <v>81</v>
      </c>
      <c r="C41" s="1050"/>
      <c r="D41" s="1059">
        <v>1229.694</v>
      </c>
      <c r="E41" s="1056"/>
      <c r="F41" s="1059">
        <v>1314.4880000000001</v>
      </c>
      <c r="G41" s="1056"/>
      <c r="H41" s="1059">
        <v>1372.864</v>
      </c>
      <c r="I41" s="1056"/>
      <c r="J41" s="1059">
        <v>1634.009</v>
      </c>
      <c r="K41" s="1056"/>
      <c r="L41" s="1059">
        <v>1788.9940000000001</v>
      </c>
      <c r="M41" s="1056"/>
      <c r="N41" s="1059">
        <v>2092.681</v>
      </c>
      <c r="O41" s="1056"/>
      <c r="P41" s="1059">
        <v>2168.5210000000002</v>
      </c>
      <c r="Q41" s="1056"/>
      <c r="R41" s="1059">
        <v>1115</v>
      </c>
      <c r="S41" s="1056"/>
      <c r="T41" s="1059">
        <v>1210</v>
      </c>
      <c r="U41" s="1056"/>
      <c r="V41" s="1096">
        <v>1572</v>
      </c>
      <c r="W41" s="1097"/>
      <c r="X41" s="1096">
        <v>2021</v>
      </c>
      <c r="Y41" s="1097"/>
      <c r="Z41" s="1096">
        <v>1956</v>
      </c>
      <c r="AA41" s="1097"/>
      <c r="AB41" s="1096">
        <f>bal!AI39</f>
        <v>1913.3</v>
      </c>
      <c r="AC41" s="1097"/>
      <c r="AD41" s="1096">
        <f>bal!AJ39</f>
        <v>2080.3000000000002</v>
      </c>
      <c r="AE41" s="1097"/>
      <c r="AF41" s="1098">
        <v>2440</v>
      </c>
      <c r="AG41" s="1097"/>
      <c r="AH41" s="1096">
        <v>871</v>
      </c>
      <c r="AI41" s="1097"/>
      <c r="AJ41" s="1096">
        <v>871</v>
      </c>
      <c r="AK41" s="1097"/>
      <c r="AL41" s="1096">
        <f>bal!AN39</f>
        <v>977</v>
      </c>
    </row>
    <row r="42" spans="1:38" x14ac:dyDescent="0.2">
      <c r="A42" s="1050"/>
      <c r="B42" s="1050"/>
      <c r="C42" s="1050"/>
      <c r="D42" s="1050"/>
      <c r="E42" s="1050"/>
      <c r="F42" s="1050"/>
      <c r="G42" s="1050"/>
      <c r="H42" s="1050"/>
      <c r="I42" s="1050"/>
      <c r="J42" s="1050"/>
      <c r="K42" s="1050"/>
      <c r="L42" s="1050"/>
      <c r="M42" s="1050"/>
      <c r="N42" s="1050"/>
      <c r="O42" s="1050"/>
      <c r="P42" s="1050"/>
      <c r="Q42" s="1050"/>
      <c r="R42" s="1050"/>
      <c r="S42" s="1050"/>
      <c r="T42" s="1050"/>
      <c r="U42" s="1050"/>
      <c r="V42" s="1050"/>
      <c r="W42" s="1050"/>
      <c r="X42" s="1050"/>
      <c r="Y42" s="1050"/>
      <c r="Z42" s="1050"/>
      <c r="AA42" s="1050"/>
      <c r="AB42" s="1050"/>
      <c r="AC42" s="1050"/>
      <c r="AD42" s="1050"/>
      <c r="AE42" s="1050"/>
      <c r="AF42" s="1050"/>
      <c r="AG42" s="1050"/>
      <c r="AH42" s="1050"/>
      <c r="AI42" s="1050"/>
      <c r="AJ42" s="1050"/>
      <c r="AK42" s="1050"/>
      <c r="AL42" s="1050"/>
    </row>
    <row r="43" spans="1:38" x14ac:dyDescent="0.2">
      <c r="A43" s="1055" t="s">
        <v>103</v>
      </c>
      <c r="B43" s="1061"/>
      <c r="C43" s="1061"/>
      <c r="D43" s="1061"/>
      <c r="E43" s="1061"/>
      <c r="F43" s="1061"/>
      <c r="G43" s="1061"/>
      <c r="H43" s="1061"/>
      <c r="I43" s="1061"/>
      <c r="J43" s="1061"/>
      <c r="K43" s="1061"/>
      <c r="L43" s="1061"/>
      <c r="M43" s="1061"/>
      <c r="N43" s="1061"/>
      <c r="O43" s="1061"/>
      <c r="P43" s="1061"/>
      <c r="Q43" s="1061"/>
      <c r="R43" s="1061"/>
      <c r="S43" s="1061"/>
      <c r="T43" s="1061"/>
      <c r="U43" s="1061"/>
      <c r="V43" s="1061"/>
      <c r="W43" s="1061"/>
      <c r="X43" s="1061"/>
      <c r="Y43" s="1061"/>
      <c r="Z43" s="1061"/>
      <c r="AA43" s="1061"/>
      <c r="AB43" s="1061"/>
      <c r="AC43" s="1061"/>
      <c r="AD43" s="1061"/>
      <c r="AE43" s="1061"/>
      <c r="AF43" s="1061"/>
      <c r="AG43" s="1061"/>
      <c r="AH43" s="1061"/>
      <c r="AI43" s="1061"/>
      <c r="AJ43" s="1061"/>
      <c r="AK43" s="1061"/>
      <c r="AL43" s="1061"/>
    </row>
    <row r="44" spans="1:38" x14ac:dyDescent="0.2">
      <c r="A44" s="1050" t="s">
        <v>92</v>
      </c>
      <c r="B44" s="1050" t="s">
        <v>78</v>
      </c>
      <c r="C44" s="1050"/>
      <c r="D44" s="1062"/>
      <c r="E44" s="1050"/>
      <c r="F44" s="1062">
        <f>F38+F26</f>
        <v>2367.3110000000001</v>
      </c>
      <c r="G44" s="1050"/>
      <c r="H44" s="1062">
        <f>H38+H26</f>
        <v>2632.9970000000003</v>
      </c>
      <c r="I44" s="1063"/>
      <c r="J44" s="1062">
        <f>J38+J26</f>
        <v>2740.2579999999998</v>
      </c>
      <c r="K44" s="1063"/>
      <c r="L44" s="1062">
        <f>L38+L26</f>
        <v>2762.415</v>
      </c>
      <c r="M44" s="1050"/>
      <c r="N44" s="1062">
        <f>N38+N26</f>
        <v>2921.585</v>
      </c>
      <c r="O44" s="1063"/>
      <c r="P44" s="1062">
        <f>P38+P26</f>
        <v>2960.009</v>
      </c>
      <c r="Q44" s="1063"/>
      <c r="R44" s="1062">
        <f>R38+R26</f>
        <v>3801.6350000000002</v>
      </c>
      <c r="S44" s="1050"/>
      <c r="T44" s="1062">
        <f>T38+T26</f>
        <v>3553</v>
      </c>
      <c r="U44" s="1050"/>
      <c r="V44" s="1062">
        <f>V38+V26</f>
        <v>3651</v>
      </c>
      <c r="W44" s="1063"/>
      <c r="X44" s="1062">
        <f>X38+X26</f>
        <v>4456</v>
      </c>
      <c r="Y44" s="1063"/>
      <c r="Z44" s="1062">
        <f>Z38+Z26</f>
        <v>4916</v>
      </c>
      <c r="AA44" s="1063"/>
      <c r="AB44" s="1062">
        <f>AB38+AB26</f>
        <v>5226</v>
      </c>
      <c r="AC44" s="1063"/>
      <c r="AD44" s="1062">
        <f>AD38+AD26</f>
        <v>5014</v>
      </c>
      <c r="AE44" s="1063"/>
      <c r="AF44" s="1062">
        <f>AF38+AF26</f>
        <v>5153</v>
      </c>
      <c r="AG44" s="1063"/>
      <c r="AH44" s="1062">
        <f>AH38+AH26</f>
        <v>5701</v>
      </c>
      <c r="AI44" s="1063"/>
      <c r="AJ44" s="1062">
        <f>AJ38+AJ26</f>
        <v>3651</v>
      </c>
      <c r="AK44" s="1063"/>
      <c r="AL44" s="1062">
        <f>AL38+AL26</f>
        <v>3419</v>
      </c>
    </row>
    <row r="45" spans="1:38" x14ac:dyDescent="0.2">
      <c r="A45" s="1050" t="s">
        <v>93</v>
      </c>
      <c r="B45" s="1050" t="s">
        <v>79</v>
      </c>
      <c r="C45" s="1050"/>
      <c r="D45" s="1062"/>
      <c r="E45" s="1050"/>
      <c r="F45" s="1062">
        <f>F39+F27</f>
        <v>2401.9359999999997</v>
      </c>
      <c r="G45" s="1050"/>
      <c r="H45" s="1062">
        <f>H39+H27</f>
        <v>2661.04</v>
      </c>
      <c r="I45" s="1064"/>
      <c r="J45" s="1062">
        <f>J39+J27</f>
        <v>2737.4659999999999</v>
      </c>
      <c r="K45" s="1064"/>
      <c r="L45" s="1062">
        <f>L39+L27</f>
        <v>2901.7960000000003</v>
      </c>
      <c r="M45" s="1050"/>
      <c r="N45" s="1062">
        <f>N39+N27</f>
        <v>2947.114</v>
      </c>
      <c r="O45" s="1064"/>
      <c r="P45" s="1062">
        <f>P39+P27</f>
        <v>2776.674</v>
      </c>
      <c r="Q45" s="1064"/>
      <c r="R45" s="1062">
        <f>R39+R27</f>
        <v>3406.223</v>
      </c>
      <c r="S45" s="1050"/>
      <c r="T45" s="1062">
        <f>T39+T27</f>
        <v>3623</v>
      </c>
      <c r="U45" s="1050"/>
      <c r="V45" s="1062">
        <f>V39+V27</f>
        <v>3992</v>
      </c>
      <c r="W45" s="1064"/>
      <c r="X45" s="1062">
        <f>X39+X27</f>
        <v>4610</v>
      </c>
      <c r="Y45" s="1064"/>
      <c r="Z45" s="1062">
        <f>Z39+Z27</f>
        <v>4805</v>
      </c>
      <c r="AA45" s="1064"/>
      <c r="AB45" s="1062">
        <f>AB39+AB27</f>
        <v>4975</v>
      </c>
      <c r="AC45" s="1064"/>
      <c r="AD45" s="1062">
        <f>AD39+AD27</f>
        <v>5197</v>
      </c>
      <c r="AE45" s="1064"/>
      <c r="AF45" s="1062">
        <f>AF39+AF27</f>
        <v>5219</v>
      </c>
      <c r="AG45" s="1064"/>
      <c r="AH45" s="1062">
        <f>AH39+AH27</f>
        <v>5632</v>
      </c>
      <c r="AI45" s="1064"/>
      <c r="AJ45" s="1062">
        <f>AJ39+AJ27</f>
        <v>3719</v>
      </c>
      <c r="AK45" s="1064"/>
      <c r="AL45" s="1062">
        <f>AL39+AL27</f>
        <v>3525</v>
      </c>
    </row>
    <row r="46" spans="1:38" x14ac:dyDescent="0.2">
      <c r="A46" s="1050" t="s">
        <v>94</v>
      </c>
      <c r="B46" s="1050" t="s">
        <v>80</v>
      </c>
      <c r="C46" s="1050"/>
      <c r="D46" s="1062"/>
      <c r="E46" s="1050"/>
      <c r="F46" s="1062">
        <f t="shared" ref="D46:F47" si="2">F40+F28</f>
        <v>2398.1970000000001</v>
      </c>
      <c r="G46" s="1050"/>
      <c r="H46" s="1062">
        <f>H40+H28</f>
        <v>2669.3509999999997</v>
      </c>
      <c r="I46" s="1064"/>
      <c r="J46" s="1062">
        <f>J40+J28</f>
        <v>2732.895</v>
      </c>
      <c r="K46" s="1064"/>
      <c r="L46" s="1062">
        <f>L40+L28</f>
        <v>2905.8029999999999</v>
      </c>
      <c r="M46" s="1050"/>
      <c r="N46" s="1062">
        <f>N40+N28</f>
        <v>2883.0459999999998</v>
      </c>
      <c r="O46" s="1064"/>
      <c r="P46" s="1062">
        <f>P40+P28</f>
        <v>2692.808</v>
      </c>
      <c r="Q46" s="1064"/>
      <c r="R46" s="1062">
        <f>R40+R28</f>
        <v>3308.4719999999998</v>
      </c>
      <c r="S46" s="1050"/>
      <c r="T46" s="1062">
        <f>T40+T28</f>
        <v>3802</v>
      </c>
      <c r="U46" s="1050"/>
      <c r="V46" s="1062">
        <f>V40+V28</f>
        <v>4045</v>
      </c>
      <c r="W46" s="1064"/>
      <c r="X46" s="1062">
        <f t="shared" ref="X46:Z47" si="3">X40+X28</f>
        <v>4683</v>
      </c>
      <c r="Y46" s="1064"/>
      <c r="Z46" s="1062">
        <f t="shared" si="3"/>
        <v>5212</v>
      </c>
      <c r="AA46" s="1064"/>
      <c r="AB46" s="1062">
        <f>AB40+AB28</f>
        <v>5019</v>
      </c>
      <c r="AC46" s="1064"/>
      <c r="AD46" s="1062">
        <f>AD40+AD28</f>
        <v>5106</v>
      </c>
      <c r="AE46" s="1064"/>
      <c r="AF46" s="1062">
        <f>AF40+AF28</f>
        <v>5401</v>
      </c>
      <c r="AG46" s="1064"/>
      <c r="AH46" s="1062">
        <f>AH40+AH28</f>
        <v>4217</v>
      </c>
      <c r="AI46" s="1064"/>
      <c r="AJ46" s="1062">
        <f>AJ40+AJ28</f>
        <v>3638</v>
      </c>
      <c r="AK46" s="1064"/>
      <c r="AL46" s="1062">
        <f>AL40+AL28</f>
        <v>3592</v>
      </c>
    </row>
    <row r="47" spans="1:38" x14ac:dyDescent="0.2">
      <c r="A47" s="1050" t="s">
        <v>95</v>
      </c>
      <c r="B47" s="1050" t="s">
        <v>81</v>
      </c>
      <c r="C47" s="1050"/>
      <c r="D47" s="1062">
        <f t="shared" si="2"/>
        <v>2341.9899999999998</v>
      </c>
      <c r="E47" s="1062"/>
      <c r="F47" s="1062">
        <f t="shared" si="2"/>
        <v>2743.759</v>
      </c>
      <c r="G47" s="1050"/>
      <c r="H47" s="1062">
        <f>H41+H29</f>
        <v>2723.4589999999998</v>
      </c>
      <c r="I47" s="1064"/>
      <c r="J47" s="1062">
        <f>J41+J29</f>
        <v>2868.2520000000004</v>
      </c>
      <c r="K47" s="1064"/>
      <c r="L47" s="1062">
        <f>L41+L29</f>
        <v>2819.1010000000001</v>
      </c>
      <c r="M47" s="1050"/>
      <c r="N47" s="1062">
        <f>N41+N29</f>
        <v>3027.0749999999998</v>
      </c>
      <c r="O47" s="1064"/>
      <c r="P47" s="1062">
        <f>P41+P29</f>
        <v>2798.973</v>
      </c>
      <c r="Q47" s="1064"/>
      <c r="R47" s="1062">
        <f>R41+R29</f>
        <v>3612</v>
      </c>
      <c r="S47" s="1050"/>
      <c r="T47" s="1062">
        <f>T41+T29</f>
        <v>3448</v>
      </c>
      <c r="U47" s="1050"/>
      <c r="V47" s="1062">
        <f>V41+V29</f>
        <v>4185</v>
      </c>
      <c r="W47" s="1064"/>
      <c r="X47" s="1062">
        <f t="shared" si="3"/>
        <v>4802</v>
      </c>
      <c r="Y47" s="1064"/>
      <c r="Z47" s="1062">
        <f t="shared" si="3"/>
        <v>5603</v>
      </c>
      <c r="AA47" s="1064"/>
      <c r="AB47" s="1062">
        <f>AB41+AB29</f>
        <v>5044.3</v>
      </c>
      <c r="AC47" s="1064"/>
      <c r="AD47" s="1062">
        <f>AD41+AD29</f>
        <v>5193.3</v>
      </c>
      <c r="AE47" s="1064"/>
      <c r="AF47" s="1062">
        <f>AF41+AF29</f>
        <v>5571</v>
      </c>
      <c r="AG47" s="1064"/>
      <c r="AH47" s="1062">
        <f>AH41+AH29</f>
        <v>3676</v>
      </c>
      <c r="AI47" s="1064"/>
      <c r="AJ47" s="1062">
        <f>AJ41+AJ29</f>
        <v>3645</v>
      </c>
      <c r="AK47" s="1064"/>
      <c r="AL47" s="1062">
        <f>AL41+AL29</f>
        <v>3714</v>
      </c>
    </row>
    <row r="48" spans="1:38" x14ac:dyDescent="0.2">
      <c r="A48" s="1050"/>
      <c r="B48" s="1050"/>
      <c r="C48" s="1050"/>
      <c r="D48" s="1062"/>
      <c r="E48" s="1050"/>
      <c r="F48" s="1062"/>
      <c r="G48" s="1050"/>
      <c r="H48" s="1062"/>
      <c r="I48" s="1050"/>
      <c r="J48" s="1062"/>
      <c r="K48" s="1050"/>
      <c r="L48" s="1062"/>
      <c r="M48" s="1050"/>
      <c r="N48" s="1062"/>
      <c r="O48" s="1050"/>
      <c r="P48" s="1062"/>
      <c r="Q48" s="1050"/>
      <c r="R48" s="1062"/>
      <c r="S48" s="1050"/>
      <c r="T48" s="1062"/>
      <c r="U48" s="1050"/>
      <c r="V48" s="1062"/>
      <c r="W48" s="1050"/>
      <c r="X48" s="1062"/>
      <c r="Y48" s="1050"/>
      <c r="Z48" s="1062"/>
      <c r="AA48" s="1050"/>
      <c r="AB48" s="1062"/>
      <c r="AC48" s="1050"/>
      <c r="AD48" s="1062"/>
      <c r="AE48" s="1050"/>
      <c r="AF48" s="1062"/>
      <c r="AG48" s="1050"/>
      <c r="AH48" s="1062"/>
      <c r="AI48" s="1050"/>
      <c r="AJ48" s="1062"/>
      <c r="AK48" s="1050"/>
      <c r="AL48" s="1062"/>
    </row>
    <row r="49" spans="1:38" x14ac:dyDescent="0.2">
      <c r="A49" s="1055" t="s">
        <v>104</v>
      </c>
      <c r="B49" s="1061"/>
      <c r="C49" s="1061"/>
      <c r="D49" s="1061"/>
      <c r="E49" s="1061"/>
      <c r="F49" s="1061"/>
      <c r="G49" s="1061"/>
      <c r="H49" s="1061"/>
      <c r="I49" s="1061"/>
      <c r="J49" s="1061"/>
      <c r="K49" s="1061"/>
      <c r="L49" s="1061"/>
      <c r="M49" s="1061"/>
      <c r="N49" s="1061"/>
      <c r="O49" s="1061"/>
      <c r="P49" s="1061"/>
      <c r="Q49" s="1061"/>
      <c r="R49" s="1061"/>
      <c r="S49" s="1061"/>
      <c r="T49" s="1061"/>
      <c r="U49" s="1061"/>
      <c r="V49" s="1061"/>
      <c r="W49" s="1061"/>
      <c r="X49" s="1061"/>
      <c r="Y49" s="1061"/>
      <c r="Z49" s="1061"/>
      <c r="AA49" s="1061"/>
      <c r="AB49" s="1061"/>
      <c r="AC49" s="1061"/>
      <c r="AD49" s="1061"/>
      <c r="AE49" s="1061"/>
      <c r="AF49" s="1061"/>
      <c r="AG49" s="1061"/>
      <c r="AH49" s="1061"/>
      <c r="AI49" s="1061"/>
      <c r="AJ49" s="1061"/>
      <c r="AK49" s="1061"/>
      <c r="AL49" s="1061"/>
    </row>
    <row r="50" spans="1:38" x14ac:dyDescent="0.2">
      <c r="A50" s="1050" t="s">
        <v>92</v>
      </c>
      <c r="B50" s="1050" t="s">
        <v>78</v>
      </c>
      <c r="C50" s="1050"/>
      <c r="D50" s="1065"/>
      <c r="E50" s="1050"/>
      <c r="F50" s="1065">
        <f>F26/F44</f>
        <v>0.47405093796294617</v>
      </c>
      <c r="G50" s="1050"/>
      <c r="H50" s="1065">
        <f>H26/H44</f>
        <v>0.51307882234579072</v>
      </c>
      <c r="I50" s="1050"/>
      <c r="J50" s="1065">
        <f>J26/J44</f>
        <v>0.49151466759699269</v>
      </c>
      <c r="K50" s="1050"/>
      <c r="L50" s="1065">
        <f>L26/L44</f>
        <v>0.37314632305428397</v>
      </c>
      <c r="M50" s="1050"/>
      <c r="N50" s="1065">
        <f>N26/N44</f>
        <v>0.35208046317324332</v>
      </c>
      <c r="O50" s="1050"/>
      <c r="P50" s="1065">
        <f>P26/P44</f>
        <v>0.31472370523197735</v>
      </c>
      <c r="Q50" s="1050"/>
      <c r="R50" s="1065">
        <f>R26/R44</f>
        <v>0.38993748742317452</v>
      </c>
      <c r="S50" s="1050"/>
      <c r="T50" s="1065">
        <f>T26/T44</f>
        <v>0.70222347312130595</v>
      </c>
      <c r="U50" s="1050"/>
      <c r="V50" s="1065">
        <f>V26/V44</f>
        <v>0.65105450561490008</v>
      </c>
      <c r="W50" s="1050"/>
      <c r="X50" s="1065">
        <f>X26/X44</f>
        <v>0.61983842010771995</v>
      </c>
      <c r="Y50" s="1050"/>
      <c r="Z50" s="1065">
        <f>Z26/Z44</f>
        <v>0.56590724165988604</v>
      </c>
      <c r="AA50" s="1050"/>
      <c r="AB50" s="1065">
        <f>AB26/AB44</f>
        <v>0.60141599693838499</v>
      </c>
      <c r="AC50" s="1050"/>
      <c r="AD50" s="1065">
        <f>AD26/AD44</f>
        <v>0.62345432788193056</v>
      </c>
      <c r="AE50" s="1050"/>
      <c r="AF50" s="1065">
        <f>AF26/AF44</f>
        <v>0.60489035513293232</v>
      </c>
      <c r="AG50" s="1050"/>
      <c r="AH50" s="1065">
        <f>AH26/AH44</f>
        <v>0.55183301175232413</v>
      </c>
      <c r="AI50" s="1050"/>
      <c r="AJ50" s="1065">
        <f>AJ26/AJ44</f>
        <v>0.76033963297726648</v>
      </c>
      <c r="AK50" s="1050"/>
      <c r="AL50" s="1065">
        <f>AL26/AL44</f>
        <v>0.80198888563907578</v>
      </c>
    </row>
    <row r="51" spans="1:38" x14ac:dyDescent="0.2">
      <c r="A51" s="1050" t="s">
        <v>93</v>
      </c>
      <c r="B51" s="1050" t="s">
        <v>79</v>
      </c>
      <c r="C51" s="1050"/>
      <c r="D51" s="1065"/>
      <c r="E51" s="1050"/>
      <c r="F51" s="1065">
        <f>F27/F45</f>
        <v>0.47108665676354411</v>
      </c>
      <c r="G51" s="1050"/>
      <c r="H51" s="1065">
        <f>H27/H45</f>
        <v>0.50678155908967926</v>
      </c>
      <c r="I51" s="1050"/>
      <c r="J51" s="1065">
        <f>J27/J45</f>
        <v>0.47166138319160866</v>
      </c>
      <c r="K51" s="1050"/>
      <c r="L51" s="1065">
        <f>L27/L45</f>
        <v>0.35507527062550226</v>
      </c>
      <c r="M51" s="1050"/>
      <c r="N51" s="1065">
        <f>N27/N45</f>
        <v>0.31503090820375457</v>
      </c>
      <c r="O51" s="1050"/>
      <c r="P51" s="1065">
        <f>P27/P45</f>
        <v>0.33577006159167411</v>
      </c>
      <c r="Q51" s="1050"/>
      <c r="R51" s="1065">
        <f>R27/R45</f>
        <v>0.44044561967904045</v>
      </c>
      <c r="S51" s="1050"/>
      <c r="T51" s="1065">
        <f>T27/T45</f>
        <v>0.68837979574937902</v>
      </c>
      <c r="U51" s="1050"/>
      <c r="V51" s="1065">
        <f>V27/V45</f>
        <v>0.6600701402805611</v>
      </c>
      <c r="W51" s="1050"/>
      <c r="X51" s="1065">
        <f>X27/X45</f>
        <v>0.6073752711496746</v>
      </c>
      <c r="Y51" s="1050"/>
      <c r="Z51" s="1065">
        <f>Z27/Z45</f>
        <v>0.58314255983350671</v>
      </c>
      <c r="AA51" s="1050"/>
      <c r="AB51" s="1065">
        <f>AB27/AB45</f>
        <v>0.63095477386934673</v>
      </c>
      <c r="AC51" s="1050"/>
      <c r="AD51" s="1065">
        <f>AD27/AD45</f>
        <v>0.6007311910717722</v>
      </c>
      <c r="AE51" s="1050"/>
      <c r="AF51" s="1065">
        <f>AF27/AF45</f>
        <v>0.59743245832534964</v>
      </c>
      <c r="AG51" s="1050"/>
      <c r="AH51" s="1065">
        <f>AH27/AH45</f>
        <v>0.55770596590909094</v>
      </c>
      <c r="AI51" s="1050"/>
      <c r="AJ51" s="1065">
        <f>AJ27/AJ45</f>
        <v>0.74805055122344721</v>
      </c>
      <c r="AK51" s="1050"/>
      <c r="AL51" s="1065">
        <f>AL27/AL45</f>
        <v>0.7773049645390071</v>
      </c>
    </row>
    <row r="52" spans="1:38" x14ac:dyDescent="0.2">
      <c r="A52" s="1050" t="s">
        <v>94</v>
      </c>
      <c r="B52" s="1050" t="s">
        <v>80</v>
      </c>
      <c r="C52" s="1050"/>
      <c r="D52" s="1065"/>
      <c r="E52" s="1050"/>
      <c r="F52" s="1065">
        <f>F28/F46</f>
        <v>0.46885514409366696</v>
      </c>
      <c r="G52" s="1050"/>
      <c r="H52" s="1065">
        <f>H28/H46</f>
        <v>0.50492010979447821</v>
      </c>
      <c r="I52" s="1050"/>
      <c r="J52" s="1065">
        <f>J28/J46</f>
        <v>0.45065800186249383</v>
      </c>
      <c r="K52" s="1050"/>
      <c r="L52" s="1065">
        <f>L28/L46</f>
        <v>0.35632319190254813</v>
      </c>
      <c r="M52" s="1050"/>
      <c r="N52" s="1065">
        <f>N28/N46</f>
        <v>0.32394384272744869</v>
      </c>
      <c r="O52" s="1050"/>
      <c r="P52" s="1065">
        <f>P28/P46</f>
        <v>0.27153922596783731</v>
      </c>
      <c r="Q52" s="1050"/>
      <c r="R52" s="1065">
        <f>R28/R46</f>
        <v>0.6046401480804432</v>
      </c>
      <c r="S52" s="1050"/>
      <c r="T52" s="1065">
        <f>T28/T46</f>
        <v>0.6943713834823777</v>
      </c>
      <c r="U52" s="1050"/>
      <c r="V52" s="1065">
        <f>V28/V46</f>
        <v>0.64647713226205195</v>
      </c>
      <c r="W52" s="1050"/>
      <c r="X52" s="1065">
        <f>X28/X46</f>
        <v>0.60046978432628662</v>
      </c>
      <c r="Y52" s="1050"/>
      <c r="Z52" s="1065">
        <f>Z28/Z46</f>
        <v>0.63622409823484272</v>
      </c>
      <c r="AA52" s="1050"/>
      <c r="AB52" s="1065">
        <f>AB28/AB46</f>
        <v>0.62462641960549914</v>
      </c>
      <c r="AC52" s="1050"/>
      <c r="AD52" s="1065">
        <f>AD28/AD46</f>
        <v>0.61065413239326283</v>
      </c>
      <c r="AE52" s="1050"/>
      <c r="AF52" s="1065">
        <f>AF28/AF46</f>
        <v>0.57896685798926129</v>
      </c>
      <c r="AG52" s="1050"/>
      <c r="AH52" s="1065">
        <f>AH28/AH46</f>
        <v>0.66611335072326294</v>
      </c>
      <c r="AI52" s="1050"/>
      <c r="AJ52" s="1065">
        <f>AJ28/AJ46</f>
        <v>0.76360637713029134</v>
      </c>
      <c r="AK52" s="1050"/>
      <c r="AL52" s="1065">
        <f>AL28/AL46</f>
        <v>0.76224944320712695</v>
      </c>
    </row>
    <row r="53" spans="1:38" x14ac:dyDescent="0.2">
      <c r="A53" s="1050" t="s">
        <v>95</v>
      </c>
      <c r="B53" s="1050" t="s">
        <v>81</v>
      </c>
      <c r="C53" s="1050"/>
      <c r="D53" s="1065">
        <f>D29/D47</f>
        <v>0.47493627214462919</v>
      </c>
      <c r="E53" s="1050"/>
      <c r="F53" s="1065">
        <f>F29/F47</f>
        <v>0.52091710678671133</v>
      </c>
      <c r="G53" s="1050"/>
      <c r="H53" s="1065">
        <f>H29/H47</f>
        <v>0.49591163296381552</v>
      </c>
      <c r="I53" s="1050"/>
      <c r="J53" s="1065">
        <f>J29/J47</f>
        <v>0.4303119112267681</v>
      </c>
      <c r="K53" s="1050"/>
      <c r="L53" s="1065">
        <f>L29/L47</f>
        <v>0.36540265850709142</v>
      </c>
      <c r="M53" s="1050"/>
      <c r="N53" s="1065">
        <f>N29/N47</f>
        <v>0.30867884013445324</v>
      </c>
      <c r="O53" s="1050"/>
      <c r="P53" s="1065">
        <f>P29/P47</f>
        <v>0.22524404486931457</v>
      </c>
      <c r="Q53" s="1050"/>
      <c r="R53" s="1065">
        <f>R29/R47</f>
        <v>0.69130675526024365</v>
      </c>
      <c r="S53" s="1050"/>
      <c r="T53" s="1065">
        <f>T29/T47</f>
        <v>0.64907192575406036</v>
      </c>
      <c r="U53" s="1050"/>
      <c r="V53" s="1065">
        <f>V29/V47</f>
        <v>0.62437275985663088</v>
      </c>
      <c r="W53" s="1050"/>
      <c r="X53" s="1065">
        <f>X29/X47</f>
        <v>0.57913369429404415</v>
      </c>
      <c r="Y53" s="1050"/>
      <c r="Z53" s="1065">
        <f>Z29/Z47</f>
        <v>0.6509013028734606</v>
      </c>
      <c r="AA53" s="1065"/>
      <c r="AB53" s="1065">
        <f>AB29/AB47</f>
        <v>0.62070059274825051</v>
      </c>
      <c r="AC53" s="1065"/>
      <c r="AD53" s="1065">
        <f>AD29/AD47</f>
        <v>0.59942618373673773</v>
      </c>
      <c r="AE53" s="1065"/>
      <c r="AF53" s="1065">
        <f>AF29/AF47</f>
        <v>0.56201759109675098</v>
      </c>
      <c r="AG53" s="1065"/>
      <c r="AH53" s="1065">
        <f>AH29/AH47</f>
        <v>0.76305767138193692</v>
      </c>
      <c r="AI53" s="1065"/>
      <c r="AJ53" s="1065">
        <f>AJ29/AJ47</f>
        <v>0.761042524005487</v>
      </c>
      <c r="AK53" s="1065"/>
      <c r="AL53" s="1065">
        <f>AL29/AL47</f>
        <v>0.73694130317716744</v>
      </c>
    </row>
    <row r="54" spans="1:38" x14ac:dyDescent="0.2">
      <c r="A54" s="1050"/>
      <c r="B54" s="1050"/>
      <c r="C54" s="1050"/>
      <c r="D54" s="1050"/>
      <c r="E54" s="1050"/>
      <c r="F54" s="1050"/>
      <c r="G54" s="1050"/>
      <c r="H54" s="1050"/>
      <c r="I54" s="1050"/>
      <c r="J54" s="1050"/>
      <c r="K54" s="1050"/>
      <c r="L54" s="1050"/>
      <c r="M54" s="1050"/>
      <c r="N54" s="1050"/>
      <c r="O54" s="1050"/>
      <c r="P54" s="1050"/>
      <c r="Q54" s="1050"/>
      <c r="R54" s="1050"/>
      <c r="S54" s="1050"/>
      <c r="T54" s="1050"/>
      <c r="U54" s="1050"/>
      <c r="V54" s="1050"/>
      <c r="W54" s="1050"/>
      <c r="X54" s="1050"/>
      <c r="Y54" s="1050"/>
      <c r="Z54" s="1050"/>
      <c r="AA54" s="1050"/>
      <c r="AB54" s="1050"/>
      <c r="AC54" s="1050"/>
      <c r="AD54" s="1050"/>
      <c r="AE54" s="1050"/>
      <c r="AF54" s="1050"/>
      <c r="AG54" s="1050"/>
      <c r="AH54" s="1050"/>
      <c r="AI54" s="1050"/>
      <c r="AJ54" s="1050"/>
      <c r="AK54" s="1050"/>
      <c r="AL54" s="1050"/>
    </row>
    <row r="55" spans="1:38" x14ac:dyDescent="0.2">
      <c r="A55" s="1055" t="s">
        <v>105</v>
      </c>
      <c r="B55" s="1061"/>
      <c r="C55" s="1061"/>
      <c r="D55" s="1061"/>
      <c r="E55" s="1061"/>
      <c r="F55" s="1061"/>
      <c r="G55" s="1061"/>
      <c r="H55" s="1061"/>
      <c r="I55" s="1061"/>
      <c r="J55" s="1061"/>
      <c r="K55" s="1061"/>
      <c r="L55" s="1061"/>
      <c r="M55" s="1061"/>
      <c r="N55" s="1061"/>
      <c r="O55" s="1061"/>
      <c r="P55" s="1061"/>
      <c r="Q55" s="1061"/>
      <c r="R55" s="1061"/>
      <c r="S55" s="1061"/>
      <c r="T55" s="1061"/>
      <c r="U55" s="1061"/>
      <c r="V55" s="1061"/>
      <c r="W55" s="1061"/>
      <c r="X55" s="1061"/>
      <c r="Y55" s="1061"/>
      <c r="Z55" s="1061"/>
      <c r="AA55" s="1061"/>
      <c r="AB55" s="1061"/>
      <c r="AC55" s="1061"/>
      <c r="AD55" s="1061"/>
      <c r="AE55" s="1061"/>
      <c r="AF55" s="1061"/>
      <c r="AG55" s="1061"/>
      <c r="AH55" s="1061"/>
      <c r="AI55" s="1061"/>
      <c r="AJ55" s="1061"/>
      <c r="AK55" s="1061"/>
      <c r="AL55" s="1061"/>
    </row>
    <row r="56" spans="1:38" x14ac:dyDescent="0.2">
      <c r="A56" s="1050" t="s">
        <v>92</v>
      </c>
      <c r="B56" s="1050" t="s">
        <v>78</v>
      </c>
      <c r="C56" s="1050"/>
      <c r="D56" s="1066"/>
      <c r="E56" s="1050"/>
      <c r="F56" s="1066">
        <f>F32/F44</f>
        <v>0.46640851159818036</v>
      </c>
      <c r="G56" s="1050"/>
      <c r="H56" s="1066">
        <f>H32/H44</f>
        <v>0.42424359807474149</v>
      </c>
      <c r="I56" s="1050"/>
      <c r="J56" s="1066">
        <f>J32/J44</f>
        <v>0.46671295950965214</v>
      </c>
      <c r="K56" s="1050"/>
      <c r="L56" s="1066">
        <f>L32/L44</f>
        <v>0.31703959072043847</v>
      </c>
      <c r="M56" s="1050"/>
      <c r="N56" s="1066">
        <f>N32/N44</f>
        <v>0.244006907551894</v>
      </c>
      <c r="O56" s="1050"/>
      <c r="P56" s="1066">
        <f>P32/P44</f>
        <v>0.22647454897660152</v>
      </c>
      <c r="Q56" s="1050"/>
      <c r="R56" s="1066">
        <f>R32/R44</f>
        <v>0.19409114847734762</v>
      </c>
      <c r="S56" s="1050"/>
      <c r="T56" s="1066">
        <f>T32/T44</f>
        <v>0.6686174228093672</v>
      </c>
      <c r="U56" s="1050"/>
      <c r="V56" s="1066">
        <f>V32/V44</f>
        <v>0.6296904957545878</v>
      </c>
      <c r="W56" s="1067"/>
      <c r="X56" s="1066">
        <f>X32/X44</f>
        <v>0.3864452423698384</v>
      </c>
      <c r="Y56" s="1067"/>
      <c r="Z56" s="1066">
        <f>Z32/Z44</f>
        <v>0.27441008950366153</v>
      </c>
      <c r="AA56" s="1067"/>
      <c r="AB56" s="1066">
        <f>AB32/AB44</f>
        <v>0.28626100267891313</v>
      </c>
      <c r="AC56" s="1067"/>
      <c r="AD56" s="1066">
        <f>AD32/AD44</f>
        <v>0.38611886717191862</v>
      </c>
      <c r="AE56" s="1067"/>
      <c r="AF56" s="1066">
        <f>AF32/AF44</f>
        <v>0.40791771783427128</v>
      </c>
      <c r="AG56" s="1067"/>
      <c r="AH56" s="1066">
        <f>AH32/AH44</f>
        <v>0.4169443957200491</v>
      </c>
      <c r="AI56" s="1067"/>
      <c r="AJ56" s="1066">
        <f>AJ32/AJ44</f>
        <v>0.63160777869076967</v>
      </c>
      <c r="AK56" s="1067"/>
      <c r="AL56" s="1066">
        <f>AL32/AL44</f>
        <v>0.61099736765136003</v>
      </c>
    </row>
    <row r="57" spans="1:38" x14ac:dyDescent="0.2">
      <c r="A57" s="1050" t="s">
        <v>93</v>
      </c>
      <c r="B57" s="1050" t="s">
        <v>79</v>
      </c>
      <c r="C57" s="1050"/>
      <c r="D57" s="1066"/>
      <c r="E57" s="1050"/>
      <c r="F57" s="1066">
        <f>F33/F45</f>
        <v>0.45575360875560378</v>
      </c>
      <c r="G57" s="1050"/>
      <c r="H57" s="1066">
        <f>H33/H45</f>
        <v>0.40902508831133705</v>
      </c>
      <c r="I57" s="1050"/>
      <c r="J57" s="1066">
        <f>J33/J45</f>
        <v>0.39708800803370731</v>
      </c>
      <c r="K57" s="1050"/>
      <c r="L57" s="1066">
        <f>L33/L45</f>
        <v>0.24844024907333256</v>
      </c>
      <c r="M57" s="1050"/>
      <c r="N57" s="1066">
        <f>N33/N45</f>
        <v>0.15795314365172175</v>
      </c>
      <c r="O57" s="1050"/>
      <c r="P57" s="1066">
        <f>P33/P45</f>
        <v>0.23489783216959634</v>
      </c>
      <c r="Q57" s="1050"/>
      <c r="R57" s="1066">
        <f>R33/R45</f>
        <v>0.38790463902148553</v>
      </c>
      <c r="S57" s="1050"/>
      <c r="T57" s="1066">
        <f>T33/T45</f>
        <v>0.66287543561735629</v>
      </c>
      <c r="U57" s="1050"/>
      <c r="V57" s="1066">
        <f>V33/V45</f>
        <v>0.53006012024048099</v>
      </c>
      <c r="W57" s="1067"/>
      <c r="X57" s="1066">
        <f>X33/X45</f>
        <v>0.36073752711496748</v>
      </c>
      <c r="Y57" s="1067"/>
      <c r="Z57" s="1066">
        <f>Z33/Z45</f>
        <v>0.35629552549427679</v>
      </c>
      <c r="AA57" s="1067"/>
      <c r="AB57" s="1066">
        <f>AB33/AB45</f>
        <v>0.37809045226130655</v>
      </c>
      <c r="AC57" s="1067"/>
      <c r="AD57" s="1066">
        <f>AD33/AD45</f>
        <v>0.3836828939772946</v>
      </c>
      <c r="AE57" s="1067"/>
      <c r="AF57" s="1066">
        <f>AF33/AF45</f>
        <v>0.44951140065146578</v>
      </c>
      <c r="AG57" s="1067"/>
      <c r="AH57" s="1066">
        <f t="shared" ref="AH57:AJ58" si="4">AH33/AH45</f>
        <v>0.48259943181818182</v>
      </c>
      <c r="AI57" s="1067"/>
      <c r="AJ57" s="1066">
        <f t="shared" si="4"/>
        <v>0.50820112933584294</v>
      </c>
      <c r="AK57" s="1067"/>
      <c r="AL57" s="1066">
        <f>AL33/AL45</f>
        <v>0.51659574468085101</v>
      </c>
    </row>
    <row r="58" spans="1:38" x14ac:dyDescent="0.2">
      <c r="A58" s="1050" t="s">
        <v>94</v>
      </c>
      <c r="B58" s="1050" t="s">
        <v>80</v>
      </c>
      <c r="C58" s="1050"/>
      <c r="D58" s="1066"/>
      <c r="E58" s="1050"/>
      <c r="F58" s="1066">
        <f>F34/F46</f>
        <v>0.46036334796515865</v>
      </c>
      <c r="G58" s="1050"/>
      <c r="H58" s="1066">
        <f>H34/H46</f>
        <v>0.47865009921887391</v>
      </c>
      <c r="I58" s="1050"/>
      <c r="J58" s="1066">
        <f>J34/J46</f>
        <v>0.42874714213315934</v>
      </c>
      <c r="K58" s="1050"/>
      <c r="L58" s="1066">
        <f>L34/L46</f>
        <v>0.27367853946052106</v>
      </c>
      <c r="M58" s="1050"/>
      <c r="N58" s="1066">
        <f>N34/N46</f>
        <v>0.25252341218385466</v>
      </c>
      <c r="O58" s="1050"/>
      <c r="P58" s="1066">
        <f>P34/P46</f>
        <v>0.19407091156951456</v>
      </c>
      <c r="Q58" s="1050"/>
      <c r="R58" s="1066">
        <f>R34/R46</f>
        <v>0.5720555299369865</v>
      </c>
      <c r="S58" s="1050"/>
      <c r="T58" s="1066">
        <f>T34/T46</f>
        <v>0.67637577676004246</v>
      </c>
      <c r="U58" s="1050"/>
      <c r="V58" s="1066">
        <f>V34/V46</f>
        <v>0.526823238566131</v>
      </c>
      <c r="W58" s="1067"/>
      <c r="X58" s="1066">
        <f>X34/X46</f>
        <v>0.3771086910100363</v>
      </c>
      <c r="Y58" s="1067"/>
      <c r="Z58" s="1066">
        <f>Z34/Z46</f>
        <v>0.3566768994627782</v>
      </c>
      <c r="AA58" s="1067"/>
      <c r="AB58" s="1066">
        <f>AB34/AB46</f>
        <v>0.39390316796174535</v>
      </c>
      <c r="AC58" s="1067"/>
      <c r="AD58" s="1066">
        <f>AD34/AD46</f>
        <v>0.42518605562083822</v>
      </c>
      <c r="AE58" s="1067"/>
      <c r="AF58" s="1066">
        <f>AF34/AF46</f>
        <v>0.49879651916311796</v>
      </c>
      <c r="AG58" s="1067"/>
      <c r="AH58" s="1066">
        <f t="shared" si="4"/>
        <v>0.47142518377993836</v>
      </c>
      <c r="AI58" s="1067"/>
      <c r="AJ58" s="1066">
        <f t="shared" si="4"/>
        <v>0.61764705882352944</v>
      </c>
      <c r="AK58" s="1067"/>
      <c r="AL58" s="1066">
        <f>AL34/AL46</f>
        <v>0.57516703786191536</v>
      </c>
    </row>
    <row r="59" spans="1:38" x14ac:dyDescent="0.2">
      <c r="A59" s="1050" t="s">
        <v>95</v>
      </c>
      <c r="B59" s="1050" t="s">
        <v>81</v>
      </c>
      <c r="C59" s="1050"/>
      <c r="D59" s="1066">
        <f>D35/D47</f>
        <v>0.46382696809123869</v>
      </c>
      <c r="E59" s="1050"/>
      <c r="F59" s="1066">
        <f>F35/F47</f>
        <v>0.3919747036820655</v>
      </c>
      <c r="G59" s="1050"/>
      <c r="H59" s="1066">
        <f>H35/H47</f>
        <v>0.45011286052038979</v>
      </c>
      <c r="I59" s="1050"/>
      <c r="J59" s="1066">
        <f>J35/J47</f>
        <v>0.31149143136656071</v>
      </c>
      <c r="K59" s="1050"/>
      <c r="L59" s="1066">
        <f>L35/L47</f>
        <v>0.23746326257909886</v>
      </c>
      <c r="M59" s="1050"/>
      <c r="N59" s="1066">
        <f>N35/N47</f>
        <v>0.15587512804991002</v>
      </c>
      <c r="O59" s="1050"/>
      <c r="P59" s="1066">
        <f>P35/P47</f>
        <v>8.1458700473952983E-2</v>
      </c>
      <c r="Q59" s="1050"/>
      <c r="R59" s="1066">
        <f>R35/R47</f>
        <v>0.59235816811785214</v>
      </c>
      <c r="S59" s="1050"/>
      <c r="T59" s="1066">
        <f>T35/T47</f>
        <v>0.62830066799352713</v>
      </c>
      <c r="U59" s="1050"/>
      <c r="V59" s="1066">
        <f>V35/V47</f>
        <v>0.43440860215053761</v>
      </c>
      <c r="W59" s="1067"/>
      <c r="X59" s="1066">
        <f>X35/X47</f>
        <v>0.26551436901291131</v>
      </c>
      <c r="Y59" s="1067"/>
      <c r="Z59" s="1066">
        <f>Z35/Z47</f>
        <v>0.31590219525254326</v>
      </c>
      <c r="AA59" s="1067"/>
      <c r="AB59" s="1066">
        <f>AB35/AB47</f>
        <v>0.36589808362739745</v>
      </c>
      <c r="AC59" s="1067"/>
      <c r="AD59" s="1066">
        <f>AD35/AD47</f>
        <v>0.36951456684574352</v>
      </c>
      <c r="AE59" s="1067"/>
      <c r="AF59" s="1066">
        <f>AF35/AF47</f>
        <v>0.41357027463651053</v>
      </c>
      <c r="AG59" s="1067"/>
      <c r="AH59" s="1066">
        <f>AH35/AH47</f>
        <v>0.60119695321001088</v>
      </c>
      <c r="AI59" s="1067"/>
      <c r="AJ59" s="1066">
        <f>AJ35/AJ47</f>
        <v>0.48477366255144033</v>
      </c>
      <c r="AK59" s="1067"/>
      <c r="AL59" s="1066">
        <f>AL35/AL47</f>
        <v>0.41886098633324748</v>
      </c>
    </row>
    <row r="60" spans="1:38" x14ac:dyDescent="0.2">
      <c r="A60" s="1050"/>
      <c r="B60" s="1050"/>
      <c r="C60" s="1050"/>
      <c r="D60" s="1050"/>
      <c r="E60" s="1050"/>
      <c r="F60" s="1050"/>
      <c r="G60" s="1050"/>
      <c r="H60" s="1050"/>
      <c r="I60" s="1050"/>
      <c r="J60" s="1050"/>
      <c r="K60" s="1050"/>
      <c r="L60" s="1050"/>
      <c r="M60" s="1050"/>
      <c r="N60" s="1050"/>
      <c r="O60" s="1050"/>
      <c r="P60" s="1050"/>
      <c r="Q60" s="1050"/>
      <c r="R60" s="1050"/>
      <c r="S60" s="1050"/>
      <c r="T60" s="1050"/>
      <c r="U60" s="1050"/>
      <c r="V60" s="1050"/>
      <c r="W60" s="1050"/>
      <c r="X60" s="1050"/>
      <c r="Y60" s="1050"/>
      <c r="Z60" s="1050"/>
      <c r="AA60" s="1050"/>
      <c r="AB60" s="1050"/>
      <c r="AC60" s="1050"/>
      <c r="AD60" s="1050"/>
      <c r="AE60" s="1050"/>
      <c r="AF60" s="1050"/>
      <c r="AG60" s="1050"/>
      <c r="AH60" s="1050"/>
      <c r="AI60" s="1050"/>
      <c r="AJ60" s="1050"/>
      <c r="AK60" s="1050"/>
      <c r="AL60" s="1050"/>
    </row>
    <row r="61" spans="1:38" x14ac:dyDescent="0.2">
      <c r="A61" s="1050" t="s">
        <v>106</v>
      </c>
    </row>
  </sheetData>
  <phoneticPr fontId="10" type="noConversion"/>
  <pageMargins left="0.75" right="0.75" top="1" bottom="1" header="0.5" footer="0.5"/>
  <pageSetup scale="74"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N61"/>
  <sheetViews>
    <sheetView showGridLines="0" zoomScaleNormal="100" workbookViewId="0"/>
  </sheetViews>
  <sheetFormatPr defaultRowHeight="12.75" outlineLevelRow="1" x14ac:dyDescent="0.2"/>
  <cols>
    <col min="1" max="1" width="2" style="787" customWidth="1"/>
    <col min="2" max="2" width="32.140625" style="786" customWidth="1"/>
    <col min="3" max="9" width="10.28515625" style="787" bestFit="1" customWidth="1"/>
    <col min="10" max="10" width="11.28515625" style="787" bestFit="1" customWidth="1"/>
    <col min="11" max="11" width="0" style="787" hidden="1" customWidth="1"/>
    <col min="12" max="255" width="9.140625" style="787"/>
    <col min="256" max="256" width="2" style="787" customWidth="1"/>
    <col min="257" max="257" width="32.140625" style="787" customWidth="1"/>
    <col min="258" max="258" width="10.5703125" style="787" customWidth="1"/>
    <col min="259" max="265" width="10.28515625" style="787" bestFit="1" customWidth="1"/>
    <col min="266" max="266" width="11.28515625" style="787" bestFit="1" customWidth="1"/>
    <col min="267" max="511" width="9.140625" style="787"/>
    <col min="512" max="512" width="2" style="787" customWidth="1"/>
    <col min="513" max="513" width="32.140625" style="787" customWidth="1"/>
    <col min="514" max="514" width="10.5703125" style="787" customWidth="1"/>
    <col min="515" max="521" width="10.28515625" style="787" bestFit="1" customWidth="1"/>
    <col min="522" max="522" width="11.28515625" style="787" bestFit="1" customWidth="1"/>
    <col min="523" max="767" width="9.140625" style="787"/>
    <col min="768" max="768" width="2" style="787" customWidth="1"/>
    <col min="769" max="769" width="32.140625" style="787" customWidth="1"/>
    <col min="770" max="770" width="10.5703125" style="787" customWidth="1"/>
    <col min="771" max="777" width="10.28515625" style="787" bestFit="1" customWidth="1"/>
    <col min="778" max="778" width="11.28515625" style="787" bestFit="1" customWidth="1"/>
    <col min="779" max="1023" width="9.140625" style="787"/>
    <col min="1024" max="1024" width="2" style="787" customWidth="1"/>
    <col min="1025" max="1025" width="32.140625" style="787" customWidth="1"/>
    <col min="1026" max="1026" width="10.5703125" style="787" customWidth="1"/>
    <col min="1027" max="1033" width="10.28515625" style="787" bestFit="1" customWidth="1"/>
    <col min="1034" max="1034" width="11.28515625" style="787" bestFit="1" customWidth="1"/>
    <col min="1035" max="1279" width="9.140625" style="787"/>
    <col min="1280" max="1280" width="2" style="787" customWidth="1"/>
    <col min="1281" max="1281" width="32.140625" style="787" customWidth="1"/>
    <col min="1282" max="1282" width="10.5703125" style="787" customWidth="1"/>
    <col min="1283" max="1289" width="10.28515625" style="787" bestFit="1" customWidth="1"/>
    <col min="1290" max="1290" width="11.28515625" style="787" bestFit="1" customWidth="1"/>
    <col min="1291" max="1535" width="9.140625" style="787"/>
    <col min="1536" max="1536" width="2" style="787" customWidth="1"/>
    <col min="1537" max="1537" width="32.140625" style="787" customWidth="1"/>
    <col min="1538" max="1538" width="10.5703125" style="787" customWidth="1"/>
    <col min="1539" max="1545" width="10.28515625" style="787" bestFit="1" customWidth="1"/>
    <col min="1546" max="1546" width="11.28515625" style="787" bestFit="1" customWidth="1"/>
    <col min="1547" max="1791" width="9.140625" style="787"/>
    <col min="1792" max="1792" width="2" style="787" customWidth="1"/>
    <col min="1793" max="1793" width="32.140625" style="787" customWidth="1"/>
    <col min="1794" max="1794" width="10.5703125" style="787" customWidth="1"/>
    <col min="1795" max="1801" width="10.28515625" style="787" bestFit="1" customWidth="1"/>
    <col min="1802" max="1802" width="11.28515625" style="787" bestFit="1" customWidth="1"/>
    <col min="1803" max="2047" width="9.140625" style="787"/>
    <col min="2048" max="2048" width="2" style="787" customWidth="1"/>
    <col min="2049" max="2049" width="32.140625" style="787" customWidth="1"/>
    <col min="2050" max="2050" width="10.5703125" style="787" customWidth="1"/>
    <col min="2051" max="2057" width="10.28515625" style="787" bestFit="1" customWidth="1"/>
    <col min="2058" max="2058" width="11.28515625" style="787" bestFit="1" customWidth="1"/>
    <col min="2059" max="2303" width="9.140625" style="787"/>
    <col min="2304" max="2304" width="2" style="787" customWidth="1"/>
    <col min="2305" max="2305" width="32.140625" style="787" customWidth="1"/>
    <col min="2306" max="2306" width="10.5703125" style="787" customWidth="1"/>
    <col min="2307" max="2313" width="10.28515625" style="787" bestFit="1" customWidth="1"/>
    <col min="2314" max="2314" width="11.28515625" style="787" bestFit="1" customWidth="1"/>
    <col min="2315" max="2559" width="9.140625" style="787"/>
    <col min="2560" max="2560" width="2" style="787" customWidth="1"/>
    <col min="2561" max="2561" width="32.140625" style="787" customWidth="1"/>
    <col min="2562" max="2562" width="10.5703125" style="787" customWidth="1"/>
    <col min="2563" max="2569" width="10.28515625" style="787" bestFit="1" customWidth="1"/>
    <col min="2570" max="2570" width="11.28515625" style="787" bestFit="1" customWidth="1"/>
    <col min="2571" max="2815" width="9.140625" style="787"/>
    <col min="2816" max="2816" width="2" style="787" customWidth="1"/>
    <col min="2817" max="2817" width="32.140625" style="787" customWidth="1"/>
    <col min="2818" max="2818" width="10.5703125" style="787" customWidth="1"/>
    <col min="2819" max="2825" width="10.28515625" style="787" bestFit="1" customWidth="1"/>
    <col min="2826" max="2826" width="11.28515625" style="787" bestFit="1" customWidth="1"/>
    <col min="2827" max="3071" width="9.140625" style="787"/>
    <col min="3072" max="3072" width="2" style="787" customWidth="1"/>
    <col min="3073" max="3073" width="32.140625" style="787" customWidth="1"/>
    <col min="3074" max="3074" width="10.5703125" style="787" customWidth="1"/>
    <col min="3075" max="3081" width="10.28515625" style="787" bestFit="1" customWidth="1"/>
    <col min="3082" max="3082" width="11.28515625" style="787" bestFit="1" customWidth="1"/>
    <col min="3083" max="3327" width="9.140625" style="787"/>
    <col min="3328" max="3328" width="2" style="787" customWidth="1"/>
    <col min="3329" max="3329" width="32.140625" style="787" customWidth="1"/>
    <col min="3330" max="3330" width="10.5703125" style="787" customWidth="1"/>
    <col min="3331" max="3337" width="10.28515625" style="787" bestFit="1" customWidth="1"/>
    <col min="3338" max="3338" width="11.28515625" style="787" bestFit="1" customWidth="1"/>
    <col min="3339" max="3583" width="9.140625" style="787"/>
    <col min="3584" max="3584" width="2" style="787" customWidth="1"/>
    <col min="3585" max="3585" width="32.140625" style="787" customWidth="1"/>
    <col min="3586" max="3586" width="10.5703125" style="787" customWidth="1"/>
    <col min="3587" max="3593" width="10.28515625" style="787" bestFit="1" customWidth="1"/>
    <col min="3594" max="3594" width="11.28515625" style="787" bestFit="1" customWidth="1"/>
    <col min="3595" max="3839" width="9.140625" style="787"/>
    <col min="3840" max="3840" width="2" style="787" customWidth="1"/>
    <col min="3841" max="3841" width="32.140625" style="787" customWidth="1"/>
    <col min="3842" max="3842" width="10.5703125" style="787" customWidth="1"/>
    <col min="3843" max="3849" width="10.28515625" style="787" bestFit="1" customWidth="1"/>
    <col min="3850" max="3850" width="11.28515625" style="787" bestFit="1" customWidth="1"/>
    <col min="3851" max="4095" width="9.140625" style="787"/>
    <col min="4096" max="4096" width="2" style="787" customWidth="1"/>
    <col min="4097" max="4097" width="32.140625" style="787" customWidth="1"/>
    <col min="4098" max="4098" width="10.5703125" style="787" customWidth="1"/>
    <col min="4099" max="4105" width="10.28515625" style="787" bestFit="1" customWidth="1"/>
    <col min="4106" max="4106" width="11.28515625" style="787" bestFit="1" customWidth="1"/>
    <col min="4107" max="4351" width="9.140625" style="787"/>
    <col min="4352" max="4352" width="2" style="787" customWidth="1"/>
    <col min="4353" max="4353" width="32.140625" style="787" customWidth="1"/>
    <col min="4354" max="4354" width="10.5703125" style="787" customWidth="1"/>
    <col min="4355" max="4361" width="10.28515625" style="787" bestFit="1" customWidth="1"/>
    <col min="4362" max="4362" width="11.28515625" style="787" bestFit="1" customWidth="1"/>
    <col min="4363" max="4607" width="9.140625" style="787"/>
    <col min="4608" max="4608" width="2" style="787" customWidth="1"/>
    <col min="4609" max="4609" width="32.140625" style="787" customWidth="1"/>
    <col min="4610" max="4610" width="10.5703125" style="787" customWidth="1"/>
    <col min="4611" max="4617" width="10.28515625" style="787" bestFit="1" customWidth="1"/>
    <col min="4618" max="4618" width="11.28515625" style="787" bestFit="1" customWidth="1"/>
    <col min="4619" max="4863" width="9.140625" style="787"/>
    <col min="4864" max="4864" width="2" style="787" customWidth="1"/>
    <col min="4865" max="4865" width="32.140625" style="787" customWidth="1"/>
    <col min="4866" max="4866" width="10.5703125" style="787" customWidth="1"/>
    <col min="4867" max="4873" width="10.28515625" style="787" bestFit="1" customWidth="1"/>
    <col min="4874" max="4874" width="11.28515625" style="787" bestFit="1" customWidth="1"/>
    <col min="4875" max="5119" width="9.140625" style="787"/>
    <col min="5120" max="5120" width="2" style="787" customWidth="1"/>
    <col min="5121" max="5121" width="32.140625" style="787" customWidth="1"/>
    <col min="5122" max="5122" width="10.5703125" style="787" customWidth="1"/>
    <col min="5123" max="5129" width="10.28515625" style="787" bestFit="1" customWidth="1"/>
    <col min="5130" max="5130" width="11.28515625" style="787" bestFit="1" customWidth="1"/>
    <col min="5131" max="5375" width="9.140625" style="787"/>
    <col min="5376" max="5376" width="2" style="787" customWidth="1"/>
    <col min="5377" max="5377" width="32.140625" style="787" customWidth="1"/>
    <col min="5378" max="5378" width="10.5703125" style="787" customWidth="1"/>
    <col min="5379" max="5385" width="10.28515625" style="787" bestFit="1" customWidth="1"/>
    <col min="5386" max="5386" width="11.28515625" style="787" bestFit="1" customWidth="1"/>
    <col min="5387" max="5631" width="9.140625" style="787"/>
    <col min="5632" max="5632" width="2" style="787" customWidth="1"/>
    <col min="5633" max="5633" width="32.140625" style="787" customWidth="1"/>
    <col min="5634" max="5634" width="10.5703125" style="787" customWidth="1"/>
    <col min="5635" max="5641" width="10.28515625" style="787" bestFit="1" customWidth="1"/>
    <col min="5642" max="5642" width="11.28515625" style="787" bestFit="1" customWidth="1"/>
    <col min="5643" max="5887" width="9.140625" style="787"/>
    <col min="5888" max="5888" width="2" style="787" customWidth="1"/>
    <col min="5889" max="5889" width="32.140625" style="787" customWidth="1"/>
    <col min="5890" max="5890" width="10.5703125" style="787" customWidth="1"/>
    <col min="5891" max="5897" width="10.28515625" style="787" bestFit="1" customWidth="1"/>
    <col min="5898" max="5898" width="11.28515625" style="787" bestFit="1" customWidth="1"/>
    <col min="5899" max="6143" width="9.140625" style="787"/>
    <col min="6144" max="6144" width="2" style="787" customWidth="1"/>
    <col min="6145" max="6145" width="32.140625" style="787" customWidth="1"/>
    <col min="6146" max="6146" width="10.5703125" style="787" customWidth="1"/>
    <col min="6147" max="6153" width="10.28515625" style="787" bestFit="1" customWidth="1"/>
    <col min="6154" max="6154" width="11.28515625" style="787" bestFit="1" customWidth="1"/>
    <col min="6155" max="6399" width="9.140625" style="787"/>
    <col min="6400" max="6400" width="2" style="787" customWidth="1"/>
    <col min="6401" max="6401" width="32.140625" style="787" customWidth="1"/>
    <col min="6402" max="6402" width="10.5703125" style="787" customWidth="1"/>
    <col min="6403" max="6409" width="10.28515625" style="787" bestFit="1" customWidth="1"/>
    <col min="6410" max="6410" width="11.28515625" style="787" bestFit="1" customWidth="1"/>
    <col min="6411" max="6655" width="9.140625" style="787"/>
    <col min="6656" max="6656" width="2" style="787" customWidth="1"/>
    <col min="6657" max="6657" width="32.140625" style="787" customWidth="1"/>
    <col min="6658" max="6658" width="10.5703125" style="787" customWidth="1"/>
    <col min="6659" max="6665" width="10.28515625" style="787" bestFit="1" customWidth="1"/>
    <col min="6666" max="6666" width="11.28515625" style="787" bestFit="1" customWidth="1"/>
    <col min="6667" max="6911" width="9.140625" style="787"/>
    <col min="6912" max="6912" width="2" style="787" customWidth="1"/>
    <col min="6913" max="6913" width="32.140625" style="787" customWidth="1"/>
    <col min="6914" max="6914" width="10.5703125" style="787" customWidth="1"/>
    <col min="6915" max="6921" width="10.28515625" style="787" bestFit="1" customWidth="1"/>
    <col min="6922" max="6922" width="11.28515625" style="787" bestFit="1" customWidth="1"/>
    <col min="6923" max="7167" width="9.140625" style="787"/>
    <col min="7168" max="7168" width="2" style="787" customWidth="1"/>
    <col min="7169" max="7169" width="32.140625" style="787" customWidth="1"/>
    <col min="7170" max="7170" width="10.5703125" style="787" customWidth="1"/>
    <col min="7171" max="7177" width="10.28515625" style="787" bestFit="1" customWidth="1"/>
    <col min="7178" max="7178" width="11.28515625" style="787" bestFit="1" customWidth="1"/>
    <col min="7179" max="7423" width="9.140625" style="787"/>
    <col min="7424" max="7424" width="2" style="787" customWidth="1"/>
    <col min="7425" max="7425" width="32.140625" style="787" customWidth="1"/>
    <col min="7426" max="7426" width="10.5703125" style="787" customWidth="1"/>
    <col min="7427" max="7433" width="10.28515625" style="787" bestFit="1" customWidth="1"/>
    <col min="7434" max="7434" width="11.28515625" style="787" bestFit="1" customWidth="1"/>
    <col min="7435" max="7679" width="9.140625" style="787"/>
    <col min="7680" max="7680" width="2" style="787" customWidth="1"/>
    <col min="7681" max="7681" width="32.140625" style="787" customWidth="1"/>
    <col min="7682" max="7682" width="10.5703125" style="787" customWidth="1"/>
    <col min="7683" max="7689" width="10.28515625" style="787" bestFit="1" customWidth="1"/>
    <col min="7690" max="7690" width="11.28515625" style="787" bestFit="1" customWidth="1"/>
    <col min="7691" max="7935" width="9.140625" style="787"/>
    <col min="7936" max="7936" width="2" style="787" customWidth="1"/>
    <col min="7937" max="7937" width="32.140625" style="787" customWidth="1"/>
    <col min="7938" max="7938" width="10.5703125" style="787" customWidth="1"/>
    <col min="7939" max="7945" width="10.28515625" style="787" bestFit="1" customWidth="1"/>
    <col min="7946" max="7946" width="11.28515625" style="787" bestFit="1" customWidth="1"/>
    <col min="7947" max="8191" width="9.140625" style="787"/>
    <col min="8192" max="8192" width="2" style="787" customWidth="1"/>
    <col min="8193" max="8193" width="32.140625" style="787" customWidth="1"/>
    <col min="8194" max="8194" width="10.5703125" style="787" customWidth="1"/>
    <col min="8195" max="8201" width="10.28515625" style="787" bestFit="1" customWidth="1"/>
    <col min="8202" max="8202" width="11.28515625" style="787" bestFit="1" customWidth="1"/>
    <col min="8203" max="8447" width="9.140625" style="787"/>
    <col min="8448" max="8448" width="2" style="787" customWidth="1"/>
    <col min="8449" max="8449" width="32.140625" style="787" customWidth="1"/>
    <col min="8450" max="8450" width="10.5703125" style="787" customWidth="1"/>
    <col min="8451" max="8457" width="10.28515625" style="787" bestFit="1" customWidth="1"/>
    <col min="8458" max="8458" width="11.28515625" style="787" bestFit="1" customWidth="1"/>
    <col min="8459" max="8703" width="9.140625" style="787"/>
    <col min="8704" max="8704" width="2" style="787" customWidth="1"/>
    <col min="8705" max="8705" width="32.140625" style="787" customWidth="1"/>
    <col min="8706" max="8706" width="10.5703125" style="787" customWidth="1"/>
    <col min="8707" max="8713" width="10.28515625" style="787" bestFit="1" customWidth="1"/>
    <col min="8714" max="8714" width="11.28515625" style="787" bestFit="1" customWidth="1"/>
    <col min="8715" max="8959" width="9.140625" style="787"/>
    <col min="8960" max="8960" width="2" style="787" customWidth="1"/>
    <col min="8961" max="8961" width="32.140625" style="787" customWidth="1"/>
    <col min="8962" max="8962" width="10.5703125" style="787" customWidth="1"/>
    <col min="8963" max="8969" width="10.28515625" style="787" bestFit="1" customWidth="1"/>
    <col min="8970" max="8970" width="11.28515625" style="787" bestFit="1" customWidth="1"/>
    <col min="8971" max="9215" width="9.140625" style="787"/>
    <col min="9216" max="9216" width="2" style="787" customWidth="1"/>
    <col min="9217" max="9217" width="32.140625" style="787" customWidth="1"/>
    <col min="9218" max="9218" width="10.5703125" style="787" customWidth="1"/>
    <col min="9219" max="9225" width="10.28515625" style="787" bestFit="1" customWidth="1"/>
    <col min="9226" max="9226" width="11.28515625" style="787" bestFit="1" customWidth="1"/>
    <col min="9227" max="9471" width="9.140625" style="787"/>
    <col min="9472" max="9472" width="2" style="787" customWidth="1"/>
    <col min="9473" max="9473" width="32.140625" style="787" customWidth="1"/>
    <col min="9474" max="9474" width="10.5703125" style="787" customWidth="1"/>
    <col min="9475" max="9481" width="10.28515625" style="787" bestFit="1" customWidth="1"/>
    <col min="9482" max="9482" width="11.28515625" style="787" bestFit="1" customWidth="1"/>
    <col min="9483" max="9727" width="9.140625" style="787"/>
    <col min="9728" max="9728" width="2" style="787" customWidth="1"/>
    <col min="9729" max="9729" width="32.140625" style="787" customWidth="1"/>
    <col min="9730" max="9730" width="10.5703125" style="787" customWidth="1"/>
    <col min="9731" max="9737" width="10.28515625" style="787" bestFit="1" customWidth="1"/>
    <col min="9738" max="9738" width="11.28515625" style="787" bestFit="1" customWidth="1"/>
    <col min="9739" max="9983" width="9.140625" style="787"/>
    <col min="9984" max="9984" width="2" style="787" customWidth="1"/>
    <col min="9985" max="9985" width="32.140625" style="787" customWidth="1"/>
    <col min="9986" max="9986" width="10.5703125" style="787" customWidth="1"/>
    <col min="9987" max="9993" width="10.28515625" style="787" bestFit="1" customWidth="1"/>
    <col min="9994" max="9994" width="11.28515625" style="787" bestFit="1" customWidth="1"/>
    <col min="9995" max="10239" width="9.140625" style="787"/>
    <col min="10240" max="10240" width="2" style="787" customWidth="1"/>
    <col min="10241" max="10241" width="32.140625" style="787" customWidth="1"/>
    <col min="10242" max="10242" width="10.5703125" style="787" customWidth="1"/>
    <col min="10243" max="10249" width="10.28515625" style="787" bestFit="1" customWidth="1"/>
    <col min="10250" max="10250" width="11.28515625" style="787" bestFit="1" customWidth="1"/>
    <col min="10251" max="10495" width="9.140625" style="787"/>
    <col min="10496" max="10496" width="2" style="787" customWidth="1"/>
    <col min="10497" max="10497" width="32.140625" style="787" customWidth="1"/>
    <col min="10498" max="10498" width="10.5703125" style="787" customWidth="1"/>
    <col min="10499" max="10505" width="10.28515625" style="787" bestFit="1" customWidth="1"/>
    <col min="10506" max="10506" width="11.28515625" style="787" bestFit="1" customWidth="1"/>
    <col min="10507" max="10751" width="9.140625" style="787"/>
    <col min="10752" max="10752" width="2" style="787" customWidth="1"/>
    <col min="10753" max="10753" width="32.140625" style="787" customWidth="1"/>
    <col min="10754" max="10754" width="10.5703125" style="787" customWidth="1"/>
    <col min="10755" max="10761" width="10.28515625" style="787" bestFit="1" customWidth="1"/>
    <col min="10762" max="10762" width="11.28515625" style="787" bestFit="1" customWidth="1"/>
    <col min="10763" max="11007" width="9.140625" style="787"/>
    <col min="11008" max="11008" width="2" style="787" customWidth="1"/>
    <col min="11009" max="11009" width="32.140625" style="787" customWidth="1"/>
    <col min="11010" max="11010" width="10.5703125" style="787" customWidth="1"/>
    <col min="11011" max="11017" width="10.28515625" style="787" bestFit="1" customWidth="1"/>
    <col min="11018" max="11018" width="11.28515625" style="787" bestFit="1" customWidth="1"/>
    <col min="11019" max="11263" width="9.140625" style="787"/>
    <col min="11264" max="11264" width="2" style="787" customWidth="1"/>
    <col min="11265" max="11265" width="32.140625" style="787" customWidth="1"/>
    <col min="11266" max="11266" width="10.5703125" style="787" customWidth="1"/>
    <col min="11267" max="11273" width="10.28515625" style="787" bestFit="1" customWidth="1"/>
    <col min="11274" max="11274" width="11.28515625" style="787" bestFit="1" customWidth="1"/>
    <col min="11275" max="11519" width="9.140625" style="787"/>
    <col min="11520" max="11520" width="2" style="787" customWidth="1"/>
    <col min="11521" max="11521" width="32.140625" style="787" customWidth="1"/>
    <col min="11522" max="11522" width="10.5703125" style="787" customWidth="1"/>
    <col min="11523" max="11529" width="10.28515625" style="787" bestFit="1" customWidth="1"/>
    <col min="11530" max="11530" width="11.28515625" style="787" bestFit="1" customWidth="1"/>
    <col min="11531" max="11775" width="9.140625" style="787"/>
    <col min="11776" max="11776" width="2" style="787" customWidth="1"/>
    <col min="11777" max="11777" width="32.140625" style="787" customWidth="1"/>
    <col min="11778" max="11778" width="10.5703125" style="787" customWidth="1"/>
    <col min="11779" max="11785" width="10.28515625" style="787" bestFit="1" customWidth="1"/>
    <col min="11786" max="11786" width="11.28515625" style="787" bestFit="1" customWidth="1"/>
    <col min="11787" max="12031" width="9.140625" style="787"/>
    <col min="12032" max="12032" width="2" style="787" customWidth="1"/>
    <col min="12033" max="12033" width="32.140625" style="787" customWidth="1"/>
    <col min="12034" max="12034" width="10.5703125" style="787" customWidth="1"/>
    <col min="12035" max="12041" width="10.28515625" style="787" bestFit="1" customWidth="1"/>
    <col min="12042" max="12042" width="11.28515625" style="787" bestFit="1" customWidth="1"/>
    <col min="12043" max="12287" width="9.140625" style="787"/>
    <col min="12288" max="12288" width="2" style="787" customWidth="1"/>
    <col min="12289" max="12289" width="32.140625" style="787" customWidth="1"/>
    <col min="12290" max="12290" width="10.5703125" style="787" customWidth="1"/>
    <col min="12291" max="12297" width="10.28515625" style="787" bestFit="1" customWidth="1"/>
    <col min="12298" max="12298" width="11.28515625" style="787" bestFit="1" customWidth="1"/>
    <col min="12299" max="12543" width="9.140625" style="787"/>
    <col min="12544" max="12544" width="2" style="787" customWidth="1"/>
    <col min="12545" max="12545" width="32.140625" style="787" customWidth="1"/>
    <col min="12546" max="12546" width="10.5703125" style="787" customWidth="1"/>
    <col min="12547" max="12553" width="10.28515625" style="787" bestFit="1" customWidth="1"/>
    <col min="12554" max="12554" width="11.28515625" style="787" bestFit="1" customWidth="1"/>
    <col min="12555" max="12799" width="9.140625" style="787"/>
    <col min="12800" max="12800" width="2" style="787" customWidth="1"/>
    <col min="12801" max="12801" width="32.140625" style="787" customWidth="1"/>
    <col min="12802" max="12802" width="10.5703125" style="787" customWidth="1"/>
    <col min="12803" max="12809" width="10.28515625" style="787" bestFit="1" customWidth="1"/>
    <col min="12810" max="12810" width="11.28515625" style="787" bestFit="1" customWidth="1"/>
    <col min="12811" max="13055" width="9.140625" style="787"/>
    <col min="13056" max="13056" width="2" style="787" customWidth="1"/>
    <col min="13057" max="13057" width="32.140625" style="787" customWidth="1"/>
    <col min="13058" max="13058" width="10.5703125" style="787" customWidth="1"/>
    <col min="13059" max="13065" width="10.28515625" style="787" bestFit="1" customWidth="1"/>
    <col min="13066" max="13066" width="11.28515625" style="787" bestFit="1" customWidth="1"/>
    <col min="13067" max="13311" width="9.140625" style="787"/>
    <col min="13312" max="13312" width="2" style="787" customWidth="1"/>
    <col min="13313" max="13313" width="32.140625" style="787" customWidth="1"/>
    <col min="13314" max="13314" width="10.5703125" style="787" customWidth="1"/>
    <col min="13315" max="13321" width="10.28515625" style="787" bestFit="1" customWidth="1"/>
    <col min="13322" max="13322" width="11.28515625" style="787" bestFit="1" customWidth="1"/>
    <col min="13323" max="13567" width="9.140625" style="787"/>
    <col min="13568" max="13568" width="2" style="787" customWidth="1"/>
    <col min="13569" max="13569" width="32.140625" style="787" customWidth="1"/>
    <col min="13570" max="13570" width="10.5703125" style="787" customWidth="1"/>
    <col min="13571" max="13577" width="10.28515625" style="787" bestFit="1" customWidth="1"/>
    <col min="13578" max="13578" width="11.28515625" style="787" bestFit="1" customWidth="1"/>
    <col min="13579" max="13823" width="9.140625" style="787"/>
    <col min="13824" max="13824" width="2" style="787" customWidth="1"/>
    <col min="13825" max="13825" width="32.140625" style="787" customWidth="1"/>
    <col min="13826" max="13826" width="10.5703125" style="787" customWidth="1"/>
    <col min="13827" max="13833" width="10.28515625" style="787" bestFit="1" customWidth="1"/>
    <col min="13834" max="13834" width="11.28515625" style="787" bestFit="1" customWidth="1"/>
    <col min="13835" max="14079" width="9.140625" style="787"/>
    <col min="14080" max="14080" width="2" style="787" customWidth="1"/>
    <col min="14081" max="14081" width="32.140625" style="787" customWidth="1"/>
    <col min="14082" max="14082" width="10.5703125" style="787" customWidth="1"/>
    <col min="14083" max="14089" width="10.28515625" style="787" bestFit="1" customWidth="1"/>
    <col min="14090" max="14090" width="11.28515625" style="787" bestFit="1" customWidth="1"/>
    <col min="14091" max="14335" width="9.140625" style="787"/>
    <col min="14336" max="14336" width="2" style="787" customWidth="1"/>
    <col min="14337" max="14337" width="32.140625" style="787" customWidth="1"/>
    <col min="14338" max="14338" width="10.5703125" style="787" customWidth="1"/>
    <col min="14339" max="14345" width="10.28515625" style="787" bestFit="1" customWidth="1"/>
    <col min="14346" max="14346" width="11.28515625" style="787" bestFit="1" customWidth="1"/>
    <col min="14347" max="14591" width="9.140625" style="787"/>
    <col min="14592" max="14592" width="2" style="787" customWidth="1"/>
    <col min="14593" max="14593" width="32.140625" style="787" customWidth="1"/>
    <col min="14594" max="14594" width="10.5703125" style="787" customWidth="1"/>
    <col min="14595" max="14601" width="10.28515625" style="787" bestFit="1" customWidth="1"/>
    <col min="14602" max="14602" width="11.28515625" style="787" bestFit="1" customWidth="1"/>
    <col min="14603" max="14847" width="9.140625" style="787"/>
    <col min="14848" max="14848" width="2" style="787" customWidth="1"/>
    <col min="14849" max="14849" width="32.140625" style="787" customWidth="1"/>
    <col min="14850" max="14850" width="10.5703125" style="787" customWidth="1"/>
    <col min="14851" max="14857" width="10.28515625" style="787" bestFit="1" customWidth="1"/>
    <col min="14858" max="14858" width="11.28515625" style="787" bestFit="1" customWidth="1"/>
    <col min="14859" max="15103" width="9.140625" style="787"/>
    <col min="15104" max="15104" width="2" style="787" customWidth="1"/>
    <col min="15105" max="15105" width="32.140625" style="787" customWidth="1"/>
    <col min="15106" max="15106" width="10.5703125" style="787" customWidth="1"/>
    <col min="15107" max="15113" width="10.28515625" style="787" bestFit="1" customWidth="1"/>
    <col min="15114" max="15114" width="11.28515625" style="787" bestFit="1" customWidth="1"/>
    <col min="15115" max="15359" width="9.140625" style="787"/>
    <col min="15360" max="15360" width="2" style="787" customWidth="1"/>
    <col min="15361" max="15361" width="32.140625" style="787" customWidth="1"/>
    <col min="15362" max="15362" width="10.5703125" style="787" customWidth="1"/>
    <col min="15363" max="15369" width="10.28515625" style="787" bestFit="1" customWidth="1"/>
    <col min="15370" max="15370" width="11.28515625" style="787" bestFit="1" customWidth="1"/>
    <col min="15371" max="15615" width="9.140625" style="787"/>
    <col min="15616" max="15616" width="2" style="787" customWidth="1"/>
    <col min="15617" max="15617" width="32.140625" style="787" customWidth="1"/>
    <col min="15618" max="15618" width="10.5703125" style="787" customWidth="1"/>
    <col min="15619" max="15625" width="10.28515625" style="787" bestFit="1" customWidth="1"/>
    <col min="15626" max="15626" width="11.28515625" style="787" bestFit="1" customWidth="1"/>
    <col min="15627" max="15871" width="9.140625" style="787"/>
    <col min="15872" max="15872" width="2" style="787" customWidth="1"/>
    <col min="15873" max="15873" width="32.140625" style="787" customWidth="1"/>
    <col min="15874" max="15874" width="10.5703125" style="787" customWidth="1"/>
    <col min="15875" max="15881" width="10.28515625" style="787" bestFit="1" customWidth="1"/>
    <col min="15882" max="15882" width="11.28515625" style="787" bestFit="1" customWidth="1"/>
    <col min="15883" max="16127" width="9.140625" style="787"/>
    <col min="16128" max="16128" width="2" style="787" customWidth="1"/>
    <col min="16129" max="16129" width="32.140625" style="787" customWidth="1"/>
    <col min="16130" max="16130" width="10.5703125" style="787" customWidth="1"/>
    <col min="16131" max="16137" width="10.28515625" style="787" bestFit="1" customWidth="1"/>
    <col min="16138" max="16138" width="11.28515625" style="787" bestFit="1" customWidth="1"/>
    <col min="16139" max="16384" width="9.140625" style="787"/>
  </cols>
  <sheetData>
    <row r="1" spans="2:14" x14ac:dyDescent="0.2">
      <c r="C1" s="1400" t="s">
        <v>610</v>
      </c>
      <c r="D1" s="1400"/>
      <c r="E1" s="1400"/>
      <c r="F1" s="1400"/>
      <c r="G1" s="1400"/>
      <c r="H1" s="1401" t="s">
        <v>558</v>
      </c>
      <c r="I1" s="1401"/>
      <c r="J1" s="1401"/>
    </row>
    <row r="2" spans="2:14" s="789" customFormat="1" x14ac:dyDescent="0.2">
      <c r="B2" s="788" t="s">
        <v>479</v>
      </c>
      <c r="C2" s="1187" t="s">
        <v>521</v>
      </c>
      <c r="D2" s="1187" t="s">
        <v>526</v>
      </c>
      <c r="E2" s="1187" t="s">
        <v>605</v>
      </c>
      <c r="F2" s="1187" t="s">
        <v>606</v>
      </c>
      <c r="G2" s="1187" t="s">
        <v>617</v>
      </c>
      <c r="H2" s="1188" t="s">
        <v>620</v>
      </c>
      <c r="I2" s="1188" t="s">
        <v>621</v>
      </c>
      <c r="J2" s="1188" t="s">
        <v>612</v>
      </c>
      <c r="K2" s="1188" t="s">
        <v>612</v>
      </c>
      <c r="L2" s="790"/>
      <c r="M2" s="790"/>
      <c r="N2" s="790"/>
    </row>
    <row r="3" spans="2:14" s="789" customFormat="1" x14ac:dyDescent="0.2">
      <c r="B3" s="791"/>
      <c r="C3" s="1189"/>
      <c r="D3" s="1189"/>
      <c r="E3" s="1189"/>
      <c r="F3" s="1189"/>
      <c r="G3" s="1189"/>
      <c r="H3" s="1190"/>
      <c r="I3" s="1190"/>
      <c r="J3" s="1190"/>
      <c r="K3" s="1190"/>
      <c r="L3" s="790"/>
      <c r="M3" s="790"/>
      <c r="N3" s="790"/>
    </row>
    <row r="4" spans="2:14" x14ac:dyDescent="0.2">
      <c r="B4" s="786" t="s">
        <v>559</v>
      </c>
      <c r="C4" s="1191">
        <f>'yrP&amp;L'!AL7</f>
        <v>15324.038457838597</v>
      </c>
      <c r="D4" s="1191">
        <f>'yrP&amp;L'!AM7</f>
        <v>15793.189685123163</v>
      </c>
      <c r="E4" s="1191">
        <f>'yrP&amp;L'!AN7</f>
        <v>16198.198393998615</v>
      </c>
      <c r="F4" s="1191">
        <f>'yrP&amp;L'!AO7</f>
        <v>16596.766507816799</v>
      </c>
      <c r="G4" s="1191">
        <f>'yrP&amp;L'!AP7</f>
        <v>16891.756163270493</v>
      </c>
      <c r="H4" s="1192">
        <f>G4*(1+H5)</f>
        <v>17229.591286535902</v>
      </c>
      <c r="I4" s="1192">
        <f>H4*(1+I5)</f>
        <v>17488.035155833939</v>
      </c>
      <c r="J4" s="1192">
        <f>I4*(1+J5)</f>
        <v>17662.915507392278</v>
      </c>
      <c r="K4" s="1192">
        <f>J4*(1+K5)</f>
        <v>17839.5446624662</v>
      </c>
    </row>
    <row r="5" spans="2:14" x14ac:dyDescent="0.2">
      <c r="B5" s="786" t="s">
        <v>203</v>
      </c>
      <c r="C5" s="1193">
        <f>'yrP&amp;L'!AL8</f>
        <v>1.2356375625196314E-2</v>
      </c>
      <c r="D5" s="1193">
        <f>'yrP&amp;L'!AM8</f>
        <v>3.0615377831069379E-2</v>
      </c>
      <c r="E5" s="1193">
        <f>'yrP&amp;L'!AN8</f>
        <v>2.5644516209221591E-2</v>
      </c>
      <c r="F5" s="1193">
        <f>'yrP&amp;L'!AO8</f>
        <v>2.4605706395462557E-2</v>
      </c>
      <c r="G5" s="1193">
        <f>'yrP&amp;L'!AP8</f>
        <v>1.7773923331075192E-2</v>
      </c>
      <c r="H5" s="1194">
        <v>0.02</v>
      </c>
      <c r="I5" s="1194">
        <v>1.4999999999999999E-2</v>
      </c>
      <c r="J5" s="1194">
        <v>0.01</v>
      </c>
      <c r="K5" s="1194">
        <v>0.01</v>
      </c>
    </row>
    <row r="6" spans="2:14" x14ac:dyDescent="0.2">
      <c r="B6" s="786" t="s">
        <v>327</v>
      </c>
      <c r="C6" s="1191">
        <f>'yrP&amp;L'!AL34</f>
        <v>847.73563867596931</v>
      </c>
      <c r="D6" s="1191">
        <f>'yrP&amp;L'!AM34</f>
        <v>812.85983731807028</v>
      </c>
      <c r="E6" s="1191">
        <f>'yrP&amp;L'!AN34</f>
        <v>781.7326241807541</v>
      </c>
      <c r="F6" s="1191">
        <f>'yrP&amp;L'!AO34</f>
        <v>750.63372010559578</v>
      </c>
      <c r="G6" s="1191">
        <f>'yrP&amp;L'!AP34</f>
        <v>731.61618079369873</v>
      </c>
      <c r="H6" s="1192">
        <f>H4*H7</f>
        <v>711.78932183650079</v>
      </c>
      <c r="I6" s="1192">
        <f>I4*I7</f>
        <v>687.49009135238032</v>
      </c>
      <c r="J6" s="1192">
        <f>J4*J7</f>
        <v>659.03916125111959</v>
      </c>
      <c r="K6" s="1192">
        <f>K4*K7</f>
        <v>576.43182955129976</v>
      </c>
    </row>
    <row r="7" spans="2:14" x14ac:dyDescent="0.2">
      <c r="B7" s="794" t="s">
        <v>560</v>
      </c>
      <c r="C7" s="1193">
        <f>C6/C4</f>
        <v>5.5320641553358481E-2</v>
      </c>
      <c r="D7" s="1193">
        <f>D6/D4</f>
        <v>5.1469009967237099E-2</v>
      </c>
      <c r="E7" s="1193">
        <f>E6/E4</f>
        <v>4.8260467316561806E-2</v>
      </c>
      <c r="F7" s="1193">
        <f>F6/F4</f>
        <v>4.5227708647468161E-2</v>
      </c>
      <c r="G7" s="1193">
        <f>G6/G4</f>
        <v>4.3312025920935804E-2</v>
      </c>
      <c r="H7" s="1194">
        <f>G7-0.002</f>
        <v>4.1312025920935802E-2</v>
      </c>
      <c r="I7" s="1194">
        <f t="shared" ref="I7:J7" si="0">H7-0.002</f>
        <v>3.93120259209358E-2</v>
      </c>
      <c r="J7" s="1194">
        <f t="shared" si="0"/>
        <v>3.7312025920935799E-2</v>
      </c>
      <c r="K7" s="1194">
        <f>J7-0.005</f>
        <v>3.2312025920935801E-2</v>
      </c>
    </row>
    <row r="8" spans="2:14" s="796" customFormat="1" x14ac:dyDescent="0.2">
      <c r="B8" s="795" t="s">
        <v>175</v>
      </c>
      <c r="C8" s="1195">
        <f>'yrP&amp;L'!AL46</f>
        <v>0.27492697934661869</v>
      </c>
      <c r="D8" s="1195">
        <f>'yrP&amp;L'!AM46</f>
        <v>0.27492697934661869</v>
      </c>
      <c r="E8" s="1195">
        <f>'yrP&amp;L'!AN46</f>
        <v>0.27492697934661869</v>
      </c>
      <c r="F8" s="1195">
        <f>'yrP&amp;L'!AO46</f>
        <v>0.27492697934661869</v>
      </c>
      <c r="G8" s="1195">
        <f>'yrP&amp;L'!AP46</f>
        <v>0.27492697934661869</v>
      </c>
      <c r="H8" s="1196">
        <f>G8</f>
        <v>0.27492697934661869</v>
      </c>
      <c r="I8" s="1196">
        <f>H8</f>
        <v>0.27492697934661869</v>
      </c>
      <c r="J8" s="1196">
        <f>I8</f>
        <v>0.27492697934661869</v>
      </c>
      <c r="K8" s="1196">
        <f>J8</f>
        <v>0.27492697934661869</v>
      </c>
    </row>
    <row r="9" spans="2:14" x14ac:dyDescent="0.2">
      <c r="B9" s="786" t="s">
        <v>561</v>
      </c>
      <c r="C9" s="1197">
        <f t="shared" ref="C9:J9" si="1">-C6*C8</f>
        <v>-233.06539842566082</v>
      </c>
      <c r="D9" s="1197">
        <f>-D6*D8</f>
        <v>-223.47709970604095</v>
      </c>
      <c r="E9" s="1197">
        <f>-E6*E8</f>
        <v>-214.91938902272022</v>
      </c>
      <c r="F9" s="1197">
        <f>-F6*F8</f>
        <v>-206.36946126434668</v>
      </c>
      <c r="G9" s="1197">
        <f>-G6*G8</f>
        <v>-201.14102662672127</v>
      </c>
      <c r="H9" s="1198">
        <f t="shared" si="1"/>
        <v>-195.69008818368738</v>
      </c>
      <c r="I9" s="1198">
        <f t="shared" si="1"/>
        <v>-189.00957414624085</v>
      </c>
      <c r="J9" s="1198">
        <f t="shared" si="1"/>
        <v>-181.18764587389947</v>
      </c>
      <c r="K9" s="1198">
        <f>-K6*K8</f>
        <v>-158.47666169778381</v>
      </c>
    </row>
    <row r="10" spans="2:14" x14ac:dyDescent="0.2">
      <c r="B10" s="786" t="s">
        <v>528</v>
      </c>
      <c r="C10" s="1199">
        <f>C6+C9</f>
        <v>614.67024025030855</v>
      </c>
      <c r="D10" s="1199">
        <f t="shared" ref="D10:J10" si="2">D6+D9</f>
        <v>589.38273761202936</v>
      </c>
      <c r="E10" s="1199">
        <f t="shared" si="2"/>
        <v>566.81323515803388</v>
      </c>
      <c r="F10" s="1199">
        <f t="shared" si="2"/>
        <v>544.2642588412491</v>
      </c>
      <c r="G10" s="1199">
        <f>G6+G9</f>
        <v>530.47515416697752</v>
      </c>
      <c r="H10" s="1200">
        <f t="shared" si="2"/>
        <v>516.09923365281338</v>
      </c>
      <c r="I10" s="1200">
        <f t="shared" si="2"/>
        <v>498.48051720613944</v>
      </c>
      <c r="J10" s="1200">
        <f t="shared" si="2"/>
        <v>477.85151537722015</v>
      </c>
      <c r="K10" s="1200">
        <f>K6+K9</f>
        <v>417.95516785351595</v>
      </c>
    </row>
    <row r="11" spans="2:14" s="798" customFormat="1" hidden="1" x14ac:dyDescent="0.2">
      <c r="B11" s="797" t="s">
        <v>562</v>
      </c>
      <c r="C11" s="1201">
        <f t="shared" ref="C11:J11" si="3">C10/C4</f>
        <v>4.0111504675576601E-2</v>
      </c>
      <c r="D11" s="1201">
        <f t="shared" si="3"/>
        <v>3.73187905269836E-2</v>
      </c>
      <c r="E11" s="1201">
        <f t="shared" si="3"/>
        <v>3.4992362815363255E-2</v>
      </c>
      <c r="F11" s="1201">
        <f t="shared" si="3"/>
        <v>3.2793391326250795E-2</v>
      </c>
      <c r="G11" s="1201">
        <f t="shared" si="3"/>
        <v>3.1404381465110473E-2</v>
      </c>
      <c r="H11" s="1202">
        <f t="shared" si="3"/>
        <v>2.9954235423803707E-2</v>
      </c>
      <c r="I11" s="1202">
        <f t="shared" si="3"/>
        <v>2.8504089382496944E-2</v>
      </c>
      <c r="J11" s="1202">
        <f t="shared" si="3"/>
        <v>2.7053943341190184E-2</v>
      </c>
      <c r="K11" s="1202">
        <f>K10/K4</f>
        <v>2.3428578237923277E-2</v>
      </c>
    </row>
    <row r="12" spans="2:14" ht="6.75" customHeight="1" x14ac:dyDescent="0.2">
      <c r="C12" s="1203"/>
      <c r="D12" s="1203"/>
      <c r="E12" s="1203"/>
      <c r="F12" s="1203"/>
      <c r="G12" s="1203"/>
      <c r="H12" s="1204"/>
      <c r="I12" s="1204"/>
      <c r="J12" s="1204"/>
      <c r="K12" s="1204"/>
    </row>
    <row r="13" spans="2:14" x14ac:dyDescent="0.2">
      <c r="B13" s="799" t="s">
        <v>563</v>
      </c>
      <c r="C13" s="1197">
        <f>flow!AN10</f>
        <v>642</v>
      </c>
      <c r="D13" s="1197">
        <f>flow!AO10</f>
        <v>632</v>
      </c>
      <c r="E13" s="1197">
        <f>flow!AP10</f>
        <v>622</v>
      </c>
      <c r="F13" s="1197">
        <f>flow!AQ10</f>
        <v>612</v>
      </c>
      <c r="G13" s="1197">
        <f>flow!AR10</f>
        <v>602</v>
      </c>
      <c r="H13" s="1198">
        <f>H14*H4</f>
        <v>614.04000000000008</v>
      </c>
      <c r="I13" s="1198">
        <f>I14*I4</f>
        <v>623.25059999999996</v>
      </c>
      <c r="J13" s="1198">
        <f>J14*J4</f>
        <v>629.48310599999991</v>
      </c>
      <c r="K13" s="1198">
        <f>K14*K4</f>
        <v>635.77793705999989</v>
      </c>
    </row>
    <row r="14" spans="2:14" x14ac:dyDescent="0.2">
      <c r="C14" s="1193">
        <f>C13/C4</f>
        <v>4.1894961420669258E-2</v>
      </c>
      <c r="D14" s="1193">
        <f>D13/D4</f>
        <v>4.0017248738253935E-2</v>
      </c>
      <c r="E14" s="1193">
        <f>E13/E4</f>
        <v>3.8399332127605573E-2</v>
      </c>
      <c r="F14" s="1193">
        <f t="shared" ref="F14:G14" si="4">F13/F4</f>
        <v>3.6874652644643659E-2</v>
      </c>
      <c r="G14" s="1193">
        <f t="shared" si="4"/>
        <v>3.5638686361634288E-2</v>
      </c>
      <c r="H14" s="1205">
        <f t="shared" ref="H14:K14" si="5">G14</f>
        <v>3.5638686361634288E-2</v>
      </c>
      <c r="I14" s="1205">
        <f t="shared" si="5"/>
        <v>3.5638686361634288E-2</v>
      </c>
      <c r="J14" s="1205">
        <f t="shared" si="5"/>
        <v>3.5638686361634288E-2</v>
      </c>
      <c r="K14" s="1205">
        <f t="shared" si="5"/>
        <v>3.5638686361634288E-2</v>
      </c>
    </row>
    <row r="15" spans="2:14" x14ac:dyDescent="0.2">
      <c r="B15" s="799" t="s">
        <v>564</v>
      </c>
      <c r="C15" s="1191">
        <f>flow!AN15</f>
        <v>-740</v>
      </c>
      <c r="D15" s="1191">
        <f>flow!AO15</f>
        <v>-620</v>
      </c>
      <c r="E15" s="1191">
        <f>flow!AP15</f>
        <v>-620</v>
      </c>
      <c r="F15" s="1191">
        <f>flow!AQ15</f>
        <v>-620</v>
      </c>
      <c r="G15" s="1191">
        <f>flow!AR15</f>
        <v>-620</v>
      </c>
      <c r="H15" s="1192">
        <f>G15*(1+H5)</f>
        <v>-632.4</v>
      </c>
      <c r="I15" s="1192">
        <f>H15*(1+I5)</f>
        <v>-641.88599999999997</v>
      </c>
      <c r="J15" s="1192">
        <f>J13*-1</f>
        <v>-629.48310599999991</v>
      </c>
      <c r="K15" s="1192">
        <f>J15*(1+K5)</f>
        <v>-635.77793705999989</v>
      </c>
    </row>
    <row r="16" spans="2:14" x14ac:dyDescent="0.2">
      <c r="B16" s="799"/>
      <c r="C16" s="1191"/>
      <c r="D16" s="1191"/>
      <c r="E16" s="1191"/>
      <c r="F16" s="1191"/>
      <c r="G16" s="1191"/>
      <c r="H16" s="1206"/>
      <c r="I16" s="1206"/>
      <c r="J16" s="1206"/>
      <c r="K16" s="1206"/>
    </row>
    <row r="17" spans="2:11" x14ac:dyDescent="0.2">
      <c r="B17" s="799" t="s">
        <v>565</v>
      </c>
      <c r="C17" s="1197">
        <f>flow!AN24</f>
        <v>-115.69803596048456</v>
      </c>
      <c r="D17" s="1197">
        <f>flow!AO24</f>
        <v>-26.802410482526369</v>
      </c>
      <c r="E17" s="1197">
        <f>flow!AP24</f>
        <v>-23.019777641785367</v>
      </c>
      <c r="F17" s="1197">
        <f>flow!AQ24</f>
        <v>-22.870331714274357</v>
      </c>
      <c r="G17" s="1197">
        <f>flow!AR24</f>
        <v>-14.980454002734774</v>
      </c>
      <c r="H17" s="1198">
        <f t="shared" ref="H17:K17" si="6">G17</f>
        <v>-14.980454002734774</v>
      </c>
      <c r="I17" s="1198">
        <f t="shared" si="6"/>
        <v>-14.980454002734774</v>
      </c>
      <c r="J17" s="1198">
        <f t="shared" si="6"/>
        <v>-14.980454002734774</v>
      </c>
      <c r="K17" s="1198">
        <f t="shared" si="6"/>
        <v>-14.980454002734774</v>
      </c>
    </row>
    <row r="18" spans="2:11" x14ac:dyDescent="0.2">
      <c r="B18" s="786" t="s">
        <v>566</v>
      </c>
      <c r="C18" s="1199">
        <f t="shared" ref="C18:J18" si="7">SUM(C15:C17)</f>
        <v>-855.6980359604845</v>
      </c>
      <c r="D18" s="1199">
        <f t="shared" si="7"/>
        <v>-646.8024104825264</v>
      </c>
      <c r="E18" s="1199">
        <f t="shared" si="7"/>
        <v>-643.01977764178537</v>
      </c>
      <c r="F18" s="1199">
        <f t="shared" si="7"/>
        <v>-642.87033171427436</v>
      </c>
      <c r="G18" s="1199">
        <f t="shared" si="7"/>
        <v>-634.98045400273475</v>
      </c>
      <c r="H18" s="1200">
        <f t="shared" si="7"/>
        <v>-647.38045400273472</v>
      </c>
      <c r="I18" s="1200">
        <f t="shared" si="7"/>
        <v>-656.86645400273471</v>
      </c>
      <c r="J18" s="1200">
        <f t="shared" si="7"/>
        <v>-644.46356000273465</v>
      </c>
      <c r="K18" s="1200">
        <f>SUM(K15:K17)</f>
        <v>-650.75839106273463</v>
      </c>
    </row>
    <row r="19" spans="2:11" s="798" customFormat="1" hidden="1" x14ac:dyDescent="0.2">
      <c r="B19" s="798" t="s">
        <v>567</v>
      </c>
      <c r="C19" s="1207"/>
      <c r="D19" s="1207"/>
      <c r="E19" s="1207"/>
      <c r="F19" s="1207"/>
      <c r="G19" s="1207"/>
      <c r="H19" s="1208"/>
      <c r="I19" s="1208"/>
      <c r="J19" s="1208"/>
      <c r="K19" s="1208"/>
    </row>
    <row r="20" spans="2:11" ht="9" customHeight="1" x14ac:dyDescent="0.2">
      <c r="C20" s="1209"/>
      <c r="D20" s="1209"/>
      <c r="E20" s="1209"/>
      <c r="F20" s="1209"/>
      <c r="G20" s="1209"/>
      <c r="H20" s="1210"/>
      <c r="I20" s="1210"/>
      <c r="J20" s="1210"/>
      <c r="K20" s="1210"/>
    </row>
    <row r="21" spans="2:11" x14ac:dyDescent="0.2">
      <c r="B21" s="791" t="s">
        <v>568</v>
      </c>
      <c r="C21" s="1211">
        <f t="shared" ref="C21:J21" si="8">C10+C13+C18</f>
        <v>400.97220428982405</v>
      </c>
      <c r="D21" s="1211">
        <f t="shared" si="8"/>
        <v>574.58032712950296</v>
      </c>
      <c r="E21" s="1211">
        <f t="shared" si="8"/>
        <v>545.79345751624851</v>
      </c>
      <c r="F21" s="1211">
        <f t="shared" si="8"/>
        <v>513.39392712697475</v>
      </c>
      <c r="G21" s="1211">
        <f t="shared" si="8"/>
        <v>497.49470016424277</v>
      </c>
      <c r="H21" s="1212">
        <f t="shared" si="8"/>
        <v>482.75877965007862</v>
      </c>
      <c r="I21" s="1212">
        <f t="shared" si="8"/>
        <v>464.8646632034048</v>
      </c>
      <c r="J21" s="1212">
        <f t="shared" si="8"/>
        <v>462.87106137448552</v>
      </c>
      <c r="K21" s="1212">
        <f>K10+K13+K18</f>
        <v>402.97471385078131</v>
      </c>
    </row>
    <row r="22" spans="2:11" s="802" customFormat="1" x14ac:dyDescent="0.2">
      <c r="B22" s="800"/>
      <c r="C22" s="800"/>
      <c r="D22" s="800"/>
      <c r="E22" s="800"/>
      <c r="F22" s="800"/>
      <c r="G22" s="801"/>
      <c r="H22" s="801"/>
      <c r="I22" s="801"/>
    </row>
    <row r="23" spans="2:11" s="805" customFormat="1" ht="11.25" x14ac:dyDescent="0.2">
      <c r="B23" s="803"/>
      <c r="C23" s="804">
        <v>0</v>
      </c>
      <c r="D23" s="804">
        <f t="shared" ref="D23:I23" si="9">C23+1</f>
        <v>1</v>
      </c>
      <c r="E23" s="804">
        <f t="shared" si="9"/>
        <v>2</v>
      </c>
      <c r="F23" s="804">
        <f t="shared" si="9"/>
        <v>3</v>
      </c>
      <c r="G23" s="804">
        <f t="shared" si="9"/>
        <v>4</v>
      </c>
      <c r="H23" s="804">
        <f t="shared" si="9"/>
        <v>5</v>
      </c>
      <c r="I23" s="804">
        <f t="shared" si="9"/>
        <v>6</v>
      </c>
      <c r="J23" s="805">
        <v>7</v>
      </c>
      <c r="K23" s="805">
        <v>7</v>
      </c>
    </row>
    <row r="24" spans="2:11" x14ac:dyDescent="0.2">
      <c r="B24" s="1213" t="s">
        <v>569</v>
      </c>
      <c r="C24" s="1214">
        <f>1/(1+$H$39)^C23</f>
        <v>1</v>
      </c>
      <c r="D24" s="1214">
        <f t="shared" ref="D24:J24" si="10">1/(1+$H$39)^D23</f>
        <v>1</v>
      </c>
      <c r="E24" s="1214">
        <f t="shared" si="10"/>
        <v>1</v>
      </c>
      <c r="F24" s="1214">
        <f t="shared" si="10"/>
        <v>1</v>
      </c>
      <c r="G24" s="1214">
        <f t="shared" si="10"/>
        <v>1</v>
      </c>
      <c r="H24" s="1214">
        <f t="shared" si="10"/>
        <v>1</v>
      </c>
      <c r="I24" s="1214">
        <f>1/(1+$H$39)^I23</f>
        <v>1</v>
      </c>
      <c r="J24" s="1214">
        <f t="shared" si="10"/>
        <v>1</v>
      </c>
      <c r="K24" s="1214">
        <f>1/(1+$H$39)^K23</f>
        <v>1</v>
      </c>
    </row>
    <row r="25" spans="2:11" x14ac:dyDescent="0.2">
      <c r="B25" s="1215" t="s">
        <v>570</v>
      </c>
      <c r="C25" s="1216">
        <f t="shared" ref="C25:J25" si="11">C21*C24</f>
        <v>400.97220428982405</v>
      </c>
      <c r="D25" s="1216">
        <f t="shared" si="11"/>
        <v>574.58032712950296</v>
      </c>
      <c r="E25" s="1216">
        <f t="shared" si="11"/>
        <v>545.79345751624851</v>
      </c>
      <c r="F25" s="1216">
        <f t="shared" si="11"/>
        <v>513.39392712697475</v>
      </c>
      <c r="G25" s="1216">
        <f t="shared" si="11"/>
        <v>497.49470016424277</v>
      </c>
      <c r="H25" s="1216">
        <f t="shared" si="11"/>
        <v>482.75877965007862</v>
      </c>
      <c r="I25" s="1216">
        <f t="shared" si="11"/>
        <v>464.8646632034048</v>
      </c>
      <c r="J25" s="1217">
        <f t="shared" si="11"/>
        <v>462.87106137448552</v>
      </c>
      <c r="K25" s="1217">
        <f>K21*K24</f>
        <v>402.97471385078131</v>
      </c>
    </row>
    <row r="26" spans="2:11" x14ac:dyDescent="0.2">
      <c r="B26" s="1213" t="s">
        <v>571</v>
      </c>
      <c r="C26" s="1203"/>
      <c r="D26" s="1203"/>
      <c r="E26" s="1203"/>
      <c r="F26" s="1203"/>
      <c r="G26" s="1203"/>
      <c r="H26" s="1203"/>
      <c r="I26" s="1203"/>
      <c r="J26" s="1213">
        <f>(J21*(1+C29))/(H34-C29)</f>
        <v>6260.4102732396304</v>
      </c>
      <c r="K26" s="1213">
        <f>(K21*(1+C29))/(H34-C29)</f>
        <v>5450.3019284806242</v>
      </c>
    </row>
    <row r="27" spans="2:11" x14ac:dyDescent="0.2">
      <c r="B27" s="1218" t="s">
        <v>572</v>
      </c>
      <c r="C27" s="1219"/>
      <c r="D27" s="1219"/>
      <c r="E27" s="1219"/>
      <c r="F27" s="1219"/>
      <c r="G27" s="1219"/>
      <c r="H27" s="1219"/>
      <c r="I27" s="1219"/>
      <c r="J27" s="1217">
        <f>J26*J24</f>
        <v>6260.4102732396304</v>
      </c>
      <c r="K27" s="1217">
        <f>K26*K24</f>
        <v>5450.3019284806242</v>
      </c>
    </row>
    <row r="29" spans="2:11" x14ac:dyDescent="0.2">
      <c r="B29" s="806" t="s">
        <v>573</v>
      </c>
      <c r="C29" s="808">
        <v>5.0000000000000001E-3</v>
      </c>
      <c r="E29" s="806" t="s">
        <v>575</v>
      </c>
      <c r="F29" s="806"/>
      <c r="H29" s="809">
        <v>2.9499999999999998E-2</v>
      </c>
    </row>
    <row r="30" spans="2:11" x14ac:dyDescent="0.2">
      <c r="B30" s="806"/>
      <c r="E30" s="806" t="s">
        <v>576</v>
      </c>
      <c r="F30" s="806"/>
      <c r="H30" s="811">
        <v>5.0799999999999998E-2</v>
      </c>
    </row>
    <row r="31" spans="2:11" x14ac:dyDescent="0.2">
      <c r="B31" s="806" t="s">
        <v>574</v>
      </c>
      <c r="C31" s="806">
        <f>bal!AO29+bal!AO25</f>
        <v>2737.35</v>
      </c>
      <c r="E31" s="806" t="s">
        <v>577</v>
      </c>
      <c r="F31" s="812"/>
      <c r="H31" s="813">
        <v>1.23</v>
      </c>
    </row>
    <row r="32" spans="2:11" x14ac:dyDescent="0.2">
      <c r="B32" s="806" t="s">
        <v>593</v>
      </c>
      <c r="C32" s="810">
        <f>bal!AO9</f>
        <v>1039.4743838795378</v>
      </c>
      <c r="E32" s="806" t="s">
        <v>579</v>
      </c>
      <c r="F32" s="806"/>
      <c r="H32" s="809">
        <f>H29+H31*(H30)</f>
        <v>9.1983999999999996E-2</v>
      </c>
    </row>
    <row r="33" spans="2:10" x14ac:dyDescent="0.2">
      <c r="B33" s="812" t="s">
        <v>531</v>
      </c>
      <c r="C33" s="812">
        <f>C31-C32</f>
        <v>1697.8756161204622</v>
      </c>
      <c r="E33" s="806"/>
      <c r="F33" s="806"/>
      <c r="G33" s="806"/>
      <c r="H33" s="816"/>
    </row>
    <row r="34" spans="2:10" x14ac:dyDescent="0.2">
      <c r="B34" s="814" t="s">
        <v>578</v>
      </c>
      <c r="C34" s="815">
        <v>5.4149467107681003E-2</v>
      </c>
      <c r="E34" s="807" t="s">
        <v>527</v>
      </c>
      <c r="F34" s="817"/>
      <c r="G34" s="817"/>
      <c r="H34" s="818">
        <f>(C31/(C31+C39))*C35 + (C39/(C31+C39))*H32</f>
        <v>7.9305899514255679E-2</v>
      </c>
    </row>
    <row r="35" spans="2:10" x14ac:dyDescent="0.2">
      <c r="B35" s="814" t="s">
        <v>622</v>
      </c>
      <c r="C35" s="815">
        <f>C34*(1-0.21)</f>
        <v>4.2778079015067992E-2</v>
      </c>
    </row>
    <row r="36" spans="2:10" x14ac:dyDescent="0.2">
      <c r="B36" s="806"/>
      <c r="C36" s="806"/>
    </row>
    <row r="37" spans="2:10" x14ac:dyDescent="0.2">
      <c r="B37" s="806" t="s">
        <v>580</v>
      </c>
      <c r="C37" s="806">
        <f>'qtrP&amp;L'!DL194</f>
        <v>163.32124999999999</v>
      </c>
      <c r="D37" s="806"/>
      <c r="E37" s="819"/>
      <c r="F37" s="820"/>
      <c r="G37" s="820"/>
    </row>
    <row r="38" spans="2:10" x14ac:dyDescent="0.2">
      <c r="B38" s="806" t="s">
        <v>581</v>
      </c>
      <c r="C38" s="821">
        <v>48.29</v>
      </c>
      <c r="D38" s="822"/>
      <c r="E38" s="823"/>
      <c r="F38" s="820"/>
      <c r="G38" s="820"/>
    </row>
    <row r="39" spans="2:10" x14ac:dyDescent="0.2">
      <c r="B39" s="812" t="s">
        <v>582</v>
      </c>
      <c r="C39" s="812">
        <f>C37*C38</f>
        <v>7886.7831624999999</v>
      </c>
      <c r="D39" s="820"/>
      <c r="E39" s="823"/>
      <c r="F39" s="820"/>
      <c r="G39" s="820"/>
    </row>
    <row r="40" spans="2:10" x14ac:dyDescent="0.2">
      <c r="B40" s="812" t="s">
        <v>583</v>
      </c>
      <c r="C40" s="812">
        <f>C33+C39</f>
        <v>9584.6587786204618</v>
      </c>
    </row>
    <row r="41" spans="2:10" x14ac:dyDescent="0.2">
      <c r="B41" s="806"/>
      <c r="C41" s="806"/>
      <c r="D41" s="806"/>
      <c r="E41" s="806"/>
      <c r="F41" s="806"/>
      <c r="G41" s="806"/>
    </row>
    <row r="42" spans="2:10" x14ac:dyDescent="0.2">
      <c r="B42" s="806" t="s">
        <v>584</v>
      </c>
      <c r="C42" s="806">
        <f>SUM(C25:J25)</f>
        <v>3942.7291204547619</v>
      </c>
      <c r="D42" s="806"/>
      <c r="E42" s="806"/>
      <c r="F42" s="806"/>
      <c r="G42" s="806"/>
    </row>
    <row r="43" spans="2:10" x14ac:dyDescent="0.2">
      <c r="B43" s="806" t="s">
        <v>572</v>
      </c>
      <c r="C43" s="810">
        <f>J26</f>
        <v>6260.4102732396304</v>
      </c>
      <c r="D43" s="806"/>
      <c r="E43" s="806"/>
      <c r="F43" s="806"/>
      <c r="G43" s="806"/>
      <c r="J43" s="824">
        <v>45.534102678820297</v>
      </c>
    </row>
    <row r="44" spans="2:10" x14ac:dyDescent="0.2">
      <c r="B44" s="812" t="s">
        <v>585</v>
      </c>
      <c r="C44" s="812">
        <f>SUM(C42:C43)</f>
        <v>10203.139393694393</v>
      </c>
      <c r="D44" s="806"/>
      <c r="E44" s="806"/>
      <c r="F44" s="806"/>
      <c r="G44" s="806"/>
      <c r="I44" s="822"/>
      <c r="J44" s="822"/>
    </row>
    <row r="45" spans="2:10" x14ac:dyDescent="0.2">
      <c r="B45" s="806" t="s">
        <v>586</v>
      </c>
      <c r="C45" s="806">
        <f>-C31</f>
        <v>-2737.35</v>
      </c>
      <c r="D45" s="822"/>
      <c r="E45" s="822"/>
      <c r="F45" s="822"/>
      <c r="G45" s="822"/>
    </row>
    <row r="46" spans="2:10" hidden="1" outlineLevel="1" x14ac:dyDescent="0.2">
      <c r="B46" s="806" t="s">
        <v>587</v>
      </c>
      <c r="C46" s="825">
        <f>+C32</f>
        <v>1039.4743838795378</v>
      </c>
      <c r="D46" s="806"/>
      <c r="E46" s="806"/>
      <c r="F46" s="806"/>
      <c r="G46" s="806"/>
    </row>
    <row r="47" spans="2:10" hidden="1" outlineLevel="1" x14ac:dyDescent="0.2">
      <c r="B47" s="806" t="s">
        <v>588</v>
      </c>
      <c r="C47" s="825">
        <v>0</v>
      </c>
      <c r="D47" s="806"/>
      <c r="E47" s="806"/>
      <c r="F47" s="806"/>
      <c r="G47" s="806"/>
    </row>
    <row r="48" spans="2:10" collapsed="1" x14ac:dyDescent="0.2">
      <c r="B48" s="806" t="s">
        <v>589</v>
      </c>
      <c r="C48" s="826" t="s">
        <v>83</v>
      </c>
      <c r="D48" s="806"/>
      <c r="E48" s="806"/>
      <c r="F48" s="806"/>
      <c r="G48" s="806"/>
    </row>
    <row r="49" spans="2:10" x14ac:dyDescent="0.2">
      <c r="B49" s="812" t="s">
        <v>590</v>
      </c>
      <c r="C49" s="812">
        <f>SUM(C44:C48)</f>
        <v>8505.2637775739313</v>
      </c>
      <c r="D49" s="806"/>
      <c r="E49" s="806"/>
      <c r="F49" s="806"/>
      <c r="G49" s="806"/>
    </row>
    <row r="50" spans="2:10" x14ac:dyDescent="0.2">
      <c r="B50" s="807" t="s">
        <v>591</v>
      </c>
      <c r="C50" s="827">
        <f>C49/C37</f>
        <v>52.076896163689241</v>
      </c>
      <c r="D50" s="806"/>
      <c r="E50" s="806"/>
      <c r="F50" s="806"/>
      <c r="G50" s="806"/>
    </row>
    <row r="51" spans="2:10" x14ac:dyDescent="0.2">
      <c r="B51" s="806"/>
      <c r="C51" s="792"/>
    </row>
    <row r="52" spans="2:10" x14ac:dyDescent="0.2">
      <c r="B52" s="807" t="s">
        <v>592</v>
      </c>
      <c r="C52" s="827">
        <f>C50*(1+H32)</f>
        <v>56.867137380410036</v>
      </c>
    </row>
    <row r="53" spans="2:10" x14ac:dyDescent="0.2">
      <c r="B53" s="806"/>
      <c r="C53" s="793"/>
      <c r="D53" s="793"/>
      <c r="E53" s="793"/>
      <c r="F53" s="793"/>
      <c r="G53" s="793"/>
      <c r="H53" s="793"/>
      <c r="I53" s="793"/>
      <c r="J53" s="793"/>
    </row>
    <row r="54" spans="2:10" x14ac:dyDescent="0.2">
      <c r="B54" s="806"/>
    </row>
    <row r="55" spans="2:10" x14ac:dyDescent="0.2">
      <c r="B55" s="806"/>
    </row>
    <row r="56" spans="2:10" x14ac:dyDescent="0.2">
      <c r="B56" s="806"/>
    </row>
    <row r="57" spans="2:10" x14ac:dyDescent="0.2">
      <c r="B57" s="806"/>
    </row>
    <row r="58" spans="2:10" x14ac:dyDescent="0.2">
      <c r="B58" s="806"/>
    </row>
    <row r="59" spans="2:10" x14ac:dyDescent="0.2">
      <c r="B59" s="806"/>
    </row>
    <row r="60" spans="2:10" x14ac:dyDescent="0.2">
      <c r="B60" s="806"/>
    </row>
    <row r="61" spans="2:10" x14ac:dyDescent="0.2">
      <c r="B61" s="806"/>
    </row>
  </sheetData>
  <mergeCells count="2">
    <mergeCell ref="C1:G1"/>
    <mergeCell ref="H1:J1"/>
  </mergeCells>
  <pageMargins left="0" right="0" top="0" bottom="0" header="0" footer="0"/>
  <pageSetup paperSize="5" orientation="landscape"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AD183"/>
  <sheetViews>
    <sheetView workbookViewId="0">
      <selection activeCell="R49" sqref="R49"/>
    </sheetView>
  </sheetViews>
  <sheetFormatPr defaultRowHeight="12.75" outlineLevelRow="1" x14ac:dyDescent="0.2"/>
  <cols>
    <col min="1" max="1" width="3.140625" customWidth="1"/>
    <col min="2" max="2" width="55" customWidth="1"/>
    <col min="3" max="26" width="7.5703125" customWidth="1"/>
    <col min="27" max="27" width="7.5703125" style="237" customWidth="1"/>
    <col min="28" max="30" width="6.7109375" customWidth="1"/>
    <col min="31" max="31" width="16.140625" customWidth="1"/>
    <col min="32" max="36" width="6.7109375" customWidth="1"/>
  </cols>
  <sheetData>
    <row r="1" spans="1:30" ht="15.95" customHeight="1" x14ac:dyDescent="0.2">
      <c r="A1" s="22"/>
      <c r="B1" s="23" t="s">
        <v>298</v>
      </c>
      <c r="C1" s="24"/>
      <c r="D1" s="24"/>
      <c r="E1" s="24"/>
      <c r="F1" s="24"/>
      <c r="G1" s="25"/>
      <c r="H1" s="25"/>
      <c r="I1" s="25"/>
      <c r="J1" s="25"/>
      <c r="K1" s="25"/>
      <c r="L1" s="25"/>
      <c r="M1" s="25"/>
      <c r="N1" s="25"/>
      <c r="O1" s="25"/>
      <c r="P1" s="25"/>
      <c r="Q1" s="25"/>
      <c r="R1" s="25"/>
      <c r="S1" s="22"/>
      <c r="T1" s="22"/>
      <c r="U1" s="22"/>
      <c r="V1" s="22"/>
      <c r="W1" s="22"/>
      <c r="X1" s="22"/>
      <c r="Y1" s="22"/>
      <c r="Z1" s="22"/>
      <c r="AA1" s="22"/>
      <c r="AB1" s="22"/>
      <c r="AC1" s="22"/>
      <c r="AD1" s="22"/>
    </row>
    <row r="2" spans="1:30" x14ac:dyDescent="0.2">
      <c r="A2" s="22"/>
      <c r="B2" s="23" t="s">
        <v>358</v>
      </c>
      <c r="C2" s="24"/>
      <c r="D2" s="24"/>
      <c r="E2" s="24"/>
      <c r="F2" s="24"/>
      <c r="G2" s="25"/>
      <c r="H2" s="25"/>
      <c r="I2" s="25"/>
      <c r="J2" s="26"/>
      <c r="K2" s="25"/>
      <c r="L2" s="25"/>
      <c r="M2" s="25"/>
      <c r="N2" s="27"/>
      <c r="O2" s="27"/>
      <c r="P2" s="27"/>
      <c r="Q2" s="27"/>
      <c r="R2" s="27"/>
      <c r="S2" s="27"/>
      <c r="T2" s="27"/>
      <c r="U2" s="27"/>
      <c r="V2" s="27"/>
      <c r="W2" s="27"/>
      <c r="X2" s="27"/>
      <c r="Y2" s="27"/>
      <c r="Z2" s="27"/>
      <c r="AA2" s="27"/>
      <c r="AB2" s="22"/>
      <c r="AC2" s="22"/>
      <c r="AD2" s="22"/>
    </row>
    <row r="3" spans="1:30" x14ac:dyDescent="0.2">
      <c r="A3" s="22"/>
      <c r="B3" s="28"/>
      <c r="C3" s="29">
        <f t="shared" ref="C3:I3" si="0">D3-1</f>
        <v>1996</v>
      </c>
      <c r="D3" s="29">
        <f t="shared" si="0"/>
        <v>1997</v>
      </c>
      <c r="E3" s="29">
        <f t="shared" si="0"/>
        <v>1998</v>
      </c>
      <c r="F3" s="29">
        <f t="shared" si="0"/>
        <v>1999</v>
      </c>
      <c r="G3" s="29">
        <f t="shared" si="0"/>
        <v>2000</v>
      </c>
      <c r="H3" s="29">
        <f t="shared" si="0"/>
        <v>2001</v>
      </c>
      <c r="I3" s="29">
        <f t="shared" si="0"/>
        <v>2002</v>
      </c>
      <c r="J3" s="29">
        <v>2003</v>
      </c>
      <c r="K3" s="29">
        <v>2004</v>
      </c>
      <c r="L3" s="29">
        <v>2005</v>
      </c>
      <c r="M3" s="29">
        <v>2006</v>
      </c>
      <c r="N3" s="29">
        <f t="shared" ref="N3:V3" si="1">M3+1</f>
        <v>2007</v>
      </c>
      <c r="O3" s="29">
        <f t="shared" si="1"/>
        <v>2008</v>
      </c>
      <c r="P3" s="29">
        <f t="shared" si="1"/>
        <v>2009</v>
      </c>
      <c r="Q3" s="29">
        <f t="shared" si="1"/>
        <v>2010</v>
      </c>
      <c r="R3" s="29">
        <f t="shared" si="1"/>
        <v>2011</v>
      </c>
      <c r="S3" s="29">
        <f>R3+1</f>
        <v>2012</v>
      </c>
      <c r="T3" s="29">
        <f>S3+1</f>
        <v>2013</v>
      </c>
      <c r="U3" s="29">
        <f>T3+1</f>
        <v>2014</v>
      </c>
      <c r="V3" s="30">
        <f t="shared" si="1"/>
        <v>2015</v>
      </c>
      <c r="W3" s="30">
        <f t="shared" ref="W3:AB3" si="2">V3+1</f>
        <v>2016</v>
      </c>
      <c r="X3" s="30">
        <f t="shared" si="2"/>
        <v>2017</v>
      </c>
      <c r="Y3" s="30">
        <f t="shared" si="2"/>
        <v>2018</v>
      </c>
      <c r="Z3" s="30">
        <f t="shared" si="2"/>
        <v>2019</v>
      </c>
      <c r="AA3" s="30">
        <f t="shared" si="2"/>
        <v>2020</v>
      </c>
      <c r="AB3" s="30">
        <f t="shared" si="2"/>
        <v>2021</v>
      </c>
      <c r="AC3" s="22"/>
      <c r="AD3" s="22"/>
    </row>
    <row r="4" spans="1:30" x14ac:dyDescent="0.2">
      <c r="A4" s="22"/>
      <c r="B4" s="31"/>
      <c r="C4" s="32"/>
      <c r="D4" s="32"/>
      <c r="E4" s="32"/>
      <c r="F4" s="32"/>
      <c r="G4" s="32"/>
      <c r="H4" s="32"/>
      <c r="I4" s="32"/>
      <c r="J4" s="33"/>
      <c r="K4" s="34"/>
      <c r="L4" s="34"/>
      <c r="M4" s="34"/>
      <c r="N4" s="34"/>
      <c r="O4" s="34"/>
      <c r="P4" s="35"/>
      <c r="Q4" s="35"/>
      <c r="R4" s="35"/>
      <c r="S4" s="35"/>
      <c r="T4" s="36"/>
      <c r="U4" s="36"/>
      <c r="V4" s="36"/>
      <c r="W4" s="36"/>
      <c r="X4" s="36"/>
      <c r="Y4" s="36"/>
      <c r="Z4" s="36"/>
      <c r="AA4" s="36"/>
      <c r="AB4" s="36"/>
      <c r="AC4" s="36"/>
      <c r="AD4" s="36"/>
    </row>
    <row r="5" spans="1:30" x14ac:dyDescent="0.2">
      <c r="A5" s="22"/>
      <c r="B5" s="38" t="s">
        <v>359</v>
      </c>
      <c r="C5" s="25"/>
      <c r="D5" s="25"/>
      <c r="E5" s="25"/>
      <c r="F5" s="25"/>
      <c r="G5" s="25"/>
      <c r="H5" s="25"/>
      <c r="I5" s="25"/>
      <c r="J5" s="39"/>
      <c r="K5" s="25"/>
      <c r="L5" s="25"/>
      <c r="M5" s="25"/>
      <c r="N5" s="25"/>
      <c r="O5" s="25"/>
      <c r="P5" s="40"/>
      <c r="Q5" s="41"/>
      <c r="R5" s="41"/>
      <c r="S5" s="41"/>
      <c r="T5" s="42"/>
      <c r="U5" s="42"/>
      <c r="V5" s="42"/>
      <c r="W5" s="42"/>
      <c r="X5" s="42"/>
      <c r="Y5" s="42"/>
      <c r="Z5" s="42"/>
      <c r="AA5" s="42"/>
      <c r="AB5" s="36"/>
      <c r="AC5" s="36"/>
      <c r="AD5" s="36"/>
    </row>
    <row r="6" spans="1:30" x14ac:dyDescent="0.2">
      <c r="A6" s="22"/>
      <c r="B6" s="43" t="s">
        <v>360</v>
      </c>
      <c r="C6" s="44">
        <f t="shared" ref="C6:V6" si="3">C66</f>
        <v>33.283000000000001</v>
      </c>
      <c r="D6" s="44">
        <f t="shared" si="3"/>
        <v>34.68</v>
      </c>
      <c r="E6" s="44">
        <f t="shared" si="3"/>
        <v>38.375</v>
      </c>
      <c r="F6" s="44">
        <f t="shared" si="3"/>
        <v>38.72</v>
      </c>
      <c r="G6" s="44">
        <f t="shared" si="3"/>
        <v>37.977000000000004</v>
      </c>
      <c r="H6" s="44">
        <f t="shared" si="3"/>
        <v>47.094999999999999</v>
      </c>
      <c r="I6" s="44">
        <f t="shared" si="3"/>
        <v>77.087000000000003</v>
      </c>
      <c r="J6" s="44">
        <f t="shared" si="3"/>
        <v>84.609000000000009</v>
      </c>
      <c r="K6" s="44">
        <f t="shared" si="3"/>
        <v>100.389</v>
      </c>
      <c r="L6" s="44">
        <f t="shared" si="3"/>
        <v>77.528999999999996</v>
      </c>
      <c r="M6" s="44">
        <f t="shared" si="3"/>
        <v>81.322000000000003</v>
      </c>
      <c r="N6" s="44">
        <f t="shared" si="3"/>
        <v>81</v>
      </c>
      <c r="O6" s="44">
        <f t="shared" si="3"/>
        <v>76</v>
      </c>
      <c r="P6" s="44">
        <f t="shared" si="3"/>
        <v>89</v>
      </c>
      <c r="Q6" s="44">
        <f t="shared" si="3"/>
        <v>113</v>
      </c>
      <c r="R6" s="44">
        <f t="shared" si="3"/>
        <v>131</v>
      </c>
      <c r="S6" s="44">
        <f>S66</f>
        <v>156</v>
      </c>
      <c r="T6" s="44">
        <f t="shared" si="3"/>
        <v>179.39999999999998</v>
      </c>
      <c r="U6" s="44">
        <f t="shared" si="3"/>
        <v>206.30999999999995</v>
      </c>
      <c r="V6" s="44">
        <f t="shared" si="3"/>
        <v>237.25649999999993</v>
      </c>
      <c r="W6" s="44">
        <f t="shared" ref="W6:AB6" si="4">W66</f>
        <v>272.84497499999992</v>
      </c>
      <c r="X6" s="44">
        <f t="shared" si="4"/>
        <v>313.77172124999987</v>
      </c>
      <c r="Y6" s="44">
        <f t="shared" si="4"/>
        <v>360.83747943749984</v>
      </c>
      <c r="Z6" s="44">
        <f t="shared" si="4"/>
        <v>414.96310135312478</v>
      </c>
      <c r="AA6" s="44">
        <f t="shared" si="4"/>
        <v>477.20756655609347</v>
      </c>
      <c r="AB6" s="44">
        <f t="shared" si="4"/>
        <v>548.78870153950743</v>
      </c>
      <c r="AC6" s="45"/>
      <c r="AD6" s="45"/>
    </row>
    <row r="7" spans="1:30" x14ac:dyDescent="0.2">
      <c r="A7" s="22"/>
      <c r="B7" s="46" t="s">
        <v>361</v>
      </c>
      <c r="C7" s="47">
        <f t="shared" ref="C7:V7" si="5">C18</f>
        <v>-30.501444302886579</v>
      </c>
      <c r="D7" s="47">
        <f t="shared" si="5"/>
        <v>-28.705722968614062</v>
      </c>
      <c r="E7" s="47">
        <f t="shared" si="5"/>
        <v>-31.611319306812366</v>
      </c>
      <c r="F7" s="47">
        <f t="shared" si="5"/>
        <v>-33.208244128707989</v>
      </c>
      <c r="G7" s="47">
        <f t="shared" si="5"/>
        <v>-34.257388493407483</v>
      </c>
      <c r="H7" s="47">
        <f t="shared" si="5"/>
        <v>-35.995228893507836</v>
      </c>
      <c r="I7" s="47">
        <f t="shared" si="5"/>
        <v>-41.827131291422013</v>
      </c>
      <c r="J7" s="47">
        <f t="shared" si="5"/>
        <v>-41.514675867739179</v>
      </c>
      <c r="K7" s="47">
        <f t="shared" si="5"/>
        <v>-45.266570117919187</v>
      </c>
      <c r="L7" s="47">
        <f t="shared" si="5"/>
        <v>-46.894141354560389</v>
      </c>
      <c r="M7" s="47">
        <f t="shared" si="5"/>
        <v>-49.107626724545042</v>
      </c>
      <c r="N7" s="47">
        <f t="shared" si="5"/>
        <v>-47.590356617223968</v>
      </c>
      <c r="O7" s="47">
        <f t="shared" si="5"/>
        <v>-56.869157281614378</v>
      </c>
      <c r="P7" s="47">
        <f t="shared" si="5"/>
        <v>-69.426604125689053</v>
      </c>
      <c r="Q7" s="47">
        <f t="shared" si="5"/>
        <v>-80.580313654058585</v>
      </c>
      <c r="R7" s="47">
        <f t="shared" si="5"/>
        <v>-88.728220931152293</v>
      </c>
      <c r="S7" s="47">
        <f>S18</f>
        <v>-127.39621400109431</v>
      </c>
      <c r="T7" s="47">
        <f t="shared" si="5"/>
        <v>-146.25941493134715</v>
      </c>
      <c r="U7" s="47">
        <f t="shared" si="5"/>
        <v>-163.37816464340352</v>
      </c>
      <c r="V7" s="47">
        <f t="shared" si="5"/>
        <v>-185.90814134813257</v>
      </c>
      <c r="W7" s="47">
        <f t="shared" ref="W7:AB7" si="6">W18</f>
        <v>-175.4790077932571</v>
      </c>
      <c r="X7" s="47">
        <f t="shared" si="6"/>
        <v>-173.72809481218374</v>
      </c>
      <c r="Y7" s="47">
        <f t="shared" si="6"/>
        <v>-178.97765396422477</v>
      </c>
      <c r="Z7" s="47">
        <f t="shared" si="6"/>
        <v>-185.51255525542697</v>
      </c>
      <c r="AA7" s="47">
        <f t="shared" si="6"/>
        <v>-182.27925814956072</v>
      </c>
      <c r="AB7" s="47">
        <f t="shared" si="6"/>
        <v>-176.91634077120236</v>
      </c>
      <c r="AC7" s="36"/>
      <c r="AD7" s="36"/>
    </row>
    <row r="8" spans="1:30" x14ac:dyDescent="0.2">
      <c r="A8" s="22"/>
      <c r="B8" s="43" t="s">
        <v>362</v>
      </c>
      <c r="C8" s="44">
        <f t="shared" ref="C8:W8" si="7">SUM(C6:C7)</f>
        <v>2.7815556971134221</v>
      </c>
      <c r="D8" s="44">
        <f t="shared" si="7"/>
        <v>5.9742770313859381</v>
      </c>
      <c r="E8" s="44">
        <f t="shared" si="7"/>
        <v>6.7636806931876343</v>
      </c>
      <c r="F8" s="44">
        <f t="shared" si="7"/>
        <v>5.5117558712920101</v>
      </c>
      <c r="G8" s="44">
        <f t="shared" si="7"/>
        <v>3.7196115065925213</v>
      </c>
      <c r="H8" s="44">
        <f t="shared" si="7"/>
        <v>11.099771106492163</v>
      </c>
      <c r="I8" s="44">
        <f t="shared" si="7"/>
        <v>35.25986870857799</v>
      </c>
      <c r="J8" s="44">
        <f t="shared" si="7"/>
        <v>43.09432413226083</v>
      </c>
      <c r="K8" s="44">
        <f t="shared" si="7"/>
        <v>55.122429882080809</v>
      </c>
      <c r="L8" s="44">
        <f t="shared" si="7"/>
        <v>30.634858645439607</v>
      </c>
      <c r="M8" s="44">
        <f t="shared" si="7"/>
        <v>32.21437327545496</v>
      </c>
      <c r="N8" s="44">
        <f t="shared" si="7"/>
        <v>33.409643382776032</v>
      </c>
      <c r="O8" s="44">
        <f t="shared" si="7"/>
        <v>19.130842718385622</v>
      </c>
      <c r="P8" s="44">
        <f t="shared" si="7"/>
        <v>19.573395874310947</v>
      </c>
      <c r="Q8" s="44">
        <f t="shared" si="7"/>
        <v>32.419686345941415</v>
      </c>
      <c r="R8" s="44">
        <f t="shared" si="7"/>
        <v>42.271779068847707</v>
      </c>
      <c r="S8" s="44">
        <f t="shared" si="7"/>
        <v>28.603785998905693</v>
      </c>
      <c r="T8" s="44">
        <f t="shared" si="7"/>
        <v>33.140585068652825</v>
      </c>
      <c r="U8" s="44">
        <f t="shared" si="7"/>
        <v>42.931835356596423</v>
      </c>
      <c r="V8" s="44">
        <f t="shared" si="7"/>
        <v>51.348358651867358</v>
      </c>
      <c r="W8" s="44">
        <f t="shared" si="7"/>
        <v>97.365967206742823</v>
      </c>
      <c r="X8" s="44">
        <f>SUM(X6:X7)</f>
        <v>140.04362643781613</v>
      </c>
      <c r="Y8" s="44">
        <f>SUM(Y6:Y7)</f>
        <v>181.85982547327507</v>
      </c>
      <c r="Z8" s="44">
        <f>SUM(Z6:Z7)</f>
        <v>229.45054609769781</v>
      </c>
      <c r="AA8" s="44">
        <f>SUM(AA6:AA7)</f>
        <v>294.92830840653278</v>
      </c>
      <c r="AB8" s="44">
        <f>SUM(AB6:AB7)</f>
        <v>371.87236076830504</v>
      </c>
      <c r="AC8" s="36"/>
      <c r="AD8" s="36"/>
    </row>
    <row r="9" spans="1:30" x14ac:dyDescent="0.2">
      <c r="A9" s="22"/>
      <c r="B9" s="43"/>
      <c r="C9" s="48"/>
      <c r="D9" s="48"/>
      <c r="E9" s="48"/>
      <c r="F9" s="48"/>
      <c r="G9" s="48"/>
      <c r="H9" s="48"/>
      <c r="I9" s="48"/>
      <c r="J9" s="48"/>
      <c r="K9" s="48"/>
      <c r="L9" s="48"/>
      <c r="M9" s="48"/>
      <c r="N9" s="48"/>
      <c r="O9" s="48"/>
      <c r="P9" s="48"/>
      <c r="Q9" s="48"/>
      <c r="R9" s="48"/>
      <c r="S9" s="48"/>
      <c r="T9" s="48"/>
      <c r="U9" s="48"/>
      <c r="V9" s="48"/>
      <c r="W9" s="48"/>
      <c r="X9" s="48"/>
      <c r="Y9" s="48"/>
      <c r="Z9" s="48"/>
      <c r="AA9" s="48"/>
      <c r="AB9" s="36"/>
      <c r="AC9" s="36"/>
      <c r="AD9" s="36"/>
    </row>
    <row r="10" spans="1:30" x14ac:dyDescent="0.2">
      <c r="A10" s="22"/>
      <c r="B10" s="43" t="s">
        <v>363</v>
      </c>
      <c r="C10" s="47">
        <f t="shared" ref="C10:V10" si="8">-C24</f>
        <v>-13.165704464776626</v>
      </c>
      <c r="D10" s="47">
        <f t="shared" si="8"/>
        <v>-15.469123579746169</v>
      </c>
      <c r="E10" s="47">
        <f t="shared" si="8"/>
        <v>-20.862950092763739</v>
      </c>
      <c r="F10" s="47">
        <f t="shared" si="8"/>
        <v>-23.976854745139132</v>
      </c>
      <c r="G10" s="47">
        <f t="shared" si="8"/>
        <v>-26.680220247836807</v>
      </c>
      <c r="H10" s="47">
        <f t="shared" si="8"/>
        <v>-29.690864501121915</v>
      </c>
      <c r="I10" s="47">
        <f t="shared" si="8"/>
        <v>-35.794860256496719</v>
      </c>
      <c r="J10" s="47">
        <f t="shared" si="8"/>
        <v>-34.420442809756686</v>
      </c>
      <c r="K10" s="47">
        <f t="shared" si="8"/>
        <v>-35.104286760177501</v>
      </c>
      <c r="L10" s="47">
        <f t="shared" si="8"/>
        <v>-33.109341306232238</v>
      </c>
      <c r="M10" s="47">
        <f t="shared" si="8"/>
        <v>-32.769239813236688</v>
      </c>
      <c r="N10" s="47">
        <f t="shared" si="8"/>
        <v>-29.355126562818331</v>
      </c>
      <c r="O10" s="47">
        <f t="shared" si="8"/>
        <v>-33.925112438585501</v>
      </c>
      <c r="P10" s="47">
        <f t="shared" si="8"/>
        <v>-41.69201131493525</v>
      </c>
      <c r="Q10" s="47">
        <f t="shared" si="8"/>
        <v>-50.166416558580906</v>
      </c>
      <c r="R10" s="47">
        <f t="shared" si="8"/>
        <v>-51.81489545341325</v>
      </c>
      <c r="S10" s="47">
        <f>-S24</f>
        <v>-73.167565019309009</v>
      </c>
      <c r="T10" s="47">
        <f t="shared" si="8"/>
        <v>-83.277569989459948</v>
      </c>
      <c r="U10" s="47">
        <f t="shared" si="8"/>
        <v>-95.120055947297502</v>
      </c>
      <c r="V10" s="47">
        <f t="shared" si="8"/>
        <v>-113.07529821110691</v>
      </c>
      <c r="W10" s="47">
        <f t="shared" ref="W10:AB10" si="9">-W24</f>
        <v>-134.01498614185417</v>
      </c>
      <c r="X10" s="47">
        <f t="shared" si="9"/>
        <v>-157.82196359153087</v>
      </c>
      <c r="Y10" s="47">
        <f t="shared" si="9"/>
        <v>-184.95520811178301</v>
      </c>
      <c r="Z10" s="47">
        <f t="shared" si="9"/>
        <v>-215.94016446409114</v>
      </c>
      <c r="AA10" s="47">
        <f t="shared" si="9"/>
        <v>-251.37896540728838</v>
      </c>
      <c r="AB10" s="47">
        <f t="shared" si="9"/>
        <v>-291.96216993493772</v>
      </c>
      <c r="AC10" s="36"/>
      <c r="AD10" s="36"/>
    </row>
    <row r="11" spans="1:30" x14ac:dyDescent="0.2">
      <c r="A11" s="22"/>
      <c r="B11" s="49" t="s">
        <v>364</v>
      </c>
      <c r="C11" s="44">
        <f t="shared" ref="C11:W11" si="10">C8+C10</f>
        <v>-10.384148767663204</v>
      </c>
      <c r="D11" s="44">
        <f t="shared" si="10"/>
        <v>-9.4948465483602309</v>
      </c>
      <c r="E11" s="44">
        <f t="shared" si="10"/>
        <v>-14.099269399576105</v>
      </c>
      <c r="F11" s="44">
        <f t="shared" si="10"/>
        <v>-18.465098873847122</v>
      </c>
      <c r="G11" s="44">
        <f t="shared" si="10"/>
        <v>-22.960608741244286</v>
      </c>
      <c r="H11" s="44">
        <f t="shared" si="10"/>
        <v>-18.591093394629752</v>
      </c>
      <c r="I11" s="44">
        <f t="shared" si="10"/>
        <v>-0.53499154791872883</v>
      </c>
      <c r="J11" s="44">
        <f t="shared" si="10"/>
        <v>8.673881322504144</v>
      </c>
      <c r="K11" s="44">
        <f t="shared" si="10"/>
        <v>20.018143121903307</v>
      </c>
      <c r="L11" s="44">
        <f t="shared" si="10"/>
        <v>-2.4744826607926313</v>
      </c>
      <c r="M11" s="44">
        <f t="shared" si="10"/>
        <v>-0.55486653778172723</v>
      </c>
      <c r="N11" s="44">
        <f t="shared" si="10"/>
        <v>4.0545168199577013</v>
      </c>
      <c r="O11" s="44">
        <f t="shared" si="10"/>
        <v>-14.794269720199878</v>
      </c>
      <c r="P11" s="44">
        <f t="shared" si="10"/>
        <v>-22.118615440624303</v>
      </c>
      <c r="Q11" s="44">
        <f t="shared" si="10"/>
        <v>-17.746730212639491</v>
      </c>
      <c r="R11" s="44">
        <f t="shared" si="10"/>
        <v>-9.5431163845655433</v>
      </c>
      <c r="S11" s="44">
        <f t="shared" si="10"/>
        <v>-44.563779020403317</v>
      </c>
      <c r="T11" s="44">
        <f t="shared" si="10"/>
        <v>-50.136984920807123</v>
      </c>
      <c r="U11" s="44">
        <f t="shared" si="10"/>
        <v>-52.188220590701079</v>
      </c>
      <c r="V11" s="44">
        <f t="shared" si="10"/>
        <v>-61.726939559239554</v>
      </c>
      <c r="W11" s="44">
        <f t="shared" si="10"/>
        <v>-36.649018935111343</v>
      </c>
      <c r="X11" s="44">
        <f>X8+X10</f>
        <v>-17.778337153714745</v>
      </c>
      <c r="Y11" s="44">
        <f>Y8+Y10</f>
        <v>-3.0953826385079424</v>
      </c>
      <c r="Z11" s="44">
        <f>Z8+Z10</f>
        <v>13.51038163360667</v>
      </c>
      <c r="AA11" s="44">
        <f>AA8+AA10</f>
        <v>43.549342999244402</v>
      </c>
      <c r="AB11" s="44">
        <f>AB8+AB10</f>
        <v>79.910190833367324</v>
      </c>
      <c r="AC11" s="50"/>
      <c r="AD11" s="50"/>
    </row>
    <row r="12" spans="1:30" x14ac:dyDescent="0.2">
      <c r="A12" s="22"/>
      <c r="B12" s="43"/>
      <c r="C12" s="44"/>
      <c r="D12" s="44"/>
      <c r="E12" s="44"/>
      <c r="F12" s="44"/>
      <c r="G12" s="44"/>
      <c r="H12" s="44"/>
      <c r="I12" s="44"/>
      <c r="J12" s="44"/>
      <c r="K12" s="44"/>
      <c r="L12" s="44"/>
      <c r="M12" s="44"/>
      <c r="N12" s="44"/>
      <c r="O12" s="44"/>
      <c r="P12" s="44"/>
      <c r="Q12" s="44"/>
      <c r="R12" s="44"/>
      <c r="S12" s="44"/>
      <c r="T12" s="44"/>
      <c r="U12" s="44"/>
      <c r="V12" s="44"/>
      <c r="W12" s="44"/>
      <c r="X12" s="44"/>
      <c r="Y12" s="44"/>
      <c r="Z12" s="44"/>
      <c r="AA12" s="44"/>
      <c r="AB12" s="36"/>
      <c r="AC12" s="36"/>
      <c r="AD12" s="36"/>
    </row>
    <row r="13" spans="1:30" x14ac:dyDescent="0.2">
      <c r="A13" s="22"/>
      <c r="B13" s="43" t="s">
        <v>365</v>
      </c>
      <c r="C13" s="44">
        <f t="shared" ref="C13:V13" si="11">C6+C10</f>
        <v>20.117295535223377</v>
      </c>
      <c r="D13" s="44">
        <f t="shared" si="11"/>
        <v>19.210876420253832</v>
      </c>
      <c r="E13" s="44">
        <f t="shared" si="11"/>
        <v>17.512049907236261</v>
      </c>
      <c r="F13" s="44">
        <f t="shared" si="11"/>
        <v>14.743145254860867</v>
      </c>
      <c r="G13" s="44">
        <f t="shared" si="11"/>
        <v>11.296779752163197</v>
      </c>
      <c r="H13" s="44">
        <f t="shared" si="11"/>
        <v>17.404135498878084</v>
      </c>
      <c r="I13" s="44">
        <f t="shared" si="11"/>
        <v>41.292139743503284</v>
      </c>
      <c r="J13" s="44">
        <f t="shared" si="11"/>
        <v>50.188557190243323</v>
      </c>
      <c r="K13" s="44">
        <f t="shared" si="11"/>
        <v>65.284713239822494</v>
      </c>
      <c r="L13" s="44">
        <f t="shared" si="11"/>
        <v>44.419658693767758</v>
      </c>
      <c r="M13" s="44">
        <f t="shared" si="11"/>
        <v>48.552760186763315</v>
      </c>
      <c r="N13" s="44">
        <f t="shared" si="11"/>
        <v>51.644873437181673</v>
      </c>
      <c r="O13" s="44">
        <f t="shared" si="11"/>
        <v>42.074887561414499</v>
      </c>
      <c r="P13" s="44">
        <f t="shared" si="11"/>
        <v>47.30798868506475</v>
      </c>
      <c r="Q13" s="44">
        <f t="shared" si="11"/>
        <v>62.833583441419094</v>
      </c>
      <c r="R13" s="44">
        <f t="shared" si="11"/>
        <v>79.185104546586757</v>
      </c>
      <c r="S13" s="44">
        <f>S6+S10</f>
        <v>82.832434980690991</v>
      </c>
      <c r="T13" s="44">
        <f t="shared" si="11"/>
        <v>96.122430010540029</v>
      </c>
      <c r="U13" s="44">
        <f t="shared" si="11"/>
        <v>111.18994405270244</v>
      </c>
      <c r="V13" s="44">
        <f t="shared" si="11"/>
        <v>124.18120178889302</v>
      </c>
      <c r="W13" s="44">
        <f t="shared" ref="W13:AB13" si="12">W6+W10</f>
        <v>138.82998885814575</v>
      </c>
      <c r="X13" s="44">
        <f t="shared" si="12"/>
        <v>155.949757658469</v>
      </c>
      <c r="Y13" s="44">
        <f t="shared" si="12"/>
        <v>175.88227132571683</v>
      </c>
      <c r="Z13" s="44">
        <f t="shared" si="12"/>
        <v>199.02293688903364</v>
      </c>
      <c r="AA13" s="44">
        <f t="shared" si="12"/>
        <v>225.82860114880509</v>
      </c>
      <c r="AB13" s="44">
        <f t="shared" si="12"/>
        <v>256.82653160456971</v>
      </c>
      <c r="AC13" s="36"/>
      <c r="AD13" s="36"/>
    </row>
    <row r="14" spans="1:30" x14ac:dyDescent="0.2">
      <c r="A14" s="22"/>
      <c r="B14" s="43"/>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6"/>
      <c r="AC14" s="36"/>
      <c r="AD14" s="36"/>
    </row>
    <row r="15" spans="1:30" x14ac:dyDescent="0.2">
      <c r="A15" s="22"/>
      <c r="B15" s="51" t="s">
        <v>366</v>
      </c>
      <c r="C15" s="29">
        <f t="shared" ref="C15:I15" si="13">D15-1</f>
        <v>1996</v>
      </c>
      <c r="D15" s="29">
        <f t="shared" si="13"/>
        <v>1997</v>
      </c>
      <c r="E15" s="29">
        <f t="shared" si="13"/>
        <v>1998</v>
      </c>
      <c r="F15" s="29">
        <f t="shared" si="13"/>
        <v>1999</v>
      </c>
      <c r="G15" s="29">
        <f t="shared" si="13"/>
        <v>2000</v>
      </c>
      <c r="H15" s="29">
        <f t="shared" si="13"/>
        <v>2001</v>
      </c>
      <c r="I15" s="29">
        <f t="shared" si="13"/>
        <v>2002</v>
      </c>
      <c r="J15" s="29">
        <v>2003</v>
      </c>
      <c r="K15" s="29">
        <v>2004</v>
      </c>
      <c r="L15" s="29">
        <f t="shared" ref="L15:V15" si="14">K15+1</f>
        <v>2005</v>
      </c>
      <c r="M15" s="29">
        <f t="shared" si="14"/>
        <v>2006</v>
      </c>
      <c r="N15" s="29">
        <f t="shared" si="14"/>
        <v>2007</v>
      </c>
      <c r="O15" s="29">
        <f t="shared" si="14"/>
        <v>2008</v>
      </c>
      <c r="P15" s="29">
        <f t="shared" si="14"/>
        <v>2009</v>
      </c>
      <c r="Q15" s="29">
        <f t="shared" si="14"/>
        <v>2010</v>
      </c>
      <c r="R15" s="29">
        <f t="shared" si="14"/>
        <v>2011</v>
      </c>
      <c r="S15" s="29">
        <f>R15+1</f>
        <v>2012</v>
      </c>
      <c r="T15" s="30">
        <f t="shared" si="14"/>
        <v>2013</v>
      </c>
      <c r="U15" s="30">
        <f t="shared" si="14"/>
        <v>2014</v>
      </c>
      <c r="V15" s="30">
        <f t="shared" si="14"/>
        <v>2015</v>
      </c>
      <c r="W15" s="30">
        <f t="shared" ref="W15:AB15" si="15">V15+1</f>
        <v>2016</v>
      </c>
      <c r="X15" s="30">
        <f t="shared" si="15"/>
        <v>2017</v>
      </c>
      <c r="Y15" s="30">
        <f t="shared" si="15"/>
        <v>2018</v>
      </c>
      <c r="Z15" s="30">
        <f t="shared" si="15"/>
        <v>2019</v>
      </c>
      <c r="AA15" s="30">
        <f t="shared" si="15"/>
        <v>2020</v>
      </c>
      <c r="AB15" s="30">
        <f t="shared" si="15"/>
        <v>2021</v>
      </c>
      <c r="AC15" s="52"/>
      <c r="AD15" s="52"/>
    </row>
    <row r="16" spans="1:30" x14ac:dyDescent="0.2">
      <c r="A16" s="22"/>
      <c r="B16" s="53" t="s">
        <v>367</v>
      </c>
      <c r="C16" s="54"/>
      <c r="D16" s="54">
        <f t="shared" ref="D16:W16" si="16">C19</f>
        <v>213.51011012020606</v>
      </c>
      <c r="E16" s="54">
        <f t="shared" si="16"/>
        <v>212.77116688270007</v>
      </c>
      <c r="F16" s="54">
        <f t="shared" si="16"/>
        <v>279.18462928121772</v>
      </c>
      <c r="G16" s="54">
        <f t="shared" si="16"/>
        <v>308.01546768554954</v>
      </c>
      <c r="H16" s="54">
        <f t="shared" si="16"/>
        <v>323.36637912125582</v>
      </c>
      <c r="I16" s="54">
        <f t="shared" si="16"/>
        <v>342.43076119367532</v>
      </c>
      <c r="J16" s="54">
        <f t="shared" si="16"/>
        <v>409.29252739383151</v>
      </c>
      <c r="K16" s="54">
        <f t="shared" si="16"/>
        <v>385.81332382205255</v>
      </c>
      <c r="L16" s="54">
        <f t="shared" si="16"/>
        <v>403.51936686079512</v>
      </c>
      <c r="M16" s="54">
        <f t="shared" si="16"/>
        <v>391.95197664189038</v>
      </c>
      <c r="N16" s="54">
        <f t="shared" si="16"/>
        <v>379.93471199925204</v>
      </c>
      <c r="O16" s="54">
        <f t="shared" si="16"/>
        <v>326.36945618576766</v>
      </c>
      <c r="P16" s="54">
        <f t="shared" si="16"/>
        <v>391.61036791743965</v>
      </c>
      <c r="Q16" s="54">
        <f t="shared" si="16"/>
        <v>482.34585163637604</v>
      </c>
      <c r="R16" s="54">
        <f t="shared" si="16"/>
        <v>583.67767792729137</v>
      </c>
      <c r="S16" s="54">
        <f t="shared" si="16"/>
        <v>614.12337396540488</v>
      </c>
      <c r="T16" s="54">
        <f t="shared" si="16"/>
        <v>973.11650058850103</v>
      </c>
      <c r="U16" s="54">
        <f t="shared" si="16"/>
        <v>1106.3918532770795</v>
      </c>
      <c r="V16" s="54">
        <f t="shared" si="16"/>
        <v>1264.47867139659</v>
      </c>
      <c r="W16" s="54">
        <f t="shared" si="16"/>
        <v>1396.1242027617152</v>
      </c>
      <c r="X16" s="54">
        <f>W19</f>
        <v>1585.8319185887044</v>
      </c>
      <c r="Y16" s="54">
        <f>X19</f>
        <v>1832.0685559398039</v>
      </c>
      <c r="Z16" s="54">
        <f>Y19</f>
        <v>2136.0503439633549</v>
      </c>
      <c r="AA16" s="54">
        <f>Z19</f>
        <v>2505.94114699387</v>
      </c>
      <c r="AB16" s="54">
        <f>AA19</f>
        <v>2962.3757508731428</v>
      </c>
      <c r="AC16" s="55"/>
      <c r="AD16" s="55"/>
    </row>
    <row r="17" spans="1:30" x14ac:dyDescent="0.2">
      <c r="A17" s="56"/>
      <c r="B17" s="57" t="s">
        <v>368</v>
      </c>
      <c r="C17" s="54"/>
      <c r="D17" s="54">
        <f t="shared" ref="D17:V17" si="17">D132</f>
        <v>27.966779731108073</v>
      </c>
      <c r="E17" s="54">
        <f t="shared" si="17"/>
        <v>98.024781705330028</v>
      </c>
      <c r="F17" s="54">
        <f t="shared" si="17"/>
        <v>62.039082533039775</v>
      </c>
      <c r="G17" s="54">
        <f t="shared" si="17"/>
        <v>49.60829992911377</v>
      </c>
      <c r="H17" s="54">
        <f t="shared" si="17"/>
        <v>55.05961096592732</v>
      </c>
      <c r="I17" s="54">
        <f t="shared" si="17"/>
        <v>108.68889749157817</v>
      </c>
      <c r="J17" s="54">
        <f t="shared" si="17"/>
        <v>18.03547229596024</v>
      </c>
      <c r="K17" s="54">
        <f t="shared" si="17"/>
        <v>62.972613156661716</v>
      </c>
      <c r="L17" s="54">
        <f t="shared" si="17"/>
        <v>35.326751135655705</v>
      </c>
      <c r="M17" s="54">
        <f t="shared" si="17"/>
        <v>37.090362081906662</v>
      </c>
      <c r="N17" s="54">
        <f t="shared" si="17"/>
        <v>-5.9748991962604059</v>
      </c>
      <c r="O17" s="54">
        <f t="shared" si="17"/>
        <v>122.11006901328633</v>
      </c>
      <c r="P17" s="54">
        <f t="shared" si="17"/>
        <v>160.1620878446254</v>
      </c>
      <c r="Q17" s="54">
        <f t="shared" si="17"/>
        <v>181.91213994497392</v>
      </c>
      <c r="R17" s="54">
        <f t="shared" si="17"/>
        <v>119.17391696926572</v>
      </c>
      <c r="S17" s="54">
        <f>S132</f>
        <v>486.3893406241906</v>
      </c>
      <c r="T17" s="54">
        <f t="shared" si="17"/>
        <v>279.53476761992556</v>
      </c>
      <c r="U17" s="54">
        <f t="shared" si="17"/>
        <v>321.46498276291425</v>
      </c>
      <c r="V17" s="54">
        <f t="shared" si="17"/>
        <v>317.55367271325781</v>
      </c>
      <c r="W17" s="54">
        <f t="shared" ref="W17:AB17" si="18">W132</f>
        <v>365.18672362024637</v>
      </c>
      <c r="X17" s="54">
        <f t="shared" si="18"/>
        <v>419.96473216328337</v>
      </c>
      <c r="Y17" s="54">
        <f t="shared" si="18"/>
        <v>482.9594419877759</v>
      </c>
      <c r="Z17" s="54">
        <f t="shared" si="18"/>
        <v>555.40335828594209</v>
      </c>
      <c r="AA17" s="54">
        <f t="shared" si="18"/>
        <v>638.71386202883332</v>
      </c>
      <c r="AB17" s="54">
        <f t="shared" si="18"/>
        <v>734.52094133315825</v>
      </c>
      <c r="AC17" s="58"/>
      <c r="AD17" s="58"/>
    </row>
    <row r="18" spans="1:30" x14ac:dyDescent="0.2">
      <c r="A18" s="22"/>
      <c r="B18" s="59" t="s">
        <v>369</v>
      </c>
      <c r="C18" s="60">
        <f t="shared" ref="C18:V18" si="19">-C173</f>
        <v>-30.501444302886579</v>
      </c>
      <c r="D18" s="60">
        <f t="shared" si="19"/>
        <v>-28.705722968614062</v>
      </c>
      <c r="E18" s="60">
        <f t="shared" si="19"/>
        <v>-31.611319306812366</v>
      </c>
      <c r="F18" s="60">
        <f t="shared" si="19"/>
        <v>-33.208244128707989</v>
      </c>
      <c r="G18" s="60">
        <f t="shared" si="19"/>
        <v>-34.257388493407483</v>
      </c>
      <c r="H18" s="60">
        <f t="shared" si="19"/>
        <v>-35.995228893507836</v>
      </c>
      <c r="I18" s="60">
        <f t="shared" si="19"/>
        <v>-41.827131291422013</v>
      </c>
      <c r="J18" s="60">
        <f t="shared" si="19"/>
        <v>-41.514675867739179</v>
      </c>
      <c r="K18" s="60">
        <f t="shared" si="19"/>
        <v>-45.266570117919187</v>
      </c>
      <c r="L18" s="60">
        <f t="shared" si="19"/>
        <v>-46.894141354560389</v>
      </c>
      <c r="M18" s="60">
        <f t="shared" si="19"/>
        <v>-49.107626724545042</v>
      </c>
      <c r="N18" s="60">
        <f t="shared" si="19"/>
        <v>-47.590356617223968</v>
      </c>
      <c r="O18" s="60">
        <f t="shared" si="19"/>
        <v>-56.869157281614378</v>
      </c>
      <c r="P18" s="60">
        <f t="shared" si="19"/>
        <v>-69.426604125689053</v>
      </c>
      <c r="Q18" s="60">
        <f t="shared" si="19"/>
        <v>-80.580313654058585</v>
      </c>
      <c r="R18" s="60">
        <f t="shared" si="19"/>
        <v>-88.728220931152293</v>
      </c>
      <c r="S18" s="60">
        <f>-S173</f>
        <v>-127.39621400109431</v>
      </c>
      <c r="T18" s="60">
        <f t="shared" si="19"/>
        <v>-146.25941493134715</v>
      </c>
      <c r="U18" s="60">
        <f t="shared" si="19"/>
        <v>-163.37816464340352</v>
      </c>
      <c r="V18" s="60">
        <f t="shared" si="19"/>
        <v>-185.90814134813257</v>
      </c>
      <c r="W18" s="60">
        <f t="shared" ref="W18:AB18" si="20">-W173</f>
        <v>-175.4790077932571</v>
      </c>
      <c r="X18" s="60">
        <f t="shared" si="20"/>
        <v>-173.72809481218374</v>
      </c>
      <c r="Y18" s="60">
        <f t="shared" si="20"/>
        <v>-178.97765396422477</v>
      </c>
      <c r="Z18" s="60">
        <f t="shared" si="20"/>
        <v>-185.51255525542697</v>
      </c>
      <c r="AA18" s="60">
        <f t="shared" si="20"/>
        <v>-182.27925814956072</v>
      </c>
      <c r="AB18" s="60">
        <f t="shared" si="20"/>
        <v>-176.91634077120236</v>
      </c>
      <c r="AC18" s="55"/>
      <c r="AD18" s="55"/>
    </row>
    <row r="19" spans="1:30" x14ac:dyDescent="0.2">
      <c r="A19" s="22"/>
      <c r="B19" s="61" t="s">
        <v>370</v>
      </c>
      <c r="C19" s="62">
        <f>C27*C20</f>
        <v>213.51011012020606</v>
      </c>
      <c r="D19" s="62">
        <f t="shared" ref="D19:W19" si="21">SUM(D16:D18)</f>
        <v>212.77116688270007</v>
      </c>
      <c r="E19" s="62">
        <f t="shared" si="21"/>
        <v>279.18462928121772</v>
      </c>
      <c r="F19" s="62">
        <f t="shared" si="21"/>
        <v>308.01546768554954</v>
      </c>
      <c r="G19" s="62">
        <f t="shared" si="21"/>
        <v>323.36637912125582</v>
      </c>
      <c r="H19" s="62">
        <f t="shared" si="21"/>
        <v>342.43076119367532</v>
      </c>
      <c r="I19" s="62">
        <f t="shared" si="21"/>
        <v>409.29252739383151</v>
      </c>
      <c r="J19" s="62">
        <f t="shared" si="21"/>
        <v>385.81332382205255</v>
      </c>
      <c r="K19" s="62">
        <f t="shared" si="21"/>
        <v>403.51936686079512</v>
      </c>
      <c r="L19" s="62">
        <f t="shared" si="21"/>
        <v>391.95197664189038</v>
      </c>
      <c r="M19" s="62">
        <f t="shared" si="21"/>
        <v>379.93471199925204</v>
      </c>
      <c r="N19" s="62">
        <f t="shared" si="21"/>
        <v>326.36945618576766</v>
      </c>
      <c r="O19" s="62">
        <f t="shared" si="21"/>
        <v>391.61036791743965</v>
      </c>
      <c r="P19" s="62">
        <f t="shared" si="21"/>
        <v>482.34585163637604</v>
      </c>
      <c r="Q19" s="62">
        <f t="shared" si="21"/>
        <v>583.67767792729137</v>
      </c>
      <c r="R19" s="62">
        <f t="shared" si="21"/>
        <v>614.12337396540488</v>
      </c>
      <c r="S19" s="62">
        <f t="shared" si="21"/>
        <v>973.11650058850103</v>
      </c>
      <c r="T19" s="62">
        <f t="shared" si="21"/>
        <v>1106.3918532770795</v>
      </c>
      <c r="U19" s="62">
        <f t="shared" si="21"/>
        <v>1264.47867139659</v>
      </c>
      <c r="V19" s="62">
        <f t="shared" si="21"/>
        <v>1396.1242027617152</v>
      </c>
      <c r="W19" s="62">
        <f t="shared" si="21"/>
        <v>1585.8319185887044</v>
      </c>
      <c r="X19" s="62">
        <f>SUM(X16:X18)</f>
        <v>1832.0685559398039</v>
      </c>
      <c r="Y19" s="62">
        <f>SUM(Y16:Y18)</f>
        <v>2136.0503439633549</v>
      </c>
      <c r="Z19" s="62">
        <f>SUM(Z16:Z18)</f>
        <v>2505.94114699387</v>
      </c>
      <c r="AA19" s="62">
        <f>SUM(AA16:AA18)</f>
        <v>2962.3757508731428</v>
      </c>
      <c r="AB19" s="62">
        <f>SUM(AB16:AB18)</f>
        <v>3519.9803514350988</v>
      </c>
      <c r="AC19" s="63"/>
      <c r="AD19" s="63"/>
    </row>
    <row r="20" spans="1:30" x14ac:dyDescent="0.2">
      <c r="A20" s="22"/>
      <c r="B20" s="64" t="s">
        <v>371</v>
      </c>
      <c r="C20" s="65">
        <v>0.86</v>
      </c>
      <c r="D20" s="66"/>
      <c r="E20" s="66"/>
      <c r="F20" s="66"/>
      <c r="G20" s="66"/>
      <c r="H20" s="66"/>
      <c r="I20" s="66"/>
      <c r="J20" s="66"/>
      <c r="K20" s="66"/>
      <c r="L20" s="66"/>
      <c r="M20" s="66"/>
      <c r="N20" s="66"/>
      <c r="O20" s="66"/>
      <c r="P20" s="66"/>
      <c r="Q20" s="66"/>
      <c r="R20" s="66"/>
      <c r="S20" s="66"/>
      <c r="T20" s="66"/>
      <c r="U20" s="66"/>
      <c r="V20" s="66"/>
      <c r="W20" s="66"/>
      <c r="X20" s="66"/>
      <c r="Y20" s="66"/>
      <c r="Z20" s="66"/>
      <c r="AA20" s="66"/>
      <c r="AB20" s="36"/>
      <c r="AC20" s="36"/>
      <c r="AD20" s="36"/>
    </row>
    <row r="21" spans="1:30" x14ac:dyDescent="0.2">
      <c r="A21" s="22"/>
      <c r="B21" s="64"/>
      <c r="C21" s="66"/>
      <c r="D21" s="66"/>
      <c r="E21" s="66"/>
      <c r="F21" s="66"/>
      <c r="G21" s="66"/>
      <c r="H21" s="66"/>
      <c r="I21" s="66"/>
      <c r="J21" s="66"/>
      <c r="K21" s="66"/>
      <c r="L21" s="66"/>
      <c r="M21" s="66"/>
      <c r="N21" s="66"/>
      <c r="O21" s="66"/>
      <c r="P21" s="66"/>
      <c r="Q21" s="66"/>
      <c r="R21" s="66"/>
      <c r="S21" s="66"/>
      <c r="T21" s="66"/>
      <c r="U21" s="66"/>
      <c r="V21" s="66"/>
      <c r="W21" s="66"/>
      <c r="X21" s="66"/>
      <c r="Y21" s="66"/>
      <c r="Z21" s="66"/>
      <c r="AA21" s="66"/>
      <c r="AB21" s="36"/>
      <c r="AC21" s="36"/>
      <c r="AD21" s="36"/>
    </row>
    <row r="22" spans="1:30" x14ac:dyDescent="0.2">
      <c r="A22" s="22"/>
      <c r="B22" s="51" t="s">
        <v>372</v>
      </c>
      <c r="C22" s="29">
        <f t="shared" ref="C22:I22" si="22">D22-1</f>
        <v>1996</v>
      </c>
      <c r="D22" s="29">
        <f t="shared" si="22"/>
        <v>1997</v>
      </c>
      <c r="E22" s="29">
        <f t="shared" si="22"/>
        <v>1998</v>
      </c>
      <c r="F22" s="29">
        <f t="shared" si="22"/>
        <v>1999</v>
      </c>
      <c r="G22" s="29">
        <f t="shared" si="22"/>
        <v>2000</v>
      </c>
      <c r="H22" s="29">
        <f t="shared" si="22"/>
        <v>2001</v>
      </c>
      <c r="I22" s="29">
        <f t="shared" si="22"/>
        <v>2002</v>
      </c>
      <c r="J22" s="29">
        <v>2003</v>
      </c>
      <c r="K22" s="29">
        <v>2004</v>
      </c>
      <c r="L22" s="29">
        <f t="shared" ref="L22:V22" si="23">K22+1</f>
        <v>2005</v>
      </c>
      <c r="M22" s="29">
        <f t="shared" si="23"/>
        <v>2006</v>
      </c>
      <c r="N22" s="29">
        <f t="shared" si="23"/>
        <v>2007</v>
      </c>
      <c r="O22" s="29">
        <f t="shared" si="23"/>
        <v>2008</v>
      </c>
      <c r="P22" s="29">
        <f t="shared" si="23"/>
        <v>2009</v>
      </c>
      <c r="Q22" s="29">
        <f t="shared" si="23"/>
        <v>2010</v>
      </c>
      <c r="R22" s="29">
        <f t="shared" si="23"/>
        <v>2011</v>
      </c>
      <c r="S22" s="29">
        <f>R22+1</f>
        <v>2012</v>
      </c>
      <c r="T22" s="30">
        <f t="shared" si="23"/>
        <v>2013</v>
      </c>
      <c r="U22" s="30">
        <f t="shared" si="23"/>
        <v>2014</v>
      </c>
      <c r="V22" s="30">
        <f t="shared" si="23"/>
        <v>2015</v>
      </c>
      <c r="W22" s="30">
        <f t="shared" ref="W22:AB22" si="24">V22+1</f>
        <v>2016</v>
      </c>
      <c r="X22" s="30">
        <f t="shared" si="24"/>
        <v>2017</v>
      </c>
      <c r="Y22" s="30">
        <f t="shared" si="24"/>
        <v>2018</v>
      </c>
      <c r="Z22" s="30">
        <f t="shared" si="24"/>
        <v>2019</v>
      </c>
      <c r="AA22" s="30">
        <f t="shared" si="24"/>
        <v>2020</v>
      </c>
      <c r="AB22" s="30">
        <f t="shared" si="24"/>
        <v>2021</v>
      </c>
      <c r="AC22" s="36"/>
      <c r="AD22" s="36"/>
    </row>
    <row r="23" spans="1:30" x14ac:dyDescent="0.2">
      <c r="A23" s="22"/>
      <c r="B23" s="67" t="s">
        <v>373</v>
      </c>
      <c r="C23" s="68">
        <f>C29-C25-C24</f>
        <v>20.977295535223377</v>
      </c>
      <c r="D23" s="68">
        <f t="shared" ref="D23:W23" si="25">C27</f>
        <v>248.26756990721637</v>
      </c>
      <c r="E23" s="68">
        <f t="shared" si="25"/>
        <v>257.02347321807065</v>
      </c>
      <c r="F23" s="68">
        <f t="shared" si="25"/>
        <v>337.53620501616444</v>
      </c>
      <c r="G23" s="68">
        <f t="shared" si="25"/>
        <v>384.83214229434333</v>
      </c>
      <c r="H23" s="68">
        <f t="shared" si="25"/>
        <v>423.14366247129385</v>
      </c>
      <c r="I23" s="68">
        <f t="shared" si="25"/>
        <v>460.79913793834311</v>
      </c>
      <c r="J23" s="68">
        <f t="shared" si="25"/>
        <v>528.195895686418</v>
      </c>
      <c r="K23" s="68">
        <f t="shared" si="25"/>
        <v>496.04281079213484</v>
      </c>
      <c r="L23" s="68">
        <f t="shared" si="25"/>
        <v>493.73071070897402</v>
      </c>
      <c r="M23" s="68">
        <f t="shared" si="25"/>
        <v>484.637803150862</v>
      </c>
      <c r="N23" s="68">
        <f t="shared" si="25"/>
        <v>473.17540504600532</v>
      </c>
      <c r="O23" s="68">
        <f t="shared" si="25"/>
        <v>415.55563241256323</v>
      </c>
      <c r="P23" s="68">
        <f t="shared" si="25"/>
        <v>495.59081386443506</v>
      </c>
      <c r="Q23" s="68">
        <f t="shared" si="25"/>
        <v>608.4449130239957</v>
      </c>
      <c r="R23" s="68">
        <f t="shared" si="25"/>
        <v>727.52346952755045</v>
      </c>
      <c r="S23" s="68">
        <f t="shared" si="25"/>
        <v>767.51228195022941</v>
      </c>
      <c r="T23" s="68">
        <f t="shared" si="25"/>
        <v>1171.0691875937291</v>
      </c>
      <c r="U23" s="68">
        <f t="shared" si="25"/>
        <v>1354.4815252031146</v>
      </c>
      <c r="V23" s="68">
        <f t="shared" si="25"/>
        <v>1564.7565639133263</v>
      </c>
      <c r="W23" s="68">
        <f t="shared" si="25"/>
        <v>1758.1290348376911</v>
      </c>
      <c r="X23" s="68">
        <f>W27</f>
        <v>1984.4857695997916</v>
      </c>
      <c r="Y23" s="68">
        <f>X27</f>
        <v>2248.5007441046059</v>
      </c>
      <c r="Z23" s="68">
        <f>Y27</f>
        <v>2555.5779147666649</v>
      </c>
      <c r="AA23" s="68">
        <f>Z27</f>
        <v>2911.9583361635732</v>
      </c>
      <c r="AB23" s="68">
        <f>AA27</f>
        <v>3324.8435970436017</v>
      </c>
      <c r="AC23" s="66"/>
      <c r="AD23" s="66"/>
    </row>
    <row r="24" spans="1:30" x14ac:dyDescent="0.2">
      <c r="A24" s="22"/>
      <c r="B24" s="69" t="s">
        <v>333</v>
      </c>
      <c r="C24" s="68">
        <f>C27/(1+C37)*C37</f>
        <v>13.165704464776626</v>
      </c>
      <c r="D24" s="68">
        <f t="shared" ref="D24:W24" si="26">D23*C37+D38*D26</f>
        <v>15.469123579746169</v>
      </c>
      <c r="E24" s="68">
        <f t="shared" si="26"/>
        <v>20.862950092763739</v>
      </c>
      <c r="F24" s="68">
        <f t="shared" si="26"/>
        <v>23.976854745139132</v>
      </c>
      <c r="G24" s="68">
        <f t="shared" si="26"/>
        <v>26.680220247836807</v>
      </c>
      <c r="H24" s="68">
        <f t="shared" si="26"/>
        <v>29.690864501121915</v>
      </c>
      <c r="I24" s="68">
        <f t="shared" si="26"/>
        <v>35.794860256496719</v>
      </c>
      <c r="J24" s="68">
        <f t="shared" si="26"/>
        <v>34.420442809756686</v>
      </c>
      <c r="K24" s="68">
        <f t="shared" si="26"/>
        <v>35.104286760177501</v>
      </c>
      <c r="L24" s="68">
        <f t="shared" si="26"/>
        <v>33.109341306232238</v>
      </c>
      <c r="M24" s="68">
        <f t="shared" si="26"/>
        <v>32.769239813236688</v>
      </c>
      <c r="N24" s="68">
        <f t="shared" si="26"/>
        <v>29.355126562818331</v>
      </c>
      <c r="O24" s="68">
        <f t="shared" si="26"/>
        <v>33.925112438585501</v>
      </c>
      <c r="P24" s="68">
        <f t="shared" si="26"/>
        <v>41.69201131493525</v>
      </c>
      <c r="Q24" s="68">
        <f t="shared" si="26"/>
        <v>50.166416558580906</v>
      </c>
      <c r="R24" s="68">
        <f t="shared" si="26"/>
        <v>51.81489545341325</v>
      </c>
      <c r="S24" s="68">
        <f t="shared" si="26"/>
        <v>73.167565019309009</v>
      </c>
      <c r="T24" s="68">
        <f t="shared" si="26"/>
        <v>83.277569989459948</v>
      </c>
      <c r="U24" s="68">
        <f t="shared" si="26"/>
        <v>95.120055947297502</v>
      </c>
      <c r="V24" s="68">
        <f t="shared" si="26"/>
        <v>113.07529821110691</v>
      </c>
      <c r="W24" s="68">
        <f t="shared" si="26"/>
        <v>134.01498614185417</v>
      </c>
      <c r="X24" s="68">
        <f>X23*W37+X38*X26</f>
        <v>157.82196359153087</v>
      </c>
      <c r="Y24" s="68">
        <f>Y23*X37+Y38*Y26</f>
        <v>184.95520811178301</v>
      </c>
      <c r="Z24" s="68">
        <f>Z23*Y37+Z38*Z26</f>
        <v>215.94016446409114</v>
      </c>
      <c r="AA24" s="68">
        <f>AA23*Z37+AA38*AA26</f>
        <v>251.37896540728838</v>
      </c>
      <c r="AB24" s="68">
        <f>AB23*AA37+AB38*AB26</f>
        <v>291.96216993493772</v>
      </c>
      <c r="AC24" s="70"/>
      <c r="AD24" s="70"/>
    </row>
    <row r="25" spans="1:30" x14ac:dyDescent="0.2">
      <c r="A25" s="22"/>
      <c r="B25" s="69" t="s">
        <v>374</v>
      </c>
      <c r="C25" s="68">
        <f t="shared" ref="C25:V25" si="27">-C6</f>
        <v>-33.283000000000001</v>
      </c>
      <c r="D25" s="68">
        <f t="shared" si="27"/>
        <v>-34.68</v>
      </c>
      <c r="E25" s="68">
        <f t="shared" si="27"/>
        <v>-38.375</v>
      </c>
      <c r="F25" s="68">
        <f t="shared" si="27"/>
        <v>-38.72</v>
      </c>
      <c r="G25" s="68">
        <f t="shared" si="27"/>
        <v>-37.977000000000004</v>
      </c>
      <c r="H25" s="68">
        <f t="shared" si="27"/>
        <v>-47.094999999999999</v>
      </c>
      <c r="I25" s="68">
        <f t="shared" si="27"/>
        <v>-77.087000000000003</v>
      </c>
      <c r="J25" s="68">
        <f t="shared" si="27"/>
        <v>-84.609000000000009</v>
      </c>
      <c r="K25" s="68">
        <f t="shared" si="27"/>
        <v>-100.389</v>
      </c>
      <c r="L25" s="68">
        <f t="shared" si="27"/>
        <v>-77.528999999999996</v>
      </c>
      <c r="M25" s="68">
        <f t="shared" si="27"/>
        <v>-81.322000000000003</v>
      </c>
      <c r="N25" s="68">
        <f t="shared" si="27"/>
        <v>-81</v>
      </c>
      <c r="O25" s="68">
        <f t="shared" si="27"/>
        <v>-76</v>
      </c>
      <c r="P25" s="68">
        <f t="shared" si="27"/>
        <v>-89</v>
      </c>
      <c r="Q25" s="68">
        <f t="shared" si="27"/>
        <v>-113</v>
      </c>
      <c r="R25" s="68">
        <f t="shared" si="27"/>
        <v>-131</v>
      </c>
      <c r="S25" s="68">
        <f>-S6</f>
        <v>-156</v>
      </c>
      <c r="T25" s="68">
        <f t="shared" si="27"/>
        <v>-179.39999999999998</v>
      </c>
      <c r="U25" s="68">
        <f t="shared" si="27"/>
        <v>-206.30999999999995</v>
      </c>
      <c r="V25" s="68">
        <f t="shared" si="27"/>
        <v>-237.25649999999993</v>
      </c>
      <c r="W25" s="68">
        <f t="shared" ref="W25:AB25" si="28">-W6</f>
        <v>-272.84497499999992</v>
      </c>
      <c r="X25" s="68">
        <f t="shared" si="28"/>
        <v>-313.77172124999987</v>
      </c>
      <c r="Y25" s="68">
        <f t="shared" si="28"/>
        <v>-360.83747943749984</v>
      </c>
      <c r="Z25" s="68">
        <f t="shared" si="28"/>
        <v>-414.96310135312478</v>
      </c>
      <c r="AA25" s="68">
        <f t="shared" si="28"/>
        <v>-477.20756655609347</v>
      </c>
      <c r="AB25" s="68">
        <f t="shared" si="28"/>
        <v>-548.78870153950743</v>
      </c>
      <c r="AC25" s="70"/>
      <c r="AD25" s="70"/>
    </row>
    <row r="26" spans="1:30" x14ac:dyDescent="0.2">
      <c r="A26" s="22"/>
      <c r="B26" s="69" t="s">
        <v>375</v>
      </c>
      <c r="C26" s="71">
        <f t="shared" ref="C26:V26" si="29">C17</f>
        <v>0</v>
      </c>
      <c r="D26" s="71">
        <f t="shared" si="29"/>
        <v>27.966779731108073</v>
      </c>
      <c r="E26" s="71">
        <f t="shared" si="29"/>
        <v>98.024781705330028</v>
      </c>
      <c r="F26" s="71">
        <f t="shared" si="29"/>
        <v>62.039082533039775</v>
      </c>
      <c r="G26" s="71">
        <f t="shared" si="29"/>
        <v>49.60829992911377</v>
      </c>
      <c r="H26" s="71">
        <f t="shared" si="29"/>
        <v>55.05961096592732</v>
      </c>
      <c r="I26" s="71">
        <f t="shared" si="29"/>
        <v>108.68889749157817</v>
      </c>
      <c r="J26" s="71">
        <f t="shared" si="29"/>
        <v>18.03547229596024</v>
      </c>
      <c r="K26" s="71">
        <f t="shared" si="29"/>
        <v>62.972613156661716</v>
      </c>
      <c r="L26" s="71">
        <f t="shared" si="29"/>
        <v>35.326751135655705</v>
      </c>
      <c r="M26" s="71">
        <f t="shared" si="29"/>
        <v>37.090362081906662</v>
      </c>
      <c r="N26" s="71">
        <f t="shared" si="29"/>
        <v>-5.9748991962604059</v>
      </c>
      <c r="O26" s="71">
        <f t="shared" si="29"/>
        <v>122.11006901328633</v>
      </c>
      <c r="P26" s="71">
        <f t="shared" si="29"/>
        <v>160.1620878446254</v>
      </c>
      <c r="Q26" s="71">
        <f t="shared" si="29"/>
        <v>181.91213994497392</v>
      </c>
      <c r="R26" s="71">
        <f t="shared" si="29"/>
        <v>119.17391696926572</v>
      </c>
      <c r="S26" s="71">
        <f>S17</f>
        <v>486.3893406241906</v>
      </c>
      <c r="T26" s="71">
        <f t="shared" si="29"/>
        <v>279.53476761992556</v>
      </c>
      <c r="U26" s="71">
        <f t="shared" si="29"/>
        <v>321.46498276291425</v>
      </c>
      <c r="V26" s="71">
        <f t="shared" si="29"/>
        <v>317.55367271325781</v>
      </c>
      <c r="W26" s="71">
        <f t="shared" ref="W26:AB26" si="30">W17</f>
        <v>365.18672362024637</v>
      </c>
      <c r="X26" s="71">
        <f t="shared" si="30"/>
        <v>419.96473216328337</v>
      </c>
      <c r="Y26" s="71">
        <f t="shared" si="30"/>
        <v>482.9594419877759</v>
      </c>
      <c r="Z26" s="71">
        <f t="shared" si="30"/>
        <v>555.40335828594209</v>
      </c>
      <c r="AA26" s="71">
        <f t="shared" si="30"/>
        <v>638.71386202883332</v>
      </c>
      <c r="AB26" s="71">
        <f t="shared" si="30"/>
        <v>734.52094133315825</v>
      </c>
      <c r="AC26" s="70"/>
      <c r="AD26" s="70"/>
    </row>
    <row r="27" spans="1:30" x14ac:dyDescent="0.2">
      <c r="A27" s="22"/>
      <c r="B27" s="67" t="s">
        <v>376</v>
      </c>
      <c r="C27" s="72">
        <f>NPV($C$37,C67:C85)</f>
        <v>248.26756990721637</v>
      </c>
      <c r="D27" s="72">
        <f t="shared" ref="D27:W27" si="31">SUM(D23:D26)</f>
        <v>257.02347321807065</v>
      </c>
      <c r="E27" s="72">
        <f t="shared" si="31"/>
        <v>337.53620501616444</v>
      </c>
      <c r="F27" s="72">
        <f t="shared" si="31"/>
        <v>384.83214229434333</v>
      </c>
      <c r="G27" s="72">
        <f t="shared" si="31"/>
        <v>423.14366247129385</v>
      </c>
      <c r="H27" s="72">
        <f t="shared" si="31"/>
        <v>460.79913793834311</v>
      </c>
      <c r="I27" s="72">
        <f t="shared" si="31"/>
        <v>528.195895686418</v>
      </c>
      <c r="J27" s="72">
        <f t="shared" si="31"/>
        <v>496.04281079213484</v>
      </c>
      <c r="K27" s="72">
        <f t="shared" si="31"/>
        <v>493.73071070897402</v>
      </c>
      <c r="L27" s="72">
        <f t="shared" si="31"/>
        <v>484.637803150862</v>
      </c>
      <c r="M27" s="72">
        <f t="shared" si="31"/>
        <v>473.17540504600532</v>
      </c>
      <c r="N27" s="72">
        <f t="shared" si="31"/>
        <v>415.55563241256323</v>
      </c>
      <c r="O27" s="72">
        <f t="shared" si="31"/>
        <v>495.59081386443506</v>
      </c>
      <c r="P27" s="72">
        <f t="shared" si="31"/>
        <v>608.4449130239957</v>
      </c>
      <c r="Q27" s="72">
        <f t="shared" si="31"/>
        <v>727.52346952755045</v>
      </c>
      <c r="R27" s="72">
        <f t="shared" si="31"/>
        <v>767.51228195022941</v>
      </c>
      <c r="S27" s="72">
        <f t="shared" si="31"/>
        <v>1171.0691875937291</v>
      </c>
      <c r="T27" s="72">
        <f t="shared" si="31"/>
        <v>1354.4815252031146</v>
      </c>
      <c r="U27" s="72">
        <f t="shared" si="31"/>
        <v>1564.7565639133263</v>
      </c>
      <c r="V27" s="72">
        <f t="shared" si="31"/>
        <v>1758.1290348376911</v>
      </c>
      <c r="W27" s="72">
        <f t="shared" si="31"/>
        <v>1984.4857695997916</v>
      </c>
      <c r="X27" s="72">
        <f>SUM(X23:X26)</f>
        <v>2248.5007441046059</v>
      </c>
      <c r="Y27" s="72">
        <f>SUM(Y23:Y26)</f>
        <v>2555.5779147666649</v>
      </c>
      <c r="Z27" s="72">
        <f>SUM(Z23:Z26)</f>
        <v>2911.9583361635732</v>
      </c>
      <c r="AA27" s="72">
        <f>SUM(AA23:AA26)</f>
        <v>3324.8435970436017</v>
      </c>
      <c r="AB27" s="72">
        <f>SUM(AB23:AB26)</f>
        <v>3802.5380067721903</v>
      </c>
      <c r="AC27" s="70"/>
      <c r="AD27" s="70"/>
    </row>
    <row r="28" spans="1:30" x14ac:dyDescent="0.2">
      <c r="A28" s="22"/>
      <c r="B28" s="67"/>
      <c r="C28" s="73"/>
      <c r="D28" s="73"/>
      <c r="E28" s="73"/>
      <c r="F28" s="73"/>
      <c r="G28" s="73"/>
      <c r="H28" s="73"/>
      <c r="I28" s="73"/>
      <c r="J28" s="73"/>
      <c r="K28" s="73"/>
      <c r="L28" s="73"/>
      <c r="M28" s="73"/>
      <c r="N28" s="73"/>
      <c r="O28" s="73"/>
      <c r="P28" s="73"/>
      <c r="Q28" s="73"/>
      <c r="R28" s="73"/>
      <c r="S28" s="73"/>
      <c r="T28" s="73"/>
      <c r="U28" s="73"/>
      <c r="V28" s="73"/>
      <c r="W28" s="73"/>
      <c r="X28" s="73"/>
      <c r="Y28" s="73"/>
      <c r="Z28" s="73"/>
      <c r="AA28" s="73"/>
      <c r="AB28" s="73"/>
      <c r="AC28" s="70"/>
      <c r="AD28" s="70"/>
    </row>
    <row r="29" spans="1:30" x14ac:dyDescent="0.2">
      <c r="A29" s="22"/>
      <c r="B29" s="74" t="s">
        <v>377</v>
      </c>
      <c r="C29" s="75">
        <f t="shared" ref="C29:V29" si="32">C19/C27</f>
        <v>0.86</v>
      </c>
      <c r="D29" s="75">
        <f t="shared" si="32"/>
        <v>0.82782776303927363</v>
      </c>
      <c r="E29" s="75">
        <f t="shared" si="32"/>
        <v>0.82712498728202422</v>
      </c>
      <c r="F29" s="75">
        <f t="shared" si="32"/>
        <v>0.8003891407021827</v>
      </c>
      <c r="G29" s="75">
        <f t="shared" si="32"/>
        <v>0.76419998170997794</v>
      </c>
      <c r="H29" s="75">
        <f t="shared" si="32"/>
        <v>0.7431237018492296</v>
      </c>
      <c r="I29" s="75">
        <f t="shared" si="32"/>
        <v>0.77488774664167848</v>
      </c>
      <c r="J29" s="75">
        <f t="shared" si="32"/>
        <v>0.77778231117984364</v>
      </c>
      <c r="K29" s="75">
        <f t="shared" si="32"/>
        <v>0.81728634275425227</v>
      </c>
      <c r="L29" s="75">
        <f t="shared" si="32"/>
        <v>0.80875237980533765</v>
      </c>
      <c r="M29" s="75">
        <f t="shared" si="32"/>
        <v>0.80294687328964665</v>
      </c>
      <c r="N29" s="75">
        <f t="shared" si="32"/>
        <v>0.7853808990410901</v>
      </c>
      <c r="O29" s="75">
        <f t="shared" si="32"/>
        <v>0.79018891585944839</v>
      </c>
      <c r="P29" s="75">
        <f t="shared" si="32"/>
        <v>0.79275188486513548</v>
      </c>
      <c r="Q29" s="75">
        <f t="shared" si="32"/>
        <v>0.80228020452223803</v>
      </c>
      <c r="R29" s="75">
        <f t="shared" si="32"/>
        <v>0.80014794343737772</v>
      </c>
      <c r="S29" s="75">
        <f>S19/S27</f>
        <v>0.83096414020424003</v>
      </c>
      <c r="T29" s="75">
        <f t="shared" si="32"/>
        <v>0.81683790637983622</v>
      </c>
      <c r="U29" s="75">
        <f t="shared" si="32"/>
        <v>0.80809929196541208</v>
      </c>
      <c r="V29" s="75">
        <f t="shared" si="32"/>
        <v>0.79409655099098242</v>
      </c>
      <c r="W29" s="75">
        <f t="shared" ref="W29:AB29" si="33">W19/W27</f>
        <v>0.79911478473766873</v>
      </c>
      <c r="X29" s="75">
        <f t="shared" si="33"/>
        <v>0.81479561914459897</v>
      </c>
      <c r="Y29" s="75">
        <f t="shared" si="33"/>
        <v>0.83583847380305187</v>
      </c>
      <c r="Z29" s="75">
        <f t="shared" si="33"/>
        <v>0.86056902527505941</v>
      </c>
      <c r="AA29" s="75">
        <f t="shared" si="33"/>
        <v>0.89098198589167932</v>
      </c>
      <c r="AB29" s="75">
        <f t="shared" si="33"/>
        <v>0.92569235209908063</v>
      </c>
      <c r="AC29" s="36"/>
      <c r="AD29" s="36"/>
    </row>
    <row r="30" spans="1:30" x14ac:dyDescent="0.2">
      <c r="A30" s="22"/>
      <c r="B30" s="76"/>
      <c r="C30" s="66"/>
      <c r="D30" s="66"/>
      <c r="E30" s="66"/>
      <c r="F30" s="66"/>
      <c r="G30" s="66"/>
      <c r="H30" s="66"/>
      <c r="I30" s="66"/>
      <c r="J30" s="66"/>
      <c r="K30" s="66"/>
      <c r="L30" s="66"/>
      <c r="M30" s="66"/>
      <c r="N30" s="66"/>
      <c r="O30" s="66"/>
      <c r="P30" s="66"/>
      <c r="Q30" s="66"/>
      <c r="R30" s="66"/>
      <c r="S30" s="66"/>
      <c r="T30" s="66"/>
      <c r="U30" s="66"/>
      <c r="V30" s="66"/>
      <c r="W30" s="66"/>
      <c r="X30" s="66"/>
      <c r="Y30" s="66"/>
      <c r="Z30" s="66"/>
      <c r="AA30" s="66"/>
      <c r="AB30" s="66"/>
      <c r="AC30" s="36"/>
      <c r="AD30" s="36"/>
    </row>
    <row r="31" spans="1:30" x14ac:dyDescent="0.2">
      <c r="A31" s="22"/>
      <c r="B31" s="77" t="s">
        <v>378</v>
      </c>
      <c r="C31" s="78">
        <f t="shared" ref="C31:V31" si="34">(C19-C27)*(1-C$33)</f>
        <v>-22.592348861556697</v>
      </c>
      <c r="D31" s="78">
        <f t="shared" si="34"/>
        <v>-28.763999117990874</v>
      </c>
      <c r="E31" s="78">
        <f t="shared" si="34"/>
        <v>-37.928524227715371</v>
      </c>
      <c r="F31" s="78">
        <f t="shared" si="34"/>
        <v>-49.930838495715967</v>
      </c>
      <c r="G31" s="78">
        <f t="shared" si="34"/>
        <v>-64.855234177524721</v>
      </c>
      <c r="H31" s="78">
        <f t="shared" si="34"/>
        <v>-76.93944488403406</v>
      </c>
      <c r="I31" s="78">
        <f t="shared" si="34"/>
        <v>-77.287189390181226</v>
      </c>
      <c r="J31" s="78">
        <f t="shared" si="34"/>
        <v>-71.649166530553487</v>
      </c>
      <c r="K31" s="78">
        <f t="shared" si="34"/>
        <v>-58.637373501316283</v>
      </c>
      <c r="L31" s="78">
        <f t="shared" si="34"/>
        <v>-60.245787230831553</v>
      </c>
      <c r="M31" s="78">
        <f t="shared" si="34"/>
        <v>-60.606450480389633</v>
      </c>
      <c r="N31" s="78">
        <f t="shared" si="34"/>
        <v>-57.97101454741712</v>
      </c>
      <c r="O31" s="78">
        <f t="shared" si="34"/>
        <v>-67.587289865547021</v>
      </c>
      <c r="P31" s="78">
        <f t="shared" si="34"/>
        <v>-81.964389901952785</v>
      </c>
      <c r="Q31" s="78">
        <f t="shared" si="34"/>
        <v>-93.4997645401684</v>
      </c>
      <c r="R31" s="78">
        <f t="shared" si="34"/>
        <v>-99.702790190135943</v>
      </c>
      <c r="S31" s="78">
        <f>(S19-S27)*(1-S$33)</f>
        <v>-128.66924655339827</v>
      </c>
      <c r="T31" s="78">
        <f t="shared" si="34"/>
        <v>-161.25828675192287</v>
      </c>
      <c r="U31" s="78">
        <f t="shared" si="34"/>
        <v>-195.1806301358786</v>
      </c>
      <c r="V31" s="78">
        <f t="shared" si="34"/>
        <v>-235.30314084938431</v>
      </c>
      <c r="W31" s="78">
        <f t="shared" ref="W31:AB31" si="35">(W19-W27)*(1-W$33)</f>
        <v>-259.12500315720672</v>
      </c>
      <c r="X31" s="78">
        <f t="shared" si="35"/>
        <v>-270.68092230712131</v>
      </c>
      <c r="Y31" s="78">
        <f t="shared" si="35"/>
        <v>-272.69292102215155</v>
      </c>
      <c r="Z31" s="78">
        <f t="shared" si="35"/>
        <v>-263.91117296030711</v>
      </c>
      <c r="AA31" s="78">
        <f t="shared" si="35"/>
        <v>-235.60410001079828</v>
      </c>
      <c r="AB31" s="78">
        <f t="shared" si="35"/>
        <v>-183.66247596910952</v>
      </c>
      <c r="AC31" s="36"/>
      <c r="AD31" s="36"/>
    </row>
    <row r="32" spans="1:30" x14ac:dyDescent="0.2">
      <c r="A32" s="22"/>
      <c r="B32" s="79" t="s">
        <v>379</v>
      </c>
      <c r="C32" s="78"/>
      <c r="D32" s="78">
        <f t="shared" ref="D32:W32" si="36">D31-C31</f>
        <v>-6.1716502564341766</v>
      </c>
      <c r="E32" s="78">
        <f t="shared" si="36"/>
        <v>-9.1645251097244973</v>
      </c>
      <c r="F32" s="78">
        <f t="shared" si="36"/>
        <v>-12.002314268000596</v>
      </c>
      <c r="G32" s="78">
        <f t="shared" si="36"/>
        <v>-14.924395681808754</v>
      </c>
      <c r="H32" s="78">
        <f t="shared" si="36"/>
        <v>-12.084210706509339</v>
      </c>
      <c r="I32" s="78">
        <f t="shared" si="36"/>
        <v>-0.34774450614716557</v>
      </c>
      <c r="J32" s="78">
        <f t="shared" si="36"/>
        <v>5.6380228596277391</v>
      </c>
      <c r="K32" s="78">
        <f t="shared" si="36"/>
        <v>13.011793029237204</v>
      </c>
      <c r="L32" s="78">
        <f t="shared" si="36"/>
        <v>-1.6084137295152701</v>
      </c>
      <c r="M32" s="78">
        <f t="shared" si="36"/>
        <v>-0.36066324955807971</v>
      </c>
      <c r="N32" s="78">
        <f t="shared" si="36"/>
        <v>2.6354359329725128</v>
      </c>
      <c r="O32" s="78">
        <f t="shared" si="36"/>
        <v>-9.616275318129901</v>
      </c>
      <c r="P32" s="78">
        <f t="shared" si="36"/>
        <v>-14.377100036405764</v>
      </c>
      <c r="Q32" s="78">
        <f t="shared" si="36"/>
        <v>-11.535374638215615</v>
      </c>
      <c r="R32" s="78">
        <f t="shared" si="36"/>
        <v>-6.2030256499675431</v>
      </c>
      <c r="S32" s="78">
        <f t="shared" si="36"/>
        <v>-28.966456363262324</v>
      </c>
      <c r="T32" s="78">
        <f t="shared" si="36"/>
        <v>-32.5890401985246</v>
      </c>
      <c r="U32" s="78">
        <f t="shared" si="36"/>
        <v>-33.922343383955734</v>
      </c>
      <c r="V32" s="78">
        <f t="shared" si="36"/>
        <v>-40.122510713505704</v>
      </c>
      <c r="W32" s="78">
        <f t="shared" si="36"/>
        <v>-23.821862307822414</v>
      </c>
      <c r="X32" s="78">
        <f>X31-W31</f>
        <v>-11.555919149914587</v>
      </c>
      <c r="Y32" s="78">
        <f>Y31-X31</f>
        <v>-2.011998715030245</v>
      </c>
      <c r="Z32" s="78">
        <f>Z31-Y31</f>
        <v>8.7817480618444392</v>
      </c>
      <c r="AA32" s="78">
        <f>AA31-Z31</f>
        <v>28.307072949508836</v>
      </c>
      <c r="AB32" s="78">
        <f>AB31-AA31</f>
        <v>51.941624041688755</v>
      </c>
      <c r="AC32" s="36"/>
      <c r="AD32" s="36"/>
    </row>
    <row r="33" spans="1:30" x14ac:dyDescent="0.2">
      <c r="A33" s="22"/>
      <c r="B33" s="80" t="s">
        <v>4</v>
      </c>
      <c r="C33" s="81">
        <v>0.35</v>
      </c>
      <c r="D33" s="81">
        <v>0.35</v>
      </c>
      <c r="E33" s="81">
        <v>0.35</v>
      </c>
      <c r="F33" s="81">
        <v>0.35</v>
      </c>
      <c r="G33" s="81">
        <v>0.35</v>
      </c>
      <c r="H33" s="81">
        <v>0.35</v>
      </c>
      <c r="I33" s="81">
        <v>0.35</v>
      </c>
      <c r="J33" s="81">
        <v>0.35</v>
      </c>
      <c r="K33" s="81">
        <v>0.35</v>
      </c>
      <c r="L33" s="81">
        <v>0.35</v>
      </c>
      <c r="M33" s="81">
        <v>0.35</v>
      </c>
      <c r="N33" s="81">
        <v>0.35</v>
      </c>
      <c r="O33" s="81">
        <v>0.35</v>
      </c>
      <c r="P33" s="81">
        <v>0.35</v>
      </c>
      <c r="Q33" s="81">
        <v>0.35</v>
      </c>
      <c r="R33" s="81">
        <v>0.35</v>
      </c>
      <c r="S33" s="81">
        <v>0.35</v>
      </c>
      <c r="T33" s="81">
        <v>0.35</v>
      </c>
      <c r="U33" s="81">
        <v>0.35</v>
      </c>
      <c r="V33" s="81">
        <v>0.35</v>
      </c>
      <c r="W33" s="81">
        <v>0.35</v>
      </c>
      <c r="X33" s="81">
        <v>0.35</v>
      </c>
      <c r="Y33" s="81">
        <v>0.35</v>
      </c>
      <c r="Z33" s="81">
        <v>0.35</v>
      </c>
      <c r="AA33" s="81">
        <v>0.35</v>
      </c>
      <c r="AB33" s="81">
        <v>0.35</v>
      </c>
      <c r="AC33" s="36"/>
      <c r="AD33" s="36"/>
    </row>
    <row r="34" spans="1:30" x14ac:dyDescent="0.2">
      <c r="A34" s="22"/>
      <c r="B34" s="76"/>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c r="AC34" s="36"/>
      <c r="AD34" s="36"/>
    </row>
    <row r="35" spans="1:30" x14ac:dyDescent="0.2">
      <c r="A35" s="22"/>
      <c r="B35" s="82" t="s">
        <v>380</v>
      </c>
      <c r="C35" s="29">
        <f t="shared" ref="C35:I35" si="37">D35-1</f>
        <v>1996</v>
      </c>
      <c r="D35" s="29">
        <f t="shared" si="37"/>
        <v>1997</v>
      </c>
      <c r="E35" s="29">
        <f t="shared" si="37"/>
        <v>1998</v>
      </c>
      <c r="F35" s="29">
        <f t="shared" si="37"/>
        <v>1999</v>
      </c>
      <c r="G35" s="29">
        <f t="shared" si="37"/>
        <v>2000</v>
      </c>
      <c r="H35" s="29">
        <f t="shared" si="37"/>
        <v>2001</v>
      </c>
      <c r="I35" s="29">
        <f t="shared" si="37"/>
        <v>2002</v>
      </c>
      <c r="J35" s="29">
        <v>2003</v>
      </c>
      <c r="K35" s="29">
        <v>2004</v>
      </c>
      <c r="L35" s="29">
        <v>2005</v>
      </c>
      <c r="M35" s="29">
        <v>2006</v>
      </c>
      <c r="N35" s="29">
        <f t="shared" ref="N35:V35" si="38">M35+1</f>
        <v>2007</v>
      </c>
      <c r="O35" s="29">
        <f t="shared" si="38"/>
        <v>2008</v>
      </c>
      <c r="P35" s="29">
        <f t="shared" si="38"/>
        <v>2009</v>
      </c>
      <c r="Q35" s="29">
        <f t="shared" si="38"/>
        <v>2010</v>
      </c>
      <c r="R35" s="29">
        <f t="shared" si="38"/>
        <v>2011</v>
      </c>
      <c r="S35" s="29">
        <f t="shared" si="38"/>
        <v>2012</v>
      </c>
      <c r="T35" s="30">
        <f t="shared" si="38"/>
        <v>2013</v>
      </c>
      <c r="U35" s="30">
        <f t="shared" si="38"/>
        <v>2014</v>
      </c>
      <c r="V35" s="30">
        <f t="shared" si="38"/>
        <v>2015</v>
      </c>
      <c r="W35" s="30">
        <f t="shared" ref="W35:AB35" si="39">V35+1</f>
        <v>2016</v>
      </c>
      <c r="X35" s="30">
        <f t="shared" si="39"/>
        <v>2017</v>
      </c>
      <c r="Y35" s="30">
        <f t="shared" si="39"/>
        <v>2018</v>
      </c>
      <c r="Z35" s="30">
        <f t="shared" si="39"/>
        <v>2019</v>
      </c>
      <c r="AA35" s="30">
        <f t="shared" si="39"/>
        <v>2020</v>
      </c>
      <c r="AB35" s="30">
        <f t="shared" si="39"/>
        <v>2021</v>
      </c>
      <c r="AC35" s="36"/>
      <c r="AD35" s="36"/>
    </row>
    <row r="36" spans="1:30" x14ac:dyDescent="0.2">
      <c r="A36" s="83"/>
      <c r="B36" s="83"/>
      <c r="C36" s="83"/>
      <c r="D36" s="83"/>
      <c r="E36" s="83"/>
      <c r="F36" s="83"/>
      <c r="G36" s="83"/>
      <c r="H36" s="83"/>
      <c r="I36" s="83"/>
      <c r="J36" s="83"/>
      <c r="K36" s="83"/>
      <c r="L36" s="83"/>
      <c r="M36" s="83"/>
      <c r="N36" s="83"/>
      <c r="O36" s="83"/>
      <c r="P36" s="83"/>
      <c r="Q36" s="83"/>
      <c r="R36" s="83"/>
      <c r="S36" s="83"/>
      <c r="T36" s="83"/>
      <c r="U36" s="83"/>
      <c r="V36" s="83"/>
      <c r="W36" s="83"/>
      <c r="X36" s="83"/>
      <c r="Y36" s="83"/>
      <c r="Z36" s="83"/>
      <c r="AA36" s="83"/>
      <c r="AB36" s="83"/>
      <c r="AC36" s="84"/>
      <c r="AD36" s="84"/>
    </row>
    <row r="37" spans="1:30" x14ac:dyDescent="0.2">
      <c r="A37" s="22"/>
      <c r="B37" s="74" t="s">
        <v>381</v>
      </c>
      <c r="C37" s="85">
        <v>5.6000000000000001E-2</v>
      </c>
      <c r="D37" s="86">
        <f t="shared" ref="D37:V37" si="40">(C37*(D23+D24+D25)+D38*D26)/D27</f>
        <v>5.5999999999999994E-2</v>
      </c>
      <c r="E37" s="86">
        <f t="shared" si="40"/>
        <v>5.8904126438840403E-2</v>
      </c>
      <c r="F37" s="86">
        <f t="shared" si="40"/>
        <v>6.0048057615899111E-2</v>
      </c>
      <c r="G37" s="86">
        <f t="shared" si="40"/>
        <v>6.1449273314281898E-2</v>
      </c>
      <c r="H37" s="86">
        <f t="shared" si="40"/>
        <v>6.2112514251018901E-2</v>
      </c>
      <c r="I37" s="86">
        <f t="shared" si="40"/>
        <v>6.2912457119794665E-2</v>
      </c>
      <c r="J37" s="86">
        <f t="shared" si="40"/>
        <v>6.3024716168544132E-2</v>
      </c>
      <c r="K37" s="86">
        <f t="shared" si="40"/>
        <v>6.2766474853454213E-2</v>
      </c>
      <c r="L37" s="86">
        <f t="shared" si="40"/>
        <v>6.2564817929385078E-2</v>
      </c>
      <c r="M37" s="86">
        <f t="shared" si="40"/>
        <v>6.2834088363684149E-2</v>
      </c>
      <c r="N37" s="86">
        <f t="shared" si="40"/>
        <v>6.2831702870081968E-2</v>
      </c>
      <c r="O37" s="86">
        <f t="shared" si="40"/>
        <v>6.3119563014320521E-2</v>
      </c>
      <c r="P37" s="86">
        <f t="shared" si="40"/>
        <v>6.361455394487138E-2</v>
      </c>
      <c r="Q37" s="86">
        <f t="shared" si="40"/>
        <v>6.3460889042080304E-2</v>
      </c>
      <c r="R37" s="86">
        <f t="shared" si="40"/>
        <v>6.0962852869409757E-2</v>
      </c>
      <c r="S37" s="86">
        <f t="shared" si="40"/>
        <v>5.8167240838034803E-2</v>
      </c>
      <c r="T37" s="86">
        <f t="shared" si="40"/>
        <v>5.7355077945009297E-2</v>
      </c>
      <c r="U37" s="86">
        <f t="shared" si="40"/>
        <v>5.6713453124948257E-2</v>
      </c>
      <c r="V37" s="86">
        <f t="shared" si="40"/>
        <v>6.0309881324633045E-2</v>
      </c>
      <c r="W37" s="86">
        <f t="shared" ref="W37:AB37" si="41">(V37*(W23+W24+W25)+W38*W26)/W27</f>
        <v>6.331220304737048E-2</v>
      </c>
      <c r="X37" s="86">
        <f t="shared" si="41"/>
        <v>6.5798706652590161E-2</v>
      </c>
      <c r="Y37" s="86">
        <f t="shared" si="41"/>
        <v>6.7844686375473473E-2</v>
      </c>
      <c r="Z37" s="86">
        <f t="shared" si="41"/>
        <v>6.9519372312185967E-2</v>
      </c>
      <c r="AA37" s="86">
        <f t="shared" si="41"/>
        <v>7.0884387769351603E-2</v>
      </c>
      <c r="AB37" s="86">
        <f t="shared" si="41"/>
        <v>7.1993278697456697E-2</v>
      </c>
      <c r="AC37" s="36"/>
      <c r="AD37" s="36"/>
    </row>
    <row r="38" spans="1:30" x14ac:dyDescent="0.2">
      <c r="A38" s="22"/>
      <c r="B38" s="74" t="s">
        <v>382</v>
      </c>
      <c r="C38" s="87"/>
      <c r="D38" s="88">
        <v>5.6000000000000001E-2</v>
      </c>
      <c r="E38" s="89">
        <v>6.6000000000000003E-2</v>
      </c>
      <c r="F38" s="89">
        <v>6.6000000000000003E-2</v>
      </c>
      <c r="G38" s="89">
        <v>7.1999999999999995E-2</v>
      </c>
      <c r="H38" s="89">
        <v>6.7000000000000004E-2</v>
      </c>
      <c r="I38" s="89">
        <v>6.6000000000000003E-2</v>
      </c>
      <c r="J38" s="89">
        <v>6.6000000000000003E-2</v>
      </c>
      <c r="K38" s="89">
        <v>6.0999999999999999E-2</v>
      </c>
      <c r="L38" s="89">
        <v>0.06</v>
      </c>
      <c r="M38" s="89">
        <v>6.6000000000000003E-2</v>
      </c>
      <c r="N38" s="89">
        <v>6.3E-2</v>
      </c>
      <c r="O38" s="89">
        <v>6.4000000000000001E-2</v>
      </c>
      <c r="P38" s="89">
        <v>6.5000000000000002E-2</v>
      </c>
      <c r="Q38" s="89">
        <v>6.3E-2</v>
      </c>
      <c r="R38" s="89">
        <f>(454*(0.24%+0.06%)+46*(0.24%+0.18%)+325*2.28%+51*7.68%+399*6.75%+648*6.25%+4.75%*498+4%*499+300*6.95%+343*7%)/(454+46+325+51+399+648+498+499+300+343)</f>
        <v>4.7372859949480775E-2</v>
      </c>
      <c r="S38" s="89">
        <f>(325*2.28%+400*6.75%+648*6.25%+498*4.75%+499*4%+300*6.95%+7%*344)/(325+400+648+498+499+300+344)</f>
        <v>5.4231917717319181E-2</v>
      </c>
      <c r="T38" s="89">
        <f>(325*2.28%+400*6.75%+648*6.25%+498*4.75%+499*4%+300*6.95%+7%*344)/(325+400+648+498+499+300+344)</f>
        <v>5.4231917717319181E-2</v>
      </c>
      <c r="U38" s="89">
        <f>(325*2.28%+400*6.75%+648*6.25%+498*4.75%+499*4%+300*6.95%+7%*344)/(325+400+648+498+499+300+344)</f>
        <v>5.4231917717319181E-2</v>
      </c>
      <c r="V38" s="180">
        <v>7.6624999999999999E-2</v>
      </c>
      <c r="W38" s="180">
        <v>7.6624999999999999E-2</v>
      </c>
      <c r="X38" s="180">
        <v>7.6624999999999999E-2</v>
      </c>
      <c r="Y38" s="180">
        <v>7.6624999999999999E-2</v>
      </c>
      <c r="Z38" s="180">
        <v>7.6624999999999999E-2</v>
      </c>
      <c r="AA38" s="180">
        <v>7.6624999999999999E-2</v>
      </c>
      <c r="AB38" s="180">
        <v>7.6624999999999999E-2</v>
      </c>
      <c r="AC38" s="36"/>
      <c r="AD38" s="36"/>
    </row>
    <row r="39" spans="1:30" x14ac:dyDescent="0.2">
      <c r="A39" s="22"/>
      <c r="B39" s="22"/>
      <c r="C39" s="25"/>
      <c r="D39" s="25"/>
      <c r="E39" s="25"/>
      <c r="F39" s="25"/>
      <c r="G39" s="25"/>
      <c r="H39" s="25"/>
      <c r="I39" s="25"/>
      <c r="J39" s="90"/>
      <c r="K39" s="25"/>
      <c r="L39" s="25"/>
      <c r="M39" s="25"/>
      <c r="N39" s="25"/>
      <c r="O39" s="25"/>
      <c r="P39" s="25"/>
      <c r="Q39" s="25"/>
      <c r="R39" s="25"/>
      <c r="S39" s="25"/>
      <c r="T39" s="25"/>
      <c r="U39" s="25"/>
      <c r="V39" s="25"/>
      <c r="W39" s="25"/>
      <c r="X39" s="25"/>
      <c r="Y39" s="36"/>
      <c r="Z39" s="36"/>
      <c r="AA39" s="36"/>
      <c r="AB39" s="36"/>
      <c r="AC39" s="36"/>
      <c r="AD39" s="36"/>
    </row>
    <row r="40" spans="1:30" x14ac:dyDescent="0.2">
      <c r="A40" s="22"/>
      <c r="B40" s="91" t="s">
        <v>383</v>
      </c>
      <c r="C40" s="92">
        <f>83-21</f>
        <v>62</v>
      </c>
      <c r="D40" s="92">
        <f>92-21</f>
        <v>71</v>
      </c>
      <c r="E40" s="92">
        <f>97-21</f>
        <v>76</v>
      </c>
      <c r="F40" s="92">
        <f>104-21</f>
        <v>83</v>
      </c>
      <c r="G40" s="92">
        <f>140-24-5</f>
        <v>111</v>
      </c>
      <c r="H40" s="92">
        <f>156-26-5</f>
        <v>125</v>
      </c>
      <c r="I40" s="92">
        <f>166-29</f>
        <v>137</v>
      </c>
      <c r="J40" s="92">
        <f>179-32-31</f>
        <v>116</v>
      </c>
      <c r="K40" s="92">
        <f>181-32-31</f>
        <v>118</v>
      </c>
      <c r="L40" s="92">
        <f>187-32-31</f>
        <v>124</v>
      </c>
      <c r="M40" s="92">
        <f>191-32-31</f>
        <v>128</v>
      </c>
      <c r="N40" s="92">
        <f>156-33</f>
        <v>123</v>
      </c>
      <c r="O40" s="92">
        <f>169-33</f>
        <v>136</v>
      </c>
      <c r="P40" s="92">
        <f>184-34</f>
        <v>150</v>
      </c>
      <c r="Q40" s="92">
        <f>204-34</f>
        <v>170</v>
      </c>
      <c r="R40" s="92">
        <f>225-36</f>
        <v>189</v>
      </c>
      <c r="S40" s="92">
        <f>240-36</f>
        <v>204</v>
      </c>
      <c r="T40" s="92">
        <f>260-35</f>
        <v>225</v>
      </c>
      <c r="U40" s="92">
        <f>292-35</f>
        <v>257</v>
      </c>
      <c r="V40" s="93">
        <f>sumry!FR69*V42</f>
        <v>284.28424657534248</v>
      </c>
      <c r="W40" s="93">
        <f>sumry!FS69*W42</f>
        <v>307.16780821917808</v>
      </c>
      <c r="X40" s="93">
        <f>sumry!FT69*X42</f>
        <v>322.13013698630135</v>
      </c>
      <c r="Y40" s="93">
        <f>sumry!FU69*Y42</f>
        <v>334.45205479452051</v>
      </c>
      <c r="Z40" s="93">
        <f>sumry!FV69*Z42</f>
        <v>349.41438356164383</v>
      </c>
      <c r="AA40" s="93">
        <f>sumry!FW69*AA42</f>
        <v>359.97602739726028</v>
      </c>
      <c r="AB40" s="93">
        <f>sumry!FX69*AB42</f>
        <v>366.13698630136986</v>
      </c>
      <c r="AC40" s="36"/>
      <c r="AD40" s="36"/>
    </row>
    <row r="41" spans="1:30" x14ac:dyDescent="0.2">
      <c r="A41" s="94"/>
      <c r="B41" s="94" t="s">
        <v>384</v>
      </c>
      <c r="C41" s="95"/>
      <c r="D41" s="95">
        <f t="shared" ref="D41:W41" si="42">D40/C40-1</f>
        <v>0.14516129032258074</v>
      </c>
      <c r="E41" s="95">
        <f t="shared" si="42"/>
        <v>7.0422535211267512E-2</v>
      </c>
      <c r="F41" s="95">
        <f t="shared" si="42"/>
        <v>9.210526315789469E-2</v>
      </c>
      <c r="G41" s="95">
        <f t="shared" si="42"/>
        <v>0.33734939759036142</v>
      </c>
      <c r="H41" s="95">
        <f t="shared" si="42"/>
        <v>0.12612612612612617</v>
      </c>
      <c r="I41" s="95">
        <f t="shared" si="42"/>
        <v>9.6000000000000085E-2</v>
      </c>
      <c r="J41" s="95">
        <f t="shared" si="42"/>
        <v>-0.15328467153284675</v>
      </c>
      <c r="K41" s="95">
        <f t="shared" si="42"/>
        <v>1.7241379310344751E-2</v>
      </c>
      <c r="L41" s="95">
        <f t="shared" si="42"/>
        <v>5.0847457627118731E-2</v>
      </c>
      <c r="M41" s="95">
        <f t="shared" si="42"/>
        <v>3.2258064516129004E-2</v>
      </c>
      <c r="N41" s="95">
        <f t="shared" si="42"/>
        <v>-3.90625E-2</v>
      </c>
      <c r="O41" s="95">
        <f t="shared" si="42"/>
        <v>0.10569105691056913</v>
      </c>
      <c r="P41" s="95">
        <f t="shared" si="42"/>
        <v>0.10294117647058831</v>
      </c>
      <c r="Q41" s="95">
        <f t="shared" si="42"/>
        <v>0.1333333333333333</v>
      </c>
      <c r="R41" s="95">
        <f t="shared" si="42"/>
        <v>0.11176470588235299</v>
      </c>
      <c r="S41" s="95">
        <f t="shared" si="42"/>
        <v>7.9365079365079305E-2</v>
      </c>
      <c r="T41" s="95">
        <f t="shared" si="42"/>
        <v>0.10294117647058831</v>
      </c>
      <c r="U41" s="95">
        <f t="shared" si="42"/>
        <v>0.14222222222222225</v>
      </c>
      <c r="V41" s="95">
        <f t="shared" si="42"/>
        <v>0.10616438356164393</v>
      </c>
      <c r="W41" s="95">
        <f t="shared" si="42"/>
        <v>8.0495356037151744E-2</v>
      </c>
      <c r="X41" s="95">
        <f>X40/W40-1</f>
        <v>4.871060171919761E-2</v>
      </c>
      <c r="Y41" s="95">
        <f>Y40/X40-1</f>
        <v>3.82513661202184E-2</v>
      </c>
      <c r="Z41" s="95">
        <f>Z40/Y40-1</f>
        <v>4.4736842105263186E-2</v>
      </c>
      <c r="AA41" s="95">
        <f>AA40/Z40-1</f>
        <v>3.0226700251889227E-2</v>
      </c>
      <c r="AB41" s="95">
        <f>AB40/AA40-1</f>
        <v>1.7114914425427896E-2</v>
      </c>
      <c r="AC41" s="36"/>
      <c r="AD41" s="36"/>
    </row>
    <row r="42" spans="1:30" x14ac:dyDescent="0.2">
      <c r="A42" s="94"/>
      <c r="B42" s="94" t="s">
        <v>385</v>
      </c>
      <c r="C42" s="96">
        <f>C40/sumry!EY69</f>
        <v>0.75609756097560976</v>
      </c>
      <c r="D42" s="96">
        <f>D40/sumry!EZ69</f>
        <v>0.81609195402298851</v>
      </c>
      <c r="E42" s="96">
        <f>E40/sumry!FA69</f>
        <v>0.82608695652173914</v>
      </c>
      <c r="F42" s="96">
        <f>F40/sumry!FB69</f>
        <v>0.84693877551020413</v>
      </c>
      <c r="G42" s="96">
        <f>G40/sumry!FC69</f>
        <v>0.97368421052631582</v>
      </c>
      <c r="H42" s="96">
        <f>H40/sumry!FD69</f>
        <v>0.98425196850393704</v>
      </c>
      <c r="I42" s="96">
        <f>I40/sumry!FE69</f>
        <v>0.95804195804195802</v>
      </c>
      <c r="J42" s="96">
        <f>J40/sumry!FF69</f>
        <v>0.82269503546099287</v>
      </c>
      <c r="K42" s="96">
        <f>K40/sumry!FG69</f>
        <v>0.78666666666666663</v>
      </c>
      <c r="L42" s="96">
        <f>L40/sumry!FH69</f>
        <v>0.8</v>
      </c>
      <c r="M42" s="96">
        <f>M40/sumry!FI69</f>
        <v>0.82580645161290323</v>
      </c>
      <c r="N42" s="96">
        <f>N40/sumry!FJ69</f>
        <v>0.78846153846153844</v>
      </c>
      <c r="O42" s="96">
        <f>O40/sumry!FK69</f>
        <v>0.80473372781065089</v>
      </c>
      <c r="P42" s="96">
        <f>P40/sumry!FL69</f>
        <v>0.81521739130434778</v>
      </c>
      <c r="Q42" s="96">
        <f>Q40/sumry!FM69</f>
        <v>0.83333333333333337</v>
      </c>
      <c r="R42" s="96">
        <f>R40/sumry!FN69</f>
        <v>0.84</v>
      </c>
      <c r="S42" s="96">
        <f>S40/sumry!FO69</f>
        <v>0.85</v>
      </c>
      <c r="T42" s="96">
        <f>T40/sumry!FP69</f>
        <v>0.86538461538461542</v>
      </c>
      <c r="U42" s="96">
        <f>U40/sumry!FQ69</f>
        <v>0.88013698630136983</v>
      </c>
      <c r="V42" s="97">
        <f t="shared" ref="V42:AB42" si="43">U42</f>
        <v>0.88013698630136983</v>
      </c>
      <c r="W42" s="97">
        <f t="shared" si="43"/>
        <v>0.88013698630136983</v>
      </c>
      <c r="X42" s="97">
        <f t="shared" si="43"/>
        <v>0.88013698630136983</v>
      </c>
      <c r="Y42" s="97">
        <f t="shared" si="43"/>
        <v>0.88013698630136983</v>
      </c>
      <c r="Z42" s="97">
        <f t="shared" si="43"/>
        <v>0.88013698630136983</v>
      </c>
      <c r="AA42" s="97">
        <f t="shared" si="43"/>
        <v>0.88013698630136983</v>
      </c>
      <c r="AB42" s="97">
        <f t="shared" si="43"/>
        <v>0.88013698630136983</v>
      </c>
      <c r="AC42" s="36"/>
      <c r="AD42" s="36"/>
    </row>
    <row r="43" spans="1:30" x14ac:dyDescent="0.2">
      <c r="A43" s="94"/>
      <c r="B43" s="91" t="s">
        <v>386</v>
      </c>
      <c r="C43" s="98">
        <f>(1-0.24)*(sumry!EY72*1000)</f>
        <v>8933.0400000000009</v>
      </c>
      <c r="D43" s="98">
        <f>(1-0.24)*(sumry!EZ72*1000)</f>
        <v>9586.3360000000011</v>
      </c>
      <c r="E43" s="98">
        <f>(1-0.24)*(sumry!FA72*1000)</f>
        <v>10436.244000000001</v>
      </c>
      <c r="F43" s="98">
        <f>(1-0.24)*(sumry!FB72*1000)</f>
        <v>11010.12</v>
      </c>
      <c r="G43" s="98">
        <f>(1-0.24)*(sumry!FC72*1000)</f>
        <v>12150.12</v>
      </c>
      <c r="H43" s="98">
        <f>(1-0.24)*(sumry!FD72*1000)</f>
        <v>12928.36</v>
      </c>
      <c r="I43" s="98">
        <f>(1-0.24)*(sumry!FE72*1000)</f>
        <v>14005.28</v>
      </c>
      <c r="J43" s="98">
        <f>(1-0.24)*(sumry!FF72*1000)</f>
        <v>14544.880000000001</v>
      </c>
      <c r="K43" s="98">
        <f>(1-0.24)*(sumry!FG72*1000)</f>
        <v>14741.72</v>
      </c>
      <c r="L43" s="98">
        <f>(1-0.24)*(sumry!FH72*1000)</f>
        <v>15253.2</v>
      </c>
      <c r="M43" s="98">
        <f>(1-0.24)*(sumry!FI72*1000)</f>
        <v>15329.2</v>
      </c>
      <c r="N43" s="98">
        <f>(1-0.24)*(sumry!FJ72*1000)</f>
        <v>15581.52</v>
      </c>
      <c r="O43" s="98">
        <f>(1-0.24)*(sumry!FK72*1000)</f>
        <v>16625.759999999998</v>
      </c>
      <c r="P43" s="98">
        <f>(1-0.24)*(sumry!FL72*1000)</f>
        <v>17307.48</v>
      </c>
      <c r="Q43" s="98">
        <f>(1-0.24)*(sumry!FM72*1000)</f>
        <v>18116.88</v>
      </c>
      <c r="R43" s="98">
        <f>(1-0.24)*(sumry!FN72*1000)</f>
        <v>18806.199999999997</v>
      </c>
      <c r="S43" s="98">
        <f>(1-0.24)*(sumry!FO72*1000)</f>
        <v>19220.400000000001</v>
      </c>
      <c r="T43" s="98">
        <f>(1-0.24)*(sumry!FP72*1000)</f>
        <v>19772.920000000002</v>
      </c>
      <c r="U43" s="98">
        <f>(1-0.24)*(sumry!FQ72*1000)</f>
        <v>20566.36</v>
      </c>
      <c r="V43" s="93">
        <f>(sumry!FR72*1000)*V45</f>
        <v>21743.599999999999</v>
      </c>
      <c r="W43" s="93">
        <f>(sumry!FS72*1000)*W45</f>
        <v>22641.920000000002</v>
      </c>
      <c r="X43" s="93">
        <f>(sumry!FT72*1000)*X45</f>
        <v>22965.68</v>
      </c>
      <c r="Y43" s="93">
        <f>(sumry!FU72*1000)*Y45</f>
        <v>23912.876208236208</v>
      </c>
      <c r="Z43" s="93">
        <f>(sumry!FV72*1000)*Z45</f>
        <v>24521.971830587237</v>
      </c>
      <c r="AA43" s="93">
        <f>(sumry!FW72*1000)*AA45</f>
        <v>25154.964453859004</v>
      </c>
      <c r="AB43" s="93">
        <f>(sumry!FX72*1000)*AB45</f>
        <v>25642.712585350004</v>
      </c>
      <c r="AC43" s="36"/>
      <c r="AD43" s="36"/>
    </row>
    <row r="44" spans="1:30" x14ac:dyDescent="0.2">
      <c r="A44" s="94"/>
      <c r="B44" s="94" t="s">
        <v>387</v>
      </c>
      <c r="C44" s="95"/>
      <c r="D44" s="95">
        <f t="shared" ref="D44:W44" si="44">D43/C43-1</f>
        <v>7.3132550621065162E-2</v>
      </c>
      <c r="E44" s="95">
        <f t="shared" si="44"/>
        <v>8.8658273609437455E-2</v>
      </c>
      <c r="F44" s="95">
        <f t="shared" si="44"/>
        <v>5.4988748825727018E-2</v>
      </c>
      <c r="G44" s="95">
        <f t="shared" si="44"/>
        <v>0.1035411058190101</v>
      </c>
      <c r="H44" s="95">
        <f t="shared" si="44"/>
        <v>6.4052042284356014E-2</v>
      </c>
      <c r="I44" s="95">
        <f t="shared" si="44"/>
        <v>8.329904179648473E-2</v>
      </c>
      <c r="J44" s="95">
        <f t="shared" si="44"/>
        <v>3.852832645973514E-2</v>
      </c>
      <c r="K44" s="95">
        <f t="shared" si="44"/>
        <v>1.3533284564740233E-2</v>
      </c>
      <c r="L44" s="95">
        <f t="shared" si="44"/>
        <v>3.4696087023766697E-2</v>
      </c>
      <c r="M44" s="95">
        <f t="shared" si="44"/>
        <v>4.9825610363727346E-3</v>
      </c>
      <c r="N44" s="95">
        <f t="shared" si="44"/>
        <v>1.6460089241447706E-2</v>
      </c>
      <c r="O44" s="95">
        <f t="shared" si="44"/>
        <v>6.7017851916886029E-2</v>
      </c>
      <c r="P44" s="95">
        <f t="shared" si="44"/>
        <v>4.1003839824465205E-2</v>
      </c>
      <c r="Q44" s="95">
        <f t="shared" si="44"/>
        <v>4.6765906995125839E-2</v>
      </c>
      <c r="R44" s="95">
        <f t="shared" si="44"/>
        <v>3.8048494001174271E-2</v>
      </c>
      <c r="S44" s="95">
        <f t="shared" si="44"/>
        <v>2.2024651444736643E-2</v>
      </c>
      <c r="T44" s="95">
        <f t="shared" si="44"/>
        <v>2.8746540134440446E-2</v>
      </c>
      <c r="U44" s="95">
        <f t="shared" si="44"/>
        <v>4.0127608871122655E-2</v>
      </c>
      <c r="V44" s="95">
        <f t="shared" si="44"/>
        <v>5.7241048002660611E-2</v>
      </c>
      <c r="W44" s="95">
        <f t="shared" si="44"/>
        <v>4.1314225795176629E-2</v>
      </c>
      <c r="X44" s="95">
        <f>X43/W43-1</f>
        <v>1.4299140708915026E-2</v>
      </c>
      <c r="Y44" s="95">
        <f>Y43/X43-1</f>
        <v>4.1243987037884677E-2</v>
      </c>
      <c r="Z44" s="95">
        <f>Z43/Y43-1</f>
        <v>2.5471449651098155E-2</v>
      </c>
      <c r="AA44" s="95">
        <f>AA43/Z43-1</f>
        <v>2.5813284006884318E-2</v>
      </c>
      <c r="AB44" s="95">
        <f>AB43/AA43-1</f>
        <v>1.938973646278308E-2</v>
      </c>
      <c r="AC44" s="36"/>
      <c r="AD44" s="36"/>
    </row>
    <row r="45" spans="1:30" x14ac:dyDescent="0.2">
      <c r="A45" s="94"/>
      <c r="B45" s="94" t="s">
        <v>388</v>
      </c>
      <c r="C45" s="96">
        <f>C43/(sumry!EY72*1000)</f>
        <v>0.76000000000000012</v>
      </c>
      <c r="D45" s="96">
        <f>D43/(sumry!EZ72*1000)</f>
        <v>0.76000000000000012</v>
      </c>
      <c r="E45" s="96">
        <f>E43/(sumry!FA72*1000)</f>
        <v>0.76</v>
      </c>
      <c r="F45" s="96">
        <f>F43/(sumry!FB72*1000)</f>
        <v>0.76</v>
      </c>
      <c r="G45" s="96">
        <f>G43/(sumry!FC72*1000)</f>
        <v>0.76</v>
      </c>
      <c r="H45" s="96">
        <f>H43/(sumry!FD72*1000)</f>
        <v>0.76</v>
      </c>
      <c r="I45" s="96">
        <f>I43/(sumry!FE72*1000)</f>
        <v>0.76</v>
      </c>
      <c r="J45" s="96">
        <f>J43/(sumry!FF72*1000)</f>
        <v>0.76</v>
      </c>
      <c r="K45" s="96">
        <f>K43/(sumry!FG72*1000)</f>
        <v>0.76</v>
      </c>
      <c r="L45" s="96">
        <f>L43/(sumry!FH72*1000)</f>
        <v>0.76</v>
      </c>
      <c r="M45" s="96">
        <f>M43/(sumry!FI72*1000)</f>
        <v>0.76</v>
      </c>
      <c r="N45" s="96">
        <f>N43/(sumry!FJ72*1000)</f>
        <v>0.76</v>
      </c>
      <c r="O45" s="96">
        <f>O43/(sumry!FK72*1000)</f>
        <v>0.7599999999999999</v>
      </c>
      <c r="P45" s="96">
        <f>P43/(sumry!FL72*1000)</f>
        <v>0.76</v>
      </c>
      <c r="Q45" s="96">
        <f>Q43/(sumry!FM72*1000)</f>
        <v>0.76</v>
      </c>
      <c r="R45" s="96">
        <f>R43/(sumry!FN72*1000)</f>
        <v>0.76</v>
      </c>
      <c r="S45" s="96">
        <f>S43/(sumry!FO72*1000)</f>
        <v>0.76</v>
      </c>
      <c r="T45" s="96">
        <f>T43/(sumry!FP72*1000)</f>
        <v>0.76000000000000012</v>
      </c>
      <c r="U45" s="96">
        <f>U43/(sumry!FQ72*1000)</f>
        <v>0.76</v>
      </c>
      <c r="V45" s="97">
        <f t="shared" ref="V45:AB45" si="45">U45</f>
        <v>0.76</v>
      </c>
      <c r="W45" s="97">
        <f t="shared" si="45"/>
        <v>0.76</v>
      </c>
      <c r="X45" s="97">
        <f t="shared" si="45"/>
        <v>0.76</v>
      </c>
      <c r="Y45" s="97">
        <f t="shared" si="45"/>
        <v>0.76</v>
      </c>
      <c r="Z45" s="97">
        <f t="shared" si="45"/>
        <v>0.76</v>
      </c>
      <c r="AA45" s="97">
        <f t="shared" si="45"/>
        <v>0.76</v>
      </c>
      <c r="AB45" s="97">
        <f t="shared" si="45"/>
        <v>0.76</v>
      </c>
      <c r="AC45" s="36"/>
      <c r="AD45" s="36"/>
    </row>
    <row r="46" spans="1:30" x14ac:dyDescent="0.2">
      <c r="A46" s="94"/>
      <c r="B46" s="94"/>
      <c r="C46" s="99"/>
      <c r="D46" s="99"/>
      <c r="E46" s="99"/>
      <c r="F46" s="99"/>
      <c r="G46" s="99"/>
      <c r="H46" s="99"/>
      <c r="I46" s="99"/>
      <c r="J46" s="100"/>
      <c r="K46" s="100"/>
      <c r="L46" s="100"/>
      <c r="M46" s="96"/>
      <c r="N46" s="100"/>
      <c r="O46" s="100"/>
      <c r="P46" s="100"/>
      <c r="Q46" s="41"/>
      <c r="R46" s="41"/>
      <c r="S46" s="42"/>
      <c r="T46" s="42"/>
      <c r="U46" s="42"/>
      <c r="V46" s="42"/>
      <c r="W46" s="42"/>
      <c r="X46" s="42"/>
      <c r="Y46" s="42"/>
      <c r="Z46" s="42"/>
      <c r="AA46" s="42"/>
      <c r="AB46" s="42"/>
      <c r="AC46" s="36"/>
      <c r="AD46" s="36"/>
    </row>
    <row r="47" spans="1:30" x14ac:dyDescent="0.2">
      <c r="A47" s="94"/>
      <c r="B47" s="94" t="s">
        <v>389</v>
      </c>
      <c r="C47" s="101">
        <f t="shared" ref="C47:V47" si="46">C50/C40</f>
        <v>4.3003202881722924</v>
      </c>
      <c r="D47" s="101">
        <f t="shared" si="46"/>
        <v>0.3938983060719447</v>
      </c>
      <c r="E47" s="101">
        <f t="shared" si="46"/>
        <v>1.2897997592806583</v>
      </c>
      <c r="F47" s="101">
        <f t="shared" si="46"/>
        <v>0.74745882569927435</v>
      </c>
      <c r="G47" s="101">
        <f t="shared" si="46"/>
        <v>0.44692162098300692</v>
      </c>
      <c r="H47" s="101">
        <f t="shared" si="46"/>
        <v>0.44047688772741855</v>
      </c>
      <c r="I47" s="101">
        <f t="shared" si="46"/>
        <v>0.79334961672684801</v>
      </c>
      <c r="J47" s="101">
        <f t="shared" si="46"/>
        <v>0.15547820944793311</v>
      </c>
      <c r="K47" s="101">
        <f t="shared" si="46"/>
        <v>0.53366621319204843</v>
      </c>
      <c r="L47" s="101">
        <f t="shared" si="46"/>
        <v>0.28489315431980405</v>
      </c>
      <c r="M47" s="101">
        <f t="shared" si="46"/>
        <v>0.28976845376489579</v>
      </c>
      <c r="N47" s="101">
        <f t="shared" si="46"/>
        <v>-4.8576416229759396E-2</v>
      </c>
      <c r="O47" s="101">
        <f t="shared" si="46"/>
        <v>0.89786815450945834</v>
      </c>
      <c r="P47" s="101">
        <f t="shared" si="46"/>
        <v>1.0677472522975027</v>
      </c>
      <c r="Q47" s="101">
        <f t="shared" si="46"/>
        <v>1.070071411441023</v>
      </c>
      <c r="R47" s="101">
        <f t="shared" si="46"/>
        <v>0.6305498252342101</v>
      </c>
      <c r="S47" s="101">
        <f t="shared" si="46"/>
        <v>2.3842614736479932</v>
      </c>
      <c r="T47" s="101">
        <f t="shared" si="46"/>
        <v>1.242376744977447</v>
      </c>
      <c r="U47" s="101">
        <f t="shared" si="46"/>
        <v>1.2508365088051139</v>
      </c>
      <c r="V47" s="101">
        <f t="shared" si="46"/>
        <v>1.1170287363394162</v>
      </c>
      <c r="W47" s="101">
        <f t="shared" ref="W47:AB47" si="47">W50/W40</f>
        <v>1.1888834501813066</v>
      </c>
      <c r="X47" s="101">
        <f t="shared" si="47"/>
        <v>1.3037114009023703</v>
      </c>
      <c r="Y47" s="101">
        <f t="shared" si="47"/>
        <v>1.4440319174731782</v>
      </c>
      <c r="Z47" s="101">
        <f t="shared" si="47"/>
        <v>1.5895263172185858</v>
      </c>
      <c r="AA47" s="101">
        <f t="shared" si="47"/>
        <v>1.7743233254917976</v>
      </c>
      <c r="AB47" s="101">
        <f t="shared" si="47"/>
        <v>2.0061369618871803</v>
      </c>
      <c r="AC47" s="36"/>
      <c r="AD47" s="36"/>
    </row>
    <row r="48" spans="1:30" x14ac:dyDescent="0.2">
      <c r="A48" s="94"/>
      <c r="B48" s="94" t="s">
        <v>390</v>
      </c>
      <c r="C48" s="102"/>
      <c r="D48" s="102">
        <f t="shared" ref="D48:W48" si="48">D47/C47-1</f>
        <v>-0.90840256546580211</v>
      </c>
      <c r="E48" s="102">
        <f t="shared" si="48"/>
        <v>2.2744486061462754</v>
      </c>
      <c r="F48" s="102">
        <f t="shared" si="48"/>
        <v>-0.4204845982324078</v>
      </c>
      <c r="G48" s="102">
        <f t="shared" si="48"/>
        <v>-0.40207860872484069</v>
      </c>
      <c r="H48" s="102">
        <f t="shared" si="48"/>
        <v>-1.442027629232423E-2</v>
      </c>
      <c r="I48" s="102">
        <f t="shared" si="48"/>
        <v>0.80111519771225459</v>
      </c>
      <c r="J48" s="102">
        <f t="shared" si="48"/>
        <v>-0.80402308620328655</v>
      </c>
      <c r="K48" s="102">
        <f t="shared" si="48"/>
        <v>2.4324180545104861</v>
      </c>
      <c r="L48" s="102">
        <f t="shared" si="48"/>
        <v>-0.46615853266078766</v>
      </c>
      <c r="M48" s="102">
        <f t="shared" si="48"/>
        <v>1.7112729355437617E-2</v>
      </c>
      <c r="N48" s="102">
        <f t="shared" si="48"/>
        <v>-1.1676387322312594</v>
      </c>
      <c r="O48" s="102">
        <f t="shared" si="48"/>
        <v>-19.483622798822218</v>
      </c>
      <c r="P48" s="102">
        <f t="shared" si="48"/>
        <v>0.18920272083918177</v>
      </c>
      <c r="Q48" s="102">
        <f t="shared" si="48"/>
        <v>2.176694099206955E-3</v>
      </c>
      <c r="R48" s="102">
        <f t="shared" si="48"/>
        <v>-0.41074042489830331</v>
      </c>
      <c r="S48" s="102">
        <f t="shared" si="48"/>
        <v>2.7812419863289759</v>
      </c>
      <c r="T48" s="102">
        <f t="shared" si="48"/>
        <v>-0.47892596566744317</v>
      </c>
      <c r="U48" s="102">
        <f t="shared" si="48"/>
        <v>6.8093385214003099E-3</v>
      </c>
      <c r="V48" s="102">
        <f t="shared" si="48"/>
        <v>-0.10697462979675909</v>
      </c>
      <c r="W48" s="102">
        <f t="shared" si="48"/>
        <v>6.4326647564469486E-2</v>
      </c>
      <c r="X48" s="102">
        <f>X47/W47-1</f>
        <v>9.6584699453552192E-2</v>
      </c>
      <c r="Y48" s="102">
        <f>Y47/X47-1</f>
        <v>0.10763157894736852</v>
      </c>
      <c r="Z48" s="102">
        <f>Z47/Y47-1</f>
        <v>0.10075566750629683</v>
      </c>
      <c r="AA48" s="102">
        <f>AA47/Z47-1</f>
        <v>0.11625916870415631</v>
      </c>
      <c r="AB48" s="102">
        <f>AB47/AA47-1</f>
        <v>0.13064903846153841</v>
      </c>
      <c r="AC48" s="36"/>
      <c r="AD48" s="36"/>
    </row>
    <row r="49" spans="1:30" x14ac:dyDescent="0.2">
      <c r="A49" s="94"/>
      <c r="B49" s="94"/>
      <c r="C49" s="102"/>
      <c r="D49" s="102"/>
      <c r="E49" s="102"/>
      <c r="F49" s="102"/>
      <c r="G49" s="102"/>
      <c r="H49" s="102"/>
      <c r="I49" s="102"/>
      <c r="J49" s="102"/>
      <c r="K49" s="102"/>
      <c r="L49" s="102"/>
      <c r="M49" s="102"/>
      <c r="N49" s="102"/>
      <c r="O49" s="102"/>
      <c r="P49" s="102"/>
      <c r="Q49" s="102"/>
      <c r="R49" s="102"/>
      <c r="S49" s="102"/>
      <c r="T49" s="102"/>
      <c r="U49" s="102"/>
      <c r="V49" s="102"/>
      <c r="W49" s="102"/>
      <c r="X49" s="102"/>
      <c r="Y49" s="102"/>
      <c r="Z49" s="102"/>
      <c r="AA49" s="102"/>
      <c r="AB49" s="102"/>
      <c r="AC49" s="36"/>
      <c r="AD49" s="36"/>
    </row>
    <row r="50" spans="1:30" x14ac:dyDescent="0.2">
      <c r="A50" s="94"/>
      <c r="B50" s="94" t="s">
        <v>391</v>
      </c>
      <c r="C50" s="103">
        <f t="shared" ref="C50:V50" si="49">C132</f>
        <v>266.61985786668214</v>
      </c>
      <c r="D50" s="103">
        <f t="shared" si="49"/>
        <v>27.966779731108073</v>
      </c>
      <c r="E50" s="103">
        <f t="shared" si="49"/>
        <v>98.024781705330028</v>
      </c>
      <c r="F50" s="103">
        <f t="shared" si="49"/>
        <v>62.039082533039775</v>
      </c>
      <c r="G50" s="103">
        <f t="shared" si="49"/>
        <v>49.60829992911377</v>
      </c>
      <c r="H50" s="103">
        <f t="shared" si="49"/>
        <v>55.05961096592732</v>
      </c>
      <c r="I50" s="103">
        <f t="shared" si="49"/>
        <v>108.68889749157817</v>
      </c>
      <c r="J50" s="103">
        <f t="shared" si="49"/>
        <v>18.03547229596024</v>
      </c>
      <c r="K50" s="103">
        <f t="shared" si="49"/>
        <v>62.972613156661716</v>
      </c>
      <c r="L50" s="103">
        <f t="shared" si="49"/>
        <v>35.326751135655705</v>
      </c>
      <c r="M50" s="103">
        <f t="shared" si="49"/>
        <v>37.090362081906662</v>
      </c>
      <c r="N50" s="103">
        <f t="shared" si="49"/>
        <v>-5.9748991962604059</v>
      </c>
      <c r="O50" s="103">
        <f t="shared" si="49"/>
        <v>122.11006901328633</v>
      </c>
      <c r="P50" s="103">
        <f t="shared" si="49"/>
        <v>160.1620878446254</v>
      </c>
      <c r="Q50" s="103">
        <f t="shared" si="49"/>
        <v>181.91213994497392</v>
      </c>
      <c r="R50" s="103">
        <f t="shared" si="49"/>
        <v>119.17391696926572</v>
      </c>
      <c r="S50" s="103">
        <f t="shared" si="49"/>
        <v>486.3893406241906</v>
      </c>
      <c r="T50" s="103">
        <f t="shared" si="49"/>
        <v>279.53476761992556</v>
      </c>
      <c r="U50" s="103">
        <f t="shared" si="49"/>
        <v>321.46498276291425</v>
      </c>
      <c r="V50" s="103">
        <f t="shared" si="49"/>
        <v>317.55367271325781</v>
      </c>
      <c r="W50" s="103">
        <f t="shared" ref="W50:AB50" si="50">W132</f>
        <v>365.18672362024637</v>
      </c>
      <c r="X50" s="103">
        <f t="shared" si="50"/>
        <v>419.96473216328337</v>
      </c>
      <c r="Y50" s="103">
        <f t="shared" si="50"/>
        <v>482.9594419877759</v>
      </c>
      <c r="Z50" s="103">
        <f t="shared" si="50"/>
        <v>555.40335828594209</v>
      </c>
      <c r="AA50" s="103">
        <f t="shared" si="50"/>
        <v>638.71386202883332</v>
      </c>
      <c r="AB50" s="103">
        <f t="shared" si="50"/>
        <v>734.52094133315825</v>
      </c>
      <c r="AC50" s="36"/>
      <c r="AD50" s="36"/>
    </row>
    <row r="51" spans="1:30" x14ac:dyDescent="0.2">
      <c r="A51" s="94"/>
      <c r="B51" s="104" t="s">
        <v>392</v>
      </c>
      <c r="C51" s="105">
        <v>0.35</v>
      </c>
      <c r="D51" s="95">
        <f t="shared" ref="D51:W51" si="51">D50/C50-1</f>
        <v>-0.89510616367857976</v>
      </c>
      <c r="E51" s="95">
        <f t="shared" si="51"/>
        <v>2.5050435784100977</v>
      </c>
      <c r="F51" s="95">
        <f t="shared" si="51"/>
        <v>-0.36710817964855058</v>
      </c>
      <c r="G51" s="95">
        <f t="shared" si="51"/>
        <v>-0.20037018757177494</v>
      </c>
      <c r="H51" s="95">
        <f t="shared" si="51"/>
        <v>0.1098870762473827</v>
      </c>
      <c r="I51" s="95">
        <f t="shared" si="51"/>
        <v>0.97402225669263087</v>
      </c>
      <c r="J51" s="95">
        <f t="shared" si="51"/>
        <v>-0.83406334306263685</v>
      </c>
      <c r="K51" s="95">
        <f t="shared" si="51"/>
        <v>2.4915976761399774</v>
      </c>
      <c r="L51" s="95">
        <f t="shared" si="51"/>
        <v>-0.43901405127065818</v>
      </c>
      <c r="M51" s="95">
        <f t="shared" si="51"/>
        <v>4.9922817399161268E-2</v>
      </c>
      <c r="N51" s="95">
        <f t="shared" si="51"/>
        <v>-1.1610903442534757</v>
      </c>
      <c r="O51" s="95">
        <f t="shared" si="51"/>
        <v>-21.43717642796603</v>
      </c>
      <c r="P51" s="95">
        <f t="shared" si="51"/>
        <v>0.31162064798439171</v>
      </c>
      <c r="Q51" s="95">
        <f t="shared" si="51"/>
        <v>0.1358002533124345</v>
      </c>
      <c r="R51" s="95">
        <f t="shared" si="51"/>
        <v>-0.34488200179870188</v>
      </c>
      <c r="S51" s="95">
        <f t="shared" si="51"/>
        <v>3.0813405566725454</v>
      </c>
      <c r="T51" s="95">
        <f t="shared" si="51"/>
        <v>-0.42528599154497404</v>
      </c>
      <c r="U51" s="95">
        <f t="shared" si="51"/>
        <v>0.14999999999999947</v>
      </c>
      <c r="V51" s="95">
        <f t="shared" si="51"/>
        <v>-1.2167141864223185E-2</v>
      </c>
      <c r="W51" s="95">
        <f t="shared" si="51"/>
        <v>0.14999999999999969</v>
      </c>
      <c r="X51" s="95">
        <f>X50/W50-1</f>
        <v>0.15000000000000013</v>
      </c>
      <c r="Y51" s="95">
        <f>Y50/X50-1</f>
        <v>0.15000000000000013</v>
      </c>
      <c r="Z51" s="95">
        <f>Z50/Y50-1</f>
        <v>0.14999999999999969</v>
      </c>
      <c r="AA51" s="95">
        <f>AA50/Z50-1</f>
        <v>0.14999999999999991</v>
      </c>
      <c r="AB51" s="95">
        <f>AB50/AA50-1</f>
        <v>0.14999999999999991</v>
      </c>
      <c r="AC51" s="36"/>
      <c r="AD51" s="36"/>
    </row>
    <row r="52" spans="1:30" x14ac:dyDescent="0.2">
      <c r="A52" s="94"/>
      <c r="B52" s="94"/>
      <c r="C52" s="106"/>
      <c r="D52" s="106"/>
      <c r="E52" s="106"/>
      <c r="F52" s="106"/>
      <c r="G52" s="106"/>
      <c r="H52" s="106"/>
      <c r="I52" s="106"/>
      <c r="J52" s="107"/>
      <c r="K52" s="107"/>
      <c r="L52" s="107"/>
      <c r="M52" s="107"/>
      <c r="N52" s="107"/>
      <c r="O52" s="107"/>
      <c r="P52" s="107"/>
      <c r="Q52" s="107"/>
      <c r="R52" s="107"/>
      <c r="S52" s="107"/>
      <c r="T52" s="107"/>
      <c r="U52" s="107"/>
      <c r="V52" s="107"/>
      <c r="W52" s="107"/>
      <c r="X52" s="107"/>
      <c r="Y52" s="107"/>
      <c r="Z52" s="107"/>
      <c r="AA52" s="107"/>
      <c r="AB52" s="107"/>
      <c r="AC52" s="36"/>
      <c r="AD52" s="36"/>
    </row>
    <row r="53" spans="1:30" x14ac:dyDescent="0.2">
      <c r="A53" s="94"/>
      <c r="B53" s="94" t="s">
        <v>393</v>
      </c>
      <c r="C53" s="103">
        <f t="shared" ref="C53:R53" si="52">C66</f>
        <v>33.283000000000001</v>
      </c>
      <c r="D53" s="103">
        <f t="shared" si="52"/>
        <v>34.68</v>
      </c>
      <c r="E53" s="103">
        <f t="shared" si="52"/>
        <v>38.375</v>
      </c>
      <c r="F53" s="103">
        <f t="shared" si="52"/>
        <v>38.72</v>
      </c>
      <c r="G53" s="103">
        <f t="shared" si="52"/>
        <v>37.977000000000004</v>
      </c>
      <c r="H53" s="103">
        <f t="shared" si="52"/>
        <v>47.094999999999999</v>
      </c>
      <c r="I53" s="103">
        <f t="shared" si="52"/>
        <v>77.087000000000003</v>
      </c>
      <c r="J53" s="103">
        <f t="shared" si="52"/>
        <v>84.609000000000009</v>
      </c>
      <c r="K53" s="103">
        <f t="shared" si="52"/>
        <v>100.389</v>
      </c>
      <c r="L53" s="103">
        <f t="shared" si="52"/>
        <v>77.528999999999996</v>
      </c>
      <c r="M53" s="103">
        <f t="shared" si="52"/>
        <v>81.322000000000003</v>
      </c>
      <c r="N53" s="103">
        <f t="shared" si="52"/>
        <v>81</v>
      </c>
      <c r="O53" s="103">
        <f t="shared" si="52"/>
        <v>76</v>
      </c>
      <c r="P53" s="103">
        <f t="shared" si="52"/>
        <v>89</v>
      </c>
      <c r="Q53" s="103">
        <f t="shared" si="52"/>
        <v>113</v>
      </c>
      <c r="R53" s="103">
        <f t="shared" si="52"/>
        <v>131</v>
      </c>
      <c r="S53" s="103">
        <f>S66</f>
        <v>156</v>
      </c>
      <c r="T53" s="103">
        <f t="shared" ref="T53:AB53" si="53">S53*(1+T54)</f>
        <v>179.39999999999998</v>
      </c>
      <c r="U53" s="103">
        <f t="shared" si="53"/>
        <v>206.30999999999995</v>
      </c>
      <c r="V53" s="103">
        <f t="shared" si="53"/>
        <v>237.25649999999993</v>
      </c>
      <c r="W53" s="103">
        <f t="shared" si="53"/>
        <v>272.84497499999992</v>
      </c>
      <c r="X53" s="103">
        <f t="shared" si="53"/>
        <v>313.77172124999987</v>
      </c>
      <c r="Y53" s="103">
        <f t="shared" si="53"/>
        <v>360.83747943749984</v>
      </c>
      <c r="Z53" s="103">
        <f t="shared" si="53"/>
        <v>414.96310135312478</v>
      </c>
      <c r="AA53" s="103">
        <f t="shared" si="53"/>
        <v>477.20756655609347</v>
      </c>
      <c r="AB53" s="103">
        <f t="shared" si="53"/>
        <v>548.78870153950743</v>
      </c>
      <c r="AC53" s="36"/>
      <c r="AD53" s="36"/>
    </row>
    <row r="54" spans="1:30" x14ac:dyDescent="0.2">
      <c r="A54" s="94"/>
      <c r="B54" s="108" t="s">
        <v>394</v>
      </c>
      <c r="C54" s="32"/>
      <c r="D54" s="95">
        <f t="shared" ref="D54:S54" si="54">D53/C53-1</f>
        <v>4.1973379803503352E-2</v>
      </c>
      <c r="E54" s="95">
        <f t="shared" si="54"/>
        <v>0.10654555940023069</v>
      </c>
      <c r="F54" s="95">
        <f t="shared" si="54"/>
        <v>8.9902280130291778E-3</v>
      </c>
      <c r="G54" s="95">
        <f t="shared" si="54"/>
        <v>-1.9189049586776696E-2</v>
      </c>
      <c r="H54" s="95">
        <f t="shared" si="54"/>
        <v>0.24009268767938474</v>
      </c>
      <c r="I54" s="95">
        <f t="shared" si="54"/>
        <v>0.6368404289202676</v>
      </c>
      <c r="J54" s="95">
        <f t="shared" si="54"/>
        <v>9.757806115168588E-2</v>
      </c>
      <c r="K54" s="95">
        <f t="shared" si="54"/>
        <v>0.18650498173953101</v>
      </c>
      <c r="L54" s="95">
        <f t="shared" si="54"/>
        <v>-0.22771419179392161</v>
      </c>
      <c r="M54" s="95">
        <f t="shared" si="54"/>
        <v>4.8923628577693501E-2</v>
      </c>
      <c r="N54" s="95">
        <f t="shared" si="54"/>
        <v>-3.9595681365436342E-3</v>
      </c>
      <c r="O54" s="95">
        <f t="shared" si="54"/>
        <v>-6.1728395061728447E-2</v>
      </c>
      <c r="P54" s="95">
        <f t="shared" si="54"/>
        <v>0.17105263157894735</v>
      </c>
      <c r="Q54" s="95">
        <f t="shared" si="54"/>
        <v>0.2696629213483146</v>
      </c>
      <c r="R54" s="95">
        <f t="shared" si="54"/>
        <v>0.15929203539823011</v>
      </c>
      <c r="S54" s="95">
        <f t="shared" si="54"/>
        <v>0.19083969465648853</v>
      </c>
      <c r="T54" s="109">
        <v>0.15</v>
      </c>
      <c r="U54" s="109">
        <v>0.15</v>
      </c>
      <c r="V54" s="109">
        <v>0.15</v>
      </c>
      <c r="W54" s="109">
        <v>0.15</v>
      </c>
      <c r="X54" s="109">
        <v>0.15</v>
      </c>
      <c r="Y54" s="109">
        <v>0.15</v>
      </c>
      <c r="Z54" s="109">
        <v>0.15</v>
      </c>
      <c r="AA54" s="109">
        <v>0.15</v>
      </c>
      <c r="AB54" s="109">
        <v>0.15</v>
      </c>
      <c r="AC54" s="36"/>
      <c r="AD54" s="36"/>
    </row>
    <row r="55" spans="1:30" x14ac:dyDescent="0.2">
      <c r="A55" s="94"/>
      <c r="B55" s="94"/>
      <c r="C55" s="110"/>
      <c r="D55" s="110"/>
      <c r="E55" s="110"/>
      <c r="F55" s="110"/>
      <c r="G55" s="110"/>
      <c r="H55" s="110"/>
      <c r="I55" s="110"/>
      <c r="J55" s="110"/>
      <c r="K55" s="110"/>
      <c r="L55" s="111"/>
      <c r="M55" s="111"/>
      <c r="N55" s="110"/>
      <c r="O55" s="110"/>
      <c r="P55" s="110"/>
      <c r="Q55" s="110"/>
      <c r="R55" s="110"/>
      <c r="S55" s="110"/>
      <c r="T55" s="110"/>
      <c r="U55" s="110"/>
      <c r="V55" s="110"/>
      <c r="W55" s="110"/>
      <c r="X55" s="110"/>
      <c r="Y55" s="110"/>
      <c r="Z55" s="110"/>
      <c r="AA55" s="110"/>
      <c r="AB55" s="110"/>
      <c r="AC55" s="36"/>
      <c r="AD55" s="36"/>
    </row>
    <row r="56" spans="1:30" x14ac:dyDescent="0.2">
      <c r="A56" s="94"/>
      <c r="B56" s="94" t="s">
        <v>395</v>
      </c>
      <c r="C56" s="112">
        <f t="shared" ref="C56:V56" si="55">C$58+SUM(C67:C71)</f>
        <v>351.65899999999999</v>
      </c>
      <c r="D56" s="112">
        <f t="shared" si="55"/>
        <v>361.964</v>
      </c>
      <c r="E56" s="112">
        <f t="shared" si="55"/>
        <v>505.51599999999996</v>
      </c>
      <c r="F56" s="112">
        <f t="shared" si="55"/>
        <v>559.13499999999999</v>
      </c>
      <c r="G56" s="112">
        <f t="shared" si="55"/>
        <v>623.30899999999997</v>
      </c>
      <c r="H56" s="112">
        <f t="shared" si="55"/>
        <v>674.09300000000007</v>
      </c>
      <c r="I56" s="112">
        <f t="shared" si="55"/>
        <v>780.38100000000009</v>
      </c>
      <c r="J56" s="112">
        <f t="shared" si="55"/>
        <v>718.2059999999999</v>
      </c>
      <c r="K56" s="112">
        <f t="shared" si="55"/>
        <v>699.82799999999997</v>
      </c>
      <c r="L56" s="112">
        <f t="shared" si="55"/>
        <v>680.64200000000005</v>
      </c>
      <c r="M56" s="112">
        <f t="shared" si="55"/>
        <v>650.25900000000001</v>
      </c>
      <c r="N56" s="112">
        <f t="shared" si="55"/>
        <v>578</v>
      </c>
      <c r="O56" s="112">
        <f t="shared" si="55"/>
        <v>696</v>
      </c>
      <c r="P56" s="112">
        <f t="shared" si="55"/>
        <v>854</v>
      </c>
      <c r="Q56" s="112">
        <f t="shared" si="55"/>
        <v>1031</v>
      </c>
      <c r="R56" s="112">
        <f t="shared" si="55"/>
        <v>1063</v>
      </c>
      <c r="S56" s="112">
        <f t="shared" si="55"/>
        <v>1619</v>
      </c>
      <c r="T56" s="112">
        <f t="shared" si="55"/>
        <v>1861.85</v>
      </c>
      <c r="U56" s="112">
        <f t="shared" si="55"/>
        <v>2141.1274999999996</v>
      </c>
      <c r="V56" s="112">
        <f t="shared" si="55"/>
        <v>2462.296624999999</v>
      </c>
      <c r="W56" s="112">
        <f t="shared" ref="W56:AB56" si="56">W$58+SUM(W67:W71)</f>
        <v>2831.6411187499989</v>
      </c>
      <c r="X56" s="112">
        <f t="shared" si="56"/>
        <v>3256.387286562499</v>
      </c>
      <c r="Y56" s="112">
        <f t="shared" si="56"/>
        <v>3744.8453795468731</v>
      </c>
      <c r="Z56" s="112">
        <f t="shared" si="56"/>
        <v>4306.5721864789029</v>
      </c>
      <c r="AA56" s="112">
        <f t="shared" si="56"/>
        <v>4952.5580144507385</v>
      </c>
      <c r="AB56" s="112">
        <f t="shared" si="56"/>
        <v>5695.4417166183484</v>
      </c>
      <c r="AC56" s="36"/>
      <c r="AD56" s="36"/>
    </row>
    <row r="57" spans="1:30" x14ac:dyDescent="0.2">
      <c r="A57" s="22"/>
      <c r="B57" s="113" t="s">
        <v>396</v>
      </c>
      <c r="C57" s="114"/>
      <c r="D57" s="27">
        <f t="shared" ref="D57:W57" si="57">D56/C56-1</f>
        <v>2.9303956389570507E-2</v>
      </c>
      <c r="E57" s="27">
        <f t="shared" si="57"/>
        <v>0.3965919262689106</v>
      </c>
      <c r="F57" s="27">
        <f t="shared" si="57"/>
        <v>0.106067859375371</v>
      </c>
      <c r="G57" s="27">
        <f t="shared" si="57"/>
        <v>0.11477371296735139</v>
      </c>
      <c r="H57" s="27">
        <f t="shared" si="57"/>
        <v>8.1474838322565635E-2</v>
      </c>
      <c r="I57" s="27">
        <f t="shared" si="57"/>
        <v>0.15767557295506696</v>
      </c>
      <c r="J57" s="27">
        <f t="shared" si="57"/>
        <v>-7.9672621450291858E-2</v>
      </c>
      <c r="K57" s="27">
        <f t="shared" si="57"/>
        <v>-2.5588758656986843E-2</v>
      </c>
      <c r="L57" s="27">
        <f t="shared" si="57"/>
        <v>-2.7415307761335495E-2</v>
      </c>
      <c r="M57" s="27">
        <f t="shared" si="57"/>
        <v>-4.4638738132527833E-2</v>
      </c>
      <c r="N57" s="27">
        <f t="shared" si="57"/>
        <v>-0.11112341390123015</v>
      </c>
      <c r="O57" s="27">
        <f t="shared" si="57"/>
        <v>0.20415224913494812</v>
      </c>
      <c r="P57" s="27">
        <f t="shared" si="57"/>
        <v>0.22701149425287359</v>
      </c>
      <c r="Q57" s="27">
        <f t="shared" si="57"/>
        <v>0.2072599531615924</v>
      </c>
      <c r="R57" s="27">
        <f t="shared" si="57"/>
        <v>3.1037827352085268E-2</v>
      </c>
      <c r="S57" s="27">
        <f t="shared" si="57"/>
        <v>0.52304797742238951</v>
      </c>
      <c r="T57" s="27">
        <f t="shared" si="57"/>
        <v>0.14999999999999991</v>
      </c>
      <c r="U57" s="27">
        <f t="shared" si="57"/>
        <v>0.14999999999999991</v>
      </c>
      <c r="V57" s="27">
        <f t="shared" si="57"/>
        <v>0.14999999999999969</v>
      </c>
      <c r="W57" s="27">
        <f t="shared" si="57"/>
        <v>0.14999999999999991</v>
      </c>
      <c r="X57" s="27">
        <f>X56/W56-1</f>
        <v>0.15000000000000013</v>
      </c>
      <c r="Y57" s="27">
        <f>Y56/X56-1</f>
        <v>0.14999999999999969</v>
      </c>
      <c r="Z57" s="27">
        <f>Z56/Y56-1</f>
        <v>0.14999999999999969</v>
      </c>
      <c r="AA57" s="27">
        <f>AA56/Z56-1</f>
        <v>0.14999999999999991</v>
      </c>
      <c r="AB57" s="27">
        <f>AB56/AA56-1</f>
        <v>0.14999999999999991</v>
      </c>
      <c r="AC57" s="36"/>
      <c r="AD57" s="36"/>
    </row>
    <row r="58" spans="1:30" x14ac:dyDescent="0.2">
      <c r="A58" s="22"/>
      <c r="B58" s="115" t="s">
        <v>397</v>
      </c>
      <c r="C58" s="116">
        <v>205.756</v>
      </c>
      <c r="D58" s="116">
        <v>199.28399999999999</v>
      </c>
      <c r="E58" s="116">
        <v>307.33100000000002</v>
      </c>
      <c r="F58" s="116">
        <v>326.28100000000001</v>
      </c>
      <c r="G58" s="116">
        <v>362.56700000000001</v>
      </c>
      <c r="H58" s="116">
        <v>373.517</v>
      </c>
      <c r="I58" s="116">
        <v>442.01499999999999</v>
      </c>
      <c r="J58" s="117">
        <v>390.73099999999999</v>
      </c>
      <c r="K58" s="117">
        <v>360.33199999999999</v>
      </c>
      <c r="L58" s="117">
        <v>332.01600000000002</v>
      </c>
      <c r="M58" s="117">
        <v>293.62700000000001</v>
      </c>
      <c r="N58" s="117">
        <v>260</v>
      </c>
      <c r="O58" s="117">
        <v>335</v>
      </c>
      <c r="P58" s="117">
        <v>406</v>
      </c>
      <c r="Q58" s="117">
        <v>524</v>
      </c>
      <c r="R58" s="117">
        <v>506</v>
      </c>
      <c r="S58" s="117">
        <v>850</v>
      </c>
      <c r="T58" s="118">
        <f t="shared" ref="T58:Y58" si="58">SUM(T72:T85)</f>
        <v>977.49999999999989</v>
      </c>
      <c r="U58" s="118">
        <f t="shared" si="58"/>
        <v>1124.1249999999998</v>
      </c>
      <c r="V58" s="118">
        <f t="shared" si="58"/>
        <v>1292.7437499999996</v>
      </c>
      <c r="W58" s="118">
        <f t="shared" si="58"/>
        <v>1486.6553124999994</v>
      </c>
      <c r="X58" s="118">
        <f t="shared" si="58"/>
        <v>1709.6536093749992</v>
      </c>
      <c r="Y58" s="118">
        <f t="shared" si="58"/>
        <v>1966.101650781249</v>
      </c>
      <c r="Z58" s="118">
        <f>SUM(Z72:Z85)</f>
        <v>2261.0168983984358</v>
      </c>
      <c r="AA58" s="118">
        <f>SUM(AA72:AA85)</f>
        <v>2600.1694331582012</v>
      </c>
      <c r="AB58" s="118">
        <f>SUM(AB72:AB85)</f>
        <v>2990.1948481319309</v>
      </c>
      <c r="AC58" s="36"/>
      <c r="AD58" s="36"/>
    </row>
    <row r="59" spans="1:30" x14ac:dyDescent="0.2">
      <c r="A59" s="22"/>
      <c r="B59" s="27"/>
      <c r="C59" s="27">
        <f t="shared" ref="C59:W59" si="59">C58/C56</f>
        <v>0.58510090741314746</v>
      </c>
      <c r="D59" s="27">
        <f t="shared" si="59"/>
        <v>0.55056303941828466</v>
      </c>
      <c r="E59" s="27">
        <f t="shared" si="59"/>
        <v>0.60795503999873401</v>
      </c>
      <c r="F59" s="27">
        <f t="shared" si="59"/>
        <v>0.58354601303799625</v>
      </c>
      <c r="G59" s="27">
        <f t="shared" si="59"/>
        <v>0.58168099610305646</v>
      </c>
      <c r="H59" s="27">
        <f t="shared" si="59"/>
        <v>0.5541030688643851</v>
      </c>
      <c r="I59" s="27">
        <f t="shared" si="59"/>
        <v>0.56640922831283691</v>
      </c>
      <c r="J59" s="27">
        <f t="shared" si="59"/>
        <v>0.54403750455997313</v>
      </c>
      <c r="K59" s="27">
        <f t="shared" si="59"/>
        <v>0.51488651497225035</v>
      </c>
      <c r="L59" s="27">
        <f t="shared" si="59"/>
        <v>0.48779828456075291</v>
      </c>
      <c r="M59" s="27">
        <f t="shared" si="59"/>
        <v>0.45155391928446975</v>
      </c>
      <c r="N59" s="27">
        <f t="shared" si="59"/>
        <v>0.44982698961937717</v>
      </c>
      <c r="O59" s="27">
        <f t="shared" si="59"/>
        <v>0.48132183908045978</v>
      </c>
      <c r="P59" s="27">
        <f t="shared" si="59"/>
        <v>0.47540983606557374</v>
      </c>
      <c r="Q59" s="27">
        <f t="shared" si="59"/>
        <v>0.50824442289039762</v>
      </c>
      <c r="R59" s="27">
        <f t="shared" si="59"/>
        <v>0.47601128880526811</v>
      </c>
      <c r="S59" s="27">
        <f t="shared" si="59"/>
        <v>0.52501544163063618</v>
      </c>
      <c r="T59" s="27">
        <f t="shared" si="59"/>
        <v>0.52501544163063618</v>
      </c>
      <c r="U59" s="27">
        <f t="shared" si="59"/>
        <v>0.52501544163063618</v>
      </c>
      <c r="V59" s="27">
        <f t="shared" si="59"/>
        <v>0.52501544163063629</v>
      </c>
      <c r="W59" s="27">
        <f t="shared" si="59"/>
        <v>0.52501544163063618</v>
      </c>
      <c r="X59" s="27">
        <f>X58/X56</f>
        <v>0.52501544163063607</v>
      </c>
      <c r="Y59" s="27">
        <f>Y58/Y56</f>
        <v>0.52501544163063618</v>
      </c>
      <c r="Z59" s="27">
        <f>Z58/Z56</f>
        <v>0.52501544163063618</v>
      </c>
      <c r="AA59" s="27">
        <f>AA58/AA56</f>
        <v>0.52501544163063618</v>
      </c>
      <c r="AB59" s="27">
        <f>AB58/AB56</f>
        <v>0.52501544163063618</v>
      </c>
      <c r="AC59" s="36"/>
      <c r="AD59" s="36"/>
    </row>
    <row r="60" spans="1:30" x14ac:dyDescent="0.2">
      <c r="A60" s="22"/>
      <c r="B60" s="22"/>
      <c r="C60" s="119"/>
      <c r="D60" s="119"/>
      <c r="E60" s="119"/>
      <c r="F60" s="119"/>
      <c r="G60" s="119"/>
      <c r="H60" s="119"/>
      <c r="I60" s="119"/>
      <c r="J60" s="27"/>
      <c r="K60" s="27"/>
      <c r="L60" s="27"/>
      <c r="M60" s="27"/>
      <c r="N60" s="27"/>
      <c r="O60" s="27"/>
      <c r="P60" s="27"/>
      <c r="Q60" s="120"/>
      <c r="R60" s="120"/>
      <c r="S60" s="42"/>
      <c r="T60" s="42"/>
      <c r="U60" s="42"/>
      <c r="V60" s="42"/>
      <c r="W60" s="42"/>
      <c r="X60" s="42"/>
      <c r="Y60" s="42"/>
      <c r="Z60" s="42"/>
      <c r="AA60" s="42"/>
      <c r="AB60" s="42"/>
      <c r="AC60" s="36"/>
      <c r="AD60" s="36"/>
    </row>
    <row r="61" spans="1:30" x14ac:dyDescent="0.2">
      <c r="A61" s="22"/>
      <c r="B61" s="22" t="s">
        <v>398</v>
      </c>
      <c r="C61" s="121">
        <f t="shared" ref="C61:S61" si="60">C62+6</f>
        <v>14</v>
      </c>
      <c r="D61" s="121">
        <f t="shared" si="60"/>
        <v>15</v>
      </c>
      <c r="E61" s="121">
        <f t="shared" si="60"/>
        <v>16</v>
      </c>
      <c r="F61" s="121">
        <f t="shared" si="60"/>
        <v>14</v>
      </c>
      <c r="G61" s="121">
        <f t="shared" si="60"/>
        <v>14</v>
      </c>
      <c r="H61" s="121">
        <f t="shared" si="60"/>
        <v>14</v>
      </c>
      <c r="I61" s="121">
        <f t="shared" si="60"/>
        <v>14</v>
      </c>
      <c r="J61" s="121">
        <f t="shared" si="60"/>
        <v>13</v>
      </c>
      <c r="K61" s="121">
        <f t="shared" si="60"/>
        <v>12</v>
      </c>
      <c r="L61" s="121">
        <f t="shared" si="60"/>
        <v>12</v>
      </c>
      <c r="M61" s="122">
        <f t="shared" si="60"/>
        <v>11</v>
      </c>
      <c r="N61" s="122">
        <f t="shared" si="60"/>
        <v>12</v>
      </c>
      <c r="O61" s="122">
        <f t="shared" si="60"/>
        <v>12</v>
      </c>
      <c r="P61" s="122">
        <f t="shared" si="60"/>
        <v>12</v>
      </c>
      <c r="Q61" s="122">
        <f t="shared" si="60"/>
        <v>12</v>
      </c>
      <c r="R61" s="122">
        <f t="shared" si="60"/>
        <v>12</v>
      </c>
      <c r="S61" s="122">
        <f t="shared" si="60"/>
        <v>12</v>
      </c>
      <c r="T61" s="123"/>
      <c r="U61" s="123"/>
      <c r="V61" s="123"/>
      <c r="W61" s="123"/>
      <c r="X61" s="123"/>
      <c r="Y61" s="123"/>
      <c r="Z61" s="123"/>
      <c r="AA61" s="123"/>
      <c r="AB61" s="123"/>
      <c r="AC61" s="36"/>
      <c r="AD61" s="36"/>
    </row>
    <row r="62" spans="1:30" x14ac:dyDescent="0.2">
      <c r="A62" s="22"/>
      <c r="B62" s="22" t="s">
        <v>399</v>
      </c>
      <c r="C62" s="124">
        <v>8</v>
      </c>
      <c r="D62" s="124">
        <v>9</v>
      </c>
      <c r="E62" s="124">
        <v>10</v>
      </c>
      <c r="F62" s="124">
        <v>8</v>
      </c>
      <c r="G62" s="124">
        <v>8</v>
      </c>
      <c r="H62" s="124">
        <v>8</v>
      </c>
      <c r="I62" s="124">
        <v>8</v>
      </c>
      <c r="J62" s="124">
        <v>7</v>
      </c>
      <c r="K62" s="124">
        <v>6</v>
      </c>
      <c r="L62" s="124">
        <v>6</v>
      </c>
      <c r="M62" s="125">
        <v>5</v>
      </c>
      <c r="N62" s="125">
        <v>6</v>
      </c>
      <c r="O62" s="125">
        <v>6</v>
      </c>
      <c r="P62" s="125">
        <v>6</v>
      </c>
      <c r="Q62" s="125">
        <v>6</v>
      </c>
      <c r="R62" s="125">
        <v>6</v>
      </c>
      <c r="S62" s="125">
        <v>6</v>
      </c>
      <c r="T62" s="123"/>
      <c r="U62" s="123"/>
      <c r="V62" s="123"/>
      <c r="W62" s="123"/>
      <c r="X62" s="123"/>
      <c r="Y62" s="123"/>
      <c r="Z62" s="123"/>
      <c r="AA62" s="123"/>
      <c r="AB62" s="123"/>
      <c r="AC62" s="36"/>
      <c r="AD62" s="36"/>
    </row>
    <row r="63" spans="1:30" x14ac:dyDescent="0.2">
      <c r="A63" s="22"/>
      <c r="B63" s="22"/>
      <c r="C63" s="126"/>
      <c r="D63" s="127"/>
      <c r="E63" s="127"/>
      <c r="F63" s="127"/>
      <c r="G63" s="127"/>
      <c r="H63" s="127"/>
      <c r="I63" s="127"/>
      <c r="J63" s="127"/>
      <c r="K63" s="123"/>
      <c r="L63" s="123"/>
      <c r="M63" s="123"/>
      <c r="N63" s="123"/>
      <c r="O63" s="123"/>
      <c r="P63" s="123"/>
      <c r="Q63" s="123"/>
      <c r="R63" s="123"/>
      <c r="S63" s="123"/>
      <c r="T63" s="123"/>
      <c r="U63" s="123"/>
      <c r="V63" s="123"/>
      <c r="W63" s="123"/>
      <c r="X63" s="123"/>
      <c r="Y63" s="123"/>
      <c r="Z63" s="123"/>
      <c r="AA63" s="123"/>
      <c r="AB63" s="123"/>
      <c r="AC63" s="36"/>
      <c r="AD63" s="36"/>
    </row>
    <row r="64" spans="1:30" outlineLevel="1" x14ac:dyDescent="0.2">
      <c r="A64" s="128"/>
      <c r="B64" s="82" t="s">
        <v>400</v>
      </c>
      <c r="C64" s="29">
        <f t="shared" ref="C64:I64" si="61">D64-1</f>
        <v>1996</v>
      </c>
      <c r="D64" s="29">
        <f t="shared" si="61"/>
        <v>1997</v>
      </c>
      <c r="E64" s="29">
        <f t="shared" si="61"/>
        <v>1998</v>
      </c>
      <c r="F64" s="29">
        <f t="shared" si="61"/>
        <v>1999</v>
      </c>
      <c r="G64" s="29">
        <f t="shared" si="61"/>
        <v>2000</v>
      </c>
      <c r="H64" s="29">
        <f t="shared" si="61"/>
        <v>2001</v>
      </c>
      <c r="I64" s="29">
        <f t="shared" si="61"/>
        <v>2002</v>
      </c>
      <c r="J64" s="29">
        <v>2003</v>
      </c>
      <c r="K64" s="29">
        <v>2004</v>
      </c>
      <c r="L64" s="29">
        <v>2005</v>
      </c>
      <c r="M64" s="29">
        <v>2006</v>
      </c>
      <c r="N64" s="29">
        <f t="shared" ref="N64:V64" si="62">M64+1</f>
        <v>2007</v>
      </c>
      <c r="O64" s="29">
        <f t="shared" si="62"/>
        <v>2008</v>
      </c>
      <c r="P64" s="29">
        <f t="shared" si="62"/>
        <v>2009</v>
      </c>
      <c r="Q64" s="29">
        <f t="shared" si="62"/>
        <v>2010</v>
      </c>
      <c r="R64" s="29">
        <f t="shared" si="62"/>
        <v>2011</v>
      </c>
      <c r="S64" s="29">
        <f t="shared" si="62"/>
        <v>2012</v>
      </c>
      <c r="T64" s="30">
        <f t="shared" si="62"/>
        <v>2013</v>
      </c>
      <c r="U64" s="30">
        <f t="shared" si="62"/>
        <v>2014</v>
      </c>
      <c r="V64" s="30">
        <f t="shared" si="62"/>
        <v>2015</v>
      </c>
      <c r="W64" s="30">
        <f t="shared" ref="W64:AB64" si="63">V64+1</f>
        <v>2016</v>
      </c>
      <c r="X64" s="30">
        <f t="shared" si="63"/>
        <v>2017</v>
      </c>
      <c r="Y64" s="30">
        <f t="shared" si="63"/>
        <v>2018</v>
      </c>
      <c r="Z64" s="30">
        <f t="shared" si="63"/>
        <v>2019</v>
      </c>
      <c r="AA64" s="30">
        <f t="shared" si="63"/>
        <v>2020</v>
      </c>
      <c r="AB64" s="30">
        <f t="shared" si="63"/>
        <v>2021</v>
      </c>
      <c r="AC64" s="36"/>
      <c r="AD64" s="36"/>
    </row>
    <row r="65" spans="1:30" outlineLevel="1" x14ac:dyDescent="0.2">
      <c r="A65" s="94"/>
      <c r="B65" s="129"/>
      <c r="C65" s="129"/>
      <c r="D65" s="129"/>
      <c r="E65" s="129"/>
      <c r="F65" s="129"/>
      <c r="G65" s="129"/>
      <c r="H65" s="129"/>
      <c r="I65" s="129"/>
      <c r="J65" s="129"/>
      <c r="K65" s="129"/>
      <c r="L65" s="129"/>
      <c r="M65" s="129"/>
      <c r="N65" s="130"/>
      <c r="O65" s="130"/>
      <c r="P65" s="130"/>
      <c r="Q65" s="130"/>
      <c r="R65" s="130"/>
      <c r="S65" s="130"/>
      <c r="T65" s="130"/>
      <c r="U65" s="130"/>
      <c r="V65" s="130"/>
      <c r="W65" s="130"/>
      <c r="X65" s="130"/>
      <c r="Y65" s="130"/>
      <c r="Z65" s="130"/>
      <c r="AA65" s="130"/>
      <c r="AB65" s="130"/>
      <c r="AC65" s="36"/>
      <c r="AD65" s="36"/>
    </row>
    <row r="66" spans="1:30" outlineLevel="1" x14ac:dyDescent="0.2">
      <c r="A66" s="22"/>
      <c r="B66" s="131" t="s">
        <v>401</v>
      </c>
      <c r="C66" s="132">
        <f>15.468+17.815</f>
        <v>33.283000000000001</v>
      </c>
      <c r="D66" s="132">
        <f>16.869+17.811</f>
        <v>34.68</v>
      </c>
      <c r="E66" s="132">
        <f>19.167+19.208</f>
        <v>38.375</v>
      </c>
      <c r="F66" s="132">
        <f>18.794+19.926</f>
        <v>38.72</v>
      </c>
      <c r="G66" s="132">
        <f>16.907+21.07</f>
        <v>37.977000000000004</v>
      </c>
      <c r="H66" s="132">
        <f>26.951+20.144</f>
        <v>47.094999999999999</v>
      </c>
      <c r="I66" s="132">
        <f>54.061+23.026</f>
        <v>77.087000000000003</v>
      </c>
      <c r="J66" s="132">
        <f>61.451+23.158</f>
        <v>84.609000000000009</v>
      </c>
      <c r="K66" s="132">
        <f>79.285+21.104</f>
        <v>100.389</v>
      </c>
      <c r="L66" s="132">
        <f>62.036+15.493</f>
        <v>77.528999999999996</v>
      </c>
      <c r="M66" s="132">
        <f>66.768+14.554</f>
        <v>81.322000000000003</v>
      </c>
      <c r="N66" s="132">
        <f>67+14</f>
        <v>81</v>
      </c>
      <c r="O66" s="132">
        <f>63+13</f>
        <v>76</v>
      </c>
      <c r="P66" s="132">
        <f>76+13</f>
        <v>89</v>
      </c>
      <c r="Q66" s="132">
        <f>94+19</f>
        <v>113</v>
      </c>
      <c r="R66" s="132">
        <f>108+23</f>
        <v>131</v>
      </c>
      <c r="S66" s="132">
        <f>124+32</f>
        <v>156</v>
      </c>
      <c r="T66" s="133">
        <f t="shared" ref="T66:V75" si="64">S66*(1+T$54)</f>
        <v>179.39999999999998</v>
      </c>
      <c r="U66" s="133">
        <f t="shared" si="64"/>
        <v>206.30999999999995</v>
      </c>
      <c r="V66" s="133">
        <f t="shared" si="64"/>
        <v>237.25649999999993</v>
      </c>
      <c r="W66" s="133">
        <f t="shared" ref="W66:W96" si="65">V66*(1+W$54)</f>
        <v>272.84497499999992</v>
      </c>
      <c r="X66" s="133">
        <f t="shared" ref="X66:X96" si="66">W66*(1+X$54)</f>
        <v>313.77172124999987</v>
      </c>
      <c r="Y66" s="133">
        <f t="shared" ref="Y66:AB96" si="67">X66*(1+Y$54)</f>
        <v>360.83747943749984</v>
      </c>
      <c r="Z66" s="133">
        <f t="shared" si="67"/>
        <v>414.96310135312478</v>
      </c>
      <c r="AA66" s="133">
        <f t="shared" si="67"/>
        <v>477.20756655609347</v>
      </c>
      <c r="AB66" s="133">
        <f t="shared" si="67"/>
        <v>548.78870153950743</v>
      </c>
      <c r="AC66" s="134"/>
      <c r="AD66" s="134"/>
    </row>
    <row r="67" spans="1:30" outlineLevel="1" x14ac:dyDescent="0.2">
      <c r="A67" s="22"/>
      <c r="B67" s="131" t="s">
        <v>402</v>
      </c>
      <c r="C67" s="136">
        <v>30.782</v>
      </c>
      <c r="D67" s="136">
        <v>39.268999999999998</v>
      </c>
      <c r="E67" s="136">
        <v>43.744</v>
      </c>
      <c r="F67" s="136">
        <v>52.94</v>
      </c>
      <c r="G67" s="136">
        <v>59.433999999999997</v>
      </c>
      <c r="H67" s="136">
        <v>66.94</v>
      </c>
      <c r="I67" s="136">
        <v>73.158000000000001</v>
      </c>
      <c r="J67" s="137">
        <v>73.265000000000001</v>
      </c>
      <c r="K67" s="137">
        <v>72.540999999999997</v>
      </c>
      <c r="L67" s="137">
        <v>73.388999999999996</v>
      </c>
      <c r="M67" s="137">
        <v>78.016000000000005</v>
      </c>
      <c r="N67" s="137">
        <v>69</v>
      </c>
      <c r="O67" s="137">
        <v>79</v>
      </c>
      <c r="P67" s="137">
        <v>98</v>
      </c>
      <c r="Q67" s="137">
        <v>111</v>
      </c>
      <c r="R67" s="137">
        <v>122</v>
      </c>
      <c r="S67" s="137">
        <v>153</v>
      </c>
      <c r="T67" s="133">
        <f t="shared" si="64"/>
        <v>175.95</v>
      </c>
      <c r="U67" s="133">
        <f t="shared" si="64"/>
        <v>202.34249999999997</v>
      </c>
      <c r="V67" s="133">
        <f t="shared" si="64"/>
        <v>232.69387499999996</v>
      </c>
      <c r="W67" s="133">
        <f t="shared" si="65"/>
        <v>267.59795624999992</v>
      </c>
      <c r="X67" s="133">
        <f t="shared" si="66"/>
        <v>307.73764968749987</v>
      </c>
      <c r="Y67" s="133">
        <f t="shared" si="67"/>
        <v>353.89829714062483</v>
      </c>
      <c r="Z67" s="133">
        <f t="shared" si="67"/>
        <v>406.9830417117185</v>
      </c>
      <c r="AA67" s="133">
        <f t="shared" si="67"/>
        <v>468.03049796847625</v>
      </c>
      <c r="AB67" s="133">
        <f t="shared" si="67"/>
        <v>538.2350726637477</v>
      </c>
      <c r="AC67" s="134"/>
      <c r="AD67" s="134"/>
    </row>
    <row r="68" spans="1:30" outlineLevel="1" x14ac:dyDescent="0.2">
      <c r="A68" s="22"/>
      <c r="B68" s="131" t="s">
        <v>403</v>
      </c>
      <c r="C68" s="136">
        <v>30.103000000000002</v>
      </c>
      <c r="D68" s="136">
        <v>36.610999999999997</v>
      </c>
      <c r="E68" s="136">
        <v>44.149000000000001</v>
      </c>
      <c r="F68" s="136">
        <v>52.762</v>
      </c>
      <c r="G68" s="136">
        <v>52.741</v>
      </c>
      <c r="H68" s="136">
        <v>64.48</v>
      </c>
      <c r="I68" s="136">
        <v>73.052999999999997</v>
      </c>
      <c r="J68" s="137">
        <v>69.522000000000006</v>
      </c>
      <c r="K68" s="137">
        <v>70.756</v>
      </c>
      <c r="L68" s="137">
        <v>73.296000000000006</v>
      </c>
      <c r="M68" s="137">
        <v>75.382999999999996</v>
      </c>
      <c r="N68" s="137">
        <v>71</v>
      </c>
      <c r="O68" s="137">
        <v>82</v>
      </c>
      <c r="P68" s="137">
        <v>101</v>
      </c>
      <c r="Q68" s="137">
        <v>108</v>
      </c>
      <c r="R68" s="137">
        <v>118</v>
      </c>
      <c r="S68" s="137">
        <v>159</v>
      </c>
      <c r="T68" s="133">
        <f t="shared" si="64"/>
        <v>182.85</v>
      </c>
      <c r="U68" s="133">
        <f t="shared" si="64"/>
        <v>210.27749999999997</v>
      </c>
      <c r="V68" s="133">
        <f t="shared" si="64"/>
        <v>241.81912499999996</v>
      </c>
      <c r="W68" s="133">
        <f t="shared" si="65"/>
        <v>278.09199374999992</v>
      </c>
      <c r="X68" s="133">
        <f t="shared" si="66"/>
        <v>319.80579281249987</v>
      </c>
      <c r="Y68" s="133">
        <f t="shared" si="67"/>
        <v>367.77666173437484</v>
      </c>
      <c r="Z68" s="133">
        <f t="shared" si="67"/>
        <v>422.94316099453101</v>
      </c>
      <c r="AA68" s="133">
        <f t="shared" si="67"/>
        <v>486.38463514371063</v>
      </c>
      <c r="AB68" s="133">
        <f t="shared" si="67"/>
        <v>559.34233041526716</v>
      </c>
      <c r="AC68" s="134"/>
      <c r="AD68" s="134"/>
    </row>
    <row r="69" spans="1:30" outlineLevel="1" x14ac:dyDescent="0.2">
      <c r="A69" s="22"/>
      <c r="B69" s="131" t="s">
        <v>404</v>
      </c>
      <c r="C69" s="136">
        <v>29.654</v>
      </c>
      <c r="D69" s="136">
        <v>32.976999999999997</v>
      </c>
      <c r="E69" s="136">
        <v>42.581000000000003</v>
      </c>
      <c r="F69" s="136">
        <v>44.05</v>
      </c>
      <c r="G69" s="136">
        <v>51.305</v>
      </c>
      <c r="H69" s="136">
        <v>60.68</v>
      </c>
      <c r="I69" s="136">
        <v>68.271000000000001</v>
      </c>
      <c r="J69" s="137">
        <v>65.215999999999994</v>
      </c>
      <c r="K69" s="137">
        <v>67.7</v>
      </c>
      <c r="L69" s="137">
        <v>70.525000000000006</v>
      </c>
      <c r="M69" s="137">
        <v>72.757000000000005</v>
      </c>
      <c r="N69" s="137">
        <v>67</v>
      </c>
      <c r="O69" s="137">
        <v>78</v>
      </c>
      <c r="P69" s="137">
        <v>89</v>
      </c>
      <c r="Q69" s="137">
        <v>100</v>
      </c>
      <c r="R69" s="137">
        <v>111</v>
      </c>
      <c r="S69" s="137">
        <v>158</v>
      </c>
      <c r="T69" s="133">
        <f t="shared" si="64"/>
        <v>181.7</v>
      </c>
      <c r="U69" s="133">
        <f t="shared" si="64"/>
        <v>208.95499999999998</v>
      </c>
      <c r="V69" s="133">
        <f t="shared" si="64"/>
        <v>240.29824999999997</v>
      </c>
      <c r="W69" s="133">
        <f t="shared" si="65"/>
        <v>276.34298749999994</v>
      </c>
      <c r="X69" s="133">
        <f t="shared" si="66"/>
        <v>317.79443562499989</v>
      </c>
      <c r="Y69" s="133">
        <f t="shared" si="67"/>
        <v>365.46360096874986</v>
      </c>
      <c r="Z69" s="133">
        <f t="shared" si="67"/>
        <v>420.28314111406229</v>
      </c>
      <c r="AA69" s="133">
        <f t="shared" si="67"/>
        <v>483.32561228117157</v>
      </c>
      <c r="AB69" s="133">
        <f t="shared" si="67"/>
        <v>555.82445412334721</v>
      </c>
      <c r="AC69" s="134"/>
      <c r="AD69" s="134"/>
    </row>
    <row r="70" spans="1:30" outlineLevel="1" x14ac:dyDescent="0.2">
      <c r="A70" s="22"/>
      <c r="B70" s="131" t="s">
        <v>405</v>
      </c>
      <c r="C70" s="136">
        <v>28.303000000000001</v>
      </c>
      <c r="D70" s="136">
        <v>30.504999999999999</v>
      </c>
      <c r="E70" s="136">
        <v>34.58</v>
      </c>
      <c r="F70" s="136">
        <v>42.091999999999999</v>
      </c>
      <c r="G70" s="136">
        <v>49.866</v>
      </c>
      <c r="H70" s="136">
        <v>56.191000000000003</v>
      </c>
      <c r="I70" s="136">
        <v>63.795999999999999</v>
      </c>
      <c r="J70" s="137">
        <v>61.14</v>
      </c>
      <c r="K70" s="137">
        <v>65.247</v>
      </c>
      <c r="L70" s="137">
        <v>67.891999999999996</v>
      </c>
      <c r="M70" s="137">
        <v>68.588999999999999</v>
      </c>
      <c r="N70" s="137">
        <v>62</v>
      </c>
      <c r="O70" s="137">
        <v>64</v>
      </c>
      <c r="P70" s="137">
        <v>82</v>
      </c>
      <c r="Q70" s="137">
        <v>96</v>
      </c>
      <c r="R70" s="137">
        <v>106</v>
      </c>
      <c r="S70" s="137">
        <v>155</v>
      </c>
      <c r="T70" s="133">
        <f t="shared" si="64"/>
        <v>178.25</v>
      </c>
      <c r="U70" s="133">
        <f t="shared" si="64"/>
        <v>204.98749999999998</v>
      </c>
      <c r="V70" s="133">
        <f t="shared" si="64"/>
        <v>235.73562499999997</v>
      </c>
      <c r="W70" s="133">
        <f t="shared" si="65"/>
        <v>271.09596874999994</v>
      </c>
      <c r="X70" s="133">
        <f t="shared" si="66"/>
        <v>311.76036406249989</v>
      </c>
      <c r="Y70" s="133">
        <f t="shared" si="67"/>
        <v>358.52441867187486</v>
      </c>
      <c r="Z70" s="133">
        <f t="shared" si="67"/>
        <v>412.30308147265606</v>
      </c>
      <c r="AA70" s="133">
        <f t="shared" si="67"/>
        <v>474.14854369355442</v>
      </c>
      <c r="AB70" s="133">
        <f t="shared" si="67"/>
        <v>545.27082524758748</v>
      </c>
      <c r="AC70" s="134"/>
      <c r="AD70" s="134"/>
    </row>
    <row r="71" spans="1:30" outlineLevel="1" x14ac:dyDescent="0.2">
      <c r="A71" s="22"/>
      <c r="B71" s="131" t="s">
        <v>406</v>
      </c>
      <c r="C71" s="136">
        <v>27.061</v>
      </c>
      <c r="D71" s="136">
        <v>23.318000000000001</v>
      </c>
      <c r="E71" s="136">
        <v>33.131</v>
      </c>
      <c r="F71" s="136">
        <v>41.01</v>
      </c>
      <c r="G71" s="136">
        <v>47.396000000000001</v>
      </c>
      <c r="H71" s="136">
        <v>52.284999999999997</v>
      </c>
      <c r="I71" s="136">
        <v>60.088000000000001</v>
      </c>
      <c r="J71" s="137">
        <v>58.332000000000001</v>
      </c>
      <c r="K71" s="137">
        <v>63.252000000000002</v>
      </c>
      <c r="L71" s="137">
        <v>63.524000000000001</v>
      </c>
      <c r="M71" s="137">
        <v>61.887</v>
      </c>
      <c r="N71" s="137">
        <v>49</v>
      </c>
      <c r="O71" s="137">
        <v>58</v>
      </c>
      <c r="P71" s="137">
        <v>78</v>
      </c>
      <c r="Q71" s="137">
        <v>92</v>
      </c>
      <c r="R71" s="137">
        <v>100</v>
      </c>
      <c r="S71" s="137">
        <v>144</v>
      </c>
      <c r="T71" s="133">
        <f t="shared" si="64"/>
        <v>165.6</v>
      </c>
      <c r="U71" s="133">
        <f t="shared" si="64"/>
        <v>190.43999999999997</v>
      </c>
      <c r="V71" s="133">
        <f t="shared" si="64"/>
        <v>219.00599999999994</v>
      </c>
      <c r="W71" s="133">
        <f t="shared" si="65"/>
        <v>251.85689999999991</v>
      </c>
      <c r="X71" s="133">
        <f t="shared" si="66"/>
        <v>289.63543499999986</v>
      </c>
      <c r="Y71" s="133">
        <f t="shared" si="67"/>
        <v>333.08075024999982</v>
      </c>
      <c r="Z71" s="133">
        <f t="shared" si="67"/>
        <v>383.04286278749976</v>
      </c>
      <c r="AA71" s="133">
        <f t="shared" si="67"/>
        <v>440.49929220562467</v>
      </c>
      <c r="AB71" s="133">
        <f t="shared" si="67"/>
        <v>506.57418603646835</v>
      </c>
      <c r="AC71" s="134"/>
      <c r="AD71" s="134"/>
    </row>
    <row r="72" spans="1:30" outlineLevel="1" x14ac:dyDescent="0.2">
      <c r="A72" s="22"/>
      <c r="B72" s="138" t="s">
        <v>407</v>
      </c>
      <c r="C72" s="93">
        <f t="shared" ref="C72:P72" si="68">C58/C62</f>
        <v>25.7195</v>
      </c>
      <c r="D72" s="93">
        <f t="shared" si="68"/>
        <v>22.142666666666667</v>
      </c>
      <c r="E72" s="93">
        <f t="shared" si="68"/>
        <v>30.7331</v>
      </c>
      <c r="F72" s="93">
        <f t="shared" si="68"/>
        <v>40.785125000000001</v>
      </c>
      <c r="G72" s="93">
        <f t="shared" si="68"/>
        <v>45.320875000000001</v>
      </c>
      <c r="H72" s="93">
        <f t="shared" si="68"/>
        <v>46.689624999999999</v>
      </c>
      <c r="I72" s="93">
        <f t="shared" si="68"/>
        <v>55.251874999999998</v>
      </c>
      <c r="J72" s="93">
        <f t="shared" si="68"/>
        <v>55.818714285714286</v>
      </c>
      <c r="K72" s="93">
        <f t="shared" si="68"/>
        <v>60.05533333333333</v>
      </c>
      <c r="L72" s="93">
        <f t="shared" si="68"/>
        <v>55.336000000000006</v>
      </c>
      <c r="M72" s="93">
        <f t="shared" si="68"/>
        <v>58.7254</v>
      </c>
      <c r="N72" s="133">
        <f t="shared" si="68"/>
        <v>43.333333333333336</v>
      </c>
      <c r="O72" s="133">
        <f t="shared" si="68"/>
        <v>55.833333333333336</v>
      </c>
      <c r="P72" s="133">
        <f t="shared" si="68"/>
        <v>67.666666666666671</v>
      </c>
      <c r="Q72" s="133">
        <f>Q58/Q62</f>
        <v>87.333333333333329</v>
      </c>
      <c r="R72" s="133">
        <f>R58/R62</f>
        <v>84.333333333333329</v>
      </c>
      <c r="S72" s="133">
        <f>S58/S62</f>
        <v>141.66666666666666</v>
      </c>
      <c r="T72" s="133">
        <f t="shared" si="64"/>
        <v>162.91666666666666</v>
      </c>
      <c r="U72" s="133">
        <f t="shared" si="64"/>
        <v>187.35416666666663</v>
      </c>
      <c r="V72" s="133">
        <f t="shared" si="64"/>
        <v>215.45729166666661</v>
      </c>
      <c r="W72" s="133">
        <f t="shared" si="65"/>
        <v>247.77588541666657</v>
      </c>
      <c r="X72" s="133">
        <f t="shared" si="66"/>
        <v>284.94226822916653</v>
      </c>
      <c r="Y72" s="133">
        <f t="shared" si="67"/>
        <v>327.68360846354147</v>
      </c>
      <c r="Z72" s="133">
        <f t="shared" si="67"/>
        <v>376.83614973307266</v>
      </c>
      <c r="AA72" s="133">
        <f t="shared" si="67"/>
        <v>433.36157219303351</v>
      </c>
      <c r="AB72" s="133">
        <f t="shared" si="67"/>
        <v>498.36580802198847</v>
      </c>
      <c r="AC72" s="134"/>
      <c r="AD72" s="134"/>
    </row>
    <row r="73" spans="1:30" outlineLevel="1" x14ac:dyDescent="0.2">
      <c r="A73" s="22"/>
      <c r="B73" s="138" t="s">
        <v>408</v>
      </c>
      <c r="C73" s="93">
        <f>IF(SUM(C$72:C72)&gt;=C$58,0,C$58/C$62)</f>
        <v>25.7195</v>
      </c>
      <c r="D73" s="93">
        <f>IF(SUM(D$72:D72)&gt;=D$58,0,D$58/D$62)</f>
        <v>22.142666666666667</v>
      </c>
      <c r="E73" s="93">
        <f>IF(SUM(E$72:E72)&gt;=E$58,0,E$58/E$62)</f>
        <v>30.7331</v>
      </c>
      <c r="F73" s="93">
        <f>IF(SUM(F$72:F72)&gt;=F$58,0,F$58/F$62)</f>
        <v>40.785125000000001</v>
      </c>
      <c r="G73" s="93">
        <f>IF(SUM(G$72:G72)&gt;=G$58,0,G$58/G$62)</f>
        <v>45.320875000000001</v>
      </c>
      <c r="H73" s="93">
        <f>IF(SUM(H$72:H72)&gt;=H$58,0,H$58/H$62)</f>
        <v>46.689624999999999</v>
      </c>
      <c r="I73" s="93">
        <f>IF(SUM(I$72:I72)&gt;=I$58,0,I$58/I$62)</f>
        <v>55.251874999999998</v>
      </c>
      <c r="J73" s="93">
        <f>IF(SUM(J$72:J72)&gt;=J$58,0,J$58/J$62)</f>
        <v>55.818714285714286</v>
      </c>
      <c r="K73" s="93">
        <f>IF(SUM(K$72:K72)&gt;=K$58,0,K$58/K$62)</f>
        <v>60.05533333333333</v>
      </c>
      <c r="L73" s="93">
        <f>IF(SUM(L$72:L72)&gt;=L$58,0,L$58/L$62)</f>
        <v>55.336000000000006</v>
      </c>
      <c r="M73" s="93">
        <f>IF(SUM(M$72:M72)&gt;=M$58,0,M$58/M$62)</f>
        <v>58.7254</v>
      </c>
      <c r="N73" s="133">
        <f>IF(SUM(N$72:N72)&gt;=N$58,0,N$58/N$62)</f>
        <v>43.333333333333336</v>
      </c>
      <c r="O73" s="133">
        <f>IF(SUM(O$72:O72)&gt;=O$58,0,O$58/O$62)</f>
        <v>55.833333333333336</v>
      </c>
      <c r="P73" s="133">
        <f>IF(SUM(P$72:P72)&gt;=P$58,0,P$58/P$62)</f>
        <v>67.666666666666671</v>
      </c>
      <c r="Q73" s="133">
        <f>IF(SUM(Q$72:Q72)&gt;=Q$58,0,Q$58/Q$62)</f>
        <v>87.333333333333329</v>
      </c>
      <c r="R73" s="133">
        <f>IF(SUM(R$72:R72)&gt;=R$58,0,R$58/R$62)</f>
        <v>84.333333333333329</v>
      </c>
      <c r="S73" s="133">
        <f>IF(SUM(S$72:S72)&gt;=S$58,0,S$58/S$62)</f>
        <v>141.66666666666666</v>
      </c>
      <c r="T73" s="133">
        <f t="shared" si="64"/>
        <v>162.91666666666666</v>
      </c>
      <c r="U73" s="133">
        <f t="shared" si="64"/>
        <v>187.35416666666663</v>
      </c>
      <c r="V73" s="133">
        <f t="shared" si="64"/>
        <v>215.45729166666661</v>
      </c>
      <c r="W73" s="133">
        <f t="shared" si="65"/>
        <v>247.77588541666657</v>
      </c>
      <c r="X73" s="133">
        <f t="shared" si="66"/>
        <v>284.94226822916653</v>
      </c>
      <c r="Y73" s="133">
        <f t="shared" si="67"/>
        <v>327.68360846354147</v>
      </c>
      <c r="Z73" s="133">
        <f t="shared" si="67"/>
        <v>376.83614973307266</v>
      </c>
      <c r="AA73" s="133">
        <f t="shared" si="67"/>
        <v>433.36157219303351</v>
      </c>
      <c r="AB73" s="133">
        <f t="shared" si="67"/>
        <v>498.36580802198847</v>
      </c>
      <c r="AC73" s="134"/>
      <c r="AD73" s="134"/>
    </row>
    <row r="74" spans="1:30" outlineLevel="1" x14ac:dyDescent="0.2">
      <c r="A74" s="22"/>
      <c r="B74" s="138" t="s">
        <v>409</v>
      </c>
      <c r="C74" s="93">
        <f>IF(SUM(C$72:C73)&gt;=C$58,0,C$58/C$62)</f>
        <v>25.7195</v>
      </c>
      <c r="D74" s="93">
        <f>IF(SUM(D$72:D73)&gt;=D$58,0,D$58/D$62)</f>
        <v>22.142666666666667</v>
      </c>
      <c r="E74" s="93">
        <f>IF(SUM(E$72:E73)&gt;=E$58,0,E$58/E$62)</f>
        <v>30.7331</v>
      </c>
      <c r="F74" s="93">
        <f>IF(SUM(F$72:F73)&gt;=F$58,0,F$58/F$62)</f>
        <v>40.785125000000001</v>
      </c>
      <c r="G74" s="93">
        <f>IF(SUM(G$72:G73)&gt;=G$58,0,G$58/G$62)</f>
        <v>45.320875000000001</v>
      </c>
      <c r="H74" s="93">
        <f>IF(SUM(H$72:H73)&gt;=H$58,0,H$58/H$62)</f>
        <v>46.689624999999999</v>
      </c>
      <c r="I74" s="93">
        <f>IF(SUM(I$72:I73)&gt;=I$58,0,I$58/I$62)</f>
        <v>55.251874999999998</v>
      </c>
      <c r="J74" s="93">
        <f>IF(SUM(J$72:J73)&gt;=J$58,0,J$58/J$62)</f>
        <v>55.818714285714286</v>
      </c>
      <c r="K74" s="93">
        <f>IF(SUM(K$72:K73)&gt;=K$58,0,K$58/K$62)</f>
        <v>60.05533333333333</v>
      </c>
      <c r="L74" s="93">
        <f>IF(SUM(L$72:L73)&gt;=L$58,0,L$58/L$62)</f>
        <v>55.336000000000006</v>
      </c>
      <c r="M74" s="93">
        <f>IF(SUM(M$72:M73)&gt;=M$58,0,M$58/M$62)</f>
        <v>58.7254</v>
      </c>
      <c r="N74" s="133">
        <f>IF(SUM(N$72:N73)&gt;=N$58,0,N$58/N$62)</f>
        <v>43.333333333333336</v>
      </c>
      <c r="O74" s="133">
        <f>IF(SUM(O$72:O73)&gt;=O$58,0,O$58/O$62)</f>
        <v>55.833333333333336</v>
      </c>
      <c r="P74" s="133">
        <f>IF(SUM(P$72:P73)&gt;=P$58,0,P$58/P$62)</f>
        <v>67.666666666666671</v>
      </c>
      <c r="Q74" s="133">
        <f>IF(SUM(Q$72:Q73)&gt;=Q$58,0,Q$58/Q$62)</f>
        <v>87.333333333333329</v>
      </c>
      <c r="R74" s="133">
        <f>IF(SUM(R$72:R73)&gt;=R$58,0,R$58/R$62)</f>
        <v>84.333333333333329</v>
      </c>
      <c r="S74" s="133">
        <f>IF(SUM(S$72:S73)&gt;=S$58,0,S$58/S$62)</f>
        <v>141.66666666666666</v>
      </c>
      <c r="T74" s="133">
        <f t="shared" si="64"/>
        <v>162.91666666666666</v>
      </c>
      <c r="U74" s="133">
        <f t="shared" si="64"/>
        <v>187.35416666666663</v>
      </c>
      <c r="V74" s="133">
        <f t="shared" si="64"/>
        <v>215.45729166666661</v>
      </c>
      <c r="W74" s="133">
        <f t="shared" si="65"/>
        <v>247.77588541666657</v>
      </c>
      <c r="X74" s="133">
        <f t="shared" si="66"/>
        <v>284.94226822916653</v>
      </c>
      <c r="Y74" s="133">
        <f t="shared" si="67"/>
        <v>327.68360846354147</v>
      </c>
      <c r="Z74" s="133">
        <f t="shared" si="67"/>
        <v>376.83614973307266</v>
      </c>
      <c r="AA74" s="133">
        <f t="shared" si="67"/>
        <v>433.36157219303351</v>
      </c>
      <c r="AB74" s="133">
        <f t="shared" si="67"/>
        <v>498.36580802198847</v>
      </c>
      <c r="AC74" s="134"/>
      <c r="AD74" s="134"/>
    </row>
    <row r="75" spans="1:30" outlineLevel="1" x14ac:dyDescent="0.2">
      <c r="A75" s="22"/>
      <c r="B75" s="138" t="s">
        <v>410</v>
      </c>
      <c r="C75" s="93">
        <f>IF(SUM(C$72:C74)&gt;=C$58,0,C$58/C$62)</f>
        <v>25.7195</v>
      </c>
      <c r="D75" s="93">
        <f>IF(SUM(D$72:D74)&gt;=D$58,0,D$58/D$62)</f>
        <v>22.142666666666667</v>
      </c>
      <c r="E75" s="93">
        <f>IF(SUM(E$72:E74)&gt;=E$58,0,E$58/E$62)</f>
        <v>30.7331</v>
      </c>
      <c r="F75" s="93">
        <f>IF(SUM(F$72:F74)&gt;=F$58,0,F$58/F$62)</f>
        <v>40.785125000000001</v>
      </c>
      <c r="G75" s="93">
        <f>IF(SUM(G$72:G74)&gt;=G$58,0,G$58/G$62)</f>
        <v>45.320875000000001</v>
      </c>
      <c r="H75" s="93">
        <f>IF(SUM(H$72:H74)&gt;=H$58,0,H$58/H$62)</f>
        <v>46.689624999999999</v>
      </c>
      <c r="I75" s="93">
        <f>IF(SUM(I$72:I74)&gt;=I$58,0,I$58/I$62)</f>
        <v>55.251874999999998</v>
      </c>
      <c r="J75" s="93">
        <f>IF(SUM(J$72:J74)&gt;=J$58,0,J$58/J$62)</f>
        <v>55.818714285714286</v>
      </c>
      <c r="K75" s="93">
        <f>IF(SUM(K$72:K74)&gt;=K$58,0,K$58/K$62)</f>
        <v>60.05533333333333</v>
      </c>
      <c r="L75" s="93">
        <f>IF(SUM(L$72:L74)&gt;=L$58,0,L$58/L$62)</f>
        <v>55.336000000000006</v>
      </c>
      <c r="M75" s="93">
        <f>IF(SUM(M$72:M74)&gt;=M$58,0,M$58/M$62)</f>
        <v>58.7254</v>
      </c>
      <c r="N75" s="133">
        <f>IF(SUM(N$72:N74)&gt;=N$58,0,N$58/N$62)</f>
        <v>43.333333333333336</v>
      </c>
      <c r="O75" s="133">
        <f>IF(SUM(O$72:O74)&gt;=O$58,0,O$58/O$62)</f>
        <v>55.833333333333336</v>
      </c>
      <c r="P75" s="133">
        <f>IF(SUM(P$72:P74)&gt;=P$58,0,P$58/P$62)</f>
        <v>67.666666666666671</v>
      </c>
      <c r="Q75" s="133">
        <f>IF(SUM(Q$72:Q74)&gt;=Q$58,0,Q$58/Q$62)</f>
        <v>87.333333333333329</v>
      </c>
      <c r="R75" s="133">
        <f>IF(SUM(R$72:R74)&gt;=R$58,0,R$58/R$62)</f>
        <v>84.333333333333329</v>
      </c>
      <c r="S75" s="133">
        <f>IF(SUM(S$72:S74)&gt;=S$58,0,S$58/S$62)</f>
        <v>141.66666666666666</v>
      </c>
      <c r="T75" s="133">
        <f t="shared" si="64"/>
        <v>162.91666666666666</v>
      </c>
      <c r="U75" s="133">
        <f t="shared" si="64"/>
        <v>187.35416666666663</v>
      </c>
      <c r="V75" s="133">
        <f t="shared" si="64"/>
        <v>215.45729166666661</v>
      </c>
      <c r="W75" s="133">
        <f t="shared" si="65"/>
        <v>247.77588541666657</v>
      </c>
      <c r="X75" s="133">
        <f t="shared" si="66"/>
        <v>284.94226822916653</v>
      </c>
      <c r="Y75" s="133">
        <f t="shared" si="67"/>
        <v>327.68360846354147</v>
      </c>
      <c r="Z75" s="133">
        <f t="shared" si="67"/>
        <v>376.83614973307266</v>
      </c>
      <c r="AA75" s="133">
        <f t="shared" si="67"/>
        <v>433.36157219303351</v>
      </c>
      <c r="AB75" s="133">
        <f t="shared" si="67"/>
        <v>498.36580802198847</v>
      </c>
      <c r="AC75" s="134"/>
      <c r="AD75" s="134"/>
    </row>
    <row r="76" spans="1:30" outlineLevel="1" x14ac:dyDescent="0.2">
      <c r="A76" s="22"/>
      <c r="B76" s="138" t="s">
        <v>411</v>
      </c>
      <c r="C76" s="93">
        <f>IF(SUM(C$72:C75)&gt;=C$58,0,C$58/C$62)</f>
        <v>25.7195</v>
      </c>
      <c r="D76" s="93">
        <f>IF(SUM(D$72:D75)&gt;=D$58,0,D$58/D$62)</f>
        <v>22.142666666666667</v>
      </c>
      <c r="E76" s="93">
        <f>IF(SUM(E$72:E75)&gt;=E$58,0,E$58/E$62)</f>
        <v>30.7331</v>
      </c>
      <c r="F76" s="93">
        <f>IF(SUM(F$72:F75)&gt;=F$58,0,F$58/F$62)</f>
        <v>40.785125000000001</v>
      </c>
      <c r="G76" s="93">
        <f>IF(SUM(G$72:G75)&gt;=G$58,0,G$58/G$62)</f>
        <v>45.320875000000001</v>
      </c>
      <c r="H76" s="93">
        <f>IF(SUM(H$72:H75)&gt;=H$58,0,H$58/H$62)</f>
        <v>46.689624999999999</v>
      </c>
      <c r="I76" s="93">
        <f>IF(SUM(I$72:I75)&gt;=I$58,0,I$58/I$62)</f>
        <v>55.251874999999998</v>
      </c>
      <c r="J76" s="93">
        <f>IF(SUM(J$72:J75)&gt;=J$58,0,J$58/J$62)</f>
        <v>55.818714285714286</v>
      </c>
      <c r="K76" s="93">
        <f>IF(SUM(K$72:K75)&gt;=K$58,0,K$58/K$62)</f>
        <v>60.05533333333333</v>
      </c>
      <c r="L76" s="93">
        <f>IF(SUM(L$72:L75)&gt;=L$58,0,L$58/L$62)</f>
        <v>55.336000000000006</v>
      </c>
      <c r="M76" s="93">
        <f>IF(SUM(M$72:M75)&gt;=M$58,0,M$58/M$62)</f>
        <v>58.7254</v>
      </c>
      <c r="N76" s="133">
        <f>IF(SUM(N$72:N75)&gt;=N$58,0,N$58/N$62)</f>
        <v>43.333333333333336</v>
      </c>
      <c r="O76" s="133">
        <f>IF(SUM(O$72:O75)&gt;=O$58,0,O$58/O$62)</f>
        <v>55.833333333333336</v>
      </c>
      <c r="P76" s="133">
        <f>IF(SUM(P$72:P75)&gt;=P$58,0,P$58/P$62)</f>
        <v>67.666666666666671</v>
      </c>
      <c r="Q76" s="133">
        <f>IF(SUM(Q$72:Q75)&gt;=Q$58,0,Q$58/Q$62)</f>
        <v>87.333333333333329</v>
      </c>
      <c r="R76" s="133">
        <f>IF(SUM(R$72:R75)&gt;=R$58,0,R$58/R$62)</f>
        <v>84.333333333333329</v>
      </c>
      <c r="S76" s="133">
        <f>IF(SUM(S$72:S75)&gt;=S$58,0,S$58/S$62)</f>
        <v>141.66666666666666</v>
      </c>
      <c r="T76" s="133">
        <f t="shared" ref="S76:V85" si="69">S76*(1+T$54)</f>
        <v>162.91666666666666</v>
      </c>
      <c r="U76" s="133">
        <f t="shared" si="69"/>
        <v>187.35416666666663</v>
      </c>
      <c r="V76" s="133">
        <f t="shared" si="69"/>
        <v>215.45729166666661</v>
      </c>
      <c r="W76" s="133">
        <f t="shared" si="65"/>
        <v>247.77588541666657</v>
      </c>
      <c r="X76" s="133">
        <f t="shared" si="66"/>
        <v>284.94226822916653</v>
      </c>
      <c r="Y76" s="133">
        <f t="shared" si="67"/>
        <v>327.68360846354147</v>
      </c>
      <c r="Z76" s="133">
        <f t="shared" si="67"/>
        <v>376.83614973307266</v>
      </c>
      <c r="AA76" s="133">
        <f t="shared" si="67"/>
        <v>433.36157219303351</v>
      </c>
      <c r="AB76" s="133">
        <f t="shared" si="67"/>
        <v>498.36580802198847</v>
      </c>
      <c r="AC76" s="134"/>
      <c r="AD76" s="134"/>
    </row>
    <row r="77" spans="1:30" outlineLevel="1" x14ac:dyDescent="0.2">
      <c r="A77" s="22"/>
      <c r="B77" s="138" t="s">
        <v>412</v>
      </c>
      <c r="C77" s="93">
        <f>IF(SUM(C$72:C76)&gt;=C$58,0,C$58/C$62)</f>
        <v>25.7195</v>
      </c>
      <c r="D77" s="93">
        <f>IF(SUM(D$72:D76)&gt;=D$58,0,D$58/D$62)</f>
        <v>22.142666666666667</v>
      </c>
      <c r="E77" s="93">
        <f>IF(SUM(E$72:E76)&gt;=E$58,0,E$58/E$62)</f>
        <v>30.7331</v>
      </c>
      <c r="F77" s="93">
        <f>IF(SUM(F$72:F76)&gt;=F$58,0,F$58/F$62)</f>
        <v>40.785125000000001</v>
      </c>
      <c r="G77" s="93">
        <f>IF(SUM(G$72:G76)&gt;=G$58,0,G$58/G$62)</f>
        <v>45.320875000000001</v>
      </c>
      <c r="H77" s="93">
        <f>IF(SUM(H$72:H76)&gt;=H$58,0,H$58/H$62)</f>
        <v>46.689624999999999</v>
      </c>
      <c r="I77" s="93">
        <f>IF(SUM(I$72:I76)&gt;=I$58,0,I$58/I$62)</f>
        <v>55.251874999999998</v>
      </c>
      <c r="J77" s="93">
        <f>IF(SUM(J$72:J76)&gt;=J$58,0,J$58/J$62)</f>
        <v>55.818714285714286</v>
      </c>
      <c r="K77" s="93">
        <f>IF(SUM(K$72:K76)&gt;=K$58,0,K$58/K$62)</f>
        <v>60.05533333333333</v>
      </c>
      <c r="L77" s="93">
        <f>IF(SUM(L$72:L76)&gt;=L$58,0,L$58/L$62)</f>
        <v>55.336000000000006</v>
      </c>
      <c r="M77" s="93">
        <f>IF(SUM(M$72:M76)&gt;=M$58,0,M$58/M$62)</f>
        <v>0</v>
      </c>
      <c r="N77" s="133">
        <f>IF(SUM(N$72:N76)&gt;=N$58,0,N$58/N$62)</f>
        <v>43.333333333333336</v>
      </c>
      <c r="O77" s="133">
        <f>IF(SUM(O$72:O76)&gt;=O$58,0,O$58/O$62)</f>
        <v>55.833333333333336</v>
      </c>
      <c r="P77" s="133">
        <f>IF(SUM(P$72:P76)&gt;=P$58,0,P$58/P$62)</f>
        <v>67.666666666666671</v>
      </c>
      <c r="Q77" s="133">
        <f>IF(SUM(Q$72:Q76)&gt;=Q$58,0,Q$58/Q$62)</f>
        <v>87.333333333333329</v>
      </c>
      <c r="R77" s="133">
        <f>IF(SUM(R$72:R76)&gt;=R$58,0,R$58/R$62)</f>
        <v>84.333333333333329</v>
      </c>
      <c r="S77" s="133">
        <f>IF(SUM(S$72:S76)&gt;=S$58,0,S$58/S$62)</f>
        <v>141.66666666666666</v>
      </c>
      <c r="T77" s="133">
        <f t="shared" si="69"/>
        <v>162.91666666666666</v>
      </c>
      <c r="U77" s="133">
        <f t="shared" si="69"/>
        <v>187.35416666666663</v>
      </c>
      <c r="V77" s="133">
        <f t="shared" si="69"/>
        <v>215.45729166666661</v>
      </c>
      <c r="W77" s="133">
        <f t="shared" si="65"/>
        <v>247.77588541666657</v>
      </c>
      <c r="X77" s="133">
        <f t="shared" si="66"/>
        <v>284.94226822916653</v>
      </c>
      <c r="Y77" s="133">
        <f t="shared" si="67"/>
        <v>327.68360846354147</v>
      </c>
      <c r="Z77" s="133">
        <f t="shared" si="67"/>
        <v>376.83614973307266</v>
      </c>
      <c r="AA77" s="133">
        <f t="shared" si="67"/>
        <v>433.36157219303351</v>
      </c>
      <c r="AB77" s="133">
        <f t="shared" si="67"/>
        <v>498.36580802198847</v>
      </c>
      <c r="AC77" s="134"/>
      <c r="AD77" s="134"/>
    </row>
    <row r="78" spans="1:30" outlineLevel="1" x14ac:dyDescent="0.2">
      <c r="A78" s="22"/>
      <c r="B78" s="138" t="s">
        <v>413</v>
      </c>
      <c r="C78" s="93">
        <f>IF(SUM(C$72:C77)&gt;=C$58,0,C$58/C$62)</f>
        <v>25.7195</v>
      </c>
      <c r="D78" s="93">
        <f>IF(SUM(D$72:D77)&gt;=D$58,0,D$58/D$62)</f>
        <v>22.142666666666667</v>
      </c>
      <c r="E78" s="93">
        <f>IF(SUM(E$72:E77)&gt;=E$58,0,E$58/E$62)</f>
        <v>30.7331</v>
      </c>
      <c r="F78" s="93">
        <f>IF(SUM(F$72:F77)&gt;=F$58,0,F$58/F$62)</f>
        <v>40.785125000000001</v>
      </c>
      <c r="G78" s="93">
        <f>IF(SUM(G$72:G77)&gt;=G$58,0,G$58/G$62)</f>
        <v>45.320875000000001</v>
      </c>
      <c r="H78" s="93">
        <f>IF(SUM(H$72:H77)&gt;=H$58,0,H$58/H$62)</f>
        <v>46.689624999999999</v>
      </c>
      <c r="I78" s="93">
        <f>IF(SUM(I$72:I77)&gt;=I$58,0,I$58/I$62)</f>
        <v>55.251874999999998</v>
      </c>
      <c r="J78" s="93">
        <f>IF(SUM(J$72:J77)&gt;=J$58,0,J$58/J$62)</f>
        <v>55.818714285714286</v>
      </c>
      <c r="K78" s="93">
        <f>IF(SUM(K$72:K77)&gt;=K$58,0,K$58/K$62)</f>
        <v>0</v>
      </c>
      <c r="L78" s="93">
        <f>IF(SUM(L$72:L77)&gt;=L$58,0,L$58/L$62)</f>
        <v>0</v>
      </c>
      <c r="M78" s="93">
        <f>IF(SUM(M$72:M77)&gt;=M$58,0,M$58/M$62)</f>
        <v>0</v>
      </c>
      <c r="N78" s="133">
        <f>IF(SUM(N$72:N77)&gt;=N$58,0,N$58/N$62)</f>
        <v>0</v>
      </c>
      <c r="O78" s="133">
        <f>IF(SUM(O$72:O77)&gt;=O$58,0,O$58/O$62)</f>
        <v>0</v>
      </c>
      <c r="P78" s="133">
        <f>IF(SUM(P$72:P77)&gt;=P$58,0,P$58/P$62)</f>
        <v>0</v>
      </c>
      <c r="Q78" s="133">
        <f t="shared" ref="Q78:R96" si="70">P78*(1+Q$54)</f>
        <v>0</v>
      </c>
      <c r="R78" s="133">
        <f t="shared" si="70"/>
        <v>0</v>
      </c>
      <c r="S78" s="133">
        <f t="shared" si="69"/>
        <v>0</v>
      </c>
      <c r="T78" s="133">
        <f t="shared" si="69"/>
        <v>0</v>
      </c>
      <c r="U78" s="133">
        <f t="shared" si="69"/>
        <v>0</v>
      </c>
      <c r="V78" s="133">
        <f t="shared" si="69"/>
        <v>0</v>
      </c>
      <c r="W78" s="133">
        <f t="shared" si="65"/>
        <v>0</v>
      </c>
      <c r="X78" s="133">
        <f t="shared" si="66"/>
        <v>0</v>
      </c>
      <c r="Y78" s="133">
        <f t="shared" si="67"/>
        <v>0</v>
      </c>
      <c r="Z78" s="133">
        <f t="shared" si="67"/>
        <v>0</v>
      </c>
      <c r="AA78" s="133">
        <f t="shared" si="67"/>
        <v>0</v>
      </c>
      <c r="AB78" s="133">
        <f t="shared" si="67"/>
        <v>0</v>
      </c>
      <c r="AC78" s="134"/>
      <c r="AD78" s="134"/>
    </row>
    <row r="79" spans="1:30" outlineLevel="1" x14ac:dyDescent="0.2">
      <c r="A79" s="22"/>
      <c r="B79" s="138" t="s">
        <v>414</v>
      </c>
      <c r="C79" s="93">
        <f>IF(SUM(C$72:C78)&gt;=C$58,0,C$58/C$62)</f>
        <v>25.7195</v>
      </c>
      <c r="D79" s="93">
        <f>IF(SUM(D$72:D78)&gt;=D$58,0,D$58/D$62)</f>
        <v>22.142666666666667</v>
      </c>
      <c r="E79" s="93">
        <f>IF(SUM(E$72:E78)&gt;=E$58,0,E$58/E$62)</f>
        <v>30.7331</v>
      </c>
      <c r="F79" s="93">
        <f>IF(SUM(F$72:F78)&gt;=F$58,0,F$58/F$62)</f>
        <v>40.785125000000001</v>
      </c>
      <c r="G79" s="93">
        <f>IF(SUM(G$72:G78)&gt;=G$58,0,G$58/G$62)</f>
        <v>45.320875000000001</v>
      </c>
      <c r="H79" s="93">
        <f>IF(SUM(H$72:H78)&gt;=H$58,0,H$58/H$62)</f>
        <v>46.689624999999999</v>
      </c>
      <c r="I79" s="93">
        <f>IF(SUM(I$72:I78)&gt;=I$58,0,I$58/I$62)</f>
        <v>55.251874999999998</v>
      </c>
      <c r="J79" s="93">
        <f>IF(SUM(J$72:J78)&gt;=J$58,0,J$58/J$62)</f>
        <v>0</v>
      </c>
      <c r="K79" s="93">
        <f>IF(SUM(K$72:K78)&gt;=K$58,0,K$58/K$62)</f>
        <v>0</v>
      </c>
      <c r="L79" s="93">
        <f>IF(SUM(L$72:L78)&gt;=L$58,0,L$58/L$62)</f>
        <v>0</v>
      </c>
      <c r="M79" s="93">
        <f>IF(SUM(M$72:M78)&gt;=M$58,0,M$58/M$62)</f>
        <v>0</v>
      </c>
      <c r="N79" s="133">
        <f>IF(SUM(N$72:N78)&gt;=N$58,0,N$58/N$62)</f>
        <v>0</v>
      </c>
      <c r="O79" s="133">
        <f>IF(SUM(O$72:O78)&gt;=O$58,0,O$58/O$62)</f>
        <v>0</v>
      </c>
      <c r="P79" s="133">
        <f>IF(SUM(P$72:P78)&gt;=P$58,0,P$58/P$62)</f>
        <v>0</v>
      </c>
      <c r="Q79" s="133">
        <f t="shared" si="70"/>
        <v>0</v>
      </c>
      <c r="R79" s="133">
        <f t="shared" si="70"/>
        <v>0</v>
      </c>
      <c r="S79" s="133">
        <f t="shared" si="69"/>
        <v>0</v>
      </c>
      <c r="T79" s="133">
        <f t="shared" si="69"/>
        <v>0</v>
      </c>
      <c r="U79" s="133">
        <f t="shared" si="69"/>
        <v>0</v>
      </c>
      <c r="V79" s="133">
        <f t="shared" si="69"/>
        <v>0</v>
      </c>
      <c r="W79" s="133">
        <f t="shared" si="65"/>
        <v>0</v>
      </c>
      <c r="X79" s="133">
        <f t="shared" si="66"/>
        <v>0</v>
      </c>
      <c r="Y79" s="133">
        <f t="shared" si="67"/>
        <v>0</v>
      </c>
      <c r="Z79" s="133">
        <f t="shared" si="67"/>
        <v>0</v>
      </c>
      <c r="AA79" s="133">
        <f t="shared" si="67"/>
        <v>0</v>
      </c>
      <c r="AB79" s="133">
        <f t="shared" si="67"/>
        <v>0</v>
      </c>
      <c r="AC79" s="134"/>
      <c r="AD79" s="134"/>
    </row>
    <row r="80" spans="1:30" outlineLevel="1" x14ac:dyDescent="0.2">
      <c r="A80" s="22"/>
      <c r="B80" s="138" t="s">
        <v>415</v>
      </c>
      <c r="C80" s="93">
        <f>IF(SUM(C$72:C79)&gt;=C$58,0,C$58/C$62)</f>
        <v>0</v>
      </c>
      <c r="D80" s="93">
        <f>IF(SUM(D$72:D79)&gt;=D$58,0,D$58/D$62)</f>
        <v>22.142666666666667</v>
      </c>
      <c r="E80" s="93">
        <f>IF(SUM(E$72:E79)&gt;=E$58,0,E$58/E$62)</f>
        <v>30.7331</v>
      </c>
      <c r="F80" s="93">
        <f>IF(SUM(F$72:F79)&gt;=F$58,0,F$58/F$62)</f>
        <v>0</v>
      </c>
      <c r="G80" s="93">
        <f>IF(SUM(G$72:G79)&gt;=G$58,0,G$58/G$62)</f>
        <v>0</v>
      </c>
      <c r="H80" s="93">
        <f>IF(SUM(H$72:H79)&gt;=H$58,0,H$58/H$62)</f>
        <v>0</v>
      </c>
      <c r="I80" s="93">
        <f>IF(SUM(I$72:I79)&gt;=I$58,0,I$58/I$62)</f>
        <v>0</v>
      </c>
      <c r="J80" s="93">
        <f>IF(SUM(J$72:J79)&gt;=J$58,0,J$58/J$62)</f>
        <v>0</v>
      </c>
      <c r="K80" s="93">
        <f>IF(SUM(K$72:K79)&gt;=K$58,0,K$58/K$62)</f>
        <v>0</v>
      </c>
      <c r="L80" s="93">
        <f>IF(SUM(L$72:L79)&gt;=L$58,0,L$58/L$62)</f>
        <v>0</v>
      </c>
      <c r="M80" s="93">
        <f>IF(SUM(M$72:M79)&gt;=M$58,0,M$58/M$62)</f>
        <v>0</v>
      </c>
      <c r="N80" s="133">
        <f>IF(SUM(N$72:N79)&gt;=N$58,0,N$58/N$62)</f>
        <v>0</v>
      </c>
      <c r="O80" s="133">
        <f>IF(SUM(O$72:O79)&gt;=O$58,0,O$58/O$62)</f>
        <v>0</v>
      </c>
      <c r="P80" s="133">
        <f>IF(SUM(P$72:P79)&gt;=P$58,0,P$58/P$62)</f>
        <v>0</v>
      </c>
      <c r="Q80" s="133">
        <f t="shared" si="70"/>
        <v>0</v>
      </c>
      <c r="R80" s="133">
        <f t="shared" si="70"/>
        <v>0</v>
      </c>
      <c r="S80" s="133">
        <f t="shared" si="69"/>
        <v>0</v>
      </c>
      <c r="T80" s="133">
        <f t="shared" si="69"/>
        <v>0</v>
      </c>
      <c r="U80" s="133">
        <f t="shared" si="69"/>
        <v>0</v>
      </c>
      <c r="V80" s="133">
        <f t="shared" si="69"/>
        <v>0</v>
      </c>
      <c r="W80" s="133">
        <f t="shared" si="65"/>
        <v>0</v>
      </c>
      <c r="X80" s="133">
        <f t="shared" si="66"/>
        <v>0</v>
      </c>
      <c r="Y80" s="133">
        <f t="shared" si="67"/>
        <v>0</v>
      </c>
      <c r="Z80" s="133">
        <f t="shared" si="67"/>
        <v>0</v>
      </c>
      <c r="AA80" s="133">
        <f t="shared" si="67"/>
        <v>0</v>
      </c>
      <c r="AB80" s="133">
        <f t="shared" si="67"/>
        <v>0</v>
      </c>
      <c r="AC80" s="134"/>
      <c r="AD80" s="134"/>
    </row>
    <row r="81" spans="1:30" outlineLevel="1" x14ac:dyDescent="0.2">
      <c r="A81" s="22"/>
      <c r="B81" s="138" t="s">
        <v>416</v>
      </c>
      <c r="C81" s="93">
        <f>IF(SUM(C$72:C80)&gt;=C$58,0,C$58/C$62)</f>
        <v>0</v>
      </c>
      <c r="D81" s="93">
        <f>IF(SUM(D$72:D80)&gt;=D$58,0,D$58/D$62)</f>
        <v>0</v>
      </c>
      <c r="E81" s="93">
        <f>IF(SUM(E$72:E80)&gt;=E$58,0,E$58/E$62)</f>
        <v>30.7331</v>
      </c>
      <c r="F81" s="93">
        <f>IF(SUM(F$72:F80)&gt;=F$58,0,F$58/F$62)</f>
        <v>0</v>
      </c>
      <c r="G81" s="93">
        <f>IF(SUM(G$72:G80)&gt;=G$58,0,G$58/G$62)</f>
        <v>0</v>
      </c>
      <c r="H81" s="93">
        <f>IF(SUM(H$72:H80)&gt;=H$58,0,H$58/H$62)</f>
        <v>0</v>
      </c>
      <c r="I81" s="93">
        <f>IF(SUM(I$72:I80)&gt;=I$58,0,I$58/I$62)</f>
        <v>0</v>
      </c>
      <c r="J81" s="93">
        <f>IF(SUM(J$72:J80)&gt;=J$58,0,J$58/J$62)</f>
        <v>0</v>
      </c>
      <c r="K81" s="93">
        <f>IF(SUM(K$72:K80)&gt;=K$58,0,K$58/K$62)</f>
        <v>0</v>
      </c>
      <c r="L81" s="93">
        <f>IF(SUM(L$72:L80)&gt;=L$58,0,L$58/L$62)</f>
        <v>0</v>
      </c>
      <c r="M81" s="93">
        <f>IF(SUM(M$72:M80)&gt;=M$58,0,M$58/M$62)</f>
        <v>0</v>
      </c>
      <c r="N81" s="133">
        <f>IF(SUM(N$72:N80)&gt;=N$58,0,N$58/N$62)</f>
        <v>0</v>
      </c>
      <c r="O81" s="133">
        <f>IF(SUM(O$72:O80)&gt;=O$58,0,O$58/O$62)</f>
        <v>0</v>
      </c>
      <c r="P81" s="133">
        <f>IF(SUM(P$72:P80)&gt;=P$58,0,P$58/P$62)</f>
        <v>0</v>
      </c>
      <c r="Q81" s="133">
        <f t="shared" si="70"/>
        <v>0</v>
      </c>
      <c r="R81" s="133">
        <f t="shared" si="70"/>
        <v>0</v>
      </c>
      <c r="S81" s="133">
        <f t="shared" si="69"/>
        <v>0</v>
      </c>
      <c r="T81" s="133">
        <f t="shared" si="69"/>
        <v>0</v>
      </c>
      <c r="U81" s="133">
        <f t="shared" si="69"/>
        <v>0</v>
      </c>
      <c r="V81" s="133">
        <f t="shared" si="69"/>
        <v>0</v>
      </c>
      <c r="W81" s="133">
        <f t="shared" si="65"/>
        <v>0</v>
      </c>
      <c r="X81" s="133">
        <f t="shared" si="66"/>
        <v>0</v>
      </c>
      <c r="Y81" s="133">
        <f t="shared" si="67"/>
        <v>0</v>
      </c>
      <c r="Z81" s="133">
        <f t="shared" si="67"/>
        <v>0</v>
      </c>
      <c r="AA81" s="133">
        <f t="shared" si="67"/>
        <v>0</v>
      </c>
      <c r="AB81" s="133">
        <f t="shared" si="67"/>
        <v>0</v>
      </c>
      <c r="AC81" s="134"/>
      <c r="AD81" s="134"/>
    </row>
    <row r="82" spans="1:30" outlineLevel="1" x14ac:dyDescent="0.2">
      <c r="A82" s="22"/>
      <c r="B82" s="138" t="s">
        <v>417</v>
      </c>
      <c r="C82" s="93">
        <f>IF(SUM(C$72:C81)&gt;=C$58,0,C$58/C$62)</f>
        <v>0</v>
      </c>
      <c r="D82" s="93">
        <f>IF(SUM(D$72:D81)&gt;=D$58,0,D$58/D$62)</f>
        <v>0</v>
      </c>
      <c r="E82" s="93">
        <f>IF(SUM(E$72:E81)&gt;=E$58,0,E$58/E$62)</f>
        <v>0</v>
      </c>
      <c r="F82" s="93">
        <f>IF(SUM(F$72:F81)&gt;=F$58,0,F$58/F$62)</f>
        <v>0</v>
      </c>
      <c r="G82" s="93">
        <f>IF(SUM(G$72:G81)&gt;=G$58,0,G$58/G$62)</f>
        <v>0</v>
      </c>
      <c r="H82" s="93">
        <f>IF(SUM(H$72:H81)&gt;=H$58,0,H$58/H$62)</f>
        <v>0</v>
      </c>
      <c r="I82" s="93">
        <f>IF(SUM(I$72:I81)&gt;=I$58,0,I$58/I$62)</f>
        <v>0</v>
      </c>
      <c r="J82" s="93">
        <f>IF(SUM(J$72:J81)&gt;=J$58,0,J$58/J$62)</f>
        <v>0</v>
      </c>
      <c r="K82" s="93">
        <f>IF(SUM(K$72:K81)&gt;=K$58,0,K$58/K$62)</f>
        <v>0</v>
      </c>
      <c r="L82" s="93">
        <f>IF(SUM(L$72:L81)&gt;=L$58,0,L$58/L$62)</f>
        <v>0</v>
      </c>
      <c r="M82" s="93">
        <f>IF(SUM(M$72:M81)&gt;=M$58,0,M$58/M$62)</f>
        <v>0</v>
      </c>
      <c r="N82" s="133">
        <f>IF(SUM(N$72:N81)&gt;=N$58,0,N$58/N$62)</f>
        <v>0</v>
      </c>
      <c r="O82" s="133">
        <f>IF(SUM(O$72:O81)&gt;=O$58,0,O$58/O$62)</f>
        <v>0</v>
      </c>
      <c r="P82" s="133">
        <f>IF(SUM(P$72:P81)&gt;=P$58,0,P$58/P$62)</f>
        <v>0</v>
      </c>
      <c r="Q82" s="133">
        <f t="shared" si="70"/>
        <v>0</v>
      </c>
      <c r="R82" s="133">
        <f t="shared" si="70"/>
        <v>0</v>
      </c>
      <c r="S82" s="133">
        <f t="shared" si="69"/>
        <v>0</v>
      </c>
      <c r="T82" s="133">
        <f t="shared" si="69"/>
        <v>0</v>
      </c>
      <c r="U82" s="133">
        <f t="shared" si="69"/>
        <v>0</v>
      </c>
      <c r="V82" s="133">
        <f t="shared" si="69"/>
        <v>0</v>
      </c>
      <c r="W82" s="133">
        <f t="shared" si="65"/>
        <v>0</v>
      </c>
      <c r="X82" s="133">
        <f t="shared" si="66"/>
        <v>0</v>
      </c>
      <c r="Y82" s="133">
        <f t="shared" si="67"/>
        <v>0</v>
      </c>
      <c r="Z82" s="133">
        <f t="shared" si="67"/>
        <v>0</v>
      </c>
      <c r="AA82" s="133">
        <f t="shared" si="67"/>
        <v>0</v>
      </c>
      <c r="AB82" s="133">
        <f t="shared" si="67"/>
        <v>0</v>
      </c>
      <c r="AC82" s="134"/>
      <c r="AD82" s="134"/>
    </row>
    <row r="83" spans="1:30" outlineLevel="1" x14ac:dyDescent="0.2">
      <c r="A83" s="22"/>
      <c r="B83" s="138" t="s">
        <v>418</v>
      </c>
      <c r="C83" s="93">
        <f>IF(SUM(C$72:C82)&gt;=C$58,0,C$58/C$62)</f>
        <v>0</v>
      </c>
      <c r="D83" s="93">
        <f>IF(SUM(D$72:D82)&gt;=D$58,0,D$58/D$62)</f>
        <v>0</v>
      </c>
      <c r="E83" s="93">
        <f>IF(SUM(E$72:E82)&gt;=E$58,0,E$58/E$62)</f>
        <v>0</v>
      </c>
      <c r="F83" s="93">
        <f>IF(SUM(F$72:F82)&gt;=F$58,0,F$58/F$62)</f>
        <v>0</v>
      </c>
      <c r="G83" s="93">
        <f>IF(SUM(G$72:G82)&gt;=G$58,0,G$58/G$62)</f>
        <v>0</v>
      </c>
      <c r="H83" s="93">
        <f>IF(SUM(H$72:H82)&gt;=H$58,0,H$58/H$62)</f>
        <v>0</v>
      </c>
      <c r="I83" s="93">
        <f>IF(SUM(I$72:I82)&gt;=I$58,0,I$58/I$62)</f>
        <v>0</v>
      </c>
      <c r="J83" s="93">
        <f>IF(SUM(J$72:J82)&gt;=J$58,0,J$58/J$62)</f>
        <v>0</v>
      </c>
      <c r="K83" s="93">
        <f>IF(SUM(K$72:K82)&gt;=K$58,0,K$58/K$62)</f>
        <v>0</v>
      </c>
      <c r="L83" s="93">
        <f>IF(SUM(L$72:L82)&gt;=L$58,0,L$58/L$62)</f>
        <v>0</v>
      </c>
      <c r="M83" s="93">
        <f>IF(SUM(M$72:M82)&gt;=M$58,0,M$58/M$62)</f>
        <v>0</v>
      </c>
      <c r="N83" s="133">
        <f>IF(SUM(N$72:N82)&gt;=N$58,0,N$58/N$62)</f>
        <v>0</v>
      </c>
      <c r="O83" s="133">
        <f>IF(SUM(O$72:O82)&gt;=O$58,0,O$58/O$62)</f>
        <v>0</v>
      </c>
      <c r="P83" s="133">
        <f>IF(SUM(P$72:P82)&gt;=P$58,0,P$58/P$62)</f>
        <v>0</v>
      </c>
      <c r="Q83" s="133">
        <f t="shared" si="70"/>
        <v>0</v>
      </c>
      <c r="R83" s="133">
        <f t="shared" si="70"/>
        <v>0</v>
      </c>
      <c r="S83" s="133">
        <f t="shared" si="69"/>
        <v>0</v>
      </c>
      <c r="T83" s="133">
        <f t="shared" si="69"/>
        <v>0</v>
      </c>
      <c r="U83" s="133">
        <f t="shared" si="69"/>
        <v>0</v>
      </c>
      <c r="V83" s="133">
        <f t="shared" si="69"/>
        <v>0</v>
      </c>
      <c r="W83" s="133">
        <f t="shared" si="65"/>
        <v>0</v>
      </c>
      <c r="X83" s="133">
        <f t="shared" si="66"/>
        <v>0</v>
      </c>
      <c r="Y83" s="133">
        <f t="shared" si="67"/>
        <v>0</v>
      </c>
      <c r="Z83" s="133">
        <f t="shared" si="67"/>
        <v>0</v>
      </c>
      <c r="AA83" s="133">
        <f t="shared" si="67"/>
        <v>0</v>
      </c>
      <c r="AB83" s="133">
        <f t="shared" si="67"/>
        <v>0</v>
      </c>
      <c r="AC83" s="134"/>
      <c r="AD83" s="134"/>
    </row>
    <row r="84" spans="1:30" outlineLevel="1" x14ac:dyDescent="0.2">
      <c r="A84" s="22"/>
      <c r="B84" s="138" t="s">
        <v>419</v>
      </c>
      <c r="C84" s="93">
        <f>IF(SUM(C$72:C83)&gt;=C$58,0,C$58/C$62)</f>
        <v>0</v>
      </c>
      <c r="D84" s="93">
        <f>IF(SUM(D$72:D83)&gt;=D$58,0,D$58/D$62)</f>
        <v>0</v>
      </c>
      <c r="E84" s="93">
        <f>IF(SUM(E$72:E83)&gt;=E$58,0,E$58/E$62)</f>
        <v>0</v>
      </c>
      <c r="F84" s="93">
        <f>IF(SUM(F$72:F83)&gt;=F$58,0,F$58/F$62)</f>
        <v>0</v>
      </c>
      <c r="G84" s="93">
        <f>IF(SUM(G$72:G83)&gt;=G$58,0,G$58/G$62)</f>
        <v>0</v>
      </c>
      <c r="H84" s="93">
        <f>IF(SUM(H$72:H83)&gt;=H$58,0,H$58/H$62)</f>
        <v>0</v>
      </c>
      <c r="I84" s="93">
        <f>IF(SUM(I$72:I83)&gt;=I$58,0,I$58/I$62)</f>
        <v>0</v>
      </c>
      <c r="J84" s="93">
        <f>IF(SUM(J$72:J83)&gt;=J$58,0,J$58/J$62)</f>
        <v>0</v>
      </c>
      <c r="K84" s="93">
        <f>IF(SUM(K$72:K83)&gt;=K$58,0,K$58/K$62)</f>
        <v>0</v>
      </c>
      <c r="L84" s="93">
        <f>IF(SUM(L$72:L83)&gt;=L$58,0,L$58/L$62)</f>
        <v>0</v>
      </c>
      <c r="M84" s="93">
        <f>IF(SUM(M$72:M83)&gt;=M$58,0,M$58/M$62)</f>
        <v>0</v>
      </c>
      <c r="N84" s="133">
        <f>IF(SUM(N$72:N83)&gt;=N$58,0,N$58/N$62)</f>
        <v>0</v>
      </c>
      <c r="O84" s="133">
        <f>IF(SUM(O$72:O83)&gt;=O$58,0,O$58/O$62)</f>
        <v>0</v>
      </c>
      <c r="P84" s="133">
        <f>IF(SUM(P$72:P83)&gt;=P$58,0,P$58/P$62)</f>
        <v>0</v>
      </c>
      <c r="Q84" s="133">
        <f t="shared" si="70"/>
        <v>0</v>
      </c>
      <c r="R84" s="133">
        <f t="shared" si="70"/>
        <v>0</v>
      </c>
      <c r="S84" s="133">
        <f t="shared" si="69"/>
        <v>0</v>
      </c>
      <c r="T84" s="133">
        <f t="shared" si="69"/>
        <v>0</v>
      </c>
      <c r="U84" s="133">
        <f t="shared" si="69"/>
        <v>0</v>
      </c>
      <c r="V84" s="133">
        <f t="shared" si="69"/>
        <v>0</v>
      </c>
      <c r="W84" s="133">
        <f t="shared" si="65"/>
        <v>0</v>
      </c>
      <c r="X84" s="133">
        <f t="shared" si="66"/>
        <v>0</v>
      </c>
      <c r="Y84" s="133">
        <f t="shared" si="67"/>
        <v>0</v>
      </c>
      <c r="Z84" s="133">
        <f t="shared" si="67"/>
        <v>0</v>
      </c>
      <c r="AA84" s="133">
        <f t="shared" si="67"/>
        <v>0</v>
      </c>
      <c r="AB84" s="133">
        <f t="shared" si="67"/>
        <v>0</v>
      </c>
      <c r="AC84" s="134"/>
      <c r="AD84" s="134"/>
    </row>
    <row r="85" spans="1:30" outlineLevel="1" x14ac:dyDescent="0.2">
      <c r="A85" s="22"/>
      <c r="B85" s="138" t="s">
        <v>420</v>
      </c>
      <c r="C85" s="93">
        <f>IF(SUM(C$72:C84)&gt;=C$58,0,C$58/C$62)</f>
        <v>0</v>
      </c>
      <c r="D85" s="93">
        <f>IF(SUM(D$72:D84)&gt;=D$58,0,D$58/D$62)</f>
        <v>0</v>
      </c>
      <c r="E85" s="93">
        <f>IF(SUM(E$72:E84)&gt;=E$58,0,E$58/E$62)</f>
        <v>0</v>
      </c>
      <c r="F85" s="93">
        <f>IF(SUM(F$72:F84)&gt;=F$58,0,F$58/F$62)</f>
        <v>0</v>
      </c>
      <c r="G85" s="93">
        <f>IF(SUM(G$72:G84)&gt;=G$58,0,G$58/G$62)</f>
        <v>0</v>
      </c>
      <c r="H85" s="93">
        <f>IF(SUM(H$72:H84)&gt;=H$58,0,H$58/H$62)</f>
        <v>0</v>
      </c>
      <c r="I85" s="93">
        <f>IF(SUM(I$72:I84)&gt;=I$58,0,I$58/I$62)</f>
        <v>0</v>
      </c>
      <c r="J85" s="93">
        <f>IF(SUM(J$72:J84)&gt;=J$58,0,J$58/J$62)</f>
        <v>0</v>
      </c>
      <c r="K85" s="93">
        <f>IF(SUM(K$72:K84)&gt;=K$58,0,K$58/K$62)</f>
        <v>0</v>
      </c>
      <c r="L85" s="93">
        <f>IF(SUM(L$72:L84)&gt;=L$58,0,L$58/L$62)</f>
        <v>0</v>
      </c>
      <c r="M85" s="93">
        <f>IF(SUM(M$72:M84)&gt;=M$58,0,M$58/M$62)</f>
        <v>0</v>
      </c>
      <c r="N85" s="133">
        <f>IF(SUM(N$72:N84)&gt;=N$58,0,N$58/N$62)</f>
        <v>0</v>
      </c>
      <c r="O85" s="133">
        <f>IF(SUM(O$72:O84)&gt;=O$58,0,O$58/O$62)</f>
        <v>0</v>
      </c>
      <c r="P85" s="133">
        <f>IF(SUM(P$72:P84)&gt;=P$58,0,P$58/P$62)</f>
        <v>0</v>
      </c>
      <c r="Q85" s="133">
        <f t="shared" si="70"/>
        <v>0</v>
      </c>
      <c r="R85" s="133">
        <f t="shared" si="70"/>
        <v>0</v>
      </c>
      <c r="S85" s="133">
        <f t="shared" si="69"/>
        <v>0</v>
      </c>
      <c r="T85" s="133">
        <f t="shared" si="69"/>
        <v>0</v>
      </c>
      <c r="U85" s="133">
        <f t="shared" si="69"/>
        <v>0</v>
      </c>
      <c r="V85" s="133">
        <f t="shared" si="69"/>
        <v>0</v>
      </c>
      <c r="W85" s="133">
        <f t="shared" si="65"/>
        <v>0</v>
      </c>
      <c r="X85" s="133">
        <f t="shared" si="66"/>
        <v>0</v>
      </c>
      <c r="Y85" s="133">
        <f t="shared" si="67"/>
        <v>0</v>
      </c>
      <c r="Z85" s="133">
        <f t="shared" si="67"/>
        <v>0</v>
      </c>
      <c r="AA85" s="133">
        <f t="shared" si="67"/>
        <v>0</v>
      </c>
      <c r="AB85" s="133">
        <f t="shared" si="67"/>
        <v>0</v>
      </c>
      <c r="AC85" s="134"/>
      <c r="AD85" s="134"/>
    </row>
    <row r="86" spans="1:30" outlineLevel="1" x14ac:dyDescent="0.2">
      <c r="A86" s="22"/>
      <c r="B86" s="138" t="s">
        <v>421</v>
      </c>
      <c r="C86" s="93">
        <f>IF(SUM(C$72:C85)&gt;=C$58,0,C$58/C$62)</f>
        <v>0</v>
      </c>
      <c r="D86" s="93">
        <f>IF(SUM(D$72:D85)&gt;=D$58,0,D$58/D$62)</f>
        <v>0</v>
      </c>
      <c r="E86" s="93">
        <f>IF(SUM(E$72:E85)&gt;=E$58,0,E$58/E$62)</f>
        <v>0</v>
      </c>
      <c r="F86" s="93">
        <f>IF(SUM(F$72:F85)&gt;=F$58,0,F$58/F$62)</f>
        <v>0</v>
      </c>
      <c r="G86" s="93">
        <f>IF(SUM(G$72:G85)&gt;=G$58,0,G$58/G$62)</f>
        <v>0</v>
      </c>
      <c r="H86" s="93">
        <f>IF(SUM(H$72:H85)&gt;=H$58,0,H$58/H$62)</f>
        <v>0</v>
      </c>
      <c r="I86" s="93">
        <f>IF(SUM(I$72:I85)&gt;=I$58,0,I$58/I$62)</f>
        <v>0</v>
      </c>
      <c r="J86" s="93">
        <f>IF(SUM(J$72:J85)&gt;=J$58,0,J$58/J$62)</f>
        <v>0</v>
      </c>
      <c r="K86" s="93">
        <f>IF(SUM(K$72:K85)&gt;=K$58,0,K$58/K$62)</f>
        <v>0</v>
      </c>
      <c r="L86" s="93">
        <f>IF(SUM(L$72:L85)&gt;=L$58,0,L$58/L$62)</f>
        <v>0</v>
      </c>
      <c r="M86" s="93">
        <f>IF(SUM(M$72:M85)&gt;=M$58,0,M$58/M$62)</f>
        <v>0</v>
      </c>
      <c r="N86" s="133">
        <f>IF(SUM(N$72:N85)&gt;=N$58,0,N$58/N$62)</f>
        <v>0</v>
      </c>
      <c r="O86" s="133">
        <f>IF(SUM(O$72:O85)&gt;=O$58,0,O$58/O$62)</f>
        <v>0</v>
      </c>
      <c r="P86" s="133">
        <f>IF(SUM(P$72:P85)&gt;=P$58,0,P$58/P$62)</f>
        <v>0</v>
      </c>
      <c r="Q86" s="133">
        <f t="shared" si="70"/>
        <v>0</v>
      </c>
      <c r="R86" s="133">
        <f t="shared" si="70"/>
        <v>0</v>
      </c>
      <c r="S86" s="133">
        <f t="shared" ref="S86:V95" si="71">R86*(1+S$54)</f>
        <v>0</v>
      </c>
      <c r="T86" s="133">
        <f t="shared" si="71"/>
        <v>0</v>
      </c>
      <c r="U86" s="133">
        <f t="shared" si="71"/>
        <v>0</v>
      </c>
      <c r="V86" s="133">
        <f t="shared" si="71"/>
        <v>0</v>
      </c>
      <c r="W86" s="133">
        <f t="shared" si="65"/>
        <v>0</v>
      </c>
      <c r="X86" s="133">
        <f t="shared" si="66"/>
        <v>0</v>
      </c>
      <c r="Y86" s="133">
        <f t="shared" si="67"/>
        <v>0</v>
      </c>
      <c r="Z86" s="133">
        <f t="shared" si="67"/>
        <v>0</v>
      </c>
      <c r="AA86" s="133">
        <f t="shared" si="67"/>
        <v>0</v>
      </c>
      <c r="AB86" s="133">
        <f t="shared" si="67"/>
        <v>0</v>
      </c>
      <c r="AC86" s="134"/>
      <c r="AD86" s="134"/>
    </row>
    <row r="87" spans="1:30" outlineLevel="1" x14ac:dyDescent="0.2">
      <c r="A87" s="22"/>
      <c r="B87" s="138" t="s">
        <v>422</v>
      </c>
      <c r="C87" s="93">
        <f>IF(SUM(C$72:C86)&gt;=C$58,0,C$58/C$62)</f>
        <v>0</v>
      </c>
      <c r="D87" s="93">
        <f>IF(SUM(D$72:D86)&gt;=D$58,0,D$58/D$62)</f>
        <v>0</v>
      </c>
      <c r="E87" s="93">
        <f>IF(SUM(E$72:E86)&gt;=E$58,0,E$58/E$62)</f>
        <v>0</v>
      </c>
      <c r="F87" s="93">
        <f>IF(SUM(F$72:F86)&gt;=F$58,0,F$58/F$62)</f>
        <v>0</v>
      </c>
      <c r="G87" s="93">
        <f>IF(SUM(G$72:G86)&gt;=G$58,0,G$58/G$62)</f>
        <v>0</v>
      </c>
      <c r="H87" s="93">
        <f>IF(SUM(H$72:H86)&gt;=H$58,0,H$58/H$62)</f>
        <v>0</v>
      </c>
      <c r="I87" s="93">
        <f>IF(SUM(I$72:I86)&gt;=I$58,0,I$58/I$62)</f>
        <v>0</v>
      </c>
      <c r="J87" s="93">
        <f>IF(SUM(J$72:J86)&gt;=J$58,0,J$58/J$62)</f>
        <v>0</v>
      </c>
      <c r="K87" s="93">
        <f>IF(SUM(K$72:K86)&gt;=K$58,0,K$58/K$62)</f>
        <v>0</v>
      </c>
      <c r="L87" s="93">
        <f>IF(SUM(L$72:L86)&gt;=L$58,0,L$58/L$62)</f>
        <v>0</v>
      </c>
      <c r="M87" s="93">
        <f>IF(SUM(M$72:M86)&gt;=M$58,0,M$58/M$62)</f>
        <v>0</v>
      </c>
      <c r="N87" s="133">
        <f>IF(SUM(N$72:N86)&gt;=N$58,0,N$58/N$62)</f>
        <v>0</v>
      </c>
      <c r="O87" s="133">
        <f>IF(SUM(O$72:O86)&gt;=O$58,0,O$58/O$62)</f>
        <v>0</v>
      </c>
      <c r="P87" s="133">
        <f>IF(SUM(P$72:P86)&gt;=P$58,0,P$58/P$62)</f>
        <v>0</v>
      </c>
      <c r="Q87" s="133">
        <f t="shared" si="70"/>
        <v>0</v>
      </c>
      <c r="R87" s="133">
        <f t="shared" si="70"/>
        <v>0</v>
      </c>
      <c r="S87" s="133">
        <f t="shared" si="71"/>
        <v>0</v>
      </c>
      <c r="T87" s="133">
        <f t="shared" si="71"/>
        <v>0</v>
      </c>
      <c r="U87" s="133">
        <f t="shared" si="71"/>
        <v>0</v>
      </c>
      <c r="V87" s="133">
        <f t="shared" si="71"/>
        <v>0</v>
      </c>
      <c r="W87" s="133">
        <f t="shared" si="65"/>
        <v>0</v>
      </c>
      <c r="X87" s="133">
        <f t="shared" si="66"/>
        <v>0</v>
      </c>
      <c r="Y87" s="133">
        <f t="shared" si="67"/>
        <v>0</v>
      </c>
      <c r="Z87" s="133">
        <f t="shared" si="67"/>
        <v>0</v>
      </c>
      <c r="AA87" s="133">
        <f t="shared" si="67"/>
        <v>0</v>
      </c>
      <c r="AB87" s="133">
        <f t="shared" si="67"/>
        <v>0</v>
      </c>
      <c r="AC87" s="134"/>
      <c r="AD87" s="134"/>
    </row>
    <row r="88" spans="1:30" outlineLevel="1" x14ac:dyDescent="0.2">
      <c r="A88" s="22"/>
      <c r="B88" s="138" t="s">
        <v>423</v>
      </c>
      <c r="C88" s="93">
        <f>IF(SUM(C$72:C87)&gt;=C$58,0,C$58/C$62)</f>
        <v>0</v>
      </c>
      <c r="D88" s="93">
        <f>IF(SUM(D$72:D87)&gt;=D$58,0,D$58/D$62)</f>
        <v>0</v>
      </c>
      <c r="E88" s="93">
        <f>IF(SUM(E$72:E87)&gt;=E$58,0,E$58/E$62)</f>
        <v>0</v>
      </c>
      <c r="F88" s="93">
        <f>IF(SUM(F$72:F87)&gt;=F$58,0,F$58/F$62)</f>
        <v>0</v>
      </c>
      <c r="G88" s="93">
        <f>IF(SUM(G$72:G87)&gt;=G$58,0,G$58/G$62)</f>
        <v>0</v>
      </c>
      <c r="H88" s="93">
        <f>IF(SUM(H$72:H87)&gt;=H$58,0,H$58/H$62)</f>
        <v>0</v>
      </c>
      <c r="I88" s="93">
        <f>IF(SUM(I$72:I87)&gt;=I$58,0,I$58/I$62)</f>
        <v>0</v>
      </c>
      <c r="J88" s="93">
        <f>IF(SUM(J$72:J87)&gt;=J$58,0,J$58/J$62)</f>
        <v>0</v>
      </c>
      <c r="K88" s="93">
        <f>IF(SUM(K$72:K87)&gt;=K$58,0,K$58/K$62)</f>
        <v>0</v>
      </c>
      <c r="L88" s="93">
        <f>IF(SUM(L$72:L87)&gt;=L$58,0,L$58/L$62)</f>
        <v>0</v>
      </c>
      <c r="M88" s="93">
        <f>IF(SUM(M$72:M87)&gt;=M$58,0,M$58/M$62)</f>
        <v>0</v>
      </c>
      <c r="N88" s="133">
        <f>IF(SUM(N$72:N87)&gt;=N$58,0,N$58/N$62)</f>
        <v>0</v>
      </c>
      <c r="O88" s="133">
        <f>IF(SUM(O$72:O87)&gt;=O$58,0,O$58/O$62)</f>
        <v>0</v>
      </c>
      <c r="P88" s="133">
        <f>IF(SUM(P$72:P87)&gt;=P$58,0,P$58/P$62)</f>
        <v>0</v>
      </c>
      <c r="Q88" s="133">
        <f t="shared" si="70"/>
        <v>0</v>
      </c>
      <c r="R88" s="133">
        <f t="shared" si="70"/>
        <v>0</v>
      </c>
      <c r="S88" s="133">
        <f t="shared" si="71"/>
        <v>0</v>
      </c>
      <c r="T88" s="133">
        <f t="shared" si="71"/>
        <v>0</v>
      </c>
      <c r="U88" s="133">
        <f t="shared" si="71"/>
        <v>0</v>
      </c>
      <c r="V88" s="133">
        <f t="shared" si="71"/>
        <v>0</v>
      </c>
      <c r="W88" s="133">
        <f t="shared" si="65"/>
        <v>0</v>
      </c>
      <c r="X88" s="133">
        <f t="shared" si="66"/>
        <v>0</v>
      </c>
      <c r="Y88" s="133">
        <f t="shared" si="67"/>
        <v>0</v>
      </c>
      <c r="Z88" s="133">
        <f t="shared" si="67"/>
        <v>0</v>
      </c>
      <c r="AA88" s="133">
        <f t="shared" si="67"/>
        <v>0</v>
      </c>
      <c r="AB88" s="133">
        <f t="shared" si="67"/>
        <v>0</v>
      </c>
      <c r="AC88" s="134"/>
      <c r="AD88" s="134"/>
    </row>
    <row r="89" spans="1:30" outlineLevel="1" x14ac:dyDescent="0.2">
      <c r="A89" s="22"/>
      <c r="B89" s="138" t="s">
        <v>424</v>
      </c>
      <c r="C89" s="93">
        <f>IF(SUM(C$72:C88)&gt;=C$58,0,C$58/C$62)</f>
        <v>0</v>
      </c>
      <c r="D89" s="93">
        <f>IF(SUM(D$72:D88)&gt;=D$58,0,D$58/D$62)</f>
        <v>0</v>
      </c>
      <c r="E89" s="93">
        <f>IF(SUM(E$72:E88)&gt;=E$58,0,E$58/E$62)</f>
        <v>0</v>
      </c>
      <c r="F89" s="93">
        <f>IF(SUM(F$72:F88)&gt;=F$58,0,F$58/F$62)</f>
        <v>0</v>
      </c>
      <c r="G89" s="93">
        <f>IF(SUM(G$72:G88)&gt;=G$58,0,G$58/G$62)</f>
        <v>0</v>
      </c>
      <c r="H89" s="93">
        <f>IF(SUM(H$72:H88)&gt;=H$58,0,H$58/H$62)</f>
        <v>0</v>
      </c>
      <c r="I89" s="93">
        <f>IF(SUM(I$72:I88)&gt;=I$58,0,I$58/I$62)</f>
        <v>0</v>
      </c>
      <c r="J89" s="93">
        <f>IF(SUM(J$72:J88)&gt;=J$58,0,J$58/J$62)</f>
        <v>0</v>
      </c>
      <c r="K89" s="93">
        <f>IF(SUM(K$72:K88)&gt;=K$58,0,K$58/K$62)</f>
        <v>0</v>
      </c>
      <c r="L89" s="93">
        <f>IF(SUM(L$72:L88)&gt;=L$58,0,L$58/L$62)</f>
        <v>0</v>
      </c>
      <c r="M89" s="93">
        <f>IF(SUM(M$72:M88)&gt;=M$58,0,M$58/M$62)</f>
        <v>0</v>
      </c>
      <c r="N89" s="133">
        <f>IF(SUM(N$72:N88)&gt;=N$58,0,N$58/N$62)</f>
        <v>0</v>
      </c>
      <c r="O89" s="133">
        <f>IF(SUM(O$72:O88)&gt;=O$58,0,O$58/O$62)</f>
        <v>0</v>
      </c>
      <c r="P89" s="133">
        <f>IF(SUM(P$72:P88)&gt;=P$58,0,P$58/P$62)</f>
        <v>0</v>
      </c>
      <c r="Q89" s="133">
        <f t="shared" si="70"/>
        <v>0</v>
      </c>
      <c r="R89" s="133">
        <f t="shared" si="70"/>
        <v>0</v>
      </c>
      <c r="S89" s="133">
        <f t="shared" si="71"/>
        <v>0</v>
      </c>
      <c r="T89" s="133">
        <f t="shared" si="71"/>
        <v>0</v>
      </c>
      <c r="U89" s="133">
        <f t="shared" si="71"/>
        <v>0</v>
      </c>
      <c r="V89" s="133">
        <f t="shared" si="71"/>
        <v>0</v>
      </c>
      <c r="W89" s="133">
        <f t="shared" si="65"/>
        <v>0</v>
      </c>
      <c r="X89" s="133">
        <f t="shared" si="66"/>
        <v>0</v>
      </c>
      <c r="Y89" s="133">
        <f t="shared" si="67"/>
        <v>0</v>
      </c>
      <c r="Z89" s="133">
        <f t="shared" si="67"/>
        <v>0</v>
      </c>
      <c r="AA89" s="133">
        <f t="shared" si="67"/>
        <v>0</v>
      </c>
      <c r="AB89" s="133">
        <f t="shared" si="67"/>
        <v>0</v>
      </c>
      <c r="AC89" s="134"/>
      <c r="AD89" s="134"/>
    </row>
    <row r="90" spans="1:30" outlineLevel="1" x14ac:dyDescent="0.2">
      <c r="A90" s="22"/>
      <c r="B90" s="138" t="s">
        <v>425</v>
      </c>
      <c r="C90" s="93">
        <f>IF(SUM(C$72:C89)&gt;=C$58,0,C$58/C$62)</f>
        <v>0</v>
      </c>
      <c r="D90" s="93">
        <f>IF(SUM(D$72:D89)&gt;=D$58,0,D$58/D$62)</f>
        <v>0</v>
      </c>
      <c r="E90" s="93">
        <f>IF(SUM(E$72:E89)&gt;=E$58,0,E$58/E$62)</f>
        <v>0</v>
      </c>
      <c r="F90" s="93">
        <f>IF(SUM(F$72:F89)&gt;=F$58,0,F$58/F$62)</f>
        <v>0</v>
      </c>
      <c r="G90" s="93">
        <f>IF(SUM(G$72:G89)&gt;=G$58,0,G$58/G$62)</f>
        <v>0</v>
      </c>
      <c r="H90" s="93">
        <f>IF(SUM(H$72:H89)&gt;=H$58,0,H$58/H$62)</f>
        <v>0</v>
      </c>
      <c r="I90" s="93">
        <f>IF(SUM(I$72:I89)&gt;=I$58,0,I$58/I$62)</f>
        <v>0</v>
      </c>
      <c r="J90" s="93">
        <f>IF(SUM(J$72:J89)&gt;=J$58,0,J$58/J$62)</f>
        <v>0</v>
      </c>
      <c r="K90" s="93">
        <f>IF(SUM(K$72:K89)&gt;=K$58,0,K$58/K$62)</f>
        <v>0</v>
      </c>
      <c r="L90" s="93">
        <f>IF(SUM(L$72:L89)&gt;=L$58,0,L$58/L$62)</f>
        <v>0</v>
      </c>
      <c r="M90" s="93">
        <f>IF(SUM(M$72:M89)&gt;=M$58,0,M$58/M$62)</f>
        <v>0</v>
      </c>
      <c r="N90" s="133">
        <f>IF(SUM(N$72:N89)&gt;=N$58,0,N$58/N$62)</f>
        <v>0</v>
      </c>
      <c r="O90" s="133">
        <f>IF(SUM(O$72:O89)&gt;=O$58,0,O$58/O$62)</f>
        <v>0</v>
      </c>
      <c r="P90" s="133">
        <f>IF(SUM(P$72:P89)&gt;=P$58,0,P$58/P$62)</f>
        <v>0</v>
      </c>
      <c r="Q90" s="133">
        <f t="shared" si="70"/>
        <v>0</v>
      </c>
      <c r="R90" s="133">
        <f t="shared" si="70"/>
        <v>0</v>
      </c>
      <c r="S90" s="133">
        <f t="shared" si="71"/>
        <v>0</v>
      </c>
      <c r="T90" s="133">
        <f t="shared" si="71"/>
        <v>0</v>
      </c>
      <c r="U90" s="133">
        <f t="shared" si="71"/>
        <v>0</v>
      </c>
      <c r="V90" s="133">
        <f t="shared" si="71"/>
        <v>0</v>
      </c>
      <c r="W90" s="133">
        <f t="shared" si="65"/>
        <v>0</v>
      </c>
      <c r="X90" s="133">
        <f t="shared" si="66"/>
        <v>0</v>
      </c>
      <c r="Y90" s="133">
        <f t="shared" si="67"/>
        <v>0</v>
      </c>
      <c r="Z90" s="133">
        <f t="shared" si="67"/>
        <v>0</v>
      </c>
      <c r="AA90" s="133">
        <f t="shared" si="67"/>
        <v>0</v>
      </c>
      <c r="AB90" s="133">
        <f t="shared" si="67"/>
        <v>0</v>
      </c>
      <c r="AC90" s="134"/>
      <c r="AD90" s="134"/>
    </row>
    <row r="91" spans="1:30" outlineLevel="1" x14ac:dyDescent="0.2">
      <c r="A91" s="22"/>
      <c r="B91" s="138" t="s">
        <v>426</v>
      </c>
      <c r="C91" s="93">
        <f>IF(SUM(C$72:C90)&gt;=C$58,0,C$58/C$62)</f>
        <v>0</v>
      </c>
      <c r="D91" s="93">
        <f>IF(SUM(D$72:D90)&gt;=D$58,0,D$58/D$62)</f>
        <v>0</v>
      </c>
      <c r="E91" s="93">
        <f>IF(SUM(E$72:E90)&gt;=E$58,0,E$58/E$62)</f>
        <v>0</v>
      </c>
      <c r="F91" s="93">
        <f>IF(SUM(F$72:F90)&gt;=F$58,0,F$58/F$62)</f>
        <v>0</v>
      </c>
      <c r="G91" s="93">
        <f>IF(SUM(G$72:G90)&gt;=G$58,0,G$58/G$62)</f>
        <v>0</v>
      </c>
      <c r="H91" s="93">
        <f>IF(SUM(H$72:H90)&gt;=H$58,0,H$58/H$62)</f>
        <v>0</v>
      </c>
      <c r="I91" s="93">
        <f>IF(SUM(I$72:I90)&gt;=I$58,0,I$58/I$62)</f>
        <v>0</v>
      </c>
      <c r="J91" s="93">
        <f>IF(SUM(J$72:J90)&gt;=J$58,0,J$58/J$62)</f>
        <v>0</v>
      </c>
      <c r="K91" s="93">
        <f>IF(SUM(K$72:K90)&gt;=K$58,0,K$58/K$62)</f>
        <v>0</v>
      </c>
      <c r="L91" s="93">
        <f>IF(SUM(L$72:L90)&gt;=L$58,0,L$58/L$62)</f>
        <v>0</v>
      </c>
      <c r="M91" s="93">
        <f>IF(SUM(M$72:M90)&gt;=M$58,0,M$58/M$62)</f>
        <v>0</v>
      </c>
      <c r="N91" s="133">
        <f>IF(SUM(N$72:N90)&gt;=N$58,0,N$58/N$62)</f>
        <v>0</v>
      </c>
      <c r="O91" s="133">
        <f>IF(SUM(O$72:O90)&gt;=O$58,0,O$58/O$62)</f>
        <v>0</v>
      </c>
      <c r="P91" s="133">
        <f>IF(SUM(P$72:P90)&gt;=P$58,0,P$58/P$62)</f>
        <v>0</v>
      </c>
      <c r="Q91" s="133">
        <f t="shared" si="70"/>
        <v>0</v>
      </c>
      <c r="R91" s="133">
        <f t="shared" si="70"/>
        <v>0</v>
      </c>
      <c r="S91" s="133">
        <f t="shared" si="71"/>
        <v>0</v>
      </c>
      <c r="T91" s="133">
        <f t="shared" si="71"/>
        <v>0</v>
      </c>
      <c r="U91" s="133">
        <f t="shared" si="71"/>
        <v>0</v>
      </c>
      <c r="V91" s="133">
        <f t="shared" si="71"/>
        <v>0</v>
      </c>
      <c r="W91" s="133">
        <f t="shared" si="65"/>
        <v>0</v>
      </c>
      <c r="X91" s="133">
        <f t="shared" si="66"/>
        <v>0</v>
      </c>
      <c r="Y91" s="133">
        <f t="shared" si="67"/>
        <v>0</v>
      </c>
      <c r="Z91" s="133">
        <f t="shared" si="67"/>
        <v>0</v>
      </c>
      <c r="AA91" s="133">
        <f t="shared" si="67"/>
        <v>0</v>
      </c>
      <c r="AB91" s="133">
        <f t="shared" si="67"/>
        <v>0</v>
      </c>
      <c r="AC91" s="134"/>
      <c r="AD91" s="134"/>
    </row>
    <row r="92" spans="1:30" outlineLevel="1" x14ac:dyDescent="0.2">
      <c r="A92" s="22"/>
      <c r="B92" s="138" t="s">
        <v>427</v>
      </c>
      <c r="C92" s="93">
        <f>IF(SUM(C$72:C91)&gt;=C$58,0,C$58/C$62)</f>
        <v>0</v>
      </c>
      <c r="D92" s="93">
        <f>IF(SUM(D$72:D91)&gt;=D$58,0,D$58/D$62)</f>
        <v>0</v>
      </c>
      <c r="E92" s="93">
        <f>IF(SUM(E$72:E91)&gt;=E$58,0,E$58/E$62)</f>
        <v>0</v>
      </c>
      <c r="F92" s="93">
        <f>IF(SUM(F$72:F91)&gt;=F$58,0,F$58/F$62)</f>
        <v>0</v>
      </c>
      <c r="G92" s="93">
        <f>IF(SUM(G$72:G91)&gt;=G$58,0,G$58/G$62)</f>
        <v>0</v>
      </c>
      <c r="H92" s="93">
        <f>IF(SUM(H$72:H91)&gt;=H$58,0,H$58/H$62)</f>
        <v>0</v>
      </c>
      <c r="I92" s="93">
        <f>IF(SUM(I$72:I91)&gt;=I$58,0,I$58/I$62)</f>
        <v>0</v>
      </c>
      <c r="J92" s="93">
        <f>IF(SUM(J$72:J91)&gt;=J$58,0,J$58/J$62)</f>
        <v>0</v>
      </c>
      <c r="K92" s="93">
        <f>IF(SUM(K$72:K91)&gt;=K$58,0,K$58/K$62)</f>
        <v>0</v>
      </c>
      <c r="L92" s="93">
        <f>IF(SUM(L$72:L91)&gt;=L$58,0,L$58/L$62)</f>
        <v>0</v>
      </c>
      <c r="M92" s="93">
        <f>IF(SUM(M$72:M91)&gt;=M$58,0,M$58/M$62)</f>
        <v>0</v>
      </c>
      <c r="N92" s="133">
        <f>IF(SUM(N$72:N91)&gt;=N$58,0,N$58/N$62)</f>
        <v>0</v>
      </c>
      <c r="O92" s="133">
        <f>IF(SUM(O$72:O91)&gt;=O$58,0,O$58/O$62)</f>
        <v>0</v>
      </c>
      <c r="P92" s="133">
        <f>IF(SUM(P$72:P91)&gt;=P$58,0,P$58/P$62)</f>
        <v>0</v>
      </c>
      <c r="Q92" s="133">
        <f t="shared" si="70"/>
        <v>0</v>
      </c>
      <c r="R92" s="133">
        <f t="shared" si="70"/>
        <v>0</v>
      </c>
      <c r="S92" s="133">
        <f t="shared" si="71"/>
        <v>0</v>
      </c>
      <c r="T92" s="133">
        <f t="shared" si="71"/>
        <v>0</v>
      </c>
      <c r="U92" s="133">
        <f t="shared" si="71"/>
        <v>0</v>
      </c>
      <c r="V92" s="133">
        <f t="shared" si="71"/>
        <v>0</v>
      </c>
      <c r="W92" s="133">
        <f t="shared" si="65"/>
        <v>0</v>
      </c>
      <c r="X92" s="133">
        <f t="shared" si="66"/>
        <v>0</v>
      </c>
      <c r="Y92" s="133">
        <f t="shared" si="67"/>
        <v>0</v>
      </c>
      <c r="Z92" s="133">
        <f t="shared" si="67"/>
        <v>0</v>
      </c>
      <c r="AA92" s="133">
        <f t="shared" si="67"/>
        <v>0</v>
      </c>
      <c r="AB92" s="133">
        <f t="shared" si="67"/>
        <v>0</v>
      </c>
      <c r="AC92" s="134"/>
      <c r="AD92" s="134"/>
    </row>
    <row r="93" spans="1:30" outlineLevel="1" x14ac:dyDescent="0.2">
      <c r="A93" s="22"/>
      <c r="B93" s="138" t="s">
        <v>428</v>
      </c>
      <c r="C93" s="93">
        <f>IF(SUM(C$72:C92)&gt;=C$58,0,C$58/C$62)</f>
        <v>0</v>
      </c>
      <c r="D93" s="93">
        <f>IF(SUM(D$72:D92)&gt;=D$58,0,D$58/D$62)</f>
        <v>0</v>
      </c>
      <c r="E93" s="93">
        <f>IF(SUM(E$72:E92)&gt;=E$58,0,E$58/E$62)</f>
        <v>0</v>
      </c>
      <c r="F93" s="93">
        <f>IF(SUM(F$72:F92)&gt;=F$58,0,F$58/F$62)</f>
        <v>0</v>
      </c>
      <c r="G93" s="93">
        <f>IF(SUM(G$72:G92)&gt;=G$58,0,G$58/G$62)</f>
        <v>0</v>
      </c>
      <c r="H93" s="93">
        <f>IF(SUM(H$72:H92)&gt;=H$58,0,H$58/H$62)</f>
        <v>0</v>
      </c>
      <c r="I93" s="93">
        <f>IF(SUM(I$72:I92)&gt;=I$58,0,I$58/I$62)</f>
        <v>0</v>
      </c>
      <c r="J93" s="93">
        <f>IF(SUM(J$72:J92)&gt;=J$58,0,J$58/J$62)</f>
        <v>0</v>
      </c>
      <c r="K93" s="93">
        <f>IF(SUM(K$72:K92)&gt;=K$58,0,K$58/K$62)</f>
        <v>0</v>
      </c>
      <c r="L93" s="93">
        <f>IF(SUM(L$72:L92)&gt;=L$58,0,L$58/L$62)</f>
        <v>0</v>
      </c>
      <c r="M93" s="93">
        <f>IF(SUM(M$72:M92)&gt;=M$58,0,M$58/M$62)</f>
        <v>0</v>
      </c>
      <c r="N93" s="133">
        <f>IF(SUM(N$72:N92)&gt;=N$58,0,N$58/N$62)</f>
        <v>0</v>
      </c>
      <c r="O93" s="133">
        <f>IF(SUM(O$72:O92)&gt;=O$58,0,O$58/O$62)</f>
        <v>0</v>
      </c>
      <c r="P93" s="133">
        <f>IF(SUM(P$72:P92)&gt;=P$58,0,P$58/P$62)</f>
        <v>0</v>
      </c>
      <c r="Q93" s="133">
        <f t="shared" si="70"/>
        <v>0</v>
      </c>
      <c r="R93" s="133">
        <f t="shared" si="70"/>
        <v>0</v>
      </c>
      <c r="S93" s="133">
        <f t="shared" si="71"/>
        <v>0</v>
      </c>
      <c r="T93" s="133">
        <f t="shared" si="71"/>
        <v>0</v>
      </c>
      <c r="U93" s="133">
        <f t="shared" si="71"/>
        <v>0</v>
      </c>
      <c r="V93" s="133">
        <f t="shared" si="71"/>
        <v>0</v>
      </c>
      <c r="W93" s="133">
        <f t="shared" si="65"/>
        <v>0</v>
      </c>
      <c r="X93" s="133">
        <f t="shared" si="66"/>
        <v>0</v>
      </c>
      <c r="Y93" s="133">
        <f t="shared" si="67"/>
        <v>0</v>
      </c>
      <c r="Z93" s="133">
        <f t="shared" si="67"/>
        <v>0</v>
      </c>
      <c r="AA93" s="133">
        <f t="shared" si="67"/>
        <v>0</v>
      </c>
      <c r="AB93" s="133">
        <f t="shared" si="67"/>
        <v>0</v>
      </c>
      <c r="AC93" s="134"/>
      <c r="AD93" s="134"/>
    </row>
    <row r="94" spans="1:30" outlineLevel="1" x14ac:dyDescent="0.2">
      <c r="A94" s="22"/>
      <c r="B94" s="138" t="s">
        <v>429</v>
      </c>
      <c r="C94" s="93">
        <f>IF(SUM(C$72:C93)&gt;=C$58,0,C$58/C$62)</f>
        <v>0</v>
      </c>
      <c r="D94" s="93">
        <f>IF(SUM(D$72:D93)&gt;=D$58,0,D$58/D$62)</f>
        <v>0</v>
      </c>
      <c r="E94" s="93">
        <f>IF(SUM(E$72:E93)&gt;=E$58,0,E$58/E$62)</f>
        <v>0</v>
      </c>
      <c r="F94" s="93">
        <f>IF(SUM(F$72:F93)&gt;=F$58,0,F$58/F$62)</f>
        <v>0</v>
      </c>
      <c r="G94" s="93">
        <f>IF(SUM(G$72:G93)&gt;=G$58,0,G$58/G$62)</f>
        <v>0</v>
      </c>
      <c r="H94" s="93">
        <f>IF(SUM(H$72:H93)&gt;=H$58,0,H$58/H$62)</f>
        <v>0</v>
      </c>
      <c r="I94" s="93">
        <f>IF(SUM(I$72:I93)&gt;=I$58,0,I$58/I$62)</f>
        <v>0</v>
      </c>
      <c r="J94" s="93">
        <f>IF(SUM(J$72:J93)&gt;=J$58,0,J$58/J$62)</f>
        <v>0</v>
      </c>
      <c r="K94" s="93">
        <f>IF(SUM(K$72:K93)&gt;=K$58,0,K$58/K$62)</f>
        <v>0</v>
      </c>
      <c r="L94" s="93">
        <f>IF(SUM(L$72:L93)&gt;=L$58,0,L$58/L$62)</f>
        <v>0</v>
      </c>
      <c r="M94" s="93">
        <f>IF(SUM(M$72:M93)&gt;=M$58,0,M$58/M$62)</f>
        <v>0</v>
      </c>
      <c r="N94" s="133">
        <f>IF(SUM(N$72:N93)&gt;=N$58,0,N$58/N$62)</f>
        <v>0</v>
      </c>
      <c r="O94" s="133">
        <f>IF(SUM(O$72:O93)&gt;=O$58,0,O$58/O$62)</f>
        <v>0</v>
      </c>
      <c r="P94" s="133">
        <f>IF(SUM(P$72:P93)&gt;=P$58,0,P$58/P$62)</f>
        <v>0</v>
      </c>
      <c r="Q94" s="133">
        <f t="shared" si="70"/>
        <v>0</v>
      </c>
      <c r="R94" s="133">
        <f t="shared" si="70"/>
        <v>0</v>
      </c>
      <c r="S94" s="133">
        <f t="shared" si="71"/>
        <v>0</v>
      </c>
      <c r="T94" s="133">
        <f t="shared" si="71"/>
        <v>0</v>
      </c>
      <c r="U94" s="133">
        <f t="shared" si="71"/>
        <v>0</v>
      </c>
      <c r="V94" s="133">
        <f t="shared" si="71"/>
        <v>0</v>
      </c>
      <c r="W94" s="133">
        <f t="shared" si="65"/>
        <v>0</v>
      </c>
      <c r="X94" s="133">
        <f t="shared" si="66"/>
        <v>0</v>
      </c>
      <c r="Y94" s="133">
        <f t="shared" si="67"/>
        <v>0</v>
      </c>
      <c r="Z94" s="133">
        <f t="shared" si="67"/>
        <v>0</v>
      </c>
      <c r="AA94" s="133">
        <f t="shared" si="67"/>
        <v>0</v>
      </c>
      <c r="AB94" s="133">
        <f t="shared" si="67"/>
        <v>0</v>
      </c>
      <c r="AC94" s="134"/>
      <c r="AD94" s="134"/>
    </row>
    <row r="95" spans="1:30" outlineLevel="1" x14ac:dyDescent="0.2">
      <c r="A95" s="22"/>
      <c r="B95" s="138" t="s">
        <v>430</v>
      </c>
      <c r="C95" s="93">
        <f>IF(SUM(C$72:C94)&gt;=C$58,0,C$58/C$62)</f>
        <v>0</v>
      </c>
      <c r="D95" s="93">
        <f>IF(SUM(D$72:D94)&gt;=D$58,0,D$58/D$62)</f>
        <v>0</v>
      </c>
      <c r="E95" s="93">
        <f>IF(SUM(E$72:E94)&gt;=E$58,0,E$58/E$62)</f>
        <v>0</v>
      </c>
      <c r="F95" s="93">
        <f>IF(SUM(F$72:F94)&gt;=F$58,0,F$58/F$62)</f>
        <v>0</v>
      </c>
      <c r="G95" s="93">
        <f>IF(SUM(G$72:G94)&gt;=G$58,0,G$58/G$62)</f>
        <v>0</v>
      </c>
      <c r="H95" s="93">
        <f>IF(SUM(H$72:H94)&gt;=H$58,0,H$58/H$62)</f>
        <v>0</v>
      </c>
      <c r="I95" s="93">
        <f>IF(SUM(I$72:I94)&gt;=I$58,0,I$58/I$62)</f>
        <v>0</v>
      </c>
      <c r="J95" s="93">
        <f>IF(SUM(J$72:J94)&gt;=J$58,0,J$58/J$62)</f>
        <v>0</v>
      </c>
      <c r="K95" s="93">
        <f>IF(SUM(K$72:K94)&gt;=K$58,0,K$58/K$62)</f>
        <v>0</v>
      </c>
      <c r="L95" s="93">
        <f>IF(SUM(L$72:L94)&gt;=L$58,0,L$58/L$62)</f>
        <v>0</v>
      </c>
      <c r="M95" s="93">
        <f>IF(SUM(M$72:M94)&gt;=M$58,0,M$58/M$62)</f>
        <v>0</v>
      </c>
      <c r="N95" s="133">
        <f>IF(SUM(N$72:N94)&gt;=N$58,0,N$58/N$62)</f>
        <v>0</v>
      </c>
      <c r="O95" s="133">
        <f>IF(SUM(O$72:O94)&gt;=O$58,0,O$58/O$62)</f>
        <v>0</v>
      </c>
      <c r="P95" s="133">
        <f>IF(SUM(P$72:P94)&gt;=P$58,0,P$58/P$62)</f>
        <v>0</v>
      </c>
      <c r="Q95" s="133">
        <f t="shared" si="70"/>
        <v>0</v>
      </c>
      <c r="R95" s="133">
        <f t="shared" si="70"/>
        <v>0</v>
      </c>
      <c r="S95" s="133">
        <f t="shared" si="71"/>
        <v>0</v>
      </c>
      <c r="T95" s="133">
        <f t="shared" si="71"/>
        <v>0</v>
      </c>
      <c r="U95" s="133">
        <f t="shared" si="71"/>
        <v>0</v>
      </c>
      <c r="V95" s="133">
        <f t="shared" si="71"/>
        <v>0</v>
      </c>
      <c r="W95" s="133">
        <f t="shared" si="65"/>
        <v>0</v>
      </c>
      <c r="X95" s="133">
        <f t="shared" si="66"/>
        <v>0</v>
      </c>
      <c r="Y95" s="133">
        <f t="shared" si="67"/>
        <v>0</v>
      </c>
      <c r="Z95" s="133">
        <f t="shared" si="67"/>
        <v>0</v>
      </c>
      <c r="AA95" s="133">
        <f t="shared" si="67"/>
        <v>0</v>
      </c>
      <c r="AB95" s="133">
        <f t="shared" si="67"/>
        <v>0</v>
      </c>
      <c r="AC95" s="134"/>
      <c r="AD95" s="134"/>
    </row>
    <row r="96" spans="1:30" outlineLevel="1" x14ac:dyDescent="0.2">
      <c r="A96" s="22"/>
      <c r="B96" s="138" t="s">
        <v>431</v>
      </c>
      <c r="C96" s="93">
        <f>IF(SUM(C$72:C95)&gt;=C$58,0,C$58/C$62)</f>
        <v>0</v>
      </c>
      <c r="D96" s="93">
        <f>IF(SUM(D$72:D95)&gt;=D$58,0,D$58/D$62)</f>
        <v>0</v>
      </c>
      <c r="E96" s="93">
        <f>IF(SUM(E$72:E95)&gt;=E$58,0,E$58/E$62)</f>
        <v>0</v>
      </c>
      <c r="F96" s="93">
        <f>IF(SUM(F$72:F95)&gt;=F$58,0,F$58/F$62)</f>
        <v>0</v>
      </c>
      <c r="G96" s="93">
        <f>IF(SUM(G$72:G95)&gt;=G$58,0,G$58/G$62)</f>
        <v>0</v>
      </c>
      <c r="H96" s="93">
        <f>IF(SUM(H$72:H95)&gt;=H$58,0,H$58/H$62)</f>
        <v>0</v>
      </c>
      <c r="I96" s="93">
        <f>IF(SUM(I$72:I95)&gt;=I$58,0,I$58/I$62)</f>
        <v>0</v>
      </c>
      <c r="J96" s="93">
        <f>IF(SUM(J$72:J95)&gt;=J$58,0,J$58/J$62)</f>
        <v>0</v>
      </c>
      <c r="K96" s="93">
        <f>IF(SUM(K$72:K95)&gt;=K$58,0,K$58/K$62)</f>
        <v>0</v>
      </c>
      <c r="L96" s="93">
        <f>IF(SUM(L$72:L95)&gt;=L$58,0,L$58/L$62)</f>
        <v>0</v>
      </c>
      <c r="M96" s="93">
        <f>IF(SUM(M$72:M95)&gt;=M$58,0,M$58/M$62)</f>
        <v>0</v>
      </c>
      <c r="N96" s="133">
        <f>IF(SUM(N$72:N95)&gt;=N$58,0,N$58/N$62)</f>
        <v>0</v>
      </c>
      <c r="O96" s="133">
        <f>IF(SUM(O$72:O95)&gt;=O$58,0,O$58/O$62)</f>
        <v>0</v>
      </c>
      <c r="P96" s="133">
        <f>IF(SUM(P$72:P95)&gt;=P$58,0,P$58/P$62)</f>
        <v>0</v>
      </c>
      <c r="Q96" s="133">
        <f t="shared" si="70"/>
        <v>0</v>
      </c>
      <c r="R96" s="133">
        <f t="shared" si="70"/>
        <v>0</v>
      </c>
      <c r="S96" s="133">
        <f>R96*(1+S$54)</f>
        <v>0</v>
      </c>
      <c r="T96" s="133">
        <f>S96*(1+T$54)</f>
        <v>0</v>
      </c>
      <c r="U96" s="133">
        <f>T96*(1+U$54)</f>
        <v>0</v>
      </c>
      <c r="V96" s="133">
        <f>U96*(1+V$54)</f>
        <v>0</v>
      </c>
      <c r="W96" s="133">
        <f t="shared" si="65"/>
        <v>0</v>
      </c>
      <c r="X96" s="133">
        <f t="shared" si="66"/>
        <v>0</v>
      </c>
      <c r="Y96" s="133">
        <f t="shared" si="67"/>
        <v>0</v>
      </c>
      <c r="Z96" s="133">
        <f t="shared" si="67"/>
        <v>0</v>
      </c>
      <c r="AA96" s="133">
        <f t="shared" si="67"/>
        <v>0</v>
      </c>
      <c r="AB96" s="133">
        <f t="shared" si="67"/>
        <v>0</v>
      </c>
      <c r="AC96" s="134"/>
      <c r="AD96" s="134"/>
    </row>
    <row r="97" spans="1:30" ht="11.45" customHeight="1" x14ac:dyDescent="0.2">
      <c r="A97" s="139"/>
      <c r="B97" s="140" t="s">
        <v>432</v>
      </c>
      <c r="C97" s="135"/>
      <c r="D97" s="135"/>
      <c r="E97" s="135"/>
      <c r="F97" s="135"/>
      <c r="G97" s="135"/>
      <c r="H97" s="135"/>
      <c r="I97" s="135"/>
      <c r="J97" s="135"/>
      <c r="K97" s="135"/>
      <c r="L97" s="135"/>
      <c r="M97" s="135"/>
      <c r="N97" s="135"/>
      <c r="O97" s="135"/>
      <c r="P97" s="141"/>
      <c r="Q97" s="141"/>
      <c r="R97" s="141"/>
      <c r="S97" s="142"/>
      <c r="T97" s="142"/>
      <c r="U97" s="142"/>
      <c r="V97" s="142"/>
      <c r="W97" s="142"/>
      <c r="X97" s="142"/>
      <c r="Y97" s="142"/>
      <c r="Z97" s="142"/>
      <c r="AA97" s="142"/>
      <c r="AB97" s="142"/>
      <c r="AC97" s="134"/>
      <c r="AD97" s="134"/>
    </row>
    <row r="98" spans="1:30" ht="11.45" customHeight="1" x14ac:dyDescent="0.2">
      <c r="A98" s="139"/>
      <c r="B98" s="140"/>
      <c r="C98" s="135"/>
      <c r="D98" s="135"/>
      <c r="E98" s="135"/>
      <c r="F98" s="135"/>
      <c r="G98" s="135"/>
      <c r="H98" s="135"/>
      <c r="I98" s="135"/>
      <c r="J98" s="135"/>
      <c r="K98" s="135"/>
      <c r="L98" s="135"/>
      <c r="M98" s="135"/>
      <c r="N98" s="135"/>
      <c r="O98" s="135"/>
      <c r="P98" s="141"/>
      <c r="Q98" s="141"/>
      <c r="R98" s="141"/>
      <c r="S98" s="142"/>
      <c r="T98" s="142"/>
      <c r="U98" s="142"/>
      <c r="V98" s="142"/>
      <c r="W98" s="142"/>
      <c r="X98" s="142"/>
      <c r="Y98" s="142"/>
      <c r="Z98" s="142"/>
      <c r="AA98" s="142"/>
      <c r="AB98" s="142"/>
      <c r="AC98" s="134"/>
      <c r="AD98" s="134"/>
    </row>
    <row r="99" spans="1:30" outlineLevel="1" x14ac:dyDescent="0.2">
      <c r="A99" s="139"/>
      <c r="B99" s="143"/>
      <c r="C99" s="144" t="s">
        <v>433</v>
      </c>
      <c r="D99" s="145"/>
      <c r="E99" s="145"/>
      <c r="F99" s="145"/>
      <c r="G99" s="145"/>
      <c r="H99" s="145"/>
      <c r="I99" s="145"/>
      <c r="J99" s="145"/>
      <c r="K99" s="145"/>
      <c r="L99" s="145"/>
      <c r="M99" s="145"/>
      <c r="N99" s="145"/>
      <c r="O99" s="145"/>
      <c r="P99" s="145"/>
      <c r="Q99" s="146"/>
      <c r="R99" s="146"/>
      <c r="S99" s="146"/>
      <c r="T99" s="146"/>
      <c r="U99" s="146"/>
      <c r="V99" s="146"/>
      <c r="W99" s="146"/>
      <c r="X99" s="146"/>
      <c r="Y99" s="146"/>
      <c r="Z99" s="146"/>
      <c r="AA99" s="146"/>
      <c r="AB99" s="146"/>
      <c r="AC99" s="134"/>
      <c r="AD99" s="134"/>
    </row>
    <row r="100" spans="1:30" ht="29.45" customHeight="1" outlineLevel="1" x14ac:dyDescent="0.2">
      <c r="A100" s="147" t="s">
        <v>434</v>
      </c>
      <c r="B100" s="51" t="s">
        <v>435</v>
      </c>
      <c r="C100" s="29">
        <f t="shared" ref="C100:I100" si="72">D100-1</f>
        <v>1996</v>
      </c>
      <c r="D100" s="29">
        <f t="shared" si="72"/>
        <v>1997</v>
      </c>
      <c r="E100" s="29">
        <f t="shared" si="72"/>
        <v>1998</v>
      </c>
      <c r="F100" s="29">
        <f t="shared" si="72"/>
        <v>1999</v>
      </c>
      <c r="G100" s="29">
        <f t="shared" si="72"/>
        <v>2000</v>
      </c>
      <c r="H100" s="29">
        <f t="shared" si="72"/>
        <v>2001</v>
      </c>
      <c r="I100" s="29">
        <f t="shared" si="72"/>
        <v>2002</v>
      </c>
      <c r="J100" s="29">
        <v>2003</v>
      </c>
      <c r="K100" s="29">
        <v>2004</v>
      </c>
      <c r="L100" s="29">
        <f t="shared" ref="L100:V100" si="73">K100+1</f>
        <v>2005</v>
      </c>
      <c r="M100" s="29">
        <f t="shared" si="73"/>
        <v>2006</v>
      </c>
      <c r="N100" s="29">
        <f t="shared" si="73"/>
        <v>2007</v>
      </c>
      <c r="O100" s="29">
        <f t="shared" si="73"/>
        <v>2008</v>
      </c>
      <c r="P100" s="29">
        <f t="shared" si="73"/>
        <v>2009</v>
      </c>
      <c r="Q100" s="29">
        <f t="shared" si="73"/>
        <v>2010</v>
      </c>
      <c r="R100" s="29">
        <f t="shared" si="73"/>
        <v>2011</v>
      </c>
      <c r="S100" s="30">
        <f t="shared" si="73"/>
        <v>2012</v>
      </c>
      <c r="T100" s="30">
        <f t="shared" si="73"/>
        <v>2013</v>
      </c>
      <c r="U100" s="30">
        <f t="shared" si="73"/>
        <v>2014</v>
      </c>
      <c r="V100" s="30">
        <f t="shared" si="73"/>
        <v>2015</v>
      </c>
      <c r="W100" s="30">
        <f t="shared" ref="W100:AB100" si="74">V100+1</f>
        <v>2016</v>
      </c>
      <c r="X100" s="30">
        <f t="shared" si="74"/>
        <v>2017</v>
      </c>
      <c r="Y100" s="30">
        <f t="shared" si="74"/>
        <v>2018</v>
      </c>
      <c r="Z100" s="30">
        <f t="shared" si="74"/>
        <v>2019</v>
      </c>
      <c r="AA100" s="30">
        <f t="shared" si="74"/>
        <v>2020</v>
      </c>
      <c r="AB100" s="30">
        <f t="shared" si="74"/>
        <v>2021</v>
      </c>
      <c r="AC100" s="134"/>
      <c r="AD100" s="134"/>
    </row>
    <row r="101" spans="1:30" ht="11.45" customHeight="1" outlineLevel="1" x14ac:dyDescent="0.2">
      <c r="A101" s="148">
        <v>1</v>
      </c>
      <c r="B101" s="94" t="s">
        <v>436</v>
      </c>
      <c r="C101" s="149">
        <f t="shared" ref="C101:C130" si="75">C66/(POWER((1+$C$37),A101))</f>
        <v>31.517992424242426</v>
      </c>
      <c r="D101" s="150">
        <f t="shared" ref="D101:W101" si="76">(D66-C67)/(POWER((1+D$38),$A101))</f>
        <v>3.6912878787878785</v>
      </c>
      <c r="E101" s="150">
        <f t="shared" si="76"/>
        <v>-0.8386491557223249</v>
      </c>
      <c r="F101" s="150">
        <f t="shared" si="76"/>
        <v>-4.712945590994372</v>
      </c>
      <c r="G101" s="150">
        <f t="shared" si="76"/>
        <v>-13.958022388059694</v>
      </c>
      <c r="H101" s="150">
        <f t="shared" si="76"/>
        <v>-11.564198687910027</v>
      </c>
      <c r="I101" s="150">
        <f t="shared" si="76"/>
        <v>9.5187617260788038</v>
      </c>
      <c r="J101" s="150">
        <f t="shared" si="76"/>
        <v>10.742026266416516</v>
      </c>
      <c r="K101" s="150">
        <f t="shared" si="76"/>
        <v>25.564561734213004</v>
      </c>
      <c r="L101" s="150">
        <f t="shared" si="76"/>
        <v>4.7056603773584902</v>
      </c>
      <c r="M101" s="150">
        <f t="shared" si="76"/>
        <v>7.441838649155728</v>
      </c>
      <c r="N101" s="150">
        <f t="shared" si="76"/>
        <v>2.8071495766697976</v>
      </c>
      <c r="O101" s="150">
        <f t="shared" si="76"/>
        <v>6.5789473684210522</v>
      </c>
      <c r="P101" s="150">
        <f t="shared" si="76"/>
        <v>9.3896713615023479</v>
      </c>
      <c r="Q101" s="150">
        <f t="shared" si="76"/>
        <v>14.111006585136407</v>
      </c>
      <c r="R101" s="150">
        <f t="shared" si="76"/>
        <v>19.095396457919186</v>
      </c>
      <c r="S101" s="150">
        <f t="shared" si="76"/>
        <v>32.250968149037519</v>
      </c>
      <c r="T101" s="150">
        <f t="shared" si="76"/>
        <v>25.041928209840872</v>
      </c>
      <c r="U101" s="150">
        <f t="shared" si="76"/>
        <v>28.798217441316989</v>
      </c>
      <c r="V101" s="150">
        <f t="shared" si="76"/>
        <v>32.429118773946321</v>
      </c>
      <c r="W101" s="150">
        <f t="shared" si="76"/>
        <v>37.293486590038277</v>
      </c>
      <c r="X101" s="150">
        <f t="shared" ref="X101:X130" si="77">(X66-W67)/(POWER((1+X$38),$A101))</f>
        <v>42.887509578544012</v>
      </c>
      <c r="Y101" s="150">
        <f t="shared" ref="Y101:AB130" si="78">(Y66-X67)/(POWER((1+Y$38),$A101))</f>
        <v>49.320636015325647</v>
      </c>
      <c r="Z101" s="150">
        <f t="shared" si="78"/>
        <v>56.718731417624475</v>
      </c>
      <c r="AA101" s="150">
        <f t="shared" si="78"/>
        <v>65.226541130268174</v>
      </c>
      <c r="AB101" s="150">
        <f t="shared" si="78"/>
        <v>75.010522299808358</v>
      </c>
      <c r="AC101" s="134"/>
      <c r="AD101" s="134"/>
    </row>
    <row r="102" spans="1:30" ht="11.45" customHeight="1" outlineLevel="1" x14ac:dyDescent="0.2">
      <c r="A102" s="22">
        <v>2</v>
      </c>
      <c r="B102" s="22" t="str">
        <f t="shared" ref="B102:B130" si="79">"PV of Increase in forecast year "&amp;A101&amp;" lease commitments"</f>
        <v>PV of Increase in forecast year 1 lease commitments</v>
      </c>
      <c r="C102" s="149">
        <f t="shared" si="75"/>
        <v>27.603807966023872</v>
      </c>
      <c r="D102" s="150">
        <f t="shared" ref="D102:W102" si="80">(D67-C68)/(POWER((1+D$38),$A102))</f>
        <v>8.2196252295684076</v>
      </c>
      <c r="E102" s="150">
        <f t="shared" si="80"/>
        <v>6.2770821819922649</v>
      </c>
      <c r="F102" s="150">
        <f t="shared" si="80"/>
        <v>7.7361319868069476</v>
      </c>
      <c r="G102" s="150">
        <f t="shared" si="80"/>
        <v>5.8058587658721281</v>
      </c>
      <c r="H102" s="150">
        <f t="shared" si="80"/>
        <v>12.4717937547047</v>
      </c>
      <c r="I102" s="150">
        <f t="shared" si="80"/>
        <v>7.6366913185656573</v>
      </c>
      <c r="J102" s="150">
        <f t="shared" si="80"/>
        <v>0.18656125369162768</v>
      </c>
      <c r="K102" s="150">
        <f t="shared" si="80"/>
        <v>2.6818367961510812</v>
      </c>
      <c r="L102" s="150">
        <f t="shared" si="80"/>
        <v>2.3433606265574896</v>
      </c>
      <c r="M102" s="150">
        <f t="shared" si="80"/>
        <v>4.1536279123795694</v>
      </c>
      <c r="N102" s="150">
        <f t="shared" si="80"/>
        <v>-5.6488275342066876</v>
      </c>
      <c r="O102" s="150">
        <f t="shared" si="80"/>
        <v>7.0665385267680465</v>
      </c>
      <c r="P102" s="150">
        <f t="shared" si="80"/>
        <v>14.106548524322777</v>
      </c>
      <c r="Q102" s="150">
        <f t="shared" si="80"/>
        <v>8.8498003042561368</v>
      </c>
      <c r="R102" s="150">
        <f t="shared" si="80"/>
        <v>12.762195805978937</v>
      </c>
      <c r="S102" s="150">
        <f t="shared" si="80"/>
        <v>31.491672257143712</v>
      </c>
      <c r="T102" s="150">
        <f t="shared" si="80"/>
        <v>15.250966993102445</v>
      </c>
      <c r="U102" s="150">
        <f t="shared" si="80"/>
        <v>17.538612042067804</v>
      </c>
      <c r="V102" s="150">
        <f t="shared" si="80"/>
        <v>19.339109071150041</v>
      </c>
      <c r="W102" s="150">
        <f t="shared" si="80"/>
        <v>22.239975431822533</v>
      </c>
      <c r="X102" s="150">
        <f t="shared" si="77"/>
        <v>25.575971746595904</v>
      </c>
      <c r="Y102" s="150">
        <f t="shared" si="78"/>
        <v>29.412367508585302</v>
      </c>
      <c r="Z102" s="150">
        <f t="shared" si="78"/>
        <v>33.82422263487306</v>
      </c>
      <c r="AA102" s="150">
        <f t="shared" si="78"/>
        <v>38.897856030104045</v>
      </c>
      <c r="AB102" s="150">
        <f t="shared" si="78"/>
        <v>44.732534434619694</v>
      </c>
      <c r="AC102" s="134"/>
      <c r="AD102" s="134"/>
    </row>
    <row r="103" spans="1:30" ht="11.45" customHeight="1" outlineLevel="1" x14ac:dyDescent="0.2">
      <c r="A103" s="22">
        <v>3</v>
      </c>
      <c r="B103" s="22" t="str">
        <f t="shared" si="79"/>
        <v>PV of Increase in forecast year 2 lease commitments</v>
      </c>
      <c r="C103" s="149">
        <f t="shared" si="75"/>
        <v>25.563365175080694</v>
      </c>
      <c r="D103" s="150">
        <f t="shared" ref="D103:W103" si="81">(D68-C69)/(POWER((1+D$38),$A103))</f>
        <v>5.9078607289318779</v>
      </c>
      <c r="E103" s="150">
        <f t="shared" si="81"/>
        <v>9.2227261418228643</v>
      </c>
      <c r="F103" s="150">
        <f t="shared" si="81"/>
        <v>8.4046343403059911</v>
      </c>
      <c r="G103" s="150">
        <f t="shared" si="81"/>
        <v>7.0548111698413711</v>
      </c>
      <c r="H103" s="150">
        <f t="shared" si="81"/>
        <v>10.845694462176805</v>
      </c>
      <c r="I103" s="150">
        <f t="shared" si="81"/>
        <v>10.214177457283768</v>
      </c>
      <c r="J103" s="150">
        <f t="shared" si="81"/>
        <v>1.032727390209492</v>
      </c>
      <c r="K103" s="150">
        <f t="shared" si="81"/>
        <v>4.6383510311779874</v>
      </c>
      <c r="L103" s="150">
        <f t="shared" si="81"/>
        <v>4.6985095078487626</v>
      </c>
      <c r="M103" s="150">
        <f t="shared" si="81"/>
        <v>4.0103834225720885</v>
      </c>
      <c r="N103" s="150">
        <f t="shared" si="81"/>
        <v>-1.4627562685398001</v>
      </c>
      <c r="O103" s="150">
        <f t="shared" si="81"/>
        <v>12.452781708355344</v>
      </c>
      <c r="P103" s="150">
        <f t="shared" si="81"/>
        <v>19.04052911146854</v>
      </c>
      <c r="Q103" s="150">
        <f t="shared" si="81"/>
        <v>15.818081446930066</v>
      </c>
      <c r="R103" s="150">
        <f t="shared" si="81"/>
        <v>15.666376409277511</v>
      </c>
      <c r="S103" s="150">
        <f t="shared" si="81"/>
        <v>40.966867317986022</v>
      </c>
      <c r="T103" s="150">
        <f t="shared" si="81"/>
        <v>21.208888601082343</v>
      </c>
      <c r="U103" s="150">
        <f t="shared" si="81"/>
        <v>24.390221891244689</v>
      </c>
      <c r="V103" s="150">
        <f t="shared" si="81"/>
        <v>26.33471926976425</v>
      </c>
      <c r="W103" s="150">
        <f t="shared" si="81"/>
        <v>30.284927160228868</v>
      </c>
      <c r="X103" s="150">
        <f t="shared" si="77"/>
        <v>34.827666234263198</v>
      </c>
      <c r="Y103" s="150">
        <f t="shared" si="78"/>
        <v>40.051816169402692</v>
      </c>
      <c r="Z103" s="150">
        <f t="shared" si="78"/>
        <v>46.059588594813071</v>
      </c>
      <c r="AA103" s="150">
        <f t="shared" si="78"/>
        <v>52.968526884035036</v>
      </c>
      <c r="AB103" s="150">
        <f t="shared" si="78"/>
        <v>60.913805916640293</v>
      </c>
      <c r="AC103" s="134"/>
      <c r="AD103" s="134"/>
    </row>
    <row r="104" spans="1:30" outlineLevel="1" x14ac:dyDescent="0.2">
      <c r="A104" s="22">
        <v>4</v>
      </c>
      <c r="B104" s="22" t="str">
        <f t="shared" si="79"/>
        <v>PV of Increase in forecast year 3 lease commitments</v>
      </c>
      <c r="C104" s="149">
        <f t="shared" si="75"/>
        <v>23.846662786737845</v>
      </c>
      <c r="D104" s="150">
        <f t="shared" ref="D104:W104" si="82">(D69-C70)/(POWER((1+D$38),$A104))</f>
        <v>3.7586599401501513</v>
      </c>
      <c r="E104" s="150">
        <f t="shared" si="82"/>
        <v>9.3517800875020658</v>
      </c>
      <c r="F104" s="150">
        <f t="shared" si="82"/>
        <v>7.3336665641474426</v>
      </c>
      <c r="G104" s="150">
        <f t="shared" si="82"/>
        <v>6.9762483006683578</v>
      </c>
      <c r="H104" s="150">
        <f t="shared" si="82"/>
        <v>8.3431237923618475</v>
      </c>
      <c r="I104" s="150">
        <f t="shared" si="82"/>
        <v>9.3548777291342251</v>
      </c>
      <c r="J104" s="150">
        <f t="shared" si="82"/>
        <v>1.0996627794180918</v>
      </c>
      <c r="K104" s="150">
        <f t="shared" si="82"/>
        <v>5.1765725346852083</v>
      </c>
      <c r="L104" s="150">
        <f t="shared" si="82"/>
        <v>4.1806703545702764</v>
      </c>
      <c r="M104" s="150">
        <f t="shared" si="82"/>
        <v>3.7675066351190476</v>
      </c>
      <c r="N104" s="150">
        <f t="shared" si="82"/>
        <v>-1.2444883606066175</v>
      </c>
      <c r="O104" s="150">
        <f t="shared" si="82"/>
        <v>12.483991687574278</v>
      </c>
      <c r="P104" s="150">
        <f t="shared" si="82"/>
        <v>19.433077272370422</v>
      </c>
      <c r="Q104" s="150">
        <f t="shared" si="82"/>
        <v>14.09741377653816</v>
      </c>
      <c r="R104" s="150">
        <f t="shared" si="82"/>
        <v>12.4648195247561</v>
      </c>
      <c r="S104" s="150">
        <f t="shared" si="82"/>
        <v>42.097732180139154</v>
      </c>
      <c r="T104" s="150">
        <f t="shared" si="82"/>
        <v>21.615566330956057</v>
      </c>
      <c r="U104" s="150">
        <f t="shared" si="82"/>
        <v>24.85790128059946</v>
      </c>
      <c r="V104" s="150">
        <f t="shared" si="82"/>
        <v>26.281436610007873</v>
      </c>
      <c r="W104" s="150">
        <f t="shared" si="82"/>
        <v>30.223652101509042</v>
      </c>
      <c r="X104" s="150">
        <f t="shared" si="77"/>
        <v>34.757199916735395</v>
      </c>
      <c r="Y104" s="150">
        <f t="shared" si="78"/>
        <v>39.970779904245724</v>
      </c>
      <c r="Z104" s="150">
        <f t="shared" si="78"/>
        <v>45.966396889882553</v>
      </c>
      <c r="AA104" s="150">
        <f t="shared" si="78"/>
        <v>52.86135642336491</v>
      </c>
      <c r="AB104" s="150">
        <f t="shared" si="78"/>
        <v>60.790559886869616</v>
      </c>
      <c r="AC104" s="134"/>
      <c r="AD104" s="134"/>
    </row>
    <row r="105" spans="1:30" outlineLevel="1" x14ac:dyDescent="0.2">
      <c r="A105" s="22">
        <v>5</v>
      </c>
      <c r="B105" s="22" t="str">
        <f t="shared" si="79"/>
        <v>PV of Increase in forecast year 4 lease commitments</v>
      </c>
      <c r="C105" s="149">
        <f t="shared" si="75"/>
        <v>21.553255656304259</v>
      </c>
      <c r="D105" s="150">
        <f t="shared" ref="D105:W105" si="83">(D70-C71)/(POWER((1+D$38),$A105))</f>
        <v>2.6226694159739905</v>
      </c>
      <c r="E105" s="150">
        <f t="shared" si="83"/>
        <v>8.1814352864509896</v>
      </c>
      <c r="F105" s="150">
        <f t="shared" si="83"/>
        <v>6.5098420886065824</v>
      </c>
      <c r="G105" s="150">
        <f t="shared" si="83"/>
        <v>6.2555238046497186</v>
      </c>
      <c r="H105" s="150">
        <f t="shared" si="83"/>
        <v>6.3593649172730959</v>
      </c>
      <c r="I105" s="150">
        <f t="shared" si="83"/>
        <v>8.3623247720065166</v>
      </c>
      <c r="J105" s="150">
        <f t="shared" si="83"/>
        <v>0.76423991487714804</v>
      </c>
      <c r="K105" s="150">
        <f t="shared" si="83"/>
        <v>5.1429850861687374</v>
      </c>
      <c r="L105" s="150">
        <f t="shared" si="83"/>
        <v>3.4672779220984991</v>
      </c>
      <c r="M105" s="150">
        <f t="shared" si="83"/>
        <v>3.6795391338904508</v>
      </c>
      <c r="N105" s="150">
        <f t="shared" si="83"/>
        <v>8.3255344243169521E-2</v>
      </c>
      <c r="O105" s="150">
        <f t="shared" si="83"/>
        <v>10.999757713440681</v>
      </c>
      <c r="P105" s="150">
        <f t="shared" si="83"/>
        <v>17.517140076502915</v>
      </c>
      <c r="Q105" s="150">
        <f t="shared" si="83"/>
        <v>13.261913242274845</v>
      </c>
      <c r="R105" s="150">
        <f t="shared" si="83"/>
        <v>11.107631294742712</v>
      </c>
      <c r="S105" s="150">
        <f t="shared" si="83"/>
        <v>42.235912942794606</v>
      </c>
      <c r="T105" s="150">
        <f t="shared" si="83"/>
        <v>26.301454878013008</v>
      </c>
      <c r="U105" s="150">
        <f t="shared" si="83"/>
        <v>30.246673109714948</v>
      </c>
      <c r="V105" s="150">
        <f t="shared" si="83"/>
        <v>31.313668916737051</v>
      </c>
      <c r="W105" s="150">
        <f t="shared" si="83"/>
        <v>36.010719254247604</v>
      </c>
      <c r="X105" s="150">
        <f t="shared" si="77"/>
        <v>41.412327142384733</v>
      </c>
      <c r="Y105" s="150">
        <f t="shared" si="78"/>
        <v>47.624176213742459</v>
      </c>
      <c r="Z105" s="150">
        <f t="shared" si="78"/>
        <v>54.767802645803819</v>
      </c>
      <c r="AA105" s="150">
        <f t="shared" si="78"/>
        <v>62.982973042674381</v>
      </c>
      <c r="AB105" s="150">
        <f t="shared" si="78"/>
        <v>72.430418999075513</v>
      </c>
      <c r="AC105" s="134"/>
      <c r="AD105" s="134"/>
    </row>
    <row r="106" spans="1:30" outlineLevel="1" x14ac:dyDescent="0.2">
      <c r="A106" s="22">
        <v>6</v>
      </c>
      <c r="B106" s="22" t="str">
        <f t="shared" si="79"/>
        <v>PV of Increase in forecast year 5 lease commitments</v>
      </c>
      <c r="C106" s="149">
        <f t="shared" si="75"/>
        <v>19.514630479905815</v>
      </c>
      <c r="D106" s="150">
        <f t="shared" ref="D106:W106" si="84">(D71-C72)/(POWER((1+D$38),$A106))</f>
        <v>-1.7318053692581126</v>
      </c>
      <c r="E106" s="150">
        <f t="shared" si="84"/>
        <v>7.4883924583108001</v>
      </c>
      <c r="F106" s="150">
        <f t="shared" si="84"/>
        <v>7.0035607876366672</v>
      </c>
      <c r="G106" s="150">
        <f t="shared" si="84"/>
        <v>4.3560236937837589</v>
      </c>
      <c r="H106" s="150">
        <f t="shared" si="84"/>
        <v>4.7193266818983117</v>
      </c>
      <c r="I106" s="150">
        <f t="shared" si="84"/>
        <v>9.1308014837209139</v>
      </c>
      <c r="J106" s="150">
        <f t="shared" si="84"/>
        <v>2.099061260790648</v>
      </c>
      <c r="K106" s="150">
        <f t="shared" si="84"/>
        <v>5.2106094497138846</v>
      </c>
      <c r="L106" s="150">
        <f t="shared" si="84"/>
        <v>2.4452731279384268</v>
      </c>
      <c r="M106" s="150">
        <f t="shared" si="84"/>
        <v>4.4644130739627492</v>
      </c>
      <c r="N106" s="150">
        <f t="shared" si="84"/>
        <v>-6.7407448022587957</v>
      </c>
      <c r="O106" s="150">
        <f t="shared" si="84"/>
        <v>10.108382192802628</v>
      </c>
      <c r="P106" s="150">
        <f t="shared" si="84"/>
        <v>15.191572966711581</v>
      </c>
      <c r="Q106" s="150">
        <f t="shared" si="84"/>
        <v>16.865608631860624</v>
      </c>
      <c r="R106" s="150">
        <f t="shared" si="84"/>
        <v>9.5952091484489141</v>
      </c>
      <c r="S106" s="150">
        <f t="shared" si="84"/>
        <v>43.46251084997909</v>
      </c>
      <c r="T106" s="150">
        <f t="shared" si="84"/>
        <v>17.433565804628483</v>
      </c>
      <c r="U106" s="150">
        <f t="shared" si="84"/>
        <v>20.048600675322739</v>
      </c>
      <c r="V106" s="150">
        <f t="shared" si="84"/>
        <v>20.324136773698054</v>
      </c>
      <c r="W106" s="150">
        <f t="shared" si="84"/>
        <v>23.372757289752755</v>
      </c>
      <c r="X106" s="150">
        <f t="shared" si="77"/>
        <v>26.878670883215666</v>
      </c>
      <c r="Y106" s="150">
        <f t="shared" si="78"/>
        <v>30.910471515698021</v>
      </c>
      <c r="Z106" s="150">
        <f t="shared" si="78"/>
        <v>35.547042243052722</v>
      </c>
      <c r="AA106" s="150">
        <f t="shared" si="78"/>
        <v>40.879098579510618</v>
      </c>
      <c r="AB106" s="150">
        <f t="shared" si="78"/>
        <v>47.010963366437224</v>
      </c>
      <c r="AC106" s="134"/>
      <c r="AD106" s="134"/>
    </row>
    <row r="107" spans="1:30" outlineLevel="1" x14ac:dyDescent="0.2">
      <c r="A107" s="22">
        <v>7</v>
      </c>
      <c r="B107" s="22" t="str">
        <f t="shared" si="79"/>
        <v>PV of Increase in forecast year 6 lease commitments</v>
      </c>
      <c r="C107" s="149">
        <f t="shared" si="75"/>
        <v>17.563662938975185</v>
      </c>
      <c r="D107" s="150">
        <f t="shared" ref="D107:W107" si="85">(D72-C73)/(POWER((1+D$38),$A107))</f>
        <v>-2.442593948387711</v>
      </c>
      <c r="E107" s="150">
        <f t="shared" si="85"/>
        <v>5.491799067145954</v>
      </c>
      <c r="F107" s="150">
        <f t="shared" si="85"/>
        <v>6.4261835667499669</v>
      </c>
      <c r="G107" s="150">
        <f t="shared" si="85"/>
        <v>2.7879540508755336</v>
      </c>
      <c r="H107" s="150">
        <f t="shared" si="85"/>
        <v>0.86930703896138373</v>
      </c>
      <c r="I107" s="150">
        <f t="shared" si="85"/>
        <v>5.4737816752748722</v>
      </c>
      <c r="J107" s="150">
        <f t="shared" si="85"/>
        <v>0.36237606878668172</v>
      </c>
      <c r="K107" s="150">
        <f t="shared" si="85"/>
        <v>2.7990569008059065</v>
      </c>
      <c r="L107" s="150">
        <f t="shared" si="85"/>
        <v>-3.1386262048883387</v>
      </c>
      <c r="M107" s="150">
        <f t="shared" si="85"/>
        <v>2.1668177885691993</v>
      </c>
      <c r="N107" s="150">
        <f t="shared" si="85"/>
        <v>-10.036079296209007</v>
      </c>
      <c r="O107" s="150">
        <f t="shared" si="85"/>
        <v>8.0968970486606846</v>
      </c>
      <c r="P107" s="150">
        <f t="shared" si="85"/>
        <v>7.6148235422113224</v>
      </c>
      <c r="Q107" s="150">
        <f t="shared" si="85"/>
        <v>12.823243975821553</v>
      </c>
      <c r="R107" s="150">
        <f t="shared" si="85"/>
        <v>-2.1697617172060077</v>
      </c>
      <c r="S107" s="150">
        <f t="shared" si="85"/>
        <v>39.61448983456755</v>
      </c>
      <c r="T107" s="150">
        <f t="shared" si="85"/>
        <v>14.682696086940009</v>
      </c>
      <c r="U107" s="150">
        <f t="shared" si="85"/>
        <v>16.885100499980989</v>
      </c>
      <c r="V107" s="150">
        <f t="shared" si="85"/>
        <v>16.761133821786533</v>
      </c>
      <c r="W107" s="150">
        <f t="shared" si="85"/>
        <v>19.275303895054506</v>
      </c>
      <c r="X107" s="150">
        <f t="shared" si="77"/>
        <v>22.166599479312687</v>
      </c>
      <c r="Y107" s="150">
        <f t="shared" si="78"/>
        <v>25.491589401209584</v>
      </c>
      <c r="Z107" s="150">
        <f t="shared" si="78"/>
        <v>29.315327811391018</v>
      </c>
      <c r="AA107" s="150">
        <f t="shared" si="78"/>
        <v>33.712626983099668</v>
      </c>
      <c r="AB107" s="150">
        <f t="shared" si="78"/>
        <v>38.769521030564604</v>
      </c>
      <c r="AC107" s="134"/>
      <c r="AD107" s="134"/>
    </row>
    <row r="108" spans="1:30" outlineLevel="1" x14ac:dyDescent="0.2">
      <c r="A108" s="22">
        <v>8</v>
      </c>
      <c r="B108" s="22" t="str">
        <f t="shared" si="79"/>
        <v>PV of Increase in forecast year 7 lease commitments</v>
      </c>
      <c r="C108" s="149">
        <f t="shared" si="75"/>
        <v>16.632256570999228</v>
      </c>
      <c r="D108" s="150">
        <f t="shared" ref="D108:W108" si="86">(D73-C74)/(POWER((1+D$38),$A108))</f>
        <v>-2.3130624511247264</v>
      </c>
      <c r="E108" s="150">
        <f t="shared" si="86"/>
        <v>5.1517814888798803</v>
      </c>
      <c r="F108" s="150">
        <f t="shared" si="86"/>
        <v>6.0283147905722005</v>
      </c>
      <c r="G108" s="150">
        <f t="shared" si="86"/>
        <v>2.6007034056674749</v>
      </c>
      <c r="H108" s="150">
        <f t="shared" si="86"/>
        <v>0.81472074879229983</v>
      </c>
      <c r="I108" s="150">
        <f t="shared" si="86"/>
        <v>5.1348796203328995</v>
      </c>
      <c r="J108" s="150">
        <f t="shared" si="86"/>
        <v>0.3399400270043918</v>
      </c>
      <c r="K108" s="150">
        <f t="shared" si="86"/>
        <v>2.6381309149914292</v>
      </c>
      <c r="L108" s="150">
        <f t="shared" si="86"/>
        <v>-2.9609681178191876</v>
      </c>
      <c r="M108" s="150">
        <f t="shared" si="86"/>
        <v>2.0326620905902426</v>
      </c>
      <c r="N108" s="150">
        <f t="shared" si="86"/>
        <v>-9.44127873585043</v>
      </c>
      <c r="O108" s="150">
        <f t="shared" si="86"/>
        <v>7.609865647237485</v>
      </c>
      <c r="P108" s="150">
        <f t="shared" si="86"/>
        <v>7.1500690537195517</v>
      </c>
      <c r="Q108" s="150">
        <f t="shared" si="86"/>
        <v>12.063258679041914</v>
      </c>
      <c r="R108" s="150">
        <f t="shared" si="86"/>
        <v>-2.0716230104632123</v>
      </c>
      <c r="S108" s="150">
        <f t="shared" si="86"/>
        <v>37.576636761617898</v>
      </c>
      <c r="T108" s="150">
        <f t="shared" si="86"/>
        <v>13.927387171820589</v>
      </c>
      <c r="U108" s="150">
        <f t="shared" si="86"/>
        <v>16.01649524759366</v>
      </c>
      <c r="V108" s="150">
        <f t="shared" si="86"/>
        <v>15.5682190379998</v>
      </c>
      <c r="W108" s="150">
        <f t="shared" si="86"/>
        <v>17.903451893699764</v>
      </c>
      <c r="X108" s="150">
        <f t="shared" si="77"/>
        <v>20.588969677754729</v>
      </c>
      <c r="Y108" s="150">
        <f t="shared" si="78"/>
        <v>23.677315129417934</v>
      </c>
      <c r="Z108" s="150">
        <f t="shared" si="78"/>
        <v>27.228912398830623</v>
      </c>
      <c r="AA108" s="150">
        <f t="shared" si="78"/>
        <v>31.313249258655208</v>
      </c>
      <c r="AB108" s="150">
        <f t="shared" si="78"/>
        <v>36.010236647453482</v>
      </c>
      <c r="AC108" s="134"/>
      <c r="AD108" s="134"/>
    </row>
    <row r="109" spans="1:30" outlineLevel="1" x14ac:dyDescent="0.2">
      <c r="A109" s="22">
        <v>9</v>
      </c>
      <c r="B109" s="22" t="str">
        <f t="shared" si="79"/>
        <v>PV of Increase in forecast year 8 lease commitments</v>
      </c>
      <c r="C109" s="149">
        <f t="shared" si="75"/>
        <v>15.750242964961389</v>
      </c>
      <c r="D109" s="150">
        <f t="shared" ref="D109:W109" si="87">(D74-C75)/(POWER((1+D$38),$A109))</f>
        <v>-2.1904000484135668</v>
      </c>
      <c r="E109" s="150">
        <f t="shared" si="87"/>
        <v>4.8328156556096431</v>
      </c>
      <c r="F109" s="150">
        <f t="shared" si="87"/>
        <v>5.6550795408744836</v>
      </c>
      <c r="G109" s="150">
        <f t="shared" si="87"/>
        <v>2.4260292963315995</v>
      </c>
      <c r="H109" s="150">
        <f t="shared" si="87"/>
        <v>0.76356208884001864</v>
      </c>
      <c r="I109" s="150">
        <f t="shared" si="87"/>
        <v>4.8169602442147266</v>
      </c>
      <c r="J109" s="150">
        <f t="shared" si="87"/>
        <v>0.31889308349380091</v>
      </c>
      <c r="K109" s="150">
        <f t="shared" si="87"/>
        <v>2.4864570358071907</v>
      </c>
      <c r="L109" s="150">
        <f t="shared" si="87"/>
        <v>-2.793366148886026</v>
      </c>
      <c r="M109" s="150">
        <f t="shared" si="87"/>
        <v>1.9068124677206777</v>
      </c>
      <c r="N109" s="150">
        <f t="shared" si="87"/>
        <v>-8.8817297609129167</v>
      </c>
      <c r="O109" s="150">
        <f t="shared" si="87"/>
        <v>7.1521293677044024</v>
      </c>
      <c r="P109" s="150">
        <f t="shared" si="87"/>
        <v>6.7136798626474663</v>
      </c>
      <c r="Q109" s="150">
        <f t="shared" si="87"/>
        <v>11.348314843877622</v>
      </c>
      <c r="R109" s="150">
        <f t="shared" si="87"/>
        <v>-1.9779231348071551</v>
      </c>
      <c r="S109" s="150">
        <f t="shared" si="87"/>
        <v>35.643615157261507</v>
      </c>
      <c r="T109" s="150">
        <f t="shared" si="87"/>
        <v>13.210932943461751</v>
      </c>
      <c r="U109" s="150">
        <f t="shared" si="87"/>
        <v>15.192572884980997</v>
      </c>
      <c r="V109" s="150">
        <f t="shared" si="87"/>
        <v>14.460205770811378</v>
      </c>
      <c r="W109" s="150">
        <f t="shared" si="87"/>
        <v>16.629236636433081</v>
      </c>
      <c r="X109" s="150">
        <f t="shared" si="77"/>
        <v>19.123622131898042</v>
      </c>
      <c r="Y109" s="150">
        <f t="shared" si="78"/>
        <v>21.992165451682745</v>
      </c>
      <c r="Z109" s="150">
        <f t="shared" si="78"/>
        <v>25.290990269435156</v>
      </c>
      <c r="AA109" s="150">
        <f t="shared" si="78"/>
        <v>29.084638809850421</v>
      </c>
      <c r="AB109" s="150">
        <f t="shared" si="78"/>
        <v>33.447334631327976</v>
      </c>
      <c r="AC109" s="134"/>
      <c r="AD109" s="134"/>
    </row>
    <row r="110" spans="1:30" outlineLevel="1" x14ac:dyDescent="0.2">
      <c r="A110" s="22">
        <v>10</v>
      </c>
      <c r="B110" s="22" t="str">
        <f t="shared" si="79"/>
        <v>PV of Increase in forecast year 9 lease commitments</v>
      </c>
      <c r="C110" s="149">
        <f t="shared" si="75"/>
        <v>14.915002807728587</v>
      </c>
      <c r="D110" s="150">
        <f t="shared" ref="D110:W110" si="88">(D75-C76)/(POWER((1+D$38),$A110))</f>
        <v>-2.0742424700886044</v>
      </c>
      <c r="E110" s="150">
        <f t="shared" si="88"/>
        <v>4.5335981759940367</v>
      </c>
      <c r="F110" s="150">
        <f t="shared" si="88"/>
        <v>5.3049526649854446</v>
      </c>
      <c r="G110" s="150">
        <f t="shared" si="88"/>
        <v>2.2630870301600736</v>
      </c>
      <c r="H110" s="150">
        <f t="shared" si="88"/>
        <v>0.71561582834116089</v>
      </c>
      <c r="I110" s="150">
        <f t="shared" si="88"/>
        <v>4.5187244317211324</v>
      </c>
      <c r="J110" s="150">
        <f t="shared" si="88"/>
        <v>0.29914923404671756</v>
      </c>
      <c r="K110" s="150">
        <f t="shared" si="88"/>
        <v>2.3435033325232708</v>
      </c>
      <c r="L110" s="150">
        <f t="shared" si="88"/>
        <v>-2.6352510838547412</v>
      </c>
      <c r="M110" s="150">
        <f t="shared" si="88"/>
        <v>1.7887546601507296</v>
      </c>
      <c r="N110" s="150">
        <f t="shared" si="88"/>
        <v>-8.3553431429096126</v>
      </c>
      <c r="O110" s="150">
        <f t="shared" si="88"/>
        <v>6.7219260974665431</v>
      </c>
      <c r="P110" s="150">
        <f t="shared" si="88"/>
        <v>6.3039247536595937</v>
      </c>
      <c r="Q110" s="150">
        <f t="shared" si="88"/>
        <v>10.67574303281056</v>
      </c>
      <c r="R110" s="150">
        <f t="shared" si="88"/>
        <v>-1.8884613211216479</v>
      </c>
      <c r="S110" s="150">
        <f t="shared" si="88"/>
        <v>33.810032269217402</v>
      </c>
      <c r="T110" s="150">
        <f t="shared" si="88"/>
        <v>12.531334634666333</v>
      </c>
      <c r="U110" s="150">
        <f t="shared" si="88"/>
        <v>14.411034829866267</v>
      </c>
      <c r="V110" s="150">
        <f t="shared" si="88"/>
        <v>13.431051453209221</v>
      </c>
      <c r="W110" s="150">
        <f t="shared" si="88"/>
        <v>15.4457091711906</v>
      </c>
      <c r="X110" s="150">
        <f t="shared" si="77"/>
        <v>17.76256554686919</v>
      </c>
      <c r="Y110" s="150">
        <f t="shared" si="78"/>
        <v>20.426950378899566</v>
      </c>
      <c r="Z110" s="150">
        <f t="shared" si="78"/>
        <v>23.4909929357345</v>
      </c>
      <c r="AA110" s="150">
        <f t="shared" si="78"/>
        <v>27.014641876094668</v>
      </c>
      <c r="AB110" s="150">
        <f t="shared" si="78"/>
        <v>31.066838157508862</v>
      </c>
      <c r="AC110" s="134"/>
      <c r="AD110" s="134"/>
    </row>
    <row r="111" spans="1:30" outlineLevel="1" x14ac:dyDescent="0.2">
      <c r="A111" s="22">
        <v>11</v>
      </c>
      <c r="B111" s="22" t="str">
        <f t="shared" si="79"/>
        <v>PV of Increase in forecast year 10 lease commitments</v>
      </c>
      <c r="C111" s="149">
        <f t="shared" si="75"/>
        <v>14.124055689136918</v>
      </c>
      <c r="D111" s="150">
        <f t="shared" ref="D111:W111" si="89">(D76-C77)/(POWER((1+D$38),$A111))</f>
        <v>-1.9642447633414815</v>
      </c>
      <c r="E111" s="150">
        <f t="shared" si="89"/>
        <v>4.2529063564672018</v>
      </c>
      <c r="F111" s="150">
        <f t="shared" si="89"/>
        <v>4.9765034380726494</v>
      </c>
      <c r="G111" s="150">
        <f t="shared" si="89"/>
        <v>2.111088647537382</v>
      </c>
      <c r="H111" s="150">
        <f t="shared" si="89"/>
        <v>0.67068025149124744</v>
      </c>
      <c r="I111" s="150">
        <f t="shared" si="89"/>
        <v>4.2389535006764847</v>
      </c>
      <c r="J111" s="150">
        <f t="shared" si="89"/>
        <v>0.28062779929335607</v>
      </c>
      <c r="K111" s="150">
        <f t="shared" si="89"/>
        <v>2.2087684566666086</v>
      </c>
      <c r="L111" s="150">
        <f t="shared" si="89"/>
        <v>-2.48608592816485</v>
      </c>
      <c r="M111" s="150">
        <f t="shared" si="89"/>
        <v>1.6780062477961817</v>
      </c>
      <c r="N111" s="150">
        <f t="shared" si="89"/>
        <v>22.128714611116184</v>
      </c>
      <c r="O111" s="150">
        <f t="shared" si="89"/>
        <v>6.3175997156640431</v>
      </c>
      <c r="P111" s="150">
        <f t="shared" si="89"/>
        <v>5.9191781724503238</v>
      </c>
      <c r="Q111" s="150">
        <f t="shared" si="89"/>
        <v>10.043032015814262</v>
      </c>
      <c r="R111" s="150">
        <f t="shared" si="89"/>
        <v>-1.8030458811131849</v>
      </c>
      <c r="S111" s="150">
        <f t="shared" si="89"/>
        <v>32.070772759778258</v>
      </c>
      <c r="T111" s="150">
        <f t="shared" si="89"/>
        <v>11.886696299045722</v>
      </c>
      <c r="U111" s="150">
        <f t="shared" si="89"/>
        <v>13.669700743902565</v>
      </c>
      <c r="V111" s="150">
        <f t="shared" si="89"/>
        <v>12.475143576648529</v>
      </c>
      <c r="W111" s="150">
        <f t="shared" si="89"/>
        <v>14.346415113145802</v>
      </c>
      <c r="X111" s="150">
        <f t="shared" si="77"/>
        <v>16.498377380117674</v>
      </c>
      <c r="Y111" s="150">
        <f t="shared" si="78"/>
        <v>18.97313398713532</v>
      </c>
      <c r="Z111" s="150">
        <f t="shared" si="78"/>
        <v>21.81910408520562</v>
      </c>
      <c r="AA111" s="150">
        <f t="shared" si="78"/>
        <v>25.091969697986457</v>
      </c>
      <c r="AB111" s="150">
        <f t="shared" si="78"/>
        <v>28.855765152684416</v>
      </c>
      <c r="AC111" s="134"/>
      <c r="AD111" s="134"/>
    </row>
    <row r="112" spans="1:30" outlineLevel="1" x14ac:dyDescent="0.2">
      <c r="A112" s="22">
        <v>12</v>
      </c>
      <c r="B112" s="22" t="str">
        <f t="shared" si="79"/>
        <v>PV of Increase in forecast year 11 lease commitments</v>
      </c>
      <c r="C112" s="149">
        <f t="shared" si="75"/>
        <v>13.375052735925111</v>
      </c>
      <c r="D112" s="150">
        <f t="shared" ref="D112:W112" si="90">(D77-C78)/(POWER((1+D$38),$A112))</f>
        <v>-1.8600802683157966</v>
      </c>
      <c r="E112" s="150">
        <f t="shared" si="90"/>
        <v>3.9895932049410887</v>
      </c>
      <c r="F112" s="150">
        <f t="shared" si="90"/>
        <v>4.6683897167660868</v>
      </c>
      <c r="G112" s="150">
        <f t="shared" si="90"/>
        <v>1.9692991115087519</v>
      </c>
      <c r="H112" s="150">
        <f t="shared" si="90"/>
        <v>0.62856630880154396</v>
      </c>
      <c r="I112" s="150">
        <f t="shared" si="90"/>
        <v>3.9765042220229674</v>
      </c>
      <c r="J112" s="150">
        <f t="shared" si="90"/>
        <v>0.26325309502190991</v>
      </c>
      <c r="K112" s="150">
        <f t="shared" si="90"/>
        <v>2.0817798837574064</v>
      </c>
      <c r="L112" s="150">
        <f t="shared" si="90"/>
        <v>27.500296702896904</v>
      </c>
      <c r="M112" s="150">
        <f t="shared" si="90"/>
        <v>0</v>
      </c>
      <c r="N112" s="150">
        <f t="shared" si="90"/>
        <v>20.817229173204311</v>
      </c>
      <c r="O112" s="150">
        <f t="shared" si="90"/>
        <v>26.52125193919116</v>
      </c>
      <c r="P112" s="150">
        <f t="shared" si="90"/>
        <v>31.781873147058537</v>
      </c>
      <c r="Q112" s="150">
        <f t="shared" si="90"/>
        <v>41.954723410611763</v>
      </c>
      <c r="R112" s="150">
        <f t="shared" si="90"/>
        <v>48.393103392853568</v>
      </c>
      <c r="S112" s="150">
        <f t="shared" si="90"/>
        <v>75.168130144667799</v>
      </c>
      <c r="T112" s="150">
        <f t="shared" si="90"/>
        <v>86.443349666367965</v>
      </c>
      <c r="U112" s="150">
        <f t="shared" si="90"/>
        <v>99.409852116323151</v>
      </c>
      <c r="V112" s="150">
        <f t="shared" si="90"/>
        <v>88.835729637498758</v>
      </c>
      <c r="W112" s="150">
        <f t="shared" si="90"/>
        <v>102.16108908312356</v>
      </c>
      <c r="X112" s="150">
        <f t="shared" si="77"/>
        <v>117.48525244559208</v>
      </c>
      <c r="Y112" s="150">
        <f t="shared" si="78"/>
        <v>135.10804031243089</v>
      </c>
      <c r="Z112" s="150">
        <f t="shared" si="78"/>
        <v>155.37424635929548</v>
      </c>
      <c r="AA112" s="150">
        <f t="shared" si="78"/>
        <v>178.68038331318979</v>
      </c>
      <c r="AB112" s="150">
        <f t="shared" si="78"/>
        <v>205.48244081016824</v>
      </c>
      <c r="AC112" s="134"/>
      <c r="AD112" s="134"/>
    </row>
    <row r="113" spans="1:30" outlineLevel="1" x14ac:dyDescent="0.2">
      <c r="A113" s="22">
        <v>13</v>
      </c>
      <c r="B113" s="22" t="str">
        <f t="shared" si="79"/>
        <v>PV of Increase in forecast year 12 lease commitments</v>
      </c>
      <c r="C113" s="149">
        <f t="shared" si="75"/>
        <v>12.665769636292719</v>
      </c>
      <c r="D113" s="150">
        <f t="shared" ref="D113:W113" si="91">(D78-C79)/(POWER((1+D$38),$A113))</f>
        <v>-1.7614396480263226</v>
      </c>
      <c r="E113" s="150">
        <f t="shared" si="91"/>
        <v>3.7425827438471746</v>
      </c>
      <c r="F113" s="150">
        <f t="shared" si="91"/>
        <v>4.3793524547524258</v>
      </c>
      <c r="G113" s="150">
        <f t="shared" si="91"/>
        <v>1.8370327532730892</v>
      </c>
      <c r="H113" s="150">
        <f t="shared" si="91"/>
        <v>0.58909682174465228</v>
      </c>
      <c r="I113" s="150">
        <f t="shared" si="91"/>
        <v>3.7303041482391808</v>
      </c>
      <c r="J113" s="150">
        <f t="shared" si="91"/>
        <v>0.24695412290985919</v>
      </c>
      <c r="K113" s="150">
        <f t="shared" si="91"/>
        <v>0</v>
      </c>
      <c r="L113" s="150">
        <f t="shared" si="91"/>
        <v>0</v>
      </c>
      <c r="M113" s="150">
        <f t="shared" si="91"/>
        <v>0</v>
      </c>
      <c r="N113" s="150">
        <f t="shared" si="91"/>
        <v>0</v>
      </c>
      <c r="O113" s="150">
        <f t="shared" si="91"/>
        <v>0</v>
      </c>
      <c r="P113" s="150">
        <f t="shared" si="91"/>
        <v>0</v>
      </c>
      <c r="Q113" s="150">
        <f t="shared" si="91"/>
        <v>0</v>
      </c>
      <c r="R113" s="150">
        <f t="shared" si="91"/>
        <v>0</v>
      </c>
      <c r="S113" s="150">
        <f t="shared" si="91"/>
        <v>0</v>
      </c>
      <c r="T113" s="150">
        <f t="shared" si="91"/>
        <v>0</v>
      </c>
      <c r="U113" s="150">
        <f t="shared" si="91"/>
        <v>0</v>
      </c>
      <c r="V113" s="150">
        <f t="shared" si="91"/>
        <v>0</v>
      </c>
      <c r="W113" s="150">
        <f t="shared" si="91"/>
        <v>0</v>
      </c>
      <c r="X113" s="150">
        <f t="shared" si="77"/>
        <v>0</v>
      </c>
      <c r="Y113" s="150">
        <f t="shared" si="78"/>
        <v>0</v>
      </c>
      <c r="Z113" s="150">
        <f t="shared" si="78"/>
        <v>0</v>
      </c>
      <c r="AA113" s="150">
        <f t="shared" si="78"/>
        <v>0</v>
      </c>
      <c r="AB113" s="150">
        <f t="shared" si="78"/>
        <v>0</v>
      </c>
      <c r="AC113" s="134"/>
      <c r="AD113" s="134"/>
    </row>
    <row r="114" spans="1:30" outlineLevel="1" x14ac:dyDescent="0.2">
      <c r="A114" s="22">
        <v>14</v>
      </c>
      <c r="B114" s="22" t="str">
        <f t="shared" si="79"/>
        <v>PV of Increase in forecast year 13 lease commitments</v>
      </c>
      <c r="C114" s="149">
        <f t="shared" si="75"/>
        <v>11.994100034368104</v>
      </c>
      <c r="D114" s="150">
        <f t="shared" ref="D114:W114" si="92">(D79-C80)/(POWER((1+D$38),$A114))</f>
        <v>10.326070064646208</v>
      </c>
      <c r="E114" s="150">
        <f t="shared" si="92"/>
        <v>3.5108656133650791</v>
      </c>
      <c r="F114" s="150">
        <f t="shared" si="92"/>
        <v>4.1082105579291044</v>
      </c>
      <c r="G114" s="150">
        <f t="shared" si="92"/>
        <v>17.122662287004221</v>
      </c>
      <c r="H114" s="150">
        <f t="shared" si="92"/>
        <v>18.832956958450271</v>
      </c>
      <c r="I114" s="150">
        <f t="shared" si="92"/>
        <v>22.581155162306015</v>
      </c>
      <c r="J114" s="150">
        <f t="shared" si="92"/>
        <v>0</v>
      </c>
      <c r="K114" s="150">
        <f t="shared" si="92"/>
        <v>0</v>
      </c>
      <c r="L114" s="150">
        <f t="shared" si="92"/>
        <v>0</v>
      </c>
      <c r="M114" s="150">
        <f t="shared" si="92"/>
        <v>0</v>
      </c>
      <c r="N114" s="150">
        <f t="shared" si="92"/>
        <v>0</v>
      </c>
      <c r="O114" s="150">
        <f t="shared" si="92"/>
        <v>0</v>
      </c>
      <c r="P114" s="150">
        <f t="shared" si="92"/>
        <v>0</v>
      </c>
      <c r="Q114" s="150">
        <f t="shared" si="92"/>
        <v>0</v>
      </c>
      <c r="R114" s="150">
        <f t="shared" si="92"/>
        <v>0</v>
      </c>
      <c r="S114" s="150">
        <f t="shared" si="92"/>
        <v>0</v>
      </c>
      <c r="T114" s="150">
        <f t="shared" si="92"/>
        <v>0</v>
      </c>
      <c r="U114" s="150">
        <f t="shared" si="92"/>
        <v>0</v>
      </c>
      <c r="V114" s="150">
        <f t="shared" si="92"/>
        <v>0</v>
      </c>
      <c r="W114" s="150">
        <f t="shared" si="92"/>
        <v>0</v>
      </c>
      <c r="X114" s="150">
        <f t="shared" si="77"/>
        <v>0</v>
      </c>
      <c r="Y114" s="150">
        <f t="shared" si="78"/>
        <v>0</v>
      </c>
      <c r="Z114" s="150">
        <f t="shared" si="78"/>
        <v>0</v>
      </c>
      <c r="AA114" s="150">
        <f t="shared" si="78"/>
        <v>0</v>
      </c>
      <c r="AB114" s="150">
        <f t="shared" si="78"/>
        <v>0</v>
      </c>
      <c r="AC114" s="134"/>
      <c r="AD114" s="134"/>
    </row>
    <row r="115" spans="1:30" outlineLevel="1" x14ac:dyDescent="0.2">
      <c r="A115" s="22">
        <v>15</v>
      </c>
      <c r="B115" s="22" t="str">
        <f t="shared" si="79"/>
        <v>PV of Increase in forecast year 14 lease commitments</v>
      </c>
      <c r="C115" s="149">
        <f t="shared" si="75"/>
        <v>0</v>
      </c>
      <c r="D115" s="150">
        <f t="shared" ref="D115:W115" si="93">(D80-C81)/(POWER((1+D$38),$A115))</f>
        <v>9.7784754400058773</v>
      </c>
      <c r="E115" s="150">
        <f t="shared" si="93"/>
        <v>11.782794374171841</v>
      </c>
      <c r="F115" s="150">
        <f t="shared" si="93"/>
        <v>-11.782794374171841</v>
      </c>
      <c r="G115" s="150">
        <f t="shared" si="93"/>
        <v>0</v>
      </c>
      <c r="H115" s="150">
        <f t="shared" si="93"/>
        <v>0</v>
      </c>
      <c r="I115" s="150">
        <f t="shared" si="93"/>
        <v>0</v>
      </c>
      <c r="J115" s="150">
        <f t="shared" si="93"/>
        <v>0</v>
      </c>
      <c r="K115" s="150">
        <f t="shared" si="93"/>
        <v>0</v>
      </c>
      <c r="L115" s="150">
        <f t="shared" si="93"/>
        <v>0</v>
      </c>
      <c r="M115" s="150">
        <f t="shared" si="93"/>
        <v>0</v>
      </c>
      <c r="N115" s="150">
        <f t="shared" si="93"/>
        <v>0</v>
      </c>
      <c r="O115" s="150">
        <f t="shared" si="93"/>
        <v>0</v>
      </c>
      <c r="P115" s="150">
        <f t="shared" si="93"/>
        <v>0</v>
      </c>
      <c r="Q115" s="150">
        <f t="shared" si="93"/>
        <v>0</v>
      </c>
      <c r="R115" s="150">
        <f t="shared" si="93"/>
        <v>0</v>
      </c>
      <c r="S115" s="150">
        <f t="shared" si="93"/>
        <v>0</v>
      </c>
      <c r="T115" s="150">
        <f t="shared" si="93"/>
        <v>0</v>
      </c>
      <c r="U115" s="150">
        <f t="shared" si="93"/>
        <v>0</v>
      </c>
      <c r="V115" s="150">
        <f t="shared" si="93"/>
        <v>0</v>
      </c>
      <c r="W115" s="150">
        <f t="shared" si="93"/>
        <v>0</v>
      </c>
      <c r="X115" s="150">
        <f t="shared" si="77"/>
        <v>0</v>
      </c>
      <c r="Y115" s="150">
        <f t="shared" si="78"/>
        <v>0</v>
      </c>
      <c r="Z115" s="150">
        <f t="shared" si="78"/>
        <v>0</v>
      </c>
      <c r="AA115" s="150">
        <f t="shared" si="78"/>
        <v>0</v>
      </c>
      <c r="AB115" s="150">
        <f t="shared" si="78"/>
        <v>0</v>
      </c>
      <c r="AC115" s="134"/>
      <c r="AD115" s="134"/>
    </row>
    <row r="116" spans="1:30" outlineLevel="1" x14ac:dyDescent="0.2">
      <c r="A116" s="22">
        <v>16</v>
      </c>
      <c r="B116" s="22" t="str">
        <f t="shared" si="79"/>
        <v>PV of Increase in forecast year 15 lease commitments</v>
      </c>
      <c r="C116" s="149">
        <f t="shared" si="75"/>
        <v>0</v>
      </c>
      <c r="D116" s="150">
        <f t="shared" ref="D116:W116" si="94">(D81-C82)/(POWER((1+D$38),$A116))</f>
        <v>0</v>
      </c>
      <c r="E116" s="150">
        <f t="shared" si="94"/>
        <v>11.053278024551442</v>
      </c>
      <c r="F116" s="150">
        <f t="shared" si="94"/>
        <v>0</v>
      </c>
      <c r="G116" s="150">
        <f t="shared" si="94"/>
        <v>0</v>
      </c>
      <c r="H116" s="150">
        <f t="shared" si="94"/>
        <v>0</v>
      </c>
      <c r="I116" s="150">
        <f t="shared" si="94"/>
        <v>0</v>
      </c>
      <c r="J116" s="150">
        <f t="shared" si="94"/>
        <v>0</v>
      </c>
      <c r="K116" s="150">
        <f t="shared" si="94"/>
        <v>0</v>
      </c>
      <c r="L116" s="150">
        <f t="shared" si="94"/>
        <v>0</v>
      </c>
      <c r="M116" s="150">
        <f t="shared" si="94"/>
        <v>0</v>
      </c>
      <c r="N116" s="150">
        <f t="shared" si="94"/>
        <v>0</v>
      </c>
      <c r="O116" s="150">
        <f t="shared" si="94"/>
        <v>0</v>
      </c>
      <c r="P116" s="150">
        <f t="shared" si="94"/>
        <v>0</v>
      </c>
      <c r="Q116" s="150">
        <f t="shared" si="94"/>
        <v>0</v>
      </c>
      <c r="R116" s="150">
        <f t="shared" si="94"/>
        <v>0</v>
      </c>
      <c r="S116" s="150">
        <f t="shared" si="94"/>
        <v>0</v>
      </c>
      <c r="T116" s="150">
        <f t="shared" si="94"/>
        <v>0</v>
      </c>
      <c r="U116" s="150">
        <f t="shared" si="94"/>
        <v>0</v>
      </c>
      <c r="V116" s="150">
        <f t="shared" si="94"/>
        <v>0</v>
      </c>
      <c r="W116" s="150">
        <f t="shared" si="94"/>
        <v>0</v>
      </c>
      <c r="X116" s="150">
        <f t="shared" si="77"/>
        <v>0</v>
      </c>
      <c r="Y116" s="150">
        <f t="shared" si="78"/>
        <v>0</v>
      </c>
      <c r="Z116" s="150">
        <f t="shared" si="78"/>
        <v>0</v>
      </c>
      <c r="AA116" s="150">
        <f t="shared" si="78"/>
        <v>0</v>
      </c>
      <c r="AB116" s="150">
        <f t="shared" si="78"/>
        <v>0</v>
      </c>
      <c r="AC116" s="134"/>
      <c r="AD116" s="134"/>
    </row>
    <row r="117" spans="1:30" outlineLevel="1" x14ac:dyDescent="0.2">
      <c r="A117" s="22">
        <v>17</v>
      </c>
      <c r="B117" s="22" t="str">
        <f t="shared" si="79"/>
        <v>PV of Increase in forecast year 16 lease commitments</v>
      </c>
      <c r="C117" s="149">
        <f t="shared" si="75"/>
        <v>0</v>
      </c>
      <c r="D117" s="150">
        <f t="shared" ref="D117:W117" si="95">(D82-C83)/(POWER((1+D$38),$A117))</f>
        <v>0</v>
      </c>
      <c r="E117" s="150">
        <f t="shared" si="95"/>
        <v>0</v>
      </c>
      <c r="F117" s="150">
        <f t="shared" si="95"/>
        <v>0</v>
      </c>
      <c r="G117" s="150">
        <f t="shared" si="95"/>
        <v>0</v>
      </c>
      <c r="H117" s="150">
        <f t="shared" si="95"/>
        <v>0</v>
      </c>
      <c r="I117" s="150">
        <f t="shared" si="95"/>
        <v>0</v>
      </c>
      <c r="J117" s="150">
        <f t="shared" si="95"/>
        <v>0</v>
      </c>
      <c r="K117" s="150">
        <f t="shared" si="95"/>
        <v>0</v>
      </c>
      <c r="L117" s="150">
        <f t="shared" si="95"/>
        <v>0</v>
      </c>
      <c r="M117" s="150">
        <f t="shared" si="95"/>
        <v>0</v>
      </c>
      <c r="N117" s="150">
        <f t="shared" si="95"/>
        <v>0</v>
      </c>
      <c r="O117" s="150">
        <f t="shared" si="95"/>
        <v>0</v>
      </c>
      <c r="P117" s="150">
        <f t="shared" si="95"/>
        <v>0</v>
      </c>
      <c r="Q117" s="150">
        <f t="shared" si="95"/>
        <v>0</v>
      </c>
      <c r="R117" s="150">
        <f t="shared" si="95"/>
        <v>0</v>
      </c>
      <c r="S117" s="150">
        <f t="shared" si="95"/>
        <v>0</v>
      </c>
      <c r="T117" s="150">
        <f t="shared" si="95"/>
        <v>0</v>
      </c>
      <c r="U117" s="150">
        <f t="shared" si="95"/>
        <v>0</v>
      </c>
      <c r="V117" s="150">
        <f t="shared" si="95"/>
        <v>0</v>
      </c>
      <c r="W117" s="150">
        <f t="shared" si="95"/>
        <v>0</v>
      </c>
      <c r="X117" s="150">
        <f t="shared" si="77"/>
        <v>0</v>
      </c>
      <c r="Y117" s="150">
        <f t="shared" si="78"/>
        <v>0</v>
      </c>
      <c r="Z117" s="150">
        <f t="shared" si="78"/>
        <v>0</v>
      </c>
      <c r="AA117" s="150">
        <f t="shared" si="78"/>
        <v>0</v>
      </c>
      <c r="AB117" s="150">
        <f t="shared" si="78"/>
        <v>0</v>
      </c>
      <c r="AC117" s="134"/>
      <c r="AD117" s="134"/>
    </row>
    <row r="118" spans="1:30" outlineLevel="1" x14ac:dyDescent="0.2">
      <c r="A118" s="22">
        <v>18</v>
      </c>
      <c r="B118" s="22" t="str">
        <f t="shared" si="79"/>
        <v>PV of Increase in forecast year 17 lease commitments</v>
      </c>
      <c r="C118" s="149">
        <f t="shared" si="75"/>
        <v>0</v>
      </c>
      <c r="D118" s="150">
        <f t="shared" ref="D118:W118" si="96">(D83-C84)/(POWER((1+D$38),$A118))</f>
        <v>0</v>
      </c>
      <c r="E118" s="150">
        <f t="shared" si="96"/>
        <v>0</v>
      </c>
      <c r="F118" s="150">
        <f t="shared" si="96"/>
        <v>0</v>
      </c>
      <c r="G118" s="150">
        <f t="shared" si="96"/>
        <v>0</v>
      </c>
      <c r="H118" s="150">
        <f t="shared" si="96"/>
        <v>0</v>
      </c>
      <c r="I118" s="150">
        <f t="shared" si="96"/>
        <v>0</v>
      </c>
      <c r="J118" s="150">
        <f t="shared" si="96"/>
        <v>0</v>
      </c>
      <c r="K118" s="150">
        <f t="shared" si="96"/>
        <v>0</v>
      </c>
      <c r="L118" s="150">
        <f t="shared" si="96"/>
        <v>0</v>
      </c>
      <c r="M118" s="150">
        <f t="shared" si="96"/>
        <v>0</v>
      </c>
      <c r="N118" s="150">
        <f t="shared" si="96"/>
        <v>0</v>
      </c>
      <c r="O118" s="150">
        <f t="shared" si="96"/>
        <v>0</v>
      </c>
      <c r="P118" s="150">
        <f t="shared" si="96"/>
        <v>0</v>
      </c>
      <c r="Q118" s="150">
        <f t="shared" si="96"/>
        <v>0</v>
      </c>
      <c r="R118" s="150">
        <f t="shared" si="96"/>
        <v>0</v>
      </c>
      <c r="S118" s="150">
        <f t="shared" si="96"/>
        <v>0</v>
      </c>
      <c r="T118" s="150">
        <f t="shared" si="96"/>
        <v>0</v>
      </c>
      <c r="U118" s="150">
        <f t="shared" si="96"/>
        <v>0</v>
      </c>
      <c r="V118" s="150">
        <f t="shared" si="96"/>
        <v>0</v>
      </c>
      <c r="W118" s="150">
        <f t="shared" si="96"/>
        <v>0</v>
      </c>
      <c r="X118" s="150">
        <f t="shared" si="77"/>
        <v>0</v>
      </c>
      <c r="Y118" s="150">
        <f t="shared" si="78"/>
        <v>0</v>
      </c>
      <c r="Z118" s="150">
        <f t="shared" si="78"/>
        <v>0</v>
      </c>
      <c r="AA118" s="150">
        <f t="shared" si="78"/>
        <v>0</v>
      </c>
      <c r="AB118" s="150">
        <f t="shared" si="78"/>
        <v>0</v>
      </c>
      <c r="AC118" s="134"/>
      <c r="AD118" s="134"/>
    </row>
    <row r="119" spans="1:30" outlineLevel="1" x14ac:dyDescent="0.2">
      <c r="A119" s="22">
        <v>19</v>
      </c>
      <c r="B119" s="22" t="str">
        <f t="shared" si="79"/>
        <v>PV of Increase in forecast year 18 lease commitments</v>
      </c>
      <c r="C119" s="149">
        <f t="shared" si="75"/>
        <v>0</v>
      </c>
      <c r="D119" s="150">
        <f t="shared" ref="D119:W119" si="97">(D84-C85)/(POWER((1+D$38),$A119))</f>
        <v>0</v>
      </c>
      <c r="E119" s="150">
        <f t="shared" si="97"/>
        <v>0</v>
      </c>
      <c r="F119" s="150">
        <f t="shared" si="97"/>
        <v>0</v>
      </c>
      <c r="G119" s="150">
        <f t="shared" si="97"/>
        <v>0</v>
      </c>
      <c r="H119" s="150">
        <f t="shared" si="97"/>
        <v>0</v>
      </c>
      <c r="I119" s="150">
        <f t="shared" si="97"/>
        <v>0</v>
      </c>
      <c r="J119" s="150">
        <f t="shared" si="97"/>
        <v>0</v>
      </c>
      <c r="K119" s="150">
        <f t="shared" si="97"/>
        <v>0</v>
      </c>
      <c r="L119" s="150">
        <f t="shared" si="97"/>
        <v>0</v>
      </c>
      <c r="M119" s="150">
        <f t="shared" si="97"/>
        <v>0</v>
      </c>
      <c r="N119" s="150">
        <f t="shared" si="97"/>
        <v>0</v>
      </c>
      <c r="O119" s="150">
        <f t="shared" si="97"/>
        <v>0</v>
      </c>
      <c r="P119" s="150">
        <f t="shared" si="97"/>
        <v>0</v>
      </c>
      <c r="Q119" s="150">
        <f t="shared" si="97"/>
        <v>0</v>
      </c>
      <c r="R119" s="150">
        <f t="shared" si="97"/>
        <v>0</v>
      </c>
      <c r="S119" s="150">
        <f t="shared" si="97"/>
        <v>0</v>
      </c>
      <c r="T119" s="150">
        <f t="shared" si="97"/>
        <v>0</v>
      </c>
      <c r="U119" s="150">
        <f t="shared" si="97"/>
        <v>0</v>
      </c>
      <c r="V119" s="150">
        <f t="shared" si="97"/>
        <v>0</v>
      </c>
      <c r="W119" s="150">
        <f t="shared" si="97"/>
        <v>0</v>
      </c>
      <c r="X119" s="150">
        <f t="shared" si="77"/>
        <v>0</v>
      </c>
      <c r="Y119" s="150">
        <f t="shared" si="78"/>
        <v>0</v>
      </c>
      <c r="Z119" s="150">
        <f t="shared" si="78"/>
        <v>0</v>
      </c>
      <c r="AA119" s="150">
        <f t="shared" si="78"/>
        <v>0</v>
      </c>
      <c r="AB119" s="150">
        <f t="shared" si="78"/>
        <v>0</v>
      </c>
      <c r="AC119" s="134"/>
      <c r="AD119" s="134"/>
    </row>
    <row r="120" spans="1:30" outlineLevel="1" x14ac:dyDescent="0.2">
      <c r="A120" s="22">
        <f t="shared" ref="A120:A130" si="98">A119+1</f>
        <v>20</v>
      </c>
      <c r="B120" s="22" t="str">
        <f t="shared" si="79"/>
        <v>PV of Increase in forecast year 19 lease commitments</v>
      </c>
      <c r="C120" s="149">
        <f t="shared" si="75"/>
        <v>0</v>
      </c>
      <c r="D120" s="150">
        <f t="shared" ref="D120:W120" si="99">(D85-C86)/(POWER((1+D$38),$A120))</f>
        <v>0</v>
      </c>
      <c r="E120" s="150">
        <f t="shared" si="99"/>
        <v>0</v>
      </c>
      <c r="F120" s="150">
        <f t="shared" si="99"/>
        <v>0</v>
      </c>
      <c r="G120" s="150">
        <f t="shared" si="99"/>
        <v>0</v>
      </c>
      <c r="H120" s="150">
        <f t="shared" si="99"/>
        <v>0</v>
      </c>
      <c r="I120" s="150">
        <f t="shared" si="99"/>
        <v>0</v>
      </c>
      <c r="J120" s="150">
        <f t="shared" si="99"/>
        <v>0</v>
      </c>
      <c r="K120" s="150">
        <f t="shared" si="99"/>
        <v>0</v>
      </c>
      <c r="L120" s="150">
        <f t="shared" si="99"/>
        <v>0</v>
      </c>
      <c r="M120" s="150">
        <f t="shared" si="99"/>
        <v>0</v>
      </c>
      <c r="N120" s="150">
        <f t="shared" si="99"/>
        <v>0</v>
      </c>
      <c r="O120" s="150">
        <f t="shared" si="99"/>
        <v>0</v>
      </c>
      <c r="P120" s="150">
        <f t="shared" si="99"/>
        <v>0</v>
      </c>
      <c r="Q120" s="150">
        <f t="shared" si="99"/>
        <v>0</v>
      </c>
      <c r="R120" s="150">
        <f t="shared" si="99"/>
        <v>0</v>
      </c>
      <c r="S120" s="150">
        <f t="shared" si="99"/>
        <v>0</v>
      </c>
      <c r="T120" s="150">
        <f t="shared" si="99"/>
        <v>0</v>
      </c>
      <c r="U120" s="150">
        <f t="shared" si="99"/>
        <v>0</v>
      </c>
      <c r="V120" s="150">
        <f t="shared" si="99"/>
        <v>0</v>
      </c>
      <c r="W120" s="150">
        <f t="shared" si="99"/>
        <v>0</v>
      </c>
      <c r="X120" s="150">
        <f t="shared" si="77"/>
        <v>0</v>
      </c>
      <c r="Y120" s="150">
        <f t="shared" si="78"/>
        <v>0</v>
      </c>
      <c r="Z120" s="150">
        <f t="shared" si="78"/>
        <v>0</v>
      </c>
      <c r="AA120" s="150">
        <f t="shared" si="78"/>
        <v>0</v>
      </c>
      <c r="AB120" s="150">
        <f t="shared" si="78"/>
        <v>0</v>
      </c>
      <c r="AC120" s="134"/>
      <c r="AD120" s="134"/>
    </row>
    <row r="121" spans="1:30" outlineLevel="1" x14ac:dyDescent="0.2">
      <c r="A121" s="22">
        <f t="shared" si="98"/>
        <v>21</v>
      </c>
      <c r="B121" s="22" t="str">
        <f t="shared" si="79"/>
        <v>PV of Increase in forecast year 20 lease commitments</v>
      </c>
      <c r="C121" s="149">
        <f t="shared" si="75"/>
        <v>0</v>
      </c>
      <c r="D121" s="150">
        <f t="shared" ref="D121:W121" si="100">(D86-C87)/(POWER((1+D$38),$A121))</f>
        <v>0</v>
      </c>
      <c r="E121" s="150">
        <f t="shared" si="100"/>
        <v>0</v>
      </c>
      <c r="F121" s="150">
        <f t="shared" si="100"/>
        <v>0</v>
      </c>
      <c r="G121" s="150">
        <f t="shared" si="100"/>
        <v>0</v>
      </c>
      <c r="H121" s="150">
        <f t="shared" si="100"/>
        <v>0</v>
      </c>
      <c r="I121" s="150">
        <f t="shared" si="100"/>
        <v>0</v>
      </c>
      <c r="J121" s="150">
        <f t="shared" si="100"/>
        <v>0</v>
      </c>
      <c r="K121" s="150">
        <f t="shared" si="100"/>
        <v>0</v>
      </c>
      <c r="L121" s="150">
        <f t="shared" si="100"/>
        <v>0</v>
      </c>
      <c r="M121" s="150">
        <f t="shared" si="100"/>
        <v>0</v>
      </c>
      <c r="N121" s="150">
        <f t="shared" si="100"/>
        <v>0</v>
      </c>
      <c r="O121" s="150">
        <f t="shared" si="100"/>
        <v>0</v>
      </c>
      <c r="P121" s="150">
        <f t="shared" si="100"/>
        <v>0</v>
      </c>
      <c r="Q121" s="150">
        <f t="shared" si="100"/>
        <v>0</v>
      </c>
      <c r="R121" s="150">
        <f t="shared" si="100"/>
        <v>0</v>
      </c>
      <c r="S121" s="150">
        <f t="shared" si="100"/>
        <v>0</v>
      </c>
      <c r="T121" s="150">
        <f t="shared" si="100"/>
        <v>0</v>
      </c>
      <c r="U121" s="150">
        <f t="shared" si="100"/>
        <v>0</v>
      </c>
      <c r="V121" s="150">
        <f t="shared" si="100"/>
        <v>0</v>
      </c>
      <c r="W121" s="150">
        <f t="shared" si="100"/>
        <v>0</v>
      </c>
      <c r="X121" s="150">
        <f t="shared" si="77"/>
        <v>0</v>
      </c>
      <c r="Y121" s="150">
        <f t="shared" si="78"/>
        <v>0</v>
      </c>
      <c r="Z121" s="150">
        <f t="shared" si="78"/>
        <v>0</v>
      </c>
      <c r="AA121" s="150">
        <f t="shared" si="78"/>
        <v>0</v>
      </c>
      <c r="AB121" s="150">
        <f t="shared" si="78"/>
        <v>0</v>
      </c>
      <c r="AC121" s="134"/>
      <c r="AD121" s="134"/>
    </row>
    <row r="122" spans="1:30" outlineLevel="1" x14ac:dyDescent="0.2">
      <c r="A122" s="22">
        <f t="shared" si="98"/>
        <v>22</v>
      </c>
      <c r="B122" s="22" t="str">
        <f t="shared" si="79"/>
        <v>PV of Increase in forecast year 21 lease commitments</v>
      </c>
      <c r="C122" s="149">
        <f t="shared" si="75"/>
        <v>0</v>
      </c>
      <c r="D122" s="150">
        <f t="shared" ref="D122:W122" si="101">(D87-C88)/(POWER((1+D$38),$A122))</f>
        <v>0</v>
      </c>
      <c r="E122" s="150">
        <f t="shared" si="101"/>
        <v>0</v>
      </c>
      <c r="F122" s="150">
        <f t="shared" si="101"/>
        <v>0</v>
      </c>
      <c r="G122" s="150">
        <f t="shared" si="101"/>
        <v>0</v>
      </c>
      <c r="H122" s="150">
        <f t="shared" si="101"/>
        <v>0</v>
      </c>
      <c r="I122" s="150">
        <f t="shared" si="101"/>
        <v>0</v>
      </c>
      <c r="J122" s="150">
        <f t="shared" si="101"/>
        <v>0</v>
      </c>
      <c r="K122" s="150">
        <f t="shared" si="101"/>
        <v>0</v>
      </c>
      <c r="L122" s="150">
        <f t="shared" si="101"/>
        <v>0</v>
      </c>
      <c r="M122" s="150">
        <f t="shared" si="101"/>
        <v>0</v>
      </c>
      <c r="N122" s="150">
        <f t="shared" si="101"/>
        <v>0</v>
      </c>
      <c r="O122" s="150">
        <f t="shared" si="101"/>
        <v>0</v>
      </c>
      <c r="P122" s="150">
        <f t="shared" si="101"/>
        <v>0</v>
      </c>
      <c r="Q122" s="150">
        <f t="shared" si="101"/>
        <v>0</v>
      </c>
      <c r="R122" s="150">
        <f t="shared" si="101"/>
        <v>0</v>
      </c>
      <c r="S122" s="150">
        <f t="shared" si="101"/>
        <v>0</v>
      </c>
      <c r="T122" s="150">
        <f t="shared" si="101"/>
        <v>0</v>
      </c>
      <c r="U122" s="150">
        <f t="shared" si="101"/>
        <v>0</v>
      </c>
      <c r="V122" s="150">
        <f t="shared" si="101"/>
        <v>0</v>
      </c>
      <c r="W122" s="150">
        <f t="shared" si="101"/>
        <v>0</v>
      </c>
      <c r="X122" s="150">
        <f t="shared" si="77"/>
        <v>0</v>
      </c>
      <c r="Y122" s="150">
        <f t="shared" si="78"/>
        <v>0</v>
      </c>
      <c r="Z122" s="150">
        <f t="shared" si="78"/>
        <v>0</v>
      </c>
      <c r="AA122" s="150">
        <f t="shared" si="78"/>
        <v>0</v>
      </c>
      <c r="AB122" s="150">
        <f t="shared" si="78"/>
        <v>0</v>
      </c>
      <c r="AC122" s="134"/>
      <c r="AD122" s="134"/>
    </row>
    <row r="123" spans="1:30" outlineLevel="1" x14ac:dyDescent="0.2">
      <c r="A123" s="22">
        <f t="shared" si="98"/>
        <v>23</v>
      </c>
      <c r="B123" s="22" t="str">
        <f t="shared" si="79"/>
        <v>PV of Increase in forecast year 22 lease commitments</v>
      </c>
      <c r="C123" s="149">
        <f t="shared" si="75"/>
        <v>0</v>
      </c>
      <c r="D123" s="150">
        <f t="shared" ref="D123:W123" si="102">(D88-C89)/(POWER((1+D$38),$A123))</f>
        <v>0</v>
      </c>
      <c r="E123" s="150">
        <f t="shared" si="102"/>
        <v>0</v>
      </c>
      <c r="F123" s="150">
        <f t="shared" si="102"/>
        <v>0</v>
      </c>
      <c r="G123" s="150">
        <f t="shared" si="102"/>
        <v>0</v>
      </c>
      <c r="H123" s="150">
        <f t="shared" si="102"/>
        <v>0</v>
      </c>
      <c r="I123" s="150">
        <f t="shared" si="102"/>
        <v>0</v>
      </c>
      <c r="J123" s="150">
        <f t="shared" si="102"/>
        <v>0</v>
      </c>
      <c r="K123" s="150">
        <f t="shared" si="102"/>
        <v>0</v>
      </c>
      <c r="L123" s="150">
        <f t="shared" si="102"/>
        <v>0</v>
      </c>
      <c r="M123" s="150">
        <f t="shared" si="102"/>
        <v>0</v>
      </c>
      <c r="N123" s="150">
        <f t="shared" si="102"/>
        <v>0</v>
      </c>
      <c r="O123" s="150">
        <f t="shared" si="102"/>
        <v>0</v>
      </c>
      <c r="P123" s="150">
        <f t="shared" si="102"/>
        <v>0</v>
      </c>
      <c r="Q123" s="150">
        <f t="shared" si="102"/>
        <v>0</v>
      </c>
      <c r="R123" s="150">
        <f t="shared" si="102"/>
        <v>0</v>
      </c>
      <c r="S123" s="150">
        <f t="shared" si="102"/>
        <v>0</v>
      </c>
      <c r="T123" s="150">
        <f t="shared" si="102"/>
        <v>0</v>
      </c>
      <c r="U123" s="150">
        <f t="shared" si="102"/>
        <v>0</v>
      </c>
      <c r="V123" s="150">
        <f t="shared" si="102"/>
        <v>0</v>
      </c>
      <c r="W123" s="150">
        <f t="shared" si="102"/>
        <v>0</v>
      </c>
      <c r="X123" s="150">
        <f t="shared" si="77"/>
        <v>0</v>
      </c>
      <c r="Y123" s="150">
        <f t="shared" si="78"/>
        <v>0</v>
      </c>
      <c r="Z123" s="150">
        <f t="shared" si="78"/>
        <v>0</v>
      </c>
      <c r="AA123" s="150">
        <f t="shared" si="78"/>
        <v>0</v>
      </c>
      <c r="AB123" s="150">
        <f t="shared" si="78"/>
        <v>0</v>
      </c>
      <c r="AC123" s="134"/>
      <c r="AD123" s="134"/>
    </row>
    <row r="124" spans="1:30" outlineLevel="1" x14ac:dyDescent="0.2">
      <c r="A124" s="22">
        <f t="shared" si="98"/>
        <v>24</v>
      </c>
      <c r="B124" s="22" t="str">
        <f t="shared" si="79"/>
        <v>PV of Increase in forecast year 23 lease commitments</v>
      </c>
      <c r="C124" s="149">
        <f t="shared" si="75"/>
        <v>0</v>
      </c>
      <c r="D124" s="150">
        <f t="shared" ref="D124:W124" si="103">(D89-C90)/(POWER((1+D$38),$A124))</f>
        <v>0</v>
      </c>
      <c r="E124" s="150">
        <f t="shared" si="103"/>
        <v>0</v>
      </c>
      <c r="F124" s="150">
        <f t="shared" si="103"/>
        <v>0</v>
      </c>
      <c r="G124" s="150">
        <f t="shared" si="103"/>
        <v>0</v>
      </c>
      <c r="H124" s="150">
        <f t="shared" si="103"/>
        <v>0</v>
      </c>
      <c r="I124" s="150">
        <f t="shared" si="103"/>
        <v>0</v>
      </c>
      <c r="J124" s="150">
        <f t="shared" si="103"/>
        <v>0</v>
      </c>
      <c r="K124" s="150">
        <f t="shared" si="103"/>
        <v>0</v>
      </c>
      <c r="L124" s="150">
        <f t="shared" si="103"/>
        <v>0</v>
      </c>
      <c r="M124" s="150">
        <f t="shared" si="103"/>
        <v>0</v>
      </c>
      <c r="N124" s="150">
        <f t="shared" si="103"/>
        <v>0</v>
      </c>
      <c r="O124" s="150">
        <f t="shared" si="103"/>
        <v>0</v>
      </c>
      <c r="P124" s="150">
        <f t="shared" si="103"/>
        <v>0</v>
      </c>
      <c r="Q124" s="150">
        <f t="shared" si="103"/>
        <v>0</v>
      </c>
      <c r="R124" s="150">
        <f t="shared" si="103"/>
        <v>0</v>
      </c>
      <c r="S124" s="150">
        <f t="shared" si="103"/>
        <v>0</v>
      </c>
      <c r="T124" s="150">
        <f t="shared" si="103"/>
        <v>0</v>
      </c>
      <c r="U124" s="150">
        <f t="shared" si="103"/>
        <v>0</v>
      </c>
      <c r="V124" s="150">
        <f t="shared" si="103"/>
        <v>0</v>
      </c>
      <c r="W124" s="150">
        <f t="shared" si="103"/>
        <v>0</v>
      </c>
      <c r="X124" s="150">
        <f t="shared" si="77"/>
        <v>0</v>
      </c>
      <c r="Y124" s="150">
        <f t="shared" si="78"/>
        <v>0</v>
      </c>
      <c r="Z124" s="150">
        <f t="shared" si="78"/>
        <v>0</v>
      </c>
      <c r="AA124" s="150">
        <f t="shared" si="78"/>
        <v>0</v>
      </c>
      <c r="AB124" s="150">
        <f t="shared" si="78"/>
        <v>0</v>
      </c>
      <c r="AC124" s="134"/>
      <c r="AD124" s="134"/>
    </row>
    <row r="125" spans="1:30" outlineLevel="1" x14ac:dyDescent="0.2">
      <c r="A125" s="22">
        <f t="shared" si="98"/>
        <v>25</v>
      </c>
      <c r="B125" s="22" t="str">
        <f t="shared" si="79"/>
        <v>PV of Increase in forecast year 24 lease commitments</v>
      </c>
      <c r="C125" s="149">
        <f t="shared" si="75"/>
        <v>0</v>
      </c>
      <c r="D125" s="150">
        <f t="shared" ref="D125:W125" si="104">(D90-C91)/(POWER((1+D$38),$A125))</f>
        <v>0</v>
      </c>
      <c r="E125" s="150">
        <f t="shared" si="104"/>
        <v>0</v>
      </c>
      <c r="F125" s="150">
        <f t="shared" si="104"/>
        <v>0</v>
      </c>
      <c r="G125" s="150">
        <f t="shared" si="104"/>
        <v>0</v>
      </c>
      <c r="H125" s="150">
        <f t="shared" si="104"/>
        <v>0</v>
      </c>
      <c r="I125" s="150">
        <f t="shared" si="104"/>
        <v>0</v>
      </c>
      <c r="J125" s="150">
        <f t="shared" si="104"/>
        <v>0</v>
      </c>
      <c r="K125" s="150">
        <f t="shared" si="104"/>
        <v>0</v>
      </c>
      <c r="L125" s="150">
        <f t="shared" si="104"/>
        <v>0</v>
      </c>
      <c r="M125" s="150">
        <f t="shared" si="104"/>
        <v>0</v>
      </c>
      <c r="N125" s="150">
        <f t="shared" si="104"/>
        <v>0</v>
      </c>
      <c r="O125" s="150">
        <f t="shared" si="104"/>
        <v>0</v>
      </c>
      <c r="P125" s="150">
        <f t="shared" si="104"/>
        <v>0</v>
      </c>
      <c r="Q125" s="150">
        <f t="shared" si="104"/>
        <v>0</v>
      </c>
      <c r="R125" s="150">
        <f t="shared" si="104"/>
        <v>0</v>
      </c>
      <c r="S125" s="150">
        <f t="shared" si="104"/>
        <v>0</v>
      </c>
      <c r="T125" s="150">
        <f t="shared" si="104"/>
        <v>0</v>
      </c>
      <c r="U125" s="150">
        <f t="shared" si="104"/>
        <v>0</v>
      </c>
      <c r="V125" s="150">
        <f t="shared" si="104"/>
        <v>0</v>
      </c>
      <c r="W125" s="150">
        <f t="shared" si="104"/>
        <v>0</v>
      </c>
      <c r="X125" s="150">
        <f t="shared" si="77"/>
        <v>0</v>
      </c>
      <c r="Y125" s="150">
        <f t="shared" si="78"/>
        <v>0</v>
      </c>
      <c r="Z125" s="150">
        <f t="shared" si="78"/>
        <v>0</v>
      </c>
      <c r="AA125" s="150">
        <f t="shared" si="78"/>
        <v>0</v>
      </c>
      <c r="AB125" s="150">
        <f t="shared" si="78"/>
        <v>0</v>
      </c>
      <c r="AC125" s="134"/>
      <c r="AD125" s="134"/>
    </row>
    <row r="126" spans="1:30" outlineLevel="1" x14ac:dyDescent="0.2">
      <c r="A126" s="22">
        <f t="shared" si="98"/>
        <v>26</v>
      </c>
      <c r="B126" s="22" t="str">
        <f t="shared" si="79"/>
        <v>PV of Increase in forecast year 25 lease commitments</v>
      </c>
      <c r="C126" s="149">
        <f t="shared" si="75"/>
        <v>0</v>
      </c>
      <c r="D126" s="150">
        <f t="shared" ref="D126:W126" si="105">(D91-C92)/(POWER((1+D$38),$A126))</f>
        <v>0</v>
      </c>
      <c r="E126" s="150">
        <f t="shared" si="105"/>
        <v>0</v>
      </c>
      <c r="F126" s="150">
        <f t="shared" si="105"/>
        <v>0</v>
      </c>
      <c r="G126" s="150">
        <f t="shared" si="105"/>
        <v>0</v>
      </c>
      <c r="H126" s="150">
        <f t="shared" si="105"/>
        <v>0</v>
      </c>
      <c r="I126" s="150">
        <f t="shared" si="105"/>
        <v>0</v>
      </c>
      <c r="J126" s="150">
        <f t="shared" si="105"/>
        <v>0</v>
      </c>
      <c r="K126" s="150">
        <f t="shared" si="105"/>
        <v>0</v>
      </c>
      <c r="L126" s="150">
        <f t="shared" si="105"/>
        <v>0</v>
      </c>
      <c r="M126" s="150">
        <f t="shared" si="105"/>
        <v>0</v>
      </c>
      <c r="N126" s="150">
        <f t="shared" si="105"/>
        <v>0</v>
      </c>
      <c r="O126" s="150">
        <f t="shared" si="105"/>
        <v>0</v>
      </c>
      <c r="P126" s="150">
        <f t="shared" si="105"/>
        <v>0</v>
      </c>
      <c r="Q126" s="150">
        <f t="shared" si="105"/>
        <v>0</v>
      </c>
      <c r="R126" s="150">
        <f t="shared" si="105"/>
        <v>0</v>
      </c>
      <c r="S126" s="150">
        <f t="shared" si="105"/>
        <v>0</v>
      </c>
      <c r="T126" s="150">
        <f t="shared" si="105"/>
        <v>0</v>
      </c>
      <c r="U126" s="150">
        <f t="shared" si="105"/>
        <v>0</v>
      </c>
      <c r="V126" s="150">
        <f t="shared" si="105"/>
        <v>0</v>
      </c>
      <c r="W126" s="150">
        <f t="shared" si="105"/>
        <v>0</v>
      </c>
      <c r="X126" s="150">
        <f t="shared" si="77"/>
        <v>0</v>
      </c>
      <c r="Y126" s="150">
        <f t="shared" si="78"/>
        <v>0</v>
      </c>
      <c r="Z126" s="150">
        <f t="shared" si="78"/>
        <v>0</v>
      </c>
      <c r="AA126" s="150">
        <f t="shared" si="78"/>
        <v>0</v>
      </c>
      <c r="AB126" s="150">
        <f t="shared" si="78"/>
        <v>0</v>
      </c>
      <c r="AC126" s="134"/>
      <c r="AD126" s="134"/>
    </row>
    <row r="127" spans="1:30" outlineLevel="1" x14ac:dyDescent="0.2">
      <c r="A127" s="22">
        <f t="shared" si="98"/>
        <v>27</v>
      </c>
      <c r="B127" s="22" t="str">
        <f t="shared" si="79"/>
        <v>PV of Increase in forecast year 26 lease commitments</v>
      </c>
      <c r="C127" s="149">
        <f t="shared" si="75"/>
        <v>0</v>
      </c>
      <c r="D127" s="150">
        <f t="shared" ref="D127:W127" si="106">(D92-C93)/(POWER((1+D$38),$A127))</f>
        <v>0</v>
      </c>
      <c r="E127" s="150">
        <f t="shared" si="106"/>
        <v>0</v>
      </c>
      <c r="F127" s="150">
        <f t="shared" si="106"/>
        <v>0</v>
      </c>
      <c r="G127" s="150">
        <f t="shared" si="106"/>
        <v>0</v>
      </c>
      <c r="H127" s="150">
        <f t="shared" si="106"/>
        <v>0</v>
      </c>
      <c r="I127" s="150">
        <f t="shared" si="106"/>
        <v>0</v>
      </c>
      <c r="J127" s="150">
        <f t="shared" si="106"/>
        <v>0</v>
      </c>
      <c r="K127" s="150">
        <f t="shared" si="106"/>
        <v>0</v>
      </c>
      <c r="L127" s="150">
        <f t="shared" si="106"/>
        <v>0</v>
      </c>
      <c r="M127" s="150">
        <f t="shared" si="106"/>
        <v>0</v>
      </c>
      <c r="N127" s="150">
        <f t="shared" si="106"/>
        <v>0</v>
      </c>
      <c r="O127" s="150">
        <f t="shared" si="106"/>
        <v>0</v>
      </c>
      <c r="P127" s="150">
        <f t="shared" si="106"/>
        <v>0</v>
      </c>
      <c r="Q127" s="150">
        <f t="shared" si="106"/>
        <v>0</v>
      </c>
      <c r="R127" s="150">
        <f t="shared" si="106"/>
        <v>0</v>
      </c>
      <c r="S127" s="150">
        <f t="shared" si="106"/>
        <v>0</v>
      </c>
      <c r="T127" s="150">
        <f t="shared" si="106"/>
        <v>0</v>
      </c>
      <c r="U127" s="150">
        <f t="shared" si="106"/>
        <v>0</v>
      </c>
      <c r="V127" s="150">
        <f t="shared" si="106"/>
        <v>0</v>
      </c>
      <c r="W127" s="150">
        <f t="shared" si="106"/>
        <v>0</v>
      </c>
      <c r="X127" s="150">
        <f t="shared" si="77"/>
        <v>0</v>
      </c>
      <c r="Y127" s="150">
        <f t="shared" si="78"/>
        <v>0</v>
      </c>
      <c r="Z127" s="150">
        <f t="shared" si="78"/>
        <v>0</v>
      </c>
      <c r="AA127" s="150">
        <f t="shared" si="78"/>
        <v>0</v>
      </c>
      <c r="AB127" s="150">
        <f t="shared" si="78"/>
        <v>0</v>
      </c>
      <c r="AC127" s="134"/>
      <c r="AD127" s="134"/>
    </row>
    <row r="128" spans="1:30" outlineLevel="1" x14ac:dyDescent="0.2">
      <c r="A128" s="22">
        <f t="shared" si="98"/>
        <v>28</v>
      </c>
      <c r="B128" s="22" t="str">
        <f t="shared" si="79"/>
        <v>PV of Increase in forecast year 27 lease commitments</v>
      </c>
      <c r="C128" s="149">
        <f t="shared" si="75"/>
        <v>0</v>
      </c>
      <c r="D128" s="150">
        <f t="shared" ref="D128:W128" si="107">(D93-C94)/(POWER((1+D$38),$A128))</f>
        <v>0</v>
      </c>
      <c r="E128" s="150">
        <f t="shared" si="107"/>
        <v>0</v>
      </c>
      <c r="F128" s="150">
        <f t="shared" si="107"/>
        <v>0</v>
      </c>
      <c r="G128" s="150">
        <f t="shared" si="107"/>
        <v>0</v>
      </c>
      <c r="H128" s="150">
        <f t="shared" si="107"/>
        <v>0</v>
      </c>
      <c r="I128" s="150">
        <f t="shared" si="107"/>
        <v>0</v>
      </c>
      <c r="J128" s="150">
        <f t="shared" si="107"/>
        <v>0</v>
      </c>
      <c r="K128" s="150">
        <f t="shared" si="107"/>
        <v>0</v>
      </c>
      <c r="L128" s="150">
        <f t="shared" si="107"/>
        <v>0</v>
      </c>
      <c r="M128" s="150">
        <f t="shared" si="107"/>
        <v>0</v>
      </c>
      <c r="N128" s="150">
        <f t="shared" si="107"/>
        <v>0</v>
      </c>
      <c r="O128" s="150">
        <f t="shared" si="107"/>
        <v>0</v>
      </c>
      <c r="P128" s="150">
        <f t="shared" si="107"/>
        <v>0</v>
      </c>
      <c r="Q128" s="150">
        <f t="shared" si="107"/>
        <v>0</v>
      </c>
      <c r="R128" s="150">
        <f t="shared" si="107"/>
        <v>0</v>
      </c>
      <c r="S128" s="150">
        <f t="shared" si="107"/>
        <v>0</v>
      </c>
      <c r="T128" s="150">
        <f t="shared" si="107"/>
        <v>0</v>
      </c>
      <c r="U128" s="150">
        <f t="shared" si="107"/>
        <v>0</v>
      </c>
      <c r="V128" s="150">
        <f t="shared" si="107"/>
        <v>0</v>
      </c>
      <c r="W128" s="150">
        <f t="shared" si="107"/>
        <v>0</v>
      </c>
      <c r="X128" s="150">
        <f t="shared" si="77"/>
        <v>0</v>
      </c>
      <c r="Y128" s="150">
        <f t="shared" si="78"/>
        <v>0</v>
      </c>
      <c r="Z128" s="150">
        <f t="shared" si="78"/>
        <v>0</v>
      </c>
      <c r="AA128" s="150">
        <f t="shared" si="78"/>
        <v>0</v>
      </c>
      <c r="AB128" s="150">
        <f t="shared" si="78"/>
        <v>0</v>
      </c>
      <c r="AC128" s="134"/>
      <c r="AD128" s="134"/>
    </row>
    <row r="129" spans="1:30" outlineLevel="1" x14ac:dyDescent="0.2">
      <c r="A129" s="22">
        <f t="shared" si="98"/>
        <v>29</v>
      </c>
      <c r="B129" s="22" t="str">
        <f t="shared" si="79"/>
        <v>PV of Increase in forecast year 28 lease commitments</v>
      </c>
      <c r="C129" s="149">
        <f t="shared" si="75"/>
        <v>0</v>
      </c>
      <c r="D129" s="150">
        <f t="shared" ref="D129:W129" si="108">(D94-C95)/(POWER((1+D$38),$A129))</f>
        <v>0</v>
      </c>
      <c r="E129" s="150">
        <f t="shared" si="108"/>
        <v>0</v>
      </c>
      <c r="F129" s="150">
        <f t="shared" si="108"/>
        <v>0</v>
      </c>
      <c r="G129" s="150">
        <f t="shared" si="108"/>
        <v>0</v>
      </c>
      <c r="H129" s="150">
        <f t="shared" si="108"/>
        <v>0</v>
      </c>
      <c r="I129" s="150">
        <f t="shared" si="108"/>
        <v>0</v>
      </c>
      <c r="J129" s="150">
        <f t="shared" si="108"/>
        <v>0</v>
      </c>
      <c r="K129" s="150">
        <f t="shared" si="108"/>
        <v>0</v>
      </c>
      <c r="L129" s="150">
        <f t="shared" si="108"/>
        <v>0</v>
      </c>
      <c r="M129" s="150">
        <f t="shared" si="108"/>
        <v>0</v>
      </c>
      <c r="N129" s="150">
        <f t="shared" si="108"/>
        <v>0</v>
      </c>
      <c r="O129" s="150">
        <f t="shared" si="108"/>
        <v>0</v>
      </c>
      <c r="P129" s="150">
        <f t="shared" si="108"/>
        <v>0</v>
      </c>
      <c r="Q129" s="150">
        <f t="shared" si="108"/>
        <v>0</v>
      </c>
      <c r="R129" s="150">
        <f t="shared" si="108"/>
        <v>0</v>
      </c>
      <c r="S129" s="150">
        <f t="shared" si="108"/>
        <v>0</v>
      </c>
      <c r="T129" s="150">
        <f t="shared" si="108"/>
        <v>0</v>
      </c>
      <c r="U129" s="150">
        <f t="shared" si="108"/>
        <v>0</v>
      </c>
      <c r="V129" s="150">
        <f t="shared" si="108"/>
        <v>0</v>
      </c>
      <c r="W129" s="150">
        <f t="shared" si="108"/>
        <v>0</v>
      </c>
      <c r="X129" s="150">
        <f t="shared" si="77"/>
        <v>0</v>
      </c>
      <c r="Y129" s="150">
        <f t="shared" si="78"/>
        <v>0</v>
      </c>
      <c r="Z129" s="150">
        <f t="shared" si="78"/>
        <v>0</v>
      </c>
      <c r="AA129" s="150">
        <f t="shared" si="78"/>
        <v>0</v>
      </c>
      <c r="AB129" s="150">
        <f t="shared" si="78"/>
        <v>0</v>
      </c>
      <c r="AC129" s="134"/>
      <c r="AD129" s="134"/>
    </row>
    <row r="130" spans="1:30" outlineLevel="1" x14ac:dyDescent="0.2">
      <c r="A130" s="22">
        <f t="shared" si="98"/>
        <v>30</v>
      </c>
      <c r="B130" s="22" t="str">
        <f t="shared" si="79"/>
        <v>PV of Increase in forecast year 29 lease commitments</v>
      </c>
      <c r="C130" s="149">
        <f t="shared" si="75"/>
        <v>0</v>
      </c>
      <c r="D130" s="150">
        <f t="shared" ref="D130:W130" si="109">(D95-C96)/(POWER((1+D$38),$A130))</f>
        <v>0</v>
      </c>
      <c r="E130" s="150">
        <f t="shared" si="109"/>
        <v>0</v>
      </c>
      <c r="F130" s="150">
        <f t="shared" si="109"/>
        <v>0</v>
      </c>
      <c r="G130" s="150">
        <f t="shared" si="109"/>
        <v>0</v>
      </c>
      <c r="H130" s="150">
        <f t="shared" si="109"/>
        <v>0</v>
      </c>
      <c r="I130" s="150">
        <f t="shared" si="109"/>
        <v>0</v>
      </c>
      <c r="J130" s="150">
        <f t="shared" si="109"/>
        <v>0</v>
      </c>
      <c r="K130" s="150">
        <f t="shared" si="109"/>
        <v>0</v>
      </c>
      <c r="L130" s="150">
        <f t="shared" si="109"/>
        <v>0</v>
      </c>
      <c r="M130" s="150">
        <f t="shared" si="109"/>
        <v>0</v>
      </c>
      <c r="N130" s="150">
        <f t="shared" si="109"/>
        <v>0</v>
      </c>
      <c r="O130" s="150">
        <f t="shared" si="109"/>
        <v>0</v>
      </c>
      <c r="P130" s="150">
        <f t="shared" si="109"/>
        <v>0</v>
      </c>
      <c r="Q130" s="150">
        <f t="shared" si="109"/>
        <v>0</v>
      </c>
      <c r="R130" s="150">
        <f t="shared" si="109"/>
        <v>0</v>
      </c>
      <c r="S130" s="150">
        <f t="shared" si="109"/>
        <v>0</v>
      </c>
      <c r="T130" s="150">
        <f t="shared" si="109"/>
        <v>0</v>
      </c>
      <c r="U130" s="150">
        <f t="shared" si="109"/>
        <v>0</v>
      </c>
      <c r="V130" s="150">
        <f t="shared" si="109"/>
        <v>0</v>
      </c>
      <c r="W130" s="150">
        <f t="shared" si="109"/>
        <v>0</v>
      </c>
      <c r="X130" s="150">
        <f t="shared" si="77"/>
        <v>0</v>
      </c>
      <c r="Y130" s="150">
        <f t="shared" si="78"/>
        <v>0</v>
      </c>
      <c r="Z130" s="150">
        <f t="shared" si="78"/>
        <v>0</v>
      </c>
      <c r="AA130" s="150">
        <f t="shared" si="78"/>
        <v>0</v>
      </c>
      <c r="AB130" s="150">
        <f t="shared" si="78"/>
        <v>0</v>
      </c>
      <c r="AC130" s="134"/>
      <c r="AD130" s="134"/>
    </row>
    <row r="131" spans="1:30" outlineLevel="1" x14ac:dyDescent="0.2">
      <c r="A131" s="135"/>
      <c r="B131" s="22"/>
      <c r="C131" s="151"/>
      <c r="D131" s="151"/>
      <c r="E131" s="151"/>
      <c r="F131" s="151"/>
      <c r="G131" s="151"/>
      <c r="H131" s="151"/>
      <c r="I131" s="151"/>
      <c r="J131" s="151"/>
      <c r="K131" s="151"/>
      <c r="L131" s="151"/>
      <c r="M131" s="151"/>
      <c r="N131" s="151"/>
      <c r="O131" s="151"/>
      <c r="P131" s="151"/>
      <c r="Q131" s="151"/>
      <c r="R131" s="151"/>
      <c r="S131" s="151"/>
      <c r="T131" s="151"/>
      <c r="U131" s="151"/>
      <c r="V131" s="151"/>
      <c r="W131" s="151"/>
      <c r="X131" s="151"/>
      <c r="Y131" s="151"/>
      <c r="Z131" s="151"/>
      <c r="AA131" s="151"/>
      <c r="AB131" s="151"/>
      <c r="AC131" s="134"/>
      <c r="AD131" s="134"/>
    </row>
    <row r="132" spans="1:30" outlineLevel="1" x14ac:dyDescent="0.2">
      <c r="A132" s="22"/>
      <c r="B132" s="22" t="s">
        <v>437</v>
      </c>
      <c r="C132" s="152">
        <f t="shared" ref="C132:W132" si="110">SUM(C101:C131)</f>
        <v>266.61985786668214</v>
      </c>
      <c r="D132" s="153">
        <f t="shared" si="110"/>
        <v>27.966779731108073</v>
      </c>
      <c r="E132" s="153">
        <f t="shared" si="110"/>
        <v>98.024781705330028</v>
      </c>
      <c r="F132" s="153">
        <f t="shared" si="110"/>
        <v>62.039082533039775</v>
      </c>
      <c r="G132" s="153">
        <f t="shared" si="110"/>
        <v>49.60829992911377</v>
      </c>
      <c r="H132" s="153">
        <f t="shared" si="110"/>
        <v>55.05961096592732</v>
      </c>
      <c r="I132" s="153">
        <f t="shared" si="110"/>
        <v>108.68889749157817</v>
      </c>
      <c r="J132" s="153">
        <f t="shared" si="110"/>
        <v>18.03547229596024</v>
      </c>
      <c r="K132" s="153">
        <f t="shared" si="110"/>
        <v>62.972613156661716</v>
      </c>
      <c r="L132" s="153">
        <f t="shared" si="110"/>
        <v>35.326751135655705</v>
      </c>
      <c r="M132" s="153">
        <f t="shared" si="110"/>
        <v>37.090362081906662</v>
      </c>
      <c r="N132" s="153">
        <f t="shared" si="110"/>
        <v>-5.9748991962604059</v>
      </c>
      <c r="O132" s="153">
        <f t="shared" si="110"/>
        <v>122.11006901328633</v>
      </c>
      <c r="P132" s="153">
        <f t="shared" si="110"/>
        <v>160.1620878446254</v>
      </c>
      <c r="Q132" s="153">
        <f t="shared" si="110"/>
        <v>181.91213994497392</v>
      </c>
      <c r="R132" s="153">
        <f t="shared" si="110"/>
        <v>119.17391696926572</v>
      </c>
      <c r="S132" s="153">
        <f t="shared" si="110"/>
        <v>486.3893406241906</v>
      </c>
      <c r="T132" s="153">
        <f t="shared" si="110"/>
        <v>279.53476761992556</v>
      </c>
      <c r="U132" s="153">
        <f t="shared" si="110"/>
        <v>321.46498276291425</v>
      </c>
      <c r="V132" s="153">
        <f t="shared" si="110"/>
        <v>317.55367271325781</v>
      </c>
      <c r="W132" s="153">
        <f t="shared" si="110"/>
        <v>365.18672362024637</v>
      </c>
      <c r="X132" s="153">
        <f>SUM(X101:X131)</f>
        <v>419.96473216328337</v>
      </c>
      <c r="Y132" s="153">
        <f>SUM(Y101:Y131)</f>
        <v>482.9594419877759</v>
      </c>
      <c r="Z132" s="153">
        <f>SUM(Z101:Z131)</f>
        <v>555.40335828594209</v>
      </c>
      <c r="AA132" s="153">
        <f>SUM(AA101:AA131)</f>
        <v>638.71386202883332</v>
      </c>
      <c r="AB132" s="153">
        <f>SUM(AB101:AB131)</f>
        <v>734.52094133315825</v>
      </c>
      <c r="AC132" s="134"/>
      <c r="AD132" s="134"/>
    </row>
    <row r="133" spans="1:30" x14ac:dyDescent="0.2">
      <c r="A133" s="22"/>
      <c r="B133" s="154"/>
      <c r="C133" s="154"/>
      <c r="D133" s="154"/>
      <c r="E133" s="154"/>
      <c r="F133" s="154"/>
      <c r="G133" s="154"/>
      <c r="H133" s="154"/>
      <c r="I133" s="154"/>
      <c r="J133" s="154"/>
      <c r="K133" s="154"/>
      <c r="L133" s="154"/>
      <c r="M133" s="154"/>
      <c r="N133" s="154"/>
      <c r="O133" s="154"/>
      <c r="P133" s="120"/>
      <c r="Q133" s="120"/>
      <c r="R133" s="120"/>
      <c r="S133" s="42"/>
      <c r="T133" s="42"/>
      <c r="U133" s="42"/>
      <c r="V133" s="42"/>
      <c r="W133" s="42"/>
      <c r="X133" s="42"/>
      <c r="Y133" s="42"/>
      <c r="Z133" s="42"/>
      <c r="AA133" s="42"/>
      <c r="AB133" s="36"/>
      <c r="AC133" s="36"/>
      <c r="AD133" s="36"/>
    </row>
    <row r="134" spans="1:30" x14ac:dyDescent="0.2">
      <c r="A134" s="22"/>
      <c r="B134" s="22"/>
      <c r="C134" s="154"/>
      <c r="D134" s="154"/>
      <c r="E134" s="154"/>
      <c r="F134" s="154"/>
      <c r="G134" s="154"/>
      <c r="H134" s="154"/>
      <c r="I134" s="154"/>
      <c r="J134" s="154"/>
      <c r="K134" s="154"/>
      <c r="L134" s="154"/>
      <c r="M134" s="154"/>
      <c r="N134" s="154"/>
      <c r="O134" s="154"/>
      <c r="P134" s="41"/>
      <c r="Q134" s="42"/>
      <c r="R134" s="42"/>
      <c r="S134" s="42"/>
      <c r="T134" s="42"/>
      <c r="U134" s="42"/>
      <c r="V134" s="42"/>
      <c r="W134" s="42"/>
      <c r="X134" s="42"/>
      <c r="Y134" s="42"/>
      <c r="Z134" s="42"/>
      <c r="AA134" s="42"/>
      <c r="AB134" s="36"/>
      <c r="AC134" s="36"/>
      <c r="AD134" s="36"/>
    </row>
    <row r="135" spans="1:30" x14ac:dyDescent="0.2">
      <c r="A135" s="22"/>
      <c r="B135" s="22"/>
      <c r="C135" s="154"/>
      <c r="D135" s="154"/>
      <c r="E135" s="154"/>
      <c r="F135" s="154"/>
      <c r="G135" s="154"/>
      <c r="H135" s="154"/>
      <c r="I135" s="154"/>
      <c r="J135" s="154"/>
      <c r="K135" s="154"/>
      <c r="L135" s="154"/>
      <c r="M135" s="154"/>
      <c r="N135" s="154"/>
      <c r="O135" s="154"/>
      <c r="P135" s="41"/>
      <c r="Q135" s="42"/>
      <c r="R135" s="42"/>
      <c r="S135" s="42"/>
      <c r="T135" s="42"/>
      <c r="U135" s="42"/>
      <c r="V135" s="42"/>
      <c r="W135" s="42"/>
      <c r="X135" s="42"/>
      <c r="Y135" s="42"/>
      <c r="Z135" s="42"/>
      <c r="AA135" s="42"/>
      <c r="AB135" s="36"/>
      <c r="AC135" s="36"/>
      <c r="AD135" s="36"/>
    </row>
    <row r="136" spans="1:30" ht="11.45" customHeight="1" outlineLevel="1" x14ac:dyDescent="0.2">
      <c r="A136" s="22"/>
      <c r="B136" s="82" t="s">
        <v>438</v>
      </c>
      <c r="C136" s="29">
        <f t="shared" ref="C136:I136" si="111">D136-1</f>
        <v>1996</v>
      </c>
      <c r="D136" s="29">
        <f t="shared" si="111"/>
        <v>1997</v>
      </c>
      <c r="E136" s="29">
        <f t="shared" si="111"/>
        <v>1998</v>
      </c>
      <c r="F136" s="29">
        <f t="shared" si="111"/>
        <v>1999</v>
      </c>
      <c r="G136" s="29">
        <f t="shared" si="111"/>
        <v>2000</v>
      </c>
      <c r="H136" s="29">
        <f t="shared" si="111"/>
        <v>2001</v>
      </c>
      <c r="I136" s="29">
        <f t="shared" si="111"/>
        <v>2002</v>
      </c>
      <c r="J136" s="29">
        <v>2003</v>
      </c>
      <c r="K136" s="29">
        <v>2004</v>
      </c>
      <c r="L136" s="29">
        <f t="shared" ref="L136:V136" si="112">K136+1</f>
        <v>2005</v>
      </c>
      <c r="M136" s="29">
        <f t="shared" si="112"/>
        <v>2006</v>
      </c>
      <c r="N136" s="29">
        <f t="shared" si="112"/>
        <v>2007</v>
      </c>
      <c r="O136" s="29">
        <f t="shared" si="112"/>
        <v>2008</v>
      </c>
      <c r="P136" s="29">
        <f t="shared" si="112"/>
        <v>2009</v>
      </c>
      <c r="Q136" s="29">
        <f t="shared" si="112"/>
        <v>2010</v>
      </c>
      <c r="R136" s="29">
        <f t="shared" si="112"/>
        <v>2011</v>
      </c>
      <c r="S136" s="155">
        <f t="shared" si="112"/>
        <v>2012</v>
      </c>
      <c r="T136" s="155">
        <f t="shared" si="112"/>
        <v>2013</v>
      </c>
      <c r="U136" s="155">
        <f t="shared" si="112"/>
        <v>2014</v>
      </c>
      <c r="V136" s="155">
        <f t="shared" si="112"/>
        <v>2015</v>
      </c>
      <c r="W136" s="155">
        <f t="shared" ref="W136:AB136" si="113">V136+1</f>
        <v>2016</v>
      </c>
      <c r="X136" s="155">
        <f t="shared" si="113"/>
        <v>2017</v>
      </c>
      <c r="Y136" s="155">
        <f t="shared" si="113"/>
        <v>2018</v>
      </c>
      <c r="Z136" s="155">
        <f t="shared" si="113"/>
        <v>2019</v>
      </c>
      <c r="AA136" s="155">
        <f t="shared" si="113"/>
        <v>2020</v>
      </c>
      <c r="AB136" s="155">
        <f t="shared" si="113"/>
        <v>2021</v>
      </c>
      <c r="AC136" s="34"/>
      <c r="AD136" s="34"/>
    </row>
    <row r="137" spans="1:30" ht="11.45" customHeight="1" outlineLevel="1" x14ac:dyDescent="0.2">
      <c r="A137" s="22"/>
      <c r="B137" s="22"/>
      <c r="C137" s="156"/>
      <c r="D137" s="156"/>
      <c r="E137" s="156"/>
      <c r="F137" s="156"/>
      <c r="G137" s="156"/>
      <c r="H137" s="156"/>
      <c r="I137" s="156"/>
      <c r="J137" s="156"/>
      <c r="K137" s="34"/>
      <c r="L137" s="34"/>
      <c r="M137" s="34"/>
      <c r="N137" s="34"/>
      <c r="O137" s="34"/>
      <c r="P137" s="52"/>
      <c r="Q137" s="52"/>
      <c r="R137" s="52"/>
      <c r="S137" s="52"/>
      <c r="T137" s="52"/>
      <c r="U137" s="52"/>
      <c r="V137" s="52"/>
      <c r="W137" s="52"/>
      <c r="X137" s="52"/>
      <c r="Y137" s="52"/>
      <c r="Z137" s="52"/>
      <c r="AA137" s="52"/>
      <c r="AB137" s="34"/>
      <c r="AC137" s="34"/>
      <c r="AD137" s="34"/>
    </row>
    <row r="138" spans="1:30" ht="11.45" customHeight="1" outlineLevel="1" x14ac:dyDescent="0.2">
      <c r="A138" s="22"/>
      <c r="B138" s="22" t="s">
        <v>439</v>
      </c>
      <c r="C138" s="157">
        <f t="shared" ref="C138:Q138" si="114">C61</f>
        <v>14</v>
      </c>
      <c r="D138" s="157">
        <f t="shared" si="114"/>
        <v>15</v>
      </c>
      <c r="E138" s="157">
        <f t="shared" si="114"/>
        <v>16</v>
      </c>
      <c r="F138" s="157">
        <f t="shared" si="114"/>
        <v>14</v>
      </c>
      <c r="G138" s="157">
        <f t="shared" si="114"/>
        <v>14</v>
      </c>
      <c r="H138" s="157">
        <f t="shared" si="114"/>
        <v>14</v>
      </c>
      <c r="I138" s="157">
        <f t="shared" si="114"/>
        <v>14</v>
      </c>
      <c r="J138" s="157">
        <f t="shared" si="114"/>
        <v>13</v>
      </c>
      <c r="K138" s="157">
        <f t="shared" si="114"/>
        <v>12</v>
      </c>
      <c r="L138" s="157">
        <f t="shared" si="114"/>
        <v>12</v>
      </c>
      <c r="M138" s="157">
        <f t="shared" si="114"/>
        <v>11</v>
      </c>
      <c r="N138" s="157">
        <f t="shared" si="114"/>
        <v>12</v>
      </c>
      <c r="O138" s="157">
        <f t="shared" si="114"/>
        <v>12</v>
      </c>
      <c r="P138" s="157">
        <f t="shared" si="114"/>
        <v>12</v>
      </c>
      <c r="Q138" s="157">
        <f t="shared" si="114"/>
        <v>12</v>
      </c>
      <c r="R138" s="157">
        <f t="shared" ref="R138:W138" si="115">Q138</f>
        <v>12</v>
      </c>
      <c r="S138" s="158">
        <f t="shared" si="115"/>
        <v>12</v>
      </c>
      <c r="T138" s="158">
        <f t="shared" si="115"/>
        <v>12</v>
      </c>
      <c r="U138" s="158">
        <f t="shared" si="115"/>
        <v>12</v>
      </c>
      <c r="V138" s="158">
        <f t="shared" si="115"/>
        <v>12</v>
      </c>
      <c r="W138" s="158">
        <f t="shared" si="115"/>
        <v>12</v>
      </c>
      <c r="X138" s="158">
        <f>W138</f>
        <v>12</v>
      </c>
      <c r="Y138" s="158">
        <f>X138</f>
        <v>12</v>
      </c>
      <c r="Z138" s="158">
        <f>Y138</f>
        <v>12</v>
      </c>
      <c r="AA138" s="158">
        <f>Z138</f>
        <v>12</v>
      </c>
      <c r="AB138" s="158">
        <f>AA138</f>
        <v>12</v>
      </c>
      <c r="AC138" s="159"/>
      <c r="AD138" s="159"/>
    </row>
    <row r="139" spans="1:30" ht="11.45" customHeight="1" outlineLevel="1" x14ac:dyDescent="0.2">
      <c r="A139" s="22"/>
      <c r="B139" s="91" t="s">
        <v>440</v>
      </c>
      <c r="C139" s="160">
        <v>0.88</v>
      </c>
      <c r="D139" s="22"/>
      <c r="E139" s="22"/>
      <c r="F139" s="22"/>
      <c r="G139" s="22"/>
      <c r="H139" s="22"/>
      <c r="I139" s="22"/>
      <c r="J139" s="22"/>
      <c r="K139" s="22"/>
      <c r="L139" s="22"/>
      <c r="M139" s="22"/>
      <c r="N139" s="22"/>
      <c r="O139" s="22"/>
      <c r="P139" s="161"/>
      <c r="Q139" s="161"/>
      <c r="R139" s="161"/>
      <c r="S139" s="161"/>
      <c r="T139" s="161"/>
      <c r="U139" s="161"/>
      <c r="V139" s="161"/>
      <c r="W139" s="161"/>
      <c r="X139" s="161"/>
      <c r="Y139" s="161"/>
      <c r="Z139" s="161"/>
      <c r="AA139" s="161"/>
      <c r="AB139" s="94"/>
      <c r="AC139" s="94"/>
      <c r="AD139" s="94"/>
    </row>
    <row r="140" spans="1:30" ht="11.45" customHeight="1" outlineLevel="1" x14ac:dyDescent="0.2">
      <c r="A140" s="56"/>
      <c r="B140" s="74" t="s">
        <v>441</v>
      </c>
      <c r="C140" s="162">
        <f>$C$19/$C$138*2</f>
        <v>30.501444302886579</v>
      </c>
      <c r="D140" s="162">
        <f>$C$19/$C$138*$C$139*2</f>
        <v>26.841270986540192</v>
      </c>
      <c r="E140" s="163">
        <f>IF(SUM($C140:D140)+D140*$C$139&lt;$C$19,D140*$C$139,$C$19-SUM($C140:D140))</f>
        <v>23.620318468155368</v>
      </c>
      <c r="F140" s="163">
        <f>IF(SUM($C140:E140)+E140*$C$139&lt;$C$19,E140*$C$139,$C$19-SUM($C140:E140))</f>
        <v>20.785880251976725</v>
      </c>
      <c r="G140" s="163">
        <f>IF(SUM($C140:F140)+F140*$C$139&lt;$C$19,F140*$C$139,$C$19-SUM($C140:F140))</f>
        <v>18.291574621739517</v>
      </c>
      <c r="H140" s="163">
        <f>IF(SUM($C140:G140)+G140*$C$139&lt;$C$19,G140*$C$139,$C$19-SUM($C140:G140))</f>
        <v>16.096585667130775</v>
      </c>
      <c r="I140" s="163">
        <f>IF(SUM($C140:H140)+H140*$C$139&lt;$C$19,H140*$C$139,$C$19-SUM($C140:H140))</f>
        <v>14.164995387075082</v>
      </c>
      <c r="J140" s="163">
        <f>IF(SUM($C140:I140)+I140*$C$139&lt;$C$19,I140*$C$139,$C$19-SUM($C140:I140))</f>
        <v>12.465195940626073</v>
      </c>
      <c r="K140" s="163">
        <f>IF(SUM($C140:J140)+J140*$C$139&lt;$C$19,J140*$C$139,$C$19-SUM($C140:J140))</f>
        <v>10.969372427750944</v>
      </c>
      <c r="L140" s="163">
        <f>IF(SUM($C140:K140)+K140*$C$139&lt;$C$19,K140*$C$139,$C$19-SUM($C140:K140))</f>
        <v>9.6530477364208309</v>
      </c>
      <c r="M140" s="163">
        <f>IF(SUM($C140:L140)+L140*$C$139&lt;$C$19,L140*$C$139,$C$19-SUM($C140:L140))</f>
        <v>8.4946820080503311</v>
      </c>
      <c r="N140" s="163">
        <f>IF(SUM($C140:M140)+M140*$C$139&lt;$C$19,M140*$C$139,$C$19-SUM($C140:M140))</f>
        <v>7.4753201670842913</v>
      </c>
      <c r="O140" s="163">
        <f>IF(SUM($C140:N140)+N140*$C$139&lt;$C$19,N140*$C$139,$C$19-SUM($C140:N140))</f>
        <v>6.5782817470341763</v>
      </c>
      <c r="P140" s="163">
        <f>IF(SUM($C140:O140)+O140*$C$139&lt;$C$19,O140*$C$139,$C$19-SUM($C140:O140))</f>
        <v>5.7888879373900748</v>
      </c>
      <c r="Q140" s="163">
        <f>IF(SUM($C140:P140)+P140*$C$139&lt;$C$19,P140*$C$139,$C$19-SUM($C140:P140))</f>
        <v>1.7832524703451043</v>
      </c>
      <c r="R140" s="163">
        <f>IF(SUM($C140:Q140)+Q140*$C$139&lt;$C$19,Q140*$C$139,$C$19-SUM($C140:Q140))</f>
        <v>0</v>
      </c>
      <c r="S140" s="163">
        <f>IF(SUM($C140:R140)+R140*$C$139&lt;$C$19,R140*$C$139,$C$19-SUM($C140:R140))</f>
        <v>0</v>
      </c>
      <c r="T140" s="163">
        <f>IF(SUM($C140:S140)+S140*$C$139&lt;$C$19,S140*$C$139,$C$19-SUM($C140:S140))</f>
        <v>0</v>
      </c>
      <c r="U140" s="163">
        <f>IF(SUM($C140:T140)+T140*$C$139&lt;$C$19,T140*$C$139,$C$19-SUM($C140:T140))</f>
        <v>0</v>
      </c>
      <c r="V140" s="163">
        <f>IF(SUM($C140:U140)+U140*$C$139&lt;$C$19,U140*$C$139,$C$19-SUM($C140:U140))</f>
        <v>0</v>
      </c>
      <c r="W140" s="163">
        <f>IF(SUM($C140:V140)+V140*$C$139&lt;$C$19,V140*$C$139,$C$19-SUM($C140:V140))</f>
        <v>0</v>
      </c>
      <c r="X140" s="163">
        <f>IF(SUM($C140:W140)+W140*$C$139&lt;$C$19,W140*$C$139,$C$19-SUM($C140:W140))</f>
        <v>0</v>
      </c>
      <c r="Y140" s="163">
        <f>IF(SUM($C140:X140)+X140*$C$139&lt;$C$19,X140*$C$139,$C$19-SUM($C140:X140))</f>
        <v>0</v>
      </c>
      <c r="Z140" s="163">
        <f>IF(SUM($C140:Y140)+Y140*$C$139&lt;$C$19,Y140*$C$139,$C$19-SUM($C140:Y140))</f>
        <v>0</v>
      </c>
      <c r="AA140" s="163">
        <f>IF(SUM($C140:Z140)+Z140*$C$139&lt;$C$19,Z140*$C$139,$C$19-SUM($C140:Z140))</f>
        <v>0</v>
      </c>
      <c r="AB140" s="163">
        <f>IF(SUM($C140:AA140)+AA140*$C$139&lt;$C$19,AA140*$C$139,$C$19-SUM($C140:AA140))</f>
        <v>0</v>
      </c>
      <c r="AC140" s="164"/>
      <c r="AD140" s="164"/>
    </row>
    <row r="141" spans="1:30" ht="11.45" customHeight="1" outlineLevel="1" x14ac:dyDescent="0.2">
      <c r="A141" s="56"/>
      <c r="B141" s="46">
        <v>1997</v>
      </c>
      <c r="C141" s="165"/>
      <c r="D141" s="165">
        <f>D$17/D$138</f>
        <v>1.8644519820738714</v>
      </c>
      <c r="E141" s="165">
        <f>(IF(COUNT($C141:D141)&lt;$D$138,D141,0))</f>
        <v>1.8644519820738714</v>
      </c>
      <c r="F141" s="165">
        <f>(IF(COUNT($C141:E141)&lt;$D$138,E141,0))</f>
        <v>1.8644519820738714</v>
      </c>
      <c r="G141" s="165">
        <f>(IF(COUNT($C141:F141)&lt;$D$138,F141,0))</f>
        <v>1.8644519820738714</v>
      </c>
      <c r="H141" s="165">
        <f>(IF(COUNT($C141:G141)&lt;$D$138,G141,0))</f>
        <v>1.8644519820738714</v>
      </c>
      <c r="I141" s="165">
        <f>(IF(COUNT($C141:H141)&lt;$D$138,H141,0))</f>
        <v>1.8644519820738714</v>
      </c>
      <c r="J141" s="165">
        <f>(IF(COUNT($C141:I141)&lt;$D$138,I141,0))</f>
        <v>1.8644519820738714</v>
      </c>
      <c r="K141" s="165">
        <f>(IF(COUNT($C141:J141)&lt;$D$138,J141,0))</f>
        <v>1.8644519820738714</v>
      </c>
      <c r="L141" s="165">
        <f>(IF(COUNT($C141:K141)&lt;$D$138,K141,0))</f>
        <v>1.8644519820738714</v>
      </c>
      <c r="M141" s="165">
        <f>(IF(COUNT($C141:L141)&lt;$D$138,L141,0))</f>
        <v>1.8644519820738714</v>
      </c>
      <c r="N141" s="165">
        <f>(IF(COUNT($C141:M141)&lt;$D$138,M141,0))</f>
        <v>1.8644519820738714</v>
      </c>
      <c r="O141" s="165">
        <f>(IF(COUNT($C141:N141)&lt;$D$138,N141,0))</f>
        <v>1.8644519820738714</v>
      </c>
      <c r="P141" s="165">
        <f>(IF(COUNT($C141:O141)&lt;$D$138,O141,0))</f>
        <v>1.8644519820738714</v>
      </c>
      <c r="Q141" s="165">
        <f>(IF(COUNT($C141:P141)&lt;$D$138,P141,0))</f>
        <v>1.8644519820738714</v>
      </c>
      <c r="R141" s="165">
        <f>(IF(COUNT($C141:Q141)&lt;$D$138,Q141,0))</f>
        <v>1.8644519820738714</v>
      </c>
      <c r="S141" s="165">
        <f>(IF(COUNT($C141:R141)&lt;$D$138,R141,0))</f>
        <v>0</v>
      </c>
      <c r="T141" s="165">
        <f>(IF(COUNT($C141:S141)&lt;$D$138,S141,0))</f>
        <v>0</v>
      </c>
      <c r="U141" s="165">
        <f>(IF(COUNT($C141:T141)&lt;$D$138,T141,0))</f>
        <v>0</v>
      </c>
      <c r="V141" s="165">
        <f>(IF(COUNT($C141:U141)&lt;$D$138,U141,0))</f>
        <v>0</v>
      </c>
      <c r="W141" s="165">
        <f>(IF(COUNT($C141:V141)&lt;$D$138,V141,0))</f>
        <v>0</v>
      </c>
      <c r="X141" s="165">
        <f>(IF(COUNT($C141:W141)&lt;$D$138,W141,0))</f>
        <v>0</v>
      </c>
      <c r="Y141" s="165">
        <f>(IF(COUNT($C141:X141)&lt;$D$138,X141,0))</f>
        <v>0</v>
      </c>
      <c r="Z141" s="165">
        <f>(IF(COUNT($C141:Y141)&lt;$D$138,Y141,0))</f>
        <v>0</v>
      </c>
      <c r="AA141" s="165">
        <f>(IF(COUNT($C141:Z141)&lt;$D$138,Z141,0))</f>
        <v>0</v>
      </c>
      <c r="AB141" s="165">
        <f>(IF(COUNT($C141:AA141)&lt;$D$138,AA141,0))</f>
        <v>0</v>
      </c>
      <c r="AC141" s="166"/>
      <c r="AD141" s="166"/>
    </row>
    <row r="142" spans="1:30" ht="11.45" customHeight="1" outlineLevel="1" x14ac:dyDescent="0.2">
      <c r="A142" s="56"/>
      <c r="B142" s="138">
        <f t="shared" ref="B142:B171" si="116">B141+1</f>
        <v>1998</v>
      </c>
      <c r="C142" s="165"/>
      <c r="D142" s="165"/>
      <c r="E142" s="165">
        <f>E$17/E$138</f>
        <v>6.1265488565831268</v>
      </c>
      <c r="F142" s="165">
        <f>(IF(COUNT($C142:E142)&lt;$E$138,E142,0))</f>
        <v>6.1265488565831268</v>
      </c>
      <c r="G142" s="165">
        <f>(IF(COUNT($C142:F142)&lt;$E$138,F142,0))</f>
        <v>6.1265488565831268</v>
      </c>
      <c r="H142" s="165">
        <f>(IF(COUNT($C142:G142)&lt;$E$138,G142,0))</f>
        <v>6.1265488565831268</v>
      </c>
      <c r="I142" s="165">
        <f>(IF(COUNT($C142:H142)&lt;$E$138,H142,0))</f>
        <v>6.1265488565831268</v>
      </c>
      <c r="J142" s="165">
        <f>(IF(COUNT($C142:I142)&lt;$E$138,I142,0))</f>
        <v>6.1265488565831268</v>
      </c>
      <c r="K142" s="165">
        <f>(IF(COUNT($C142:J142)&lt;$E$138,J142,0))</f>
        <v>6.1265488565831268</v>
      </c>
      <c r="L142" s="165">
        <f>(IF(COUNT($C142:K142)&lt;$E$138,K142,0))</f>
        <v>6.1265488565831268</v>
      </c>
      <c r="M142" s="165">
        <f>(IF(COUNT($C142:L142)&lt;$E$138,L142,0))</f>
        <v>6.1265488565831268</v>
      </c>
      <c r="N142" s="165">
        <f>(IF(COUNT($C142:M142)&lt;$E$138,M142,0))</f>
        <v>6.1265488565831268</v>
      </c>
      <c r="O142" s="165">
        <f>(IF(COUNT($C142:N142)&lt;$E$138,N142,0))</f>
        <v>6.1265488565831268</v>
      </c>
      <c r="P142" s="165">
        <f>(IF(COUNT($C142:O142)&lt;$E$138,O142,0))</f>
        <v>6.1265488565831268</v>
      </c>
      <c r="Q142" s="165">
        <f>(IF(COUNT($C142:P142)&lt;$E$138,P142,0))</f>
        <v>6.1265488565831268</v>
      </c>
      <c r="R142" s="165">
        <f>(IF(COUNT($C142:Q142)&lt;$E$138,Q142,0))</f>
        <v>6.1265488565831268</v>
      </c>
      <c r="S142" s="165">
        <f>(IF(COUNT($C142:R142)&lt;$E$138,R142,0))</f>
        <v>6.1265488565831268</v>
      </c>
      <c r="T142" s="165">
        <f>(IF(COUNT($C142:S142)&lt;$E$138,S142,0))</f>
        <v>6.1265488565831268</v>
      </c>
      <c r="U142" s="165">
        <f>(IF(COUNT($C142:T142)&lt;$E$138,T142,0))</f>
        <v>0</v>
      </c>
      <c r="V142" s="165">
        <f>(IF(COUNT($C142:U142)&lt;$E$138,U142,0))</f>
        <v>0</v>
      </c>
      <c r="W142" s="165">
        <f>(IF(COUNT($C142:V142)&lt;$E$138,V142,0))</f>
        <v>0</v>
      </c>
      <c r="X142" s="165">
        <f>(IF(COUNT($C142:W142)&lt;$E$138,W142,0))</f>
        <v>0</v>
      </c>
      <c r="Y142" s="165">
        <f>(IF(COUNT($C142:X142)&lt;$E$138,X142,0))</f>
        <v>0</v>
      </c>
      <c r="Z142" s="165">
        <f>(IF(COUNT($C142:Y142)&lt;$E$138,Y142,0))</f>
        <v>0</v>
      </c>
      <c r="AA142" s="165">
        <f>(IF(COUNT($C142:Z142)&lt;$E$138,Z142,0))</f>
        <v>0</v>
      </c>
      <c r="AB142" s="165">
        <f>(IF(COUNT($C142:AA142)&lt;$E$138,AA142,0))</f>
        <v>0</v>
      </c>
      <c r="AC142" s="166"/>
      <c r="AD142" s="166"/>
    </row>
    <row r="143" spans="1:30" ht="11.45" customHeight="1" outlineLevel="1" x14ac:dyDescent="0.2">
      <c r="A143" s="56"/>
      <c r="B143" s="138">
        <f t="shared" si="116"/>
        <v>1999</v>
      </c>
      <c r="C143" s="165"/>
      <c r="D143" s="165"/>
      <c r="E143" s="165"/>
      <c r="F143" s="165">
        <f>F$17/F$138</f>
        <v>4.4313630380742692</v>
      </c>
      <c r="G143" s="165">
        <f>(IF(COUNT($C143:F143)&lt;$F$138,F143,0))</f>
        <v>4.4313630380742692</v>
      </c>
      <c r="H143" s="165">
        <f>(IF(COUNT($C143:G143)&lt;$F$138,G143,0))</f>
        <v>4.4313630380742692</v>
      </c>
      <c r="I143" s="165">
        <f>(IF(COUNT($C143:H143)&lt;$F$138,H143,0))</f>
        <v>4.4313630380742692</v>
      </c>
      <c r="J143" s="165">
        <f>(IF(COUNT($C143:I143)&lt;$F$138,I143,0))</f>
        <v>4.4313630380742692</v>
      </c>
      <c r="K143" s="165">
        <f>(IF(COUNT($C143:J143)&lt;$F$138,J143,0))</f>
        <v>4.4313630380742692</v>
      </c>
      <c r="L143" s="165">
        <f>(IF(COUNT($C143:K143)&lt;$F$138,K143,0))</f>
        <v>4.4313630380742692</v>
      </c>
      <c r="M143" s="165">
        <f>(IF(COUNT($C143:L143)&lt;$F$138,L143,0))</f>
        <v>4.4313630380742692</v>
      </c>
      <c r="N143" s="165">
        <f>(IF(COUNT($C143:M143)&lt;$F$138,M143,0))</f>
        <v>4.4313630380742692</v>
      </c>
      <c r="O143" s="165">
        <f>(IF(COUNT($C143:N143)&lt;$F$138,N143,0))</f>
        <v>4.4313630380742692</v>
      </c>
      <c r="P143" s="165">
        <f>(IF(COUNT($C143:O143)&lt;$F$138,O143,0))</f>
        <v>4.4313630380742692</v>
      </c>
      <c r="Q143" s="165">
        <f>(IF(COUNT($C143:P143)&lt;$F$138,P143,0))</f>
        <v>4.4313630380742692</v>
      </c>
      <c r="R143" s="165">
        <f>(IF(COUNT($C143:Q143)&lt;$F$138,Q143,0))</f>
        <v>4.4313630380742692</v>
      </c>
      <c r="S143" s="165">
        <f>(IF(COUNT($C143:R143)&lt;$F$138,R143,0))</f>
        <v>4.4313630380742692</v>
      </c>
      <c r="T143" s="165">
        <f>(IF(COUNT($C143:S143)&lt;$F$138,S143,0))</f>
        <v>0</v>
      </c>
      <c r="U143" s="165">
        <f>(IF(COUNT($C143:T143)&lt;$F$138,T143,0))</f>
        <v>0</v>
      </c>
      <c r="V143" s="165">
        <f>(IF(COUNT($C143:U143)&lt;$F$138,U143,0))</f>
        <v>0</v>
      </c>
      <c r="W143" s="165">
        <f>(IF(COUNT($C143:V143)&lt;$F$138,V143,0))</f>
        <v>0</v>
      </c>
      <c r="X143" s="165">
        <f>(IF(COUNT($C143:W143)&lt;$F$138,W143,0))</f>
        <v>0</v>
      </c>
      <c r="Y143" s="165">
        <f>(IF(COUNT($C143:X143)&lt;$F$138,X143,0))</f>
        <v>0</v>
      </c>
      <c r="Z143" s="165">
        <f>(IF(COUNT($C143:Y143)&lt;$F$138,Y143,0))</f>
        <v>0</v>
      </c>
      <c r="AA143" s="165">
        <f>(IF(COUNT($C143:Z143)&lt;$F$138,Z143,0))</f>
        <v>0</v>
      </c>
      <c r="AB143" s="165">
        <f>(IF(COUNT($C143:AA143)&lt;$F$138,AA143,0))</f>
        <v>0</v>
      </c>
      <c r="AC143" s="166"/>
      <c r="AD143" s="166"/>
    </row>
    <row r="144" spans="1:30" ht="11.45" customHeight="1" outlineLevel="1" x14ac:dyDescent="0.2">
      <c r="A144" s="56"/>
      <c r="B144" s="138">
        <f t="shared" si="116"/>
        <v>2000</v>
      </c>
      <c r="C144" s="165"/>
      <c r="D144" s="27"/>
      <c r="E144" s="27"/>
      <c r="F144" s="165"/>
      <c r="G144" s="165">
        <f>G$17/G$138</f>
        <v>3.5434499949366978</v>
      </c>
      <c r="H144" s="165">
        <f>(IF(COUNT($C144:G144)&lt;$G$138,G144,0))</f>
        <v>3.5434499949366978</v>
      </c>
      <c r="I144" s="165">
        <f>(IF(COUNT($C144:H144)&lt;$G$138,H144,0))</f>
        <v>3.5434499949366978</v>
      </c>
      <c r="J144" s="165">
        <f>(IF(COUNT($C144:I144)&lt;$G$138,I144,0))</f>
        <v>3.5434499949366978</v>
      </c>
      <c r="K144" s="165">
        <f>(IF(COUNT($C144:J144)&lt;$G$138,J144,0))</f>
        <v>3.5434499949366978</v>
      </c>
      <c r="L144" s="165">
        <f>(IF(COUNT($C144:K144)&lt;$G$138,K144,0))</f>
        <v>3.5434499949366978</v>
      </c>
      <c r="M144" s="165">
        <f>(IF(COUNT($C144:L144)&lt;$G$138,L144,0))</f>
        <v>3.5434499949366978</v>
      </c>
      <c r="N144" s="165">
        <f>(IF(COUNT($C144:M144)&lt;$G$138,M144,0))</f>
        <v>3.5434499949366978</v>
      </c>
      <c r="O144" s="165">
        <f>(IF(COUNT($C144:N144)&lt;$G$138,N144,0))</f>
        <v>3.5434499949366978</v>
      </c>
      <c r="P144" s="165">
        <f>(IF(COUNT($C144:O144)&lt;$G$138,O144,0))</f>
        <v>3.5434499949366978</v>
      </c>
      <c r="Q144" s="165">
        <f>(IF(COUNT($C144:P144)&lt;$G$138,P144,0))</f>
        <v>3.5434499949366978</v>
      </c>
      <c r="R144" s="165">
        <f>(IF(COUNT($C144:Q144)&lt;$G$138,Q144,0))</f>
        <v>3.5434499949366978</v>
      </c>
      <c r="S144" s="165">
        <f>(IF(COUNT($C144:R144)&lt;$G$138,R144,0))</f>
        <v>3.5434499949366978</v>
      </c>
      <c r="T144" s="165">
        <f>(IF(COUNT($C144:S144)&lt;$G$138,S144,0))</f>
        <v>3.5434499949366978</v>
      </c>
      <c r="U144" s="165">
        <f>(IF(COUNT($C144:T144)&lt;$G$138,T144,0))</f>
        <v>0</v>
      </c>
      <c r="V144" s="165">
        <f>(IF(COUNT($C144:U144)&lt;$G$138,U144,0))</f>
        <v>0</v>
      </c>
      <c r="W144" s="165">
        <f>(IF(COUNT($C144:V144)&lt;$G$138,V144,0))</f>
        <v>0</v>
      </c>
      <c r="X144" s="165">
        <f>(IF(COUNT($C144:W144)&lt;$G$138,W144,0))</f>
        <v>0</v>
      </c>
      <c r="Y144" s="165">
        <f>(IF(COUNT($C144:X144)&lt;$G$138,X144,0))</f>
        <v>0</v>
      </c>
      <c r="Z144" s="165">
        <f>(IF(COUNT($C144:Y144)&lt;$G$138,Y144,0))</f>
        <v>0</v>
      </c>
      <c r="AA144" s="165">
        <f>(IF(COUNT($C144:Z144)&lt;$G$138,Z144,0))</f>
        <v>0</v>
      </c>
      <c r="AB144" s="165">
        <f>(IF(COUNT($C144:AA144)&lt;$G$138,AA144,0))</f>
        <v>0</v>
      </c>
      <c r="AC144" s="166"/>
      <c r="AD144" s="166"/>
    </row>
    <row r="145" spans="1:30" ht="11.45" customHeight="1" outlineLevel="1" x14ac:dyDescent="0.2">
      <c r="A145" s="56"/>
      <c r="B145" s="138">
        <f t="shared" si="116"/>
        <v>2001</v>
      </c>
      <c r="C145" s="165"/>
      <c r="D145" s="165"/>
      <c r="E145" s="165"/>
      <c r="F145" s="165"/>
      <c r="G145" s="165"/>
      <c r="H145" s="165">
        <f>H$17/H$138</f>
        <v>3.9328293547090944</v>
      </c>
      <c r="I145" s="165">
        <f>(IF(COUNT($C145:H145)&lt;$H$138,H145,0))</f>
        <v>3.9328293547090944</v>
      </c>
      <c r="J145" s="165">
        <f>(IF(COUNT($C145:I145)&lt;$H$138,I145,0))</f>
        <v>3.9328293547090944</v>
      </c>
      <c r="K145" s="165">
        <f>(IF(COUNT($C145:J145)&lt;$H$138,J145,0))</f>
        <v>3.9328293547090944</v>
      </c>
      <c r="L145" s="165">
        <f>(IF(COUNT($C145:K145)&lt;$H$138,K145,0))</f>
        <v>3.9328293547090944</v>
      </c>
      <c r="M145" s="165">
        <f>(IF(COUNT($C145:L145)&lt;$H$138,L145,0))</f>
        <v>3.9328293547090944</v>
      </c>
      <c r="N145" s="165">
        <f>(IF(COUNT($C145:M145)&lt;$H$138,M145,0))</f>
        <v>3.9328293547090944</v>
      </c>
      <c r="O145" s="165">
        <f>(IF(COUNT($C145:N145)&lt;$H$138,N145,0))</f>
        <v>3.9328293547090944</v>
      </c>
      <c r="P145" s="165">
        <f>(IF(COUNT($C145:O145)&lt;$H$138,O145,0))</f>
        <v>3.9328293547090944</v>
      </c>
      <c r="Q145" s="165">
        <f>(IF(COUNT($C145:P145)&lt;$H$138,P145,0))</f>
        <v>3.9328293547090944</v>
      </c>
      <c r="R145" s="165">
        <f>(IF(COUNT($C145:Q145)&lt;$H$138,Q145,0))</f>
        <v>3.9328293547090944</v>
      </c>
      <c r="S145" s="165">
        <f>(IF(COUNT($C145:R145)&lt;$H$138,R145,0))</f>
        <v>3.9328293547090944</v>
      </c>
      <c r="T145" s="165">
        <f>(IF(COUNT($C145:S145)&lt;$H$138,S145,0))</f>
        <v>3.9328293547090944</v>
      </c>
      <c r="U145" s="165">
        <f>(IF(COUNT($C145:T145)&lt;$H$138,T145,0))</f>
        <v>3.9328293547090944</v>
      </c>
      <c r="V145" s="165">
        <f>(IF(COUNT($C145:U145)&lt;$H$138,U145,0))</f>
        <v>0</v>
      </c>
      <c r="W145" s="165">
        <f>(IF(COUNT($C145:V145)&lt;$H$138,V145,0))</f>
        <v>0</v>
      </c>
      <c r="X145" s="165">
        <f>(IF(COUNT($C145:W145)&lt;$H$138,W145,0))</f>
        <v>0</v>
      </c>
      <c r="Y145" s="165">
        <f>(IF(COUNT($C145:X145)&lt;$H$138,X145,0))</f>
        <v>0</v>
      </c>
      <c r="Z145" s="165">
        <f>(IF(COUNT($C145:Y145)&lt;$H$138,Y145,0))</f>
        <v>0</v>
      </c>
      <c r="AA145" s="165">
        <f>(IF(COUNT($C145:Z145)&lt;$H$138,Z145,0))</f>
        <v>0</v>
      </c>
      <c r="AB145" s="165">
        <f>(IF(COUNT($C145:AA145)&lt;$H$138,AA145,0))</f>
        <v>0</v>
      </c>
      <c r="AC145" s="166"/>
      <c r="AD145" s="166"/>
    </row>
    <row r="146" spans="1:30" ht="11.45" customHeight="1" outlineLevel="1" x14ac:dyDescent="0.2">
      <c r="A146" s="56"/>
      <c r="B146" s="138">
        <f t="shared" si="116"/>
        <v>2002</v>
      </c>
      <c r="C146" s="165"/>
      <c r="D146" s="165"/>
      <c r="E146" s="165"/>
      <c r="F146" s="165"/>
      <c r="G146" s="165"/>
      <c r="H146" s="165"/>
      <c r="I146" s="165">
        <f>I$17/I$138</f>
        <v>7.7634926779698699</v>
      </c>
      <c r="J146" s="165">
        <f>(IF(COUNT($C146:I146)&lt;$I$138,I146,0))</f>
        <v>7.7634926779698699</v>
      </c>
      <c r="K146" s="165">
        <f>(IF(COUNT($C146:J146)&lt;$I$138,J146,0))</f>
        <v>7.7634926779698699</v>
      </c>
      <c r="L146" s="165">
        <f>(IF(COUNT($C146:K146)&lt;$I$138,K146,0))</f>
        <v>7.7634926779698699</v>
      </c>
      <c r="M146" s="165">
        <f>(IF(COUNT($C146:L146)&lt;$I$138,L146,0))</f>
        <v>7.7634926779698699</v>
      </c>
      <c r="N146" s="165">
        <f>(IF(COUNT($C146:M146)&lt;$I$138,M146,0))</f>
        <v>7.7634926779698699</v>
      </c>
      <c r="O146" s="165">
        <f>(IF(COUNT($C146:N146)&lt;$I$138,N146,0))</f>
        <v>7.7634926779698699</v>
      </c>
      <c r="P146" s="165">
        <f>(IF(COUNT($C146:O146)&lt;$I$138,O146,0))</f>
        <v>7.7634926779698699</v>
      </c>
      <c r="Q146" s="165">
        <f>(IF(COUNT($C146:P146)&lt;$I$138,P146,0))</f>
        <v>7.7634926779698699</v>
      </c>
      <c r="R146" s="165">
        <f>(IF(COUNT($C146:Q146)&lt;$I$138,Q146,0))</f>
        <v>7.7634926779698699</v>
      </c>
      <c r="S146" s="165">
        <f>(IF(COUNT($C146:R146)&lt;$I$138,R146,0))</f>
        <v>7.7634926779698699</v>
      </c>
      <c r="T146" s="165">
        <f>(IF(COUNT($C146:S146)&lt;$I$138,S146,0))</f>
        <v>7.7634926779698699</v>
      </c>
      <c r="U146" s="165">
        <f>(IF(COUNT($C146:T146)&lt;$I$138,T146,0))</f>
        <v>7.7634926779698699</v>
      </c>
      <c r="V146" s="165">
        <f>(IF(COUNT($C146:U146)&lt;$I$138,U146,0))</f>
        <v>7.7634926779698699</v>
      </c>
      <c r="W146" s="165">
        <f>(IF(COUNT($C146:V146)&lt;$I$138,V146,0))</f>
        <v>0</v>
      </c>
      <c r="X146" s="165">
        <f>(IF(COUNT($C146:W146)&lt;$I$138,W146,0))</f>
        <v>0</v>
      </c>
      <c r="Y146" s="165">
        <f>(IF(COUNT($C146:X146)&lt;$I$138,X146,0))</f>
        <v>0</v>
      </c>
      <c r="Z146" s="165">
        <f>(IF(COUNT($C146:Y146)&lt;$I$138,Y146,0))</f>
        <v>0</v>
      </c>
      <c r="AA146" s="165">
        <f>(IF(COUNT($C146:Z146)&lt;$I$138,Z146,0))</f>
        <v>0</v>
      </c>
      <c r="AB146" s="165">
        <f>(IF(COUNT($C146:AA146)&lt;$I$138,AA146,0))</f>
        <v>0</v>
      </c>
      <c r="AC146" s="166"/>
      <c r="AD146" s="166"/>
    </row>
    <row r="147" spans="1:30" ht="11.45" customHeight="1" outlineLevel="1" x14ac:dyDescent="0.2">
      <c r="A147" s="56"/>
      <c r="B147" s="138">
        <f t="shared" si="116"/>
        <v>2003</v>
      </c>
      <c r="C147" s="165"/>
      <c r="D147" s="165"/>
      <c r="E147" s="165"/>
      <c r="F147" s="165"/>
      <c r="G147" s="165"/>
      <c r="H147" s="165"/>
      <c r="I147" s="165"/>
      <c r="J147" s="165">
        <f>J$17/J$138</f>
        <v>1.3873440227661722</v>
      </c>
      <c r="K147" s="165">
        <f>(IF(COUNT($C147:J147)&lt;$J$138,J147,0))</f>
        <v>1.3873440227661722</v>
      </c>
      <c r="L147" s="165">
        <f>(IF(COUNT($C147:K147)&lt;$J$138,K147,0))</f>
        <v>1.3873440227661722</v>
      </c>
      <c r="M147" s="165">
        <f>(IF(COUNT($C147:L147)&lt;$J$138,L147,0))</f>
        <v>1.3873440227661722</v>
      </c>
      <c r="N147" s="165">
        <f>(IF(COUNT($C147:M147)&lt;$J$138,M147,0))</f>
        <v>1.3873440227661722</v>
      </c>
      <c r="O147" s="165">
        <f>(IF(COUNT($C147:N147)&lt;$J$138,N147,0))</f>
        <v>1.3873440227661722</v>
      </c>
      <c r="P147" s="165">
        <f>(IF(COUNT($C147:O147)&lt;$J$138,O147,0))</f>
        <v>1.3873440227661722</v>
      </c>
      <c r="Q147" s="165">
        <f>(IF(COUNT($C147:P147)&lt;$J$138,P147,0))</f>
        <v>1.3873440227661722</v>
      </c>
      <c r="R147" s="165">
        <f>(IF(COUNT($C147:Q147)&lt;$J$138,Q147,0))</f>
        <v>1.3873440227661722</v>
      </c>
      <c r="S147" s="165">
        <f>(IF(COUNT($C147:R147)&lt;$J$138,R147,0))</f>
        <v>1.3873440227661722</v>
      </c>
      <c r="T147" s="165">
        <f>(IF(COUNT($C147:S147)&lt;$J$138,S147,0))</f>
        <v>1.3873440227661722</v>
      </c>
      <c r="U147" s="165">
        <f>(IF(COUNT($C147:T147)&lt;$J$138,T147,0))</f>
        <v>1.3873440227661722</v>
      </c>
      <c r="V147" s="165">
        <f>(IF(COUNT($C147:U147)&lt;$J$138,U147,0))</f>
        <v>1.3873440227661722</v>
      </c>
      <c r="W147" s="165">
        <f>(IF(COUNT($C147:V147)&lt;$J$138,V147,0))</f>
        <v>0</v>
      </c>
      <c r="X147" s="165">
        <f>(IF(COUNT($C147:W147)&lt;$J$138,W147,0))</f>
        <v>0</v>
      </c>
      <c r="Y147" s="165">
        <f>(IF(COUNT($C147:X147)&lt;$J$138,X147,0))</f>
        <v>0</v>
      </c>
      <c r="Z147" s="165">
        <f>(IF(COUNT($C147:Y147)&lt;$J$138,Y147,0))</f>
        <v>0</v>
      </c>
      <c r="AA147" s="165">
        <f>(IF(COUNT($C147:Z147)&lt;$J$138,Z147,0))</f>
        <v>0</v>
      </c>
      <c r="AB147" s="165">
        <f>(IF(COUNT($C147:AA147)&lt;$J$138,AA147,0))</f>
        <v>0</v>
      </c>
      <c r="AC147" s="166"/>
      <c r="AD147" s="166"/>
    </row>
    <row r="148" spans="1:30" ht="11.45" customHeight="1" outlineLevel="1" x14ac:dyDescent="0.2">
      <c r="A148" s="56"/>
      <c r="B148" s="138">
        <f t="shared" si="116"/>
        <v>2004</v>
      </c>
      <c r="C148" s="165"/>
      <c r="D148" s="165"/>
      <c r="E148" s="165"/>
      <c r="F148" s="165"/>
      <c r="G148" s="165"/>
      <c r="H148" s="165"/>
      <c r="I148" s="165"/>
      <c r="J148" s="165"/>
      <c r="K148" s="165">
        <f>K$17/K$138</f>
        <v>5.2477177630551433</v>
      </c>
      <c r="L148" s="165">
        <f>(IF(COUNT($C148:K148)&lt;$K$138,K148,0))</f>
        <v>5.2477177630551433</v>
      </c>
      <c r="M148" s="165">
        <f>(IF(COUNT($C148:L148)&lt;$K$138,L148,0))</f>
        <v>5.2477177630551433</v>
      </c>
      <c r="N148" s="165">
        <f>(IF(COUNT($C148:M148)&lt;$K$138,M148,0))</f>
        <v>5.2477177630551433</v>
      </c>
      <c r="O148" s="165">
        <f>(IF(COUNT($C148:N148)&lt;$K$138,N148,0))</f>
        <v>5.2477177630551433</v>
      </c>
      <c r="P148" s="165">
        <f>(IF(COUNT($C148:O148)&lt;$K$138,O148,0))</f>
        <v>5.2477177630551433</v>
      </c>
      <c r="Q148" s="165">
        <f>(IF(COUNT($C148:P148)&lt;$K$138,P148,0))</f>
        <v>5.2477177630551433</v>
      </c>
      <c r="R148" s="165">
        <f>(IF(COUNT($C148:Q148)&lt;$K$138,Q148,0))</f>
        <v>5.2477177630551433</v>
      </c>
      <c r="S148" s="165">
        <f>(IF(COUNT($C148:R148)&lt;$K$138,R148,0))</f>
        <v>5.2477177630551433</v>
      </c>
      <c r="T148" s="165">
        <f>(IF(COUNT($C148:S148)&lt;$K$138,S148,0))</f>
        <v>5.2477177630551433</v>
      </c>
      <c r="U148" s="165">
        <f>(IF(COUNT($C148:T148)&lt;$K$138,T148,0))</f>
        <v>5.2477177630551433</v>
      </c>
      <c r="V148" s="165">
        <f>(IF(COUNT($C148:U148)&lt;$K$138,U148,0))</f>
        <v>5.2477177630551433</v>
      </c>
      <c r="W148" s="165">
        <f>(IF(COUNT($C148:V148)&lt;$K$138,V148,0))</f>
        <v>0</v>
      </c>
      <c r="X148" s="165">
        <f>(IF(COUNT($C148:W148)&lt;$K$138,W148,0))</f>
        <v>0</v>
      </c>
      <c r="Y148" s="165">
        <f>(IF(COUNT($C148:X148)&lt;$K$138,X148,0))</f>
        <v>0</v>
      </c>
      <c r="Z148" s="165">
        <f>(IF(COUNT($C148:Y148)&lt;$K$138,Y148,0))</f>
        <v>0</v>
      </c>
      <c r="AA148" s="165">
        <f>(IF(COUNT($C148:Z148)&lt;$K$138,Z148,0))</f>
        <v>0</v>
      </c>
      <c r="AB148" s="165">
        <f>(IF(COUNT($C148:AA148)&lt;$K$138,AA148,0))</f>
        <v>0</v>
      </c>
      <c r="AC148" s="166"/>
      <c r="AD148" s="166"/>
    </row>
    <row r="149" spans="1:30" ht="11.45" customHeight="1" outlineLevel="1" x14ac:dyDescent="0.2">
      <c r="A149" s="56"/>
      <c r="B149" s="138">
        <f t="shared" si="116"/>
        <v>2005</v>
      </c>
      <c r="C149" s="165"/>
      <c r="D149" s="165"/>
      <c r="E149" s="165"/>
      <c r="F149" s="165"/>
      <c r="G149" s="165"/>
      <c r="H149" s="165"/>
      <c r="I149" s="165"/>
      <c r="J149" s="165"/>
      <c r="K149" s="165"/>
      <c r="L149" s="165">
        <f>L$17/L$138</f>
        <v>2.9438959279713086</v>
      </c>
      <c r="M149" s="165">
        <f>(IF(COUNT($C149:L149)&lt;$L$138,L149,0))</f>
        <v>2.9438959279713086</v>
      </c>
      <c r="N149" s="165">
        <f>(IF(COUNT($C149:M149)&lt;$L$138,M149,0))</f>
        <v>2.9438959279713086</v>
      </c>
      <c r="O149" s="165">
        <f>(IF(COUNT($C149:N149)&lt;$L$138,N149,0))</f>
        <v>2.9438959279713086</v>
      </c>
      <c r="P149" s="165">
        <f>(IF(COUNT($C149:O149)&lt;$L$138,O149,0))</f>
        <v>2.9438959279713086</v>
      </c>
      <c r="Q149" s="165">
        <f>(IF(COUNT($C149:P149)&lt;$L$138,P149,0))</f>
        <v>2.9438959279713086</v>
      </c>
      <c r="R149" s="165">
        <f>(IF(COUNT($C149:Q149)&lt;$L$138,Q149,0))</f>
        <v>2.9438959279713086</v>
      </c>
      <c r="S149" s="165">
        <f>(IF(COUNT($C149:R149)&lt;$L$138,R149,0))</f>
        <v>2.9438959279713086</v>
      </c>
      <c r="T149" s="165">
        <f>(IF(COUNT($C149:S149)&lt;$L$138,S149,0))</f>
        <v>2.9438959279713086</v>
      </c>
      <c r="U149" s="165">
        <f>(IF(COUNT($C149:T149)&lt;$L$138,T149,0))</f>
        <v>2.9438959279713086</v>
      </c>
      <c r="V149" s="165">
        <f>(IF(COUNT($C149:U149)&lt;$L$138,U149,0))</f>
        <v>2.9438959279713086</v>
      </c>
      <c r="W149" s="165">
        <f>(IF(COUNT($C149:V149)&lt;$L$138,V149,0))</f>
        <v>2.9438959279713086</v>
      </c>
      <c r="X149" s="165">
        <f>(IF(COUNT($C149:W149)&lt;$L$138,W149,0))</f>
        <v>0</v>
      </c>
      <c r="Y149" s="165">
        <f>(IF(COUNT($C149:X149)&lt;$L$138,X149,0))</f>
        <v>0</v>
      </c>
      <c r="Z149" s="165">
        <f>(IF(COUNT($C149:Y149)&lt;$L$138,Y149,0))</f>
        <v>0</v>
      </c>
      <c r="AA149" s="165">
        <f>(IF(COUNT($C149:Z149)&lt;$L$138,Z149,0))</f>
        <v>0</v>
      </c>
      <c r="AB149" s="165">
        <f>(IF(COUNT($C149:AA149)&lt;$L$138,AA149,0))</f>
        <v>0</v>
      </c>
      <c r="AC149" s="166"/>
      <c r="AD149" s="166"/>
    </row>
    <row r="150" spans="1:30" ht="11.45" customHeight="1" outlineLevel="1" x14ac:dyDescent="0.2">
      <c r="A150" s="56"/>
      <c r="B150" s="138">
        <f t="shared" si="116"/>
        <v>2006</v>
      </c>
      <c r="C150" s="165"/>
      <c r="D150" s="165"/>
      <c r="E150" s="165"/>
      <c r="F150" s="165"/>
      <c r="G150" s="165"/>
      <c r="H150" s="165"/>
      <c r="I150" s="165"/>
      <c r="J150" s="165"/>
      <c r="K150" s="165"/>
      <c r="L150" s="165"/>
      <c r="M150" s="165">
        <f>M$17/M$138</f>
        <v>3.3718510983551511</v>
      </c>
      <c r="N150" s="165">
        <f>(IF(COUNT($C150:M150)&lt;$M$138,M150,0))</f>
        <v>3.3718510983551511</v>
      </c>
      <c r="O150" s="165">
        <f>(IF(COUNT($C150:N150)&lt;$M$138,N150,0))</f>
        <v>3.3718510983551511</v>
      </c>
      <c r="P150" s="165">
        <f>(IF(COUNT($C150:O150)&lt;$M$138,O150,0))</f>
        <v>3.3718510983551511</v>
      </c>
      <c r="Q150" s="165">
        <f>(IF(COUNT($C150:P150)&lt;$M$138,P150,0))</f>
        <v>3.3718510983551511</v>
      </c>
      <c r="R150" s="165">
        <f>(IF(COUNT($C150:Q150)&lt;$M$138,Q150,0))</f>
        <v>3.3718510983551511</v>
      </c>
      <c r="S150" s="165">
        <f>(IF(COUNT($C150:R150)&lt;$M$138,R150,0))</f>
        <v>3.3718510983551511</v>
      </c>
      <c r="T150" s="165">
        <f>(IF(COUNT($C150:S150)&lt;$M$138,S150,0))</f>
        <v>3.3718510983551511</v>
      </c>
      <c r="U150" s="165">
        <f>(IF(COUNT($C150:T150)&lt;$M$138,T150,0))</f>
        <v>3.3718510983551511</v>
      </c>
      <c r="V150" s="165">
        <f>(IF(COUNT($C150:U150)&lt;$M$138,U150,0))</f>
        <v>3.3718510983551511</v>
      </c>
      <c r="W150" s="165">
        <f>(IF(COUNT($C150:V150)&lt;$M$138,V150,0))</f>
        <v>3.3718510983551511</v>
      </c>
      <c r="X150" s="165">
        <f>(IF(COUNT($C150:W150)&lt;$M$138,W150,0))</f>
        <v>0</v>
      </c>
      <c r="Y150" s="165">
        <f>(IF(COUNT($C150:X150)&lt;$M$138,X150,0))</f>
        <v>0</v>
      </c>
      <c r="Z150" s="165">
        <f>(IF(COUNT($C150:Y150)&lt;$M$138,Y150,0))</f>
        <v>0</v>
      </c>
      <c r="AA150" s="165">
        <f>(IF(COUNT($C150:Z150)&lt;$M$138,Z150,0))</f>
        <v>0</v>
      </c>
      <c r="AB150" s="165">
        <f>(IF(COUNT($C150:AA150)&lt;$M$138,AA150,0))</f>
        <v>0</v>
      </c>
      <c r="AC150" s="166"/>
      <c r="AD150" s="166"/>
    </row>
    <row r="151" spans="1:30" ht="11.45" customHeight="1" outlineLevel="1" x14ac:dyDescent="0.2">
      <c r="A151" s="56"/>
      <c r="B151" s="138">
        <f t="shared" si="116"/>
        <v>2007</v>
      </c>
      <c r="C151" s="165"/>
      <c r="D151" s="165"/>
      <c r="E151" s="165"/>
      <c r="F151" s="165"/>
      <c r="G151" s="165"/>
      <c r="H151" s="165"/>
      <c r="I151" s="165"/>
      <c r="J151" s="165"/>
      <c r="K151" s="165"/>
      <c r="L151" s="165"/>
      <c r="M151" s="165"/>
      <c r="N151" s="165">
        <f>N$17/N$138</f>
        <v>-0.49790826635503382</v>
      </c>
      <c r="O151" s="165">
        <f>(IF(COUNT($C151:N151)&lt;$N$138,N151,0))</f>
        <v>-0.49790826635503382</v>
      </c>
      <c r="P151" s="165">
        <f>(IF(COUNT($C151:O151)&lt;$N$138,O151,0))</f>
        <v>-0.49790826635503382</v>
      </c>
      <c r="Q151" s="165">
        <f>(IF(COUNT($C151:P151)&lt;$N$138,P151,0))</f>
        <v>-0.49790826635503382</v>
      </c>
      <c r="R151" s="165">
        <f>(IF(COUNT($C151:Q151)&lt;$N$138,Q151,0))</f>
        <v>-0.49790826635503382</v>
      </c>
      <c r="S151" s="165">
        <f>(IF(COUNT($C151:R151)&lt;$N$138,R151,0))</f>
        <v>-0.49790826635503382</v>
      </c>
      <c r="T151" s="165">
        <f>(IF(COUNT($C151:S151)&lt;$N$138,S151,0))</f>
        <v>-0.49790826635503382</v>
      </c>
      <c r="U151" s="165">
        <f>(IF(COUNT($C151:T151)&lt;$N$138,T151,0))</f>
        <v>-0.49790826635503382</v>
      </c>
      <c r="V151" s="165">
        <f>(IF(COUNT($C151:U151)&lt;$N$138,U151,0))</f>
        <v>-0.49790826635503382</v>
      </c>
      <c r="W151" s="165">
        <f>(IF(COUNT($C151:V151)&lt;$N$138,V151,0))</f>
        <v>-0.49790826635503382</v>
      </c>
      <c r="X151" s="165">
        <f>(IF(COUNT($C151:W151)&lt;$N$138,W151,0))</f>
        <v>-0.49790826635503382</v>
      </c>
      <c r="Y151" s="165">
        <f>(IF(COUNT($C151:X151)&lt;$N$138,X151,0))</f>
        <v>-0.49790826635503382</v>
      </c>
      <c r="Z151" s="165">
        <f>(IF(COUNT($C151:Y151)&lt;$N$138,Y151,0))</f>
        <v>0</v>
      </c>
      <c r="AA151" s="165">
        <f>(IF(COUNT($C151:Z151)&lt;$N$138,Z151,0))</f>
        <v>0</v>
      </c>
      <c r="AB151" s="165">
        <f>(IF(COUNT($C151:AA151)&lt;$N$138,AA151,0))</f>
        <v>0</v>
      </c>
      <c r="AC151" s="166"/>
      <c r="AD151" s="166"/>
    </row>
    <row r="152" spans="1:30" ht="11.45" customHeight="1" outlineLevel="1" x14ac:dyDescent="0.2">
      <c r="A152" s="56"/>
      <c r="B152" s="138">
        <f t="shared" si="116"/>
        <v>2008</v>
      </c>
      <c r="C152" s="165"/>
      <c r="D152" s="165"/>
      <c r="E152" s="165"/>
      <c r="F152" s="165"/>
      <c r="G152" s="165"/>
      <c r="H152" s="165"/>
      <c r="I152" s="165"/>
      <c r="J152" s="165"/>
      <c r="K152" s="165"/>
      <c r="L152" s="165"/>
      <c r="M152" s="165"/>
      <c r="N152" s="165"/>
      <c r="O152" s="165">
        <f>O$17/O$138</f>
        <v>10.175839084440527</v>
      </c>
      <c r="P152" s="165">
        <f>(IF(COUNT($C152:O152)&lt;$O$138,O152,0))</f>
        <v>10.175839084440527</v>
      </c>
      <c r="Q152" s="165">
        <f>(IF(COUNT($C152:P152)&lt;$O$138,P152,0))</f>
        <v>10.175839084440527</v>
      </c>
      <c r="R152" s="165">
        <f>(IF(COUNT($C152:Q152)&lt;$O$138,Q152,0))</f>
        <v>10.175839084440527</v>
      </c>
      <c r="S152" s="165">
        <f>(IF(COUNT($C152:R152)&lt;$O$138,R152,0))</f>
        <v>10.175839084440527</v>
      </c>
      <c r="T152" s="165">
        <f>(IF(COUNT($C152:S152)&lt;$O$138,S152,0))</f>
        <v>10.175839084440527</v>
      </c>
      <c r="U152" s="165">
        <f>(IF(COUNT($C152:T152)&lt;$O$138,T152,0))</f>
        <v>10.175839084440527</v>
      </c>
      <c r="V152" s="165">
        <f>(IF(COUNT($C152:U152)&lt;$O$138,U152,0))</f>
        <v>10.175839084440527</v>
      </c>
      <c r="W152" s="165">
        <f>(IF(COUNT($C152:V152)&lt;$O$138,V152,0))</f>
        <v>10.175839084440527</v>
      </c>
      <c r="X152" s="165">
        <f>(IF(COUNT($C152:W152)&lt;$O$138,W152,0))</f>
        <v>10.175839084440527</v>
      </c>
      <c r="Y152" s="165">
        <f>(IF(COUNT($C152:X152)&lt;$O$138,X152,0))</f>
        <v>10.175839084440527</v>
      </c>
      <c r="Z152" s="165">
        <f>(IF(COUNT($C152:Y152)&lt;$O$138,Y152,0))</f>
        <v>10.175839084440527</v>
      </c>
      <c r="AA152" s="165">
        <f>(IF(COUNT($C152:Z152)&lt;$O$138,Z152,0))</f>
        <v>0</v>
      </c>
      <c r="AB152" s="165">
        <f>(IF(COUNT($C152:AA152)&lt;$O$138,AA152,0))</f>
        <v>0</v>
      </c>
      <c r="AC152" s="166"/>
      <c r="AD152" s="166"/>
    </row>
    <row r="153" spans="1:30" ht="11.45" customHeight="1" outlineLevel="1" x14ac:dyDescent="0.2">
      <c r="A153" s="56"/>
      <c r="B153" s="138">
        <f t="shared" si="116"/>
        <v>2009</v>
      </c>
      <c r="C153" s="165"/>
      <c r="D153" s="165"/>
      <c r="E153" s="165"/>
      <c r="F153" s="165"/>
      <c r="G153" s="165"/>
      <c r="H153" s="165"/>
      <c r="I153" s="165"/>
      <c r="J153" s="165"/>
      <c r="K153" s="165"/>
      <c r="L153" s="165"/>
      <c r="M153" s="165"/>
      <c r="N153" s="165"/>
      <c r="O153" s="165"/>
      <c r="P153" s="165">
        <f>P$17/P$138</f>
        <v>13.346840653718784</v>
      </c>
      <c r="Q153" s="165">
        <f>(IF(COUNT($C153:P153)&lt;$P$138,P153,0))</f>
        <v>13.346840653718784</v>
      </c>
      <c r="R153" s="165">
        <f>(IF(COUNT($C153:Q153)&lt;$P$138,Q153,0))</f>
        <v>13.346840653718784</v>
      </c>
      <c r="S153" s="165">
        <f>(IF(COUNT($C153:R153)&lt;$P$138,R153,0))</f>
        <v>13.346840653718784</v>
      </c>
      <c r="T153" s="165">
        <f>(IF(COUNT($C153:S153)&lt;$P$138,S153,0))</f>
        <v>13.346840653718784</v>
      </c>
      <c r="U153" s="165">
        <f>(IF(COUNT($C153:T153)&lt;$P$138,T153,0))</f>
        <v>13.346840653718784</v>
      </c>
      <c r="V153" s="165">
        <f>(IF(COUNT($C153:U153)&lt;$P$138,U153,0))</f>
        <v>13.346840653718784</v>
      </c>
      <c r="W153" s="165">
        <f>(IF(COUNT($C153:V153)&lt;$P$138,V153,0))</f>
        <v>13.346840653718784</v>
      </c>
      <c r="X153" s="165">
        <f>(IF(COUNT($C153:W153)&lt;$P$138,W153,0))</f>
        <v>13.346840653718784</v>
      </c>
      <c r="Y153" s="165">
        <f>(IF(COUNT($C153:X153)&lt;$P$138,X153,0))</f>
        <v>13.346840653718784</v>
      </c>
      <c r="Z153" s="165">
        <f>(IF(COUNT($C153:Y153)&lt;$P$138,Y153,0))</f>
        <v>13.346840653718784</v>
      </c>
      <c r="AA153" s="165">
        <f>(IF(COUNT($C153:Z153)&lt;$P$138,Z153,0))</f>
        <v>13.346840653718784</v>
      </c>
      <c r="AB153" s="165">
        <f>(IF(COUNT($C153:AA153)&lt;$P$138,AA153,0))</f>
        <v>0</v>
      </c>
      <c r="AC153" s="166"/>
      <c r="AD153" s="166"/>
    </row>
    <row r="154" spans="1:30" ht="11.45" customHeight="1" outlineLevel="1" x14ac:dyDescent="0.2">
      <c r="A154" s="56"/>
      <c r="B154" s="138">
        <f t="shared" si="116"/>
        <v>2010</v>
      </c>
      <c r="C154" s="165"/>
      <c r="D154" s="165"/>
      <c r="E154" s="165"/>
      <c r="F154" s="165"/>
      <c r="G154" s="165"/>
      <c r="H154" s="165"/>
      <c r="I154" s="165"/>
      <c r="J154" s="165"/>
      <c r="K154" s="165"/>
      <c r="L154" s="165"/>
      <c r="M154" s="165"/>
      <c r="N154" s="165"/>
      <c r="O154" s="165"/>
      <c r="P154" s="165"/>
      <c r="Q154" s="165">
        <f>Q$17/Q$138</f>
        <v>15.159344995414493</v>
      </c>
      <c r="R154" s="165">
        <f>(IF(COUNT($C154:Q154)&lt;$Q$138,Q154,0))</f>
        <v>15.159344995414493</v>
      </c>
      <c r="S154" s="165">
        <f>(IF(COUNT($C154:R154)&lt;$Q$138,R154,0))</f>
        <v>15.159344995414493</v>
      </c>
      <c r="T154" s="165">
        <f>(IF(COUNT($C154:S154)&lt;$Q$138,S154,0))</f>
        <v>15.159344995414493</v>
      </c>
      <c r="U154" s="165">
        <f>(IF(COUNT($C154:T154)&lt;$Q$138,T154,0))</f>
        <v>15.159344995414493</v>
      </c>
      <c r="V154" s="165">
        <f>(IF(COUNT($C154:U154)&lt;$Q$138,U154,0))</f>
        <v>15.159344995414493</v>
      </c>
      <c r="W154" s="165">
        <f>(IF(COUNT($C154:V154)&lt;$Q$138,V154,0))</f>
        <v>15.159344995414493</v>
      </c>
      <c r="X154" s="165">
        <f>(IF(COUNT($C154:W154)&lt;$Q$138,W154,0))</f>
        <v>15.159344995414493</v>
      </c>
      <c r="Y154" s="165">
        <f>(IF(COUNT($C154:X154)&lt;$Q$138,X154,0))</f>
        <v>15.159344995414493</v>
      </c>
      <c r="Z154" s="165">
        <f>(IF(COUNT($C154:Y154)&lt;$Q$138,Y154,0))</f>
        <v>15.159344995414493</v>
      </c>
      <c r="AA154" s="165">
        <f>(IF(COUNT($C154:Z154)&lt;$Q$138,Z154,0))</f>
        <v>15.159344995414493</v>
      </c>
      <c r="AB154" s="165">
        <f>(IF(COUNT($C154:AA154)&lt;$Q$138,AA154,0))</f>
        <v>15.159344995414493</v>
      </c>
      <c r="AC154" s="166"/>
      <c r="AD154" s="166"/>
    </row>
    <row r="155" spans="1:30" ht="11.45" customHeight="1" outlineLevel="1" x14ac:dyDescent="0.2">
      <c r="A155" s="56"/>
      <c r="B155" s="138">
        <f t="shared" si="116"/>
        <v>2011</v>
      </c>
      <c r="C155" s="165"/>
      <c r="D155" s="165"/>
      <c r="E155" s="165"/>
      <c r="F155" s="165"/>
      <c r="G155" s="165"/>
      <c r="H155" s="165"/>
      <c r="I155" s="165"/>
      <c r="J155" s="165"/>
      <c r="K155" s="165"/>
      <c r="L155" s="165"/>
      <c r="M155" s="165"/>
      <c r="N155" s="165"/>
      <c r="O155" s="165"/>
      <c r="P155" s="165"/>
      <c r="Q155" s="165"/>
      <c r="R155" s="165">
        <f>R$17/R$138</f>
        <v>9.9311597474388105</v>
      </c>
      <c r="S155" s="165">
        <f>(IF(COUNT($C155:R155)&lt;$R$138,R155,0))</f>
        <v>9.9311597474388105</v>
      </c>
      <c r="T155" s="165">
        <f>(IF(COUNT($C155:S155)&lt;$R$138,S155,0))</f>
        <v>9.9311597474388105</v>
      </c>
      <c r="U155" s="165">
        <f>(IF(COUNT($C155:T155)&lt;$R$138,T155,0))</f>
        <v>9.9311597474388105</v>
      </c>
      <c r="V155" s="165">
        <f>(IF(COUNT($C155:U155)&lt;$R$138,U155,0))</f>
        <v>9.9311597474388105</v>
      </c>
      <c r="W155" s="165">
        <f>(IF(COUNT($C155:V155)&lt;$R$138,V155,0))</f>
        <v>9.9311597474388105</v>
      </c>
      <c r="X155" s="165">
        <f>(IF(COUNT($C155:W155)&lt;$R$138,W155,0))</f>
        <v>9.9311597474388105</v>
      </c>
      <c r="Y155" s="165">
        <f>(IF(COUNT($C155:X155)&lt;$R$138,X155,0))</f>
        <v>9.9311597474388105</v>
      </c>
      <c r="Z155" s="165">
        <f>(IF(COUNT($C155:Y155)&lt;$R$138,Y155,0))</f>
        <v>9.9311597474388105</v>
      </c>
      <c r="AA155" s="165">
        <f>(IF(COUNT($C155:Z155)&lt;$R$138,Z155,0))</f>
        <v>9.9311597474388105</v>
      </c>
      <c r="AB155" s="165">
        <f>(IF(COUNT($C155:AA155)&lt;$R$138,AA155,0))</f>
        <v>9.9311597474388105</v>
      </c>
      <c r="AC155" s="166"/>
      <c r="AD155" s="166"/>
    </row>
    <row r="156" spans="1:30" ht="11.45" customHeight="1" outlineLevel="1" x14ac:dyDescent="0.2">
      <c r="A156" s="56"/>
      <c r="B156" s="138">
        <f t="shared" si="116"/>
        <v>2012</v>
      </c>
      <c r="C156" s="165"/>
      <c r="D156" s="165"/>
      <c r="E156" s="165"/>
      <c r="F156" s="165"/>
      <c r="G156" s="165"/>
      <c r="H156" s="165"/>
      <c r="I156" s="165"/>
      <c r="J156" s="165"/>
      <c r="K156" s="165"/>
      <c r="L156" s="165"/>
      <c r="M156" s="165"/>
      <c r="N156" s="165"/>
      <c r="O156" s="165"/>
      <c r="P156" s="165"/>
      <c r="Q156" s="165"/>
      <c r="R156" s="165"/>
      <c r="S156" s="165">
        <f>S$17/S$138</f>
        <v>40.532445052015881</v>
      </c>
      <c r="T156" s="165">
        <f>(IF(COUNT($C156:S156)&lt;$S$138,S156,0))</f>
        <v>40.532445052015881</v>
      </c>
      <c r="U156" s="165">
        <f>(IF(COUNT($C156:T156)&lt;$S$138,T156,0))</f>
        <v>40.532445052015881</v>
      </c>
      <c r="V156" s="165">
        <f>(IF(COUNT($C156:U156)&lt;$S$138,U156,0))</f>
        <v>40.532445052015881</v>
      </c>
      <c r="W156" s="165">
        <f>(IF(COUNT($C156:V156)&lt;$S$138,V156,0))</f>
        <v>40.532445052015881</v>
      </c>
      <c r="X156" s="165">
        <f>(IF(COUNT($C156:W156)&lt;$S$138,W156,0))</f>
        <v>40.532445052015881</v>
      </c>
      <c r="Y156" s="165">
        <f>(IF(COUNT($C156:X156)&lt;$S$138,X156,0))</f>
        <v>40.532445052015881</v>
      </c>
      <c r="Z156" s="165">
        <f>(IF(COUNT($C156:Y156)&lt;$S$138,Y156,0))</f>
        <v>40.532445052015881</v>
      </c>
      <c r="AA156" s="165">
        <f>(IF(COUNT($C156:Z156)&lt;$S$138,Z156,0))</f>
        <v>40.532445052015881</v>
      </c>
      <c r="AB156" s="165">
        <f>(IF(COUNT($C156:AA156)&lt;$S$138,AA156,0))</f>
        <v>40.532445052015881</v>
      </c>
      <c r="AC156" s="166"/>
      <c r="AD156" s="166"/>
    </row>
    <row r="157" spans="1:30" ht="11.45" customHeight="1" outlineLevel="1" x14ac:dyDescent="0.2">
      <c r="A157" s="56"/>
      <c r="B157" s="138">
        <f t="shared" si="116"/>
        <v>2013</v>
      </c>
      <c r="C157" s="165"/>
      <c r="D157" s="165"/>
      <c r="E157" s="165"/>
      <c r="F157" s="165"/>
      <c r="G157" s="165"/>
      <c r="H157" s="165"/>
      <c r="I157" s="165"/>
      <c r="J157" s="165"/>
      <c r="K157" s="165"/>
      <c r="L157" s="165"/>
      <c r="M157" s="165"/>
      <c r="N157" s="165"/>
      <c r="O157" s="165"/>
      <c r="P157" s="165"/>
      <c r="Q157" s="165"/>
      <c r="R157" s="165"/>
      <c r="S157" s="165"/>
      <c r="T157" s="165">
        <f>T$17/T$138</f>
        <v>23.294563968327129</v>
      </c>
      <c r="U157" s="167">
        <f>(IF(COUNT($C157:T157)&lt;$T$138,T157,0))</f>
        <v>23.294563968327129</v>
      </c>
      <c r="V157" s="167">
        <f>(IF(COUNT($C157:U157)&lt;$T$138,U157,0))</f>
        <v>23.294563968327129</v>
      </c>
      <c r="W157" s="167">
        <f>(IF(COUNT($C157:V157)&lt;$T$138,V157,0))</f>
        <v>23.294563968327129</v>
      </c>
      <c r="X157" s="167">
        <f>(IF(COUNT($C157:W157)&lt;$T$138,W157,0))</f>
        <v>23.294563968327129</v>
      </c>
      <c r="Y157" s="167">
        <f>(IF(COUNT($C157:X157)&lt;$T$138,X157,0))</f>
        <v>23.294563968327129</v>
      </c>
      <c r="Z157" s="167">
        <f>(IF(COUNT($C157:Y157)&lt;$T$138,Y157,0))</f>
        <v>23.294563968327129</v>
      </c>
      <c r="AA157" s="167">
        <f>(IF(COUNT($C157:Z157)&lt;$T$138,Z157,0))</f>
        <v>23.294563968327129</v>
      </c>
      <c r="AB157" s="167">
        <f>(IF(COUNT($C157:AA157)&lt;$T$138,AA157,0))</f>
        <v>23.294563968327129</v>
      </c>
      <c r="AC157" s="166"/>
      <c r="AD157" s="166"/>
    </row>
    <row r="158" spans="1:30" ht="11.45" customHeight="1" outlineLevel="1" x14ac:dyDescent="0.2">
      <c r="A158" s="56"/>
      <c r="B158" s="138">
        <f t="shared" si="116"/>
        <v>2014</v>
      </c>
      <c r="C158" s="165"/>
      <c r="D158" s="165"/>
      <c r="E158" s="165"/>
      <c r="F158" s="165"/>
      <c r="G158" s="165"/>
      <c r="H158" s="165"/>
      <c r="I158" s="165"/>
      <c r="J158" s="165"/>
      <c r="K158" s="165"/>
      <c r="L158" s="165"/>
      <c r="M158" s="165"/>
      <c r="N158" s="165"/>
      <c r="O158" s="165"/>
      <c r="P158" s="165"/>
      <c r="Q158" s="165"/>
      <c r="R158" s="165"/>
      <c r="S158" s="165"/>
      <c r="T158" s="165"/>
      <c r="U158" s="167">
        <f>U$17/U$138</f>
        <v>26.788748563576188</v>
      </c>
      <c r="V158" s="167">
        <f>(IF(COUNT($C158:U158)&lt;$U$138,U158,0))</f>
        <v>26.788748563576188</v>
      </c>
      <c r="W158" s="167">
        <f>(IF(COUNT($C158:V158)&lt;$U$138,V158,0))</f>
        <v>26.788748563576188</v>
      </c>
      <c r="X158" s="167">
        <f>(IF(COUNT($C158:W158)&lt;$U$138,W158,0))</f>
        <v>26.788748563576188</v>
      </c>
      <c r="Y158" s="167">
        <f>(IF(COUNT($C158:X158)&lt;$U$138,X158,0))</f>
        <v>26.788748563576188</v>
      </c>
      <c r="Z158" s="167">
        <f>(IF(COUNT($C158:Y158)&lt;$U$138,Y158,0))</f>
        <v>26.788748563576188</v>
      </c>
      <c r="AA158" s="167">
        <f>(IF(COUNT($C158:Z158)&lt;$U$138,Z158,0))</f>
        <v>26.788748563576188</v>
      </c>
      <c r="AB158" s="167">
        <f>(IF(COUNT($C158:AA158)&lt;$U$138,AA158,0))</f>
        <v>26.788748563576188</v>
      </c>
      <c r="AC158" s="166"/>
      <c r="AD158" s="166"/>
    </row>
    <row r="159" spans="1:30" ht="11.45" customHeight="1" outlineLevel="1" x14ac:dyDescent="0.2">
      <c r="A159" s="56"/>
      <c r="B159" s="138">
        <f t="shared" si="116"/>
        <v>2015</v>
      </c>
      <c r="C159" s="165"/>
      <c r="D159" s="165"/>
      <c r="E159" s="165"/>
      <c r="F159" s="165"/>
      <c r="G159" s="165"/>
      <c r="H159" s="165"/>
      <c r="I159" s="165"/>
      <c r="J159" s="165"/>
      <c r="K159" s="165"/>
      <c r="L159" s="165"/>
      <c r="M159" s="165"/>
      <c r="N159" s="165"/>
      <c r="O159" s="165"/>
      <c r="P159" s="165"/>
      <c r="Q159" s="165"/>
      <c r="R159" s="165"/>
      <c r="S159" s="165"/>
      <c r="T159" s="165"/>
      <c r="U159" s="168"/>
      <c r="V159" s="167">
        <f t="shared" ref="V159:AB159" si="117">V$17/V$138</f>
        <v>26.462806059438151</v>
      </c>
      <c r="W159" s="167">
        <f t="shared" si="117"/>
        <v>30.432226968353863</v>
      </c>
      <c r="X159" s="167">
        <f t="shared" si="117"/>
        <v>34.997061013606945</v>
      </c>
      <c r="Y159" s="167">
        <f t="shared" si="117"/>
        <v>40.24662016564799</v>
      </c>
      <c r="Z159" s="167">
        <f t="shared" si="117"/>
        <v>46.283613190495174</v>
      </c>
      <c r="AA159" s="167">
        <f t="shared" si="117"/>
        <v>53.226155169069443</v>
      </c>
      <c r="AB159" s="167">
        <f t="shared" si="117"/>
        <v>61.210078444429854</v>
      </c>
      <c r="AC159" s="169"/>
      <c r="AD159" s="169"/>
    </row>
    <row r="160" spans="1:30" ht="11.45" customHeight="1" outlineLevel="1" x14ac:dyDescent="0.2">
      <c r="A160" s="56"/>
      <c r="B160" s="138">
        <f t="shared" si="116"/>
        <v>2016</v>
      </c>
      <c r="C160" s="165"/>
      <c r="D160" s="165"/>
      <c r="E160" s="165"/>
      <c r="F160" s="165"/>
      <c r="G160" s="165"/>
      <c r="H160" s="165"/>
      <c r="I160" s="165"/>
      <c r="J160" s="165"/>
      <c r="K160" s="165"/>
      <c r="L160" s="165"/>
      <c r="M160" s="165"/>
      <c r="N160" s="165"/>
      <c r="O160" s="165"/>
      <c r="P160" s="165"/>
      <c r="Q160" s="165"/>
      <c r="R160" s="165"/>
      <c r="S160" s="165"/>
      <c r="T160" s="165"/>
      <c r="U160" s="168"/>
      <c r="V160" s="168"/>
      <c r="W160" s="168"/>
      <c r="X160" s="168"/>
      <c r="Y160" s="168"/>
      <c r="Z160" s="168"/>
      <c r="AA160" s="168"/>
      <c r="AB160" s="169"/>
      <c r="AC160" s="169"/>
      <c r="AD160" s="169"/>
    </row>
    <row r="161" spans="1:30" ht="11.45" customHeight="1" outlineLevel="1" x14ac:dyDescent="0.2">
      <c r="A161" s="56"/>
      <c r="B161" s="138">
        <f t="shared" si="116"/>
        <v>2017</v>
      </c>
      <c r="C161" s="165"/>
      <c r="D161" s="165"/>
      <c r="E161" s="165"/>
      <c r="F161" s="165"/>
      <c r="G161" s="165"/>
      <c r="H161" s="165"/>
      <c r="I161" s="165"/>
      <c r="J161" s="165"/>
      <c r="K161" s="165"/>
      <c r="L161" s="165"/>
      <c r="M161" s="165"/>
      <c r="N161" s="165"/>
      <c r="O161" s="165"/>
      <c r="P161" s="165"/>
      <c r="Q161" s="165"/>
      <c r="R161" s="165"/>
      <c r="S161" s="165"/>
      <c r="T161" s="165"/>
      <c r="U161" s="169"/>
      <c r="V161" s="169"/>
      <c r="W161" s="169"/>
      <c r="X161" s="169"/>
      <c r="Y161" s="169"/>
      <c r="Z161" s="169"/>
      <c r="AA161" s="169"/>
      <c r="AB161" s="169"/>
      <c r="AC161" s="169"/>
      <c r="AD161" s="169"/>
    </row>
    <row r="162" spans="1:30" ht="11.45" customHeight="1" outlineLevel="1" x14ac:dyDescent="0.2">
      <c r="A162" s="56"/>
      <c r="B162" s="138">
        <f t="shared" si="116"/>
        <v>2018</v>
      </c>
      <c r="C162" s="165"/>
      <c r="D162" s="165"/>
      <c r="E162" s="165"/>
      <c r="F162" s="165"/>
      <c r="G162" s="165"/>
      <c r="H162" s="165"/>
      <c r="I162" s="165"/>
      <c r="J162" s="165"/>
      <c r="K162" s="165"/>
      <c r="L162" s="165"/>
      <c r="M162" s="165"/>
      <c r="N162" s="165"/>
      <c r="O162" s="165"/>
      <c r="P162" s="165"/>
      <c r="Q162" s="165"/>
      <c r="R162" s="165"/>
      <c r="S162" s="165"/>
      <c r="T162" s="165"/>
      <c r="U162" s="169"/>
      <c r="V162" s="169"/>
      <c r="W162" s="169"/>
      <c r="X162" s="169"/>
      <c r="Y162" s="169"/>
      <c r="Z162" s="169"/>
      <c r="AA162" s="169"/>
      <c r="AB162" s="169"/>
      <c r="AC162" s="169"/>
      <c r="AD162" s="169"/>
    </row>
    <row r="163" spans="1:30" ht="11.45" customHeight="1" outlineLevel="1" x14ac:dyDescent="0.2">
      <c r="A163" s="56"/>
      <c r="B163" s="138">
        <f t="shared" si="116"/>
        <v>2019</v>
      </c>
      <c r="C163" s="165"/>
      <c r="D163" s="165"/>
      <c r="E163" s="165"/>
      <c r="F163" s="165"/>
      <c r="G163" s="165"/>
      <c r="H163" s="165"/>
      <c r="I163" s="165"/>
      <c r="J163" s="165"/>
      <c r="K163" s="165"/>
      <c r="L163" s="165"/>
      <c r="M163" s="165"/>
      <c r="N163" s="165"/>
      <c r="O163" s="165"/>
      <c r="P163" s="165"/>
      <c r="Q163" s="165"/>
      <c r="R163" s="165"/>
      <c r="S163" s="165"/>
      <c r="T163" s="165"/>
      <c r="U163" s="169"/>
      <c r="V163" s="169"/>
      <c r="W163" s="169"/>
      <c r="X163" s="169"/>
      <c r="Y163" s="169"/>
      <c r="Z163" s="169"/>
      <c r="AA163" s="169"/>
      <c r="AB163" s="169"/>
      <c r="AC163" s="169"/>
      <c r="AD163" s="169"/>
    </row>
    <row r="164" spans="1:30" ht="11.45" customHeight="1" outlineLevel="1" x14ac:dyDescent="0.2">
      <c r="A164" s="56"/>
      <c r="B164" s="138">
        <f t="shared" si="116"/>
        <v>2020</v>
      </c>
      <c r="C164" s="165"/>
      <c r="D164" s="165"/>
      <c r="E164" s="165"/>
      <c r="F164" s="165"/>
      <c r="G164" s="165"/>
      <c r="H164" s="165"/>
      <c r="I164" s="165"/>
      <c r="J164" s="165"/>
      <c r="K164" s="165"/>
      <c r="L164" s="165"/>
      <c r="M164" s="165"/>
      <c r="N164" s="165"/>
      <c r="O164" s="165"/>
      <c r="P164" s="165"/>
      <c r="Q164" s="165"/>
      <c r="R164" s="165"/>
      <c r="S164" s="165"/>
      <c r="T164" s="165"/>
      <c r="U164" s="169"/>
      <c r="V164" s="169"/>
      <c r="W164" s="169"/>
      <c r="X164" s="169"/>
      <c r="Y164" s="169"/>
      <c r="Z164" s="169"/>
      <c r="AA164" s="169"/>
      <c r="AB164" s="169"/>
      <c r="AC164" s="169"/>
      <c r="AD164" s="169"/>
    </row>
    <row r="165" spans="1:30" ht="11.45" customHeight="1" outlineLevel="1" x14ac:dyDescent="0.2">
      <c r="A165" s="56"/>
      <c r="B165" s="138">
        <f t="shared" si="116"/>
        <v>2021</v>
      </c>
      <c r="C165" s="165"/>
      <c r="D165" s="165"/>
      <c r="E165" s="165"/>
      <c r="F165" s="165"/>
      <c r="G165" s="165"/>
      <c r="H165" s="165"/>
      <c r="I165" s="165"/>
      <c r="J165" s="165"/>
      <c r="K165" s="165"/>
      <c r="L165" s="165"/>
      <c r="M165" s="165"/>
      <c r="N165" s="165"/>
      <c r="O165" s="165"/>
      <c r="P165" s="165"/>
      <c r="Q165" s="165"/>
      <c r="R165" s="165"/>
      <c r="S165" s="165"/>
      <c r="T165" s="165"/>
      <c r="U165" s="169"/>
      <c r="V165" s="169"/>
      <c r="W165" s="169"/>
      <c r="X165" s="169"/>
      <c r="Y165" s="169"/>
      <c r="Z165" s="169"/>
      <c r="AA165" s="169"/>
      <c r="AB165" s="165"/>
      <c r="AC165" s="165"/>
      <c r="AD165" s="165"/>
    </row>
    <row r="166" spans="1:30" ht="11.45" customHeight="1" outlineLevel="1" x14ac:dyDescent="0.2">
      <c r="A166" s="170"/>
      <c r="B166" s="138">
        <f t="shared" si="116"/>
        <v>2022</v>
      </c>
      <c r="C166" s="171"/>
      <c r="D166" s="171"/>
      <c r="E166" s="171"/>
      <c r="F166" s="171"/>
      <c r="G166" s="171"/>
      <c r="H166" s="171"/>
      <c r="I166" s="171"/>
      <c r="J166" s="171"/>
      <c r="K166" s="171"/>
      <c r="L166" s="171"/>
      <c r="M166" s="171"/>
      <c r="N166" s="171"/>
      <c r="O166" s="171"/>
      <c r="P166" s="171"/>
      <c r="Q166" s="171"/>
      <c r="R166" s="171"/>
      <c r="S166" s="171"/>
      <c r="T166" s="94"/>
      <c r="U166" s="42"/>
      <c r="V166" s="42"/>
      <c r="W166" s="42"/>
      <c r="X166" s="42"/>
      <c r="Y166" s="42"/>
      <c r="Z166" s="42"/>
      <c r="AA166" s="42"/>
      <c r="AB166" s="169"/>
      <c r="AC166" s="169"/>
      <c r="AD166" s="169"/>
    </row>
    <row r="167" spans="1:30" ht="11.45" customHeight="1" outlineLevel="1" x14ac:dyDescent="0.2">
      <c r="A167" s="56"/>
      <c r="B167" s="138">
        <f t="shared" si="116"/>
        <v>2023</v>
      </c>
      <c r="C167" s="171"/>
      <c r="D167" s="171"/>
      <c r="E167" s="171"/>
      <c r="F167" s="171"/>
      <c r="G167" s="171"/>
      <c r="H167" s="171"/>
      <c r="I167" s="171"/>
      <c r="J167" s="171"/>
      <c r="K167" s="171"/>
      <c r="L167" s="171"/>
      <c r="M167" s="171"/>
      <c r="N167" s="171"/>
      <c r="O167" s="171"/>
      <c r="P167" s="171"/>
      <c r="Q167" s="171"/>
      <c r="R167" s="171"/>
      <c r="S167" s="171"/>
      <c r="T167" s="94"/>
      <c r="U167" s="42"/>
      <c r="V167" s="42"/>
      <c r="W167" s="42"/>
      <c r="X167" s="42"/>
      <c r="Y167" s="42"/>
      <c r="Z167" s="42"/>
      <c r="AA167" s="42"/>
      <c r="AB167" s="172"/>
      <c r="AC167" s="172"/>
      <c r="AD167" s="172"/>
    </row>
    <row r="168" spans="1:30" ht="11.45" customHeight="1" outlineLevel="1" x14ac:dyDescent="0.2">
      <c r="A168" s="56"/>
      <c r="B168" s="138">
        <f t="shared" si="116"/>
        <v>2024</v>
      </c>
      <c r="C168" s="171"/>
      <c r="D168" s="171"/>
      <c r="E168" s="171"/>
      <c r="F168" s="171"/>
      <c r="G168" s="171"/>
      <c r="H168" s="171"/>
      <c r="I168" s="171"/>
      <c r="J168" s="171"/>
      <c r="K168" s="171"/>
      <c r="L168" s="171"/>
      <c r="M168" s="171"/>
      <c r="N168" s="171"/>
      <c r="O168" s="171"/>
      <c r="P168" s="171"/>
      <c r="Q168" s="171"/>
      <c r="R168" s="171"/>
      <c r="S168" s="171"/>
      <c r="T168" s="94"/>
      <c r="U168" s="42"/>
      <c r="V168" s="42"/>
      <c r="W168" s="42"/>
      <c r="X168" s="42"/>
      <c r="Y168" s="42"/>
      <c r="Z168" s="42"/>
      <c r="AA168" s="42"/>
      <c r="AB168" s="172"/>
      <c r="AC168" s="172"/>
      <c r="AD168" s="172"/>
    </row>
    <row r="169" spans="1:30" ht="11.45" customHeight="1" outlineLevel="1" x14ac:dyDescent="0.2">
      <c r="A169" s="56"/>
      <c r="B169" s="138">
        <f t="shared" si="116"/>
        <v>2025</v>
      </c>
      <c r="C169" s="171"/>
      <c r="D169" s="171"/>
      <c r="E169" s="171"/>
      <c r="F169" s="171"/>
      <c r="G169" s="171"/>
      <c r="H169" s="171"/>
      <c r="I169" s="171"/>
      <c r="J169" s="171"/>
      <c r="K169" s="171"/>
      <c r="L169" s="171"/>
      <c r="M169" s="171"/>
      <c r="N169" s="171"/>
      <c r="O169" s="171"/>
      <c r="P169" s="171"/>
      <c r="Q169" s="171"/>
      <c r="R169" s="171"/>
      <c r="S169" s="171"/>
      <c r="T169" s="94"/>
      <c r="U169" s="42"/>
      <c r="V169" s="42"/>
      <c r="W169" s="42"/>
      <c r="X169" s="42"/>
      <c r="Y169" s="42"/>
      <c r="Z169" s="42"/>
      <c r="AA169" s="42"/>
      <c r="AB169" s="172"/>
      <c r="AC169" s="172"/>
      <c r="AD169" s="172"/>
    </row>
    <row r="170" spans="1:30" ht="11.45" customHeight="1" outlineLevel="1" x14ac:dyDescent="0.2">
      <c r="A170" s="56"/>
      <c r="B170" s="138">
        <f t="shared" si="116"/>
        <v>2026</v>
      </c>
      <c r="C170" s="171"/>
      <c r="D170" s="171"/>
      <c r="E170" s="171"/>
      <c r="F170" s="171"/>
      <c r="G170" s="171"/>
      <c r="H170" s="171"/>
      <c r="I170" s="171"/>
      <c r="J170" s="171"/>
      <c r="K170" s="171"/>
      <c r="L170" s="171"/>
      <c r="M170" s="171"/>
      <c r="N170" s="171"/>
      <c r="O170" s="171"/>
      <c r="P170" s="171"/>
      <c r="Q170" s="171"/>
      <c r="R170" s="171"/>
      <c r="S170" s="171"/>
      <c r="T170" s="94"/>
      <c r="U170" s="42"/>
      <c r="V170" s="42"/>
      <c r="W170" s="42"/>
      <c r="X170" s="42"/>
      <c r="Y170" s="42"/>
      <c r="Z170" s="42"/>
      <c r="AA170" s="42"/>
      <c r="AB170" s="172"/>
      <c r="AC170" s="172"/>
      <c r="AD170" s="172"/>
    </row>
    <row r="171" spans="1:30" ht="11.45" customHeight="1" outlineLevel="1" x14ac:dyDescent="0.2">
      <c r="A171" s="56"/>
      <c r="B171" s="138">
        <f t="shared" si="116"/>
        <v>2027</v>
      </c>
      <c r="C171" s="171"/>
      <c r="D171" s="171"/>
      <c r="E171" s="171"/>
      <c r="F171" s="171"/>
      <c r="G171" s="171"/>
      <c r="H171" s="171"/>
      <c r="I171" s="171"/>
      <c r="J171" s="171"/>
      <c r="K171" s="171"/>
      <c r="L171" s="171"/>
      <c r="M171" s="171"/>
      <c r="N171" s="171"/>
      <c r="O171" s="171"/>
      <c r="P171" s="171"/>
      <c r="Q171" s="171"/>
      <c r="R171" s="171"/>
      <c r="S171" s="171"/>
      <c r="T171" s="94"/>
      <c r="U171" s="42"/>
      <c r="V171" s="42"/>
      <c r="W171" s="42"/>
      <c r="X171" s="42"/>
      <c r="Y171" s="42"/>
      <c r="Z171" s="42"/>
      <c r="AA171" s="42"/>
      <c r="AB171" s="172"/>
      <c r="AC171" s="172"/>
      <c r="AD171" s="172"/>
    </row>
    <row r="172" spans="1:30" ht="11.45" customHeight="1" outlineLevel="1" x14ac:dyDescent="0.2">
      <c r="A172" s="56"/>
      <c r="B172" s="173"/>
      <c r="C172" s="171"/>
      <c r="D172" s="171"/>
      <c r="E172" s="171"/>
      <c r="F172" s="171"/>
      <c r="G172" s="171"/>
      <c r="H172" s="171"/>
      <c r="I172" s="171"/>
      <c r="J172" s="171"/>
      <c r="K172" s="171"/>
      <c r="L172" s="171"/>
      <c r="M172" s="171"/>
      <c r="N172" s="171"/>
      <c r="O172" s="171"/>
      <c r="P172" s="171"/>
      <c r="Q172" s="171"/>
      <c r="R172" s="171"/>
      <c r="S172" s="171"/>
      <c r="T172" s="94"/>
      <c r="U172" s="42"/>
      <c r="V172" s="42"/>
      <c r="W172" s="42"/>
      <c r="X172" s="42"/>
      <c r="Y172" s="42"/>
      <c r="Z172" s="42"/>
      <c r="AA172" s="42"/>
      <c r="AB172" s="172"/>
      <c r="AC172" s="172"/>
      <c r="AD172" s="172"/>
    </row>
    <row r="173" spans="1:30" ht="11.45" customHeight="1" outlineLevel="1" x14ac:dyDescent="0.2">
      <c r="A173" s="56"/>
      <c r="B173" s="138"/>
      <c r="C173" s="174">
        <f t="shared" ref="C173:V173" si="118">SUM(C140:C171)</f>
        <v>30.501444302886579</v>
      </c>
      <c r="D173" s="174">
        <f t="shared" si="118"/>
        <v>28.705722968614062</v>
      </c>
      <c r="E173" s="174">
        <f t="shared" si="118"/>
        <v>31.611319306812366</v>
      </c>
      <c r="F173" s="174">
        <f t="shared" si="118"/>
        <v>33.208244128707989</v>
      </c>
      <c r="G173" s="174">
        <f t="shared" si="118"/>
        <v>34.257388493407483</v>
      </c>
      <c r="H173" s="174">
        <f t="shared" si="118"/>
        <v>35.995228893507836</v>
      </c>
      <c r="I173" s="174">
        <f t="shared" si="118"/>
        <v>41.827131291422013</v>
      </c>
      <c r="J173" s="174">
        <f t="shared" si="118"/>
        <v>41.514675867739179</v>
      </c>
      <c r="K173" s="174">
        <f t="shared" si="118"/>
        <v>45.266570117919187</v>
      </c>
      <c r="L173" s="174">
        <f t="shared" si="118"/>
        <v>46.894141354560389</v>
      </c>
      <c r="M173" s="174">
        <f t="shared" si="118"/>
        <v>49.107626724545042</v>
      </c>
      <c r="N173" s="174">
        <f t="shared" si="118"/>
        <v>47.590356617223968</v>
      </c>
      <c r="O173" s="174">
        <f t="shared" si="118"/>
        <v>56.869157281614378</v>
      </c>
      <c r="P173" s="174">
        <f t="shared" si="118"/>
        <v>69.426604125689053</v>
      </c>
      <c r="Q173" s="174">
        <f t="shared" si="118"/>
        <v>80.580313654058585</v>
      </c>
      <c r="R173" s="174">
        <f t="shared" si="118"/>
        <v>88.728220931152293</v>
      </c>
      <c r="S173" s="174">
        <f t="shared" si="118"/>
        <v>127.39621400109431</v>
      </c>
      <c r="T173" s="174">
        <f t="shared" si="118"/>
        <v>146.25941493134715</v>
      </c>
      <c r="U173" s="174">
        <f t="shared" si="118"/>
        <v>163.37816464340352</v>
      </c>
      <c r="V173" s="174">
        <f t="shared" si="118"/>
        <v>185.90814134813257</v>
      </c>
      <c r="W173" s="174">
        <f t="shared" ref="W173:AB173" si="119">SUM(W140:W171)</f>
        <v>175.4790077932571</v>
      </c>
      <c r="X173" s="174">
        <f t="shared" si="119"/>
        <v>173.72809481218374</v>
      </c>
      <c r="Y173" s="174">
        <f t="shared" si="119"/>
        <v>178.97765396422477</v>
      </c>
      <c r="Z173" s="174">
        <f t="shared" si="119"/>
        <v>185.51255525542697</v>
      </c>
      <c r="AA173" s="174">
        <f t="shared" si="119"/>
        <v>182.27925814956072</v>
      </c>
      <c r="AB173" s="174">
        <f t="shared" si="119"/>
        <v>176.91634077120236</v>
      </c>
      <c r="AC173" s="175"/>
      <c r="AD173" s="175"/>
    </row>
    <row r="174" spans="1:30" x14ac:dyDescent="0.2">
      <c r="A174" s="22"/>
      <c r="B174" s="176" t="s">
        <v>442</v>
      </c>
      <c r="C174" s="25"/>
      <c r="D174" s="25"/>
      <c r="E174" s="25"/>
      <c r="F174" s="25"/>
      <c r="G174" s="25"/>
      <c r="H174" s="25"/>
      <c r="I174" s="25"/>
      <c r="J174" s="25"/>
      <c r="K174" s="25"/>
      <c r="L174" s="25"/>
      <c r="M174" s="25"/>
      <c r="N174" s="25"/>
      <c r="O174" s="25"/>
      <c r="P174" s="177"/>
      <c r="Q174" s="177"/>
      <c r="R174" s="177"/>
      <c r="S174" s="177"/>
      <c r="T174" s="177"/>
      <c r="U174" s="177"/>
      <c r="V174" s="177"/>
      <c r="W174" s="177"/>
      <c r="X174" s="177"/>
      <c r="Y174" s="177"/>
      <c r="Z174" s="177"/>
      <c r="AA174" s="177"/>
      <c r="AB174" s="178"/>
      <c r="AC174" s="178"/>
      <c r="AD174" s="178"/>
    </row>
    <row r="175" spans="1:30" x14ac:dyDescent="0.2">
      <c r="A175" s="22"/>
      <c r="B175" s="179"/>
      <c r="C175" s="25"/>
      <c r="D175" s="25"/>
      <c r="E175" s="25"/>
      <c r="F175" s="25"/>
      <c r="G175" s="25"/>
      <c r="H175" s="25"/>
      <c r="I175" s="25"/>
      <c r="J175" s="25"/>
      <c r="K175" s="25"/>
      <c r="L175" s="25"/>
      <c r="M175" s="25"/>
      <c r="N175" s="25"/>
      <c r="O175" s="25"/>
      <c r="P175" s="177"/>
      <c r="Q175" s="177"/>
      <c r="R175" s="177"/>
      <c r="S175" s="177"/>
      <c r="T175" s="177"/>
      <c r="U175" s="177"/>
      <c r="V175" s="177"/>
      <c r="W175" s="177"/>
      <c r="X175" s="177"/>
      <c r="Y175" s="177"/>
      <c r="Z175" s="177"/>
      <c r="AA175" s="177"/>
      <c r="AB175" s="37"/>
      <c r="AC175" s="37"/>
      <c r="AD175" s="37"/>
    </row>
    <row r="176" spans="1:30" x14ac:dyDescent="0.2">
      <c r="A176" s="22"/>
      <c r="B176" s="138"/>
      <c r="C176" s="25"/>
      <c r="D176" s="25"/>
      <c r="E176" s="25"/>
      <c r="F176" s="25"/>
      <c r="G176" s="25"/>
      <c r="H176" s="25"/>
      <c r="I176" s="25"/>
      <c r="J176" s="25"/>
      <c r="K176" s="25"/>
      <c r="L176" s="25"/>
      <c r="M176" s="25"/>
      <c r="N176" s="25"/>
      <c r="O176" s="25"/>
      <c r="P176" s="177"/>
      <c r="Q176" s="177"/>
      <c r="R176" s="177"/>
      <c r="S176" s="177"/>
      <c r="T176" s="177"/>
      <c r="U176" s="177"/>
      <c r="V176" s="177"/>
      <c r="W176" s="177"/>
      <c r="X176" s="177"/>
      <c r="Y176" s="177"/>
      <c r="Z176" s="177"/>
      <c r="AA176" s="177"/>
      <c r="AB176" s="36"/>
      <c r="AC176" s="36"/>
      <c r="AD176" s="36"/>
    </row>
    <row r="177" spans="1:30" x14ac:dyDescent="0.2">
      <c r="A177" s="22"/>
      <c r="B177" s="138"/>
      <c r="C177" s="25"/>
      <c r="D177" s="25"/>
      <c r="E177" s="25"/>
      <c r="F177" s="25"/>
      <c r="G177" s="25"/>
      <c r="H177" s="25"/>
      <c r="I177" s="25"/>
      <c r="J177" s="25"/>
      <c r="K177" s="25"/>
      <c r="L177" s="25"/>
      <c r="M177" s="25"/>
      <c r="N177" s="25"/>
      <c r="O177" s="25"/>
      <c r="P177" s="177"/>
      <c r="Q177" s="177"/>
      <c r="R177" s="177"/>
      <c r="S177" s="177"/>
      <c r="T177" s="177"/>
      <c r="U177" s="177"/>
      <c r="V177" s="177"/>
      <c r="W177" s="177"/>
      <c r="X177" s="177"/>
      <c r="Y177" s="177"/>
      <c r="Z177" s="177"/>
      <c r="AA177" s="177"/>
      <c r="AB177" s="36"/>
      <c r="AC177" s="36"/>
      <c r="AD177" s="36"/>
    </row>
    <row r="178" spans="1:30" x14ac:dyDescent="0.2">
      <c r="A178" s="22"/>
      <c r="B178" s="138"/>
      <c r="C178" s="25"/>
      <c r="D178" s="25"/>
      <c r="E178" s="25"/>
      <c r="F178" s="25"/>
      <c r="G178" s="25"/>
      <c r="H178" s="25"/>
      <c r="I178" s="25"/>
      <c r="J178" s="25"/>
      <c r="K178" s="25"/>
      <c r="L178" s="25"/>
      <c r="M178" s="25"/>
      <c r="N178" s="25"/>
      <c r="O178" s="25"/>
      <c r="P178" s="177"/>
      <c r="Q178" s="177"/>
      <c r="R178" s="177"/>
      <c r="S178" s="177"/>
      <c r="T178" s="177"/>
      <c r="U178" s="177"/>
      <c r="V178" s="177"/>
      <c r="W178" s="177"/>
      <c r="X178" s="177"/>
      <c r="Y178" s="177"/>
      <c r="Z178" s="177"/>
      <c r="AA178" s="177"/>
      <c r="AB178" s="36"/>
      <c r="AC178" s="36"/>
      <c r="AD178" s="36"/>
    </row>
    <row r="179" spans="1:30" x14ac:dyDescent="0.2">
      <c r="A179" s="22"/>
      <c r="B179" s="22"/>
      <c r="C179" s="25"/>
      <c r="D179" s="25"/>
      <c r="E179" s="25"/>
      <c r="F179" s="25"/>
      <c r="G179" s="25"/>
      <c r="H179" s="25"/>
      <c r="I179" s="25"/>
      <c r="J179" s="25"/>
      <c r="K179" s="25"/>
      <c r="L179" s="25"/>
      <c r="M179" s="25"/>
      <c r="N179" s="25"/>
      <c r="O179" s="25"/>
      <c r="P179" s="25"/>
      <c r="Q179" s="22"/>
      <c r="R179" s="22"/>
      <c r="S179" s="22"/>
      <c r="T179" s="22"/>
      <c r="U179" s="22"/>
      <c r="V179" s="22"/>
      <c r="W179" s="22"/>
      <c r="X179" s="22"/>
      <c r="Y179" s="22"/>
      <c r="Z179" s="22"/>
      <c r="AA179" s="22"/>
      <c r="AB179" s="22"/>
      <c r="AC179" s="22"/>
      <c r="AD179" s="22"/>
    </row>
    <row r="180" spans="1:30" x14ac:dyDescent="0.2">
      <c r="A180" s="22"/>
      <c r="B180" s="22"/>
      <c r="C180" s="25"/>
      <c r="D180" s="25"/>
      <c r="E180" s="25"/>
      <c r="F180" s="25"/>
      <c r="G180" s="25"/>
      <c r="H180" s="25"/>
      <c r="I180" s="25"/>
      <c r="J180" s="25"/>
      <c r="K180" s="25"/>
      <c r="L180" s="25"/>
      <c r="M180" s="25"/>
      <c r="N180" s="25"/>
      <c r="O180" s="25"/>
      <c r="P180" s="25"/>
      <c r="Q180" s="22"/>
      <c r="R180" s="22"/>
      <c r="S180" s="22"/>
      <c r="T180" s="22"/>
      <c r="U180" s="22"/>
      <c r="V180" s="22"/>
      <c r="W180" s="22"/>
      <c r="X180" s="22"/>
      <c r="Y180" s="22"/>
      <c r="Z180" s="22"/>
      <c r="AA180" s="22"/>
      <c r="AB180" s="22"/>
      <c r="AC180" s="22"/>
      <c r="AD180" s="22"/>
    </row>
    <row r="181" spans="1:30" x14ac:dyDescent="0.2">
      <c r="A181" s="22"/>
      <c r="B181" s="22"/>
      <c r="C181" s="25"/>
      <c r="D181" s="25"/>
      <c r="E181" s="25"/>
      <c r="F181" s="25"/>
      <c r="G181" s="25"/>
      <c r="H181" s="25"/>
      <c r="I181" s="25"/>
      <c r="J181" s="25"/>
      <c r="K181" s="25"/>
      <c r="L181" s="25"/>
      <c r="M181" s="25"/>
      <c r="N181" s="25"/>
      <c r="O181" s="25"/>
      <c r="P181" s="25"/>
      <c r="Q181" s="22"/>
      <c r="R181" s="22"/>
      <c r="S181" s="22"/>
      <c r="T181" s="22"/>
      <c r="U181" s="22"/>
      <c r="V181" s="22"/>
      <c r="W181" s="22"/>
      <c r="X181" s="22"/>
      <c r="Y181" s="22"/>
      <c r="Z181" s="22"/>
      <c r="AA181" s="22"/>
      <c r="AB181" s="22"/>
      <c r="AC181" s="22"/>
      <c r="AD181" s="22"/>
    </row>
    <row r="182" spans="1:30" x14ac:dyDescent="0.2">
      <c r="A182" s="22"/>
      <c r="B182" s="22"/>
      <c r="C182" s="25"/>
      <c r="D182" s="25"/>
      <c r="E182" s="25"/>
      <c r="F182" s="25"/>
      <c r="G182" s="25"/>
      <c r="H182" s="25"/>
      <c r="I182" s="25"/>
      <c r="J182" s="25"/>
      <c r="K182" s="25"/>
      <c r="L182" s="25"/>
      <c r="M182" s="25"/>
      <c r="N182" s="25"/>
      <c r="O182" s="25"/>
      <c r="P182" s="25"/>
      <c r="Q182" s="22"/>
      <c r="R182" s="22"/>
      <c r="S182" s="22"/>
      <c r="T182" s="22"/>
      <c r="U182" s="22"/>
      <c r="V182" s="22"/>
      <c r="W182" s="22"/>
      <c r="X182" s="22"/>
      <c r="Y182" s="22"/>
      <c r="Z182" s="22"/>
      <c r="AA182" s="22"/>
      <c r="AB182" s="22"/>
      <c r="AC182" s="22"/>
      <c r="AD182" s="22"/>
    </row>
    <row r="183" spans="1:30" x14ac:dyDescent="0.2">
      <c r="AA183"/>
    </row>
  </sheetData>
  <phoneticPr fontId="10" type="noConversion"/>
  <pageMargins left="0.25" right="0.25" top="0.25" bottom="0.5" header="0.25" footer="0.25"/>
  <pageSetup paperSize="5" scale="80" orientation="landscape" horizontalDpi="300" verticalDpi="300" r:id="rId1"/>
  <headerFooter alignWithMargins="0">
    <oddFooter>&amp;L&amp;"Arial,Bold"&amp;8Morgan Stanley: Confidential - FOR DISCUSSION PURPOSES ONLY
&amp;R&amp;8Printed on &amp;D - Page &amp;P of &amp;N</oddFooter>
  </headerFooter>
  <rowBreaks count="2" manualBreakCount="2">
    <brk id="34" max="16383" man="1"/>
    <brk id="99" max="16383" man="1"/>
  </rowBreaks>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43"/>
  <sheetViews>
    <sheetView workbookViewId="0">
      <selection activeCell="B42" sqref="B42"/>
    </sheetView>
  </sheetViews>
  <sheetFormatPr defaultRowHeight="12.75" x14ac:dyDescent="0.2"/>
  <cols>
    <col min="1" max="1" width="29.5703125" style="1220" bestFit="1" customWidth="1"/>
    <col min="2" max="2" width="19.85546875" style="1384" customWidth="1"/>
    <col min="3" max="3" width="12" style="1220" bestFit="1" customWidth="1"/>
    <col min="4" max="256" width="9.140625" style="1220"/>
    <col min="257" max="257" width="29.5703125" style="1220" bestFit="1" customWidth="1"/>
    <col min="258" max="258" width="19.85546875" style="1220" customWidth="1"/>
    <col min="259" max="259" width="12" style="1220" bestFit="1" customWidth="1"/>
    <col min="260" max="512" width="9.140625" style="1220"/>
    <col min="513" max="513" width="29.5703125" style="1220" bestFit="1" customWidth="1"/>
    <col min="514" max="514" width="19.85546875" style="1220" customWidth="1"/>
    <col min="515" max="515" width="12" style="1220" bestFit="1" customWidth="1"/>
    <col min="516" max="768" width="9.140625" style="1220"/>
    <col min="769" max="769" width="29.5703125" style="1220" bestFit="1" customWidth="1"/>
    <col min="770" max="770" width="19.85546875" style="1220" customWidth="1"/>
    <col min="771" max="771" width="12" style="1220" bestFit="1" customWidth="1"/>
    <col min="772" max="1024" width="9.140625" style="1220"/>
    <col min="1025" max="1025" width="29.5703125" style="1220" bestFit="1" customWidth="1"/>
    <col min="1026" max="1026" width="19.85546875" style="1220" customWidth="1"/>
    <col min="1027" max="1027" width="12" style="1220" bestFit="1" customWidth="1"/>
    <col min="1028" max="1280" width="9.140625" style="1220"/>
    <col min="1281" max="1281" width="29.5703125" style="1220" bestFit="1" customWidth="1"/>
    <col min="1282" max="1282" width="19.85546875" style="1220" customWidth="1"/>
    <col min="1283" max="1283" width="12" style="1220" bestFit="1" customWidth="1"/>
    <col min="1284" max="1536" width="9.140625" style="1220"/>
    <col min="1537" max="1537" width="29.5703125" style="1220" bestFit="1" customWidth="1"/>
    <col min="1538" max="1538" width="19.85546875" style="1220" customWidth="1"/>
    <col min="1539" max="1539" width="12" style="1220" bestFit="1" customWidth="1"/>
    <col min="1540" max="1792" width="9.140625" style="1220"/>
    <col min="1793" max="1793" width="29.5703125" style="1220" bestFit="1" customWidth="1"/>
    <col min="1794" max="1794" width="19.85546875" style="1220" customWidth="1"/>
    <col min="1795" max="1795" width="12" style="1220" bestFit="1" customWidth="1"/>
    <col min="1796" max="2048" width="9.140625" style="1220"/>
    <col min="2049" max="2049" width="29.5703125" style="1220" bestFit="1" customWidth="1"/>
    <col min="2050" max="2050" width="19.85546875" style="1220" customWidth="1"/>
    <col min="2051" max="2051" width="12" style="1220" bestFit="1" customWidth="1"/>
    <col min="2052" max="2304" width="9.140625" style="1220"/>
    <col min="2305" max="2305" width="29.5703125" style="1220" bestFit="1" customWidth="1"/>
    <col min="2306" max="2306" width="19.85546875" style="1220" customWidth="1"/>
    <col min="2307" max="2307" width="12" style="1220" bestFit="1" customWidth="1"/>
    <col min="2308" max="2560" width="9.140625" style="1220"/>
    <col min="2561" max="2561" width="29.5703125" style="1220" bestFit="1" customWidth="1"/>
    <col min="2562" max="2562" width="19.85546875" style="1220" customWidth="1"/>
    <col min="2563" max="2563" width="12" style="1220" bestFit="1" customWidth="1"/>
    <col min="2564" max="2816" width="9.140625" style="1220"/>
    <col min="2817" max="2817" width="29.5703125" style="1220" bestFit="1" customWidth="1"/>
    <col min="2818" max="2818" width="19.85546875" style="1220" customWidth="1"/>
    <col min="2819" max="2819" width="12" style="1220" bestFit="1" customWidth="1"/>
    <col min="2820" max="3072" width="9.140625" style="1220"/>
    <col min="3073" max="3073" width="29.5703125" style="1220" bestFit="1" customWidth="1"/>
    <col min="3074" max="3074" width="19.85546875" style="1220" customWidth="1"/>
    <col min="3075" max="3075" width="12" style="1220" bestFit="1" customWidth="1"/>
    <col min="3076" max="3328" width="9.140625" style="1220"/>
    <col min="3329" max="3329" width="29.5703125" style="1220" bestFit="1" customWidth="1"/>
    <col min="3330" max="3330" width="19.85546875" style="1220" customWidth="1"/>
    <col min="3331" max="3331" width="12" style="1220" bestFit="1" customWidth="1"/>
    <col min="3332" max="3584" width="9.140625" style="1220"/>
    <col min="3585" max="3585" width="29.5703125" style="1220" bestFit="1" customWidth="1"/>
    <col min="3586" max="3586" width="19.85546875" style="1220" customWidth="1"/>
    <col min="3587" max="3587" width="12" style="1220" bestFit="1" customWidth="1"/>
    <col min="3588" max="3840" width="9.140625" style="1220"/>
    <col min="3841" max="3841" width="29.5703125" style="1220" bestFit="1" customWidth="1"/>
    <col min="3842" max="3842" width="19.85546875" style="1220" customWidth="1"/>
    <col min="3843" max="3843" width="12" style="1220" bestFit="1" customWidth="1"/>
    <col min="3844" max="4096" width="9.140625" style="1220"/>
    <col min="4097" max="4097" width="29.5703125" style="1220" bestFit="1" customWidth="1"/>
    <col min="4098" max="4098" width="19.85546875" style="1220" customWidth="1"/>
    <col min="4099" max="4099" width="12" style="1220" bestFit="1" customWidth="1"/>
    <col min="4100" max="4352" width="9.140625" style="1220"/>
    <col min="4353" max="4353" width="29.5703125" style="1220" bestFit="1" customWidth="1"/>
    <col min="4354" max="4354" width="19.85546875" style="1220" customWidth="1"/>
    <col min="4355" max="4355" width="12" style="1220" bestFit="1" customWidth="1"/>
    <col min="4356" max="4608" width="9.140625" style="1220"/>
    <col min="4609" max="4609" width="29.5703125" style="1220" bestFit="1" customWidth="1"/>
    <col min="4610" max="4610" width="19.85546875" style="1220" customWidth="1"/>
    <col min="4611" max="4611" width="12" style="1220" bestFit="1" customWidth="1"/>
    <col min="4612" max="4864" width="9.140625" style="1220"/>
    <col min="4865" max="4865" width="29.5703125" style="1220" bestFit="1" customWidth="1"/>
    <col min="4866" max="4866" width="19.85546875" style="1220" customWidth="1"/>
    <col min="4867" max="4867" width="12" style="1220" bestFit="1" customWidth="1"/>
    <col min="4868" max="5120" width="9.140625" style="1220"/>
    <col min="5121" max="5121" width="29.5703125" style="1220" bestFit="1" customWidth="1"/>
    <col min="5122" max="5122" width="19.85546875" style="1220" customWidth="1"/>
    <col min="5123" max="5123" width="12" style="1220" bestFit="1" customWidth="1"/>
    <col min="5124" max="5376" width="9.140625" style="1220"/>
    <col min="5377" max="5377" width="29.5703125" style="1220" bestFit="1" customWidth="1"/>
    <col min="5378" max="5378" width="19.85546875" style="1220" customWidth="1"/>
    <col min="5379" max="5379" width="12" style="1220" bestFit="1" customWidth="1"/>
    <col min="5380" max="5632" width="9.140625" style="1220"/>
    <col min="5633" max="5633" width="29.5703125" style="1220" bestFit="1" customWidth="1"/>
    <col min="5634" max="5634" width="19.85546875" style="1220" customWidth="1"/>
    <col min="5635" max="5635" width="12" style="1220" bestFit="1" customWidth="1"/>
    <col min="5636" max="5888" width="9.140625" style="1220"/>
    <col min="5889" max="5889" width="29.5703125" style="1220" bestFit="1" customWidth="1"/>
    <col min="5890" max="5890" width="19.85546875" style="1220" customWidth="1"/>
    <col min="5891" max="5891" width="12" style="1220" bestFit="1" customWidth="1"/>
    <col min="5892" max="6144" width="9.140625" style="1220"/>
    <col min="6145" max="6145" width="29.5703125" style="1220" bestFit="1" customWidth="1"/>
    <col min="6146" max="6146" width="19.85546875" style="1220" customWidth="1"/>
    <col min="6147" max="6147" width="12" style="1220" bestFit="1" customWidth="1"/>
    <col min="6148" max="6400" width="9.140625" style="1220"/>
    <col min="6401" max="6401" width="29.5703125" style="1220" bestFit="1" customWidth="1"/>
    <col min="6402" max="6402" width="19.85546875" style="1220" customWidth="1"/>
    <col min="6403" max="6403" width="12" style="1220" bestFit="1" customWidth="1"/>
    <col min="6404" max="6656" width="9.140625" style="1220"/>
    <col min="6657" max="6657" width="29.5703125" style="1220" bestFit="1" customWidth="1"/>
    <col min="6658" max="6658" width="19.85546875" style="1220" customWidth="1"/>
    <col min="6659" max="6659" width="12" style="1220" bestFit="1" customWidth="1"/>
    <col min="6660" max="6912" width="9.140625" style="1220"/>
    <col min="6913" max="6913" width="29.5703125" style="1220" bestFit="1" customWidth="1"/>
    <col min="6914" max="6914" width="19.85546875" style="1220" customWidth="1"/>
    <col min="6915" max="6915" width="12" style="1220" bestFit="1" customWidth="1"/>
    <col min="6916" max="7168" width="9.140625" style="1220"/>
    <col min="7169" max="7169" width="29.5703125" style="1220" bestFit="1" customWidth="1"/>
    <col min="7170" max="7170" width="19.85546875" style="1220" customWidth="1"/>
    <col min="7171" max="7171" width="12" style="1220" bestFit="1" customWidth="1"/>
    <col min="7172" max="7424" width="9.140625" style="1220"/>
    <col min="7425" max="7425" width="29.5703125" style="1220" bestFit="1" customWidth="1"/>
    <col min="7426" max="7426" width="19.85546875" style="1220" customWidth="1"/>
    <col min="7427" max="7427" width="12" style="1220" bestFit="1" customWidth="1"/>
    <col min="7428" max="7680" width="9.140625" style="1220"/>
    <col min="7681" max="7681" width="29.5703125" style="1220" bestFit="1" customWidth="1"/>
    <col min="7682" max="7682" width="19.85546875" style="1220" customWidth="1"/>
    <col min="7683" max="7683" width="12" style="1220" bestFit="1" customWidth="1"/>
    <col min="7684" max="7936" width="9.140625" style="1220"/>
    <col min="7937" max="7937" width="29.5703125" style="1220" bestFit="1" customWidth="1"/>
    <col min="7938" max="7938" width="19.85546875" style="1220" customWidth="1"/>
    <col min="7939" max="7939" width="12" style="1220" bestFit="1" customWidth="1"/>
    <col min="7940" max="8192" width="9.140625" style="1220"/>
    <col min="8193" max="8193" width="29.5703125" style="1220" bestFit="1" customWidth="1"/>
    <col min="8194" max="8194" width="19.85546875" style="1220" customWidth="1"/>
    <col min="8195" max="8195" width="12" style="1220" bestFit="1" customWidth="1"/>
    <col min="8196" max="8448" width="9.140625" style="1220"/>
    <col min="8449" max="8449" width="29.5703125" style="1220" bestFit="1" customWidth="1"/>
    <col min="8450" max="8450" width="19.85546875" style="1220" customWidth="1"/>
    <col min="8451" max="8451" width="12" style="1220" bestFit="1" customWidth="1"/>
    <col min="8452" max="8704" width="9.140625" style="1220"/>
    <col min="8705" max="8705" width="29.5703125" style="1220" bestFit="1" customWidth="1"/>
    <col min="8706" max="8706" width="19.85546875" style="1220" customWidth="1"/>
    <col min="8707" max="8707" width="12" style="1220" bestFit="1" customWidth="1"/>
    <col min="8708" max="8960" width="9.140625" style="1220"/>
    <col min="8961" max="8961" width="29.5703125" style="1220" bestFit="1" customWidth="1"/>
    <col min="8962" max="8962" width="19.85546875" style="1220" customWidth="1"/>
    <col min="8963" max="8963" width="12" style="1220" bestFit="1" customWidth="1"/>
    <col min="8964" max="9216" width="9.140625" style="1220"/>
    <col min="9217" max="9217" width="29.5703125" style="1220" bestFit="1" customWidth="1"/>
    <col min="9218" max="9218" width="19.85546875" style="1220" customWidth="1"/>
    <col min="9219" max="9219" width="12" style="1220" bestFit="1" customWidth="1"/>
    <col min="9220" max="9472" width="9.140625" style="1220"/>
    <col min="9473" max="9473" width="29.5703125" style="1220" bestFit="1" customWidth="1"/>
    <col min="9474" max="9474" width="19.85546875" style="1220" customWidth="1"/>
    <col min="9475" max="9475" width="12" style="1220" bestFit="1" customWidth="1"/>
    <col min="9476" max="9728" width="9.140625" style="1220"/>
    <col min="9729" max="9729" width="29.5703125" style="1220" bestFit="1" customWidth="1"/>
    <col min="9730" max="9730" width="19.85546875" style="1220" customWidth="1"/>
    <col min="9731" max="9731" width="12" style="1220" bestFit="1" customWidth="1"/>
    <col min="9732" max="9984" width="9.140625" style="1220"/>
    <col min="9985" max="9985" width="29.5703125" style="1220" bestFit="1" customWidth="1"/>
    <col min="9986" max="9986" width="19.85546875" style="1220" customWidth="1"/>
    <col min="9987" max="9987" width="12" style="1220" bestFit="1" customWidth="1"/>
    <col min="9988" max="10240" width="9.140625" style="1220"/>
    <col min="10241" max="10241" width="29.5703125" style="1220" bestFit="1" customWidth="1"/>
    <col min="10242" max="10242" width="19.85546875" style="1220" customWidth="1"/>
    <col min="10243" max="10243" width="12" style="1220" bestFit="1" customWidth="1"/>
    <col min="10244" max="10496" width="9.140625" style="1220"/>
    <col min="10497" max="10497" width="29.5703125" style="1220" bestFit="1" customWidth="1"/>
    <col min="10498" max="10498" width="19.85546875" style="1220" customWidth="1"/>
    <col min="10499" max="10499" width="12" style="1220" bestFit="1" customWidth="1"/>
    <col min="10500" max="10752" width="9.140625" style="1220"/>
    <col min="10753" max="10753" width="29.5703125" style="1220" bestFit="1" customWidth="1"/>
    <col min="10754" max="10754" width="19.85546875" style="1220" customWidth="1"/>
    <col min="10755" max="10755" width="12" style="1220" bestFit="1" customWidth="1"/>
    <col min="10756" max="11008" width="9.140625" style="1220"/>
    <col min="11009" max="11009" width="29.5703125" style="1220" bestFit="1" customWidth="1"/>
    <col min="11010" max="11010" width="19.85546875" style="1220" customWidth="1"/>
    <col min="11011" max="11011" width="12" style="1220" bestFit="1" customWidth="1"/>
    <col min="11012" max="11264" width="9.140625" style="1220"/>
    <col min="11265" max="11265" width="29.5703125" style="1220" bestFit="1" customWidth="1"/>
    <col min="11266" max="11266" width="19.85546875" style="1220" customWidth="1"/>
    <col min="11267" max="11267" width="12" style="1220" bestFit="1" customWidth="1"/>
    <col min="11268" max="11520" width="9.140625" style="1220"/>
    <col min="11521" max="11521" width="29.5703125" style="1220" bestFit="1" customWidth="1"/>
    <col min="11522" max="11522" width="19.85546875" style="1220" customWidth="1"/>
    <col min="11523" max="11523" width="12" style="1220" bestFit="1" customWidth="1"/>
    <col min="11524" max="11776" width="9.140625" style="1220"/>
    <col min="11777" max="11777" width="29.5703125" style="1220" bestFit="1" customWidth="1"/>
    <col min="11778" max="11778" width="19.85546875" style="1220" customWidth="1"/>
    <col min="11779" max="11779" width="12" style="1220" bestFit="1" customWidth="1"/>
    <col min="11780" max="12032" width="9.140625" style="1220"/>
    <col min="12033" max="12033" width="29.5703125" style="1220" bestFit="1" customWidth="1"/>
    <col min="12034" max="12034" width="19.85546875" style="1220" customWidth="1"/>
    <col min="12035" max="12035" width="12" style="1220" bestFit="1" customWidth="1"/>
    <col min="12036" max="12288" width="9.140625" style="1220"/>
    <col min="12289" max="12289" width="29.5703125" style="1220" bestFit="1" customWidth="1"/>
    <col min="12290" max="12290" width="19.85546875" style="1220" customWidth="1"/>
    <col min="12291" max="12291" width="12" style="1220" bestFit="1" customWidth="1"/>
    <col min="12292" max="12544" width="9.140625" style="1220"/>
    <col min="12545" max="12545" width="29.5703125" style="1220" bestFit="1" customWidth="1"/>
    <col min="12546" max="12546" width="19.85546875" style="1220" customWidth="1"/>
    <col min="12547" max="12547" width="12" style="1220" bestFit="1" customWidth="1"/>
    <col min="12548" max="12800" width="9.140625" style="1220"/>
    <col min="12801" max="12801" width="29.5703125" style="1220" bestFit="1" customWidth="1"/>
    <col min="12802" max="12802" width="19.85546875" style="1220" customWidth="1"/>
    <col min="12803" max="12803" width="12" style="1220" bestFit="1" customWidth="1"/>
    <col min="12804" max="13056" width="9.140625" style="1220"/>
    <col min="13057" max="13057" width="29.5703125" style="1220" bestFit="1" customWidth="1"/>
    <col min="13058" max="13058" width="19.85546875" style="1220" customWidth="1"/>
    <col min="13059" max="13059" width="12" style="1220" bestFit="1" customWidth="1"/>
    <col min="13060" max="13312" width="9.140625" style="1220"/>
    <col min="13313" max="13313" width="29.5703125" style="1220" bestFit="1" customWidth="1"/>
    <col min="13314" max="13314" width="19.85546875" style="1220" customWidth="1"/>
    <col min="13315" max="13315" width="12" style="1220" bestFit="1" customWidth="1"/>
    <col min="13316" max="13568" width="9.140625" style="1220"/>
    <col min="13569" max="13569" width="29.5703125" style="1220" bestFit="1" customWidth="1"/>
    <col min="13570" max="13570" width="19.85546875" style="1220" customWidth="1"/>
    <col min="13571" max="13571" width="12" style="1220" bestFit="1" customWidth="1"/>
    <col min="13572" max="13824" width="9.140625" style="1220"/>
    <col min="13825" max="13825" width="29.5703125" style="1220" bestFit="1" customWidth="1"/>
    <col min="13826" max="13826" width="19.85546875" style="1220" customWidth="1"/>
    <col min="13827" max="13827" width="12" style="1220" bestFit="1" customWidth="1"/>
    <col min="13828" max="14080" width="9.140625" style="1220"/>
    <col min="14081" max="14081" width="29.5703125" style="1220" bestFit="1" customWidth="1"/>
    <col min="14082" max="14082" width="19.85546875" style="1220" customWidth="1"/>
    <col min="14083" max="14083" width="12" style="1220" bestFit="1" customWidth="1"/>
    <col min="14084" max="14336" width="9.140625" style="1220"/>
    <col min="14337" max="14337" width="29.5703125" style="1220" bestFit="1" customWidth="1"/>
    <col min="14338" max="14338" width="19.85546875" style="1220" customWidth="1"/>
    <col min="14339" max="14339" width="12" style="1220" bestFit="1" customWidth="1"/>
    <col min="14340" max="14592" width="9.140625" style="1220"/>
    <col min="14593" max="14593" width="29.5703125" style="1220" bestFit="1" customWidth="1"/>
    <col min="14594" max="14594" width="19.85546875" style="1220" customWidth="1"/>
    <col min="14595" max="14595" width="12" style="1220" bestFit="1" customWidth="1"/>
    <col min="14596" max="14848" width="9.140625" style="1220"/>
    <col min="14849" max="14849" width="29.5703125" style="1220" bestFit="1" customWidth="1"/>
    <col min="14850" max="14850" width="19.85546875" style="1220" customWidth="1"/>
    <col min="14851" max="14851" width="12" style="1220" bestFit="1" customWidth="1"/>
    <col min="14852" max="15104" width="9.140625" style="1220"/>
    <col min="15105" max="15105" width="29.5703125" style="1220" bestFit="1" customWidth="1"/>
    <col min="15106" max="15106" width="19.85546875" style="1220" customWidth="1"/>
    <col min="15107" max="15107" width="12" style="1220" bestFit="1" customWidth="1"/>
    <col min="15108" max="15360" width="9.140625" style="1220"/>
    <col min="15361" max="15361" width="29.5703125" style="1220" bestFit="1" customWidth="1"/>
    <col min="15362" max="15362" width="19.85546875" style="1220" customWidth="1"/>
    <col min="15363" max="15363" width="12" style="1220" bestFit="1" customWidth="1"/>
    <col min="15364" max="15616" width="9.140625" style="1220"/>
    <col min="15617" max="15617" width="29.5703125" style="1220" bestFit="1" customWidth="1"/>
    <col min="15618" max="15618" width="19.85546875" style="1220" customWidth="1"/>
    <col min="15619" max="15619" width="12" style="1220" bestFit="1" customWidth="1"/>
    <col min="15620" max="15872" width="9.140625" style="1220"/>
    <col min="15873" max="15873" width="29.5703125" style="1220" bestFit="1" customWidth="1"/>
    <col min="15874" max="15874" width="19.85546875" style="1220" customWidth="1"/>
    <col min="15875" max="15875" width="12" style="1220" bestFit="1" customWidth="1"/>
    <col min="15876" max="16128" width="9.140625" style="1220"/>
    <col min="16129" max="16129" width="29.5703125" style="1220" bestFit="1" customWidth="1"/>
    <col min="16130" max="16130" width="19.85546875" style="1220" customWidth="1"/>
    <col min="16131" max="16131" width="12" style="1220" bestFit="1" customWidth="1"/>
    <col min="16132" max="16384" width="9.140625" style="1220"/>
  </cols>
  <sheetData>
    <row r="1" spans="1:2" x14ac:dyDescent="0.2">
      <c r="A1" s="1220" t="s">
        <v>922</v>
      </c>
      <c r="B1" s="1383">
        <v>6.1</v>
      </c>
    </row>
    <row r="2" spans="1:2" x14ac:dyDescent="0.2">
      <c r="A2" s="1220" t="s">
        <v>923</v>
      </c>
      <c r="B2" s="1386">
        <v>43199.588564814818</v>
      </c>
    </row>
    <row r="3" spans="1:2" x14ac:dyDescent="0.2">
      <c r="A3" s="1220" t="s">
        <v>924</v>
      </c>
      <c r="B3" s="1384" t="s">
        <v>624</v>
      </c>
    </row>
    <row r="4" spans="1:2" x14ac:dyDescent="0.2">
      <c r="A4" s="1220" t="s">
        <v>925</v>
      </c>
      <c r="B4" s="1384" t="s">
        <v>471</v>
      </c>
    </row>
    <row r="5" spans="1:2" x14ac:dyDescent="0.2">
      <c r="A5" s="1220" t="s">
        <v>926</v>
      </c>
      <c r="B5" s="1384" t="s">
        <v>610</v>
      </c>
    </row>
    <row r="6" spans="1:2" x14ac:dyDescent="0.2">
      <c r="A6" s="1220" t="s">
        <v>927</v>
      </c>
    </row>
    <row r="7" spans="1:2" x14ac:dyDescent="0.2">
      <c r="A7" s="1220" t="s">
        <v>928</v>
      </c>
      <c r="B7" s="1384" t="s">
        <v>298</v>
      </c>
    </row>
    <row r="8" spans="1:2" x14ac:dyDescent="0.2">
      <c r="A8" s="1220" t="s">
        <v>929</v>
      </c>
      <c r="B8" s="1384" t="s">
        <v>930</v>
      </c>
    </row>
    <row r="9" spans="1:2" x14ac:dyDescent="0.2">
      <c r="A9" s="1220" t="s">
        <v>931</v>
      </c>
      <c r="B9" s="1384" t="s">
        <v>968</v>
      </c>
    </row>
    <row r="10" spans="1:2" x14ac:dyDescent="0.2">
      <c r="A10" s="1220" t="s">
        <v>932</v>
      </c>
    </row>
    <row r="11" spans="1:2" x14ac:dyDescent="0.2">
      <c r="A11" s="1220" t="s">
        <v>933</v>
      </c>
    </row>
    <row r="12" spans="1:2" x14ac:dyDescent="0.2">
      <c r="A12" s="1220" t="s">
        <v>934</v>
      </c>
    </row>
    <row r="13" spans="1:2" x14ac:dyDescent="0.2">
      <c r="A13" s="1220" t="s">
        <v>935</v>
      </c>
    </row>
    <row r="14" spans="1:2" x14ac:dyDescent="0.2">
      <c r="A14" s="1220" t="s">
        <v>936</v>
      </c>
    </row>
    <row r="15" spans="1:2" x14ac:dyDescent="0.2">
      <c r="A15" s="1220" t="s">
        <v>937</v>
      </c>
    </row>
    <row r="16" spans="1:2" x14ac:dyDescent="0.2">
      <c r="A16" s="1220" t="s">
        <v>938</v>
      </c>
    </row>
    <row r="17" spans="1:4" x14ac:dyDescent="0.2">
      <c r="A17" s="1220" t="s">
        <v>939</v>
      </c>
      <c r="B17" s="1384" t="s">
        <v>969</v>
      </c>
    </row>
    <row r="18" spans="1:4" x14ac:dyDescent="0.2">
      <c r="A18" s="1220" t="s">
        <v>940</v>
      </c>
      <c r="B18" s="1384" t="s">
        <v>623</v>
      </c>
    </row>
    <row r="19" spans="1:4" x14ac:dyDescent="0.2">
      <c r="A19" s="1220" t="s">
        <v>941</v>
      </c>
      <c r="B19" s="1384" t="s">
        <v>353</v>
      </c>
    </row>
    <row r="20" spans="1:4" x14ac:dyDescent="0.2">
      <c r="A20" s="1220" t="s">
        <v>942</v>
      </c>
      <c r="B20" s="1385">
        <v>655664100</v>
      </c>
    </row>
    <row r="21" spans="1:4" x14ac:dyDescent="0.2">
      <c r="A21" s="1220" t="s">
        <v>943</v>
      </c>
      <c r="B21" s="1384" t="s">
        <v>353</v>
      </c>
    </row>
    <row r="22" spans="1:4" x14ac:dyDescent="0.2">
      <c r="A22" s="1220" t="s">
        <v>944</v>
      </c>
      <c r="B22" s="1385">
        <v>2641827</v>
      </c>
    </row>
    <row r="23" spans="1:4" x14ac:dyDescent="0.2">
      <c r="A23" s="1220" t="s">
        <v>275</v>
      </c>
      <c r="B23" s="1383">
        <v>48.67</v>
      </c>
    </row>
    <row r="24" spans="1:4" x14ac:dyDescent="0.2">
      <c r="A24" s="1220" t="s">
        <v>274</v>
      </c>
      <c r="B24" s="1384" t="s">
        <v>186</v>
      </c>
      <c r="D24" s="1220" t="s">
        <v>202</v>
      </c>
    </row>
    <row r="25" spans="1:4" x14ac:dyDescent="0.2">
      <c r="A25" s="1220" t="s">
        <v>945</v>
      </c>
      <c r="B25" s="1384" t="s">
        <v>972</v>
      </c>
    </row>
    <row r="26" spans="1:4" x14ac:dyDescent="0.2">
      <c r="A26" s="1220" t="s">
        <v>946</v>
      </c>
      <c r="B26" s="1384">
        <v>0</v>
      </c>
    </row>
    <row r="27" spans="1:4" x14ac:dyDescent="0.2">
      <c r="A27" s="1220" t="s">
        <v>947</v>
      </c>
      <c r="B27" s="1384" t="s">
        <v>948</v>
      </c>
    </row>
    <row r="28" spans="1:4" x14ac:dyDescent="0.2">
      <c r="A28" s="1220" t="s">
        <v>949</v>
      </c>
      <c r="B28" s="1384" t="s">
        <v>950</v>
      </c>
    </row>
    <row r="29" spans="1:4" x14ac:dyDescent="0.2">
      <c r="A29" s="1220" t="s">
        <v>951</v>
      </c>
    </row>
    <row r="30" spans="1:4" x14ac:dyDescent="0.2">
      <c r="A30" s="1220" t="s">
        <v>952</v>
      </c>
    </row>
    <row r="31" spans="1:4" x14ac:dyDescent="0.2">
      <c r="A31" s="1220" t="s">
        <v>953</v>
      </c>
    </row>
    <row r="32" spans="1:4" x14ac:dyDescent="0.2">
      <c r="A32" s="1220" t="s">
        <v>954</v>
      </c>
      <c r="B32" s="1383"/>
    </row>
    <row r="33" spans="1:2" x14ac:dyDescent="0.2">
      <c r="A33" s="1220" t="s">
        <v>955</v>
      </c>
      <c r="B33" s="1383"/>
    </row>
    <row r="34" spans="1:2" x14ac:dyDescent="0.2">
      <c r="A34" s="1220" t="s">
        <v>956</v>
      </c>
      <c r="B34" s="1383"/>
    </row>
    <row r="35" spans="1:2" x14ac:dyDescent="0.2">
      <c r="A35" s="1220" t="s">
        <v>957</v>
      </c>
      <c r="B35" s="1384">
        <v>1000000</v>
      </c>
    </row>
    <row r="36" spans="1:2" x14ac:dyDescent="0.2">
      <c r="A36" s="1220" t="s">
        <v>958</v>
      </c>
      <c r="B36" s="1384" t="s">
        <v>970</v>
      </c>
    </row>
    <row r="37" spans="1:2" x14ac:dyDescent="0.2">
      <c r="A37" s="1220" t="s">
        <v>959</v>
      </c>
      <c r="B37" s="1384" t="s">
        <v>960</v>
      </c>
    </row>
    <row r="38" spans="1:2" x14ac:dyDescent="0.2">
      <c r="A38" s="1220" t="s">
        <v>961</v>
      </c>
      <c r="B38" s="1384" t="s">
        <v>962</v>
      </c>
    </row>
    <row r="39" spans="1:2" x14ac:dyDescent="0.2">
      <c r="A39" s="1220" t="s">
        <v>963</v>
      </c>
      <c r="B39" s="1384" t="s">
        <v>971</v>
      </c>
    </row>
    <row r="40" spans="1:2" x14ac:dyDescent="0.2">
      <c r="A40" s="1220" t="s">
        <v>964</v>
      </c>
      <c r="B40" s="1384">
        <v>1500005544</v>
      </c>
    </row>
    <row r="41" spans="1:2" x14ac:dyDescent="0.2">
      <c r="A41" s="1220" t="s">
        <v>965</v>
      </c>
      <c r="B41" s="1384">
        <v>1</v>
      </c>
    </row>
    <row r="42" spans="1:2" x14ac:dyDescent="0.2">
      <c r="A42" s="787" t="s">
        <v>966</v>
      </c>
      <c r="B42" s="1384" t="s">
        <v>973</v>
      </c>
    </row>
    <row r="43" spans="1:2" x14ac:dyDescent="0.2">
      <c r="A43" s="1220" t="s">
        <v>967</v>
      </c>
    </row>
  </sheetData>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13"/>
  <sheetViews>
    <sheetView workbookViewId="0">
      <selection activeCell="E11" sqref="E11"/>
    </sheetView>
  </sheetViews>
  <sheetFormatPr defaultRowHeight="12.75" x14ac:dyDescent="0.2"/>
  <cols>
    <col min="1" max="1" width="28.5703125" style="1220" bestFit="1" customWidth="1"/>
    <col min="2" max="256" width="9.140625" style="1220"/>
    <col min="257" max="257" width="28.5703125" style="1220" bestFit="1" customWidth="1"/>
    <col min="258" max="512" width="9.140625" style="1220"/>
    <col min="513" max="513" width="28.5703125" style="1220" bestFit="1" customWidth="1"/>
    <col min="514" max="768" width="9.140625" style="1220"/>
    <col min="769" max="769" width="28.5703125" style="1220" bestFit="1" customWidth="1"/>
    <col min="770" max="1024" width="9.140625" style="1220"/>
    <col min="1025" max="1025" width="28.5703125" style="1220" bestFit="1" customWidth="1"/>
    <col min="1026" max="1280" width="9.140625" style="1220"/>
    <col min="1281" max="1281" width="28.5703125" style="1220" bestFit="1" customWidth="1"/>
    <col min="1282" max="1536" width="9.140625" style="1220"/>
    <col min="1537" max="1537" width="28.5703125" style="1220" bestFit="1" customWidth="1"/>
    <col min="1538" max="1792" width="9.140625" style="1220"/>
    <col min="1793" max="1793" width="28.5703125" style="1220" bestFit="1" customWidth="1"/>
    <col min="1794" max="2048" width="9.140625" style="1220"/>
    <col min="2049" max="2049" width="28.5703125" style="1220" bestFit="1" customWidth="1"/>
    <col min="2050" max="2304" width="9.140625" style="1220"/>
    <col min="2305" max="2305" width="28.5703125" style="1220" bestFit="1" customWidth="1"/>
    <col min="2306" max="2560" width="9.140625" style="1220"/>
    <col min="2561" max="2561" width="28.5703125" style="1220" bestFit="1" customWidth="1"/>
    <col min="2562" max="2816" width="9.140625" style="1220"/>
    <col min="2817" max="2817" width="28.5703125" style="1220" bestFit="1" customWidth="1"/>
    <col min="2818" max="3072" width="9.140625" style="1220"/>
    <col min="3073" max="3073" width="28.5703125" style="1220" bestFit="1" customWidth="1"/>
    <col min="3074" max="3328" width="9.140625" style="1220"/>
    <col min="3329" max="3329" width="28.5703125" style="1220" bestFit="1" customWidth="1"/>
    <col min="3330" max="3584" width="9.140625" style="1220"/>
    <col min="3585" max="3585" width="28.5703125" style="1220" bestFit="1" customWidth="1"/>
    <col min="3586" max="3840" width="9.140625" style="1220"/>
    <col min="3841" max="3841" width="28.5703125" style="1220" bestFit="1" customWidth="1"/>
    <col min="3842" max="4096" width="9.140625" style="1220"/>
    <col min="4097" max="4097" width="28.5703125" style="1220" bestFit="1" customWidth="1"/>
    <col min="4098" max="4352" width="9.140625" style="1220"/>
    <col min="4353" max="4353" width="28.5703125" style="1220" bestFit="1" customWidth="1"/>
    <col min="4354" max="4608" width="9.140625" style="1220"/>
    <col min="4609" max="4609" width="28.5703125" style="1220" bestFit="1" customWidth="1"/>
    <col min="4610" max="4864" width="9.140625" style="1220"/>
    <col min="4865" max="4865" width="28.5703125" style="1220" bestFit="1" customWidth="1"/>
    <col min="4866" max="5120" width="9.140625" style="1220"/>
    <col min="5121" max="5121" width="28.5703125" style="1220" bestFit="1" customWidth="1"/>
    <col min="5122" max="5376" width="9.140625" style="1220"/>
    <col min="5377" max="5377" width="28.5703125" style="1220" bestFit="1" customWidth="1"/>
    <col min="5378" max="5632" width="9.140625" style="1220"/>
    <col min="5633" max="5633" width="28.5703125" style="1220" bestFit="1" customWidth="1"/>
    <col min="5634" max="5888" width="9.140625" style="1220"/>
    <col min="5889" max="5889" width="28.5703125" style="1220" bestFit="1" customWidth="1"/>
    <col min="5890" max="6144" width="9.140625" style="1220"/>
    <col min="6145" max="6145" width="28.5703125" style="1220" bestFit="1" customWidth="1"/>
    <col min="6146" max="6400" width="9.140625" style="1220"/>
    <col min="6401" max="6401" width="28.5703125" style="1220" bestFit="1" customWidth="1"/>
    <col min="6402" max="6656" width="9.140625" style="1220"/>
    <col min="6657" max="6657" width="28.5703125" style="1220" bestFit="1" customWidth="1"/>
    <col min="6658" max="6912" width="9.140625" style="1220"/>
    <col min="6913" max="6913" width="28.5703125" style="1220" bestFit="1" customWidth="1"/>
    <col min="6914" max="7168" width="9.140625" style="1220"/>
    <col min="7169" max="7169" width="28.5703125" style="1220" bestFit="1" customWidth="1"/>
    <col min="7170" max="7424" width="9.140625" style="1220"/>
    <col min="7425" max="7425" width="28.5703125" style="1220" bestFit="1" customWidth="1"/>
    <col min="7426" max="7680" width="9.140625" style="1220"/>
    <col min="7681" max="7681" width="28.5703125" style="1220" bestFit="1" customWidth="1"/>
    <col min="7682" max="7936" width="9.140625" style="1220"/>
    <col min="7937" max="7937" width="28.5703125" style="1220" bestFit="1" customWidth="1"/>
    <col min="7938" max="8192" width="9.140625" style="1220"/>
    <col min="8193" max="8193" width="28.5703125" style="1220" bestFit="1" customWidth="1"/>
    <col min="8194" max="8448" width="9.140625" style="1220"/>
    <col min="8449" max="8449" width="28.5703125" style="1220" bestFit="1" customWidth="1"/>
    <col min="8450" max="8704" width="9.140625" style="1220"/>
    <col min="8705" max="8705" width="28.5703125" style="1220" bestFit="1" customWidth="1"/>
    <col min="8706" max="8960" width="9.140625" style="1220"/>
    <col min="8961" max="8961" width="28.5703125" style="1220" bestFit="1" customWidth="1"/>
    <col min="8962" max="9216" width="9.140625" style="1220"/>
    <col min="9217" max="9217" width="28.5703125" style="1220" bestFit="1" customWidth="1"/>
    <col min="9218" max="9472" width="9.140625" style="1220"/>
    <col min="9473" max="9473" width="28.5703125" style="1220" bestFit="1" customWidth="1"/>
    <col min="9474" max="9728" width="9.140625" style="1220"/>
    <col min="9729" max="9729" width="28.5703125" style="1220" bestFit="1" customWidth="1"/>
    <col min="9730" max="9984" width="9.140625" style="1220"/>
    <col min="9985" max="9985" width="28.5703125" style="1220" bestFit="1" customWidth="1"/>
    <col min="9986" max="10240" width="9.140625" style="1220"/>
    <col min="10241" max="10241" width="28.5703125" style="1220" bestFit="1" customWidth="1"/>
    <col min="10242" max="10496" width="9.140625" style="1220"/>
    <col min="10497" max="10497" width="28.5703125" style="1220" bestFit="1" customWidth="1"/>
    <col min="10498" max="10752" width="9.140625" style="1220"/>
    <col min="10753" max="10753" width="28.5703125" style="1220" bestFit="1" customWidth="1"/>
    <col min="10754" max="11008" width="9.140625" style="1220"/>
    <col min="11009" max="11009" width="28.5703125" style="1220" bestFit="1" customWidth="1"/>
    <col min="11010" max="11264" width="9.140625" style="1220"/>
    <col min="11265" max="11265" width="28.5703125" style="1220" bestFit="1" customWidth="1"/>
    <col min="11266" max="11520" width="9.140625" style="1220"/>
    <col min="11521" max="11521" width="28.5703125" style="1220" bestFit="1" customWidth="1"/>
    <col min="11522" max="11776" width="9.140625" style="1220"/>
    <col min="11777" max="11777" width="28.5703125" style="1220" bestFit="1" customWidth="1"/>
    <col min="11778" max="12032" width="9.140625" style="1220"/>
    <col min="12033" max="12033" width="28.5703125" style="1220" bestFit="1" customWidth="1"/>
    <col min="12034" max="12288" width="9.140625" style="1220"/>
    <col min="12289" max="12289" width="28.5703125" style="1220" bestFit="1" customWidth="1"/>
    <col min="12290" max="12544" width="9.140625" style="1220"/>
    <col min="12545" max="12545" width="28.5703125" style="1220" bestFit="1" customWidth="1"/>
    <col min="12546" max="12800" width="9.140625" style="1220"/>
    <col min="12801" max="12801" width="28.5703125" style="1220" bestFit="1" customWidth="1"/>
    <col min="12802" max="13056" width="9.140625" style="1220"/>
    <col min="13057" max="13057" width="28.5703125" style="1220" bestFit="1" customWidth="1"/>
    <col min="13058" max="13312" width="9.140625" style="1220"/>
    <col min="13313" max="13313" width="28.5703125" style="1220" bestFit="1" customWidth="1"/>
    <col min="13314" max="13568" width="9.140625" style="1220"/>
    <col min="13569" max="13569" width="28.5703125" style="1220" bestFit="1" customWidth="1"/>
    <col min="13570" max="13824" width="9.140625" style="1220"/>
    <col min="13825" max="13825" width="28.5703125" style="1220" bestFit="1" customWidth="1"/>
    <col min="13826" max="14080" width="9.140625" style="1220"/>
    <col min="14081" max="14081" width="28.5703125" style="1220" bestFit="1" customWidth="1"/>
    <col min="14082" max="14336" width="9.140625" style="1220"/>
    <col min="14337" max="14337" width="28.5703125" style="1220" bestFit="1" customWidth="1"/>
    <col min="14338" max="14592" width="9.140625" style="1220"/>
    <col min="14593" max="14593" width="28.5703125" style="1220" bestFit="1" customWidth="1"/>
    <col min="14594" max="14848" width="9.140625" style="1220"/>
    <col min="14849" max="14849" width="28.5703125" style="1220" bestFit="1" customWidth="1"/>
    <col min="14850" max="15104" width="9.140625" style="1220"/>
    <col min="15105" max="15105" width="28.5703125" style="1220" bestFit="1" customWidth="1"/>
    <col min="15106" max="15360" width="9.140625" style="1220"/>
    <col min="15361" max="15361" width="28.5703125" style="1220" bestFit="1" customWidth="1"/>
    <col min="15362" max="15616" width="9.140625" style="1220"/>
    <col min="15617" max="15617" width="28.5703125" style="1220" bestFit="1" customWidth="1"/>
    <col min="15618" max="15872" width="9.140625" style="1220"/>
    <col min="15873" max="15873" width="28.5703125" style="1220" bestFit="1" customWidth="1"/>
    <col min="15874" max="16128" width="9.140625" style="1220"/>
    <col min="16129" max="16129" width="28.5703125" style="1220" bestFit="1" customWidth="1"/>
    <col min="16130" max="16384" width="9.140625" style="1220"/>
  </cols>
  <sheetData>
    <row r="1" spans="1:1" x14ac:dyDescent="0.2">
      <c r="A1" s="1387" t="s">
        <v>974</v>
      </c>
    </row>
    <row r="2" spans="1:1" x14ac:dyDescent="0.2">
      <c r="A2" s="1387" t="s">
        <v>979</v>
      </c>
    </row>
    <row r="3" spans="1:1" x14ac:dyDescent="0.2">
      <c r="A3" s="1387" t="s">
        <v>980</v>
      </c>
    </row>
    <row r="4" spans="1:1" x14ac:dyDescent="0.2">
      <c r="A4" s="1387" t="s">
        <v>981</v>
      </c>
    </row>
    <row r="5" spans="1:1" x14ac:dyDescent="0.2">
      <c r="A5" s="1387" t="s">
        <v>982</v>
      </c>
    </row>
    <row r="6" spans="1:1" x14ac:dyDescent="0.2">
      <c r="A6" s="1387" t="s">
        <v>975</v>
      </c>
    </row>
    <row r="7" spans="1:1" x14ac:dyDescent="0.2">
      <c r="A7" s="1387" t="s">
        <v>983</v>
      </c>
    </row>
    <row r="8" spans="1:1" x14ac:dyDescent="0.2">
      <c r="A8" s="1387" t="s">
        <v>984</v>
      </c>
    </row>
    <row r="9" spans="1:1" x14ac:dyDescent="0.2">
      <c r="A9" s="1387" t="s">
        <v>985</v>
      </c>
    </row>
    <row r="10" spans="1:1" x14ac:dyDescent="0.2">
      <c r="A10" s="1387" t="s">
        <v>976</v>
      </c>
    </row>
    <row r="11" spans="1:1" x14ac:dyDescent="0.2">
      <c r="A11" s="1387" t="s">
        <v>986</v>
      </c>
    </row>
    <row r="12" spans="1:1" x14ac:dyDescent="0.2">
      <c r="A12" s="1387" t="s">
        <v>977</v>
      </c>
    </row>
    <row r="13" spans="1:1" x14ac:dyDescent="0.2">
      <c r="A13" s="1387" t="s">
        <v>978</v>
      </c>
    </row>
  </sheetData>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T2"/>
  <sheetViews>
    <sheetView workbookViewId="0"/>
  </sheetViews>
  <sheetFormatPr defaultRowHeight="12.75" x14ac:dyDescent="0.2"/>
  <sheetData>
    <row r="1" spans="1:46" x14ac:dyDescent="0.2">
      <c r="A1" t="s">
        <v>530</v>
      </c>
    </row>
    <row r="2" spans="1:46" x14ac:dyDescent="0.2">
      <c r="A2" s="12" t="s">
        <v>5</v>
      </c>
      <c r="B2" s="12" t="s">
        <v>6</v>
      </c>
      <c r="C2" s="12" t="s">
        <v>232</v>
      </c>
      <c r="D2" s="12" t="s">
        <v>233</v>
      </c>
      <c r="E2" s="12" t="s">
        <v>187</v>
      </c>
      <c r="F2" s="12" t="s">
        <v>83</v>
      </c>
      <c r="G2" s="12" t="s">
        <v>235</v>
      </c>
      <c r="H2" s="12" t="s">
        <v>233</v>
      </c>
      <c r="I2" s="12" t="s">
        <v>188</v>
      </c>
      <c r="J2" s="12" t="s">
        <v>83</v>
      </c>
      <c r="K2" s="12" t="s">
        <v>245</v>
      </c>
      <c r="L2" s="12" t="s">
        <v>186</v>
      </c>
      <c r="M2" s="12" t="s">
        <v>231</v>
      </c>
      <c r="N2" s="12" t="s">
        <v>186</v>
      </c>
      <c r="O2" s="12" t="s">
        <v>278</v>
      </c>
      <c r="P2" s="12" t="s">
        <v>186</v>
      </c>
      <c r="Q2" s="12" t="s">
        <v>0</v>
      </c>
      <c r="R2" s="12" t="s">
        <v>186</v>
      </c>
      <c r="S2" s="12" t="s">
        <v>279</v>
      </c>
      <c r="T2" s="12" t="s">
        <v>280</v>
      </c>
      <c r="U2" s="12" t="s">
        <v>247</v>
      </c>
      <c r="V2" s="12" t="s">
        <v>83</v>
      </c>
      <c r="W2" s="12" t="s">
        <v>195</v>
      </c>
      <c r="X2" s="12" t="s">
        <v>186</v>
      </c>
      <c r="Y2" s="12" t="s">
        <v>190</v>
      </c>
      <c r="Z2" s="12" t="s">
        <v>83</v>
      </c>
      <c r="AA2" s="12" t="s">
        <v>2</v>
      </c>
      <c r="AB2" s="12" t="s">
        <v>83</v>
      </c>
      <c r="AC2" s="12" t="s">
        <v>356</v>
      </c>
      <c r="AD2" s="12" t="s">
        <v>357</v>
      </c>
      <c r="AE2" s="12" t="s">
        <v>246</v>
      </c>
      <c r="AF2" s="12" t="s">
        <v>248</v>
      </c>
      <c r="AG2" s="12" t="s">
        <v>355</v>
      </c>
      <c r="AH2" s="12" t="s">
        <v>186</v>
      </c>
      <c r="AI2" s="12" t="s">
        <v>354</v>
      </c>
      <c r="AJ2" s="12" t="s">
        <v>619</v>
      </c>
      <c r="AK2" s="12" t="s">
        <v>1</v>
      </c>
      <c r="AL2" s="12" t="s">
        <v>3</v>
      </c>
      <c r="AM2" s="12" t="s">
        <v>529</v>
      </c>
      <c r="AN2" s="12" t="s">
        <v>539</v>
      </c>
      <c r="AO2" s="12" t="s">
        <v>234</v>
      </c>
      <c r="AP2" s="12" t="s">
        <v>236</v>
      </c>
      <c r="AQ2" s="12" t="s">
        <v>277</v>
      </c>
      <c r="AR2" s="12" t="s">
        <v>83</v>
      </c>
      <c r="AS2" s="12" t="s">
        <v>189</v>
      </c>
      <c r="AT2" s="12" t="s">
        <v>83</v>
      </c>
    </row>
  </sheetData>
  <phoneticPr fontId="10"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1</MetadataChanged>
</lkmtd:Metadata>
</file>

<file path=customXml/item2.xml><?xml version="1.0" encoding="utf-8"?>
<lk:Links xmlns:lk="thomsonreuters.linking.metadata">
  <Link>
    <GUID>cc3f6602-6a79-4e43-946b-0d742ce10c52</GUID>
    <SOURCE_ALTADDRESS>$A$7:$FE$59</SOURCE_ALTADDRESS>
    <SOURCETYPE>Table</SOURCETYPE>
    <SOURCE_OBJECTNAME>Linking_Range_28</SOURCE_OBJECTNAME>
    <OBJECTTYPE>Native</OBJECTTYPE>
    <SOURCE_SHEETCODE>Sheet1</SOURCE_SHEETCODE>
    <SOURCE_SHEETNAME>sumry</SOURCE_SHEETNAME>
    <SOURCEAPPLICATION>EXCEL_SOURCE</SOURCEAPPLICATION>
    <UPDATEDAT>5/14/2015 8:25:31 PM</UPDATEDAT>
    <SOURCE_ISOUTOFDATE>False</SOURCE_ISOUTOFDATE>
    <SOURCE_WORKBOOKNAME>JWN_Model.xls</SOURCE_WORKBOOKNAME>
    <SOURCE_WORKBOOKPATH>\\MSAD\ROOT\NA\NY\LIB\ER\RETAIL\Greenberger\Companies\JWN\Model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/MSResearch/Content/ExternalAssets/2015-02/Images/TyFXMQf4LqGQfpXKEK_Q--.png</TARGET_BINARYFULLNAME>
    <TARGET_STORYFULLNAME>/MSResearch/Content/ExternalAssets/2015-02/Sections/20150219_095943_Linking_Range_28.xml</TARGET_STORYFULLNAME>
    <TARGET_UUID>85316052-b8ac-11e4-8ffc-fa1973025087</TARGET_UUID>
    <TRANSPARENTBACKGROUND>False</TRANSPARENTBACKGROUND>
    <TRANSPARENTPLOTAREA>False</TRANSPARENTPLOTAREA>
    <EXTRACTSOURCEMODE>CopyToClipboard</EXTRACTSOURCEMODE>
    <LINKSTATUS>Unknown</LINKSTATUS>
  </Link>
  <Link>
    <GUID>a909cd2c-6409-40c5-95e3-2c5d8b99ed9e</GUID>
    <SOURCE_ALTADDRESS>$A$6:$AP$41</SOURCE_ALTADDRESS>
    <SOURCETYPE>Table</SOURCETYPE>
    <SOURCE_OBJECTNAME>Linking_Range_29</SOURCE_OBJECTNAME>
    <OBJECTTYPE>Native</OBJECTTYPE>
    <SOURCE_SHEETCODE>Sheet9</SOURCE_SHEETCODE>
    <SOURCE_SHEETNAME>bal</SOURCE_SHEETNAME>
    <SOURCEAPPLICATION>EXCEL_SOURCE</SOURCEAPPLICATION>
    <UPDATEDAT>5/14/2015 8:25:53 PM</UPDATEDAT>
    <SOURCE_ISOUTOFDATE>False</SOURCE_ISOUTOFDATE>
    <SOURCE_WORKBOOKNAME>JWN_Model.xls</SOURCE_WORKBOOKNAME>
    <SOURCE_WORKBOOKPATH>\\MSAD\ROOT\NA\NY\LIB\ER\RETAIL\Greenberger\Companies\JWN\Model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/MSResearch/Content/ExternalAssets/2015-02/Images/HDv4ajCXGEaTco51YkbS-w--.png</TARGET_BINARYFULLNAME>
    <TARGET_STORYFULLNAME>/MSResearch/Content/ExternalAssets/2015-02/Sections/20150219_100010_Linking_Range_29.xml</TARGET_STORYFULLNAME>
    <TARGET_UUID>9531befc-b8ac-11e4-8ffc-fa1973025087</TARGET_UUID>
    <TRANSPARENTBACKGROUND>False</TRANSPARENTBACKGROUND>
    <TRANSPARENTPLOTAREA>False</TRANSPARENTPLOTAREA>
    <EXTRACTSOURCEMODE>CopyToClipboard</EXTRACTSOURCEMODE>
    <LINKSTATUS>Unknown</LINKSTATUS>
  </Link>
  <Link>
    <GUID>b9a4633e-97d7-4b05-a9ef-ba89224e34fb</GUID>
    <SOURCE_ALTADDRESS>$A$6:$AO$44</SOURCE_ALTADDRESS>
    <SOURCETYPE>Table</SOURCETYPE>
    <SOURCE_OBJECTNAME>Linking_Range_30</SOURCE_OBJECTNAME>
    <OBJECTTYPE>Native</OBJECTTYPE>
    <SOURCE_SHEETCODE>Sheet10</SOURCE_SHEETCODE>
    <SOURCE_SHEETNAME>flow</SOURCE_SHEETNAME>
    <SOURCEAPPLICATION>EXCEL_SOURCE</SOURCEAPPLICATION>
    <UPDATEDAT>5/14/2015 8:26:14 PM</UPDATEDAT>
    <SOURCE_ISOUTOFDATE>False</SOURCE_ISOUTOFDATE>
    <SOURCE_WORKBOOKNAME>JWN_Model.xls</SOURCE_WORKBOOKNAME>
    <SOURCE_WORKBOOKPATH>\\MSAD\ROOT\NA\NY\LIB\ER\RETAIL\Greenberger\Companies\JWN\Model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/MSResearch/Content/ExternalAssets/2015-02/Images/daoKT16GFEqzAnFb1Xbn8g--.png</TARGET_BINARYFULLNAME>
    <TARGET_STORYFULLNAME>/MSResearch/Content/ExternalAssets/2015-02/Sections/20150219_100033_Linking_Range_3.xml</TARGET_STORYFULLNAME>
    <TARGET_UUID>a32ee778-b8ac-11e4-8ffc-fa1973025087</TARGET_UUID>
    <LINKSTATUS>Unknown</LINKSTATUS>
    <TRANSPARENTBACKGROUND>False</TRANSPARENTBACKGROUND>
    <TRANSPARENTPLOTAREA>False</TRANSPARENTPLOTAREA>
    <EXTRACTSOURCEMODE>CopyToClipboard</EXTRACTSOURCEMODE>
  </Link>
  <Link>
    <GUID>0ab4a152-503a-454b-b03b-648bdab7da3f</GUID>
    <SOURCE_ALTADDRESS>$A$6:$AO$41</SOURCE_ALTADDRESS>
    <SOURCETYPE>Table</SOURCETYPE>
    <SOURCE_OBJECTNAME>Linking_Range_31</SOURCE_OBJECTNAME>
    <OBJECTTYPE>Native</OBJECTTYPE>
    <SOURCE_SHEETCODE>Sheet10</SOURCE_SHEETCODE>
    <SOURCE_SHEETNAME>flow</SOURCE_SHEETNAME>
    <SOURCEAPPLICATION>EXCEL_SOURCE</SOURCEAPPLICATION>
    <UPDATEDAT>5/14/2015 8:26:35 PM</UPDATEDAT>
    <SOURCE_ISOUTOFDATE>False</SOURCE_ISOUTOFDATE>
    <SOURCE_WORKBOOKNAME>JWN_Model.xls</SOURCE_WORKBOOKNAME>
    <SOURCE_WORKBOOKPATH>\\MSAD\ROOT\NA\NY\LIB\ER\RETAIL\Greenberger\Companies\JWN\Model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/MSResearch/Content/ExternalAssets/2015-05/Images/wXjsJAVRnUuhwwdzg6hYaQ--.png</TARGET_BINARYFULLNAME>
    <TARGET_STORYFULLNAME>/MSResearch/Content/ExternalAssets/2015-05/Sections/20150514_082633_Linking_Range_31.xml</TARGET_STORYFULLNAME>
    <TARGET_UUID>0a226b3e-fa99-11e4-b06e-39cc228b6d15</TARGET_UUID>
  </Link>
  <Link>
    <GUID>d5ea4c2c-0aed-44b0-bd5e-e3b6d0dab89d</GUID>
    <SOURCETYPE>Chart</SOURCETYPE>
    <SOURCE_OBJECTNAME>MWA_Risk_Reward</SOURCE_OBJECTNAME>
    <SOURCE_SHEETCODE>MWRSSData</SOURCE_SHEETCODE>
    <SOURCE_SHEETNAME>MWA RR</SOURCE_SHEETNAME>
    <OBJECTTYPE>Native</OBJECTTYPE>
    <SOURCEAPPLICATION>EXCEL_SOURCE</SOURCEAPPLICATION>
    <UPDATEDAT>5/14/2015 8:45:39 PM</UPDATEDAT>
    <SOURCE_ISOUTOFDATE>False</SOURCE_ISOUTOFDATE>
    <SOURCE_WORKBOOKNAME>JWN_Model.xls</SOURCE_WORKBOOKNAME>
    <SOURCE_WORKBOOKPATH>\\MSAD\ROOT\NA\NY\LIB\ER\RETAIL\Greenberger\Companies\JWN\Model</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/MSResearch/Content/ExternalAssets/2014-11/Images/HE_rHRT4fk2o_B3ARjC8Gg--.png</TARGET_BINARYFULLNAME>
    <TARGET_STORYFULLNAME>/MSResearch/Content/ExternalAssets/2014-11/Sections/20141113_095020_MWA_Risk_Reward.xml</TARGET_STORYFULLNAME>
    <TARGET_UUID>f90151be-6ba8-11e4-a3c3-17411572f345</TARGET_UUID>
    <LINKSTATUS>Unknown</LINKSTATUS>
    <HIDEGRIDLINES>False</HIDEGRIDLINES>
    <EXTRACTSOURCEMODE>CopyToClipboard</EXTRACTSOURCEMODE>
  </Link>
</lk:Links>
</file>

<file path=customXml/itemProps1.xml><?xml version="1.0" encoding="utf-8"?>
<ds:datastoreItem xmlns:ds="http://schemas.openxmlformats.org/officeDocument/2006/customXml" ds:itemID="{62594F3F-677B-4BEE-80CD-851463215A0D}">
  <ds:schemaRefs>
    <ds:schemaRef ds:uri="thomsonreuters.linking.metadatachange"/>
  </ds:schemaRefs>
</ds:datastoreItem>
</file>

<file path=customXml/itemProps2.xml><?xml version="1.0" encoding="utf-8"?>
<ds:datastoreItem xmlns:ds="http://schemas.openxmlformats.org/officeDocument/2006/customXml" ds:itemID="{6DAEE930-C111-4C00-8172-E60AF5F536DB}">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126</vt:i4>
      </vt:variant>
    </vt:vector>
  </HeadingPairs>
  <TitlesOfParts>
    <vt:vector size="145" baseType="lpstr">
      <vt:lpstr>ImportantDisclosures</vt:lpstr>
      <vt:lpstr>Earnings</vt:lpstr>
      <vt:lpstr>BullBaseBear</vt:lpstr>
      <vt:lpstr>sumry</vt:lpstr>
      <vt:lpstr>qtrP&amp;L</vt:lpstr>
      <vt:lpstr>qtrSales</vt:lpstr>
      <vt:lpstr>stores</vt:lpstr>
      <vt:lpstr>Segment Sales_New</vt:lpstr>
      <vt:lpstr>yrSales</vt:lpstr>
      <vt:lpstr>yrP&amp;L</vt:lpstr>
      <vt:lpstr>bal</vt:lpstr>
      <vt:lpstr>flow</vt:lpstr>
      <vt:lpstr>turn</vt:lpstr>
      <vt:lpstr>wc</vt:lpstr>
      <vt:lpstr>dtc</vt:lpstr>
      <vt:lpstr>DCF</vt:lpstr>
      <vt:lpstr>LEASES NEW</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DCF!Linking_1</vt:lpstr>
      <vt:lpstr>DCF!Linking_20</vt:lpstr>
      <vt:lpstr>Linking_Range_10</vt:lpstr>
      <vt:lpstr>Linking_Range_11</vt:lpstr>
      <vt:lpstr>Linking_Range_111</vt:lpstr>
      <vt:lpstr>Linking_Range_12</vt:lpstr>
      <vt:lpstr>Linking_Range_13</vt:lpstr>
      <vt:lpstr>Linking_Range_14</vt:lpstr>
      <vt:lpstr>Linking_Range_15</vt:lpstr>
      <vt:lpstr>Linking_Range_16</vt:lpstr>
      <vt:lpstr>Linking_Range_17</vt:lpstr>
      <vt:lpstr>Linking_Range_18</vt:lpstr>
      <vt:lpstr>Linking_Range_20</vt:lpstr>
      <vt:lpstr>Linking_Range_21</vt:lpstr>
      <vt:lpstr>Linking_Range_22</vt:lpstr>
      <vt:lpstr>Linking_Range_23</vt:lpstr>
      <vt:lpstr>Linking_Range_24</vt:lpstr>
      <vt:lpstr>Linking_Range_25</vt:lpstr>
      <vt:lpstr>Linking_Range_26</vt:lpstr>
      <vt:lpstr>Linking_Range_27</vt:lpstr>
      <vt:lpstr>Linking_Range_28</vt:lpstr>
      <vt:lpstr>Linking_Range_29</vt:lpstr>
      <vt:lpstr>Linking_Range_30</vt:lpstr>
      <vt:lpstr>Linking_Range_31</vt:lpstr>
      <vt:lpstr>Linking_Range_32</vt:lpstr>
      <vt:lpstr>Linking_Range_4</vt:lpstr>
      <vt:lpstr>Linking_Range_5</vt:lpstr>
      <vt:lpstr>Linking_Range_6</vt:lpstr>
      <vt:lpstr>Linking_Range_7</vt:lpstr>
      <vt:lpstr>Linking_Range_8</vt:lpstr>
      <vt:lpstr>Linking_Range_9</vt:lpstr>
      <vt:lpstr>linkrange1</vt:lpstr>
      <vt:lpstr>linkrange222222</vt:lpstr>
      <vt:lpstr>linkrange22222233</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bal!Print_Area</vt:lpstr>
      <vt:lpstr>BullBaseBear!Print_Area</vt:lpstr>
      <vt:lpstr>dtc!Print_Area</vt:lpstr>
      <vt:lpstr>flow!Print_Area</vt:lpstr>
      <vt:lpstr>'qtrP&amp;L'!Print_Area</vt:lpstr>
      <vt:lpstr>qtrSales!Print_Area</vt:lpstr>
      <vt:lpstr>sumry!Print_Area</vt:lpstr>
      <vt:lpstr>turn!Print_Area</vt:lpstr>
      <vt:lpstr>wc!Print_Area</vt:lpstr>
      <vt:lpstr>'yrP&amp;L'!Print_Area</vt:lpstr>
      <vt:lpstr>yrSales!Print_Area</vt:lpstr>
      <vt:lpstr>bal!Print_Titles</vt:lpstr>
      <vt:lpstr>'qtrP&amp;L'!Print_Titles</vt:lpstr>
      <vt:lpstr>'yrP&amp;L'!Print_Titles</vt:lpstr>
      <vt:lpstr>yrSales!Print_Titles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lpstr>xbrlAssumption</vt:lpstr>
      <vt:lpstr>xbrlDates</vt:lpstr>
      <vt:lpstr>xbrlFormat</vt:lpstr>
      <vt:lpstr>xbrlLabels</vt:lpstr>
      <vt:lpstr>xbrlNames</vt:lpstr>
      <vt:lpstr>xbrlReverseSign</vt:lpstr>
      <vt:lpstr>xbrlScale</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2011-05-09T22:38:47Z</dcterms:created>
  <dc:creator>sancfa</dc:creator>
  <cp:lastModifiedBy>Jenson, Andrea (Research)</cp:lastModifiedBy>
  <cp:lastPrinted>2018-03-02T13:05:47Z</cp:lastPrinted>
  <dcterms:modified xsi:type="dcterms:W3CDTF">2018-04-09T18:11:13Z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32</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760307</vt:lpwstr>
  </property>
  <property fmtid="{D5CDD505-2E9C-101B-9397-08002B2CF9AE}" name="ERModPubCompanyName" pid="6">
    <vt:lpwstr>Nordstrom</vt:lpwstr>
  </property>
  <property fmtid="{D5CDD505-2E9C-101B-9397-08002B2CF9AE}" name="MSDH34TAG" pid="7">
    <vt:lpwstr>.TEZUF76X5TAHATHESADREYAK-00-INB160+*94600-06=e5319468/-3c20/-11e8/-b3f7/-7a79cfe26848,MD=20180409142247/-0400,ZZ=000Z-4bf6.</vt:lpwstr>
  </property>
</Properties>
</file>